
<file path=[Content_Types].xml><?xml version="1.0" encoding="utf-8"?>
<Types xmlns="http://schemas.openxmlformats.org/package/2006/content-types">
  <Override PartName="/xl/worksheets/sheet35.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chartsheets/sheet24.xml" ContentType="application/vnd.openxmlformats-officedocument.spreadsheetml.chart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drawings/drawing86.xml" ContentType="application/vnd.openxmlformats-officedocument.drawingml.chartshapes+xml"/>
  <Override PartName="/xl/drawings/drawing168.xml" ContentType="application/vnd.openxmlformats-officedocument.drawing+xml"/>
  <Override PartName="/xl/drawings/drawing17.xml" ContentType="application/vnd.openxmlformats-officedocument.drawing+xml"/>
  <Override PartName="/xl/drawings/drawing64.xml" ContentType="application/vnd.openxmlformats-officedocument.drawing+xml"/>
  <Override PartName="/xl/drawings/drawing146.xml" ContentType="application/vnd.openxmlformats-officedocument.drawingml.chartshapes+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98.xml" ContentType="application/vnd.openxmlformats-officedocument.spreadsheetml.worksheet+xml"/>
  <Override PartName="/xl/drawings/drawing42.xml" ContentType="application/vnd.openxmlformats-officedocument.drawingml.chartshapes+xml"/>
  <Override PartName="/xl/charts/chart38.xml" ContentType="application/vnd.openxmlformats-officedocument.drawingml.chart+xml"/>
  <Override PartName="/xl/drawings/drawing124.xml" ContentType="application/vnd.openxmlformats-officedocument.drawingml.chartshapes+xml"/>
  <Override PartName="/xl/charts/chart85.xml" ContentType="application/vnd.openxmlformats-officedocument.drawingml.chart+xml"/>
  <Override PartName="/xl/drawings/drawing171.xml" ContentType="application/vnd.openxmlformats-officedocument.drawing+xml"/>
  <Override PartName="/xl/chartsheets/sheet4.xml" ContentType="application/vnd.openxmlformats-officedocument.spreadsheetml.chartsheet+xml"/>
  <Override PartName="/xl/worksheets/sheet106.xml" ContentType="application/vnd.openxmlformats-officedocument.spreadsheetml.worksheet+xml"/>
  <Override PartName="/xl/worksheets/sheet153.xml" ContentType="application/vnd.openxmlformats-officedocument.spreadsheetml.worksheet+xml"/>
  <Override PartName="/xl/drawings/drawing20.xml" ContentType="application/vnd.openxmlformats-officedocument.drawing+xml"/>
  <Override PartName="/xl/charts/chart16.xml" ContentType="application/vnd.openxmlformats-officedocument.drawingml.chart+xml"/>
  <Override PartName="/xl/drawings/drawing102.xml" ContentType="application/vnd.openxmlformats-officedocument.drawingml.chartshapes+xml"/>
  <Override PartName="/xl/charts/chart63.xml" ContentType="application/vnd.openxmlformats-officedocument.drawingml.chart+xml"/>
  <Override PartName="/xl/charts/chart123.xml" ContentType="application/vnd.openxmlformats-officedocument.drawingml.char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charts/chart101.xml" ContentType="application/vnd.openxmlformats-officedocument.drawingml.chart+xml"/>
  <Override PartName="/xl/worksheets/sheet54.xml" ContentType="application/vnd.openxmlformats-officedocument.spreadsheetml.worksheet+xml"/>
  <Override PartName="/xl/charts/chart41.xml" ContentType="application/vnd.openxmlformats-officedocument.drawingml.chart+xml"/>
  <Override PartName="/xl/chartsheets/sheet18.xml" ContentType="application/vnd.openxmlformats-officedocument.spreadsheetml.chartsheet+xml"/>
  <Default Extension="png" ContentType="image/png"/>
  <Override PartName="/xl/drawings/drawing187.xml" ContentType="application/vnd.openxmlformats-officedocument.drawingml.chartshapes+xml"/>
  <Override PartName="/xl/worksheets/sheet32.xml" ContentType="application/vnd.openxmlformats-officedocument.spreadsheetml.worksheet+xml"/>
  <Override PartName="/xl/drawings/drawing7.xml" ContentType="application/vnd.openxmlformats-officedocument.drawing+xml"/>
  <Override PartName="/xl/drawings/drawing58.xml" ContentType="application/vnd.openxmlformats-officedocument.drawing+xml"/>
  <Override PartName="/xl/worksheets/sheet8.xml" ContentType="application/vnd.openxmlformats-officedocument.spreadsheetml.worksheet+xml"/>
  <Override PartName="/xl/worksheets/sheet169.xml" ContentType="application/vnd.openxmlformats-officedocument.spreadsheetml.worksheet+xml"/>
  <Override PartName="/xl/drawings/drawing36.xml" ContentType="application/vnd.openxmlformats-officedocument.drawingml.chartshapes+xml"/>
  <Override PartName="/xl/drawings/drawing83.xml" ContentType="application/vnd.openxmlformats-officedocument.drawing+xml"/>
  <Override PartName="/xl/drawings/drawing118.xml" ContentType="application/vnd.openxmlformats-officedocument.drawingml.chartshapes+xml"/>
  <Override PartName="/xl/charts/chart79.xml" ContentType="application/vnd.openxmlformats-officedocument.drawingml.chart+xml"/>
  <Override PartName="/xl/drawings/drawing165.xml" ContentType="application/vnd.openxmlformats-officedocument.drawing+xml"/>
  <Override PartName="/xl/worksheets/sheet10.xml" ContentType="application/vnd.openxmlformats-officedocument.spreadsheetml.worksheet+xml"/>
  <Override PartName="/xl/chartsheets/sheet21.xml" ContentType="application/vnd.openxmlformats-officedocument.spreadsheetml.chartsheet+xml"/>
  <Override PartName="/xl/worksheets/sheet147.xml" ContentType="application/vnd.openxmlformats-officedocument.spreadsheetml.worksheet+xml"/>
  <Override PartName="/xl/charts/chart1.xml" ContentType="application/vnd.openxmlformats-officedocument.drawingml.chart+xml"/>
  <Override PartName="/xl/charts/chart57.xml" ContentType="application/vnd.openxmlformats-officedocument.drawingml.chart+xml"/>
  <Override PartName="/xl/drawings/drawing143.xml" ContentType="application/vnd.openxmlformats-officedocument.drawing+xml"/>
  <Override PartName="/xl/charts/chart117.xml" ContentType="application/vnd.openxmlformats-officedocument.drawingml.chart+xml"/>
  <Override PartName="/xl/drawings/drawing14.xml" ContentType="application/vnd.openxmlformats-officedocument.drawingml.chartshapes+xml"/>
  <Override PartName="/xl/drawings/drawing61.xml" ContentType="application/vnd.openxmlformats-officedocument.drawingml.chartshapes+xml"/>
  <Override PartName="/xl/worksheets/sheet125.xml" ContentType="application/vnd.openxmlformats-officedocument.spreadsheetml.worksheet+xml"/>
  <Override PartName="/xl/worksheets/sheet172.xml" ContentType="application/vnd.openxmlformats-officedocument.spreadsheetml.worksheet+xml"/>
  <Override PartName="/xl/charts/chart35.xml" ContentType="application/vnd.openxmlformats-officedocument.drawingml.chart+xml"/>
  <Override PartName="/xl/drawings/drawing121.xml" ContentType="application/vnd.openxmlformats-officedocument.drawingml.chartshapes+xml"/>
  <Override PartName="/xl/charts/chart82.xml" ContentType="application/vnd.openxmlformats-officedocument.drawingml.chart+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charts/chart13.xml" ContentType="application/vnd.openxmlformats-officedocument.drawingml.chart+xml"/>
  <Override PartName="/xl/charts/chart120.xml" ContentType="application/vnd.openxmlformats-officedocument.drawingml.chart+xml"/>
  <Override PartName="/xl/worksheets/sheet26.xml" ContentType="application/vnd.openxmlformats-officedocument.spreadsheetml.worksheet+xml"/>
  <Override PartName="/xl/chartsheets/sheet1.xml" ContentType="application/vnd.openxmlformats-officedocument.spreadsheetml.chartsheet+xml"/>
  <Override PartName="/xl/worksheets/sheet73.xml" ContentType="application/vnd.openxmlformats-officedocument.spreadsheetml.worksheet+xml"/>
  <Override PartName="/xl/drawings/drawing99.xml" ContentType="application/vnd.openxmlformats-officedocument.drawing+xml"/>
  <Override PartName="/xl/charts/chart60.xml" ContentType="application/vnd.openxmlformats-officedocument.drawingml.chart+xml"/>
  <Override PartName="/xl/drawings/drawing159.xml" ContentType="application/vnd.openxmlformats-officedocument.drawing+xml"/>
  <Override PartName="/xl/worksheets/sheet51.xml" ContentType="application/vnd.openxmlformats-officedocument.spreadsheetml.worksheet+xml"/>
  <Override PartName="/xl/chartsheets/sheet15.xml" ContentType="application/vnd.openxmlformats-officedocument.spreadsheetml.chartsheet+xml"/>
  <Override PartName="/xl/drawings/drawing77.xml" ContentType="application/vnd.openxmlformats-officedocument.drawing+xml"/>
  <Override PartName="/xl/drawings/drawing4.xml" ContentType="application/vnd.openxmlformats-officedocument.drawingml.chartshapes+xml"/>
  <Override PartName="/xl/drawings/drawing55.xml" ContentType="application/vnd.openxmlformats-officedocument.drawingml.chartshapes+xml"/>
  <Override PartName="/xl/drawings/drawing137.xml" ContentType="application/vnd.openxmlformats-officedocument.drawingml.chartshapes+xml"/>
  <Override PartName="/xl/charts/chart98.xml" ContentType="application/vnd.openxmlformats-officedocument.drawingml.chart+xml"/>
  <Override PartName="/xl/drawings/drawing184.xml" ContentType="application/vnd.openxmlformats-officedocument.drawing+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charts/chart29.xml" ContentType="application/vnd.openxmlformats-officedocument.drawingml.chart+xml"/>
  <Override PartName="/xl/drawings/drawing115.xml" ContentType="application/vnd.openxmlformats-officedocument.drawing+xml"/>
  <Override PartName="/xl/charts/chart76.xml" ContentType="application/vnd.openxmlformats-officedocument.drawingml.chart+xml"/>
  <Override PartName="/xl/drawings/drawing162.xml" ContentType="application/vnd.openxmlformats-officedocument.drawing+xml"/>
  <Override PartName="/xl/worksheets/sheet89.xml" ContentType="application/vnd.openxmlformats-officedocument.spreadsheetml.worksheet+xml"/>
  <Override PartName="/xl/drawings/drawing33.xml" ContentType="application/vnd.openxmlformats-officedocument.drawing+xml"/>
  <Override PartName="/xl/drawings/drawing80.xml" ContentType="application/vnd.openxmlformats-officedocument.drawingml.chartshapes+xml"/>
  <Override PartName="/xl/charts/chart114.xml" ContentType="application/vnd.openxmlformats-officedocument.drawingml.chart+xml"/>
  <Override PartName="/xl/worksheets/sheet144.xml" ContentType="application/vnd.openxmlformats-officedocument.spreadsheetml.worksheet+xml"/>
  <Override PartName="/xl/drawings/drawing11.xml" ContentType="application/vnd.openxmlformats-officedocument.drawing+xml"/>
  <Override PartName="/xl/charts/chart54.xml" ContentType="application/vnd.openxmlformats-officedocument.drawingml.chart+xml"/>
  <Override PartName="/xl/drawings/drawing140.xml" ContentType="application/vnd.openxmlformats-officedocument.drawing+xml"/>
  <Override PartName="/xl/worksheets/sheet67.xml" ContentType="application/vnd.openxmlformats-officedocument.spreadsheetml.worksheet+xml"/>
  <Override PartName="/xl/worksheets/sheet122.xml" ContentType="application/vnd.openxmlformats-officedocument.spreadsheetml.worksheet+xml"/>
  <Override PartName="/xl/charts/chart32.xml" ContentType="application/vnd.openxmlformats-officedocument.drawingml.chart+xml"/>
  <Override PartName="/xl/worksheets/sheet45.xml" ContentType="application/vnd.openxmlformats-officedocument.spreadsheetml.worksheet+xml"/>
  <Override PartName="/xl/worksheets/sheet92.xml" ContentType="application/vnd.openxmlformats-officedocument.spreadsheetml.worksheet+xml"/>
  <Override PartName="/xl/worksheets/sheet100.xml" ContentType="application/vnd.openxmlformats-officedocument.spreadsheetml.worksheet+xml"/>
  <Override PartName="/xl/charts/chart10.xml" ContentType="application/vnd.openxmlformats-officedocument.drawingml.chart+xml"/>
  <Override PartName="/xl/drawings/drawing178.xml" ContentType="application/vnd.openxmlformats-officedocument.drawingml.chartshapes+xml"/>
  <Override PartName="/xl/worksheets/sheet23.xml" ContentType="application/vnd.openxmlformats-officedocument.spreadsheetml.worksheet+xml"/>
  <Override PartName="/xl/worksheets/sheet70.xml" ContentType="application/vnd.openxmlformats-officedocument.spreadsheetml.worksheet+xml"/>
  <Override PartName="/xl/drawings/drawing49.xml" ContentType="application/vnd.openxmlformats-officedocument.drawing+xml"/>
  <Override PartName="/xl/drawings/drawing96.xml" ContentType="application/vnd.openxmlformats-officedocument.drawingml.chartshapes+xml"/>
  <Override PartName="/xl/drawings/drawing27.xml" ContentType="application/vnd.openxmlformats-officedocument.drawing+xml"/>
  <Override PartName="/xl/drawings/drawing74.xml" ContentType="application/vnd.openxmlformats-officedocument.drawing+xml"/>
  <Override PartName="/xl/drawings/drawing109.xml" ContentType="application/vnd.openxmlformats-officedocument.drawing+xml"/>
  <Override PartName="/xl/drawings/drawing156.xml" ContentType="application/vnd.openxmlformats-officedocument.drawingml.chartshapes+xml"/>
  <Override PartName="/xl/chartsheets/sheet12.xml" ContentType="application/vnd.openxmlformats-officedocument.spreadsheetml.chartsheet+xml"/>
  <Override PartName="/xl/worksheets/sheet138.xml" ContentType="application/vnd.openxmlformats-officedocument.spreadsheetml.worksheet+xml"/>
  <Override PartName="/xl/worksheets/sheet185.xml" ContentType="application/vnd.openxmlformats-officedocument.spreadsheetml.worksheet+xml"/>
  <Override PartName="/xl/externalLinks/externalLink4.xml" ContentType="application/vnd.openxmlformats-officedocument.spreadsheetml.externalLink+xml"/>
  <Override PartName="/xl/charts/chart48.xml" ContentType="application/vnd.openxmlformats-officedocument.drawingml.chart+xml"/>
  <Override PartName="/xl/drawings/drawing134.xml" ContentType="application/vnd.openxmlformats-officedocument.drawing+xml"/>
  <Override PartName="/xl/charts/chart95.xml" ContentType="application/vnd.openxmlformats-officedocument.drawingml.chart+xml"/>
  <Override PartName="/xl/charts/chart108.xml" ContentType="application/vnd.openxmlformats-officedocument.drawingml.chart+xml"/>
  <Override PartName="/xl/drawings/drawing181.xml" ContentType="application/vnd.openxmlformats-officedocument.drawing+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74.xml" ContentType="application/vnd.openxmlformats-officedocument.spreadsheetml.worksheet+xml"/>
  <Override PartName="/xl/drawings/drawing1.xml" ContentType="application/vnd.openxmlformats-officedocument.drawing+xml"/>
  <Override PartName="/xl/drawings/drawing41.xml" ContentType="application/vnd.openxmlformats-officedocument.drawing+xml"/>
  <Override PartName="/xl/drawings/drawing52.xml" ContentType="application/vnd.openxmlformats-officedocument.drawingml.chartshapes+xml"/>
  <Override PartName="/xl/charts/chart37.xml" ContentType="application/vnd.openxmlformats-officedocument.drawingml.chart+xml"/>
  <Override PartName="/xl/drawings/drawing123.xml" ContentType="application/vnd.openxmlformats-officedocument.drawingml.chartshapes+xml"/>
  <Override PartName="/xl/charts/chart84.xml" ContentType="application/vnd.openxmlformats-officedocument.drawingml.chart+xml"/>
  <Override PartName="/xl/drawings/drawing170.xml" ContentType="application/vnd.openxmlformats-officedocument.drawing+xml"/>
  <Override PartName="/xl/worksheets/sheet97.xml" ContentType="application/vnd.openxmlformats-officedocument.spreadsheetml.worksheet+xml"/>
  <Override PartName="/xl/worksheets/sheet105.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drawings/drawing30.xml" ContentType="application/vnd.openxmlformats-officedocument.drawingml.chartshapes+xml"/>
  <Override PartName="/xl/charts/chart26.xml" ContentType="application/vnd.openxmlformats-officedocument.drawingml.chart+xml"/>
  <Override PartName="/xl/drawings/drawing112.xml" ContentType="application/vnd.openxmlformats-officedocument.drawingml.chartshapes+xml"/>
  <Override PartName="/xl/charts/chart73.xml" ContentType="application/vnd.openxmlformats-officedocument.drawingml.chart+xml"/>
  <Override PartName="/xl/charts/chart122.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chartsheets/sheet3.xml" ContentType="application/vnd.openxmlformats-officedocument.spreadsheetml.chart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41.xml" ContentType="application/vnd.openxmlformats-officedocument.spreadsheetml.worksheet+xml"/>
  <Override PartName="/xl/charts/chart15.xml" ContentType="application/vnd.openxmlformats-officedocument.drawingml.chart+xml"/>
  <Override PartName="/xl/charts/chart51.xml" ContentType="application/vnd.openxmlformats-officedocument.drawingml.chart+xml"/>
  <Override PartName="/xl/drawings/drawing101.xml" ContentType="application/vnd.openxmlformats-officedocument.drawing+xml"/>
  <Override PartName="/xl/charts/chart62.xml" ContentType="application/vnd.openxmlformats-officedocument.drawingml.chart+xml"/>
  <Override PartName="/xl/charts/chart111.xml" ContentType="application/vnd.openxmlformats-officedocument.drawingml.chart+xml"/>
  <Override PartName="/xl/worksheets/sheet17.xml" ContentType="application/vnd.openxmlformats-officedocument.spreadsheetml.worksheet+xml"/>
  <Override PartName="/xl/worksheets/sheet64.xml" ContentType="application/vnd.openxmlformats-officedocument.spreadsheetml.worksheet+xml"/>
  <Override PartName="/xl/chartsheets/sheet28.xml" ContentType="application/vnd.openxmlformats-officedocument.spreadsheetml.chartsheet+xml"/>
  <Override PartName="/xl/worksheets/sheet130.xml" ContentType="application/vnd.openxmlformats-officedocument.spreadsheetml.worksheet+xml"/>
  <Override PartName="/xl/charts/chart8.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worksheets/sheet53.xml" ContentType="application/vnd.openxmlformats-officedocument.spreadsheetml.worksheet+xml"/>
  <Override PartName="/xl/chartsheets/sheet17.xml" ContentType="application/vnd.openxmlformats-officedocument.spreadsheetml.chartsheet+xml"/>
  <Override PartName="/xl/drawings/drawing68.xml" ContentType="application/vnd.openxmlformats-officedocument.drawing+xml"/>
  <Override PartName="/xl/drawings/drawing79.xml" ContentType="application/vnd.openxmlformats-officedocument.drawing+xml"/>
  <Override PartName="/xl/worksheets/sheet42.xml" ContentType="application/vnd.openxmlformats-officedocument.spreadsheetml.worksheet+xml"/>
  <Override PartName="/xl/worksheets/sheet179.xml" ContentType="application/vnd.openxmlformats-officedocument.spreadsheetml.worksheet+xml"/>
  <Override PartName="/xl/drawings/drawing6.xml" ContentType="application/vnd.openxmlformats-officedocument.drawingml.chartshapes+xml"/>
  <Override PartName="/xl/drawings/drawing57.xml" ContentType="application/vnd.openxmlformats-officedocument.drawingml.chartshapes+xml"/>
  <Override PartName="/xl/drawings/drawing139.xml" ContentType="application/vnd.openxmlformats-officedocument.drawingml.chartshapes+xml"/>
  <Override PartName="/xl/drawings/drawing18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drawings/drawing46.xml" ContentType="application/vnd.openxmlformats-officedocument.drawingml.chartshapes+xml"/>
  <Override PartName="/xl/drawings/drawing93.xml" ContentType="application/vnd.openxmlformats-officedocument.drawing+xml"/>
  <Override PartName="/xl/drawings/drawing117.xml" ContentType="application/vnd.openxmlformats-officedocument.drawingml.chartshapes+xml"/>
  <Override PartName="/xl/drawings/drawing128.xml" ContentType="application/vnd.openxmlformats-officedocument.drawing+xml"/>
  <Override PartName="/xl/charts/chart78.xml" ContentType="application/vnd.openxmlformats-officedocument.drawingml.chart+xml"/>
  <Override PartName="/xl/charts/chart89.xml" ContentType="application/vnd.openxmlformats-officedocument.drawingml.chart+xml"/>
  <Override PartName="/xl/drawings/drawing164.xml" ContentType="application/vnd.openxmlformats-officedocument.drawing+xml"/>
  <Override PartName="/xl/drawings/drawing175.xml" ContentType="application/vnd.openxmlformats-officedocument.drawingml.chartshapes+xml"/>
  <Override PartName="/xl/chartsheets/sheet20.xml" ContentType="application/vnd.openxmlformats-officedocument.spreadsheetml.chartsheet+xml"/>
  <Override PartName="/xl/worksheets/sheet157.xml" ContentType="application/vnd.openxmlformats-officedocument.spreadsheetml.worksheet+xml"/>
  <Override PartName="/xl/drawings/drawing35.xml" ContentType="application/vnd.openxmlformats-officedocument.drawing+xml"/>
  <Override PartName="/xl/drawings/drawing82.xml" ContentType="application/vnd.openxmlformats-officedocument.drawingml.chartshapes+xml"/>
  <Override PartName="/xl/drawings/drawing106.xml" ContentType="application/vnd.openxmlformats-officedocument.drawingml.chartshapes+xml"/>
  <Override PartName="/xl/charts/chart67.xml" ContentType="application/vnd.openxmlformats-officedocument.drawingml.chart+xml"/>
  <Override PartName="/xl/drawings/drawing153.xml" ContentType="application/vnd.openxmlformats-officedocument.drawingml.chartshapes+xml"/>
  <Override PartName="/xl/charts/chart116.xml" ContentType="application/vnd.openxmlformats-officedocument.drawingml.chart+xml"/>
  <Override PartName="/xl/charts/chart127.xml" ContentType="application/vnd.openxmlformats-officedocument.drawingml.chart+xml"/>
  <Override PartName="/xl/chartsheets/sheet8.xml" ContentType="application/vnd.openxmlformats-officedocument.spreadsheetml.chart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ml.chartshapes+xml"/>
  <Override PartName="/xl/drawings/drawing60.xml" ContentType="application/vnd.openxmlformats-officedocument.drawing+xml"/>
  <Override PartName="/xl/drawings/drawing71.xml" ContentType="application/vnd.openxmlformats-officedocument.drawingml.chartshapes+xml"/>
  <Override PartName="/xl/charts/chart56.xml" ContentType="application/vnd.openxmlformats-officedocument.drawingml.chart+xml"/>
  <Override PartName="/xl/drawings/drawing142.xml" ContentType="application/vnd.openxmlformats-officedocument.drawing+xml"/>
  <Override PartName="/xl/charts/chart105.xml" ContentType="application/vnd.openxmlformats-officedocument.drawingml.char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externalLinks/externalLink1.xml" ContentType="application/vnd.openxmlformats-officedocument.spreadsheetml.externalLink+xml"/>
  <Override PartName="/xl/charts/chart34.xml" ContentType="application/vnd.openxmlformats-officedocument.drawingml.chart+xml"/>
  <Override PartName="/xl/charts/chart45.xml" ContentType="application/vnd.openxmlformats-officedocument.drawingml.chart+xml"/>
  <Override PartName="/xl/drawings/drawing120.xml" ContentType="application/vnd.openxmlformats-officedocument.drawingml.chartshapes+xml"/>
  <Override PartName="/xl/drawings/drawing131.xml" ContentType="application/vnd.openxmlformats-officedocument.drawing+xml"/>
  <Override PartName="/xl/charts/chart81.xml" ContentType="application/vnd.openxmlformats-officedocument.drawingml.chart+xml"/>
  <Override PartName="/xl/charts/chart92.xml" ContentType="application/vnd.openxmlformats-officedocument.drawingml.char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drawings/drawing87.xml" ContentType="application/vnd.openxmlformats-officedocument.drawing+xml"/>
  <Override PartName="/xl/drawings/drawing98.xml" ContentType="application/vnd.openxmlformats-officedocument.drawingml.chartshapes+xml"/>
  <Override PartName="/xl/drawings/drawing169.xml" ContentType="application/vnd.openxmlformats-officedocument.drawing+xml"/>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heets/sheet25.xml" ContentType="application/vnd.openxmlformats-officedocument.spreadsheetml.chartsheet+xml"/>
  <Override PartName="/xl/charts/chart5.xml" ContentType="application/vnd.openxmlformats-officedocument.drawingml.chart+xml"/>
  <Override PartName="/xl/drawings/drawing29.xml" ContentType="application/vnd.openxmlformats-officedocument.drawing+xml"/>
  <Override PartName="/xl/drawings/drawing76.xml" ContentType="application/vnd.openxmlformats-officedocument.drawingml.chartshapes+xml"/>
  <Override PartName="/xl/drawings/drawing158.xml" ContentType="application/vnd.openxmlformats-officedocument.drawing+xml"/>
  <Override PartName="/xl/chartsheets/sheet14.xml" ContentType="application/vnd.openxmlformats-officedocument.spreadsheetml.chartsheet+xml"/>
  <Override PartName="/xl/drawings/drawing18.xml" ContentType="application/vnd.openxmlformats-officedocument.drawing+xml"/>
  <Override PartName="/xl/drawings/drawing65.xml" ContentType="application/vnd.openxmlformats-officedocument.drawingml.chartshapes+xml"/>
  <Override PartName="/xl/drawings/drawing136.xml" ContentType="application/vnd.openxmlformats-officedocument.drawing+xml"/>
  <Override PartName="/xl/drawings/drawing147.xml" ContentType="application/vnd.openxmlformats-officedocument.drawing+xml"/>
  <Override PartName="/xl/charts/chart97.xml" ContentType="application/vnd.openxmlformats-officedocument.drawingml.chart+xml"/>
  <Override PartName="/xl/drawings/drawing183.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drawings/drawing3.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xl/charts/chart39.xml" ContentType="application/vnd.openxmlformats-officedocument.drawingml.chart+xml"/>
  <Override PartName="/xl/drawings/drawing90.xml" ContentType="application/vnd.openxmlformats-officedocument.drawingml.chartshapes+xml"/>
  <Override PartName="/xl/drawings/drawing125.xml" ContentType="application/vnd.openxmlformats-officedocument.drawingml.chartshapes+xml"/>
  <Override PartName="/xl/charts/chart86.xml" ContentType="application/vnd.openxmlformats-officedocument.drawingml.chart+xml"/>
  <Override PartName="/xl/drawings/drawing172.xml" ContentType="application/vnd.openxmlformats-officedocument.drawing+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drawings/drawing32.xml" ContentType="application/vnd.openxmlformats-officedocument.drawingml.chartshapes+xml"/>
  <Override PartName="/xl/charts/chart28.xml" ContentType="application/vnd.openxmlformats-officedocument.drawingml.chart+xml"/>
  <Override PartName="/xl/drawings/drawing114.xml" ContentType="application/vnd.openxmlformats-officedocument.drawing+xml"/>
  <Override PartName="/xl/charts/chart75.xml" ContentType="application/vnd.openxmlformats-officedocument.drawingml.chart+xml"/>
  <Override PartName="/xl/drawings/drawing161.xml" ContentType="application/vnd.openxmlformats-officedocument.drawing+xml"/>
  <Override PartName="/xl/charts/chart124.xml" ContentType="application/vnd.openxmlformats-officedocument.drawingml.chart+xml"/>
  <Override PartName="/xl/chartsheets/sheet5.xml" ContentType="application/vnd.openxmlformats-officedocument.spreadsheetml.chart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21.xml" ContentType="application/vnd.openxmlformats-officedocument.drawing+xml"/>
  <Override PartName="/xl/charts/chart17.xml" ContentType="application/vnd.openxmlformats-officedocument.drawingml.chart+xml"/>
  <Override PartName="/xl/charts/chart53.xml" ContentType="application/vnd.openxmlformats-officedocument.drawingml.chart+xml"/>
  <Override PartName="/xl/drawings/drawing103.xml" ContentType="application/vnd.openxmlformats-officedocument.drawing+xml"/>
  <Override PartName="/xl/charts/chart64.xml" ContentType="application/vnd.openxmlformats-officedocument.drawingml.chart+xml"/>
  <Override PartName="/xl/drawings/drawing150.xml" ContentType="application/vnd.openxmlformats-officedocument.drawingml.chartshapes+xml"/>
  <Override PartName="/xl/charts/chart113.xml" ContentType="application/vnd.openxmlformats-officedocument.drawingml.chart+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drawings/drawing10.xml" ContentType="application/vnd.openxmlformats-officedocument.drawingml.chartshapes+xml"/>
  <Override PartName="/xl/charts/chart42.xml" ContentType="application/vnd.openxmlformats-officedocument.drawingml.chart+xml"/>
  <Override PartName="/xl/charts/chart102.xml" ContentType="application/vnd.openxmlformats-officedocument.drawingml.char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chartsheets/sheet19.xml" ContentType="application/vnd.openxmlformats-officedocument.spreadsheetml.chartsheet+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charts/chart20.xml" ContentType="application/vnd.openxmlformats-officedocument.drawingml.chart+xml"/>
  <Override PartName="/xl/drawings/drawing59.xml" ContentType="application/vnd.openxmlformats-officedocument.drawingml.chartshap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drawings/drawing48.xml" ContentType="application/vnd.openxmlformats-officedocument.drawingml.chartshapes+xml"/>
  <Override PartName="/xl/drawings/drawing95.xml" ContentType="application/vnd.openxmlformats-officedocument.drawing+xml"/>
  <Override PartName="/xl/drawings/drawing119.xml" ContentType="application/vnd.openxmlformats-officedocument.drawingml.chartshapes+xml"/>
  <Override PartName="/xl/drawings/drawing166.xml" ContentType="application/vnd.openxmlformats-officedocument.drawing+xml"/>
  <Override PartName="/xl/drawings/drawing177.xml" ContentType="application/vnd.openxmlformats-officedocument.drawingml.chartshapes+xml"/>
  <Override PartName="/xl/worksheets/sheet11.xml" ContentType="application/vnd.openxmlformats-officedocument.spreadsheetml.worksheet+xml"/>
  <Override PartName="/xl/chartsheets/sheet22.xml" ContentType="application/vnd.openxmlformats-officedocument.spreadsheetml.chartsheet+xml"/>
  <Override PartName="/xl/worksheets/sheet159.xml" ContentType="application/vnd.openxmlformats-officedocument.spreadsheetml.worksheet+xml"/>
  <Override PartName="/xl/charts/chart2.xml" ContentType="application/vnd.openxmlformats-officedocument.drawingml.chart+xml"/>
  <Override PartName="/xl/drawings/drawing37.xml" ContentType="application/vnd.openxmlformats-officedocument.drawing+xml"/>
  <Override PartName="/xl/drawings/drawing84.xml" ContentType="application/vnd.openxmlformats-officedocument.drawingml.chartshapes+xml"/>
  <Override PartName="/xl/drawings/drawing108.xml" ContentType="application/vnd.openxmlformats-officedocument.drawingml.chartshapes+xml"/>
  <Override PartName="/xl/charts/chart69.xml" ContentType="application/vnd.openxmlformats-officedocument.drawingml.chart+xml"/>
  <Override PartName="/xl/drawings/drawing155.xml" ContentType="application/vnd.openxmlformats-officedocument.drawingml.chartshapes+xml"/>
  <Override PartName="/xl/charts/chart118.xml" ContentType="application/vnd.openxmlformats-officedocument.drawingml.chart+xml"/>
  <Default Extension="rels" ContentType="application/vnd.openxmlformats-package.relationships+xml"/>
  <Override PartName="/xl/chartsheets/sheet11.xml" ContentType="application/vnd.openxmlformats-officedocument.spreadsheetml.chart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84.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ml.chartshapes+xml"/>
  <Override PartName="/xl/drawings/drawing62.xml" ContentType="application/vnd.openxmlformats-officedocument.drawing+xml"/>
  <Override PartName="/xl/drawings/drawing73.xml" ContentType="application/vnd.openxmlformats-officedocument.drawingml.chartshapes+xml"/>
  <Override PartName="/xl/charts/chart58.xml" ContentType="application/vnd.openxmlformats-officedocument.drawingml.chart+xml"/>
  <Override PartName="/xl/drawings/drawing144.xml" ContentType="application/vnd.openxmlformats-officedocument.drawingml.chartshapes+xml"/>
  <Override PartName="/xl/charts/chart107.xml" ContentType="application/vnd.openxmlformats-officedocument.drawingml.chart+xml"/>
  <Override PartName="/xl/worksheets/sheet126.xml" ContentType="application/vnd.openxmlformats-officedocument.spreadsheetml.worksheet+xml"/>
  <Override PartName="/xl/worksheets/sheet173.xml" ContentType="application/vnd.openxmlformats-officedocument.spreadsheetml.worksheet+xml"/>
  <Override PartName="/xl/externalLinks/externalLink3.xml" ContentType="application/vnd.openxmlformats-officedocument.spreadsheetml.externalLink+xml"/>
  <Override PartName="/xl/drawings/drawing51.xml" ContentType="application/vnd.openxmlformats-officedocument.drawing+xml"/>
  <Override PartName="/xl/charts/chart36.xml" ContentType="application/vnd.openxmlformats-officedocument.drawingml.chart+xml"/>
  <Override PartName="/xl/charts/chart47.xml" ContentType="application/vnd.openxmlformats-officedocument.drawingml.chart+xml"/>
  <Override PartName="/xl/drawings/drawing133.xml" ContentType="application/vnd.openxmlformats-officedocument.drawing+xml"/>
  <Override PartName="/xl/charts/chart83.xml" ContentType="application/vnd.openxmlformats-officedocument.drawingml.chart+xml"/>
  <Override PartName="/xl/charts/chart94.xml" ContentType="application/vnd.openxmlformats-officedocument.drawingml.chart+xml"/>
  <Override PartName="/xl/drawings/drawing180.xml" ContentType="application/vnd.openxmlformats-officedocument.drawingml.chartshapes+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drawings/drawing40.xml" ContentType="application/vnd.openxmlformats-officedocument.drawingml.chartshapes+xml"/>
  <Override PartName="/xl/charts/chart25.xml" ContentType="application/vnd.openxmlformats-officedocument.drawingml.chart+xml"/>
  <Override PartName="/xl/drawings/drawing111.xml" ContentType="application/vnd.openxmlformats-officedocument.drawing+xml"/>
  <Override PartName="/xl/drawings/drawing122.xml" ContentType="application/vnd.openxmlformats-officedocument.drawingml.chartshapes+xml"/>
  <Override PartName="/xl/charts/chart72.xml" ContentType="application/vnd.openxmlformats-officedocument.drawingml.chart+xml"/>
  <Override PartName="/xl/worksheets/sheet38.xml" ContentType="application/vnd.openxmlformats-officedocument.spreadsheetml.worksheet+xml"/>
  <Override PartName="/xl/chartsheets/sheet2.xml" ContentType="application/vnd.openxmlformats-officedocument.spreadsheetml.chart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51.xml" ContentType="application/vnd.openxmlformats-officedocument.spreadsheetml.worksheet+xml"/>
  <Override PartName="/xl/charts/chart14.xml" ContentType="application/vnd.openxmlformats-officedocument.drawingml.chart+xml"/>
  <Override PartName="/xl/drawings/drawing100.xml" ContentType="application/vnd.openxmlformats-officedocument.drawingml.chartshapes+xml"/>
  <Override PartName="/xl/charts/chart61.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worksheets/sheet27.xml" ContentType="application/vnd.openxmlformats-officedocument.spreadsheetml.worksheet+xml"/>
  <Override PartName="/xl/worksheets/sheet74.xml" ContentType="application/vnd.openxmlformats-officedocument.spreadsheetml.worksheet+xml"/>
  <Override PartName="/xl/worksheets/sheet140.xml" ContentType="application/vnd.openxmlformats-officedocument.spreadsheetml.worksheet+xml"/>
  <Override PartName="/xl/drawings/drawing89.xml" ContentType="application/vnd.openxmlformats-officedocument.drawing+xml"/>
  <Override PartName="/xl/charts/chart50.xml" ContentType="application/vnd.openxmlformats-officedocument.drawingml.chart+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heets/sheet27.xml" ContentType="application/vnd.openxmlformats-officedocument.spreadsheetml.chartsheet+xml"/>
  <Override PartName="/xl/charts/chart7.xml" ContentType="application/vnd.openxmlformats-officedocument.drawingml.chart+xml"/>
  <Override PartName="/xl/drawings/drawing78.xml" ContentType="application/vnd.openxmlformats-officedocument.drawingml.chartshapes+xml"/>
  <Override PartName="/xl/worksheets/sheet41.xml" ContentType="application/vnd.openxmlformats-officedocument.spreadsheetml.worksheet+xml"/>
  <Override PartName="/xl/chartsheets/sheet16.xml" ContentType="application/vnd.openxmlformats-officedocument.spreadsheetml.chartsheet+xml"/>
  <Override PartName="/xl/drawings/drawing67.xml" ContentType="application/vnd.openxmlformats-officedocument.drawingml.chartshapes+xml"/>
  <Override PartName="/xl/drawings/drawing138.xml" ContentType="application/vnd.openxmlformats-officedocument.drawing+xml"/>
  <Override PartName="/xl/drawings/drawing149.xml" ContentType="application/vnd.openxmlformats-officedocument.drawingml.chartshapes+xml"/>
  <Override PartName="/xl/charts/chart99.xml" ContentType="application/vnd.openxmlformats-officedocument.drawingml.chart+xml"/>
  <Override PartName="/xl/drawings/drawing185.xml" ContentType="application/vnd.openxmlformats-officedocument.drawingml.chartshapes+xml"/>
  <Override PartName="/xl/worksheets/sheet6.xml" ContentType="application/vnd.openxmlformats-officedocument.spreadsheetml.worksheet+xml"/>
  <Override PartName="/xl/worksheets/sheet30.xml" ContentType="application/vnd.openxmlformats-officedocument.spreadsheetml.worksheet+xml"/>
  <Override PartName="/xl/worksheets/sheet178.xml" ContentType="application/vnd.openxmlformats-officedocument.spreadsheetml.worksheet+xml"/>
  <Override PartName="/xl/drawings/drawing5.xml" ContentType="application/vnd.openxmlformats-officedocument.drawing+xml"/>
  <Override PartName="/xl/drawings/drawing45.xml" ContentType="application/vnd.openxmlformats-officedocument.drawing+xml"/>
  <Override PartName="/xl/drawings/drawing56.xml" ContentType="application/vnd.openxmlformats-officedocument.drawing+xml"/>
  <Override PartName="/xl/drawings/drawing92.xml" ContentType="application/vnd.openxmlformats-officedocument.drawingml.chartshapes+xml"/>
  <Override PartName="/xl/drawings/drawing127.xml" ContentType="application/vnd.openxmlformats-officedocument.drawing+xml"/>
  <Override PartName="/xl/charts/chart88.xml" ContentType="application/vnd.openxmlformats-officedocument.drawingml.chart+xml"/>
  <Override PartName="/xl/drawings/drawing174.xml" ContentType="application/vnd.openxmlformats-officedocument.drawing+xml"/>
  <Override PartName="/xl/worksheets/sheet109.xml" ContentType="application/vnd.openxmlformats-officedocument.spreadsheetml.worksheet+xml"/>
  <Override PartName="/xl/chartsheets/sheet30.xml" ContentType="application/vnd.openxmlformats-officedocument.spreadsheetml.chartsheet+xml"/>
  <Override PartName="/xl/worksheets/sheet156.xml" ContentType="application/vnd.openxmlformats-officedocument.spreadsheetml.worksheet+xml"/>
  <Override PartName="/xl/worksheets/sheet167.xml" ContentType="application/vnd.openxmlformats-officedocument.spreadsheetml.worksheet+xml"/>
  <Override PartName="/xl/drawings/drawing34.xml" ContentType="application/vnd.openxmlformats-officedocument.drawingml.chartshapes+xml"/>
  <Override PartName="/xl/drawings/drawing81.xml" ContentType="application/vnd.openxmlformats-officedocument.drawing+xml"/>
  <Override PartName="/xl/drawings/drawing116.xml" ContentType="application/vnd.openxmlformats-officedocument.drawing+xml"/>
  <Override PartName="/xl/charts/chart77.xml" ContentType="application/vnd.openxmlformats-officedocument.drawingml.chart+xml"/>
  <Override PartName="/xl/drawings/drawing163.xml" ContentType="application/vnd.openxmlformats-officedocument.drawing+xml"/>
  <Override PartName="/xl/charts/chart126.xml" ContentType="application/vnd.openxmlformats-officedocument.drawingml.chart+xml"/>
  <Override PartName="/xl/chartsheets/sheet7.xml" ContentType="application/vnd.openxmlformats-officedocument.spreadsheetml.chartsheet+xml"/>
  <Override PartName="/xl/worksheets/sheet145.xml" ContentType="application/vnd.openxmlformats-officedocument.spreadsheetml.worksheet+xml"/>
  <Override PartName="/xl/drawings/drawing23.xml" ContentType="application/vnd.openxmlformats-officedocument.drawing+xml"/>
  <Override PartName="/xl/charts/chart19.xml" ContentType="application/vnd.openxmlformats-officedocument.drawingml.chart+xml"/>
  <Override PartName="/xl/drawings/drawing70.xml" ContentType="application/vnd.openxmlformats-officedocument.drawing+xml"/>
  <Override PartName="/xl/charts/chart55.xml" ContentType="application/vnd.openxmlformats-officedocument.drawingml.chart+xml"/>
  <Override PartName="/xl/drawings/drawing105.xml" ContentType="application/vnd.openxmlformats-officedocument.drawing+xml"/>
  <Override PartName="/xl/charts/chart66.xml" ContentType="application/vnd.openxmlformats-officedocument.drawingml.chart+xml"/>
  <Override PartName="/xl/drawings/drawing141.xml" ContentType="application/vnd.openxmlformats-officedocument.drawingml.chartshapes+xml"/>
  <Override PartName="/xl/drawings/drawing152.xml" ContentType="application/vnd.openxmlformats-officedocument.drawingml.chartshapes+xml"/>
  <Override PartName="/xl/charts/chart115.xml" ContentType="application/vnd.openxmlformats-officedocument.drawingml.chart+xml"/>
  <Override PartName="/xl/worksheets/sheet68.xml" ContentType="application/vnd.openxmlformats-officedocument.spreadsheetml.worksheet+xml"/>
  <Override PartName="/xl/worksheets/sheet79.xml" ContentType="application/vnd.openxmlformats-officedocument.spreadsheetml.worksheet+xml"/>
  <Override PartName="/xl/worksheets/sheet134.xml" ContentType="application/vnd.openxmlformats-officedocument.spreadsheetml.worksheet+xml"/>
  <Override PartName="/xl/worksheets/sheet181.xml" ContentType="application/vnd.openxmlformats-officedocument.spreadsheetml.worksheet+xml"/>
  <Override PartName="/xl/drawings/drawing12.xml" ContentType="application/vnd.openxmlformats-officedocument.drawingml.chartshapes+xml"/>
  <Override PartName="/xl/charts/chart44.xml" ContentType="application/vnd.openxmlformats-officedocument.drawingml.chart+xml"/>
  <Override PartName="/xl/drawings/drawing130.xml" ContentType="application/vnd.openxmlformats-officedocument.drawing+xml"/>
  <Override PartName="/xl/charts/chart91.xml" ContentType="application/vnd.openxmlformats-officedocument.drawingml.chart+xml"/>
  <Override PartName="/xl/charts/chart104.xml" ContentType="application/vnd.openxmlformats-officedocument.drawingml.chart+xml"/>
  <Override PartName="/xl/worksheets/sheet57.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70.xml" ContentType="application/vnd.openxmlformats-officedocument.spreadsheetml.worksheet+xml"/>
  <Override PartName="/xl/charts/chart33.xml" ContentType="application/vnd.openxmlformats-officedocument.drawingml.chart+xml"/>
  <Override PartName="/xl/charts/chart80.xml" ContentType="application/vnd.openxmlformats-officedocument.drawingml.chart+xml"/>
  <Override PartName="/xl/worksheets/sheet46.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charts/chart11.xml" ContentType="application/vnd.openxmlformats-officedocument.drawingml.chart+xml"/>
  <Override PartName="/xl/charts/chart22.xml" ContentType="application/vnd.openxmlformats-officedocument.drawingml.chart+xml"/>
  <Override PartName="/xl/worksheets/sheet24.xml" ContentType="application/vnd.openxmlformats-officedocument.spreadsheetml.worksheet+xml"/>
  <Override PartName="/xl/worksheets/sheet71.xml" ContentType="application/vnd.openxmlformats-officedocument.spreadsheetml.worksheet+xml"/>
  <Override PartName="/xl/drawings/drawing97.xml" ContentType="application/vnd.openxmlformats-officedocument.drawing+xml"/>
  <Override PartName="/xl/drawings/drawing179.xml" ContentType="application/vnd.openxmlformats-officedocument.drawingml.chartshapes+xml"/>
  <Override PartName="/xl/drawings/drawing157.xml" ContentType="application/vnd.openxmlformats-officedocument.drawingml.chartshapes+xml"/>
  <Override PartName="/xl/chartsheets/sheet13.xml" ContentType="application/vnd.openxmlformats-officedocument.spreadsheetml.chartsheet+xml"/>
  <Override PartName="/xl/worksheets/sheet139.xml" ContentType="application/vnd.openxmlformats-officedocument.spreadsheetml.worksheet+xml"/>
  <Override PartName="/xl/drawings/drawing28.xml" ContentType="application/vnd.openxmlformats-officedocument.drawingml.chartshapes+xml"/>
  <Override PartName="/xl/drawings/drawing75.xml" ContentType="application/vnd.openxmlformats-officedocument.drawingml.chartshapes+xml"/>
  <Override PartName="/xl/charts/chart109.xml" ContentType="application/vnd.openxmlformats-officedocument.drawingml.chart+xml"/>
  <Override PartName="/xl/externalLinks/externalLink5.xml" ContentType="application/vnd.openxmlformats-officedocument.spreadsheetml.externalLink+xml"/>
  <Override PartName="/xl/drawings/drawing2.xml" ContentType="application/vnd.openxmlformats-officedocument.drawingml.chartshapes+xml"/>
  <Override PartName="/xl/drawings/drawing53.xml" ContentType="application/vnd.openxmlformats-officedocument.drawingml.chartshapes+xml"/>
  <Override PartName="/xl/charts/chart49.xml" ContentType="application/vnd.openxmlformats-officedocument.drawingml.chart+xml"/>
  <Override PartName="/xl/drawings/drawing135.xml" ContentType="application/vnd.openxmlformats-officedocument.drawingml.chartshapes+xml"/>
  <Override PartName="/xl/charts/chart96.xml" ContentType="application/vnd.openxmlformats-officedocument.drawingml.chart+xml"/>
  <Override PartName="/xl/drawings/drawing182.xml" ContentType="application/vnd.openxmlformats-officedocument.drawingml.chartshapes+xml"/>
  <Override PartName="/xl/worksheets/sheet3.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charts/chart27.xml" ContentType="application/vnd.openxmlformats-officedocument.drawingml.chart+xml"/>
  <Override PartName="/xl/drawings/drawing113.xml" ContentType="application/vnd.openxmlformats-officedocument.drawingml.chartshapes+xml"/>
  <Override PartName="/xl/charts/chart74.xml" ContentType="application/vnd.openxmlformats-officedocument.drawingml.chart+xml"/>
  <Override PartName="/xl/drawings/drawing160.xml" ContentType="application/vnd.openxmlformats-officedocument.drawing+xml"/>
  <Override PartName="/xl/worksheets/sheet87.xml" ContentType="application/vnd.openxmlformats-officedocument.spreadsheetml.worksheet+xml"/>
  <Override PartName="/xl/drawings/drawing31.xml" ContentType="application/vnd.openxmlformats-officedocument.drawing+xml"/>
  <Override PartName="/xl/charts/chart112.xml" ContentType="application/vnd.openxmlformats-officedocument.drawingml.chart+xml"/>
  <Override PartName="/xl/worksheets/sheet142.xml" ContentType="application/vnd.openxmlformats-officedocument.spreadsheetml.worksheet+xml"/>
  <Override PartName="/xl/charts/chart52.xml" ContentType="application/vnd.openxmlformats-officedocument.drawingml.chart+xml"/>
  <Override PartName="/xl/worksheets/sheet18.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chartsheets/sheet29.xml" ContentType="application/vnd.openxmlformats-officedocument.spreadsheetml.chartsheet+xml"/>
  <Override PartName="/xl/charts/chart9.xml" ContentType="application/vnd.openxmlformats-officedocument.drawingml.chart+xml"/>
  <Override PartName="/xl/charts/chart30.xml" ContentType="application/vnd.openxmlformats-officedocument.drawingml.chart+xml"/>
  <Override PartName="/xl/worksheets/sheet43.xml" ContentType="application/vnd.openxmlformats-officedocument.spreadsheetml.worksheet+xml"/>
  <Override PartName="/xl/worksheets/sheet90.xml" ContentType="application/vnd.openxmlformats-officedocument.spreadsheetml.worksheet+xml"/>
  <Override PartName="/xl/drawings/drawing69.xml" ContentType="application/vnd.openxmlformats-officedocument.drawingml.chartshapes+xml"/>
  <Override PartName="/xl/drawings/drawing129.xml" ContentType="application/vnd.openxmlformats-officedocument.drawing+xml"/>
  <Override PartName="/xl/drawings/drawing176.xml" ContentType="application/vnd.openxmlformats-officedocument.drawing+xml"/>
  <Override PartName="/xl/worksheets/sheet21.xml" ContentType="application/vnd.openxmlformats-officedocument.spreadsheetml.worksheet+xml"/>
  <Override PartName="/xl/worksheets/sheet158.xml" ContentType="application/vnd.openxmlformats-officedocument.spreadsheetml.worksheet+xml"/>
  <Override PartName="/xl/drawings/drawing47.xml" ContentType="application/vnd.openxmlformats-officedocument.drawing+xml"/>
  <Override PartName="/xl/drawings/drawing94.xml" ContentType="application/vnd.openxmlformats-officedocument.drawingml.chartshapes+xml"/>
  <Override PartName="/xl/charts/chart128.xml" ContentType="application/vnd.openxmlformats-officedocument.drawingml.chart+xml"/>
  <Override PartName="/xl/chartsheets/sheet9.xml" ContentType="application/vnd.openxmlformats-officedocument.spreadsheetml.chartsheet+xml"/>
  <Override PartName="/xl/drawings/drawing25.xml" ContentType="application/vnd.openxmlformats-officedocument.drawing+xml"/>
  <Override PartName="/xl/drawings/drawing72.xml" ContentType="application/vnd.openxmlformats-officedocument.drawing+xml"/>
  <Override PartName="/xl/drawings/drawing107.xml" ContentType="application/vnd.openxmlformats-officedocument.drawing+xml"/>
  <Override PartName="/xl/charts/chart68.xml" ContentType="application/vnd.openxmlformats-officedocument.drawingml.chart+xml"/>
  <Override PartName="/xl/drawings/drawing154.xml" ContentType="application/vnd.openxmlformats-officedocument.drawing+xml"/>
  <Override PartName="/docProps/app.xml" ContentType="application/vnd.openxmlformats-officedocument.extended-properties+xml"/>
  <Override PartName="/xl/chartsheets/sheet10.xml" ContentType="application/vnd.openxmlformats-officedocument.spreadsheetml.chartsheet+xml"/>
  <Override PartName="/xl/worksheets/sheet136.xml" ContentType="application/vnd.openxmlformats-officedocument.spreadsheetml.worksheet+xml"/>
  <Override PartName="/xl/worksheets/sheet183.xml" ContentType="application/vnd.openxmlformats-officedocument.spreadsheetml.worksheet+xml"/>
  <Override PartName="/xl/externalLinks/externalLink2.xml" ContentType="application/vnd.openxmlformats-officedocument.spreadsheetml.externalLink+xml"/>
  <Override PartName="/xl/charts/chart46.xml" ContentType="application/vnd.openxmlformats-officedocument.drawingml.chart+xml"/>
  <Override PartName="/xl/drawings/drawing132.xml" ContentType="application/vnd.openxmlformats-officedocument.drawing+xml"/>
  <Override PartName="/xl/charts/chart93.xml" ContentType="application/vnd.openxmlformats-officedocument.drawingml.chart+xml"/>
  <Override PartName="/xl/charts/chart106.xml" ContentType="application/vnd.openxmlformats-officedocument.drawingml.chart+xml"/>
  <Override PartName="/xl/worksheets/sheet59.xml" ContentType="application/vnd.openxmlformats-officedocument.spreadsheetml.worksheet+xml"/>
  <Override PartName="/xl/worksheets/sheet114.xml" ContentType="application/vnd.openxmlformats-officedocument.spreadsheetml.worksheet+xml"/>
  <Override PartName="/xl/worksheets/sheet161.xml" ContentType="application/vnd.openxmlformats-officedocument.spreadsheetml.worksheet+xml"/>
  <Override PartName="/xl/drawings/drawing50.xml" ContentType="application/vnd.openxmlformats-officedocument.drawingml.chartshapes+xml"/>
  <Override PartName="/xl/charts/chart24.xml" ContentType="application/vnd.openxmlformats-officedocument.drawingml.chart+xml"/>
  <Override PartName="/xl/drawings/drawing110.xml" ContentType="application/vnd.openxmlformats-officedocument.drawingml.chartshapes+xml"/>
  <Override PartName="/xl/charts/chart71.xml" ContentType="application/vnd.openxmlformats-officedocument.drawingml.chart+xml"/>
  <Override PartName="/xl/worksheets/sheet37.xml" ContentType="application/vnd.openxmlformats-officedocument.spreadsheetml.worksheet+xml"/>
  <Override PartName="/xl/worksheets/sheet84.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chartsheets/sheet26.xml" ContentType="application/vnd.openxmlformats-officedocument.spreadsheetml.chartsheet+xml"/>
  <Override PartName="/xl/charts/chart6.xml" ContentType="application/vnd.openxmlformats-officedocument.drawingml.chart+xml"/>
  <Override PartName="/xl/drawings/drawing88.xml" ContentType="application/vnd.openxmlformats-officedocument.drawingml.chartshapes+xml"/>
  <Override PartName="/xl/drawings/drawing19.xml" ContentType="application/vnd.openxmlformats-officedocument.drawing+xml"/>
  <Override PartName="/xl/drawings/drawing66.xml" ContentType="application/vnd.openxmlformats-officedocument.drawing+xml"/>
  <Override PartName="/xl/drawings/drawing148.xml" ContentType="application/vnd.openxmlformats-officedocument.drawing+xml"/>
  <Override PartName="/xl/worksheets/sheet40.xml" ContentType="application/vnd.openxmlformats-officedocument.spreadsheetml.worksheet+xml"/>
  <Override PartName="/xl/worksheets/sheet177.xml" ContentType="application/vnd.openxmlformats-officedocument.spreadsheetml.worksheet+xml"/>
  <Override PartName="/xl/drawings/drawing44.xml" ContentType="application/vnd.openxmlformats-officedocument.drawingml.chartshapes+xml"/>
  <Override PartName="/xl/drawings/drawing91.xml" ContentType="application/vnd.openxmlformats-officedocument.drawing+xml"/>
  <Override PartName="/xl/drawings/drawing126.xml" ContentType="application/vnd.openxmlformats-officedocument.drawingml.chartshapes+xml"/>
  <Override PartName="/xl/charts/chart87.xml" ContentType="application/vnd.openxmlformats-officedocument.drawingml.chart+xml"/>
  <Override PartName="/xl/drawings/drawing173.xml" ContentType="application/vnd.openxmlformats-officedocument.drawingml.chartshapes+xml"/>
  <Override PartName="/xl/chartsheets/sheet6.xml" ContentType="application/vnd.openxmlformats-officedocument.spreadsheetml.chartsheet+xml"/>
  <Override PartName="/xl/worksheets/sheet108.xml" ContentType="application/vnd.openxmlformats-officedocument.spreadsheetml.worksheet+xml"/>
  <Override PartName="/xl/worksheets/sheet155.xml" ContentType="application/vnd.openxmlformats-officedocument.spreadsheetml.worksheet+xml"/>
  <Override PartName="/xl/comments2.xml" ContentType="application/vnd.openxmlformats-officedocument.spreadsheetml.comments+xml"/>
  <Override PartName="/xl/drawings/drawing22.xml" ContentType="application/vnd.openxmlformats-officedocument.drawing+xml"/>
  <Override PartName="/xl/charts/chart18.xml" ContentType="application/vnd.openxmlformats-officedocument.drawingml.chart+xml"/>
  <Override PartName="/xl/drawings/drawing104.xml" ContentType="application/vnd.openxmlformats-officedocument.drawingml.chartshapes+xml"/>
  <Override PartName="/xl/charts/chart65.xml" ContentType="application/vnd.openxmlformats-officedocument.drawingml.chart+xml"/>
  <Override PartName="/xl/drawings/drawing151.xml" ContentType="application/vnd.openxmlformats-officedocument.drawingml.chartshapes+xml"/>
  <Override PartName="/xl/charts/chart125.xml" ContentType="application/vnd.openxmlformats-officedocument.drawingml.chart+xml"/>
  <Override PartName="/xl/worksheets/sheet78.xml" ContentType="application/vnd.openxmlformats-officedocument.spreadsheetml.worksheet+xml"/>
  <Override PartName="/xl/worksheets/sheet133.xml" ContentType="application/vnd.openxmlformats-officedocument.spreadsheetml.worksheet+xml"/>
  <Override PartName="/xl/worksheets/sheet180.xml" ContentType="application/vnd.openxmlformats-officedocument.spreadsheetml.worksheet+xml"/>
  <Override PartName="/xl/charts/chart103.xml" ContentType="application/vnd.openxmlformats-officedocument.drawingml.chart+xml"/>
  <Override PartName="/xl/charts/chart43.xml" ContentType="application/vnd.openxmlformats-officedocument.drawingml.chart+xml"/>
  <Override PartName="/xl/charts/chart90.xml" ContentType="application/vnd.openxmlformats-officedocument.drawingml.chart+xml"/>
  <Override PartName="/xl/worksheets/sheet56.xml" ContentType="application/vnd.openxmlformats-officedocument.spreadsheetml.worksheet+xml"/>
  <Override PartName="/xl/worksheets/sheet111.xml" ContentType="application/vnd.openxmlformats-officedocument.spreadsheetml.worksheet+xml"/>
  <Override PartName="/xl/charts/chart21.xml" ContentType="application/vnd.openxmlformats-officedocument.drawingml.chart+xml"/>
  <Override PartName="/xl/worksheets/sheet34.xml" ContentType="application/vnd.openxmlformats-officedocument.spreadsheetml.worksheet+xml"/>
  <Override PartName="/xl/worksheets/sheet81.xml" ContentType="application/vnd.openxmlformats-officedocument.spreadsheetml.worksheet+xml"/>
  <Override PartName="/xl/drawings/drawing9.xml" ContentType="application/vnd.openxmlformats-officedocument.drawing+xml"/>
  <Override PartName="/xl/drawings/drawing38.xml" ContentType="application/vnd.openxmlformats-officedocument.drawingml.chartshapes+xml"/>
  <Override PartName="/xl/drawings/drawing85.xml" ContentType="application/vnd.openxmlformats-officedocument.drawing+xml"/>
  <Override PartName="/xl/drawings/drawing167.xml" ContentType="application/vnd.openxmlformats-officedocument.drawing+xml"/>
  <Override PartName="/xl/worksheets/sheet12.xml" ContentType="application/vnd.openxmlformats-officedocument.spreadsheetml.worksheet+xml"/>
  <Override PartName="/xl/chartsheets/sheet23.xml" ContentType="application/vnd.openxmlformats-officedocument.spreadsheetml.chartsheet+xml"/>
  <Override PartName="/xl/worksheets/sheet149.xml" ContentType="application/vnd.openxmlformats-officedocument.spreadsheetml.worksheet+xml"/>
  <Override PartName="/xl/charts/chart3.xml" ContentType="application/vnd.openxmlformats-officedocument.drawingml.chart+xml"/>
  <Override PartName="/xl/charts/chart59.xml" ContentType="application/vnd.openxmlformats-officedocument.drawingml.chart+xml"/>
  <Override PartName="/xl/charts/chart119.xml" ContentType="application/vnd.openxmlformats-officedocument.drawingml.chart+xml"/>
  <Override PartName="/xl/drawings/drawing16.xml" ContentType="application/vnd.openxmlformats-officedocument.drawing+xml"/>
  <Override PartName="/xl/drawings/drawing63.xml" ContentType="application/vnd.openxmlformats-officedocument.drawingml.chartshapes+xml"/>
  <Override PartName="/xl/drawings/drawing14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320" yWindow="570" windowWidth="6360" windowHeight="7515" tabRatio="836"/>
  </bookViews>
  <sheets>
    <sheet name="list" sheetId="42" r:id="rId1"/>
    <sheet name="1" sheetId="58" r:id="rId2"/>
    <sheet name="2" sheetId="19" r:id="rId3"/>
    <sheet name="3" sheetId="22" r:id="rId4"/>
    <sheet name="4" sheetId="29" r:id="rId5"/>
    <sheet name="5" sheetId="33" r:id="rId6"/>
    <sheet name="6" sheetId="35" r:id="rId7"/>
    <sheet name="7" sheetId="36" r:id="rId8"/>
    <sheet name="8" sheetId="37" r:id="rId9"/>
    <sheet name="9" sheetId="38" r:id="rId10"/>
    <sheet name="10" sheetId="62" r:id="rId11"/>
    <sheet name="11" sheetId="40" r:id="rId12"/>
    <sheet name="12" sheetId="41" state="hidden" r:id="rId13"/>
    <sheet name="a1" sheetId="1" r:id="rId14"/>
    <sheet name="a2" sheetId="3" r:id="rId15"/>
    <sheet name="a3" sheetId="4" r:id="rId16"/>
    <sheet name="a4" sheetId="5" r:id="rId17"/>
    <sheet name="a5-1" sheetId="70" r:id="rId18"/>
    <sheet name="a5-2" sheetId="71" r:id="rId19"/>
    <sheet name="a5-3" sheetId="72" r:id="rId20"/>
    <sheet name="a5-4" sheetId="73" r:id="rId21"/>
    <sheet name="a5-5" sheetId="74" r:id="rId22"/>
    <sheet name="a5-6" sheetId="75" r:id="rId23"/>
    <sheet name="a5-7" sheetId="76" r:id="rId24"/>
    <sheet name="a5-8" sheetId="77" r:id="rId25"/>
    <sheet name="a5-9" sheetId="78" r:id="rId26"/>
    <sheet name="a5-10" sheetId="79" r:id="rId27"/>
    <sheet name="a5-11" sheetId="80" r:id="rId28"/>
    <sheet name="a5" sheetId="6" r:id="rId29"/>
    <sheet name="a6" sheetId="7" r:id="rId30"/>
    <sheet name="a7" sheetId="9" r:id="rId31"/>
    <sheet name="a8" sheetId="10" r:id="rId32"/>
    <sheet name="a9" sheetId="64" r:id="rId33"/>
    <sheet name="a10" sheetId="12" r:id="rId34"/>
    <sheet name="a11" sheetId="13" r:id="rId35"/>
    <sheet name="a12" sheetId="14" r:id="rId36"/>
    <sheet name="a12A" sheetId="11" state="hidden" r:id="rId37"/>
    <sheet name="new gdp" sheetId="60" state="hidden" r:id="rId38"/>
    <sheet name="a13" sheetId="15" r:id="rId39"/>
    <sheet name="a14a" sheetId="69" state="hidden" r:id="rId40"/>
    <sheet name="a14_old" sheetId="81" state="hidden" r:id="rId41"/>
    <sheet name="a14" sheetId="82" r:id="rId42"/>
    <sheet name="a15" sheetId="18" r:id="rId43"/>
    <sheet name="a16" sheetId="16" r:id="rId44"/>
    <sheet name="a17" sheetId="20" r:id="rId45"/>
    <sheet name="a18" sheetId="21" r:id="rId46"/>
    <sheet name="a19" sheetId="23" r:id="rId47"/>
    <sheet name="a20" sheetId="24" r:id="rId48"/>
    <sheet name="a20 (2)" sheetId="61" r:id="rId49"/>
    <sheet name="a21" sheetId="26" r:id="rId50"/>
    <sheet name="a22" sheetId="27" r:id="rId51"/>
    <sheet name="a23" sheetId="28" r:id="rId52"/>
    <sheet name="a24" sheetId="30" r:id="rId53"/>
    <sheet name="a25" sheetId="31" r:id="rId54"/>
    <sheet name="a26" sheetId="32" r:id="rId55"/>
    <sheet name="a27" sheetId="34" r:id="rId56"/>
    <sheet name="a28" sheetId="25" r:id="rId57"/>
    <sheet name="a29" sheetId="2" r:id="rId58"/>
    <sheet name="a30" sheetId="189" r:id="rId59"/>
    <sheet name="a30-1" sheetId="188" r:id="rId60"/>
    <sheet name="a31" sheetId="192" r:id="rId61"/>
    <sheet name="a32" sheetId="191" r:id="rId62"/>
    <sheet name="a33" sheetId="193" r:id="rId63"/>
    <sheet name="C1" sheetId="117" r:id="rId64"/>
    <sheet name="C2" sheetId="118" r:id="rId65"/>
    <sheet name="C3" sheetId="85" r:id="rId66"/>
    <sheet name="C4" sheetId="119" r:id="rId67"/>
    <sheet name="C5" sheetId="121" r:id="rId68"/>
    <sheet name="C6" sheetId="120" r:id="rId69"/>
    <sheet name="C7" sheetId="122" r:id="rId70"/>
    <sheet name="Chart8" sheetId="49" state="hidden" r:id="rId71"/>
    <sheet name="Chart9" sheetId="50" state="hidden" r:id="rId72"/>
    <sheet name="Chart10" sheetId="51" state="hidden" r:id="rId73"/>
    <sheet name="Chart11" sheetId="52" state="hidden" r:id="rId74"/>
    <sheet name="Chart12" sheetId="53" state="hidden" r:id="rId75"/>
    <sheet name="Chart13" sheetId="54" state="hidden" r:id="rId76"/>
    <sheet name="Chart14" sheetId="55" state="hidden" r:id="rId77"/>
    <sheet name="Chart15" sheetId="56" state="hidden" r:id="rId78"/>
    <sheet name="C8" sheetId="124" r:id="rId79"/>
    <sheet name="C9" sheetId="123" r:id="rId80"/>
    <sheet name="C10" sheetId="125" r:id="rId81"/>
    <sheet name="C11" sheetId="126" r:id="rId82"/>
    <sheet name="C12" sheetId="127" r:id="rId83"/>
    <sheet name="C13" sheetId="128" r:id="rId84"/>
    <sheet name="C14" sheetId="135" r:id="rId85"/>
    <sheet name="C15" sheetId="134" r:id="rId86"/>
    <sheet name="C16" sheetId="133" r:id="rId87"/>
    <sheet name="C17" sheetId="132" r:id="rId88"/>
    <sheet name="C18" sheetId="136" r:id="rId89"/>
    <sheet name="C19" sheetId="130" r:id="rId90"/>
    <sheet name="C20" sheetId="129" r:id="rId91"/>
    <sheet name="C21" sheetId="159" r:id="rId92"/>
    <sheet name="C22" sheetId="161" r:id="rId93"/>
    <sheet name="C23" sheetId="160" r:id="rId94"/>
    <sheet name="C24" sheetId="158" r:id="rId95"/>
    <sheet name="C25" sheetId="157" r:id="rId96"/>
    <sheet name="C26" sheetId="164" r:id="rId97"/>
    <sheet name="C27" sheetId="166" r:id="rId98"/>
    <sheet name="C28" sheetId="165" r:id="rId99"/>
    <sheet name="C29" sheetId="163" r:id="rId100"/>
    <sheet name="C30" sheetId="162" r:id="rId101"/>
    <sheet name="C31" sheetId="168" r:id="rId102"/>
    <sheet name="C32" sheetId="170" r:id="rId103"/>
    <sheet name="C33" sheetId="171" r:id="rId104"/>
    <sheet name="C34" sheetId="169" r:id="rId105"/>
    <sheet name="C35" sheetId="176" r:id="rId106"/>
    <sheet name="C36" sheetId="167" r:id="rId107"/>
    <sheet name="C37" sheetId="175" r:id="rId108"/>
    <sheet name="C38" sheetId="174" r:id="rId109"/>
    <sheet name="C39" sheetId="173" r:id="rId110"/>
    <sheet name="C40" sheetId="172" r:id="rId111"/>
    <sheet name="C41" sheetId="181" r:id="rId112"/>
    <sheet name="C42" sheetId="180" r:id="rId113"/>
    <sheet name="C43" sheetId="179" r:id="rId114"/>
    <sheet name="C44" sheetId="177" r:id="rId115"/>
    <sheet name="C45" sheetId="178" r:id="rId116"/>
    <sheet name="C46" sheetId="186" r:id="rId117"/>
    <sheet name="C47" sheetId="185" r:id="rId118"/>
    <sheet name="C48" sheetId="184" r:id="rId119"/>
    <sheet name="C49" sheetId="183" r:id="rId120"/>
    <sheet name="C50" sheetId="182" r:id="rId121"/>
    <sheet name="C51" sheetId="190" r:id="rId122"/>
    <sheet name="C52" sheetId="196" r:id="rId123"/>
    <sheet name="C53" sheetId="197" r:id="rId124"/>
    <sheet name="Ex. 3" sheetId="195" r:id="rId125"/>
    <sheet name="Ex. 5" sheetId="194" r:id="rId126"/>
    <sheet name="ComponentsCharts" sheetId="97" state="hidden" r:id="rId127"/>
    <sheet name="Chart2" sheetId="43" state="hidden" r:id="rId128"/>
    <sheet name="Chart3" sheetId="44" state="hidden" r:id="rId129"/>
    <sheet name="Chart4" sheetId="45" state="hidden" r:id="rId130"/>
    <sheet name="Chart5" sheetId="46" state="hidden" r:id="rId131"/>
    <sheet name="Chart6" sheetId="47" state="hidden" r:id="rId132"/>
    <sheet name="Chart7" sheetId="48" state="hidden" r:id="rId133"/>
    <sheet name="Chart16" sheetId="57" state="hidden" r:id="rId134"/>
    <sheet name="Chart3 (2)" sheetId="86" state="hidden" r:id="rId135"/>
    <sheet name="C4C5C6C7" sheetId="87" state="hidden" r:id="rId136"/>
    <sheet name="C9-b" sheetId="89" state="hidden" r:id="rId137"/>
    <sheet name="C10a" sheetId="90" state="hidden" r:id="rId138"/>
    <sheet name="C11a" sheetId="91" state="hidden" r:id="rId139"/>
    <sheet name="C14-a" sheetId="92" state="hidden" r:id="rId140"/>
    <sheet name="C19-a" sheetId="94" state="hidden" r:id="rId141"/>
    <sheet name="C16a" sheetId="95" state="hidden" r:id="rId142"/>
    <sheet name="new charts" sheetId="96" state="hidden" r:id="rId143"/>
    <sheet name="C1a" sheetId="98" state="hidden" r:id="rId144"/>
    <sheet name="Chart3 (3)" sheetId="99" state="hidden" r:id="rId145"/>
    <sheet name="Chart4 (2)" sheetId="100" state="hidden" r:id="rId146"/>
    <sheet name="Chart5 (2)" sheetId="101" state="hidden" r:id="rId147"/>
    <sheet name="Chart6 (2)" sheetId="102" state="hidden" r:id="rId148"/>
    <sheet name="Chart7 (2)" sheetId="103" state="hidden" r:id="rId149"/>
    <sheet name="Chart8 (2)" sheetId="104" state="hidden" r:id="rId150"/>
    <sheet name="Chart9 (2)" sheetId="105" state="hidden" r:id="rId151"/>
    <sheet name="Chart10 (2)" sheetId="106" state="hidden" r:id="rId152"/>
    <sheet name="Chart11 (2)" sheetId="107" state="hidden" r:id="rId153"/>
    <sheet name="Chart12 (2)" sheetId="108" state="hidden" r:id="rId154"/>
    <sheet name="Chart13 (2)" sheetId="109" state="hidden" r:id="rId155"/>
    <sheet name="Chart14 (2)" sheetId="110" state="hidden" r:id="rId156"/>
    <sheet name="Chart15 (2)" sheetId="111" state="hidden" r:id="rId157"/>
    <sheet name="Chart16 (2)" sheetId="112" state="hidden" r:id="rId158"/>
    <sheet name="Sheet1" sheetId="113" state="hidden" r:id="rId159"/>
    <sheet name="C32a" sheetId="115" state="hidden" r:id="rId160"/>
    <sheet name="C51a" sheetId="116" state="hidden" r:id="rId161"/>
    <sheet name="Tot" sheetId="147" state="hidden" r:id="rId162"/>
    <sheet name="Con" sheetId="148" state="hidden" r:id="rId163"/>
    <sheet name="Wea" sheetId="149" state="hidden" r:id="rId164"/>
    <sheet name="Equ" sheetId="150" state="hidden" r:id="rId165"/>
    <sheet name="Sec" sheetId="151" state="hidden" r:id="rId166"/>
    <sheet name="TotG" sheetId="152" state="hidden" r:id="rId167"/>
    <sheet name="ConG" sheetId="153" state="hidden" r:id="rId168"/>
    <sheet name="WeaG" sheetId="154" state="hidden" r:id="rId169"/>
    <sheet name="EquG" sheetId="155" state="hidden" r:id="rId170"/>
    <sheet name="SecG" sheetId="156" state="hidden" r:id="rId171"/>
    <sheet name="Tab1" sheetId="202" r:id="rId172"/>
    <sheet name="Tab2" sheetId="206" r:id="rId173"/>
    <sheet name="Tab3" sheetId="205" r:id="rId174"/>
    <sheet name="Tab3a" sheetId="207" r:id="rId175"/>
    <sheet name="Tab4" sheetId="204" r:id="rId176"/>
    <sheet name="Tab4a" sheetId="209" r:id="rId177"/>
    <sheet name="Tab5" sheetId="203" r:id="rId178"/>
    <sheet name="Tab6" sheetId="201" r:id="rId179"/>
    <sheet name="Tab7" sheetId="200" r:id="rId180"/>
    <sheet name="TabList" sheetId="244" r:id="rId181"/>
    <sheet name="TabA1" sheetId="212" r:id="rId182"/>
    <sheet name="TabA2" sheetId="211" r:id="rId183"/>
    <sheet name="TabA3" sheetId="213" r:id="rId184"/>
    <sheet name="TabA4" sheetId="214" r:id="rId185"/>
    <sheet name="TabA5" sheetId="215" r:id="rId186"/>
    <sheet name="TabA6" sheetId="216" r:id="rId187"/>
    <sheet name="TabA7" sheetId="217" r:id="rId188"/>
    <sheet name="TabA8" sheetId="218" r:id="rId189"/>
    <sheet name="TabA9" sheetId="219" r:id="rId190"/>
    <sheet name="TabA10" sheetId="220" r:id="rId191"/>
    <sheet name="TabA11" sheetId="221" r:id="rId192"/>
    <sheet name="TabA12" sheetId="210" r:id="rId193"/>
    <sheet name="TabA12a" sheetId="227" r:id="rId194"/>
    <sheet name="TabA13" sheetId="229" r:id="rId195"/>
    <sheet name="TabA14" sheetId="230" r:id="rId196"/>
    <sheet name="TabA15" sheetId="231" r:id="rId197"/>
    <sheet name="TabA16" sheetId="232" r:id="rId198"/>
    <sheet name="TabA17" sheetId="222" r:id="rId199"/>
    <sheet name="TabA18" sheetId="223" r:id="rId200"/>
    <sheet name="TabA19" sheetId="224" r:id="rId201"/>
    <sheet name="TabA20" sheetId="225" r:id="rId202"/>
    <sheet name="TabA21" sheetId="226" r:id="rId203"/>
    <sheet name="TabA22" sheetId="228" r:id="rId204"/>
    <sheet name="TabA23" sheetId="233" r:id="rId205"/>
    <sheet name="TabA24" sheetId="234" r:id="rId206"/>
    <sheet name="TabA25" sheetId="235" r:id="rId207"/>
    <sheet name="TabA26" sheetId="236" r:id="rId208"/>
    <sheet name="TabA27" sheetId="237" r:id="rId209"/>
    <sheet name="TabA28" sheetId="238" r:id="rId210"/>
    <sheet name="TabA29" sheetId="239" r:id="rId211"/>
    <sheet name="TabA30" sheetId="240" r:id="rId212"/>
    <sheet name="TabA31" sheetId="241" r:id="rId213"/>
    <sheet name="TabA32" sheetId="242" r:id="rId214"/>
    <sheet name="TabA33" sheetId="243" r:id="rId215"/>
  </sheets>
  <externalReferences>
    <externalReference r:id="rId216"/>
    <externalReference r:id="rId217"/>
    <externalReference r:id="rId218"/>
    <externalReference r:id="rId219"/>
    <externalReference r:id="rId220"/>
  </externalReferences>
  <definedNames>
    <definedName name="_Ref242608138" localSheetId="63">'C1'!$A$1</definedName>
    <definedName name="_Ref242608272" localSheetId="65">'C3'!$A$10</definedName>
    <definedName name="_Ref242608412" localSheetId="67">'C5'!$A$1</definedName>
    <definedName name="_Ref242608645" localSheetId="78">'C8'!$A$1</definedName>
    <definedName name="_Ref242608706" localSheetId="79">'C9'!$A$1</definedName>
    <definedName name="_Ref242608924" localSheetId="83">'C13'!$A$1</definedName>
    <definedName name="_Ref242609031" localSheetId="86">'C16'!$A$1</definedName>
    <definedName name="_Ref242609211" localSheetId="89">'C19'!$A$1</definedName>
    <definedName name="_Ref242610088" localSheetId="107">'C37'!$A$1</definedName>
    <definedName name="_Ref242610303" localSheetId="113">'C43'!$A$1</definedName>
    <definedName name="_Ref242610479" localSheetId="117">'C47'!$A$1</definedName>
    <definedName name="_Ref242679742" localSheetId="121">'C51'!$A$1</definedName>
    <definedName name="_Ref243363292" localSheetId="109">'C39'!$A$1</definedName>
    <definedName name="_Ref244337562" localSheetId="115">'C45'!$A$1</definedName>
    <definedName name="_Ref244944764" localSheetId="104">'C34'!$A$1</definedName>
    <definedName name="_Ref246394583" localSheetId="64">'C2'!$A$1</definedName>
    <definedName name="_Ref246395696" localSheetId="66">'C4'!$A$1</definedName>
    <definedName name="_Ref246407757" localSheetId="68">'C6'!$A$1</definedName>
    <definedName name="_Ref246741089" localSheetId="80">'C10'!$A$1</definedName>
    <definedName name="_Ref246751829" localSheetId="81">'C11'!$A$1</definedName>
    <definedName name="_Ref246753705" localSheetId="85">'C15'!$A$1</definedName>
    <definedName name="_Ref246756218" localSheetId="88">'C18'!$A$1</definedName>
    <definedName name="_Ref246759564" localSheetId="90">'C20'!$A$1</definedName>
    <definedName name="_Ref246829423" localSheetId="106">'C36'!$A$1</definedName>
    <definedName name="_Ref246834032" localSheetId="112">'C42'!$A$1</definedName>
    <definedName name="_Ref246834483" localSheetId="103">'C33'!$A$1</definedName>
    <definedName name="_Ref246835332" localSheetId="114">'C44'!$A$1</definedName>
    <definedName name="_Ref246836803" localSheetId="118">'C48'!$A$1</definedName>
    <definedName name="_Ref246837664" localSheetId="119">'C49'!$A$1</definedName>
    <definedName name="_Ref246841839" localSheetId="91">'C21'!$A$1</definedName>
    <definedName name="_Ref246841928" localSheetId="92">'C22'!$A$1</definedName>
    <definedName name="_Ref246910071" localSheetId="87">'C17'!$A$1</definedName>
    <definedName name="_Ref246918062" localSheetId="93">'C23'!$A$1</definedName>
    <definedName name="_Ref246926437" localSheetId="102">'C32'!$A$1</definedName>
    <definedName name="_Ref247013942" localSheetId="84">'C14'!$A$1</definedName>
    <definedName name="_Ref247014204" localSheetId="95">'C25'!$A$1</definedName>
    <definedName name="_Ref247014602" localSheetId="101">'C31'!$A$1</definedName>
    <definedName name="_Ref247014850" localSheetId="120">'C50'!$A$1</definedName>
    <definedName name="_Ref247017115" localSheetId="124">'Ex. 3'!$A$1</definedName>
    <definedName name="_Ref247020476" localSheetId="94">'C24'!$A$1</definedName>
    <definedName name="_Ref247021677" localSheetId="125">'Ex. 5'!$A$1</definedName>
    <definedName name="_Ref247369452" localSheetId="96">'C26'!$A$1</definedName>
    <definedName name="_Ref247372992" localSheetId="108">'C38'!$A$1</definedName>
    <definedName name="_Ref247373686" localSheetId="110">'C40'!$A$1</definedName>
    <definedName name="_Ref247374159" localSheetId="111">'C41'!$A$1</definedName>
    <definedName name="_Ref247375217" localSheetId="116">'C46'!$A$1</definedName>
    <definedName name="_Ref247464082" localSheetId="69">'C7'!$A$1</definedName>
    <definedName name="_Ref247464212" localSheetId="97">'C27'!$A$1</definedName>
    <definedName name="_Ref247464250" localSheetId="98">'C28'!$A$1</definedName>
    <definedName name="_xlnm.Print_Area" localSheetId="1">'1'!$A$1:$DG$55</definedName>
    <definedName name="_xlnm.Print_Area" localSheetId="10">'10'!$A$1:$CU$52</definedName>
    <definedName name="_xlnm.Print_Area" localSheetId="11">'11'!$A$1:$BT$48</definedName>
    <definedName name="_xlnm.Print_Area" localSheetId="12">'12'!$A$1:$L$51</definedName>
    <definedName name="_xlnm.Print_Area" localSheetId="2">'2'!$A$1:$DG$55</definedName>
    <definedName name="_xlnm.Print_Area" localSheetId="3" xml:space="preserve">                                                                                             '3'!$A$1:$AH$52</definedName>
    <definedName name="_xlnm.Print_Area" localSheetId="4" xml:space="preserve"> '4'!$A$1:$BZ$55</definedName>
    <definedName name="_xlnm.Print_Area" localSheetId="5">'5'!$A$1:$W$52</definedName>
    <definedName name="_xlnm.Print_Area" localSheetId="6">'6'!$A$1:$BD$53</definedName>
    <definedName name="_xlnm.Print_Area" localSheetId="7">'7'!$A$1:$AS$56</definedName>
    <definedName name="_xlnm.Print_Area" localSheetId="8">'8'!$A$1:$BJ$51</definedName>
    <definedName name="_xlnm.Print_Area" localSheetId="9">'9'!$A$1:$CK$52</definedName>
    <definedName name="_xlnm.Print_Area" localSheetId="13">'a1'!$A$1:$BP$55</definedName>
    <definedName name="_xlnm.Print_Area" localSheetId="33" xml:space="preserve"> 'a10'!$A$1:$L$50</definedName>
    <definedName name="_xlnm.Print_Area" localSheetId="34">'a11'!$A$1:$BQ$59</definedName>
    <definedName name="_xlnm.Print_Area" localSheetId="35">'a12'!$A$1:$W$55</definedName>
    <definedName name="_xlnm.Print_Area" localSheetId="38">'a13'!$A$1:$AU$92</definedName>
    <definedName name="_xlnm.Print_Area" localSheetId="41">'a14'!$A$1:$J$69</definedName>
    <definedName name="_xlnm.Print_Area" localSheetId="40">a14_old!$A$1:$J$64</definedName>
    <definedName name="_xlnm.Print_Area" localSheetId="39">a14a!$A$1:$J$64</definedName>
    <definedName name="_xlnm.Print_Area" localSheetId="43">'a16'!$A$1:$AR$54</definedName>
    <definedName name="_xlnm.Print_Area" localSheetId="44">'a17'!$A$1:$W$51</definedName>
    <definedName name="_xlnm.Print_Area" localSheetId="45" xml:space="preserve">                                                                       'a18'!$A$1:$AS$55</definedName>
    <definedName name="_xlnm.Print_Area" localSheetId="46">'a19'!$A$1:$AN$54</definedName>
    <definedName name="_xlnm.Print_Area" localSheetId="14">'a2'!$A$1:$AS$55</definedName>
    <definedName name="_xlnm.Print_Area" localSheetId="47">'a20'!$A$1:$L$50</definedName>
    <definedName name="_xlnm.Print_Area" localSheetId="48">'a20 (2)'!$A$1:$L$49</definedName>
    <definedName name="_xlnm.Print_Area" localSheetId="49">'a21'!$A$1:$L$49</definedName>
    <definedName name="_xlnm.Print_Area" localSheetId="50">'a22'!$A$1:$L$50</definedName>
    <definedName name="_xlnm.Print_Area" localSheetId="52">'a24'!$A$1:$M$50</definedName>
    <definedName name="_xlnm.Print_Area" localSheetId="53" xml:space="preserve">                                                                                                                   'a25'!$A$1:$L$57</definedName>
    <definedName name="_xlnm.Print_Area" localSheetId="54" xml:space="preserve"> 'a26'!$A$1:$L$47</definedName>
    <definedName name="_xlnm.Print_Area" localSheetId="55" xml:space="preserve">  'a27'!$A$1:$CA$57</definedName>
    <definedName name="_xlnm.Print_Area" localSheetId="56">'a28'!$A$1:$AS$51</definedName>
    <definedName name="_xlnm.Print_Area" localSheetId="57">'a29'!$A$1:$CV$56</definedName>
    <definedName name="_xlnm.Print_Area" localSheetId="15">'a3'!$A$1:$L$51</definedName>
    <definedName name="_xlnm.Print_Area" localSheetId="28">'a5'!$A$1:$W$53</definedName>
    <definedName name="_xlnm.Print_Area" localSheetId="17">'a5-1'!$A$1:$K$58</definedName>
    <definedName name="_xlnm.Print_Area" localSheetId="26">'a5-10'!$A$1:$L$56</definedName>
    <definedName name="_xlnm.Print_Area" localSheetId="27">'a5-11'!$A$1:$L$56</definedName>
    <definedName name="_xlnm.Print_Area" localSheetId="18">'a5-2'!$A$1:$L$56</definedName>
    <definedName name="_xlnm.Print_Area" localSheetId="19">'a5-3'!$A$1:$L$56</definedName>
    <definedName name="_xlnm.Print_Area" localSheetId="20">'a5-4'!$A$1:$L$56</definedName>
    <definedName name="_xlnm.Print_Area" localSheetId="21">'a5-5'!$A$1:$L$56</definedName>
    <definedName name="_xlnm.Print_Area" localSheetId="22">'a5-6'!$A$1:$L$56</definedName>
    <definedName name="_xlnm.Print_Area" localSheetId="23">'a5-7'!$A$1:$L$56</definedName>
    <definedName name="_xlnm.Print_Area" localSheetId="24">'a5-8'!$A$1:$L$56</definedName>
    <definedName name="_xlnm.Print_Area" localSheetId="25">'a5-9'!$A$1:$L$56</definedName>
    <definedName name="_xlnm.Print_Area" localSheetId="29" xml:space="preserve">                                                                                              'a6'!$A$1:$BZ$59</definedName>
    <definedName name="_xlnm.Print_Area" localSheetId="30">'a7'!$A$1:$AN$56</definedName>
    <definedName name="_xlnm.Print_Area" localSheetId="31">'a8'!$A$1:$BO$57</definedName>
    <definedName name="_xlnm.Print_Area" localSheetId="32">'a9'!$A$1:$AS$54</definedName>
    <definedName name="_xlnm.Print_Area" localSheetId="162">Con!$A$1:$K$37</definedName>
    <definedName name="_xlnm.Print_Area" localSheetId="164">Equ!$A$1:$I$38</definedName>
    <definedName name="_xlnm.Print_Area" localSheetId="125">'Ex. 5'!$A$1:$E$29</definedName>
    <definedName name="_xlnm.Print_Area" localSheetId="0">list!$A$1:$I$51</definedName>
    <definedName name="_xlnm.Print_Area" localSheetId="142">'new charts'!$A$1:$S$150</definedName>
    <definedName name="_xlnm.Print_Area" localSheetId="165">Sec!$A$1:$U$37</definedName>
    <definedName name="_xlnm.Print_Area" localSheetId="161">Tot!$A$1:$I$37</definedName>
    <definedName name="_xlnm.Print_Area" localSheetId="166">TotG!$A$1:$I$19</definedName>
    <definedName name="_xlnm.Print_Area" localSheetId="163">Wea!$A$1:$N$52</definedName>
    <definedName name="_xlnm.Print_Titles" localSheetId="1">'1'!$A:$A</definedName>
    <definedName name="_xlnm.Print_Titles" localSheetId="10">'10'!$A:$A</definedName>
    <definedName name="_xlnm.Print_Titles" localSheetId="11">'11'!$A:$A</definedName>
    <definedName name="_xlnm.Print_Titles" localSheetId="12">'12'!$1:$2</definedName>
    <definedName name="_xlnm.Print_Titles" localSheetId="2">'2'!$A:$A</definedName>
    <definedName name="_xlnm.Print_Titles" localSheetId="3">'3'!$A:$A</definedName>
    <definedName name="_xlnm.Print_Titles" localSheetId="4">'4'!$A:$A</definedName>
    <definedName name="_xlnm.Print_Titles" localSheetId="5">'5'!$A:$A</definedName>
    <definedName name="_xlnm.Print_Titles" localSheetId="6">'6'!$A:$A</definedName>
    <definedName name="_xlnm.Print_Titles" localSheetId="7">'7'!$A:$A</definedName>
    <definedName name="_xlnm.Print_Titles" localSheetId="8">'8'!$A:$A</definedName>
    <definedName name="_xlnm.Print_Titles" localSheetId="9">'9'!$A:$A</definedName>
    <definedName name="_xlnm.Print_Titles" localSheetId="13">'a1'!$A:$A,'a1'!$1:$1</definedName>
    <definedName name="_xlnm.Print_Titles" localSheetId="34">'a11'!$A:$A</definedName>
    <definedName name="_xlnm.Print_Titles" localSheetId="38">'a13'!$A:$A</definedName>
    <definedName name="_xlnm.Print_Titles" localSheetId="42">'a15'!$A:$A</definedName>
    <definedName name="_xlnm.Print_Titles" localSheetId="43">'a16'!$A:$A</definedName>
    <definedName name="_xlnm.Print_Titles" localSheetId="44">'a17'!$A:$A</definedName>
    <definedName name="_xlnm.Print_Titles" localSheetId="45">'a18'!$A:$A</definedName>
    <definedName name="_xlnm.Print_Titles" localSheetId="46">'a19'!$A:$A</definedName>
    <definedName name="_xlnm.Print_Titles" localSheetId="14">'a2'!$A:$A</definedName>
    <definedName name="_xlnm.Print_Titles" localSheetId="55">'a27'!$A:$A</definedName>
    <definedName name="_xlnm.Print_Titles" localSheetId="56">'a28'!$A:$A</definedName>
    <definedName name="_xlnm.Print_Titles" localSheetId="57">'a29'!$A:$A</definedName>
    <definedName name="_xlnm.Print_Titles" localSheetId="16">'a4'!$A:$A</definedName>
    <definedName name="_xlnm.Print_Titles" localSheetId="28">'a5'!$A:$A</definedName>
    <definedName name="_xlnm.Print_Titles" localSheetId="29">'a6'!$A:$A</definedName>
    <definedName name="_xlnm.Print_Titles" localSheetId="30">'a7'!$A:$A</definedName>
    <definedName name="_xlnm.Print_Titles" localSheetId="31">'a8'!$A:$A</definedName>
  </definedNames>
  <calcPr calcId="125725"/>
</workbook>
</file>

<file path=xl/calcChain.xml><?xml version="1.0" encoding="utf-8"?>
<calcChain xmlns="http://schemas.openxmlformats.org/spreadsheetml/2006/main">
  <c r="A36" i="244"/>
  <c r="A35"/>
  <c r="A34"/>
  <c r="A33"/>
  <c r="A32"/>
  <c r="A31"/>
  <c r="A30"/>
  <c r="A29"/>
  <c r="A28"/>
  <c r="A27"/>
  <c r="A26"/>
  <c r="A25"/>
  <c r="A24"/>
  <c r="A23"/>
  <c r="A22"/>
  <c r="A21"/>
  <c r="A20"/>
  <c r="A19"/>
  <c r="A18"/>
  <c r="A16"/>
  <c r="A17"/>
  <c r="A15"/>
  <c r="A14"/>
  <c r="A13"/>
  <c r="A12"/>
  <c r="A11"/>
  <c r="A10"/>
  <c r="A8"/>
  <c r="A9"/>
  <c r="A7"/>
  <c r="A6"/>
  <c r="A5"/>
  <c r="A4"/>
  <c r="A3"/>
  <c r="R36" i="240"/>
  <c r="S36"/>
  <c r="T36"/>
  <c r="U36"/>
  <c r="V36"/>
  <c r="W36"/>
  <c r="X36"/>
  <c r="Y36"/>
  <c r="Z36"/>
  <c r="AA36"/>
  <c r="AB36"/>
  <c r="AC36"/>
  <c r="AD36"/>
  <c r="AE36"/>
  <c r="AF36"/>
  <c r="AH36"/>
  <c r="AI36"/>
  <c r="AJ36"/>
  <c r="AK36"/>
  <c r="AL36"/>
  <c r="AM36"/>
  <c r="AN36"/>
  <c r="AO36"/>
  <c r="AP36"/>
  <c r="AQ36"/>
  <c r="AR36"/>
  <c r="AS36"/>
  <c r="AT36"/>
  <c r="AU36"/>
  <c r="AV36"/>
  <c r="AX36"/>
  <c r="AY36"/>
  <c r="AZ36"/>
  <c r="BA36"/>
  <c r="BB36"/>
  <c r="BC36"/>
  <c r="BD36"/>
  <c r="BE36"/>
  <c r="BF36"/>
  <c r="BG36"/>
  <c r="R37"/>
  <c r="S37"/>
  <c r="T37"/>
  <c r="U37"/>
  <c r="V37"/>
  <c r="W37"/>
  <c r="X37"/>
  <c r="Y37"/>
  <c r="Z37"/>
  <c r="AA37"/>
  <c r="AB37"/>
  <c r="AC37"/>
  <c r="AD37"/>
  <c r="AE37"/>
  <c r="AF37"/>
  <c r="AH37"/>
  <c r="AI37"/>
  <c r="AJ37"/>
  <c r="AK37"/>
  <c r="AL37"/>
  <c r="AM37"/>
  <c r="AN37"/>
  <c r="AO37"/>
  <c r="AP37"/>
  <c r="AQ37"/>
  <c r="AR37"/>
  <c r="AS37"/>
  <c r="AT37"/>
  <c r="AU37"/>
  <c r="AV37"/>
  <c r="AX37"/>
  <c r="AY37"/>
  <c r="AZ37"/>
  <c r="BA37"/>
  <c r="BB37"/>
  <c r="BC37"/>
  <c r="BD37"/>
  <c r="BE37"/>
  <c r="BF37"/>
  <c r="BG37"/>
  <c r="R38"/>
  <c r="S38"/>
  <c r="T38"/>
  <c r="U38"/>
  <c r="V38"/>
  <c r="W38"/>
  <c r="X38"/>
  <c r="Y38"/>
  <c r="Z38"/>
  <c r="AA38"/>
  <c r="AB38"/>
  <c r="AC38"/>
  <c r="AD38"/>
  <c r="AE38"/>
  <c r="AF38"/>
  <c r="AH38"/>
  <c r="AI38"/>
  <c r="AJ38"/>
  <c r="AK38"/>
  <c r="AL38"/>
  <c r="AM38"/>
  <c r="AN38"/>
  <c r="AO38"/>
  <c r="AP38"/>
  <c r="AQ38"/>
  <c r="AR38"/>
  <c r="AS38"/>
  <c r="AT38"/>
  <c r="AU38"/>
  <c r="AV38"/>
  <c r="AX38"/>
  <c r="AY38"/>
  <c r="AZ38"/>
  <c r="BA38"/>
  <c r="BB38"/>
  <c r="BC38"/>
  <c r="BD38"/>
  <c r="BE38"/>
  <c r="BF38"/>
  <c r="BG38"/>
  <c r="R39"/>
  <c r="S39"/>
  <c r="T39"/>
  <c r="U39"/>
  <c r="V39"/>
  <c r="W39"/>
  <c r="X39"/>
  <c r="Y39"/>
  <c r="Z39"/>
  <c r="AA39"/>
  <c r="AB39"/>
  <c r="AC39"/>
  <c r="AD39"/>
  <c r="AE39"/>
  <c r="AF39"/>
  <c r="AH39"/>
  <c r="AI39"/>
  <c r="AJ39"/>
  <c r="AK39"/>
  <c r="AL39"/>
  <c r="AM39"/>
  <c r="AN39"/>
  <c r="AO39"/>
  <c r="AP39"/>
  <c r="AQ39"/>
  <c r="AR39"/>
  <c r="AS39"/>
  <c r="AT39"/>
  <c r="AU39"/>
  <c r="AV39"/>
  <c r="AX39"/>
  <c r="AY39"/>
  <c r="AZ39"/>
  <c r="BA39"/>
  <c r="BB39"/>
  <c r="BC39"/>
  <c r="BD39"/>
  <c r="BE39"/>
  <c r="BF39"/>
  <c r="BG39"/>
  <c r="R41"/>
  <c r="S41"/>
  <c r="T41"/>
  <c r="U41"/>
  <c r="V41"/>
  <c r="W41"/>
  <c r="X41"/>
  <c r="Y41"/>
  <c r="Z41"/>
  <c r="AA41"/>
  <c r="AB41"/>
  <c r="AC41"/>
  <c r="AD41"/>
  <c r="AE41"/>
  <c r="AF41"/>
  <c r="AH41"/>
  <c r="AI41"/>
  <c r="AJ41"/>
  <c r="AK41"/>
  <c r="AL41"/>
  <c r="AM41"/>
  <c r="AN41"/>
  <c r="AO41"/>
  <c r="AP41"/>
  <c r="AQ41"/>
  <c r="AR41"/>
  <c r="AS41"/>
  <c r="AT41"/>
  <c r="AU41"/>
  <c r="AV41"/>
  <c r="AX41"/>
  <c r="AY41"/>
  <c r="AZ41"/>
  <c r="BA41"/>
  <c r="BB41"/>
  <c r="BC41"/>
  <c r="BD41"/>
  <c r="BE41"/>
  <c r="BF41"/>
  <c r="BG41"/>
  <c r="R42"/>
  <c r="S42"/>
  <c r="T42"/>
  <c r="U42"/>
  <c r="V42"/>
  <c r="W42"/>
  <c r="X42"/>
  <c r="Y42"/>
  <c r="Z42"/>
  <c r="AA42"/>
  <c r="AB42"/>
  <c r="AC42"/>
  <c r="AD42"/>
  <c r="AE42"/>
  <c r="AF42"/>
  <c r="AH42"/>
  <c r="AI42"/>
  <c r="AJ42"/>
  <c r="AK42"/>
  <c r="AL42"/>
  <c r="AM42"/>
  <c r="AN42"/>
  <c r="AO42"/>
  <c r="AP42"/>
  <c r="AQ42"/>
  <c r="AR42"/>
  <c r="AS42"/>
  <c r="AT42"/>
  <c r="AU42"/>
  <c r="AV42"/>
  <c r="AX42"/>
  <c r="AY42"/>
  <c r="AZ42"/>
  <c r="BA42"/>
  <c r="BB42"/>
  <c r="BC42"/>
  <c r="BD42"/>
  <c r="BE42"/>
  <c r="BF42"/>
  <c r="BG42"/>
  <c r="R43"/>
  <c r="S43"/>
  <c r="T43"/>
  <c r="U43"/>
  <c r="V43"/>
  <c r="W43"/>
  <c r="X43"/>
  <c r="Y43"/>
  <c r="Z43"/>
  <c r="AA43"/>
  <c r="AB43"/>
  <c r="AC43"/>
  <c r="AD43"/>
  <c r="AE43"/>
  <c r="AF43"/>
  <c r="AH43"/>
  <c r="AI43"/>
  <c r="AJ43"/>
  <c r="AK43"/>
  <c r="AL43"/>
  <c r="AM43"/>
  <c r="AN43"/>
  <c r="AO43"/>
  <c r="AP43"/>
  <c r="AQ43"/>
  <c r="AR43"/>
  <c r="AS43"/>
  <c r="AT43"/>
  <c r="AU43"/>
  <c r="AV43"/>
  <c r="AX43"/>
  <c r="AY43"/>
  <c r="AZ43"/>
  <c r="BA43"/>
  <c r="BB43"/>
  <c r="BC43"/>
  <c r="BD43"/>
  <c r="BE43"/>
  <c r="BF43"/>
  <c r="BG43"/>
  <c r="R44"/>
  <c r="S44"/>
  <c r="T44"/>
  <c r="U44"/>
  <c r="V44"/>
  <c r="W44"/>
  <c r="X44"/>
  <c r="Y44"/>
  <c r="Z44"/>
  <c r="AA44"/>
  <c r="AB44"/>
  <c r="AC44"/>
  <c r="AD44"/>
  <c r="AE44"/>
  <c r="AF44"/>
  <c r="AH44"/>
  <c r="AI44"/>
  <c r="AJ44"/>
  <c r="AK44"/>
  <c r="AL44"/>
  <c r="AM44"/>
  <c r="AN44"/>
  <c r="AO44"/>
  <c r="AP44"/>
  <c r="AQ44"/>
  <c r="AR44"/>
  <c r="AS44"/>
  <c r="AT44"/>
  <c r="AU44"/>
  <c r="AV44"/>
  <c r="AX44"/>
  <c r="AY44"/>
  <c r="AZ44"/>
  <c r="BA44"/>
  <c r="BB44"/>
  <c r="BC44"/>
  <c r="BD44"/>
  <c r="BE44"/>
  <c r="BF44"/>
  <c r="BG44"/>
  <c r="M36"/>
  <c r="N36"/>
  <c r="O36"/>
  <c r="P36"/>
  <c r="M37"/>
  <c r="N37"/>
  <c r="O37"/>
  <c r="P37"/>
  <c r="M38"/>
  <c r="N38"/>
  <c r="O38"/>
  <c r="P38"/>
  <c r="M39"/>
  <c r="N39"/>
  <c r="O39"/>
  <c r="P39"/>
  <c r="M41"/>
  <c r="N41"/>
  <c r="O41"/>
  <c r="P41"/>
  <c r="M42"/>
  <c r="N42"/>
  <c r="O42"/>
  <c r="P42"/>
  <c r="M43"/>
  <c r="N43"/>
  <c r="O43"/>
  <c r="P43"/>
  <c r="M44"/>
  <c r="N44"/>
  <c r="O44"/>
  <c r="P44"/>
  <c r="B36"/>
  <c r="L44"/>
  <c r="K44"/>
  <c r="J44"/>
  <c r="I44"/>
  <c r="H44"/>
  <c r="G44"/>
  <c r="F44"/>
  <c r="E44"/>
  <c r="D44"/>
  <c r="C44"/>
  <c r="B44"/>
  <c r="L43"/>
  <c r="K43"/>
  <c r="J43"/>
  <c r="I43"/>
  <c r="H43"/>
  <c r="G43"/>
  <c r="F43"/>
  <c r="E43"/>
  <c r="D43"/>
  <c r="C43"/>
  <c r="B43"/>
  <c r="L42"/>
  <c r="K42"/>
  <c r="J42"/>
  <c r="I42"/>
  <c r="H42"/>
  <c r="G42"/>
  <c r="F42"/>
  <c r="E42"/>
  <c r="D42"/>
  <c r="C42"/>
  <c r="B42"/>
  <c r="L41"/>
  <c r="K41"/>
  <c r="J41"/>
  <c r="I41"/>
  <c r="H41"/>
  <c r="G41"/>
  <c r="F41"/>
  <c r="E41"/>
  <c r="D41"/>
  <c r="C41"/>
  <c r="B41"/>
  <c r="L39"/>
  <c r="K39"/>
  <c r="J39"/>
  <c r="I39"/>
  <c r="H39"/>
  <c r="G39"/>
  <c r="F39"/>
  <c r="E39"/>
  <c r="D39"/>
  <c r="C39"/>
  <c r="B39"/>
  <c r="L38"/>
  <c r="K38"/>
  <c r="J38"/>
  <c r="I38"/>
  <c r="H38"/>
  <c r="G38"/>
  <c r="F38"/>
  <c r="E38"/>
  <c r="D38"/>
  <c r="C38"/>
  <c r="B38"/>
  <c r="L37"/>
  <c r="K37"/>
  <c r="J37"/>
  <c r="I37"/>
  <c r="H37"/>
  <c r="G37"/>
  <c r="F37"/>
  <c r="E37"/>
  <c r="D37"/>
  <c r="C37"/>
  <c r="B37"/>
  <c r="L36"/>
  <c r="K36"/>
  <c r="J36"/>
  <c r="I36"/>
  <c r="H36"/>
  <c r="G36"/>
  <c r="F36"/>
  <c r="E36"/>
  <c r="D36"/>
  <c r="C36"/>
  <c r="A6" i="24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39"/>
  <c r="A7"/>
  <c r="A8" s="1"/>
  <c r="A9"/>
  <c r="A10" s="1"/>
  <c r="A11" s="1"/>
  <c r="A12" s="1"/>
  <c r="A13" s="1"/>
  <c r="A14" s="1"/>
  <c r="A15" s="1"/>
  <c r="A16" s="1"/>
  <c r="A17" s="1"/>
  <c r="A18" s="1"/>
  <c r="A19" s="1"/>
  <c r="A20" s="1"/>
  <c r="A21" s="1"/>
  <c r="A22" s="1"/>
  <c r="A23" s="1"/>
  <c r="A24" s="1"/>
  <c r="A25" s="1"/>
  <c r="A26" s="1"/>
  <c r="A27" s="1"/>
  <c r="A28" s="1"/>
  <c r="A29" s="1"/>
  <c r="A30" s="1"/>
  <c r="A31" s="1"/>
  <c r="A32" s="1"/>
  <c r="A33" s="1"/>
  <c r="A34" s="1"/>
  <c r="B5" i="238"/>
  <c r="C5"/>
  <c r="D5"/>
  <c r="E5"/>
  <c r="F5"/>
  <c r="G5"/>
  <c r="H5"/>
  <c r="I5"/>
  <c r="J5"/>
  <c r="K5"/>
  <c r="L5"/>
  <c r="A6"/>
  <c r="B6"/>
  <c r="C6"/>
  <c r="D6"/>
  <c r="E6"/>
  <c r="F6"/>
  <c r="G6"/>
  <c r="H6"/>
  <c r="I6"/>
  <c r="J6"/>
  <c r="K6"/>
  <c r="L6"/>
  <c r="A7"/>
  <c r="A8" s="1"/>
  <c r="A9" s="1"/>
  <c r="A10" s="1"/>
  <c r="A11" s="1"/>
  <c r="A12" s="1"/>
  <c r="A13" s="1"/>
  <c r="A14" s="1"/>
  <c r="A15" s="1"/>
  <c r="A16" s="1"/>
  <c r="A17" s="1"/>
  <c r="A18" s="1"/>
  <c r="A19" s="1"/>
  <c r="B7"/>
  <c r="C7"/>
  <c r="E7"/>
  <c r="F7"/>
  <c r="G7"/>
  <c r="H7"/>
  <c r="I7"/>
  <c r="J7"/>
  <c r="K7"/>
  <c r="L7"/>
  <c r="B8"/>
  <c r="C8"/>
  <c r="D8"/>
  <c r="E8"/>
  <c r="F8"/>
  <c r="G8"/>
  <c r="H8"/>
  <c r="I8"/>
  <c r="J8"/>
  <c r="K8"/>
  <c r="L8"/>
  <c r="B9"/>
  <c r="C9"/>
  <c r="D9"/>
  <c r="E9"/>
  <c r="F9"/>
  <c r="G9"/>
  <c r="H9"/>
  <c r="I9"/>
  <c r="J9"/>
  <c r="K9"/>
  <c r="L9"/>
  <c r="B10"/>
  <c r="C10"/>
  <c r="D10"/>
  <c r="E10"/>
  <c r="F10"/>
  <c r="G10"/>
  <c r="H10"/>
  <c r="I10"/>
  <c r="J10"/>
  <c r="K10"/>
  <c r="L10"/>
  <c r="B11"/>
  <c r="C11"/>
  <c r="D11"/>
  <c r="E11"/>
  <c r="F11"/>
  <c r="G11"/>
  <c r="H11"/>
  <c r="I11"/>
  <c r="J11"/>
  <c r="K11"/>
  <c r="L11"/>
  <c r="B12"/>
  <c r="C12"/>
  <c r="D12"/>
  <c r="E12"/>
  <c r="F12"/>
  <c r="G12"/>
  <c r="H12"/>
  <c r="I12"/>
  <c r="J12"/>
  <c r="K12"/>
  <c r="L12"/>
  <c r="B13"/>
  <c r="C13"/>
  <c r="C42" s="1"/>
  <c r="D13"/>
  <c r="D42" s="1"/>
  <c r="E13"/>
  <c r="E37" s="1"/>
  <c r="F13"/>
  <c r="G13"/>
  <c r="G42" s="1"/>
  <c r="H13"/>
  <c r="H37" s="1"/>
  <c r="I13"/>
  <c r="I42" s="1"/>
  <c r="J13"/>
  <c r="K13"/>
  <c r="K42" s="1"/>
  <c r="L13"/>
  <c r="L42" s="1"/>
  <c r="B14"/>
  <c r="C14"/>
  <c r="D14"/>
  <c r="E14"/>
  <c r="F14"/>
  <c r="G14"/>
  <c r="H14"/>
  <c r="I14"/>
  <c r="J14"/>
  <c r="K14"/>
  <c r="L14"/>
  <c r="B15"/>
  <c r="C15"/>
  <c r="D15"/>
  <c r="E15"/>
  <c r="F15"/>
  <c r="G15"/>
  <c r="H15"/>
  <c r="I15"/>
  <c r="J15"/>
  <c r="K15"/>
  <c r="L15"/>
  <c r="B16"/>
  <c r="C16"/>
  <c r="D16"/>
  <c r="E16"/>
  <c r="F16"/>
  <c r="G16"/>
  <c r="H16"/>
  <c r="I16"/>
  <c r="J16"/>
  <c r="K16"/>
  <c r="L16"/>
  <c r="B17"/>
  <c r="C17"/>
  <c r="D17"/>
  <c r="E17"/>
  <c r="F17"/>
  <c r="G17"/>
  <c r="H17"/>
  <c r="I17"/>
  <c r="J17"/>
  <c r="K17"/>
  <c r="L17"/>
  <c r="B18"/>
  <c r="C18"/>
  <c r="E18"/>
  <c r="F18"/>
  <c r="G18"/>
  <c r="H18"/>
  <c r="I18"/>
  <c r="J18"/>
  <c r="K18"/>
  <c r="L18"/>
  <c r="B19"/>
  <c r="D19"/>
  <c r="E19"/>
  <c r="F19"/>
  <c r="G19"/>
  <c r="H19"/>
  <c r="I19"/>
  <c r="J19"/>
  <c r="K19"/>
  <c r="L19"/>
  <c r="A20"/>
  <c r="B20"/>
  <c r="C20"/>
  <c r="D20"/>
  <c r="E20"/>
  <c r="F20"/>
  <c r="G20"/>
  <c r="H20"/>
  <c r="I20"/>
  <c r="J20"/>
  <c r="K20"/>
  <c r="L20"/>
  <c r="A21"/>
  <c r="B21"/>
  <c r="C21"/>
  <c r="D21"/>
  <c r="E21"/>
  <c r="F21"/>
  <c r="G21"/>
  <c r="H21"/>
  <c r="I21"/>
  <c r="J21"/>
  <c r="K21"/>
  <c r="L21"/>
  <c r="A22"/>
  <c r="B22"/>
  <c r="C22"/>
  <c r="D22"/>
  <c r="E22"/>
  <c r="F22"/>
  <c r="G22"/>
  <c r="H22"/>
  <c r="I22"/>
  <c r="J22"/>
  <c r="K22"/>
  <c r="L22"/>
  <c r="A23"/>
  <c r="A24" s="1"/>
  <c r="A25" s="1"/>
  <c r="A26" s="1"/>
  <c r="B23"/>
  <c r="C23"/>
  <c r="D23"/>
  <c r="E23"/>
  <c r="F23"/>
  <c r="G23"/>
  <c r="H23"/>
  <c r="I23"/>
  <c r="J23"/>
  <c r="L23"/>
  <c r="B24"/>
  <c r="C24"/>
  <c r="C43" s="1"/>
  <c r="D24"/>
  <c r="D43" s="1"/>
  <c r="E24"/>
  <c r="E43" s="1"/>
  <c r="F24"/>
  <c r="G24"/>
  <c r="G43" s="1"/>
  <c r="H24"/>
  <c r="H43" s="1"/>
  <c r="I24"/>
  <c r="I38" s="1"/>
  <c r="J24"/>
  <c r="L24"/>
  <c r="L43" s="1"/>
  <c r="B25"/>
  <c r="C25"/>
  <c r="D25"/>
  <c r="E25"/>
  <c r="F25"/>
  <c r="G25"/>
  <c r="H25"/>
  <c r="I25"/>
  <c r="J25"/>
  <c r="L25"/>
  <c r="B26"/>
  <c r="C26"/>
  <c r="D26"/>
  <c r="E26"/>
  <c r="F26"/>
  <c r="G26"/>
  <c r="H26"/>
  <c r="I26"/>
  <c r="J26"/>
  <c r="L26"/>
  <c r="A27"/>
  <c r="B27"/>
  <c r="C27"/>
  <c r="D27"/>
  <c r="E27"/>
  <c r="F27"/>
  <c r="G27"/>
  <c r="H27"/>
  <c r="I27"/>
  <c r="J27"/>
  <c r="K27"/>
  <c r="L27"/>
  <c r="A28"/>
  <c r="A29" s="1"/>
  <c r="A30" s="1"/>
  <c r="A31" s="1"/>
  <c r="A32" s="1"/>
  <c r="A33" s="1"/>
  <c r="A34" s="1"/>
  <c r="B28"/>
  <c r="C28"/>
  <c r="D28"/>
  <c r="E28"/>
  <c r="F28"/>
  <c r="G28"/>
  <c r="H28"/>
  <c r="I28"/>
  <c r="J28"/>
  <c r="L28"/>
  <c r="B29"/>
  <c r="C29"/>
  <c r="D29"/>
  <c r="E29"/>
  <c r="F29"/>
  <c r="G29"/>
  <c r="H29"/>
  <c r="I29"/>
  <c r="J29"/>
  <c r="K29"/>
  <c r="L29"/>
  <c r="B30"/>
  <c r="C30"/>
  <c r="D30"/>
  <c r="E30"/>
  <c r="F30"/>
  <c r="G30"/>
  <c r="H30"/>
  <c r="I30"/>
  <c r="J30"/>
  <c r="L30"/>
  <c r="B31"/>
  <c r="C31"/>
  <c r="D31"/>
  <c r="E31"/>
  <c r="F31"/>
  <c r="G31"/>
  <c r="H31"/>
  <c r="I31"/>
  <c r="J31"/>
  <c r="K31"/>
  <c r="L31"/>
  <c r="B32"/>
  <c r="B39" s="1"/>
  <c r="C32"/>
  <c r="C44" s="1"/>
  <c r="D32"/>
  <c r="D44" s="1"/>
  <c r="E32"/>
  <c r="F32"/>
  <c r="F44" s="1"/>
  <c r="G32"/>
  <c r="G44" s="1"/>
  <c r="H32"/>
  <c r="H44" s="1"/>
  <c r="I32"/>
  <c r="J32"/>
  <c r="J39" s="1"/>
  <c r="K32"/>
  <c r="L32"/>
  <c r="L44" s="1"/>
  <c r="B33"/>
  <c r="C33"/>
  <c r="D33"/>
  <c r="E33"/>
  <c r="F33"/>
  <c r="G33"/>
  <c r="H33"/>
  <c r="I33"/>
  <c r="J33"/>
  <c r="L33"/>
  <c r="B6" i="237"/>
  <c r="C6"/>
  <c r="D6"/>
  <c r="E6"/>
  <c r="F6"/>
  <c r="G6"/>
  <c r="H6"/>
  <c r="I6"/>
  <c r="J6"/>
  <c r="K6"/>
  <c r="L6"/>
  <c r="B7"/>
  <c r="C7"/>
  <c r="D7"/>
  <c r="E7"/>
  <c r="F7"/>
  <c r="G7"/>
  <c r="H7"/>
  <c r="I7"/>
  <c r="J7"/>
  <c r="K7"/>
  <c r="L7"/>
  <c r="B8"/>
  <c r="C8"/>
  <c r="D8"/>
  <c r="E8"/>
  <c r="F8"/>
  <c r="G8"/>
  <c r="H8"/>
  <c r="I8"/>
  <c r="J8"/>
  <c r="K8"/>
  <c r="L8"/>
  <c r="B9"/>
  <c r="C9"/>
  <c r="D9"/>
  <c r="E9"/>
  <c r="F9"/>
  <c r="G9"/>
  <c r="H9"/>
  <c r="I9"/>
  <c r="J9"/>
  <c r="K9"/>
  <c r="L9"/>
  <c r="B10"/>
  <c r="C10"/>
  <c r="D10"/>
  <c r="E10"/>
  <c r="F10"/>
  <c r="G10"/>
  <c r="H10"/>
  <c r="I10"/>
  <c r="J10"/>
  <c r="K10"/>
  <c r="L10"/>
  <c r="B11"/>
  <c r="C11"/>
  <c r="D11"/>
  <c r="E11"/>
  <c r="F11"/>
  <c r="G11"/>
  <c r="H11"/>
  <c r="I11"/>
  <c r="J11"/>
  <c r="K11"/>
  <c r="L11"/>
  <c r="B12"/>
  <c r="C12"/>
  <c r="D12"/>
  <c r="E12"/>
  <c r="F12"/>
  <c r="G12"/>
  <c r="H12"/>
  <c r="I12"/>
  <c r="J12"/>
  <c r="K12"/>
  <c r="L12"/>
  <c r="B13"/>
  <c r="C13"/>
  <c r="D13"/>
  <c r="D42" s="1"/>
  <c r="E13"/>
  <c r="F13"/>
  <c r="G13"/>
  <c r="H13"/>
  <c r="I13"/>
  <c r="J13"/>
  <c r="K13"/>
  <c r="L13"/>
  <c r="L42" s="1"/>
  <c r="B14"/>
  <c r="C14"/>
  <c r="D14"/>
  <c r="E14"/>
  <c r="F14"/>
  <c r="G14"/>
  <c r="H14"/>
  <c r="I14"/>
  <c r="J14"/>
  <c r="K14"/>
  <c r="L14"/>
  <c r="B15"/>
  <c r="C15"/>
  <c r="D15"/>
  <c r="E15"/>
  <c r="F15"/>
  <c r="G15"/>
  <c r="H15"/>
  <c r="I15"/>
  <c r="J15"/>
  <c r="K15"/>
  <c r="L15"/>
  <c r="B16"/>
  <c r="C16"/>
  <c r="D16"/>
  <c r="E16"/>
  <c r="F16"/>
  <c r="G16"/>
  <c r="H16"/>
  <c r="I16"/>
  <c r="J16"/>
  <c r="K16"/>
  <c r="L16"/>
  <c r="B17"/>
  <c r="C17"/>
  <c r="D17"/>
  <c r="E17"/>
  <c r="F17"/>
  <c r="G17"/>
  <c r="H17"/>
  <c r="I17"/>
  <c r="J17"/>
  <c r="K17"/>
  <c r="L17"/>
  <c r="B18"/>
  <c r="C18"/>
  <c r="D18"/>
  <c r="E18"/>
  <c r="F18"/>
  <c r="G18"/>
  <c r="H18"/>
  <c r="I18"/>
  <c r="J18"/>
  <c r="K18"/>
  <c r="L18"/>
  <c r="B19"/>
  <c r="C19"/>
  <c r="D19"/>
  <c r="E19"/>
  <c r="F19"/>
  <c r="G19"/>
  <c r="H19"/>
  <c r="I19"/>
  <c r="J19"/>
  <c r="K19"/>
  <c r="L19"/>
  <c r="B20"/>
  <c r="C20"/>
  <c r="D20"/>
  <c r="E20"/>
  <c r="F20"/>
  <c r="G20"/>
  <c r="H20"/>
  <c r="I20"/>
  <c r="J20"/>
  <c r="K20"/>
  <c r="L20"/>
  <c r="B21"/>
  <c r="C21"/>
  <c r="D21"/>
  <c r="E21"/>
  <c r="F21"/>
  <c r="G21"/>
  <c r="H21"/>
  <c r="I21"/>
  <c r="J21"/>
  <c r="K21"/>
  <c r="L21"/>
  <c r="B22"/>
  <c r="C22"/>
  <c r="D22"/>
  <c r="E22"/>
  <c r="F22"/>
  <c r="G22"/>
  <c r="H22"/>
  <c r="I22"/>
  <c r="J22"/>
  <c r="K22"/>
  <c r="L22"/>
  <c r="B23"/>
  <c r="C23"/>
  <c r="D23"/>
  <c r="E23"/>
  <c r="F23"/>
  <c r="G23"/>
  <c r="H23"/>
  <c r="I23"/>
  <c r="J23"/>
  <c r="K23"/>
  <c r="L23"/>
  <c r="B24"/>
  <c r="C24"/>
  <c r="C43" s="1"/>
  <c r="D24"/>
  <c r="E24"/>
  <c r="F24"/>
  <c r="G24"/>
  <c r="H24"/>
  <c r="I24"/>
  <c r="J24"/>
  <c r="J43" s="1"/>
  <c r="K24"/>
  <c r="L24"/>
  <c r="B25"/>
  <c r="C25"/>
  <c r="D25"/>
  <c r="E25"/>
  <c r="F25"/>
  <c r="G25"/>
  <c r="H25"/>
  <c r="I25"/>
  <c r="J25"/>
  <c r="K25"/>
  <c r="L25"/>
  <c r="B26"/>
  <c r="C26"/>
  <c r="D26"/>
  <c r="E26"/>
  <c r="F26"/>
  <c r="G26"/>
  <c r="H26"/>
  <c r="I26"/>
  <c r="J26"/>
  <c r="K26"/>
  <c r="L26"/>
  <c r="B27"/>
  <c r="C27"/>
  <c r="D27"/>
  <c r="E27"/>
  <c r="F27"/>
  <c r="G27"/>
  <c r="H27"/>
  <c r="I27"/>
  <c r="J27"/>
  <c r="K27"/>
  <c r="L27"/>
  <c r="B28"/>
  <c r="C28"/>
  <c r="D28"/>
  <c r="E28"/>
  <c r="F28"/>
  <c r="G28"/>
  <c r="H28"/>
  <c r="I28"/>
  <c r="J28"/>
  <c r="K28"/>
  <c r="L28"/>
  <c r="B29"/>
  <c r="C29"/>
  <c r="D29"/>
  <c r="E29"/>
  <c r="F29"/>
  <c r="G29"/>
  <c r="H29"/>
  <c r="I29"/>
  <c r="J29"/>
  <c r="K29"/>
  <c r="L29"/>
  <c r="B30"/>
  <c r="C30"/>
  <c r="D30"/>
  <c r="E30"/>
  <c r="F30"/>
  <c r="G30"/>
  <c r="H30"/>
  <c r="I30"/>
  <c r="J30"/>
  <c r="K30"/>
  <c r="L30"/>
  <c r="B31"/>
  <c r="C31"/>
  <c r="D31"/>
  <c r="E31"/>
  <c r="F31"/>
  <c r="G31"/>
  <c r="H31"/>
  <c r="I31"/>
  <c r="J31"/>
  <c r="K31"/>
  <c r="L31"/>
  <c r="B32"/>
  <c r="B44" s="1"/>
  <c r="C32"/>
  <c r="C44" s="1"/>
  <c r="D32"/>
  <c r="E32"/>
  <c r="F32"/>
  <c r="F39" s="1"/>
  <c r="G32"/>
  <c r="G39" s="1"/>
  <c r="H32"/>
  <c r="I32"/>
  <c r="J32"/>
  <c r="J44" s="1"/>
  <c r="K32"/>
  <c r="K44" s="1"/>
  <c r="L32"/>
  <c r="B33"/>
  <c r="C33"/>
  <c r="D33"/>
  <c r="E33"/>
  <c r="F33"/>
  <c r="G33"/>
  <c r="H33"/>
  <c r="I33"/>
  <c r="J33"/>
  <c r="K33"/>
  <c r="L33"/>
  <c r="L5"/>
  <c r="K5"/>
  <c r="J5"/>
  <c r="I5"/>
  <c r="H5"/>
  <c r="G5"/>
  <c r="F5"/>
  <c r="E5"/>
  <c r="D5"/>
  <c r="C5"/>
  <c r="B5"/>
  <c r="B5" i="235"/>
  <c r="C5"/>
  <c r="D5"/>
  <c r="E5"/>
  <c r="F5"/>
  <c r="G5"/>
  <c r="H5"/>
  <c r="I5"/>
  <c r="J5"/>
  <c r="K5"/>
  <c r="L5"/>
  <c r="A6"/>
  <c r="B6"/>
  <c r="C6"/>
  <c r="D6"/>
  <c r="E6"/>
  <c r="F6"/>
  <c r="G6"/>
  <c r="H6"/>
  <c r="I6"/>
  <c r="J6"/>
  <c r="K6"/>
  <c r="L6"/>
  <c r="A7"/>
  <c r="B7"/>
  <c r="C7"/>
  <c r="D7"/>
  <c r="E7"/>
  <c r="F7"/>
  <c r="G7"/>
  <c r="H7"/>
  <c r="I7"/>
  <c r="J7"/>
  <c r="K7"/>
  <c r="L7"/>
  <c r="A8"/>
  <c r="B8"/>
  <c r="C8"/>
  <c r="D8"/>
  <c r="E8"/>
  <c r="F8"/>
  <c r="G8"/>
  <c r="H8"/>
  <c r="I8"/>
  <c r="J8"/>
  <c r="K8"/>
  <c r="L8"/>
  <c r="A9"/>
  <c r="B9"/>
  <c r="C9"/>
  <c r="D9"/>
  <c r="E9"/>
  <c r="F9"/>
  <c r="G9"/>
  <c r="H9"/>
  <c r="I9"/>
  <c r="J9"/>
  <c r="K9"/>
  <c r="L9"/>
  <c r="A10"/>
  <c r="B10"/>
  <c r="C10"/>
  <c r="D10"/>
  <c r="E10"/>
  <c r="F10"/>
  <c r="G10"/>
  <c r="H10"/>
  <c r="I10"/>
  <c r="J10"/>
  <c r="K10"/>
  <c r="L10"/>
  <c r="A11"/>
  <c r="B11"/>
  <c r="C11"/>
  <c r="D11"/>
  <c r="E11"/>
  <c r="F11"/>
  <c r="G11"/>
  <c r="H11"/>
  <c r="I11"/>
  <c r="J11"/>
  <c r="K11"/>
  <c r="L11"/>
  <c r="A12"/>
  <c r="B12"/>
  <c r="C12"/>
  <c r="D12"/>
  <c r="E12"/>
  <c r="F12"/>
  <c r="G12"/>
  <c r="H12"/>
  <c r="I12"/>
  <c r="J12"/>
  <c r="K12"/>
  <c r="L12"/>
  <c r="A13"/>
  <c r="B13"/>
  <c r="C13"/>
  <c r="D13"/>
  <c r="D37" s="1"/>
  <c r="E13"/>
  <c r="E37" s="1"/>
  <c r="F13"/>
  <c r="G13"/>
  <c r="H13"/>
  <c r="H42" s="1"/>
  <c r="I13"/>
  <c r="I42" s="1"/>
  <c r="J13"/>
  <c r="K13"/>
  <c r="L13"/>
  <c r="L37" s="1"/>
  <c r="A14"/>
  <c r="B14"/>
  <c r="C14"/>
  <c r="D14"/>
  <c r="E14"/>
  <c r="F14"/>
  <c r="G14"/>
  <c r="H14"/>
  <c r="I14"/>
  <c r="J14"/>
  <c r="K14"/>
  <c r="L14"/>
  <c r="A15"/>
  <c r="B15"/>
  <c r="C15"/>
  <c r="D15"/>
  <c r="E15"/>
  <c r="F15"/>
  <c r="G15"/>
  <c r="H15"/>
  <c r="I15"/>
  <c r="J15"/>
  <c r="K15"/>
  <c r="L15"/>
  <c r="A16"/>
  <c r="B16"/>
  <c r="C16"/>
  <c r="D16"/>
  <c r="E16"/>
  <c r="F16"/>
  <c r="G16"/>
  <c r="H16"/>
  <c r="I16"/>
  <c r="J16"/>
  <c r="K16"/>
  <c r="L16"/>
  <c r="A17"/>
  <c r="B17"/>
  <c r="C17"/>
  <c r="D17"/>
  <c r="E17"/>
  <c r="F17"/>
  <c r="G17"/>
  <c r="H17"/>
  <c r="I17"/>
  <c r="J17"/>
  <c r="K17"/>
  <c r="L17"/>
  <c r="A18"/>
  <c r="B18"/>
  <c r="C18"/>
  <c r="D18"/>
  <c r="E18"/>
  <c r="F18"/>
  <c r="G18"/>
  <c r="H18"/>
  <c r="I18"/>
  <c r="J18"/>
  <c r="K18"/>
  <c r="L18"/>
  <c r="A19"/>
  <c r="B19"/>
  <c r="C19"/>
  <c r="D19"/>
  <c r="E19"/>
  <c r="F19"/>
  <c r="G19"/>
  <c r="H19"/>
  <c r="I19"/>
  <c r="J19"/>
  <c r="K19"/>
  <c r="L19"/>
  <c r="A20"/>
  <c r="B20"/>
  <c r="C20"/>
  <c r="D20"/>
  <c r="E20"/>
  <c r="F20"/>
  <c r="G20"/>
  <c r="H20"/>
  <c r="I20"/>
  <c r="J20"/>
  <c r="K20"/>
  <c r="L20"/>
  <c r="A21"/>
  <c r="B21"/>
  <c r="C21"/>
  <c r="D21"/>
  <c r="E21"/>
  <c r="F21"/>
  <c r="G21"/>
  <c r="H21"/>
  <c r="I21"/>
  <c r="J21"/>
  <c r="K21"/>
  <c r="L21"/>
  <c r="A22"/>
  <c r="B22"/>
  <c r="C22"/>
  <c r="D22"/>
  <c r="E22"/>
  <c r="F22"/>
  <c r="G22"/>
  <c r="H22"/>
  <c r="I22"/>
  <c r="J22"/>
  <c r="K22"/>
  <c r="L22"/>
  <c r="A23"/>
  <c r="B23"/>
  <c r="C23"/>
  <c r="D23"/>
  <c r="E23"/>
  <c r="F23"/>
  <c r="G23"/>
  <c r="H23"/>
  <c r="I23"/>
  <c r="J23"/>
  <c r="K23"/>
  <c r="L23"/>
  <c r="A24"/>
  <c r="B24"/>
  <c r="C24"/>
  <c r="D24"/>
  <c r="E24"/>
  <c r="E43" s="1"/>
  <c r="F24"/>
  <c r="F43" s="1"/>
  <c r="G24"/>
  <c r="H24"/>
  <c r="I24"/>
  <c r="I38" s="1"/>
  <c r="J24"/>
  <c r="J38" s="1"/>
  <c r="K24"/>
  <c r="L24"/>
  <c r="A25"/>
  <c r="B25"/>
  <c r="C25"/>
  <c r="D25"/>
  <c r="E25"/>
  <c r="F25"/>
  <c r="G25"/>
  <c r="H25"/>
  <c r="I25"/>
  <c r="J25"/>
  <c r="K25"/>
  <c r="L25"/>
  <c r="A26"/>
  <c r="B26"/>
  <c r="C26"/>
  <c r="D26"/>
  <c r="E26"/>
  <c r="F26"/>
  <c r="G26"/>
  <c r="H26"/>
  <c r="I26"/>
  <c r="J26"/>
  <c r="K26"/>
  <c r="L26"/>
  <c r="A27"/>
  <c r="B27"/>
  <c r="C27"/>
  <c r="D27"/>
  <c r="E27"/>
  <c r="F27"/>
  <c r="G27"/>
  <c r="H27"/>
  <c r="I27"/>
  <c r="J27"/>
  <c r="K27"/>
  <c r="L27"/>
  <c r="A28"/>
  <c r="B28"/>
  <c r="C28"/>
  <c r="D28"/>
  <c r="E28"/>
  <c r="F28"/>
  <c r="G28"/>
  <c r="H28"/>
  <c r="I28"/>
  <c r="J28"/>
  <c r="K28"/>
  <c r="L28"/>
  <c r="A29"/>
  <c r="B29"/>
  <c r="C29"/>
  <c r="D29"/>
  <c r="E29"/>
  <c r="F29"/>
  <c r="G29"/>
  <c r="H29"/>
  <c r="I29"/>
  <c r="J29"/>
  <c r="K29"/>
  <c r="L29"/>
  <c r="A30"/>
  <c r="B30"/>
  <c r="C30"/>
  <c r="D30"/>
  <c r="E30"/>
  <c r="F30"/>
  <c r="G30"/>
  <c r="H30"/>
  <c r="I30"/>
  <c r="J30"/>
  <c r="K30"/>
  <c r="L30"/>
  <c r="A31"/>
  <c r="B31"/>
  <c r="C31"/>
  <c r="D31"/>
  <c r="E31"/>
  <c r="F31"/>
  <c r="G31"/>
  <c r="H31"/>
  <c r="I31"/>
  <c r="J31"/>
  <c r="K31"/>
  <c r="L31"/>
  <c r="A32"/>
  <c r="B32"/>
  <c r="C32"/>
  <c r="C44" s="1"/>
  <c r="D32"/>
  <c r="E32"/>
  <c r="F32"/>
  <c r="G32"/>
  <c r="G39" s="1"/>
  <c r="H32"/>
  <c r="I32"/>
  <c r="J32"/>
  <c r="J44" s="1"/>
  <c r="K32"/>
  <c r="K44" s="1"/>
  <c r="L32"/>
  <c r="A33"/>
  <c r="B33"/>
  <c r="C33"/>
  <c r="D33"/>
  <c r="E33"/>
  <c r="F33"/>
  <c r="G33"/>
  <c r="H33"/>
  <c r="I33"/>
  <c r="J33"/>
  <c r="K33"/>
  <c r="L33"/>
  <c r="A34"/>
  <c r="B5" i="234"/>
  <c r="C5"/>
  <c r="D5"/>
  <c r="E5"/>
  <c r="F5"/>
  <c r="G5"/>
  <c r="H5"/>
  <c r="I5"/>
  <c r="J5"/>
  <c r="K5"/>
  <c r="L5"/>
  <c r="A6"/>
  <c r="B6"/>
  <c r="C6"/>
  <c r="D6"/>
  <c r="E6"/>
  <c r="F6"/>
  <c r="G6"/>
  <c r="H6"/>
  <c r="I6"/>
  <c r="J6"/>
  <c r="K6"/>
  <c r="L6"/>
  <c r="A7"/>
  <c r="B7"/>
  <c r="C7"/>
  <c r="D7"/>
  <c r="E7"/>
  <c r="F7"/>
  <c r="G7"/>
  <c r="H7"/>
  <c r="I7"/>
  <c r="J7"/>
  <c r="K7"/>
  <c r="L7"/>
  <c r="A8"/>
  <c r="B8"/>
  <c r="C8"/>
  <c r="D8"/>
  <c r="E8"/>
  <c r="F8"/>
  <c r="G8"/>
  <c r="H8"/>
  <c r="I8"/>
  <c r="J8"/>
  <c r="K8"/>
  <c r="L8"/>
  <c r="A9"/>
  <c r="B9"/>
  <c r="C9"/>
  <c r="D9"/>
  <c r="E9"/>
  <c r="F9"/>
  <c r="G9"/>
  <c r="H9"/>
  <c r="I9"/>
  <c r="J9"/>
  <c r="K9"/>
  <c r="L9"/>
  <c r="A10"/>
  <c r="B10"/>
  <c r="C10"/>
  <c r="D10"/>
  <c r="E10"/>
  <c r="F10"/>
  <c r="G10"/>
  <c r="H10"/>
  <c r="I10"/>
  <c r="J10"/>
  <c r="K10"/>
  <c r="L10"/>
  <c r="A11"/>
  <c r="B11"/>
  <c r="C11"/>
  <c r="D11"/>
  <c r="E11"/>
  <c r="F11"/>
  <c r="G11"/>
  <c r="H11"/>
  <c r="I11"/>
  <c r="J11"/>
  <c r="K11"/>
  <c r="L11"/>
  <c r="A12"/>
  <c r="B12"/>
  <c r="C12"/>
  <c r="D12"/>
  <c r="E12"/>
  <c r="F12"/>
  <c r="G12"/>
  <c r="H12"/>
  <c r="I12"/>
  <c r="J12"/>
  <c r="K12"/>
  <c r="L12"/>
  <c r="A13"/>
  <c r="B13"/>
  <c r="C13"/>
  <c r="D13"/>
  <c r="E13"/>
  <c r="E37" s="1"/>
  <c r="F13"/>
  <c r="G13"/>
  <c r="H13"/>
  <c r="H42" s="1"/>
  <c r="I13"/>
  <c r="I42" s="1"/>
  <c r="J13"/>
  <c r="K13"/>
  <c r="L13"/>
  <c r="L37" s="1"/>
  <c r="A14"/>
  <c r="B14"/>
  <c r="C14"/>
  <c r="D14"/>
  <c r="E14"/>
  <c r="F14"/>
  <c r="G14"/>
  <c r="H14"/>
  <c r="I14"/>
  <c r="J14"/>
  <c r="K14"/>
  <c r="L14"/>
  <c r="A15"/>
  <c r="B15"/>
  <c r="C15"/>
  <c r="D15"/>
  <c r="E15"/>
  <c r="F15"/>
  <c r="G15"/>
  <c r="H15"/>
  <c r="I15"/>
  <c r="J15"/>
  <c r="K15"/>
  <c r="L15"/>
  <c r="A16"/>
  <c r="B16"/>
  <c r="C16"/>
  <c r="D16"/>
  <c r="E16"/>
  <c r="F16"/>
  <c r="G16"/>
  <c r="H16"/>
  <c r="I16"/>
  <c r="J16"/>
  <c r="K16"/>
  <c r="L16"/>
  <c r="A17"/>
  <c r="B17"/>
  <c r="C17"/>
  <c r="D17"/>
  <c r="E17"/>
  <c r="F17"/>
  <c r="G17"/>
  <c r="H17"/>
  <c r="I17"/>
  <c r="J17"/>
  <c r="K17"/>
  <c r="L17"/>
  <c r="A18"/>
  <c r="B18"/>
  <c r="C18"/>
  <c r="D18"/>
  <c r="E18"/>
  <c r="F18"/>
  <c r="G18"/>
  <c r="H18"/>
  <c r="I18"/>
  <c r="J18"/>
  <c r="K18"/>
  <c r="L18"/>
  <c r="A19"/>
  <c r="B19"/>
  <c r="C19"/>
  <c r="D19"/>
  <c r="E19"/>
  <c r="F19"/>
  <c r="G19"/>
  <c r="H19"/>
  <c r="I19"/>
  <c r="J19"/>
  <c r="K19"/>
  <c r="L19"/>
  <c r="A20"/>
  <c r="B20"/>
  <c r="C20"/>
  <c r="D20"/>
  <c r="E20"/>
  <c r="F20"/>
  <c r="G20"/>
  <c r="H20"/>
  <c r="I20"/>
  <c r="J20"/>
  <c r="K20"/>
  <c r="L20"/>
  <c r="A21"/>
  <c r="B21"/>
  <c r="C21"/>
  <c r="D21"/>
  <c r="E21"/>
  <c r="F21"/>
  <c r="G21"/>
  <c r="H21"/>
  <c r="I21"/>
  <c r="J21"/>
  <c r="K21"/>
  <c r="L21"/>
  <c r="A22"/>
  <c r="B22"/>
  <c r="C22"/>
  <c r="D22"/>
  <c r="E22"/>
  <c r="F22"/>
  <c r="G22"/>
  <c r="H22"/>
  <c r="I22"/>
  <c r="J22"/>
  <c r="K22"/>
  <c r="L22"/>
  <c r="A23"/>
  <c r="B23"/>
  <c r="C23"/>
  <c r="D23"/>
  <c r="E23"/>
  <c r="F23"/>
  <c r="G23"/>
  <c r="H23"/>
  <c r="I23"/>
  <c r="J23"/>
  <c r="K23"/>
  <c r="L23"/>
  <c r="A24"/>
  <c r="B24"/>
  <c r="B38" s="1"/>
  <c r="C24"/>
  <c r="D24"/>
  <c r="E24"/>
  <c r="E43" s="1"/>
  <c r="F24"/>
  <c r="F43" s="1"/>
  <c r="G24"/>
  <c r="H24"/>
  <c r="I24"/>
  <c r="I38" s="1"/>
  <c r="J24"/>
  <c r="J38" s="1"/>
  <c r="K24"/>
  <c r="L24"/>
  <c r="A25"/>
  <c r="B25"/>
  <c r="C25"/>
  <c r="D25"/>
  <c r="E25"/>
  <c r="F25"/>
  <c r="G25"/>
  <c r="H25"/>
  <c r="I25"/>
  <c r="J25"/>
  <c r="K25"/>
  <c r="L25"/>
  <c r="A26"/>
  <c r="B26"/>
  <c r="C26"/>
  <c r="D26"/>
  <c r="E26"/>
  <c r="F26"/>
  <c r="G26"/>
  <c r="H26"/>
  <c r="I26"/>
  <c r="J26"/>
  <c r="K26"/>
  <c r="L26"/>
  <c r="A27"/>
  <c r="B27"/>
  <c r="C27"/>
  <c r="D27"/>
  <c r="E27"/>
  <c r="F27"/>
  <c r="G27"/>
  <c r="H27"/>
  <c r="I27"/>
  <c r="J27"/>
  <c r="K27"/>
  <c r="L27"/>
  <c r="A28"/>
  <c r="B28"/>
  <c r="C28"/>
  <c r="D28"/>
  <c r="E28"/>
  <c r="F28"/>
  <c r="G28"/>
  <c r="H28"/>
  <c r="I28"/>
  <c r="J28"/>
  <c r="K28"/>
  <c r="L28"/>
  <c r="A29"/>
  <c r="B29"/>
  <c r="C29"/>
  <c r="D29"/>
  <c r="E29"/>
  <c r="F29"/>
  <c r="G29"/>
  <c r="H29"/>
  <c r="I29"/>
  <c r="J29"/>
  <c r="K29"/>
  <c r="L29"/>
  <c r="A30"/>
  <c r="B30"/>
  <c r="C30"/>
  <c r="D30"/>
  <c r="E30"/>
  <c r="F30"/>
  <c r="G30"/>
  <c r="H30"/>
  <c r="I30"/>
  <c r="J30"/>
  <c r="K30"/>
  <c r="L30"/>
  <c r="A31"/>
  <c r="B31"/>
  <c r="C31"/>
  <c r="D31"/>
  <c r="E31"/>
  <c r="F31"/>
  <c r="G31"/>
  <c r="H31"/>
  <c r="I31"/>
  <c r="J31"/>
  <c r="K31"/>
  <c r="L31"/>
  <c r="A32"/>
  <c r="B32"/>
  <c r="B44" s="1"/>
  <c r="C32"/>
  <c r="C44" s="1"/>
  <c r="D32"/>
  <c r="E32"/>
  <c r="F32"/>
  <c r="F39" s="1"/>
  <c r="G32"/>
  <c r="G39" s="1"/>
  <c r="H32"/>
  <c r="I32"/>
  <c r="J32"/>
  <c r="J44" s="1"/>
  <c r="K32"/>
  <c r="L32"/>
  <c r="A33"/>
  <c r="B33"/>
  <c r="C33"/>
  <c r="D33"/>
  <c r="E33"/>
  <c r="F33"/>
  <c r="G33"/>
  <c r="H33"/>
  <c r="I33"/>
  <c r="J33"/>
  <c r="K33"/>
  <c r="L33"/>
  <c r="A34"/>
  <c r="A6" i="236"/>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37"/>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7" i="242"/>
  <c r="A8" s="1"/>
  <c r="A9" s="1"/>
  <c r="A10" s="1"/>
  <c r="A11" s="1"/>
  <c r="A12" s="1"/>
  <c r="A13" s="1"/>
  <c r="A14" s="1"/>
  <c r="A15" s="1"/>
  <c r="A16" s="1"/>
  <c r="A17" s="1"/>
  <c r="A18" s="1"/>
  <c r="A19" s="1"/>
  <c r="A20" s="1"/>
  <c r="A21" s="1"/>
  <c r="A22" s="1"/>
  <c r="A23" s="1"/>
  <c r="A24" s="1"/>
  <c r="A25" s="1"/>
  <c r="A26" s="1"/>
  <c r="A27" s="1"/>
  <c r="A28" s="1"/>
  <c r="A29" s="1"/>
  <c r="A30" s="1"/>
  <c r="A31" s="1"/>
  <c r="A32" s="1"/>
  <c r="A33" s="1"/>
  <c r="A34" s="1"/>
  <c r="A6"/>
  <c r="A6" i="243"/>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33"/>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B6" i="222"/>
  <c r="C6"/>
  <c r="D6"/>
  <c r="E6"/>
  <c r="F6"/>
  <c r="G6"/>
  <c r="H6"/>
  <c r="I6"/>
  <c r="J6"/>
  <c r="K6"/>
  <c r="L6"/>
  <c r="B7"/>
  <c r="C7"/>
  <c r="D7"/>
  <c r="E7"/>
  <c r="F7"/>
  <c r="G7"/>
  <c r="H7"/>
  <c r="I7"/>
  <c r="J7"/>
  <c r="K7"/>
  <c r="L7"/>
  <c r="B8"/>
  <c r="C8"/>
  <c r="D8"/>
  <c r="E8"/>
  <c r="F8"/>
  <c r="G8"/>
  <c r="H8"/>
  <c r="I8"/>
  <c r="J8"/>
  <c r="K8"/>
  <c r="L8"/>
  <c r="B9"/>
  <c r="C9"/>
  <c r="D9"/>
  <c r="E9"/>
  <c r="F9"/>
  <c r="G9"/>
  <c r="H9"/>
  <c r="I9"/>
  <c r="J9"/>
  <c r="K9"/>
  <c r="L9"/>
  <c r="B10"/>
  <c r="C10"/>
  <c r="D10"/>
  <c r="E10"/>
  <c r="F10"/>
  <c r="G10"/>
  <c r="H10"/>
  <c r="I10"/>
  <c r="J10"/>
  <c r="K10"/>
  <c r="L10"/>
  <c r="B11"/>
  <c r="C11"/>
  <c r="D11"/>
  <c r="E11"/>
  <c r="F11"/>
  <c r="G11"/>
  <c r="H11"/>
  <c r="I11"/>
  <c r="J11"/>
  <c r="K11"/>
  <c r="L11"/>
  <c r="B12"/>
  <c r="C12"/>
  <c r="D12"/>
  <c r="E12"/>
  <c r="F12"/>
  <c r="G12"/>
  <c r="H12"/>
  <c r="I12"/>
  <c r="J12"/>
  <c r="K12"/>
  <c r="L12"/>
  <c r="B13"/>
  <c r="C13"/>
  <c r="D13"/>
  <c r="E13"/>
  <c r="F13"/>
  <c r="F38" s="1"/>
  <c r="G13"/>
  <c r="H13"/>
  <c r="I13"/>
  <c r="J13"/>
  <c r="K13"/>
  <c r="L13"/>
  <c r="B14"/>
  <c r="C14"/>
  <c r="D14"/>
  <c r="E14"/>
  <c r="F14"/>
  <c r="G14"/>
  <c r="H14"/>
  <c r="I14"/>
  <c r="J14"/>
  <c r="K14"/>
  <c r="L14"/>
  <c r="B15"/>
  <c r="C15"/>
  <c r="D15"/>
  <c r="E15"/>
  <c r="F15"/>
  <c r="G15"/>
  <c r="H15"/>
  <c r="I15"/>
  <c r="J15"/>
  <c r="K15"/>
  <c r="L15"/>
  <c r="B16"/>
  <c r="C16"/>
  <c r="D16"/>
  <c r="E16"/>
  <c r="F16"/>
  <c r="G16"/>
  <c r="H16"/>
  <c r="I16"/>
  <c r="J16"/>
  <c r="K16"/>
  <c r="L16"/>
  <c r="B17"/>
  <c r="C17"/>
  <c r="D17"/>
  <c r="E17"/>
  <c r="F17"/>
  <c r="G17"/>
  <c r="H17"/>
  <c r="I17"/>
  <c r="J17"/>
  <c r="K17"/>
  <c r="L17"/>
  <c r="B18"/>
  <c r="C18"/>
  <c r="D18"/>
  <c r="E18"/>
  <c r="F18"/>
  <c r="G18"/>
  <c r="H18"/>
  <c r="I18"/>
  <c r="J18"/>
  <c r="K18"/>
  <c r="L18"/>
  <c r="B19"/>
  <c r="C19"/>
  <c r="D19"/>
  <c r="E19"/>
  <c r="F19"/>
  <c r="G19"/>
  <c r="H19"/>
  <c r="I19"/>
  <c r="J19"/>
  <c r="K19"/>
  <c r="L19"/>
  <c r="B20"/>
  <c r="C20"/>
  <c r="D20"/>
  <c r="E20"/>
  <c r="F20"/>
  <c r="G20"/>
  <c r="H20"/>
  <c r="I20"/>
  <c r="J20"/>
  <c r="K20"/>
  <c r="L20"/>
  <c r="B21"/>
  <c r="C21"/>
  <c r="D21"/>
  <c r="E21"/>
  <c r="F21"/>
  <c r="G21"/>
  <c r="H21"/>
  <c r="I21"/>
  <c r="J21"/>
  <c r="K21"/>
  <c r="L21"/>
  <c r="B22"/>
  <c r="C22"/>
  <c r="D22"/>
  <c r="E22"/>
  <c r="F22"/>
  <c r="G22"/>
  <c r="H22"/>
  <c r="I22"/>
  <c r="J22"/>
  <c r="K22"/>
  <c r="L22"/>
  <c r="B23"/>
  <c r="C23"/>
  <c r="D23"/>
  <c r="E23"/>
  <c r="F23"/>
  <c r="G23"/>
  <c r="H23"/>
  <c r="I23"/>
  <c r="J23"/>
  <c r="K23"/>
  <c r="L23"/>
  <c r="B24"/>
  <c r="C24"/>
  <c r="D24"/>
  <c r="E24"/>
  <c r="E43" s="1"/>
  <c r="F24"/>
  <c r="G24"/>
  <c r="H24"/>
  <c r="I24"/>
  <c r="I38" s="1"/>
  <c r="J24"/>
  <c r="J43" s="1"/>
  <c r="K24"/>
  <c r="L24"/>
  <c r="B25"/>
  <c r="C25"/>
  <c r="D25"/>
  <c r="E25"/>
  <c r="F25"/>
  <c r="G25"/>
  <c r="H25"/>
  <c r="I25"/>
  <c r="J25"/>
  <c r="K25"/>
  <c r="L25"/>
  <c r="B26"/>
  <c r="C26"/>
  <c r="D26"/>
  <c r="E26"/>
  <c r="F26"/>
  <c r="G26"/>
  <c r="H26"/>
  <c r="I26"/>
  <c r="J26"/>
  <c r="K26"/>
  <c r="L26"/>
  <c r="B27"/>
  <c r="C27"/>
  <c r="D27"/>
  <c r="E27"/>
  <c r="F27"/>
  <c r="G27"/>
  <c r="H27"/>
  <c r="I27"/>
  <c r="J27"/>
  <c r="K27"/>
  <c r="L27"/>
  <c r="B28"/>
  <c r="C28"/>
  <c r="D28"/>
  <c r="E28"/>
  <c r="F28"/>
  <c r="G28"/>
  <c r="H28"/>
  <c r="I28"/>
  <c r="J28"/>
  <c r="K28"/>
  <c r="L28"/>
  <c r="B29"/>
  <c r="C29"/>
  <c r="D29"/>
  <c r="E29"/>
  <c r="F29"/>
  <c r="G29"/>
  <c r="H29"/>
  <c r="I29"/>
  <c r="J29"/>
  <c r="K29"/>
  <c r="L29"/>
  <c r="B30"/>
  <c r="C30"/>
  <c r="D30"/>
  <c r="E30"/>
  <c r="F30"/>
  <c r="G30"/>
  <c r="H30"/>
  <c r="I30"/>
  <c r="J30"/>
  <c r="K30"/>
  <c r="L30"/>
  <c r="B31"/>
  <c r="C31"/>
  <c r="D31"/>
  <c r="E31"/>
  <c r="F31"/>
  <c r="G31"/>
  <c r="H31"/>
  <c r="I31"/>
  <c r="J31"/>
  <c r="K31"/>
  <c r="L31"/>
  <c r="B32"/>
  <c r="B44" s="1"/>
  <c r="C32"/>
  <c r="C44" s="1"/>
  <c r="D32"/>
  <c r="E32"/>
  <c r="F32"/>
  <c r="F39" s="1"/>
  <c r="G32"/>
  <c r="G39" s="1"/>
  <c r="H32"/>
  <c r="I32"/>
  <c r="J32"/>
  <c r="J44" s="1"/>
  <c r="K32"/>
  <c r="K44" s="1"/>
  <c r="L32"/>
  <c r="B33"/>
  <c r="C33"/>
  <c r="D33"/>
  <c r="E33"/>
  <c r="F33"/>
  <c r="G33"/>
  <c r="H33"/>
  <c r="I33"/>
  <c r="J33"/>
  <c r="K33"/>
  <c r="L33"/>
  <c r="B34"/>
  <c r="C34"/>
  <c r="D34"/>
  <c r="E34"/>
  <c r="F34"/>
  <c r="G34"/>
  <c r="H34"/>
  <c r="I34"/>
  <c r="J34"/>
  <c r="K34"/>
  <c r="L34"/>
  <c r="L36" s="1"/>
  <c r="C5"/>
  <c r="D5"/>
  <c r="E5"/>
  <c r="F5"/>
  <c r="G5"/>
  <c r="H5"/>
  <c r="I5"/>
  <c r="J5"/>
  <c r="K5"/>
  <c r="L5"/>
  <c r="B5"/>
  <c r="A6" i="232"/>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B5" i="231"/>
  <c r="C5"/>
  <c r="D5"/>
  <c r="E5"/>
  <c r="F5"/>
  <c r="G5"/>
  <c r="H5"/>
  <c r="I5"/>
  <c r="J5"/>
  <c r="K5"/>
  <c r="L5"/>
  <c r="A6"/>
  <c r="B6"/>
  <c r="C6"/>
  <c r="D6"/>
  <c r="E6"/>
  <c r="F6"/>
  <c r="G6"/>
  <c r="H6"/>
  <c r="I6"/>
  <c r="J6"/>
  <c r="K6"/>
  <c r="L6"/>
  <c r="A7"/>
  <c r="B7"/>
  <c r="C7"/>
  <c r="D7"/>
  <c r="E7"/>
  <c r="F7"/>
  <c r="G7"/>
  <c r="H7"/>
  <c r="I7"/>
  <c r="J7"/>
  <c r="K7"/>
  <c r="L7"/>
  <c r="A8"/>
  <c r="B8"/>
  <c r="C8"/>
  <c r="D8"/>
  <c r="E8"/>
  <c r="F8"/>
  <c r="G8"/>
  <c r="H8"/>
  <c r="I8"/>
  <c r="J8"/>
  <c r="K8"/>
  <c r="L8"/>
  <c r="A9"/>
  <c r="B9"/>
  <c r="C9"/>
  <c r="D9"/>
  <c r="E9"/>
  <c r="F9"/>
  <c r="G9"/>
  <c r="H9"/>
  <c r="I9"/>
  <c r="J9"/>
  <c r="K9"/>
  <c r="L9"/>
  <c r="A10"/>
  <c r="B10"/>
  <c r="C10"/>
  <c r="D10"/>
  <c r="E10"/>
  <c r="F10"/>
  <c r="G10"/>
  <c r="H10"/>
  <c r="I10"/>
  <c r="J10"/>
  <c r="K10"/>
  <c r="L10"/>
  <c r="A11"/>
  <c r="B11"/>
  <c r="C11"/>
  <c r="D11"/>
  <c r="E11"/>
  <c r="F11"/>
  <c r="G11"/>
  <c r="H11"/>
  <c r="I11"/>
  <c r="J11"/>
  <c r="K11"/>
  <c r="L11"/>
  <c r="A12"/>
  <c r="B12"/>
  <c r="C12"/>
  <c r="D12"/>
  <c r="E12"/>
  <c r="F12"/>
  <c r="G12"/>
  <c r="H12"/>
  <c r="I12"/>
  <c r="J12"/>
  <c r="K12"/>
  <c r="L12"/>
  <c r="A13"/>
  <c r="B13"/>
  <c r="C13"/>
  <c r="D13"/>
  <c r="D37" s="1"/>
  <c r="E13"/>
  <c r="E37" s="1"/>
  <c r="F13"/>
  <c r="G13"/>
  <c r="H13"/>
  <c r="H42" s="1"/>
  <c r="I13"/>
  <c r="J13"/>
  <c r="K13"/>
  <c r="L13"/>
  <c r="L37" s="1"/>
  <c r="A14"/>
  <c r="B14"/>
  <c r="C14"/>
  <c r="D14"/>
  <c r="E14"/>
  <c r="F14"/>
  <c r="G14"/>
  <c r="H14"/>
  <c r="I14"/>
  <c r="J14"/>
  <c r="K14"/>
  <c r="L14"/>
  <c r="A15"/>
  <c r="B15"/>
  <c r="C15"/>
  <c r="D15"/>
  <c r="E15"/>
  <c r="F15"/>
  <c r="G15"/>
  <c r="H15"/>
  <c r="I15"/>
  <c r="J15"/>
  <c r="K15"/>
  <c r="L15"/>
  <c r="A16"/>
  <c r="B16"/>
  <c r="C16"/>
  <c r="D16"/>
  <c r="E16"/>
  <c r="F16"/>
  <c r="G16"/>
  <c r="H16"/>
  <c r="I16"/>
  <c r="J16"/>
  <c r="K16"/>
  <c r="L16"/>
  <c r="A17"/>
  <c r="B17"/>
  <c r="C17"/>
  <c r="D17"/>
  <c r="E17"/>
  <c r="F17"/>
  <c r="G17"/>
  <c r="H17"/>
  <c r="I17"/>
  <c r="J17"/>
  <c r="K17"/>
  <c r="L17"/>
  <c r="A18"/>
  <c r="B18"/>
  <c r="C18"/>
  <c r="D18"/>
  <c r="E18"/>
  <c r="F18"/>
  <c r="G18"/>
  <c r="H18"/>
  <c r="I18"/>
  <c r="J18"/>
  <c r="K18"/>
  <c r="L18"/>
  <c r="A19"/>
  <c r="B19"/>
  <c r="C19"/>
  <c r="D19"/>
  <c r="E19"/>
  <c r="F19"/>
  <c r="G19"/>
  <c r="H19"/>
  <c r="I19"/>
  <c r="J19"/>
  <c r="K19"/>
  <c r="L19"/>
  <c r="A20"/>
  <c r="B20"/>
  <c r="C20"/>
  <c r="D20"/>
  <c r="E20"/>
  <c r="F20"/>
  <c r="G20"/>
  <c r="H20"/>
  <c r="I20"/>
  <c r="J20"/>
  <c r="K20"/>
  <c r="L20"/>
  <c r="A21"/>
  <c r="B21"/>
  <c r="C21"/>
  <c r="D21"/>
  <c r="E21"/>
  <c r="F21"/>
  <c r="G21"/>
  <c r="H21"/>
  <c r="I21"/>
  <c r="J21"/>
  <c r="K21"/>
  <c r="L21"/>
  <c r="A22"/>
  <c r="B22"/>
  <c r="C22"/>
  <c r="D22"/>
  <c r="E22"/>
  <c r="F22"/>
  <c r="G22"/>
  <c r="H22"/>
  <c r="I22"/>
  <c r="J22"/>
  <c r="K22"/>
  <c r="L22"/>
  <c r="A23"/>
  <c r="B23"/>
  <c r="C23"/>
  <c r="D23"/>
  <c r="E23"/>
  <c r="F23"/>
  <c r="G23"/>
  <c r="H23"/>
  <c r="I23"/>
  <c r="J23"/>
  <c r="K23"/>
  <c r="L23"/>
  <c r="A24"/>
  <c r="B24"/>
  <c r="C24"/>
  <c r="D24"/>
  <c r="E24"/>
  <c r="E43" s="1"/>
  <c r="F24"/>
  <c r="F43" s="1"/>
  <c r="G24"/>
  <c r="H24"/>
  <c r="I24"/>
  <c r="I38" s="1"/>
  <c r="J24"/>
  <c r="J38" s="1"/>
  <c r="K24"/>
  <c r="L24"/>
  <c r="A25"/>
  <c r="B25"/>
  <c r="C25"/>
  <c r="D25"/>
  <c r="E25"/>
  <c r="F25"/>
  <c r="G25"/>
  <c r="H25"/>
  <c r="I25"/>
  <c r="J25"/>
  <c r="K25"/>
  <c r="L25"/>
  <c r="A26"/>
  <c r="B26"/>
  <c r="C26"/>
  <c r="D26"/>
  <c r="E26"/>
  <c r="F26"/>
  <c r="G26"/>
  <c r="H26"/>
  <c r="I26"/>
  <c r="J26"/>
  <c r="K26"/>
  <c r="L26"/>
  <c r="A27"/>
  <c r="B27"/>
  <c r="C27"/>
  <c r="D27"/>
  <c r="E27"/>
  <c r="F27"/>
  <c r="G27"/>
  <c r="H27"/>
  <c r="I27"/>
  <c r="J27"/>
  <c r="K27"/>
  <c r="L27"/>
  <c r="A28"/>
  <c r="B28"/>
  <c r="C28"/>
  <c r="D28"/>
  <c r="E28"/>
  <c r="F28"/>
  <c r="G28"/>
  <c r="H28"/>
  <c r="I28"/>
  <c r="J28"/>
  <c r="K28"/>
  <c r="L28"/>
  <c r="A29"/>
  <c r="B29"/>
  <c r="C29"/>
  <c r="D29"/>
  <c r="E29"/>
  <c r="F29"/>
  <c r="G29"/>
  <c r="H29"/>
  <c r="I29"/>
  <c r="J29"/>
  <c r="K29"/>
  <c r="L29"/>
  <c r="A30"/>
  <c r="B30"/>
  <c r="C30"/>
  <c r="D30"/>
  <c r="E30"/>
  <c r="F30"/>
  <c r="G30"/>
  <c r="H30"/>
  <c r="I30"/>
  <c r="J30"/>
  <c r="K30"/>
  <c r="L30"/>
  <c r="A31"/>
  <c r="B31"/>
  <c r="C31"/>
  <c r="D31"/>
  <c r="E31"/>
  <c r="F31"/>
  <c r="G31"/>
  <c r="H31"/>
  <c r="I31"/>
  <c r="J31"/>
  <c r="K31"/>
  <c r="L31"/>
  <c r="A32"/>
  <c r="B32"/>
  <c r="C32"/>
  <c r="C44" s="1"/>
  <c r="D32"/>
  <c r="E32"/>
  <c r="F32"/>
  <c r="G32"/>
  <c r="G39" s="1"/>
  <c r="H32"/>
  <c r="I32"/>
  <c r="J32"/>
  <c r="J44" s="1"/>
  <c r="K32"/>
  <c r="K44" s="1"/>
  <c r="L32"/>
  <c r="A33"/>
  <c r="B33"/>
  <c r="C33"/>
  <c r="D33"/>
  <c r="E33"/>
  <c r="F33"/>
  <c r="G33"/>
  <c r="H33"/>
  <c r="I33"/>
  <c r="J33"/>
  <c r="K33"/>
  <c r="L33"/>
  <c r="A34"/>
  <c r="B6" i="230"/>
  <c r="C6"/>
  <c r="D6"/>
  <c r="E6"/>
  <c r="F6"/>
  <c r="G6"/>
  <c r="H6"/>
  <c r="I6"/>
  <c r="J6"/>
  <c r="K6"/>
  <c r="L6"/>
  <c r="B7"/>
  <c r="C7"/>
  <c r="D7"/>
  <c r="E7"/>
  <c r="F7"/>
  <c r="G7"/>
  <c r="H7"/>
  <c r="I7"/>
  <c r="J7"/>
  <c r="K7"/>
  <c r="L7"/>
  <c r="B8"/>
  <c r="C8"/>
  <c r="D8"/>
  <c r="E8"/>
  <c r="F8"/>
  <c r="G8"/>
  <c r="H8"/>
  <c r="I8"/>
  <c r="J8"/>
  <c r="K8"/>
  <c r="L8"/>
  <c r="B9"/>
  <c r="C9"/>
  <c r="D9"/>
  <c r="E9"/>
  <c r="F9"/>
  <c r="G9"/>
  <c r="H9"/>
  <c r="I9"/>
  <c r="J9"/>
  <c r="K9"/>
  <c r="L9"/>
  <c r="B10"/>
  <c r="C10"/>
  <c r="D10"/>
  <c r="E10"/>
  <c r="F10"/>
  <c r="G10"/>
  <c r="H10"/>
  <c r="I10"/>
  <c r="J10"/>
  <c r="K10"/>
  <c r="L10"/>
  <c r="B11"/>
  <c r="C11"/>
  <c r="D11"/>
  <c r="E11"/>
  <c r="F11"/>
  <c r="G11"/>
  <c r="H11"/>
  <c r="I11"/>
  <c r="J11"/>
  <c r="K11"/>
  <c r="L11"/>
  <c r="B12"/>
  <c r="C12"/>
  <c r="D12"/>
  <c r="E12"/>
  <c r="F12"/>
  <c r="G12"/>
  <c r="H12"/>
  <c r="I12"/>
  <c r="J12"/>
  <c r="K12"/>
  <c r="L12"/>
  <c r="B13"/>
  <c r="C13"/>
  <c r="D13"/>
  <c r="E13"/>
  <c r="F13"/>
  <c r="G13"/>
  <c r="H13"/>
  <c r="H37" s="1"/>
  <c r="I13"/>
  <c r="J13"/>
  <c r="K13"/>
  <c r="L13"/>
  <c r="L42" s="1"/>
  <c r="B14"/>
  <c r="C14"/>
  <c r="D14"/>
  <c r="E14"/>
  <c r="F14"/>
  <c r="G14"/>
  <c r="H14"/>
  <c r="I14"/>
  <c r="J14"/>
  <c r="K14"/>
  <c r="L14"/>
  <c r="B15"/>
  <c r="C15"/>
  <c r="D15"/>
  <c r="E15"/>
  <c r="F15"/>
  <c r="G15"/>
  <c r="H15"/>
  <c r="I15"/>
  <c r="J15"/>
  <c r="K15"/>
  <c r="L15"/>
  <c r="B16"/>
  <c r="C16"/>
  <c r="D16"/>
  <c r="E16"/>
  <c r="F16"/>
  <c r="G16"/>
  <c r="H16"/>
  <c r="I16"/>
  <c r="J16"/>
  <c r="K16"/>
  <c r="L16"/>
  <c r="B17"/>
  <c r="C17"/>
  <c r="D17"/>
  <c r="E17"/>
  <c r="F17"/>
  <c r="G17"/>
  <c r="H17"/>
  <c r="I17"/>
  <c r="J17"/>
  <c r="K17"/>
  <c r="L17"/>
  <c r="B18"/>
  <c r="C18"/>
  <c r="D18"/>
  <c r="E18"/>
  <c r="F18"/>
  <c r="G18"/>
  <c r="H18"/>
  <c r="I18"/>
  <c r="J18"/>
  <c r="K18"/>
  <c r="L18"/>
  <c r="B19"/>
  <c r="C19"/>
  <c r="D19"/>
  <c r="E19"/>
  <c r="F19"/>
  <c r="G19"/>
  <c r="H19"/>
  <c r="I19"/>
  <c r="J19"/>
  <c r="K19"/>
  <c r="L19"/>
  <c r="B20"/>
  <c r="C20"/>
  <c r="D20"/>
  <c r="E20"/>
  <c r="F20"/>
  <c r="G20"/>
  <c r="H20"/>
  <c r="I20"/>
  <c r="J20"/>
  <c r="K20"/>
  <c r="L20"/>
  <c r="B21"/>
  <c r="C21"/>
  <c r="D21"/>
  <c r="E21"/>
  <c r="F21"/>
  <c r="G21"/>
  <c r="H21"/>
  <c r="I21"/>
  <c r="J21"/>
  <c r="K21"/>
  <c r="L21"/>
  <c r="B22"/>
  <c r="C22"/>
  <c r="D22"/>
  <c r="E22"/>
  <c r="F22"/>
  <c r="G22"/>
  <c r="H22"/>
  <c r="I22"/>
  <c r="J22"/>
  <c r="K22"/>
  <c r="L22"/>
  <c r="B23"/>
  <c r="C23"/>
  <c r="D23"/>
  <c r="E23"/>
  <c r="F23"/>
  <c r="G23"/>
  <c r="H23"/>
  <c r="I23"/>
  <c r="J23"/>
  <c r="K23"/>
  <c r="L23"/>
  <c r="B24"/>
  <c r="C24"/>
  <c r="D24"/>
  <c r="E24"/>
  <c r="F24"/>
  <c r="G24"/>
  <c r="H24"/>
  <c r="I24"/>
  <c r="J24"/>
  <c r="K24"/>
  <c r="L24"/>
  <c r="B25"/>
  <c r="C25"/>
  <c r="D25"/>
  <c r="E25"/>
  <c r="F25"/>
  <c r="G25"/>
  <c r="H25"/>
  <c r="I25"/>
  <c r="J25"/>
  <c r="K25"/>
  <c r="L25"/>
  <c r="B26"/>
  <c r="C26"/>
  <c r="D26"/>
  <c r="E26"/>
  <c r="F26"/>
  <c r="G26"/>
  <c r="H26"/>
  <c r="I26"/>
  <c r="J26"/>
  <c r="K26"/>
  <c r="L26"/>
  <c r="B27"/>
  <c r="C27"/>
  <c r="D27"/>
  <c r="E27"/>
  <c r="F27"/>
  <c r="G27"/>
  <c r="H27"/>
  <c r="I27"/>
  <c r="J27"/>
  <c r="K27"/>
  <c r="L27"/>
  <c r="B28"/>
  <c r="C28"/>
  <c r="D28"/>
  <c r="E28"/>
  <c r="F28"/>
  <c r="G28"/>
  <c r="H28"/>
  <c r="I28"/>
  <c r="J28"/>
  <c r="K28"/>
  <c r="L28"/>
  <c r="B29"/>
  <c r="C29"/>
  <c r="D29"/>
  <c r="E29"/>
  <c r="F29"/>
  <c r="G29"/>
  <c r="H29"/>
  <c r="I29"/>
  <c r="J29"/>
  <c r="K29"/>
  <c r="L29"/>
  <c r="B30"/>
  <c r="C30"/>
  <c r="D30"/>
  <c r="E30"/>
  <c r="F30"/>
  <c r="G30"/>
  <c r="H30"/>
  <c r="I30"/>
  <c r="J30"/>
  <c r="K30"/>
  <c r="L30"/>
  <c r="B31"/>
  <c r="C31"/>
  <c r="D31"/>
  <c r="E31"/>
  <c r="F31"/>
  <c r="G31"/>
  <c r="H31"/>
  <c r="I31"/>
  <c r="J31"/>
  <c r="K31"/>
  <c r="L31"/>
  <c r="B32"/>
  <c r="B44" s="1"/>
  <c r="C32"/>
  <c r="C44" s="1"/>
  <c r="D32"/>
  <c r="E32"/>
  <c r="F32"/>
  <c r="F39" s="1"/>
  <c r="G32"/>
  <c r="G39" s="1"/>
  <c r="H32"/>
  <c r="I32"/>
  <c r="J32"/>
  <c r="J44" s="1"/>
  <c r="K32"/>
  <c r="K44" s="1"/>
  <c r="L32"/>
  <c r="B33"/>
  <c r="C33"/>
  <c r="D33"/>
  <c r="E33"/>
  <c r="F33"/>
  <c r="G33"/>
  <c r="H33"/>
  <c r="I33"/>
  <c r="J33"/>
  <c r="K33"/>
  <c r="L33"/>
  <c r="L5"/>
  <c r="K5"/>
  <c r="J5"/>
  <c r="I5"/>
  <c r="H5"/>
  <c r="G5"/>
  <c r="F5"/>
  <c r="E5"/>
  <c r="D5"/>
  <c r="C5"/>
  <c r="B5"/>
  <c r="B6" i="229"/>
  <c r="C6"/>
  <c r="D6"/>
  <c r="E6"/>
  <c r="F6"/>
  <c r="G6"/>
  <c r="H6"/>
  <c r="I6"/>
  <c r="J6"/>
  <c r="K6"/>
  <c r="L6"/>
  <c r="B7"/>
  <c r="C7"/>
  <c r="D7"/>
  <c r="E7"/>
  <c r="F7"/>
  <c r="G7"/>
  <c r="H7"/>
  <c r="I7"/>
  <c r="J7"/>
  <c r="K7"/>
  <c r="L7"/>
  <c r="B8"/>
  <c r="C8"/>
  <c r="D8"/>
  <c r="E8"/>
  <c r="F8"/>
  <c r="G8"/>
  <c r="H8"/>
  <c r="I8"/>
  <c r="J8"/>
  <c r="K8"/>
  <c r="L8"/>
  <c r="B9"/>
  <c r="C9"/>
  <c r="D9"/>
  <c r="E9"/>
  <c r="F9"/>
  <c r="G9"/>
  <c r="H9"/>
  <c r="I9"/>
  <c r="J9"/>
  <c r="K9"/>
  <c r="L9"/>
  <c r="B10"/>
  <c r="C10"/>
  <c r="D10"/>
  <c r="E10"/>
  <c r="F10"/>
  <c r="G10"/>
  <c r="H10"/>
  <c r="I10"/>
  <c r="J10"/>
  <c r="K10"/>
  <c r="L10"/>
  <c r="B11"/>
  <c r="C11"/>
  <c r="D11"/>
  <c r="E11"/>
  <c r="F11"/>
  <c r="G11"/>
  <c r="H11"/>
  <c r="I11"/>
  <c r="J11"/>
  <c r="K11"/>
  <c r="L11"/>
  <c r="B12"/>
  <c r="C12"/>
  <c r="D12"/>
  <c r="E12"/>
  <c r="F12"/>
  <c r="G12"/>
  <c r="H12"/>
  <c r="I12"/>
  <c r="J12"/>
  <c r="K12"/>
  <c r="L12"/>
  <c r="B13"/>
  <c r="C13"/>
  <c r="D13"/>
  <c r="E13"/>
  <c r="F13"/>
  <c r="G13"/>
  <c r="H13"/>
  <c r="I13"/>
  <c r="J13"/>
  <c r="K13"/>
  <c r="L13"/>
  <c r="B14"/>
  <c r="C14"/>
  <c r="D14"/>
  <c r="E14"/>
  <c r="F14"/>
  <c r="G14"/>
  <c r="H14"/>
  <c r="I14"/>
  <c r="J14"/>
  <c r="K14"/>
  <c r="L14"/>
  <c r="B15"/>
  <c r="C15"/>
  <c r="D15"/>
  <c r="E15"/>
  <c r="F15"/>
  <c r="G15"/>
  <c r="H15"/>
  <c r="I15"/>
  <c r="J15"/>
  <c r="K15"/>
  <c r="L15"/>
  <c r="B16"/>
  <c r="C16"/>
  <c r="D16"/>
  <c r="E16"/>
  <c r="F16"/>
  <c r="G16"/>
  <c r="H16"/>
  <c r="I16"/>
  <c r="J16"/>
  <c r="K16"/>
  <c r="L16"/>
  <c r="B17"/>
  <c r="C17"/>
  <c r="D17"/>
  <c r="E17"/>
  <c r="F17"/>
  <c r="G17"/>
  <c r="H17"/>
  <c r="I17"/>
  <c r="J17"/>
  <c r="K17"/>
  <c r="L17"/>
  <c r="B18"/>
  <c r="C18"/>
  <c r="D18"/>
  <c r="E18"/>
  <c r="F18"/>
  <c r="G18"/>
  <c r="H18"/>
  <c r="I18"/>
  <c r="J18"/>
  <c r="K18"/>
  <c r="L18"/>
  <c r="B19"/>
  <c r="C19"/>
  <c r="D19"/>
  <c r="E19"/>
  <c r="F19"/>
  <c r="G19"/>
  <c r="H19"/>
  <c r="I19"/>
  <c r="J19"/>
  <c r="K19"/>
  <c r="L19"/>
  <c r="B20"/>
  <c r="C20"/>
  <c r="D20"/>
  <c r="E20"/>
  <c r="F20"/>
  <c r="G20"/>
  <c r="H20"/>
  <c r="I20"/>
  <c r="J20"/>
  <c r="K20"/>
  <c r="L20"/>
  <c r="B21"/>
  <c r="C21"/>
  <c r="D21"/>
  <c r="E21"/>
  <c r="F21"/>
  <c r="G21"/>
  <c r="H21"/>
  <c r="I21"/>
  <c r="J21"/>
  <c r="K21"/>
  <c r="L21"/>
  <c r="B22"/>
  <c r="C22"/>
  <c r="D22"/>
  <c r="E22"/>
  <c r="F22"/>
  <c r="G22"/>
  <c r="H22"/>
  <c r="I22"/>
  <c r="J22"/>
  <c r="K22"/>
  <c r="L22"/>
  <c r="B23"/>
  <c r="C23"/>
  <c r="D23"/>
  <c r="E23"/>
  <c r="F23"/>
  <c r="G23"/>
  <c r="H23"/>
  <c r="I23"/>
  <c r="J23"/>
  <c r="K23"/>
  <c r="L23"/>
  <c r="B24"/>
  <c r="C24"/>
  <c r="D24"/>
  <c r="E24"/>
  <c r="E43" s="1"/>
  <c r="F24"/>
  <c r="G24"/>
  <c r="H24"/>
  <c r="I24"/>
  <c r="I38" s="1"/>
  <c r="J24"/>
  <c r="K24"/>
  <c r="L24"/>
  <c r="B25"/>
  <c r="C25"/>
  <c r="D25"/>
  <c r="E25"/>
  <c r="F25"/>
  <c r="G25"/>
  <c r="H25"/>
  <c r="I25"/>
  <c r="J25"/>
  <c r="K25"/>
  <c r="L25"/>
  <c r="B26"/>
  <c r="C26"/>
  <c r="D26"/>
  <c r="E26"/>
  <c r="F26"/>
  <c r="G26"/>
  <c r="H26"/>
  <c r="I26"/>
  <c r="J26"/>
  <c r="K26"/>
  <c r="L26"/>
  <c r="B27"/>
  <c r="C27"/>
  <c r="D27"/>
  <c r="E27"/>
  <c r="F27"/>
  <c r="G27"/>
  <c r="H27"/>
  <c r="I27"/>
  <c r="J27"/>
  <c r="K27"/>
  <c r="L27"/>
  <c r="B28"/>
  <c r="C28"/>
  <c r="D28"/>
  <c r="E28"/>
  <c r="F28"/>
  <c r="G28"/>
  <c r="H28"/>
  <c r="I28"/>
  <c r="J28"/>
  <c r="K28"/>
  <c r="L28"/>
  <c r="B29"/>
  <c r="C29"/>
  <c r="D29"/>
  <c r="E29"/>
  <c r="F29"/>
  <c r="G29"/>
  <c r="H29"/>
  <c r="I29"/>
  <c r="J29"/>
  <c r="K29"/>
  <c r="L29"/>
  <c r="B30"/>
  <c r="C30"/>
  <c r="D30"/>
  <c r="E30"/>
  <c r="F30"/>
  <c r="G30"/>
  <c r="H30"/>
  <c r="I30"/>
  <c r="J30"/>
  <c r="K30"/>
  <c r="L30"/>
  <c r="B31"/>
  <c r="C31"/>
  <c r="D31"/>
  <c r="E31"/>
  <c r="F31"/>
  <c r="G31"/>
  <c r="H31"/>
  <c r="I31"/>
  <c r="J31"/>
  <c r="K31"/>
  <c r="L31"/>
  <c r="B32"/>
  <c r="C32"/>
  <c r="D32"/>
  <c r="E32"/>
  <c r="F32"/>
  <c r="G32"/>
  <c r="H32"/>
  <c r="I32"/>
  <c r="J32"/>
  <c r="J44" s="1"/>
  <c r="K32"/>
  <c r="K44" s="1"/>
  <c r="L32"/>
  <c r="B33"/>
  <c r="C33"/>
  <c r="D33"/>
  <c r="E33"/>
  <c r="F33"/>
  <c r="G33"/>
  <c r="H33"/>
  <c r="I33"/>
  <c r="J33"/>
  <c r="K33"/>
  <c r="L33"/>
  <c r="L5"/>
  <c r="K5"/>
  <c r="J5"/>
  <c r="I5"/>
  <c r="H5"/>
  <c r="G5"/>
  <c r="F5"/>
  <c r="E5"/>
  <c r="E42" s="1"/>
  <c r="D5"/>
  <c r="C5"/>
  <c r="B5"/>
  <c r="L33" i="227"/>
  <c r="K33"/>
  <c r="J33"/>
  <c r="I33"/>
  <c r="H33"/>
  <c r="G33"/>
  <c r="F33"/>
  <c r="E33"/>
  <c r="D33"/>
  <c r="C33"/>
  <c r="B33"/>
  <c r="L32"/>
  <c r="K32"/>
  <c r="J32"/>
  <c r="I32"/>
  <c r="H32"/>
  <c r="G32"/>
  <c r="G44" s="1"/>
  <c r="F32"/>
  <c r="E32"/>
  <c r="D32"/>
  <c r="C32"/>
  <c r="C39" s="1"/>
  <c r="B32"/>
  <c r="L31"/>
  <c r="K31"/>
  <c r="J31"/>
  <c r="I31"/>
  <c r="H31"/>
  <c r="G31"/>
  <c r="F31"/>
  <c r="E31"/>
  <c r="D31"/>
  <c r="C31"/>
  <c r="B31"/>
  <c r="L30"/>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A6"/>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7" i="230"/>
  <c r="A8" s="1"/>
  <c r="A9" s="1"/>
  <c r="A10" s="1"/>
  <c r="A11" s="1"/>
  <c r="A12" s="1"/>
  <c r="A13" s="1"/>
  <c r="A14" s="1"/>
  <c r="A15" s="1"/>
  <c r="A16" s="1"/>
  <c r="A17" s="1"/>
  <c r="A18" s="1"/>
  <c r="A19" s="1"/>
  <c r="A20" s="1"/>
  <c r="A21" s="1"/>
  <c r="A22" s="1"/>
  <c r="A23" s="1"/>
  <c r="A24" s="1"/>
  <c r="A25" s="1"/>
  <c r="A26" s="1"/>
  <c r="A27" s="1"/>
  <c r="A28" s="1"/>
  <c r="A29" s="1"/>
  <c r="A30" s="1"/>
  <c r="A31" s="1"/>
  <c r="A32" s="1"/>
  <c r="A33" s="1"/>
  <c r="A34" s="1"/>
  <c r="A6"/>
  <c r="A6" i="222"/>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23"/>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24"/>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25"/>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26"/>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28"/>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29"/>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18"/>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19"/>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20"/>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2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10"/>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17"/>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B6" i="214"/>
  <c r="C6"/>
  <c r="D6"/>
  <c r="E6"/>
  <c r="F6"/>
  <c r="G6"/>
  <c r="H6"/>
  <c r="I6"/>
  <c r="J6"/>
  <c r="K6"/>
  <c r="L6"/>
  <c r="B7"/>
  <c r="C7"/>
  <c r="D7"/>
  <c r="E7"/>
  <c r="F7"/>
  <c r="G7"/>
  <c r="H7"/>
  <c r="I7"/>
  <c r="J7"/>
  <c r="K7"/>
  <c r="L7"/>
  <c r="B8"/>
  <c r="C8"/>
  <c r="D8"/>
  <c r="E8"/>
  <c r="F8"/>
  <c r="G8"/>
  <c r="H8"/>
  <c r="I8"/>
  <c r="J8"/>
  <c r="K8"/>
  <c r="L8"/>
  <c r="B9"/>
  <c r="C9"/>
  <c r="D9"/>
  <c r="E9"/>
  <c r="F9"/>
  <c r="G9"/>
  <c r="H9"/>
  <c r="I9"/>
  <c r="J9"/>
  <c r="K9"/>
  <c r="L9"/>
  <c r="B10"/>
  <c r="C10"/>
  <c r="D10"/>
  <c r="E10"/>
  <c r="F10"/>
  <c r="G10"/>
  <c r="H10"/>
  <c r="I10"/>
  <c r="J10"/>
  <c r="K10"/>
  <c r="L10"/>
  <c r="B11"/>
  <c r="C11"/>
  <c r="D11"/>
  <c r="E11"/>
  <c r="F11"/>
  <c r="G11"/>
  <c r="H11"/>
  <c r="I11"/>
  <c r="J11"/>
  <c r="K11"/>
  <c r="L11"/>
  <c r="B12"/>
  <c r="C12"/>
  <c r="D12"/>
  <c r="E12"/>
  <c r="F12"/>
  <c r="G12"/>
  <c r="H12"/>
  <c r="I12"/>
  <c r="J12"/>
  <c r="K12"/>
  <c r="L12"/>
  <c r="B13"/>
  <c r="C13"/>
  <c r="D13"/>
  <c r="E13"/>
  <c r="F13"/>
  <c r="G13"/>
  <c r="H13"/>
  <c r="I13"/>
  <c r="J13"/>
  <c r="K13"/>
  <c r="L13"/>
  <c r="B14"/>
  <c r="C14"/>
  <c r="D14"/>
  <c r="E14"/>
  <c r="F14"/>
  <c r="G14"/>
  <c r="H14"/>
  <c r="I14"/>
  <c r="J14"/>
  <c r="K14"/>
  <c r="L14"/>
  <c r="B15"/>
  <c r="C15"/>
  <c r="D15"/>
  <c r="E15"/>
  <c r="F15"/>
  <c r="G15"/>
  <c r="H15"/>
  <c r="I15"/>
  <c r="J15"/>
  <c r="K15"/>
  <c r="L15"/>
  <c r="B16"/>
  <c r="C16"/>
  <c r="D16"/>
  <c r="E16"/>
  <c r="F16"/>
  <c r="G16"/>
  <c r="H16"/>
  <c r="I16"/>
  <c r="J16"/>
  <c r="K16"/>
  <c r="L16"/>
  <c r="B17"/>
  <c r="C17"/>
  <c r="D17"/>
  <c r="E17"/>
  <c r="F17"/>
  <c r="G17"/>
  <c r="H17"/>
  <c r="I17"/>
  <c r="J17"/>
  <c r="K17"/>
  <c r="L17"/>
  <c r="B18"/>
  <c r="C18"/>
  <c r="D18"/>
  <c r="E18"/>
  <c r="F18"/>
  <c r="G18"/>
  <c r="H18"/>
  <c r="I18"/>
  <c r="J18"/>
  <c r="K18"/>
  <c r="L18"/>
  <c r="B19"/>
  <c r="C19"/>
  <c r="D19"/>
  <c r="E19"/>
  <c r="F19"/>
  <c r="G19"/>
  <c r="H19"/>
  <c r="I19"/>
  <c r="J19"/>
  <c r="K19"/>
  <c r="L19"/>
  <c r="B20"/>
  <c r="C20"/>
  <c r="D20"/>
  <c r="E20"/>
  <c r="F20"/>
  <c r="G20"/>
  <c r="H20"/>
  <c r="I20"/>
  <c r="J20"/>
  <c r="K20"/>
  <c r="L20"/>
  <c r="B21"/>
  <c r="C21"/>
  <c r="D21"/>
  <c r="E21"/>
  <c r="F21"/>
  <c r="G21"/>
  <c r="H21"/>
  <c r="I21"/>
  <c r="J21"/>
  <c r="K21"/>
  <c r="L21"/>
  <c r="B22"/>
  <c r="C22"/>
  <c r="D22"/>
  <c r="E22"/>
  <c r="F22"/>
  <c r="G22"/>
  <c r="H22"/>
  <c r="I22"/>
  <c r="J22"/>
  <c r="K22"/>
  <c r="L22"/>
  <c r="B23"/>
  <c r="C23"/>
  <c r="D23"/>
  <c r="E23"/>
  <c r="F23"/>
  <c r="G23"/>
  <c r="H23"/>
  <c r="I23"/>
  <c r="J23"/>
  <c r="K23"/>
  <c r="L23"/>
  <c r="B24"/>
  <c r="C24"/>
  <c r="D24"/>
  <c r="E24"/>
  <c r="F24"/>
  <c r="F43" s="1"/>
  <c r="G24"/>
  <c r="H24"/>
  <c r="I24"/>
  <c r="J24"/>
  <c r="K24"/>
  <c r="L24"/>
  <c r="B25"/>
  <c r="C25"/>
  <c r="D25"/>
  <c r="E25"/>
  <c r="F25"/>
  <c r="G25"/>
  <c r="H25"/>
  <c r="I25"/>
  <c r="J25"/>
  <c r="K25"/>
  <c r="L25"/>
  <c r="B26"/>
  <c r="C26"/>
  <c r="D26"/>
  <c r="E26"/>
  <c r="F26"/>
  <c r="G26"/>
  <c r="H26"/>
  <c r="I26"/>
  <c r="J26"/>
  <c r="K26"/>
  <c r="L26"/>
  <c r="B27"/>
  <c r="C27"/>
  <c r="D27"/>
  <c r="E27"/>
  <c r="F27"/>
  <c r="G27"/>
  <c r="H27"/>
  <c r="I27"/>
  <c r="J27"/>
  <c r="K27"/>
  <c r="L27"/>
  <c r="B28"/>
  <c r="C28"/>
  <c r="D28"/>
  <c r="E28"/>
  <c r="F28"/>
  <c r="G28"/>
  <c r="H28"/>
  <c r="I28"/>
  <c r="J28"/>
  <c r="K28"/>
  <c r="L28"/>
  <c r="B29"/>
  <c r="C29"/>
  <c r="D29"/>
  <c r="E29"/>
  <c r="F29"/>
  <c r="G29"/>
  <c r="H29"/>
  <c r="I29"/>
  <c r="J29"/>
  <c r="K29"/>
  <c r="L29"/>
  <c r="B30"/>
  <c r="C30"/>
  <c r="D30"/>
  <c r="E30"/>
  <c r="F30"/>
  <c r="G30"/>
  <c r="H30"/>
  <c r="I30"/>
  <c r="J30"/>
  <c r="K30"/>
  <c r="L30"/>
  <c r="C5"/>
  <c r="D5"/>
  <c r="E5"/>
  <c r="F5"/>
  <c r="G5"/>
  <c r="H5"/>
  <c r="I5"/>
  <c r="J5"/>
  <c r="K5"/>
  <c r="L5"/>
  <c r="B5"/>
  <c r="A7" i="216"/>
  <c r="A8" s="1"/>
  <c r="A9" s="1"/>
  <c r="A10" s="1"/>
  <c r="A11" s="1"/>
  <c r="A12" s="1"/>
  <c r="A13" s="1"/>
  <c r="A14" s="1"/>
  <c r="A15" s="1"/>
  <c r="A16" s="1"/>
  <c r="A17" s="1"/>
  <c r="A18" s="1"/>
  <c r="A19" s="1"/>
  <c r="A20" s="1"/>
  <c r="A21" s="1"/>
  <c r="A22" s="1"/>
  <c r="A23" s="1"/>
  <c r="A24" s="1"/>
  <c r="A25" s="1"/>
  <c r="A26" s="1"/>
  <c r="A27" s="1"/>
  <c r="A28" s="1"/>
  <c r="A29" s="1"/>
  <c r="A30" s="1"/>
  <c r="A31" s="1"/>
  <c r="A32" s="1"/>
  <c r="A33" s="1"/>
  <c r="A34" s="1"/>
  <c r="A6"/>
  <c r="A6" i="215"/>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7" i="214"/>
  <c r="A8" s="1"/>
  <c r="A9" s="1"/>
  <c r="A10" s="1"/>
  <c r="A11" s="1"/>
  <c r="A12" s="1"/>
  <c r="A13" s="1"/>
  <c r="A14" s="1"/>
  <c r="A15" s="1"/>
  <c r="A16" s="1"/>
  <c r="A17" s="1"/>
  <c r="A18" s="1"/>
  <c r="A19" s="1"/>
  <c r="A20" s="1"/>
  <c r="A21" s="1"/>
  <c r="A22" s="1"/>
  <c r="A23" s="1"/>
  <c r="A24" s="1"/>
  <c r="A25" s="1"/>
  <c r="A26" s="1"/>
  <c r="A27" s="1"/>
  <c r="A28" s="1"/>
  <c r="A29" s="1"/>
  <c r="A30" s="1"/>
  <c r="A31" s="1"/>
  <c r="A32" s="1"/>
  <c r="A33" s="1"/>
  <c r="A34" s="1"/>
  <c r="A6"/>
  <c r="A6" i="213"/>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7" i="211"/>
  <c r="A8" s="1"/>
  <c r="A9" s="1"/>
  <c r="A10" s="1"/>
  <c r="A11" s="1"/>
  <c r="A12" s="1"/>
  <c r="A13" s="1"/>
  <c r="A14" s="1"/>
  <c r="A15" s="1"/>
  <c r="A16" s="1"/>
  <c r="A17" s="1"/>
  <c r="A18" s="1"/>
  <c r="A19" s="1"/>
  <c r="A20" s="1"/>
  <c r="A21" s="1"/>
  <c r="A22" s="1"/>
  <c r="A23" s="1"/>
  <c r="A24" s="1"/>
  <c r="A25" s="1"/>
  <c r="A26" s="1"/>
  <c r="A27" s="1"/>
  <c r="A28" s="1"/>
  <c r="A29" s="1"/>
  <c r="A30" s="1"/>
  <c r="A31" s="1"/>
  <c r="A32" s="1"/>
  <c r="A33" s="1"/>
  <c r="A34" s="1"/>
  <c r="A6"/>
  <c r="A6" i="212"/>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03"/>
  <c r="A7"/>
  <c r="A8"/>
  <c r="A9"/>
  <c r="A10"/>
  <c r="A11"/>
  <c r="A12"/>
  <c r="A13"/>
  <c r="A14"/>
  <c r="A15"/>
  <c r="A16"/>
  <c r="A17"/>
  <c r="A18"/>
  <c r="A19"/>
  <c r="A20"/>
  <c r="A21"/>
  <c r="A22"/>
  <c r="A23"/>
  <c r="A24"/>
  <c r="A25"/>
  <c r="A26"/>
  <c r="A27"/>
  <c r="A28"/>
  <c r="A29"/>
  <c r="A30"/>
  <c r="A31"/>
  <c r="A32"/>
  <c r="A33"/>
  <c r="A34"/>
  <c r="A6" i="20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09"/>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04"/>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07"/>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05"/>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06"/>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6" i="202"/>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I42" i="237" l="1"/>
  <c r="E37"/>
  <c r="F38" i="238"/>
  <c r="D37"/>
  <c r="I37"/>
  <c r="G39"/>
  <c r="H42"/>
  <c r="I43"/>
  <c r="D37" i="237"/>
  <c r="I37"/>
  <c r="B39"/>
  <c r="J39"/>
  <c r="G44"/>
  <c r="I37" i="235"/>
  <c r="F38"/>
  <c r="K39"/>
  <c r="E42"/>
  <c r="I43"/>
  <c r="E38" i="234"/>
  <c r="B39"/>
  <c r="E42"/>
  <c r="B43"/>
  <c r="J43"/>
  <c r="G44"/>
  <c r="K39" i="222"/>
  <c r="F38" i="231"/>
  <c r="D42"/>
  <c r="C39" i="230"/>
  <c r="F44"/>
  <c r="E38" i="229"/>
  <c r="I43"/>
  <c r="F38" i="214"/>
  <c r="K39" i="227"/>
  <c r="K41" i="222"/>
  <c r="J38" i="229"/>
  <c r="F43"/>
  <c r="D42" i="222"/>
  <c r="H42" i="237"/>
  <c r="L37" i="238"/>
  <c r="C39"/>
  <c r="E42"/>
  <c r="H37" i="237"/>
  <c r="L37"/>
  <c r="C39"/>
  <c r="K39"/>
  <c r="F44"/>
  <c r="H37" i="235"/>
  <c r="E38"/>
  <c r="J39"/>
  <c r="D42"/>
  <c r="L42"/>
  <c r="I37" i="234"/>
  <c r="F38"/>
  <c r="J39"/>
  <c r="L42"/>
  <c r="I43"/>
  <c r="F44"/>
  <c r="K36" i="222"/>
  <c r="J39"/>
  <c r="I43"/>
  <c r="E38" i="231"/>
  <c r="K39"/>
  <c r="E42"/>
  <c r="B39" i="230"/>
  <c r="G44"/>
  <c r="J39" i="229"/>
  <c r="J43"/>
  <c r="J42" i="238"/>
  <c r="J37"/>
  <c r="B42"/>
  <c r="B37"/>
  <c r="G43" i="214"/>
  <c r="G38"/>
  <c r="H42"/>
  <c r="H37"/>
  <c r="L44" i="230"/>
  <c r="L39"/>
  <c r="D44"/>
  <c r="D39"/>
  <c r="H43"/>
  <c r="H38"/>
  <c r="E37"/>
  <c r="E42"/>
  <c r="L43" i="214"/>
  <c r="L38"/>
  <c r="H43"/>
  <c r="H38"/>
  <c r="D43"/>
  <c r="D38"/>
  <c r="I42"/>
  <c r="I37"/>
  <c r="E37"/>
  <c r="E42"/>
  <c r="B44" i="227"/>
  <c r="B39"/>
  <c r="J44"/>
  <c r="J39"/>
  <c r="I44" i="230"/>
  <c r="I39"/>
  <c r="E44"/>
  <c r="E39"/>
  <c r="I38"/>
  <c r="I43"/>
  <c r="E43"/>
  <c r="E38"/>
  <c r="J42"/>
  <c r="J37"/>
  <c r="F42"/>
  <c r="F37"/>
  <c r="B42"/>
  <c r="B37"/>
  <c r="F39" i="227"/>
  <c r="B43" i="238"/>
  <c r="E42" i="237"/>
  <c r="B43" i="230"/>
  <c r="F42" i="238"/>
  <c r="F37"/>
  <c r="K43" i="214"/>
  <c r="K38"/>
  <c r="C43"/>
  <c r="C38"/>
  <c r="L37"/>
  <c r="L42"/>
  <c r="D37"/>
  <c r="D42"/>
  <c r="H44" i="230"/>
  <c r="H39"/>
  <c r="L43"/>
  <c r="L38"/>
  <c r="D43"/>
  <c r="D38"/>
  <c r="I42"/>
  <c r="I37"/>
  <c r="E44" i="227"/>
  <c r="E39"/>
  <c r="I44"/>
  <c r="I39"/>
  <c r="G39" i="229"/>
  <c r="G44"/>
  <c r="C44"/>
  <c r="C39"/>
  <c r="K43"/>
  <c r="K38"/>
  <c r="G43"/>
  <c r="G38"/>
  <c r="C43"/>
  <c r="C38"/>
  <c r="L37"/>
  <c r="L42"/>
  <c r="H42"/>
  <c r="H37"/>
  <c r="D37"/>
  <c r="D42"/>
  <c r="L44" i="237"/>
  <c r="L39"/>
  <c r="H44"/>
  <c r="H39"/>
  <c r="D44"/>
  <c r="D39"/>
  <c r="L43"/>
  <c r="L38"/>
  <c r="H43"/>
  <c r="H38"/>
  <c r="D43"/>
  <c r="D38"/>
  <c r="K39" i="229"/>
  <c r="F44" i="227"/>
  <c r="E38" i="214"/>
  <c r="I38"/>
  <c r="I43"/>
  <c r="J42"/>
  <c r="J37"/>
  <c r="F42"/>
  <c r="F37"/>
  <c r="B42"/>
  <c r="B37"/>
  <c r="I44" i="231"/>
  <c r="I39"/>
  <c r="E44"/>
  <c r="E39"/>
  <c r="I42"/>
  <c r="I37"/>
  <c r="J41" i="222"/>
  <c r="J36"/>
  <c r="F41"/>
  <c r="F36"/>
  <c r="B41"/>
  <c r="B36"/>
  <c r="L44"/>
  <c r="L39"/>
  <c r="H44"/>
  <c r="H39"/>
  <c r="D44"/>
  <c r="D39"/>
  <c r="L43"/>
  <c r="L38"/>
  <c r="H43"/>
  <c r="H38"/>
  <c r="D43"/>
  <c r="D38"/>
  <c r="I42"/>
  <c r="I37"/>
  <c r="K44" i="234"/>
  <c r="K39"/>
  <c r="K43"/>
  <c r="K38"/>
  <c r="G43"/>
  <c r="G38"/>
  <c r="C43"/>
  <c r="C38"/>
  <c r="K42"/>
  <c r="K37"/>
  <c r="G42"/>
  <c r="G37"/>
  <c r="C42"/>
  <c r="C37"/>
  <c r="F39" i="235"/>
  <c r="F44"/>
  <c r="B44"/>
  <c r="B39"/>
  <c r="B38"/>
  <c r="B43"/>
  <c r="J42"/>
  <c r="J37"/>
  <c r="F42"/>
  <c r="F37"/>
  <c r="B42"/>
  <c r="B37"/>
  <c r="I44" i="237"/>
  <c r="I39"/>
  <c r="E44"/>
  <c r="E39"/>
  <c r="J42"/>
  <c r="J37"/>
  <c r="F42"/>
  <c r="F37"/>
  <c r="B42"/>
  <c r="B37"/>
  <c r="B43"/>
  <c r="B38"/>
  <c r="E43" i="214"/>
  <c r="E37" i="222"/>
  <c r="I38" i="237"/>
  <c r="E43"/>
  <c r="J44" i="238"/>
  <c r="F39"/>
  <c r="B44"/>
  <c r="E38"/>
  <c r="F38" i="237"/>
  <c r="I43"/>
  <c r="J43" i="235"/>
  <c r="C39" i="234"/>
  <c r="E42" i="222"/>
  <c r="J43" i="231"/>
  <c r="F38" i="229"/>
  <c r="J38" i="214"/>
  <c r="J43"/>
  <c r="B38"/>
  <c r="B43"/>
  <c r="K42"/>
  <c r="K37"/>
  <c r="G42"/>
  <c r="G37"/>
  <c r="C42"/>
  <c r="C37"/>
  <c r="F39" i="229"/>
  <c r="F44"/>
  <c r="B44"/>
  <c r="B39"/>
  <c r="B38"/>
  <c r="B43"/>
  <c r="K42"/>
  <c r="K37"/>
  <c r="G42"/>
  <c r="G37"/>
  <c r="C42"/>
  <c r="C37"/>
  <c r="F39" i="231"/>
  <c r="F44"/>
  <c r="B44"/>
  <c r="B39"/>
  <c r="B38"/>
  <c r="B43"/>
  <c r="J42"/>
  <c r="J37"/>
  <c r="F42"/>
  <c r="F37"/>
  <c r="B42"/>
  <c r="B37"/>
  <c r="G36" i="222"/>
  <c r="G41"/>
  <c r="C41"/>
  <c r="C36"/>
  <c r="I44"/>
  <c r="I39"/>
  <c r="E44"/>
  <c r="E39"/>
  <c r="J42"/>
  <c r="J37"/>
  <c r="F42"/>
  <c r="F37"/>
  <c r="B42"/>
  <c r="B37"/>
  <c r="L44" i="234"/>
  <c r="L39"/>
  <c r="H44"/>
  <c r="H39"/>
  <c r="D44"/>
  <c r="D39"/>
  <c r="L43"/>
  <c r="L38"/>
  <c r="H43"/>
  <c r="H38"/>
  <c r="D43"/>
  <c r="D38"/>
  <c r="D37"/>
  <c r="D42"/>
  <c r="J38" i="238"/>
  <c r="F43"/>
  <c r="B38"/>
  <c r="J43"/>
  <c r="E38" i="237"/>
  <c r="H37" i="234"/>
  <c r="E38" i="222"/>
  <c r="J39" i="231"/>
  <c r="I43"/>
  <c r="D44" i="227"/>
  <c r="D39"/>
  <c r="H44"/>
  <c r="H39"/>
  <c r="L44"/>
  <c r="L39"/>
  <c r="L44" i="229"/>
  <c r="L39"/>
  <c r="H44"/>
  <c r="H39"/>
  <c r="D44"/>
  <c r="D39"/>
  <c r="L43"/>
  <c r="L38"/>
  <c r="H43"/>
  <c r="H38"/>
  <c r="D43"/>
  <c r="D38"/>
  <c r="K42" i="230"/>
  <c r="K37"/>
  <c r="G42"/>
  <c r="G37"/>
  <c r="C42"/>
  <c r="C37"/>
  <c r="K43" i="231"/>
  <c r="K38"/>
  <c r="G43"/>
  <c r="G38"/>
  <c r="C43"/>
  <c r="C38"/>
  <c r="K42"/>
  <c r="K37"/>
  <c r="G42"/>
  <c r="G37"/>
  <c r="C42"/>
  <c r="C37"/>
  <c r="K42" i="222"/>
  <c r="K37"/>
  <c r="G42"/>
  <c r="G37"/>
  <c r="C42"/>
  <c r="C37"/>
  <c r="K43" i="235"/>
  <c r="K38"/>
  <c r="G43"/>
  <c r="G38"/>
  <c r="C43"/>
  <c r="C38"/>
  <c r="K42"/>
  <c r="K37"/>
  <c r="G42"/>
  <c r="G37"/>
  <c r="C42"/>
  <c r="C37"/>
  <c r="I42" i="229"/>
  <c r="E37"/>
  <c r="J38" i="230"/>
  <c r="F43"/>
  <c r="B38"/>
  <c r="L41" i="222"/>
  <c r="H36"/>
  <c r="D41"/>
  <c r="J38"/>
  <c r="F43"/>
  <c r="B38"/>
  <c r="J38" i="237"/>
  <c r="F43"/>
  <c r="C39" i="235"/>
  <c r="G44"/>
  <c r="D36" i="222"/>
  <c r="C39"/>
  <c r="H41"/>
  <c r="B43"/>
  <c r="G44"/>
  <c r="C39" i="231"/>
  <c r="G44"/>
  <c r="F38" i="230"/>
  <c r="K39"/>
  <c r="J43"/>
  <c r="I37" i="229"/>
  <c r="I44"/>
  <c r="I39"/>
  <c r="E44"/>
  <c r="E39"/>
  <c r="J42"/>
  <c r="J37"/>
  <c r="F42"/>
  <c r="F37"/>
  <c r="B42"/>
  <c r="B37"/>
  <c r="K43" i="230"/>
  <c r="K38"/>
  <c r="G43"/>
  <c r="G38"/>
  <c r="C43"/>
  <c r="C38"/>
  <c r="L44" i="231"/>
  <c r="L39"/>
  <c r="H44"/>
  <c r="H39"/>
  <c r="D44"/>
  <c r="D39"/>
  <c r="L43"/>
  <c r="L38"/>
  <c r="H43"/>
  <c r="H38"/>
  <c r="D43"/>
  <c r="D38"/>
  <c r="I41" i="222"/>
  <c r="I36"/>
  <c r="E41"/>
  <c r="E36"/>
  <c r="K43"/>
  <c r="K38"/>
  <c r="G43"/>
  <c r="G38"/>
  <c r="C43"/>
  <c r="C38"/>
  <c r="I44" i="238"/>
  <c r="I39"/>
  <c r="E44"/>
  <c r="E39"/>
  <c r="C44" i="227"/>
  <c r="G39"/>
  <c r="K44"/>
  <c r="L37" i="230"/>
  <c r="H42"/>
  <c r="D37"/>
  <c r="L37" i="222"/>
  <c r="H42"/>
  <c r="D37"/>
  <c r="H37"/>
  <c r="B39"/>
  <c r="L42"/>
  <c r="F44"/>
  <c r="H37" i="231"/>
  <c r="L42"/>
  <c r="J39" i="230"/>
  <c r="D42"/>
  <c r="I44" i="234"/>
  <c r="I39"/>
  <c r="E44"/>
  <c r="E39"/>
  <c r="L44" i="235"/>
  <c r="L39"/>
  <c r="H44"/>
  <c r="H39"/>
  <c r="D44"/>
  <c r="D39"/>
  <c r="L43"/>
  <c r="L38"/>
  <c r="H43"/>
  <c r="H38"/>
  <c r="D43"/>
  <c r="D38"/>
  <c r="K42" i="237"/>
  <c r="G42"/>
  <c r="C42"/>
  <c r="C37" i="238"/>
  <c r="G37"/>
  <c r="K37"/>
  <c r="D38"/>
  <c r="H38"/>
  <c r="L38"/>
  <c r="C37" i="237"/>
  <c r="G37"/>
  <c r="K37"/>
  <c r="J42" i="234"/>
  <c r="J37"/>
  <c r="F42"/>
  <c r="F37"/>
  <c r="B42"/>
  <c r="B37"/>
  <c r="I44" i="235"/>
  <c r="I39"/>
  <c r="E44"/>
  <c r="E39"/>
  <c r="K43" i="237"/>
  <c r="K38"/>
  <c r="G43"/>
  <c r="G38"/>
  <c r="C38" i="238"/>
  <c r="G38"/>
  <c r="D39"/>
  <c r="H39"/>
  <c r="L39"/>
  <c r="C38" i="237"/>
  <c r="B10" i="197"/>
  <c r="C10"/>
  <c r="D10"/>
  <c r="E10"/>
  <c r="F10"/>
  <c r="G10"/>
  <c r="H10"/>
  <c r="I10"/>
  <c r="J10"/>
  <c r="K10"/>
  <c r="L10"/>
  <c r="B11"/>
  <c r="C11"/>
  <c r="D11"/>
  <c r="E11"/>
  <c r="F11"/>
  <c r="G11"/>
  <c r="H11"/>
  <c r="I11"/>
  <c r="J11"/>
  <c r="K11"/>
  <c r="L11"/>
  <c r="C9"/>
  <c r="D9"/>
  <c r="E9"/>
  <c r="F9"/>
  <c r="G9"/>
  <c r="H9"/>
  <c r="I9"/>
  <c r="J9"/>
  <c r="K9"/>
  <c r="L9"/>
  <c r="B9"/>
  <c r="B11" i="196"/>
  <c r="C11"/>
  <c r="D11"/>
  <c r="E11"/>
  <c r="F11"/>
  <c r="G11"/>
  <c r="H11"/>
  <c r="I11"/>
  <c r="J11"/>
  <c r="K11"/>
  <c r="L11"/>
  <c r="B12"/>
  <c r="C12"/>
  <c r="D12"/>
  <c r="E12"/>
  <c r="F12"/>
  <c r="G12"/>
  <c r="H12"/>
  <c r="I12"/>
  <c r="J12"/>
  <c r="K12"/>
  <c r="L12"/>
  <c r="C10"/>
  <c r="D10"/>
  <c r="E10"/>
  <c r="F10"/>
  <c r="G10"/>
  <c r="H10"/>
  <c r="I10"/>
  <c r="J10"/>
  <c r="K10"/>
  <c r="L10"/>
  <c r="B10"/>
  <c r="AQ66" i="21"/>
  <c r="AQ65"/>
  <c r="AQ64"/>
  <c r="AM66"/>
  <c r="AM65"/>
  <c r="AM64"/>
  <c r="AI66"/>
  <c r="AI65"/>
  <c r="AI64"/>
  <c r="AE66"/>
  <c r="AE65"/>
  <c r="AE64"/>
  <c r="AA66"/>
  <c r="AA65"/>
  <c r="AA64"/>
  <c r="W66"/>
  <c r="W65"/>
  <c r="W64"/>
  <c r="S66"/>
  <c r="S65"/>
  <c r="S64"/>
  <c r="O66"/>
  <c r="O65"/>
  <c r="O64"/>
  <c r="K66"/>
  <c r="K65"/>
  <c r="K64"/>
  <c r="G66"/>
  <c r="G65"/>
  <c r="G64"/>
  <c r="V62" i="20"/>
  <c r="V61"/>
  <c r="V60"/>
  <c r="T62"/>
  <c r="T61"/>
  <c r="T60"/>
  <c r="R62"/>
  <c r="R61"/>
  <c r="R60"/>
  <c r="P62"/>
  <c r="P61"/>
  <c r="P60"/>
  <c r="N62"/>
  <c r="N61"/>
  <c r="N60"/>
  <c r="L62"/>
  <c r="L61"/>
  <c r="L60"/>
  <c r="J62"/>
  <c r="J61"/>
  <c r="J60"/>
  <c r="H62"/>
  <c r="H61"/>
  <c r="H60"/>
  <c r="F62"/>
  <c r="F61"/>
  <c r="F60"/>
  <c r="D62"/>
  <c r="D61"/>
  <c r="D60"/>
  <c r="B62"/>
  <c r="B61"/>
  <c r="B60"/>
  <c r="C68" i="36"/>
  <c r="C69"/>
  <c r="C70"/>
  <c r="B70"/>
  <c r="B69"/>
  <c r="B68"/>
  <c r="G60" i="34"/>
  <c r="G59"/>
  <c r="G58"/>
  <c r="F62" i="13" l="1"/>
  <c r="C53" i="4"/>
  <c r="C92"/>
  <c r="B92"/>
  <c r="B53"/>
  <c r="E14" i="195"/>
  <c r="E13"/>
  <c r="E12"/>
  <c r="E11"/>
  <c r="E10"/>
  <c r="E9"/>
  <c r="E8"/>
  <c r="E7"/>
  <c r="E6"/>
  <c r="E5"/>
  <c r="E4"/>
  <c r="C14"/>
  <c r="C13"/>
  <c r="C12"/>
  <c r="C11"/>
  <c r="C10"/>
  <c r="C9"/>
  <c r="C8"/>
  <c r="C7"/>
  <c r="C6"/>
  <c r="C5"/>
  <c r="C4"/>
  <c r="D12"/>
  <c r="D8"/>
  <c r="D4"/>
  <c r="E15" i="194"/>
  <c r="E14"/>
  <c r="E13"/>
  <c r="E12"/>
  <c r="E11"/>
  <c r="E10"/>
  <c r="E9"/>
  <c r="E8"/>
  <c r="E7"/>
  <c r="E6"/>
  <c r="E5"/>
  <c r="D15"/>
  <c r="D14"/>
  <c r="D13"/>
  <c r="D12"/>
  <c r="D11"/>
  <c r="D10"/>
  <c r="D9"/>
  <c r="D8"/>
  <c r="D7"/>
  <c r="D6"/>
  <c r="D5"/>
  <c r="C15"/>
  <c r="C14"/>
  <c r="C13"/>
  <c r="C12"/>
  <c r="C11"/>
  <c r="C10"/>
  <c r="C9"/>
  <c r="C8"/>
  <c r="C7"/>
  <c r="C6"/>
  <c r="C5"/>
  <c r="B15"/>
  <c r="B14" i="195" s="1"/>
  <c r="B14" i="194"/>
  <c r="B13" i="195" s="1"/>
  <c r="B13" i="194"/>
  <c r="B12" i="195" s="1"/>
  <c r="B12" i="194"/>
  <c r="B11" i="195" s="1"/>
  <c r="B11" i="194"/>
  <c r="B10" i="195" s="1"/>
  <c r="B10" i="194"/>
  <c r="B9" i="195" s="1"/>
  <c r="B9" i="194"/>
  <c r="B8" i="195" s="1"/>
  <c r="B8" i="194"/>
  <c r="B7" i="195" s="1"/>
  <c r="B7" i="194"/>
  <c r="B6" i="195" s="1"/>
  <c r="B6" i="194"/>
  <c r="B5" i="195" s="1"/>
  <c r="B5" i="194"/>
  <c r="B4" i="195" s="1"/>
  <c r="E29" i="194"/>
  <c r="E28"/>
  <c r="E27"/>
  <c r="E26"/>
  <c r="E25"/>
  <c r="E24"/>
  <c r="E23"/>
  <c r="E22"/>
  <c r="E21"/>
  <c r="E20"/>
  <c r="E19"/>
  <c r="D29"/>
  <c r="D28"/>
  <c r="D27"/>
  <c r="D26"/>
  <c r="D25"/>
  <c r="D24"/>
  <c r="D23"/>
  <c r="D22"/>
  <c r="D21"/>
  <c r="D20"/>
  <c r="D19"/>
  <c r="C29"/>
  <c r="C28"/>
  <c r="C27"/>
  <c r="C26"/>
  <c r="C25"/>
  <c r="C24"/>
  <c r="C23"/>
  <c r="C22"/>
  <c r="C21"/>
  <c r="C20"/>
  <c r="C19"/>
  <c r="B29"/>
  <c r="D14" i="195" s="1"/>
  <c r="B28" i="194"/>
  <c r="D13" i="195" s="1"/>
  <c r="B27" i="194"/>
  <c r="B26"/>
  <c r="D11" i="195" s="1"/>
  <c r="B25" i="194"/>
  <c r="D10" i="195" s="1"/>
  <c r="B24" i="194"/>
  <c r="D9" i="195" s="1"/>
  <c r="B23" i="194"/>
  <c r="B22"/>
  <c r="D7" i="195" s="1"/>
  <c r="B21" i="194"/>
  <c r="D6" i="195" s="1"/>
  <c r="B20" i="194"/>
  <c r="D5" i="195" s="1"/>
  <c r="B19" i="194"/>
  <c r="C5" i="189"/>
  <c r="C6" i="206" s="1"/>
  <c r="D5" i="189"/>
  <c r="D6" i="206" s="1"/>
  <c r="E5" i="189"/>
  <c r="E6" i="206" s="1"/>
  <c r="F5" i="189"/>
  <c r="F6" i="206" s="1"/>
  <c r="G5" i="189"/>
  <c r="G6" i="206" s="1"/>
  <c r="H5" i="189"/>
  <c r="H6" i="206" s="1"/>
  <c r="I5" i="189"/>
  <c r="I6" i="206" s="1"/>
  <c r="J5" i="189"/>
  <c r="J6" i="206" s="1"/>
  <c r="K5" i="189"/>
  <c r="K6" i="206" s="1"/>
  <c r="L5" i="189"/>
  <c r="L6" i="206" s="1"/>
  <c r="C6" i="189"/>
  <c r="C7" i="206" s="1"/>
  <c r="D6" i="189"/>
  <c r="D7" i="206" s="1"/>
  <c r="E6" i="189"/>
  <c r="E7" i="206" s="1"/>
  <c r="F6" i="189"/>
  <c r="F7" i="206" s="1"/>
  <c r="G6" i="189"/>
  <c r="G7" i="206" s="1"/>
  <c r="H6" i="189"/>
  <c r="H7" i="206" s="1"/>
  <c r="I6" i="189"/>
  <c r="I7" i="206" s="1"/>
  <c r="J6" i="189"/>
  <c r="J7" i="206" s="1"/>
  <c r="K6" i="189"/>
  <c r="K7" i="206" s="1"/>
  <c r="L6" i="189"/>
  <c r="L7" i="206" s="1"/>
  <c r="C7" i="189"/>
  <c r="C8" i="206" s="1"/>
  <c r="D7" i="189"/>
  <c r="D8" i="206" s="1"/>
  <c r="E7" i="189"/>
  <c r="E8" i="206" s="1"/>
  <c r="F7" i="189"/>
  <c r="F8" i="206" s="1"/>
  <c r="G7" i="189"/>
  <c r="G8" i="206" s="1"/>
  <c r="H7" i="189"/>
  <c r="H8" i="206" s="1"/>
  <c r="I7" i="189"/>
  <c r="I8" i="206" s="1"/>
  <c r="J7" i="189"/>
  <c r="J8" i="206" s="1"/>
  <c r="K7" i="189"/>
  <c r="K8" i="206" s="1"/>
  <c r="L7" i="189"/>
  <c r="L8" i="206" s="1"/>
  <c r="C8" i="189"/>
  <c r="C9" i="206" s="1"/>
  <c r="D8" i="189"/>
  <c r="D9" i="206" s="1"/>
  <c r="E8" i="189"/>
  <c r="E9" i="206" s="1"/>
  <c r="F8" i="189"/>
  <c r="F9" i="206" s="1"/>
  <c r="G8" i="189"/>
  <c r="G9" i="206" s="1"/>
  <c r="H8" i="189"/>
  <c r="H9" i="206" s="1"/>
  <c r="I8" i="189"/>
  <c r="I9" i="206" s="1"/>
  <c r="J8" i="189"/>
  <c r="J9" i="206" s="1"/>
  <c r="K8" i="189"/>
  <c r="K9" i="206" s="1"/>
  <c r="L8" i="189"/>
  <c r="L9" i="206" s="1"/>
  <c r="C9" i="189"/>
  <c r="C10" i="206" s="1"/>
  <c r="D9" i="189"/>
  <c r="D10" i="206" s="1"/>
  <c r="E9" i="189"/>
  <c r="E10" i="206" s="1"/>
  <c r="F9" i="189"/>
  <c r="F10" i="206" s="1"/>
  <c r="G9" i="189"/>
  <c r="G10" i="206" s="1"/>
  <c r="H9" i="189"/>
  <c r="H10" i="206" s="1"/>
  <c r="I9" i="189"/>
  <c r="I10" i="206" s="1"/>
  <c r="J9" i="189"/>
  <c r="J10" i="206" s="1"/>
  <c r="K9" i="189"/>
  <c r="K10" i="206" s="1"/>
  <c r="L9" i="189"/>
  <c r="L10" i="206" s="1"/>
  <c r="C10" i="189"/>
  <c r="C11" i="206" s="1"/>
  <c r="D10" i="189"/>
  <c r="D11" i="206" s="1"/>
  <c r="E10" i="189"/>
  <c r="E11" i="206" s="1"/>
  <c r="F10" i="189"/>
  <c r="F11" i="206" s="1"/>
  <c r="G10" i="189"/>
  <c r="G11" i="206" s="1"/>
  <c r="H10" i="189"/>
  <c r="H11" i="206" s="1"/>
  <c r="I10" i="189"/>
  <c r="I11" i="206" s="1"/>
  <c r="J10" i="189"/>
  <c r="J11" i="206" s="1"/>
  <c r="K10" i="189"/>
  <c r="K11" i="206" s="1"/>
  <c r="L10" i="189"/>
  <c r="L11" i="206" s="1"/>
  <c r="C11" i="189"/>
  <c r="C12" i="206" s="1"/>
  <c r="D11" i="189"/>
  <c r="D12" i="206" s="1"/>
  <c r="E11" i="189"/>
  <c r="E12" i="206" s="1"/>
  <c r="F11" i="189"/>
  <c r="F12" i="206" s="1"/>
  <c r="G11" i="189"/>
  <c r="G12" i="206" s="1"/>
  <c r="H11" i="189"/>
  <c r="H12" i="206" s="1"/>
  <c r="I11" i="189"/>
  <c r="I12" i="206" s="1"/>
  <c r="J11" i="189"/>
  <c r="J12" i="206" s="1"/>
  <c r="K11" i="189"/>
  <c r="K12" i="206" s="1"/>
  <c r="L11" i="189"/>
  <c r="L12" i="206" s="1"/>
  <c r="C12" i="189"/>
  <c r="C13" i="206" s="1"/>
  <c r="D12" i="189"/>
  <c r="D13" i="206" s="1"/>
  <c r="E12" i="189"/>
  <c r="E13" i="206" s="1"/>
  <c r="F12" i="189"/>
  <c r="F13" i="206" s="1"/>
  <c r="G12" i="189"/>
  <c r="G13" i="206" s="1"/>
  <c r="H12" i="189"/>
  <c r="H13" i="206" s="1"/>
  <c r="I12" i="189"/>
  <c r="I13" i="206" s="1"/>
  <c r="J12" i="189"/>
  <c r="J13" i="206" s="1"/>
  <c r="K12" i="189"/>
  <c r="K13" i="206" s="1"/>
  <c r="L12" i="189"/>
  <c r="L13" i="206" s="1"/>
  <c r="C13" i="189"/>
  <c r="C14" i="206" s="1"/>
  <c r="D13" i="189"/>
  <c r="D14" i="206" s="1"/>
  <c r="E13" i="189"/>
  <c r="E14" i="206" s="1"/>
  <c r="F13" i="189"/>
  <c r="F14" i="206" s="1"/>
  <c r="G13" i="189"/>
  <c r="G14" i="206" s="1"/>
  <c r="H13" i="189"/>
  <c r="H14" i="206" s="1"/>
  <c r="I13" i="189"/>
  <c r="I14" i="206" s="1"/>
  <c r="J13" i="189"/>
  <c r="J14" i="206" s="1"/>
  <c r="K13" i="189"/>
  <c r="K14" i="206" s="1"/>
  <c r="L13" i="189"/>
  <c r="L14" i="206" s="1"/>
  <c r="C14" i="189"/>
  <c r="C15" i="206" s="1"/>
  <c r="D14" i="189"/>
  <c r="D15" i="206" s="1"/>
  <c r="E14" i="189"/>
  <c r="E15" i="206" s="1"/>
  <c r="F14" i="189"/>
  <c r="F15" i="206" s="1"/>
  <c r="G14" i="189"/>
  <c r="G15" i="206" s="1"/>
  <c r="H14" i="189"/>
  <c r="H15" i="206" s="1"/>
  <c r="I14" i="189"/>
  <c r="I15" i="206" s="1"/>
  <c r="J14" i="189"/>
  <c r="J15" i="206" s="1"/>
  <c r="K14" i="189"/>
  <c r="K15" i="206" s="1"/>
  <c r="L14" i="189"/>
  <c r="L15" i="206" s="1"/>
  <c r="C15" i="189"/>
  <c r="C16" i="206" s="1"/>
  <c r="D15" i="189"/>
  <c r="D16" i="206" s="1"/>
  <c r="E15" i="189"/>
  <c r="E16" i="206" s="1"/>
  <c r="F15" i="189"/>
  <c r="F16" i="206" s="1"/>
  <c r="G15" i="189"/>
  <c r="G16" i="206" s="1"/>
  <c r="H15" i="189"/>
  <c r="H16" i="206" s="1"/>
  <c r="I15" i="189"/>
  <c r="I16" i="206" s="1"/>
  <c r="J15" i="189"/>
  <c r="J16" i="206" s="1"/>
  <c r="K15" i="189"/>
  <c r="K16" i="206" s="1"/>
  <c r="L15" i="189"/>
  <c r="L16" i="206" s="1"/>
  <c r="C16" i="189"/>
  <c r="C17" i="206" s="1"/>
  <c r="D16" i="189"/>
  <c r="D17" i="206" s="1"/>
  <c r="E16" i="189"/>
  <c r="E17" i="206" s="1"/>
  <c r="F16" i="189"/>
  <c r="F17" i="206" s="1"/>
  <c r="G16" i="189"/>
  <c r="G17" i="206" s="1"/>
  <c r="H16" i="189"/>
  <c r="H17" i="206" s="1"/>
  <c r="I16" i="189"/>
  <c r="I17" i="206" s="1"/>
  <c r="J16" i="189"/>
  <c r="J17" i="206" s="1"/>
  <c r="K16" i="189"/>
  <c r="K17" i="206" s="1"/>
  <c r="L16" i="189"/>
  <c r="L17" i="206" s="1"/>
  <c r="C17" i="189"/>
  <c r="C18" i="206" s="1"/>
  <c r="D17" i="189"/>
  <c r="D18" i="206" s="1"/>
  <c r="E17" i="189"/>
  <c r="E18" i="206" s="1"/>
  <c r="F17" i="189"/>
  <c r="F18" i="206" s="1"/>
  <c r="G17" i="189"/>
  <c r="G18" i="206" s="1"/>
  <c r="H17" i="189"/>
  <c r="H18" i="206" s="1"/>
  <c r="I17" i="189"/>
  <c r="I18" i="206" s="1"/>
  <c r="J17" i="189"/>
  <c r="J18" i="206" s="1"/>
  <c r="K17" i="189"/>
  <c r="K18" i="206" s="1"/>
  <c r="L17" i="189"/>
  <c r="L18" i="206" s="1"/>
  <c r="C18" i="189"/>
  <c r="C19" i="206" s="1"/>
  <c r="D18" i="189"/>
  <c r="D19" i="206" s="1"/>
  <c r="E18" i="189"/>
  <c r="E19" i="206" s="1"/>
  <c r="F18" i="189"/>
  <c r="F19" i="206" s="1"/>
  <c r="G18" i="189"/>
  <c r="G19" i="206" s="1"/>
  <c r="H18" i="189"/>
  <c r="H19" i="206" s="1"/>
  <c r="I18" i="189"/>
  <c r="I19" i="206" s="1"/>
  <c r="J18" i="189"/>
  <c r="J19" i="206" s="1"/>
  <c r="K18" i="189"/>
  <c r="K19" i="206" s="1"/>
  <c r="L18" i="189"/>
  <c r="L19" i="206" s="1"/>
  <c r="C19" i="189"/>
  <c r="C20" i="206" s="1"/>
  <c r="D19" i="189"/>
  <c r="D20" i="206" s="1"/>
  <c r="E19" i="189"/>
  <c r="E20" i="206" s="1"/>
  <c r="F19" i="189"/>
  <c r="F20" i="206" s="1"/>
  <c r="G19" i="189"/>
  <c r="G20" i="206" s="1"/>
  <c r="H19" i="189"/>
  <c r="H20" i="206" s="1"/>
  <c r="I19" i="189"/>
  <c r="I20" i="206" s="1"/>
  <c r="J19" i="189"/>
  <c r="J20" i="206" s="1"/>
  <c r="K19" i="189"/>
  <c r="K20" i="206" s="1"/>
  <c r="L19" i="189"/>
  <c r="L20" i="206" s="1"/>
  <c r="C20" i="189"/>
  <c r="C21" i="206" s="1"/>
  <c r="D20" i="189"/>
  <c r="D21" i="206" s="1"/>
  <c r="E20" i="189"/>
  <c r="E21" i="206" s="1"/>
  <c r="F20" i="189"/>
  <c r="F21" i="206" s="1"/>
  <c r="G20" i="189"/>
  <c r="G21" i="206" s="1"/>
  <c r="H20" i="189"/>
  <c r="H21" i="206" s="1"/>
  <c r="I20" i="189"/>
  <c r="I21" i="206" s="1"/>
  <c r="J20" i="189"/>
  <c r="J21" i="206" s="1"/>
  <c r="K20" i="189"/>
  <c r="K21" i="206" s="1"/>
  <c r="L20" i="189"/>
  <c r="L21" i="206" s="1"/>
  <c r="C21" i="189"/>
  <c r="C22" i="206" s="1"/>
  <c r="D21" i="189"/>
  <c r="D22" i="206" s="1"/>
  <c r="E21" i="189"/>
  <c r="E22" i="206" s="1"/>
  <c r="F21" i="189"/>
  <c r="F22" i="206" s="1"/>
  <c r="G21" i="189"/>
  <c r="G22" i="206" s="1"/>
  <c r="H21" i="189"/>
  <c r="H22" i="206" s="1"/>
  <c r="I21" i="189"/>
  <c r="I22" i="206" s="1"/>
  <c r="J21" i="189"/>
  <c r="J22" i="206" s="1"/>
  <c r="K21" i="189"/>
  <c r="K22" i="206" s="1"/>
  <c r="L21" i="189"/>
  <c r="L22" i="206" s="1"/>
  <c r="C22" i="189"/>
  <c r="C23" i="206" s="1"/>
  <c r="D22" i="189"/>
  <c r="D23" i="206" s="1"/>
  <c r="E22" i="189"/>
  <c r="E23" i="206" s="1"/>
  <c r="F22" i="189"/>
  <c r="F23" i="206" s="1"/>
  <c r="G22" i="189"/>
  <c r="G23" i="206" s="1"/>
  <c r="H22" i="189"/>
  <c r="H23" i="206" s="1"/>
  <c r="I22" i="189"/>
  <c r="I23" i="206" s="1"/>
  <c r="J22" i="189"/>
  <c r="J23" i="206" s="1"/>
  <c r="K22" i="189"/>
  <c r="K23" i="206" s="1"/>
  <c r="L22" i="189"/>
  <c r="L23" i="206" s="1"/>
  <c r="C23" i="189"/>
  <c r="C24" i="206" s="1"/>
  <c r="D23" i="189"/>
  <c r="D24" i="206" s="1"/>
  <c r="E23" i="189"/>
  <c r="E24" i="206" s="1"/>
  <c r="F23" i="189"/>
  <c r="F24" i="206" s="1"/>
  <c r="G23" i="189"/>
  <c r="G24" i="206" s="1"/>
  <c r="H23" i="189"/>
  <c r="H24" i="206" s="1"/>
  <c r="I23" i="189"/>
  <c r="I24" i="206" s="1"/>
  <c r="J23" i="189"/>
  <c r="J24" i="206" s="1"/>
  <c r="K23" i="189"/>
  <c r="K24" i="206" s="1"/>
  <c r="L23" i="189"/>
  <c r="L24" i="206" s="1"/>
  <c r="C24" i="189"/>
  <c r="C25" i="206" s="1"/>
  <c r="D24" i="189"/>
  <c r="D25" i="206" s="1"/>
  <c r="E24" i="189"/>
  <c r="E25" i="206" s="1"/>
  <c r="F24" i="189"/>
  <c r="F25" i="206" s="1"/>
  <c r="G24" i="189"/>
  <c r="G25" i="206" s="1"/>
  <c r="H24" i="189"/>
  <c r="H25" i="206" s="1"/>
  <c r="I24" i="189"/>
  <c r="I25" i="206" s="1"/>
  <c r="J24" i="189"/>
  <c r="J25" i="206" s="1"/>
  <c r="K24" i="189"/>
  <c r="K25" i="206" s="1"/>
  <c r="L24" i="189"/>
  <c r="L25" i="206" s="1"/>
  <c r="C25" i="189"/>
  <c r="C26" i="206" s="1"/>
  <c r="D25" i="189"/>
  <c r="D26" i="206" s="1"/>
  <c r="E25" i="189"/>
  <c r="E26" i="206" s="1"/>
  <c r="F25" i="189"/>
  <c r="F26" i="206" s="1"/>
  <c r="G25" i="189"/>
  <c r="G26" i="206" s="1"/>
  <c r="H25" i="189"/>
  <c r="H26" i="206" s="1"/>
  <c r="I25" i="189"/>
  <c r="I26" i="206" s="1"/>
  <c r="J25" i="189"/>
  <c r="J26" i="206" s="1"/>
  <c r="K25" i="189"/>
  <c r="K26" i="206" s="1"/>
  <c r="L25" i="189"/>
  <c r="L26" i="206" s="1"/>
  <c r="C26" i="189"/>
  <c r="C27" i="206" s="1"/>
  <c r="D26" i="189"/>
  <c r="D27" i="206" s="1"/>
  <c r="E26" i="189"/>
  <c r="E27" i="206" s="1"/>
  <c r="F26" i="189"/>
  <c r="F27" i="206" s="1"/>
  <c r="G26" i="189"/>
  <c r="G27" i="206" s="1"/>
  <c r="H26" i="189"/>
  <c r="H27" i="206" s="1"/>
  <c r="I26" i="189"/>
  <c r="I27" i="206" s="1"/>
  <c r="J26" i="189"/>
  <c r="J27" i="206" s="1"/>
  <c r="K26" i="189"/>
  <c r="K27" i="206" s="1"/>
  <c r="L26" i="189"/>
  <c r="L27" i="206" s="1"/>
  <c r="C27" i="189"/>
  <c r="C28" i="206" s="1"/>
  <c r="D27" i="189"/>
  <c r="D28" i="206" s="1"/>
  <c r="E27" i="189"/>
  <c r="E28" i="206" s="1"/>
  <c r="F27" i="189"/>
  <c r="F28" i="206" s="1"/>
  <c r="G27" i="189"/>
  <c r="G28" i="206" s="1"/>
  <c r="H27" i="189"/>
  <c r="H28" i="206" s="1"/>
  <c r="I27" i="189"/>
  <c r="I28" i="206" s="1"/>
  <c r="J27" i="189"/>
  <c r="J28" i="206" s="1"/>
  <c r="K27" i="189"/>
  <c r="K28" i="206" s="1"/>
  <c r="L27" i="189"/>
  <c r="L28" i="206" s="1"/>
  <c r="C28" i="189"/>
  <c r="C29" i="206" s="1"/>
  <c r="D28" i="189"/>
  <c r="D29" i="206" s="1"/>
  <c r="E28" i="189"/>
  <c r="E29" i="206" s="1"/>
  <c r="F28" i="189"/>
  <c r="F29" i="206" s="1"/>
  <c r="G28" i="189"/>
  <c r="G29" i="206" s="1"/>
  <c r="H28" i="189"/>
  <c r="H29" i="206" s="1"/>
  <c r="I28" i="189"/>
  <c r="I29" i="206" s="1"/>
  <c r="J28" i="189"/>
  <c r="J29" i="206" s="1"/>
  <c r="K28" i="189"/>
  <c r="K29" i="206" s="1"/>
  <c r="L28" i="189"/>
  <c r="L29" i="206" s="1"/>
  <c r="C29" i="189"/>
  <c r="C30" i="206" s="1"/>
  <c r="D29" i="189"/>
  <c r="D30" i="206" s="1"/>
  <c r="E29" i="189"/>
  <c r="E30" i="206" s="1"/>
  <c r="F29" i="189"/>
  <c r="F30" i="206" s="1"/>
  <c r="G29" i="189"/>
  <c r="G30" i="206" s="1"/>
  <c r="H29" i="189"/>
  <c r="H30" i="206" s="1"/>
  <c r="I29" i="189"/>
  <c r="I30" i="206" s="1"/>
  <c r="J29" i="189"/>
  <c r="J30" i="206" s="1"/>
  <c r="K29" i="189"/>
  <c r="K30" i="206" s="1"/>
  <c r="L29" i="189"/>
  <c r="L30" i="206" s="1"/>
  <c r="C30" i="189"/>
  <c r="C31" i="206" s="1"/>
  <c r="D30" i="189"/>
  <c r="D31" i="206" s="1"/>
  <c r="E30" i="189"/>
  <c r="E31" i="206" s="1"/>
  <c r="F30" i="189"/>
  <c r="F31" i="206" s="1"/>
  <c r="G30" i="189"/>
  <c r="G31" i="206" s="1"/>
  <c r="H30" i="189"/>
  <c r="H31" i="206" s="1"/>
  <c r="I30" i="189"/>
  <c r="I31" i="206" s="1"/>
  <c r="J30" i="189"/>
  <c r="J31" i="206" s="1"/>
  <c r="K30" i="189"/>
  <c r="K31" i="206" s="1"/>
  <c r="L30" i="189"/>
  <c r="L31" i="206" s="1"/>
  <c r="C31" i="189"/>
  <c r="C32" i="206" s="1"/>
  <c r="D31" i="189"/>
  <c r="D32" i="206" s="1"/>
  <c r="E31" i="189"/>
  <c r="E32" i="206" s="1"/>
  <c r="F31" i="189"/>
  <c r="F32" i="206" s="1"/>
  <c r="G31" i="189"/>
  <c r="G32" i="206" s="1"/>
  <c r="H31" i="189"/>
  <c r="H32" i="206" s="1"/>
  <c r="I31" i="189"/>
  <c r="I32" i="206" s="1"/>
  <c r="J31" i="189"/>
  <c r="J32" i="206" s="1"/>
  <c r="K31" i="189"/>
  <c r="K32" i="206" s="1"/>
  <c r="L31" i="189"/>
  <c r="L32" i="206" s="1"/>
  <c r="C32" i="189"/>
  <c r="C33" i="206" s="1"/>
  <c r="D32" i="189"/>
  <c r="D33" i="206" s="1"/>
  <c r="E32" i="189"/>
  <c r="E33" i="206" s="1"/>
  <c r="F32" i="189"/>
  <c r="F33" i="206" s="1"/>
  <c r="G32" i="189"/>
  <c r="G33" i="206" s="1"/>
  <c r="H32" i="189"/>
  <c r="H33" i="206" s="1"/>
  <c r="I32" i="189"/>
  <c r="I33" i="206" s="1"/>
  <c r="J32" i="189"/>
  <c r="J33" i="206" s="1"/>
  <c r="K32" i="189"/>
  <c r="L32"/>
  <c r="L33" i="206" s="1"/>
  <c r="L4" i="189"/>
  <c r="L5" i="206" s="1"/>
  <c r="K4" i="189"/>
  <c r="K5" i="206" s="1"/>
  <c r="J4" i="189"/>
  <c r="J5" i="206" s="1"/>
  <c r="I4" i="189"/>
  <c r="I5" i="206" s="1"/>
  <c r="H4" i="189"/>
  <c r="H5" i="206" s="1"/>
  <c r="G4" i="189"/>
  <c r="G5" i="206" s="1"/>
  <c r="F4" i="189"/>
  <c r="F5" i="206" s="1"/>
  <c r="E4" i="189"/>
  <c r="E5" i="206" s="1"/>
  <c r="D4" i="189"/>
  <c r="D5" i="206" s="1"/>
  <c r="C4" i="189"/>
  <c r="C5" i="206" s="1"/>
  <c r="C35" i="188"/>
  <c r="B4" i="189"/>
  <c r="B5" i="206" s="1"/>
  <c r="B5" i="189"/>
  <c r="B6" i="206" s="1"/>
  <c r="B6" i="189"/>
  <c r="B7" i="206" s="1"/>
  <c r="B7" i="189"/>
  <c r="B8" i="206" s="1"/>
  <c r="B8" i="189"/>
  <c r="B9" i="206" s="1"/>
  <c r="B9" i="189"/>
  <c r="B10" i="206" s="1"/>
  <c r="B10" i="189"/>
  <c r="B11" i="206" s="1"/>
  <c r="B11" i="189"/>
  <c r="B12" i="206" s="1"/>
  <c r="B12" i="189"/>
  <c r="B13" i="206" s="1"/>
  <c r="B13" i="189"/>
  <c r="B14" i="206" s="1"/>
  <c r="B14" i="189"/>
  <c r="B15" i="206" s="1"/>
  <c r="B15" i="189"/>
  <c r="B16" i="206" s="1"/>
  <c r="B16" i="189"/>
  <c r="B17" i="206" s="1"/>
  <c r="B17" i="189"/>
  <c r="B18" i="206" s="1"/>
  <c r="B18" i="189"/>
  <c r="B19" i="206" s="1"/>
  <c r="B19" i="189"/>
  <c r="B20" i="206" s="1"/>
  <c r="B20" i="189"/>
  <c r="B21" i="206" s="1"/>
  <c r="B21" i="189"/>
  <c r="B22" i="206" s="1"/>
  <c r="B22" i="189"/>
  <c r="B23" i="206" s="1"/>
  <c r="B23" i="189"/>
  <c r="B24" i="206" s="1"/>
  <c r="B24" i="189"/>
  <c r="B25" i="206" s="1"/>
  <c r="B25" i="189"/>
  <c r="B26" i="206" s="1"/>
  <c r="B26" i="189"/>
  <c r="B27" i="206" s="1"/>
  <c r="B27" i="189"/>
  <c r="B28" i="206" s="1"/>
  <c r="B28" i="189"/>
  <c r="B29" i="206" s="1"/>
  <c r="B29" i="189"/>
  <c r="B30" i="206" s="1"/>
  <c r="B30" i="189"/>
  <c r="B31" i="206" s="1"/>
  <c r="B31" i="189"/>
  <c r="B32" i="206" s="1"/>
  <c r="B32" i="189"/>
  <c r="B33" i="206" s="1"/>
  <c r="B27" i="117"/>
  <c r="B28"/>
  <c r="B29"/>
  <c r="B30"/>
  <c r="B31"/>
  <c r="B32"/>
  <c r="B33"/>
  <c r="B34"/>
  <c r="B35"/>
  <c r="B36"/>
  <c r="B37"/>
  <c r="B38"/>
  <c r="B39"/>
  <c r="B40"/>
  <c r="B41"/>
  <c r="B42"/>
  <c r="B43"/>
  <c r="B44"/>
  <c r="B45"/>
  <c r="B46"/>
  <c r="B47"/>
  <c r="B48"/>
  <c r="B49"/>
  <c r="B50"/>
  <c r="B51"/>
  <c r="B52"/>
  <c r="B53"/>
  <c r="B54"/>
  <c r="B55"/>
  <c r="B26"/>
  <c r="F35" i="188"/>
  <c r="I35"/>
  <c r="J35"/>
  <c r="L35"/>
  <c r="L33"/>
  <c r="K33"/>
  <c r="K35" s="1"/>
  <c r="J33"/>
  <c r="I33"/>
  <c r="H33"/>
  <c r="H35" s="1"/>
  <c r="G33"/>
  <c r="G35" s="1"/>
  <c r="F33"/>
  <c r="B33"/>
  <c r="B35" s="1"/>
  <c r="C33"/>
  <c r="D33"/>
  <c r="D35" s="1"/>
  <c r="E33"/>
  <c r="E35" s="1"/>
  <c r="C27" i="117"/>
  <c r="C28"/>
  <c r="C29"/>
  <c r="C30"/>
  <c r="D30" s="1"/>
  <c r="C31"/>
  <c r="C32"/>
  <c r="C33"/>
  <c r="C34"/>
  <c r="C35"/>
  <c r="C36"/>
  <c r="C37"/>
  <c r="C38"/>
  <c r="C39"/>
  <c r="C40"/>
  <c r="C41"/>
  <c r="C42"/>
  <c r="C43"/>
  <c r="C44"/>
  <c r="C45"/>
  <c r="C46"/>
  <c r="C47"/>
  <c r="C48"/>
  <c r="C49"/>
  <c r="C50"/>
  <c r="C51"/>
  <c r="C52"/>
  <c r="C53"/>
  <c r="C54"/>
  <c r="C55"/>
  <c r="C26"/>
  <c r="D55" l="1"/>
  <c r="K8" i="118"/>
  <c r="K7"/>
  <c r="K33" i="189"/>
  <c r="K34" i="206" s="1"/>
  <c r="K33"/>
  <c r="I44"/>
  <c r="I49"/>
  <c r="I39"/>
  <c r="I48"/>
  <c r="I43"/>
  <c r="I38"/>
  <c r="G42"/>
  <c r="G37"/>
  <c r="G47"/>
  <c r="J49"/>
  <c r="J44"/>
  <c r="J39"/>
  <c r="F48"/>
  <c r="F43"/>
  <c r="F38"/>
  <c r="L47"/>
  <c r="L42"/>
  <c r="L37"/>
  <c r="D47"/>
  <c r="D42"/>
  <c r="D37"/>
  <c r="B49"/>
  <c r="B44"/>
  <c r="B39"/>
  <c r="B48"/>
  <c r="B43"/>
  <c r="B38"/>
  <c r="K49"/>
  <c r="K44"/>
  <c r="K39"/>
  <c r="G49"/>
  <c r="G44"/>
  <c r="G39"/>
  <c r="C49"/>
  <c r="C44"/>
  <c r="C39"/>
  <c r="K48"/>
  <c r="K38"/>
  <c r="K43"/>
  <c r="G43"/>
  <c r="G38"/>
  <c r="G48"/>
  <c r="C48"/>
  <c r="C38"/>
  <c r="C43"/>
  <c r="I47"/>
  <c r="I42"/>
  <c r="I37"/>
  <c r="E47"/>
  <c r="E42"/>
  <c r="E37"/>
  <c r="G33" i="189"/>
  <c r="G34" i="206" s="1"/>
  <c r="D33" i="189"/>
  <c r="D34" i="206" s="1"/>
  <c r="E49"/>
  <c r="E39"/>
  <c r="E44"/>
  <c r="E48"/>
  <c r="E43"/>
  <c r="E38"/>
  <c r="K47"/>
  <c r="K37"/>
  <c r="K42"/>
  <c r="C47"/>
  <c r="C37"/>
  <c r="C42"/>
  <c r="F49"/>
  <c r="F44"/>
  <c r="F39"/>
  <c r="J48"/>
  <c r="J43"/>
  <c r="J38"/>
  <c r="H47"/>
  <c r="H42"/>
  <c r="H37"/>
  <c r="B42"/>
  <c r="B47"/>
  <c r="B37"/>
  <c r="L44"/>
  <c r="L49"/>
  <c r="L39"/>
  <c r="H49"/>
  <c r="H39"/>
  <c r="H44"/>
  <c r="D44"/>
  <c r="D39"/>
  <c r="D49"/>
  <c r="L43"/>
  <c r="L38"/>
  <c r="L48"/>
  <c r="H48"/>
  <c r="H38"/>
  <c r="H43"/>
  <c r="D43"/>
  <c r="D48"/>
  <c r="D38"/>
  <c r="J42"/>
  <c r="J37"/>
  <c r="J47"/>
  <c r="F47"/>
  <c r="F37"/>
  <c r="F42"/>
  <c r="C33" i="189"/>
  <c r="D42" i="117"/>
  <c r="K9" i="118"/>
  <c r="D41" i="117"/>
  <c r="D52"/>
  <c r="D48"/>
  <c r="D44"/>
  <c r="D40"/>
  <c r="D36"/>
  <c r="D32"/>
  <c r="D28"/>
  <c r="D45"/>
  <c r="D37"/>
  <c r="D33"/>
  <c r="D38"/>
  <c r="D34"/>
  <c r="D53"/>
  <c r="D57" s="1"/>
  <c r="D49"/>
  <c r="D29"/>
  <c r="B33" i="189"/>
  <c r="G35"/>
  <c r="G23" i="118" s="1"/>
  <c r="D54" i="117"/>
  <c r="D50"/>
  <c r="I33" i="189"/>
  <c r="E33"/>
  <c r="D46" i="117"/>
  <c r="D51"/>
  <c r="D47"/>
  <c r="D43"/>
  <c r="D39"/>
  <c r="D35"/>
  <c r="D31"/>
  <c r="D27"/>
  <c r="L33" i="189"/>
  <c r="H33"/>
  <c r="J33"/>
  <c r="F33"/>
  <c r="D35"/>
  <c r="D23" i="118" s="1"/>
  <c r="D26" i="117"/>
  <c r="E55" s="1"/>
  <c r="J35" i="189" l="1"/>
  <c r="J23" i="118" s="1"/>
  <c r="J34" i="206"/>
  <c r="I35" i="189"/>
  <c r="I23" i="118" s="1"/>
  <c r="I34" i="206"/>
  <c r="B34"/>
  <c r="K6" i="118"/>
  <c r="B35" i="189"/>
  <c r="B23" i="118" s="1"/>
  <c r="F35" i="189"/>
  <c r="F23" i="118" s="1"/>
  <c r="F34" i="206"/>
  <c r="E35" i="189"/>
  <c r="E23" i="118" s="1"/>
  <c r="E34" i="206"/>
  <c r="G46"/>
  <c r="G41"/>
  <c r="G36"/>
  <c r="L35" i="189"/>
  <c r="L23" i="118" s="1"/>
  <c r="L34" i="206"/>
  <c r="D46"/>
  <c r="D41"/>
  <c r="D36"/>
  <c r="D59" i="117"/>
  <c r="D60"/>
  <c r="K46" i="206"/>
  <c r="K41"/>
  <c r="K36"/>
  <c r="H35" i="189"/>
  <c r="H23" i="118" s="1"/>
  <c r="H34" i="206"/>
  <c r="C34"/>
  <c r="C35" i="189"/>
  <c r="C23" i="118" s="1"/>
  <c r="E35" i="117"/>
  <c r="K35" i="189"/>
  <c r="K23" i="118" s="1"/>
  <c r="E53" i="117"/>
  <c r="E50"/>
  <c r="E40"/>
  <c r="E27"/>
  <c r="E43"/>
  <c r="E38"/>
  <c r="E26"/>
  <c r="E45"/>
  <c r="E37"/>
  <c r="E29"/>
  <c r="E44"/>
  <c r="E28"/>
  <c r="E42"/>
  <c r="E51"/>
  <c r="E47"/>
  <c r="E39"/>
  <c r="E31"/>
  <c r="E48"/>
  <c r="E32"/>
  <c r="E46"/>
  <c r="E30"/>
  <c r="E49"/>
  <c r="E41"/>
  <c r="E33"/>
  <c r="E52"/>
  <c r="E36"/>
  <c r="E54"/>
  <c r="E34"/>
  <c r="F46" i="206" l="1"/>
  <c r="F36"/>
  <c r="F41"/>
  <c r="B41"/>
  <c r="B46"/>
  <c r="B36"/>
  <c r="C46"/>
  <c r="C41"/>
  <c r="C36"/>
  <c r="E41"/>
  <c r="E36"/>
  <c r="E46"/>
  <c r="H46"/>
  <c r="H41"/>
  <c r="H36"/>
  <c r="J41"/>
  <c r="J46"/>
  <c r="J36"/>
  <c r="L46"/>
  <c r="L41"/>
  <c r="L36"/>
  <c r="I46"/>
  <c r="I36"/>
  <c r="I41"/>
  <c r="A31" i="121"/>
  <c r="A32" s="1"/>
  <c r="A33" s="1"/>
  <c r="A34" s="1"/>
  <c r="A35" s="1"/>
  <c r="A36" s="1"/>
  <c r="A37" s="1"/>
  <c r="A38" s="1"/>
  <c r="A39" s="1"/>
  <c r="A40" s="1"/>
  <c r="A41" s="1"/>
  <c r="A42" s="1"/>
  <c r="A43" s="1"/>
  <c r="A44" s="1"/>
  <c r="A45" s="1"/>
  <c r="A46" s="1"/>
  <c r="A47" s="1"/>
  <c r="A48" s="1"/>
  <c r="A49" s="1"/>
  <c r="A50" s="1"/>
  <c r="A51" s="1"/>
  <c r="A52" s="1"/>
  <c r="A53" s="1"/>
  <c r="A54" s="1"/>
  <c r="A55" s="1"/>
  <c r="A56" s="1"/>
  <c r="A57" s="1"/>
  <c r="A58" s="1"/>
  <c r="A30"/>
  <c r="I12" i="161"/>
  <c r="I13"/>
  <c r="I14"/>
  <c r="I15"/>
  <c r="I16"/>
  <c r="I17"/>
  <c r="I18"/>
  <c r="I19"/>
  <c r="I20"/>
  <c r="I21"/>
  <c r="I22"/>
  <c r="I23"/>
  <c r="I24"/>
  <c r="I25"/>
  <c r="I26"/>
  <c r="I27"/>
  <c r="I28"/>
  <c r="I29"/>
  <c r="I30"/>
  <c r="I31"/>
  <c r="B21" i="162"/>
  <c r="C21"/>
  <c r="D21"/>
  <c r="E21"/>
  <c r="F21"/>
  <c r="G21"/>
  <c r="H21"/>
  <c r="I21"/>
  <c r="J21"/>
  <c r="K21"/>
  <c r="L21"/>
  <c r="B21" i="184" l="1"/>
  <c r="C21"/>
  <c r="D21"/>
  <c r="E21"/>
  <c r="F21"/>
  <c r="G21"/>
  <c r="H21"/>
  <c r="I21"/>
  <c r="J21"/>
  <c r="K21"/>
  <c r="L21"/>
  <c r="L21" i="185"/>
  <c r="K21"/>
  <c r="J21"/>
  <c r="I21"/>
  <c r="H21"/>
  <c r="G21"/>
  <c r="F21"/>
  <c r="E21"/>
  <c r="D21"/>
  <c r="C21"/>
  <c r="B21"/>
  <c r="B22" i="186"/>
  <c r="C22"/>
  <c r="B23"/>
  <c r="C23"/>
  <c r="B24"/>
  <c r="C24"/>
  <c r="B25"/>
  <c r="C25"/>
  <c r="B26"/>
  <c r="C26"/>
  <c r="B27"/>
  <c r="C27"/>
  <c r="B28"/>
  <c r="C28"/>
  <c r="B29"/>
  <c r="C29"/>
  <c r="B30"/>
  <c r="C30"/>
  <c r="B31"/>
  <c r="C31"/>
  <c r="B32"/>
  <c r="C32"/>
  <c r="B33"/>
  <c r="C33"/>
  <c r="B34"/>
  <c r="C34"/>
  <c r="B35"/>
  <c r="C35"/>
  <c r="B36"/>
  <c r="C36"/>
  <c r="B37"/>
  <c r="C37"/>
  <c r="B38"/>
  <c r="C38"/>
  <c r="B39"/>
  <c r="C39"/>
  <c r="B40"/>
  <c r="C40"/>
  <c r="B41"/>
  <c r="C41"/>
  <c r="B42"/>
  <c r="C42"/>
  <c r="B43"/>
  <c r="C43"/>
  <c r="B44"/>
  <c r="C44"/>
  <c r="B45"/>
  <c r="C45"/>
  <c r="B46"/>
  <c r="C46"/>
  <c r="B47"/>
  <c r="C47"/>
  <c r="B48"/>
  <c r="C48"/>
  <c r="B49"/>
  <c r="C49"/>
  <c r="C21"/>
  <c r="B21"/>
  <c r="L21" i="163"/>
  <c r="K21"/>
  <c r="J21"/>
  <c r="I21"/>
  <c r="H21"/>
  <c r="G21"/>
  <c r="F21"/>
  <c r="E21"/>
  <c r="D21"/>
  <c r="C21"/>
  <c r="B21"/>
  <c r="L21" i="166"/>
  <c r="K21"/>
  <c r="J21"/>
  <c r="I21"/>
  <c r="H21"/>
  <c r="G21"/>
  <c r="F21"/>
  <c r="E21"/>
  <c r="D21"/>
  <c r="C21"/>
  <c r="B21"/>
  <c r="T16" i="156"/>
  <c r="G16" i="152" s="1"/>
  <c r="S16" i="156"/>
  <c r="R16"/>
  <c r="Q16"/>
  <c r="P16"/>
  <c r="O16"/>
  <c r="N16"/>
  <c r="M16"/>
  <c r="L16"/>
  <c r="K16"/>
  <c r="J16"/>
  <c r="I16"/>
  <c r="H16"/>
  <c r="G16"/>
  <c r="F16"/>
  <c r="E16"/>
  <c r="D16"/>
  <c r="C16"/>
  <c r="B16"/>
  <c r="T15"/>
  <c r="T36" s="1"/>
  <c r="S15"/>
  <c r="S36" s="1"/>
  <c r="R15"/>
  <c r="R36" s="1"/>
  <c r="Q15"/>
  <c r="Q36" s="1"/>
  <c r="P15"/>
  <c r="P36" s="1"/>
  <c r="O15"/>
  <c r="O36" s="1"/>
  <c r="N15"/>
  <c r="N36" s="1"/>
  <c r="M15"/>
  <c r="M36" s="1"/>
  <c r="L15"/>
  <c r="L36" s="1"/>
  <c r="K15"/>
  <c r="K36" s="1"/>
  <c r="J15"/>
  <c r="J36" s="1"/>
  <c r="I15"/>
  <c r="I36" s="1"/>
  <c r="H15"/>
  <c r="H36" s="1"/>
  <c r="G15"/>
  <c r="F15"/>
  <c r="E15"/>
  <c r="E36" s="1"/>
  <c r="D15"/>
  <c r="D36" s="1"/>
  <c r="C15"/>
  <c r="B15"/>
  <c r="B36" s="1"/>
  <c r="T14"/>
  <c r="S14"/>
  <c r="R14"/>
  <c r="R35" s="1"/>
  <c r="Q14"/>
  <c r="Q35" s="1"/>
  <c r="P14"/>
  <c r="O14"/>
  <c r="N14"/>
  <c r="N35" s="1"/>
  <c r="M14"/>
  <c r="L14"/>
  <c r="K14"/>
  <c r="J14"/>
  <c r="J35" s="1"/>
  <c r="I14"/>
  <c r="I35" s="1"/>
  <c r="H14"/>
  <c r="G14"/>
  <c r="F14"/>
  <c r="E14"/>
  <c r="E35" s="1"/>
  <c r="D14"/>
  <c r="C14"/>
  <c r="B14"/>
  <c r="B35" s="1"/>
  <c r="T13"/>
  <c r="S13"/>
  <c r="R13"/>
  <c r="R34" s="1"/>
  <c r="Q13"/>
  <c r="Q34" s="1"/>
  <c r="P13"/>
  <c r="O13"/>
  <c r="N13"/>
  <c r="N34" s="1"/>
  <c r="M13"/>
  <c r="L13"/>
  <c r="K13"/>
  <c r="J13"/>
  <c r="J34" s="1"/>
  <c r="I13"/>
  <c r="I34" s="1"/>
  <c r="H13"/>
  <c r="G13"/>
  <c r="F13"/>
  <c r="E13"/>
  <c r="D13"/>
  <c r="C13"/>
  <c r="B13"/>
  <c r="B34" s="1"/>
  <c r="T12"/>
  <c r="G12" i="152" s="1"/>
  <c r="S12" i="156"/>
  <c r="R12"/>
  <c r="R33" s="1"/>
  <c r="Q12"/>
  <c r="Q33" s="1"/>
  <c r="P12"/>
  <c r="O12"/>
  <c r="N12"/>
  <c r="N33" s="1"/>
  <c r="M12"/>
  <c r="M33" s="1"/>
  <c r="L12"/>
  <c r="K12"/>
  <c r="J12"/>
  <c r="J33" s="1"/>
  <c r="I12"/>
  <c r="I33" s="1"/>
  <c r="H12"/>
  <c r="G12"/>
  <c r="F12"/>
  <c r="E12"/>
  <c r="D12"/>
  <c r="C12"/>
  <c r="B12"/>
  <c r="B33" s="1"/>
  <c r="T11"/>
  <c r="T32" s="1"/>
  <c r="S11"/>
  <c r="S32" s="1"/>
  <c r="R11"/>
  <c r="R32" s="1"/>
  <c r="Q11"/>
  <c r="Q32" s="1"/>
  <c r="P11"/>
  <c r="P32" s="1"/>
  <c r="O11"/>
  <c r="O32" s="1"/>
  <c r="N11"/>
  <c r="N32" s="1"/>
  <c r="M11"/>
  <c r="M32" s="1"/>
  <c r="L11"/>
  <c r="L32" s="1"/>
  <c r="K11"/>
  <c r="K32" s="1"/>
  <c r="J11"/>
  <c r="J32" s="1"/>
  <c r="I11"/>
  <c r="I32" s="1"/>
  <c r="H11"/>
  <c r="H32" s="1"/>
  <c r="G11"/>
  <c r="F11"/>
  <c r="E11"/>
  <c r="E32" s="1"/>
  <c r="D11"/>
  <c r="D32" s="1"/>
  <c r="C11"/>
  <c r="B11"/>
  <c r="B32" s="1"/>
  <c r="T10"/>
  <c r="S10"/>
  <c r="R10"/>
  <c r="R31" s="1"/>
  <c r="Q10"/>
  <c r="Q31" s="1"/>
  <c r="P10"/>
  <c r="O10"/>
  <c r="N10"/>
  <c r="N31" s="1"/>
  <c r="M10"/>
  <c r="L10"/>
  <c r="K10"/>
  <c r="J10"/>
  <c r="J31" s="1"/>
  <c r="I10"/>
  <c r="I31" s="1"/>
  <c r="H10"/>
  <c r="G10"/>
  <c r="F10"/>
  <c r="E10"/>
  <c r="E31" s="1"/>
  <c r="D10"/>
  <c r="C10"/>
  <c r="B10"/>
  <c r="B31" s="1"/>
  <c r="T9"/>
  <c r="S9"/>
  <c r="R9"/>
  <c r="R30" s="1"/>
  <c r="Q9"/>
  <c r="Q30" s="1"/>
  <c r="P9"/>
  <c r="O9"/>
  <c r="N9"/>
  <c r="N30" s="1"/>
  <c r="M9"/>
  <c r="L9"/>
  <c r="K9"/>
  <c r="J9"/>
  <c r="J30" s="1"/>
  <c r="I9"/>
  <c r="I30" s="1"/>
  <c r="H9"/>
  <c r="G9"/>
  <c r="F9"/>
  <c r="E9"/>
  <c r="D9"/>
  <c r="C9"/>
  <c r="B9"/>
  <c r="B30" s="1"/>
  <c r="T8"/>
  <c r="G8" i="152" s="1"/>
  <c r="S8" i="156"/>
  <c r="R8"/>
  <c r="R29" s="1"/>
  <c r="Q8"/>
  <c r="Q29" s="1"/>
  <c r="P8"/>
  <c r="O8"/>
  <c r="N8"/>
  <c r="N29" s="1"/>
  <c r="M8"/>
  <c r="M29" s="1"/>
  <c r="L8"/>
  <c r="K8"/>
  <c r="J8"/>
  <c r="J29" s="1"/>
  <c r="I8"/>
  <c r="I29" s="1"/>
  <c r="H8"/>
  <c r="G8"/>
  <c r="F8"/>
  <c r="E8"/>
  <c r="D8"/>
  <c r="C8"/>
  <c r="B8"/>
  <c r="B29" s="1"/>
  <c r="T7"/>
  <c r="T28" s="1"/>
  <c r="S7"/>
  <c r="S28" s="1"/>
  <c r="R7"/>
  <c r="R28" s="1"/>
  <c r="Q7"/>
  <c r="Q28" s="1"/>
  <c r="P7"/>
  <c r="P28" s="1"/>
  <c r="O7"/>
  <c r="O28" s="1"/>
  <c r="N7"/>
  <c r="N28" s="1"/>
  <c r="M7"/>
  <c r="M28" s="1"/>
  <c r="L7"/>
  <c r="L28" s="1"/>
  <c r="K7"/>
  <c r="K28" s="1"/>
  <c r="J7"/>
  <c r="J28" s="1"/>
  <c r="I7"/>
  <c r="I28" s="1"/>
  <c r="H7"/>
  <c r="H28" s="1"/>
  <c r="G7"/>
  <c r="F7"/>
  <c r="E7"/>
  <c r="E28" s="1"/>
  <c r="D7"/>
  <c r="D28" s="1"/>
  <c r="C7"/>
  <c r="B7"/>
  <c r="B28" s="1"/>
  <c r="T6"/>
  <c r="S6"/>
  <c r="R6"/>
  <c r="R27" s="1"/>
  <c r="Q6"/>
  <c r="Q27" s="1"/>
  <c r="P6"/>
  <c r="O6"/>
  <c r="N6"/>
  <c r="N27" s="1"/>
  <c r="M6"/>
  <c r="L6"/>
  <c r="K6"/>
  <c r="J6"/>
  <c r="J27" s="1"/>
  <c r="I6"/>
  <c r="I27" s="1"/>
  <c r="H6"/>
  <c r="G6"/>
  <c r="F6"/>
  <c r="E6"/>
  <c r="E27" s="1"/>
  <c r="D6"/>
  <c r="C6"/>
  <c r="B6"/>
  <c r="B27" s="1"/>
  <c r="H16" i="155"/>
  <c r="G16"/>
  <c r="F16"/>
  <c r="E16"/>
  <c r="D16"/>
  <c r="C16"/>
  <c r="B16"/>
  <c r="H15"/>
  <c r="H36" s="1"/>
  <c r="G15"/>
  <c r="G36" s="1"/>
  <c r="F15"/>
  <c r="E15"/>
  <c r="E36" s="1"/>
  <c r="D15"/>
  <c r="D36" s="1"/>
  <c r="C15"/>
  <c r="C36" s="1"/>
  <c r="B15"/>
  <c r="H14"/>
  <c r="G14"/>
  <c r="G35" s="1"/>
  <c r="F14"/>
  <c r="E14"/>
  <c r="D14"/>
  <c r="D35" s="1"/>
  <c r="C14"/>
  <c r="B14"/>
  <c r="H13"/>
  <c r="G13"/>
  <c r="F13"/>
  <c r="E13"/>
  <c r="D13"/>
  <c r="C13"/>
  <c r="C34" s="1"/>
  <c r="B13"/>
  <c r="H12"/>
  <c r="G12"/>
  <c r="F12"/>
  <c r="E12"/>
  <c r="D12"/>
  <c r="C12"/>
  <c r="C33" s="1"/>
  <c r="B12"/>
  <c r="B33" s="1"/>
  <c r="H11"/>
  <c r="H32" s="1"/>
  <c r="G11"/>
  <c r="G32" s="1"/>
  <c r="F11"/>
  <c r="F32" s="1"/>
  <c r="E11"/>
  <c r="E32" s="1"/>
  <c r="D11"/>
  <c r="D32" s="1"/>
  <c r="C11"/>
  <c r="C32" s="1"/>
  <c r="B11"/>
  <c r="B32" s="1"/>
  <c r="H10"/>
  <c r="F10" i="152" s="1"/>
  <c r="G10" i="155"/>
  <c r="G31" s="1"/>
  <c r="F10"/>
  <c r="E10"/>
  <c r="D10"/>
  <c r="C10"/>
  <c r="C31" s="1"/>
  <c r="B10"/>
  <c r="H9"/>
  <c r="G9"/>
  <c r="G30" s="1"/>
  <c r="F9"/>
  <c r="E9"/>
  <c r="D9"/>
  <c r="C9"/>
  <c r="B9"/>
  <c r="H8"/>
  <c r="G8"/>
  <c r="G29" s="1"/>
  <c r="F8"/>
  <c r="E8"/>
  <c r="D8"/>
  <c r="C8"/>
  <c r="B8"/>
  <c r="H7"/>
  <c r="H28" s="1"/>
  <c r="G7"/>
  <c r="G28" s="1"/>
  <c r="F7"/>
  <c r="F28" s="1"/>
  <c r="E7"/>
  <c r="E28" s="1"/>
  <c r="D7"/>
  <c r="D28" s="1"/>
  <c r="C7"/>
  <c r="C28" s="1"/>
  <c r="B7"/>
  <c r="B28" s="1"/>
  <c r="H6"/>
  <c r="F6" i="152" s="1"/>
  <c r="G6" i="155"/>
  <c r="G27" s="1"/>
  <c r="F6"/>
  <c r="E6"/>
  <c r="D6"/>
  <c r="C6"/>
  <c r="C27" s="1"/>
  <c r="B6"/>
  <c r="F36" i="154"/>
  <c r="E36"/>
  <c r="D36"/>
  <c r="F35"/>
  <c r="E35"/>
  <c r="D35"/>
  <c r="F34"/>
  <c r="E34"/>
  <c r="D34"/>
  <c r="F33"/>
  <c r="E33"/>
  <c r="D33"/>
  <c r="F32"/>
  <c r="E32"/>
  <c r="D32"/>
  <c r="F31"/>
  <c r="D31"/>
  <c r="F30"/>
  <c r="E30"/>
  <c r="D30"/>
  <c r="F29"/>
  <c r="E29"/>
  <c r="D29"/>
  <c r="F28"/>
  <c r="F27"/>
  <c r="D27"/>
  <c r="F26"/>
  <c r="E26"/>
  <c r="L16"/>
  <c r="K16"/>
  <c r="J16"/>
  <c r="I16"/>
  <c r="H16"/>
  <c r="G16"/>
  <c r="C16"/>
  <c r="B16"/>
  <c r="L15"/>
  <c r="L35" s="1"/>
  <c r="K15"/>
  <c r="D15" i="152" s="1"/>
  <c r="D36" s="1"/>
  <c r="J15" i="154"/>
  <c r="I15"/>
  <c r="I35" s="1"/>
  <c r="H15"/>
  <c r="H35" s="1"/>
  <c r="G15"/>
  <c r="G35" s="1"/>
  <c r="C15"/>
  <c r="B15"/>
  <c r="B35" s="1"/>
  <c r="L14"/>
  <c r="L34" s="1"/>
  <c r="K14"/>
  <c r="J14"/>
  <c r="I14"/>
  <c r="I34" s="1"/>
  <c r="H14"/>
  <c r="H34" s="1"/>
  <c r="G14"/>
  <c r="G34" s="1"/>
  <c r="C14"/>
  <c r="C34" s="1"/>
  <c r="B14"/>
  <c r="B34" s="1"/>
  <c r="L13"/>
  <c r="L33" s="1"/>
  <c r="K13"/>
  <c r="D13" i="152" s="1"/>
  <c r="D34" s="1"/>
  <c r="J13" i="154"/>
  <c r="I13"/>
  <c r="I33" s="1"/>
  <c r="H13"/>
  <c r="H33" s="1"/>
  <c r="G13"/>
  <c r="G33" s="1"/>
  <c r="C13"/>
  <c r="C33" s="1"/>
  <c r="B13"/>
  <c r="B33" s="1"/>
  <c r="L12"/>
  <c r="L32" s="1"/>
  <c r="K12"/>
  <c r="J12"/>
  <c r="I12"/>
  <c r="I32" s="1"/>
  <c r="H12"/>
  <c r="H32" s="1"/>
  <c r="G12"/>
  <c r="G32" s="1"/>
  <c r="C12"/>
  <c r="C32" s="1"/>
  <c r="B12"/>
  <c r="B32" s="1"/>
  <c r="L11"/>
  <c r="L31" s="1"/>
  <c r="K11"/>
  <c r="D11" i="152" s="1"/>
  <c r="D32" s="1"/>
  <c r="J11" i="154"/>
  <c r="I11"/>
  <c r="I31" s="1"/>
  <c r="H11"/>
  <c r="H31" s="1"/>
  <c r="G11"/>
  <c r="G31" s="1"/>
  <c r="C11"/>
  <c r="C31" s="1"/>
  <c r="B11"/>
  <c r="B31" s="1"/>
  <c r="L10"/>
  <c r="L30" s="1"/>
  <c r="K10"/>
  <c r="D10" i="152" s="1"/>
  <c r="D31" s="1"/>
  <c r="J10" i="154"/>
  <c r="I10"/>
  <c r="I30" s="1"/>
  <c r="H10"/>
  <c r="H30" s="1"/>
  <c r="G10"/>
  <c r="G30" s="1"/>
  <c r="C10"/>
  <c r="C30" s="1"/>
  <c r="B10"/>
  <c r="B30" s="1"/>
  <c r="L9"/>
  <c r="L29" s="1"/>
  <c r="K9"/>
  <c r="J9"/>
  <c r="I9"/>
  <c r="I29" s="1"/>
  <c r="H9"/>
  <c r="H29" s="1"/>
  <c r="G9"/>
  <c r="G29" s="1"/>
  <c r="C9"/>
  <c r="C29" s="1"/>
  <c r="B9"/>
  <c r="B29" s="1"/>
  <c r="L8"/>
  <c r="L28" s="1"/>
  <c r="K8"/>
  <c r="D8" i="152" s="1"/>
  <c r="D29" s="1"/>
  <c r="J8" i="154"/>
  <c r="I8"/>
  <c r="I28" s="1"/>
  <c r="H8"/>
  <c r="H28" s="1"/>
  <c r="G8"/>
  <c r="G28" s="1"/>
  <c r="C8"/>
  <c r="C28" s="1"/>
  <c r="B8"/>
  <c r="B28" s="1"/>
  <c r="L7"/>
  <c r="L27" s="1"/>
  <c r="K7"/>
  <c r="D7" i="152" s="1"/>
  <c r="D28" s="1"/>
  <c r="J7" i="154"/>
  <c r="I7"/>
  <c r="I27" s="1"/>
  <c r="H7"/>
  <c r="H27" s="1"/>
  <c r="G7"/>
  <c r="G27" s="1"/>
  <c r="C7"/>
  <c r="C27" s="1"/>
  <c r="B7"/>
  <c r="B27" s="1"/>
  <c r="L6"/>
  <c r="E6" i="152" s="1"/>
  <c r="K6" i="154"/>
  <c r="K26" s="1"/>
  <c r="J6"/>
  <c r="I6"/>
  <c r="I26" s="1"/>
  <c r="H6"/>
  <c r="H26" s="1"/>
  <c r="G6"/>
  <c r="G26" s="1"/>
  <c r="D6"/>
  <c r="D26" s="1"/>
  <c r="C6"/>
  <c r="B6"/>
  <c r="H16" i="153"/>
  <c r="G16"/>
  <c r="F16"/>
  <c r="E16"/>
  <c r="D16"/>
  <c r="C16"/>
  <c r="B16"/>
  <c r="H15"/>
  <c r="H35" s="1"/>
  <c r="G15"/>
  <c r="F15"/>
  <c r="F35" s="1"/>
  <c r="E15"/>
  <c r="E35" s="1"/>
  <c r="D15"/>
  <c r="D35" s="1"/>
  <c r="C15"/>
  <c r="C35" s="1"/>
  <c r="B15"/>
  <c r="B35" s="1"/>
  <c r="H14"/>
  <c r="C14" i="152" s="1"/>
  <c r="G14" i="153"/>
  <c r="G34" s="1"/>
  <c r="F14"/>
  <c r="E14"/>
  <c r="D14"/>
  <c r="C14"/>
  <c r="C34" s="1"/>
  <c r="B14"/>
  <c r="H13"/>
  <c r="C13" i="152" s="1"/>
  <c r="G13" i="153"/>
  <c r="B13" i="152" s="1"/>
  <c r="F13" i="153"/>
  <c r="E13"/>
  <c r="D13"/>
  <c r="D33" s="1"/>
  <c r="C13"/>
  <c r="B13"/>
  <c r="H12"/>
  <c r="G12"/>
  <c r="B12" i="152" s="1"/>
  <c r="F12" i="153"/>
  <c r="E12"/>
  <c r="D12"/>
  <c r="C12"/>
  <c r="C32" s="1"/>
  <c r="B12"/>
  <c r="H11"/>
  <c r="H31" s="1"/>
  <c r="G11"/>
  <c r="G31" s="1"/>
  <c r="F11"/>
  <c r="F31" s="1"/>
  <c r="E11"/>
  <c r="E31" s="1"/>
  <c r="D11"/>
  <c r="D31" s="1"/>
  <c r="C11"/>
  <c r="C31" s="1"/>
  <c r="B11"/>
  <c r="B31" s="1"/>
  <c r="H10"/>
  <c r="C10" i="152" s="1"/>
  <c r="G10" i="153"/>
  <c r="G30" s="1"/>
  <c r="F10"/>
  <c r="E10"/>
  <c r="D10"/>
  <c r="C10"/>
  <c r="C30" s="1"/>
  <c r="B10"/>
  <c r="H9"/>
  <c r="H29" s="1"/>
  <c r="G9"/>
  <c r="G29" s="1"/>
  <c r="F9"/>
  <c r="E9"/>
  <c r="D9"/>
  <c r="C9"/>
  <c r="C29" s="1"/>
  <c r="B9"/>
  <c r="H8"/>
  <c r="H28" s="1"/>
  <c r="G8"/>
  <c r="G28" s="1"/>
  <c r="F8"/>
  <c r="E8"/>
  <c r="D8"/>
  <c r="C8"/>
  <c r="B8"/>
  <c r="H7"/>
  <c r="H27" s="1"/>
  <c r="G7"/>
  <c r="G27" s="1"/>
  <c r="F7"/>
  <c r="F27" s="1"/>
  <c r="E7"/>
  <c r="E27" s="1"/>
  <c r="D7"/>
  <c r="D27" s="1"/>
  <c r="C7"/>
  <c r="C27" s="1"/>
  <c r="B7"/>
  <c r="B27" s="1"/>
  <c r="H6"/>
  <c r="C6" i="152" s="1"/>
  <c r="G6" i="153"/>
  <c r="G26" s="1"/>
  <c r="F6"/>
  <c r="E6"/>
  <c r="D6"/>
  <c r="C6"/>
  <c r="C26" s="1"/>
  <c r="B6"/>
  <c r="I16" i="152"/>
  <c r="H16"/>
  <c r="F16"/>
  <c r="C16"/>
  <c r="I15"/>
  <c r="I36" s="1"/>
  <c r="H15"/>
  <c r="H36" s="1"/>
  <c r="E15"/>
  <c r="E36" s="1"/>
  <c r="B15"/>
  <c r="B36" s="1"/>
  <c r="I14"/>
  <c r="H14"/>
  <c r="F14"/>
  <c r="E14"/>
  <c r="I13"/>
  <c r="H13"/>
  <c r="G13"/>
  <c r="I12"/>
  <c r="H12"/>
  <c r="F12"/>
  <c r="C12"/>
  <c r="I11"/>
  <c r="I32" s="1"/>
  <c r="H11"/>
  <c r="B11"/>
  <c r="I10"/>
  <c r="I31" s="1"/>
  <c r="H10"/>
  <c r="I9"/>
  <c r="I30" s="1"/>
  <c r="H9"/>
  <c r="H30" s="1"/>
  <c r="G9"/>
  <c r="C9"/>
  <c r="I8"/>
  <c r="I29" s="1"/>
  <c r="H8"/>
  <c r="F8"/>
  <c r="E8"/>
  <c r="C8"/>
  <c r="I7"/>
  <c r="I28" s="1"/>
  <c r="H7"/>
  <c r="B7"/>
  <c r="I6"/>
  <c r="I27" s="1"/>
  <c r="H6"/>
  <c r="H27" s="1"/>
  <c r="D6"/>
  <c r="B6"/>
  <c r="A65" i="151"/>
  <c r="A64"/>
  <c r="A63"/>
  <c r="A62"/>
  <c r="A61"/>
  <c r="A60"/>
  <c r="A59"/>
  <c r="A58"/>
  <c r="A57"/>
  <c r="A56"/>
  <c r="A55"/>
  <c r="T51"/>
  <c r="S51"/>
  <c r="R51"/>
  <c r="Q51"/>
  <c r="P51"/>
  <c r="O51"/>
  <c r="N51"/>
  <c r="M51"/>
  <c r="L51"/>
  <c r="K51"/>
  <c r="J51"/>
  <c r="I51"/>
  <c r="H51"/>
  <c r="G51"/>
  <c r="F51"/>
  <c r="E51"/>
  <c r="D51"/>
  <c r="C51"/>
  <c r="B51"/>
  <c r="T50"/>
  <c r="S50"/>
  <c r="R50"/>
  <c r="Q50"/>
  <c r="P50"/>
  <c r="O50"/>
  <c r="N64" s="1"/>
  <c r="N50"/>
  <c r="M50"/>
  <c r="L50"/>
  <c r="K50"/>
  <c r="O64" s="1"/>
  <c r="J50"/>
  <c r="M64" s="1"/>
  <c r="I50"/>
  <c r="H50"/>
  <c r="L64" s="1"/>
  <c r="G50"/>
  <c r="F50"/>
  <c r="E50"/>
  <c r="D50"/>
  <c r="C50"/>
  <c r="B50"/>
  <c r="T49"/>
  <c r="G49" i="147" s="1"/>
  <c r="S49" i="151"/>
  <c r="R49"/>
  <c r="Q49"/>
  <c r="P49"/>
  <c r="O49"/>
  <c r="N63" s="1"/>
  <c r="N49"/>
  <c r="M49"/>
  <c r="L49"/>
  <c r="K49"/>
  <c r="O63" s="1"/>
  <c r="J49"/>
  <c r="I49"/>
  <c r="H49"/>
  <c r="G49"/>
  <c r="F49"/>
  <c r="E49"/>
  <c r="D49"/>
  <c r="C49"/>
  <c r="B49"/>
  <c r="T48"/>
  <c r="G48" i="147" s="1"/>
  <c r="S48" i="151"/>
  <c r="R48"/>
  <c r="Q48"/>
  <c r="P48"/>
  <c r="O48"/>
  <c r="N62" s="1"/>
  <c r="N48"/>
  <c r="M48"/>
  <c r="L48"/>
  <c r="K48"/>
  <c r="J48"/>
  <c r="I48"/>
  <c r="H48"/>
  <c r="G48"/>
  <c r="F48"/>
  <c r="E48"/>
  <c r="D48"/>
  <c r="C48"/>
  <c r="B48"/>
  <c r="T47"/>
  <c r="S47"/>
  <c r="R47"/>
  <c r="Q47"/>
  <c r="P47"/>
  <c r="O47"/>
  <c r="N47"/>
  <c r="M47"/>
  <c r="L47"/>
  <c r="K47"/>
  <c r="J47"/>
  <c r="I47"/>
  <c r="H47"/>
  <c r="G47"/>
  <c r="F47"/>
  <c r="E47"/>
  <c r="D47"/>
  <c r="C47"/>
  <c r="B47"/>
  <c r="T46"/>
  <c r="G46" i="147" s="1"/>
  <c r="S46" i="151"/>
  <c r="R46"/>
  <c r="Q46"/>
  <c r="P46"/>
  <c r="O46"/>
  <c r="N60" s="1"/>
  <c r="N46"/>
  <c r="M46"/>
  <c r="L46"/>
  <c r="K46"/>
  <c r="O60" s="1"/>
  <c r="J46"/>
  <c r="M60" s="1"/>
  <c r="I46"/>
  <c r="H46"/>
  <c r="L60" s="1"/>
  <c r="G46"/>
  <c r="F46"/>
  <c r="E46"/>
  <c r="D46"/>
  <c r="C46"/>
  <c r="B46"/>
  <c r="T45"/>
  <c r="G45" i="147" s="1"/>
  <c r="S45" i="151"/>
  <c r="R45"/>
  <c r="Q45"/>
  <c r="P45"/>
  <c r="O45"/>
  <c r="N59" s="1"/>
  <c r="N45"/>
  <c r="M45"/>
  <c r="L45"/>
  <c r="K45"/>
  <c r="O59" s="1"/>
  <c r="J45"/>
  <c r="I45"/>
  <c r="H45"/>
  <c r="G45"/>
  <c r="F45"/>
  <c r="E45"/>
  <c r="D45"/>
  <c r="C45"/>
  <c r="B45"/>
  <c r="T44"/>
  <c r="G44" i="147" s="1"/>
  <c r="S44" i="151"/>
  <c r="R44"/>
  <c r="Q44"/>
  <c r="P44"/>
  <c r="O44"/>
  <c r="N58" s="1"/>
  <c r="N44"/>
  <c r="M44"/>
  <c r="L44"/>
  <c r="K44"/>
  <c r="J44"/>
  <c r="I44"/>
  <c r="H44"/>
  <c r="G44"/>
  <c r="F44"/>
  <c r="E44"/>
  <c r="D44"/>
  <c r="C44"/>
  <c r="B44"/>
  <c r="T43"/>
  <c r="S43"/>
  <c r="R43"/>
  <c r="Q43"/>
  <c r="P43"/>
  <c r="O43"/>
  <c r="N43"/>
  <c r="M43"/>
  <c r="L43"/>
  <c r="K43"/>
  <c r="J43"/>
  <c r="I43"/>
  <c r="H43"/>
  <c r="G43"/>
  <c r="F43"/>
  <c r="E43"/>
  <c r="D43"/>
  <c r="C43"/>
  <c r="B43"/>
  <c r="T42"/>
  <c r="G42" i="147" s="1"/>
  <c r="S42" i="151"/>
  <c r="R42"/>
  <c r="Q42"/>
  <c r="P42"/>
  <c r="O42"/>
  <c r="N56" s="1"/>
  <c r="N42"/>
  <c r="M42"/>
  <c r="L42"/>
  <c r="K42"/>
  <c r="O56" s="1"/>
  <c r="J42"/>
  <c r="M56" s="1"/>
  <c r="I42"/>
  <c r="H42"/>
  <c r="L56" s="1"/>
  <c r="G42"/>
  <c r="F42"/>
  <c r="E42"/>
  <c r="D42"/>
  <c r="C42"/>
  <c r="B42"/>
  <c r="T41"/>
  <c r="G41" i="147" s="1"/>
  <c r="S41" i="151"/>
  <c r="R41"/>
  <c r="Q41"/>
  <c r="P41"/>
  <c r="O41"/>
  <c r="N55" s="1"/>
  <c r="N41"/>
  <c r="M41"/>
  <c r="L41"/>
  <c r="K41"/>
  <c r="O55" s="1"/>
  <c r="J41"/>
  <c r="I41"/>
  <c r="H41"/>
  <c r="G41"/>
  <c r="F41"/>
  <c r="E41"/>
  <c r="D41"/>
  <c r="C41"/>
  <c r="B41"/>
  <c r="T15"/>
  <c r="G15" i="147" s="1"/>
  <c r="S15" i="151"/>
  <c r="R15"/>
  <c r="Q15"/>
  <c r="P15"/>
  <c r="O15"/>
  <c r="N15"/>
  <c r="M15"/>
  <c r="L15"/>
  <c r="K15"/>
  <c r="J15"/>
  <c r="I15"/>
  <c r="H15"/>
  <c r="B65" s="1"/>
  <c r="G15"/>
  <c r="F15"/>
  <c r="E15"/>
  <c r="D15"/>
  <c r="C15"/>
  <c r="B15"/>
  <c r="T14"/>
  <c r="T35" s="1"/>
  <c r="S14"/>
  <c r="R14"/>
  <c r="R35" s="1"/>
  <c r="Q14"/>
  <c r="Q35" s="1"/>
  <c r="P14"/>
  <c r="P35" s="1"/>
  <c r="O14"/>
  <c r="O35" s="1"/>
  <c r="N14"/>
  <c r="M14"/>
  <c r="M35" s="1"/>
  <c r="L14"/>
  <c r="L35" s="1"/>
  <c r="K14"/>
  <c r="K35" s="1"/>
  <c r="J14"/>
  <c r="I14"/>
  <c r="H14"/>
  <c r="B64" s="1"/>
  <c r="H64" s="1"/>
  <c r="G14"/>
  <c r="F14"/>
  <c r="E14"/>
  <c r="E35" s="1"/>
  <c r="D14"/>
  <c r="D35" s="1"/>
  <c r="C14"/>
  <c r="B14"/>
  <c r="T13"/>
  <c r="T34" s="1"/>
  <c r="S13"/>
  <c r="R13"/>
  <c r="Q13"/>
  <c r="Q34" s="1"/>
  <c r="P13"/>
  <c r="P34" s="1"/>
  <c r="O13"/>
  <c r="N13"/>
  <c r="M13"/>
  <c r="M34" s="1"/>
  <c r="L13"/>
  <c r="L34" s="1"/>
  <c r="K13"/>
  <c r="J13"/>
  <c r="C63" s="1"/>
  <c r="I13"/>
  <c r="H13"/>
  <c r="B63" s="1"/>
  <c r="H63" s="1"/>
  <c r="G13"/>
  <c r="F13"/>
  <c r="E13"/>
  <c r="D13"/>
  <c r="D34" s="1"/>
  <c r="C13"/>
  <c r="B13"/>
  <c r="T12"/>
  <c r="T33" s="1"/>
  <c r="S12"/>
  <c r="R12"/>
  <c r="Q12"/>
  <c r="Q33" s="1"/>
  <c r="P12"/>
  <c r="P33" s="1"/>
  <c r="O12"/>
  <c r="N12"/>
  <c r="M12"/>
  <c r="M33" s="1"/>
  <c r="L12"/>
  <c r="L33" s="1"/>
  <c r="K12"/>
  <c r="J12"/>
  <c r="C62" s="1"/>
  <c r="I12"/>
  <c r="H12"/>
  <c r="H33" s="1"/>
  <c r="G12"/>
  <c r="F12"/>
  <c r="E12"/>
  <c r="D12"/>
  <c r="D33" s="1"/>
  <c r="C12"/>
  <c r="B12"/>
  <c r="T11"/>
  <c r="T32" s="1"/>
  <c r="S11"/>
  <c r="R11"/>
  <c r="Q11"/>
  <c r="Q32" s="1"/>
  <c r="P11"/>
  <c r="P32" s="1"/>
  <c r="O11"/>
  <c r="N11"/>
  <c r="M11"/>
  <c r="M32" s="1"/>
  <c r="L11"/>
  <c r="L32" s="1"/>
  <c r="K11"/>
  <c r="J11"/>
  <c r="I11"/>
  <c r="H11"/>
  <c r="H32" s="1"/>
  <c r="G11"/>
  <c r="F11"/>
  <c r="E11"/>
  <c r="D11"/>
  <c r="D32" s="1"/>
  <c r="C11"/>
  <c r="B11"/>
  <c r="T10"/>
  <c r="T31" s="1"/>
  <c r="S10"/>
  <c r="R10"/>
  <c r="R31" s="1"/>
  <c r="Q10"/>
  <c r="Q31" s="1"/>
  <c r="P10"/>
  <c r="P31" s="1"/>
  <c r="O10"/>
  <c r="O31" s="1"/>
  <c r="N10"/>
  <c r="N31" s="1"/>
  <c r="M10"/>
  <c r="M31" s="1"/>
  <c r="L10"/>
  <c r="L31" s="1"/>
  <c r="K10"/>
  <c r="K31" s="1"/>
  <c r="J10"/>
  <c r="I10"/>
  <c r="I31" s="1"/>
  <c r="H10"/>
  <c r="B60" s="1"/>
  <c r="H60" s="1"/>
  <c r="G10"/>
  <c r="F10"/>
  <c r="E10"/>
  <c r="E31" s="1"/>
  <c r="D10"/>
  <c r="D31" s="1"/>
  <c r="C10"/>
  <c r="B10"/>
  <c r="B31" s="1"/>
  <c r="T9"/>
  <c r="T30" s="1"/>
  <c r="S9"/>
  <c r="R9"/>
  <c r="Q9"/>
  <c r="Q30" s="1"/>
  <c r="P9"/>
  <c r="P30" s="1"/>
  <c r="O9"/>
  <c r="N9"/>
  <c r="M9"/>
  <c r="M30" s="1"/>
  <c r="L9"/>
  <c r="L30" s="1"/>
  <c r="K9"/>
  <c r="J9"/>
  <c r="C59" s="1"/>
  <c r="I9"/>
  <c r="H9"/>
  <c r="B59" s="1"/>
  <c r="H59" s="1"/>
  <c r="G9"/>
  <c r="F9"/>
  <c r="E9"/>
  <c r="D9"/>
  <c r="D30" s="1"/>
  <c r="C9"/>
  <c r="B9"/>
  <c r="T8"/>
  <c r="T29" s="1"/>
  <c r="S8"/>
  <c r="R8"/>
  <c r="Q8"/>
  <c r="Q29" s="1"/>
  <c r="P8"/>
  <c r="P29" s="1"/>
  <c r="O8"/>
  <c r="N8"/>
  <c r="M8"/>
  <c r="M29" s="1"/>
  <c r="L8"/>
  <c r="L29" s="1"/>
  <c r="K8"/>
  <c r="J8"/>
  <c r="C58" s="1"/>
  <c r="I8"/>
  <c r="H8"/>
  <c r="H29" s="1"/>
  <c r="G8"/>
  <c r="F8"/>
  <c r="E8"/>
  <c r="D8"/>
  <c r="D29" s="1"/>
  <c r="C8"/>
  <c r="B8"/>
  <c r="T7"/>
  <c r="T28" s="1"/>
  <c r="S7"/>
  <c r="R7"/>
  <c r="Q7"/>
  <c r="Q28" s="1"/>
  <c r="P7"/>
  <c r="P28" s="1"/>
  <c r="O7"/>
  <c r="N7"/>
  <c r="M7"/>
  <c r="M28" s="1"/>
  <c r="L7"/>
  <c r="L28" s="1"/>
  <c r="K7"/>
  <c r="J7"/>
  <c r="I7"/>
  <c r="H7"/>
  <c r="H28" s="1"/>
  <c r="G7"/>
  <c r="F7"/>
  <c r="E7"/>
  <c r="D7"/>
  <c r="D28" s="1"/>
  <c r="C7"/>
  <c r="B7"/>
  <c r="T6"/>
  <c r="T27" s="1"/>
  <c r="S6"/>
  <c r="R6"/>
  <c r="R27" s="1"/>
  <c r="Q6"/>
  <c r="Q27" s="1"/>
  <c r="P6"/>
  <c r="P27" s="1"/>
  <c r="O6"/>
  <c r="O27" s="1"/>
  <c r="N6"/>
  <c r="N27" s="1"/>
  <c r="M6"/>
  <c r="M27" s="1"/>
  <c r="L6"/>
  <c r="L27" s="1"/>
  <c r="K6"/>
  <c r="K27" s="1"/>
  <c r="J6"/>
  <c r="I6"/>
  <c r="I27" s="1"/>
  <c r="H6"/>
  <c r="B56" s="1"/>
  <c r="H56" s="1"/>
  <c r="G6"/>
  <c r="F6"/>
  <c r="E6"/>
  <c r="E27" s="1"/>
  <c r="D6"/>
  <c r="D27" s="1"/>
  <c r="C6"/>
  <c r="B6"/>
  <c r="B27" s="1"/>
  <c r="T5"/>
  <c r="T26" s="1"/>
  <c r="S5"/>
  <c r="R5"/>
  <c r="Q5"/>
  <c r="Q26" s="1"/>
  <c r="P5"/>
  <c r="P26" s="1"/>
  <c r="O5"/>
  <c r="N5"/>
  <c r="M5"/>
  <c r="M26" s="1"/>
  <c r="L5"/>
  <c r="L26" s="1"/>
  <c r="K5"/>
  <c r="J5"/>
  <c r="C55" s="1"/>
  <c r="I5"/>
  <c r="H5"/>
  <c r="B55" s="1"/>
  <c r="H55" s="1"/>
  <c r="G5"/>
  <c r="F5"/>
  <c r="E5"/>
  <c r="D5"/>
  <c r="D26" s="1"/>
  <c r="C5"/>
  <c r="B5"/>
  <c r="H51" i="150"/>
  <c r="G51"/>
  <c r="F51"/>
  <c r="E51"/>
  <c r="D51"/>
  <c r="C51"/>
  <c r="B51"/>
  <c r="H50"/>
  <c r="G50"/>
  <c r="F50"/>
  <c r="E50"/>
  <c r="D50"/>
  <c r="C50"/>
  <c r="B50"/>
  <c r="H49"/>
  <c r="G49"/>
  <c r="F49"/>
  <c r="E49"/>
  <c r="D49"/>
  <c r="C49"/>
  <c r="B49"/>
  <c r="H48"/>
  <c r="F48" i="147" s="1"/>
  <c r="G48" i="150"/>
  <c r="F48"/>
  <c r="E48"/>
  <c r="D48"/>
  <c r="C48"/>
  <c r="B48"/>
  <c r="H47"/>
  <c r="F47" i="147" s="1"/>
  <c r="G47" i="150"/>
  <c r="F47"/>
  <c r="E47"/>
  <c r="D47"/>
  <c r="C47"/>
  <c r="B47"/>
  <c r="H46"/>
  <c r="F46" i="147" s="1"/>
  <c r="G46" i="150"/>
  <c r="F46"/>
  <c r="E46"/>
  <c r="D46"/>
  <c r="C46"/>
  <c r="B46"/>
  <c r="H45"/>
  <c r="G45"/>
  <c r="F45"/>
  <c r="E45"/>
  <c r="D45"/>
  <c r="C45"/>
  <c r="B45"/>
  <c r="H44"/>
  <c r="F44" i="147" s="1"/>
  <c r="G44" i="150"/>
  <c r="F44"/>
  <c r="E44"/>
  <c r="D44"/>
  <c r="C44"/>
  <c r="B44"/>
  <c r="H43"/>
  <c r="G43"/>
  <c r="F43"/>
  <c r="E43"/>
  <c r="D43"/>
  <c r="C43"/>
  <c r="B43"/>
  <c r="H42"/>
  <c r="G42"/>
  <c r="F42"/>
  <c r="E42"/>
  <c r="D42"/>
  <c r="C42"/>
  <c r="B42"/>
  <c r="H41"/>
  <c r="G41"/>
  <c r="F41"/>
  <c r="E41"/>
  <c r="D41"/>
  <c r="C41"/>
  <c r="B41"/>
  <c r="H15"/>
  <c r="G15"/>
  <c r="F15"/>
  <c r="E15"/>
  <c r="D15"/>
  <c r="C15"/>
  <c r="B15"/>
  <c r="H14"/>
  <c r="F14" i="147" s="1"/>
  <c r="F35" s="1"/>
  <c r="G14" i="150"/>
  <c r="G35" s="1"/>
  <c r="F14"/>
  <c r="F35" s="1"/>
  <c r="E14"/>
  <c r="E35" s="1"/>
  <c r="D14"/>
  <c r="D35" s="1"/>
  <c r="C14"/>
  <c r="C35" s="1"/>
  <c r="B14"/>
  <c r="B35" s="1"/>
  <c r="H13"/>
  <c r="I13" s="1"/>
  <c r="G13"/>
  <c r="F13"/>
  <c r="F34" s="1"/>
  <c r="E13"/>
  <c r="E34" s="1"/>
  <c r="D13"/>
  <c r="C13"/>
  <c r="B13"/>
  <c r="B34" s="1"/>
  <c r="H12"/>
  <c r="F12" i="147" s="1"/>
  <c r="G12" i="150"/>
  <c r="F12"/>
  <c r="E12"/>
  <c r="E33" s="1"/>
  <c r="D12"/>
  <c r="C12"/>
  <c r="B12"/>
  <c r="H11"/>
  <c r="G11"/>
  <c r="F11"/>
  <c r="F32" s="1"/>
  <c r="E11"/>
  <c r="E32" s="1"/>
  <c r="D11"/>
  <c r="C11"/>
  <c r="B11"/>
  <c r="H10"/>
  <c r="F10" i="147" s="1"/>
  <c r="F31" s="1"/>
  <c r="G10" i="150"/>
  <c r="G31" s="1"/>
  <c r="F10"/>
  <c r="F31" s="1"/>
  <c r="E10"/>
  <c r="E31" s="1"/>
  <c r="D10"/>
  <c r="D31" s="1"/>
  <c r="C10"/>
  <c r="C31" s="1"/>
  <c r="B10"/>
  <c r="B31" s="1"/>
  <c r="H9"/>
  <c r="G9"/>
  <c r="F9"/>
  <c r="F30" s="1"/>
  <c r="E9"/>
  <c r="E30" s="1"/>
  <c r="D9"/>
  <c r="C9"/>
  <c r="B9"/>
  <c r="B30" s="1"/>
  <c r="H8"/>
  <c r="G8"/>
  <c r="F8"/>
  <c r="E8"/>
  <c r="E29" s="1"/>
  <c r="D8"/>
  <c r="C8"/>
  <c r="B8"/>
  <c r="H7"/>
  <c r="G7"/>
  <c r="F7"/>
  <c r="E7"/>
  <c r="E28" s="1"/>
  <c r="D7"/>
  <c r="C7"/>
  <c r="B7"/>
  <c r="H6"/>
  <c r="F6" i="147" s="1"/>
  <c r="G6" i="150"/>
  <c r="G27" s="1"/>
  <c r="F6"/>
  <c r="F27" s="1"/>
  <c r="E6"/>
  <c r="E27" s="1"/>
  <c r="D6"/>
  <c r="D27" s="1"/>
  <c r="C6"/>
  <c r="C27" s="1"/>
  <c r="B6"/>
  <c r="B27" s="1"/>
  <c r="H5"/>
  <c r="I5" s="1"/>
  <c r="G5"/>
  <c r="F5"/>
  <c r="F26" s="1"/>
  <c r="E5"/>
  <c r="E26" s="1"/>
  <c r="D5"/>
  <c r="C5"/>
  <c r="B5"/>
  <c r="B26" s="1"/>
  <c r="L51" i="149"/>
  <c r="E51" i="147" s="1"/>
  <c r="K51" i="149"/>
  <c r="D51" i="147" s="1"/>
  <c r="J51" i="149"/>
  <c r="I51"/>
  <c r="H51"/>
  <c r="G51"/>
  <c r="C51"/>
  <c r="B51"/>
  <c r="L50"/>
  <c r="K50"/>
  <c r="D50" i="147" s="1"/>
  <c r="J50" i="149"/>
  <c r="I50"/>
  <c r="H50"/>
  <c r="G50"/>
  <c r="C50"/>
  <c r="B50"/>
  <c r="L49"/>
  <c r="K49"/>
  <c r="D49" i="147" s="1"/>
  <c r="J49" i="149"/>
  <c r="I49"/>
  <c r="H49"/>
  <c r="G49"/>
  <c r="C49"/>
  <c r="B49"/>
  <c r="L48"/>
  <c r="E48" i="147" s="1"/>
  <c r="K48" i="149"/>
  <c r="D48" i="147" s="1"/>
  <c r="J48" i="149"/>
  <c r="I48"/>
  <c r="H48"/>
  <c r="G48"/>
  <c r="C48"/>
  <c r="B48"/>
  <c r="L47"/>
  <c r="K47"/>
  <c r="D47" i="147" s="1"/>
  <c r="J47" i="149"/>
  <c r="I47"/>
  <c r="H47"/>
  <c r="G47"/>
  <c r="C47"/>
  <c r="B47"/>
  <c r="L46"/>
  <c r="K46"/>
  <c r="D46" i="147" s="1"/>
  <c r="J46" i="149"/>
  <c r="I46"/>
  <c r="H46"/>
  <c r="G46"/>
  <c r="C46"/>
  <c r="B46"/>
  <c r="L45"/>
  <c r="K45"/>
  <c r="D45" i="147" s="1"/>
  <c r="J45" i="149"/>
  <c r="I45"/>
  <c r="H45"/>
  <c r="G45"/>
  <c r="C45"/>
  <c r="B45"/>
  <c r="L44"/>
  <c r="E44" i="147" s="1"/>
  <c r="K44" i="149"/>
  <c r="D44" i="147" s="1"/>
  <c r="J44" i="149"/>
  <c r="I44"/>
  <c r="H44"/>
  <c r="G44"/>
  <c r="C44"/>
  <c r="B44"/>
  <c r="L43"/>
  <c r="E43" i="147" s="1"/>
  <c r="K43" i="149"/>
  <c r="D43" i="147" s="1"/>
  <c r="J43" i="149"/>
  <c r="I43"/>
  <c r="H43"/>
  <c r="G43"/>
  <c r="C43"/>
  <c r="B43"/>
  <c r="L42"/>
  <c r="K42"/>
  <c r="D42" i="147" s="1"/>
  <c r="J42" i="149"/>
  <c r="I42"/>
  <c r="H42"/>
  <c r="G42"/>
  <c r="D42"/>
  <c r="C42"/>
  <c r="B42"/>
  <c r="L41"/>
  <c r="E41" i="147" s="1"/>
  <c r="K41" i="149"/>
  <c r="D41" i="147" s="1"/>
  <c r="J41" i="149"/>
  <c r="I41"/>
  <c r="H41"/>
  <c r="G41"/>
  <c r="C41"/>
  <c r="B41"/>
  <c r="F36"/>
  <c r="E36"/>
  <c r="D36"/>
  <c r="F35"/>
  <c r="E35"/>
  <c r="D35"/>
  <c r="F34"/>
  <c r="E34"/>
  <c r="D34"/>
  <c r="F33"/>
  <c r="E33"/>
  <c r="D33"/>
  <c r="F32"/>
  <c r="E32"/>
  <c r="D32"/>
  <c r="F31"/>
  <c r="E31"/>
  <c r="D31"/>
  <c r="F30"/>
  <c r="E30"/>
  <c r="D30"/>
  <c r="F29"/>
  <c r="E29"/>
  <c r="D29"/>
  <c r="F28"/>
  <c r="E28"/>
  <c r="D28"/>
  <c r="F27"/>
  <c r="E27"/>
  <c r="F26"/>
  <c r="E26"/>
  <c r="D26"/>
  <c r="L15"/>
  <c r="K15"/>
  <c r="J15"/>
  <c r="I15"/>
  <c r="H15"/>
  <c r="G15"/>
  <c r="C15"/>
  <c r="B15"/>
  <c r="L14"/>
  <c r="K14"/>
  <c r="K35" s="1"/>
  <c r="J14"/>
  <c r="J35" s="1"/>
  <c r="I14"/>
  <c r="I35" s="1"/>
  <c r="H14"/>
  <c r="H36" s="1"/>
  <c r="G14"/>
  <c r="G35" s="1"/>
  <c r="C14"/>
  <c r="C35" s="1"/>
  <c r="B14"/>
  <c r="B35" s="1"/>
  <c r="L13"/>
  <c r="K13"/>
  <c r="K34" s="1"/>
  <c r="J13"/>
  <c r="J34" s="1"/>
  <c r="I13"/>
  <c r="H13"/>
  <c r="G13"/>
  <c r="G34" s="1"/>
  <c r="C13"/>
  <c r="C34" s="1"/>
  <c r="B13"/>
  <c r="B34" s="1"/>
  <c r="L12"/>
  <c r="L33" s="1"/>
  <c r="K12"/>
  <c r="K33" s="1"/>
  <c r="J12"/>
  <c r="J33" s="1"/>
  <c r="I12"/>
  <c r="H12"/>
  <c r="H33" s="1"/>
  <c r="G12"/>
  <c r="G33" s="1"/>
  <c r="C12"/>
  <c r="C33" s="1"/>
  <c r="B12"/>
  <c r="L11"/>
  <c r="K11"/>
  <c r="K32" s="1"/>
  <c r="J11"/>
  <c r="J32" s="1"/>
  <c r="I11"/>
  <c r="I32" s="1"/>
  <c r="H11"/>
  <c r="G11"/>
  <c r="G32" s="1"/>
  <c r="C11"/>
  <c r="C32" s="1"/>
  <c r="B11"/>
  <c r="L10"/>
  <c r="K10"/>
  <c r="D10" i="147" s="1"/>
  <c r="J10" i="149"/>
  <c r="J31" s="1"/>
  <c r="I10"/>
  <c r="H10"/>
  <c r="H31" s="1"/>
  <c r="G10"/>
  <c r="G31" s="1"/>
  <c r="C10"/>
  <c r="C31" s="1"/>
  <c r="B10"/>
  <c r="L9"/>
  <c r="L30" s="1"/>
  <c r="K9"/>
  <c r="K30" s="1"/>
  <c r="J9"/>
  <c r="J30" s="1"/>
  <c r="I9"/>
  <c r="H9"/>
  <c r="H30" s="1"/>
  <c r="G9"/>
  <c r="G30" s="1"/>
  <c r="C9"/>
  <c r="C30" s="1"/>
  <c r="B9"/>
  <c r="L8"/>
  <c r="L29" s="1"/>
  <c r="K8"/>
  <c r="K29" s="1"/>
  <c r="J8"/>
  <c r="I8"/>
  <c r="I29" s="1"/>
  <c r="H8"/>
  <c r="H29" s="1"/>
  <c r="G8"/>
  <c r="G29" s="1"/>
  <c r="C8"/>
  <c r="B8"/>
  <c r="B29" s="1"/>
  <c r="L7"/>
  <c r="K7"/>
  <c r="K28" s="1"/>
  <c r="J7"/>
  <c r="I7"/>
  <c r="I28" s="1"/>
  <c r="H7"/>
  <c r="G7"/>
  <c r="G28" s="1"/>
  <c r="C7"/>
  <c r="B7"/>
  <c r="B28" s="1"/>
  <c r="L6"/>
  <c r="K6"/>
  <c r="K27" s="1"/>
  <c r="J6"/>
  <c r="I6"/>
  <c r="I27" s="1"/>
  <c r="H6"/>
  <c r="H27" s="1"/>
  <c r="G6"/>
  <c r="G27" s="1"/>
  <c r="D6"/>
  <c r="D27" s="1"/>
  <c r="C6"/>
  <c r="B6"/>
  <c r="L5"/>
  <c r="E5" i="147" s="1"/>
  <c r="K5" i="149"/>
  <c r="K26" s="1"/>
  <c r="J5"/>
  <c r="I5"/>
  <c r="H5"/>
  <c r="H26" s="1"/>
  <c r="G5"/>
  <c r="G26" s="1"/>
  <c r="C5"/>
  <c r="B5"/>
  <c r="H51" i="148"/>
  <c r="G51"/>
  <c r="B51" i="147" s="1"/>
  <c r="F51" i="148"/>
  <c r="E51"/>
  <c r="D51"/>
  <c r="C51"/>
  <c r="B51"/>
  <c r="H50"/>
  <c r="G50"/>
  <c r="B50" i="147" s="1"/>
  <c r="F50" i="148"/>
  <c r="E50"/>
  <c r="D50"/>
  <c r="C50"/>
  <c r="B50"/>
  <c r="H49"/>
  <c r="C49" i="147" s="1"/>
  <c r="G49" i="148"/>
  <c r="F49"/>
  <c r="E49"/>
  <c r="D49"/>
  <c r="C49"/>
  <c r="B49"/>
  <c r="H48"/>
  <c r="C48" i="147" s="1"/>
  <c r="G48" i="148"/>
  <c r="B48" i="147" s="1"/>
  <c r="F48" i="148"/>
  <c r="E48"/>
  <c r="D48"/>
  <c r="C48"/>
  <c r="B48"/>
  <c r="H47"/>
  <c r="G47"/>
  <c r="B47" i="147" s="1"/>
  <c r="F47" i="148"/>
  <c r="E47"/>
  <c r="D47"/>
  <c r="C47"/>
  <c r="B47"/>
  <c r="H46"/>
  <c r="G46"/>
  <c r="F46"/>
  <c r="E46"/>
  <c r="D46"/>
  <c r="C46"/>
  <c r="B46"/>
  <c r="H45"/>
  <c r="C45" i="147" s="1"/>
  <c r="G45" i="148"/>
  <c r="F45"/>
  <c r="E45"/>
  <c r="D45"/>
  <c r="C45"/>
  <c r="B45"/>
  <c r="H44"/>
  <c r="C44" i="147" s="1"/>
  <c r="G44" i="148"/>
  <c r="B44" i="147" s="1"/>
  <c r="F44" i="148"/>
  <c r="E44"/>
  <c r="D44"/>
  <c r="C44"/>
  <c r="B44"/>
  <c r="H43"/>
  <c r="G43"/>
  <c r="B43" i="147" s="1"/>
  <c r="F43" i="148"/>
  <c r="E43"/>
  <c r="D43"/>
  <c r="C43"/>
  <c r="B43"/>
  <c r="H42"/>
  <c r="G42"/>
  <c r="B42" i="147" s="1"/>
  <c r="F42" i="148"/>
  <c r="E42"/>
  <c r="D42"/>
  <c r="C42"/>
  <c r="B42"/>
  <c r="H41"/>
  <c r="C41" i="147" s="1"/>
  <c r="G41" i="148"/>
  <c r="F41"/>
  <c r="E41"/>
  <c r="D41"/>
  <c r="C41"/>
  <c r="B41"/>
  <c r="H15"/>
  <c r="G15"/>
  <c r="B15" i="147" s="1"/>
  <c r="F15" i="148"/>
  <c r="E15"/>
  <c r="D15"/>
  <c r="C15"/>
  <c r="B15"/>
  <c r="H14"/>
  <c r="H35" s="1"/>
  <c r="G14"/>
  <c r="G35" s="1"/>
  <c r="F14"/>
  <c r="F35" s="1"/>
  <c r="E14"/>
  <c r="E35" s="1"/>
  <c r="D14"/>
  <c r="D35" s="1"/>
  <c r="C14"/>
  <c r="C35" s="1"/>
  <c r="B14"/>
  <c r="B35" s="1"/>
  <c r="H13"/>
  <c r="H34" s="1"/>
  <c r="G13"/>
  <c r="G34" s="1"/>
  <c r="F13"/>
  <c r="F34" s="1"/>
  <c r="E13"/>
  <c r="E34" s="1"/>
  <c r="D13"/>
  <c r="D34" s="1"/>
  <c r="C13"/>
  <c r="C34" s="1"/>
  <c r="B13"/>
  <c r="B34" s="1"/>
  <c r="H12"/>
  <c r="H33" s="1"/>
  <c r="G12"/>
  <c r="G33" s="1"/>
  <c r="F12"/>
  <c r="F33" s="1"/>
  <c r="E12"/>
  <c r="E33" s="1"/>
  <c r="D12"/>
  <c r="D33" s="1"/>
  <c r="C12"/>
  <c r="C33" s="1"/>
  <c r="B12"/>
  <c r="B33" s="1"/>
  <c r="H11"/>
  <c r="G11"/>
  <c r="B11" i="147" s="1"/>
  <c r="F11" i="148"/>
  <c r="F32" s="1"/>
  <c r="E11"/>
  <c r="D11"/>
  <c r="C11"/>
  <c r="B11"/>
  <c r="B32" s="1"/>
  <c r="H10"/>
  <c r="G10"/>
  <c r="F10"/>
  <c r="F31" s="1"/>
  <c r="E10"/>
  <c r="D10"/>
  <c r="C10"/>
  <c r="B10"/>
  <c r="B31" s="1"/>
  <c r="H9"/>
  <c r="G9"/>
  <c r="F9"/>
  <c r="F30" s="1"/>
  <c r="E9"/>
  <c r="D9"/>
  <c r="C9"/>
  <c r="B9"/>
  <c r="B30" s="1"/>
  <c r="H8"/>
  <c r="H29" s="1"/>
  <c r="G8"/>
  <c r="G29" s="1"/>
  <c r="F8"/>
  <c r="F29" s="1"/>
  <c r="E8"/>
  <c r="D8"/>
  <c r="D29" s="1"/>
  <c r="C8"/>
  <c r="C29" s="1"/>
  <c r="B8"/>
  <c r="B29" s="1"/>
  <c r="H7"/>
  <c r="G7"/>
  <c r="B7" i="147" s="1"/>
  <c r="F7" i="148"/>
  <c r="F28" s="1"/>
  <c r="E7"/>
  <c r="D7"/>
  <c r="C7"/>
  <c r="B7"/>
  <c r="B28" s="1"/>
  <c r="H6"/>
  <c r="G6"/>
  <c r="F6"/>
  <c r="F27" s="1"/>
  <c r="E6"/>
  <c r="D6"/>
  <c r="C6"/>
  <c r="B6"/>
  <c r="B27" s="1"/>
  <c r="H5"/>
  <c r="G5"/>
  <c r="F5"/>
  <c r="F26" s="1"/>
  <c r="E5"/>
  <c r="D5"/>
  <c r="C5"/>
  <c r="B5"/>
  <c r="B26" s="1"/>
  <c r="G51" i="147"/>
  <c r="F51"/>
  <c r="F50"/>
  <c r="E50"/>
  <c r="C50"/>
  <c r="F49"/>
  <c r="E49"/>
  <c r="B49"/>
  <c r="G47"/>
  <c r="E47"/>
  <c r="E46"/>
  <c r="C46"/>
  <c r="B46"/>
  <c r="F45"/>
  <c r="E45"/>
  <c r="B45"/>
  <c r="G43"/>
  <c r="F43"/>
  <c r="F42"/>
  <c r="E42"/>
  <c r="C42"/>
  <c r="F41"/>
  <c r="B41"/>
  <c r="E15"/>
  <c r="D15"/>
  <c r="G14"/>
  <c r="G35" s="1"/>
  <c r="E14"/>
  <c r="E35" s="1"/>
  <c r="D14"/>
  <c r="D35" s="1"/>
  <c r="F13"/>
  <c r="E13"/>
  <c r="D13"/>
  <c r="D34" s="1"/>
  <c r="E12"/>
  <c r="G11"/>
  <c r="E11"/>
  <c r="G10"/>
  <c r="E10"/>
  <c r="B10"/>
  <c r="G9"/>
  <c r="F9"/>
  <c r="D9"/>
  <c r="D30" s="1"/>
  <c r="B9"/>
  <c r="E8"/>
  <c r="G7"/>
  <c r="E7"/>
  <c r="G6"/>
  <c r="E6"/>
  <c r="F5"/>
  <c r="B5"/>
  <c r="G36" i="153" l="1"/>
  <c r="I37" i="156"/>
  <c r="Q37"/>
  <c r="H65" i="151"/>
  <c r="E27" i="152"/>
  <c r="C35" i="155"/>
  <c r="G37"/>
  <c r="H26" i="148"/>
  <c r="H30"/>
  <c r="G28" i="150"/>
  <c r="G32"/>
  <c r="C36"/>
  <c r="K28" i="151"/>
  <c r="K32"/>
  <c r="M57"/>
  <c r="E35" i="152"/>
  <c r="E29" i="155"/>
  <c r="E33"/>
  <c r="D27" i="148"/>
  <c r="H27"/>
  <c r="M6" i="149"/>
  <c r="M7"/>
  <c r="M11"/>
  <c r="M13"/>
  <c r="M14"/>
  <c r="M15"/>
  <c r="B28" i="150"/>
  <c r="F28"/>
  <c r="C29"/>
  <c r="G29"/>
  <c r="B32"/>
  <c r="C33"/>
  <c r="G33"/>
  <c r="K29" i="151"/>
  <c r="S29"/>
  <c r="K33"/>
  <c r="S33"/>
  <c r="M58"/>
  <c r="M62"/>
  <c r="E7" i="152"/>
  <c r="E28" s="1"/>
  <c r="E11"/>
  <c r="E32" s="1"/>
  <c r="E12"/>
  <c r="E33" s="1"/>
  <c r="E13"/>
  <c r="E34" s="1"/>
  <c r="G36" i="154"/>
  <c r="L26"/>
  <c r="E30" i="155"/>
  <c r="E34"/>
  <c r="D26" i="148"/>
  <c r="D30"/>
  <c r="C28" i="150"/>
  <c r="C32"/>
  <c r="G36"/>
  <c r="M61" i="151"/>
  <c r="M65"/>
  <c r="E29" i="152"/>
  <c r="B34"/>
  <c r="L36" i="154"/>
  <c r="E37" i="155"/>
  <c r="B8" i="147"/>
  <c r="G31"/>
  <c r="D28" i="148"/>
  <c r="H28"/>
  <c r="D32"/>
  <c r="H32"/>
  <c r="I12"/>
  <c r="I13"/>
  <c r="I14"/>
  <c r="I35" s="1"/>
  <c r="C26" i="150"/>
  <c r="G26"/>
  <c r="B29"/>
  <c r="F29"/>
  <c r="C30"/>
  <c r="G30"/>
  <c r="B33"/>
  <c r="F33"/>
  <c r="C34"/>
  <c r="G34"/>
  <c r="K26" i="151"/>
  <c r="O26"/>
  <c r="S26"/>
  <c r="K30"/>
  <c r="O30"/>
  <c r="S30"/>
  <c r="K34"/>
  <c r="O34"/>
  <c r="S34"/>
  <c r="M55"/>
  <c r="M59"/>
  <c r="M63"/>
  <c r="B8" i="152"/>
  <c r="B29" s="1"/>
  <c r="E9"/>
  <c r="E30" s="1"/>
  <c r="E10"/>
  <c r="E31" s="1"/>
  <c r="I33"/>
  <c r="I34"/>
  <c r="G15"/>
  <c r="G36" s="1"/>
  <c r="E16"/>
  <c r="E37" s="1"/>
  <c r="B26" i="153"/>
  <c r="E29"/>
  <c r="F30"/>
  <c r="E27" i="155"/>
  <c r="E31"/>
  <c r="E35"/>
  <c r="B37"/>
  <c r="K31" i="154"/>
  <c r="G27" i="147"/>
  <c r="G28"/>
  <c r="G8"/>
  <c r="G29" s="1"/>
  <c r="G30"/>
  <c r="D36"/>
  <c r="C26" i="148"/>
  <c r="G26"/>
  <c r="C30"/>
  <c r="G30"/>
  <c r="D31"/>
  <c r="H31"/>
  <c r="J27" i="149"/>
  <c r="C28"/>
  <c r="J28"/>
  <c r="C29"/>
  <c r="J29"/>
  <c r="I36"/>
  <c r="I34" i="151"/>
  <c r="U14"/>
  <c r="B57"/>
  <c r="H57" s="1"/>
  <c r="D27" i="152"/>
  <c r="G7"/>
  <c r="G11"/>
  <c r="G32" s="1"/>
  <c r="F15"/>
  <c r="F29" s="1"/>
  <c r="I37"/>
  <c r="E28" i="153"/>
  <c r="E32"/>
  <c r="E36"/>
  <c r="K27" i="154"/>
  <c r="D29" i="155"/>
  <c r="H29"/>
  <c r="D33"/>
  <c r="H33"/>
  <c r="D29" i="156"/>
  <c r="D33"/>
  <c r="D37"/>
  <c r="B12" i="147"/>
  <c r="B13"/>
  <c r="B14"/>
  <c r="B35" s="1"/>
  <c r="C27" i="148"/>
  <c r="G27"/>
  <c r="C31"/>
  <c r="G31"/>
  <c r="C26" i="149"/>
  <c r="J26"/>
  <c r="C27"/>
  <c r="M8"/>
  <c r="H35"/>
  <c r="M36" i="151"/>
  <c r="Q36"/>
  <c r="D64"/>
  <c r="J64" s="1"/>
  <c r="F7" i="152"/>
  <c r="F28" s="1"/>
  <c r="G29"/>
  <c r="F11"/>
  <c r="F32" s="1"/>
  <c r="E33" i="153"/>
  <c r="B34"/>
  <c r="D30" i="155"/>
  <c r="H30"/>
  <c r="D34"/>
  <c r="H34"/>
  <c r="F33"/>
  <c r="D30" i="156"/>
  <c r="H30"/>
  <c r="L30"/>
  <c r="P30"/>
  <c r="T30"/>
  <c r="D34"/>
  <c r="H34"/>
  <c r="L34"/>
  <c r="P34"/>
  <c r="T34"/>
  <c r="H27" i="155"/>
  <c r="D6" i="147"/>
  <c r="D27" s="1"/>
  <c r="D7"/>
  <c r="D28" s="1"/>
  <c r="D8"/>
  <c r="D29" s="1"/>
  <c r="G12"/>
  <c r="G33" s="1"/>
  <c r="C28" i="148"/>
  <c r="G28"/>
  <c r="C32"/>
  <c r="G32"/>
  <c r="D31" i="147"/>
  <c r="D30" i="150"/>
  <c r="B36"/>
  <c r="F36"/>
  <c r="R26" i="151"/>
  <c r="R30"/>
  <c r="R34"/>
  <c r="D36"/>
  <c r="D56"/>
  <c r="J56" s="1"/>
  <c r="B58"/>
  <c r="H58" s="1"/>
  <c r="B9" i="152"/>
  <c r="B30" s="1"/>
  <c r="F31"/>
  <c r="G34"/>
  <c r="E26" i="153"/>
  <c r="E30"/>
  <c r="E34"/>
  <c r="H36" i="154"/>
  <c r="D27" i="155"/>
  <c r="D31"/>
  <c r="H31"/>
  <c r="H35"/>
  <c r="D27" i="156"/>
  <c r="H27"/>
  <c r="L27"/>
  <c r="P27"/>
  <c r="T27"/>
  <c r="D31"/>
  <c r="H31"/>
  <c r="L31"/>
  <c r="P31"/>
  <c r="T31"/>
  <c r="D35"/>
  <c r="H35"/>
  <c r="L35"/>
  <c r="P35"/>
  <c r="T35"/>
  <c r="B36" i="149"/>
  <c r="I26" i="151"/>
  <c r="I30"/>
  <c r="I33"/>
  <c r="I36"/>
  <c r="I36" i="154"/>
  <c r="B6" i="147"/>
  <c r="B27" s="1"/>
  <c r="F30"/>
  <c r="G32"/>
  <c r="F33"/>
  <c r="E34"/>
  <c r="D36" i="148"/>
  <c r="H36"/>
  <c r="I26" i="149"/>
  <c r="B27"/>
  <c r="I34"/>
  <c r="L28"/>
  <c r="L32"/>
  <c r="D28" i="150"/>
  <c r="D32"/>
  <c r="D36"/>
  <c r="E28" i="151"/>
  <c r="E32"/>
  <c r="E36"/>
  <c r="L57"/>
  <c r="L61"/>
  <c r="L65"/>
  <c r="D59"/>
  <c r="F27" i="152"/>
  <c r="H32"/>
  <c r="F13"/>
  <c r="F34" s="1"/>
  <c r="I35"/>
  <c r="H37"/>
  <c r="F36"/>
  <c r="D26" i="153"/>
  <c r="H26"/>
  <c r="B28"/>
  <c r="F28"/>
  <c r="D30"/>
  <c r="H30"/>
  <c r="B32"/>
  <c r="F32"/>
  <c r="C33"/>
  <c r="G33"/>
  <c r="D34"/>
  <c r="H34"/>
  <c r="B36"/>
  <c r="F36"/>
  <c r="B26" i="154"/>
  <c r="K28"/>
  <c r="K30"/>
  <c r="B36" i="155"/>
  <c r="K29" i="156"/>
  <c r="O29"/>
  <c r="S29"/>
  <c r="K33"/>
  <c r="O33"/>
  <c r="S33"/>
  <c r="K37"/>
  <c r="O37"/>
  <c r="S37"/>
  <c r="B26" i="149"/>
  <c r="I29" i="151"/>
  <c r="I32"/>
  <c r="I35"/>
  <c r="B36" i="154"/>
  <c r="F29" i="155"/>
  <c r="G5" i="147"/>
  <c r="G26" s="1"/>
  <c r="E28"/>
  <c r="E29"/>
  <c r="E9"/>
  <c r="E30" s="1"/>
  <c r="E31"/>
  <c r="E32"/>
  <c r="E33"/>
  <c r="G36"/>
  <c r="E26" i="148"/>
  <c r="I5"/>
  <c r="I26" s="1"/>
  <c r="E27"/>
  <c r="I6"/>
  <c r="E28"/>
  <c r="C36"/>
  <c r="G36"/>
  <c r="E26" i="147"/>
  <c r="B31" i="149"/>
  <c r="I31"/>
  <c r="B32"/>
  <c r="B33"/>
  <c r="I33"/>
  <c r="M12"/>
  <c r="D29" i="150"/>
  <c r="D33"/>
  <c r="E29" i="151"/>
  <c r="E33"/>
  <c r="H36"/>
  <c r="L36"/>
  <c r="P36"/>
  <c r="T36"/>
  <c r="D60"/>
  <c r="J60" s="1"/>
  <c r="B61"/>
  <c r="H61" s="1"/>
  <c r="B62"/>
  <c r="H62" s="1"/>
  <c r="H28" i="152"/>
  <c r="F9"/>
  <c r="F30" s="1"/>
  <c r="H33"/>
  <c r="H35"/>
  <c r="B16"/>
  <c r="B37" s="1"/>
  <c r="B29" i="153"/>
  <c r="F29"/>
  <c r="B33"/>
  <c r="F33"/>
  <c r="K35" i="154"/>
  <c r="B30" i="155"/>
  <c r="F30"/>
  <c r="B34"/>
  <c r="F34"/>
  <c r="F37"/>
  <c r="K30" i="156"/>
  <c r="O30"/>
  <c r="S30"/>
  <c r="K34"/>
  <c r="O34"/>
  <c r="S34"/>
  <c r="B37"/>
  <c r="J37"/>
  <c r="N37"/>
  <c r="R37"/>
  <c r="E36" i="148"/>
  <c r="I28" i="151"/>
  <c r="F26" i="147"/>
  <c r="E27"/>
  <c r="D12"/>
  <c r="D33" s="1"/>
  <c r="G13"/>
  <c r="G34" s="1"/>
  <c r="E36"/>
  <c r="E29" i="148"/>
  <c r="I8"/>
  <c r="E30"/>
  <c r="I9"/>
  <c r="E31"/>
  <c r="I10"/>
  <c r="E32"/>
  <c r="B36"/>
  <c r="F36"/>
  <c r="B30" i="149"/>
  <c r="I30"/>
  <c r="M9"/>
  <c r="C36"/>
  <c r="J36"/>
  <c r="L36"/>
  <c r="D26" i="150"/>
  <c r="D34"/>
  <c r="H34"/>
  <c r="E26" i="151"/>
  <c r="E30"/>
  <c r="E34"/>
  <c r="K36"/>
  <c r="L55"/>
  <c r="L59"/>
  <c r="L63"/>
  <c r="D55"/>
  <c r="D63"/>
  <c r="H29" i="152"/>
  <c r="H31"/>
  <c r="H34"/>
  <c r="F35"/>
  <c r="F26" i="153"/>
  <c r="B30"/>
  <c r="D32"/>
  <c r="F34"/>
  <c r="C36"/>
  <c r="G32"/>
  <c r="H36"/>
  <c r="B27" i="155"/>
  <c r="F27"/>
  <c r="B31"/>
  <c r="F31"/>
  <c r="B35"/>
  <c r="F35"/>
  <c r="D37"/>
  <c r="H37"/>
  <c r="F36"/>
  <c r="K27" i="156"/>
  <c r="O27"/>
  <c r="S27"/>
  <c r="K31"/>
  <c r="O31"/>
  <c r="S31"/>
  <c r="K35"/>
  <c r="O35"/>
  <c r="S35"/>
  <c r="M37"/>
  <c r="H44" i="147"/>
  <c r="I44"/>
  <c r="H48"/>
  <c r="I48"/>
  <c r="M10" i="149"/>
  <c r="L31"/>
  <c r="H30" i="150"/>
  <c r="I9"/>
  <c r="F27" i="147"/>
  <c r="H42"/>
  <c r="H46"/>
  <c r="H26" i="150"/>
  <c r="B28" i="151"/>
  <c r="J28"/>
  <c r="N28"/>
  <c r="R28"/>
  <c r="B32"/>
  <c r="J32"/>
  <c r="N32"/>
  <c r="R32"/>
  <c r="B36"/>
  <c r="J36"/>
  <c r="N36"/>
  <c r="R36"/>
  <c r="B28" i="152"/>
  <c r="G37"/>
  <c r="H28" i="150"/>
  <c r="I7"/>
  <c r="H32"/>
  <c r="I11"/>
  <c r="H36"/>
  <c r="I15"/>
  <c r="C35" i="154"/>
  <c r="C26"/>
  <c r="I7" i="148"/>
  <c r="C43" i="147"/>
  <c r="C47"/>
  <c r="I11" i="148"/>
  <c r="I32" s="1"/>
  <c r="I15"/>
  <c r="C51" i="147"/>
  <c r="L26" i="149"/>
  <c r="M5"/>
  <c r="H29" i="150"/>
  <c r="I8"/>
  <c r="H33"/>
  <c r="I12"/>
  <c r="J27" i="151"/>
  <c r="C56"/>
  <c r="D57"/>
  <c r="O28"/>
  <c r="S28"/>
  <c r="E57"/>
  <c r="J31"/>
  <c r="C60"/>
  <c r="D61"/>
  <c r="O32"/>
  <c r="S32"/>
  <c r="E61"/>
  <c r="B35"/>
  <c r="B34"/>
  <c r="B30"/>
  <c r="B26"/>
  <c r="J35"/>
  <c r="C64"/>
  <c r="I64" s="1"/>
  <c r="N34"/>
  <c r="N33"/>
  <c r="N35"/>
  <c r="N30"/>
  <c r="N29"/>
  <c r="N26"/>
  <c r="D65"/>
  <c r="O36"/>
  <c r="S36"/>
  <c r="E65"/>
  <c r="H41" i="147"/>
  <c r="I41"/>
  <c r="H45"/>
  <c r="I45"/>
  <c r="H49"/>
  <c r="I49"/>
  <c r="H27" i="150"/>
  <c r="I6"/>
  <c r="H31"/>
  <c r="I10"/>
  <c r="H35"/>
  <c r="I14"/>
  <c r="B31" i="147"/>
  <c r="C36" i="154"/>
  <c r="F7" i="147"/>
  <c r="F28" s="1"/>
  <c r="F34"/>
  <c r="J55" i="151"/>
  <c r="B27" i="152"/>
  <c r="B32"/>
  <c r="F8" i="147"/>
  <c r="F29" s="1"/>
  <c r="F11"/>
  <c r="F32" s="1"/>
  <c r="F15"/>
  <c r="F36" s="1"/>
  <c r="B29" i="151"/>
  <c r="R29"/>
  <c r="B33"/>
  <c r="R33"/>
  <c r="J63"/>
  <c r="G28" i="152"/>
  <c r="B33"/>
  <c r="E56" i="151"/>
  <c r="S27"/>
  <c r="E60"/>
  <c r="S31"/>
  <c r="E64"/>
  <c r="K64" s="1"/>
  <c r="S35"/>
  <c r="K29" i="154"/>
  <c r="D9" i="152"/>
  <c r="D30" s="1"/>
  <c r="D12"/>
  <c r="D33" s="1"/>
  <c r="K32" i="154"/>
  <c r="D14" i="152"/>
  <c r="D35" s="1"/>
  <c r="K34" i="154"/>
  <c r="D16" i="152"/>
  <c r="D37" s="1"/>
  <c r="K36" i="154"/>
  <c r="C57" i="151"/>
  <c r="C61"/>
  <c r="C65"/>
  <c r="D28" i="153"/>
  <c r="C5" i="147"/>
  <c r="C6"/>
  <c r="C7"/>
  <c r="C8"/>
  <c r="C9"/>
  <c r="C10"/>
  <c r="C11"/>
  <c r="C12"/>
  <c r="C13"/>
  <c r="C14"/>
  <c r="C15"/>
  <c r="G50"/>
  <c r="H50" s="1"/>
  <c r="H34" i="149"/>
  <c r="L34"/>
  <c r="G36"/>
  <c r="K36"/>
  <c r="K31"/>
  <c r="E36" i="150"/>
  <c r="I59" i="151"/>
  <c r="J26"/>
  <c r="J29"/>
  <c r="J30"/>
  <c r="J33"/>
  <c r="J34"/>
  <c r="O57"/>
  <c r="N57"/>
  <c r="O61"/>
  <c r="N61"/>
  <c r="O65"/>
  <c r="N65"/>
  <c r="E55"/>
  <c r="K55" s="1"/>
  <c r="L58"/>
  <c r="E59"/>
  <c r="L62"/>
  <c r="E63"/>
  <c r="K63" s="1"/>
  <c r="G6" i="152"/>
  <c r="G27" s="1"/>
  <c r="C7"/>
  <c r="B10"/>
  <c r="B31" s="1"/>
  <c r="G10"/>
  <c r="C11"/>
  <c r="B14"/>
  <c r="B35" s="1"/>
  <c r="G14"/>
  <c r="C15"/>
  <c r="C33" s="1"/>
  <c r="G35" i="153"/>
  <c r="K33" i="154"/>
  <c r="B29" i="155"/>
  <c r="C30"/>
  <c r="G34"/>
  <c r="H29" i="156"/>
  <c r="L29"/>
  <c r="P29"/>
  <c r="T29"/>
  <c r="E30"/>
  <c r="H33"/>
  <c r="L33"/>
  <c r="P33"/>
  <c r="T33"/>
  <c r="E34"/>
  <c r="H37"/>
  <c r="L37"/>
  <c r="P37"/>
  <c r="T37"/>
  <c r="O29" i="151"/>
  <c r="D58"/>
  <c r="O33"/>
  <c r="D62"/>
  <c r="I42" i="147"/>
  <c r="I46"/>
  <c r="H32" i="153"/>
  <c r="D36"/>
  <c r="D5" i="147"/>
  <c r="D26" s="1"/>
  <c r="D11"/>
  <c r="D32" s="1"/>
  <c r="L27" i="149"/>
  <c r="H28"/>
  <c r="H32"/>
  <c r="L35"/>
  <c r="I62" i="151"/>
  <c r="E58"/>
  <c r="O58"/>
  <c r="E62"/>
  <c r="O62"/>
  <c r="C28" i="153"/>
  <c r="D29"/>
  <c r="H33"/>
  <c r="C29" i="155"/>
  <c r="G33"/>
  <c r="C37"/>
  <c r="E29" i="156"/>
  <c r="E33"/>
  <c r="E37"/>
  <c r="M27"/>
  <c r="M30"/>
  <c r="M31"/>
  <c r="M34"/>
  <c r="M35"/>
  <c r="U5" i="151"/>
  <c r="U6"/>
  <c r="U7"/>
  <c r="U8"/>
  <c r="U9"/>
  <c r="U10"/>
  <c r="U11"/>
  <c r="U12"/>
  <c r="U13"/>
  <c r="U15"/>
  <c r="H26"/>
  <c r="H27"/>
  <c r="H30"/>
  <c r="H31"/>
  <c r="H34"/>
  <c r="H35"/>
  <c r="F37" i="152" l="1"/>
  <c r="I36" i="148"/>
  <c r="I29"/>
  <c r="G30" i="152"/>
  <c r="G35"/>
  <c r="G33"/>
  <c r="I27" i="148"/>
  <c r="I33"/>
  <c r="I28"/>
  <c r="I31"/>
  <c r="G31" i="152"/>
  <c r="I30" i="148"/>
  <c r="F33" i="152"/>
  <c r="I34" i="148"/>
  <c r="K62" i="151"/>
  <c r="J58"/>
  <c r="B26" i="147"/>
  <c r="J65" i="151"/>
  <c r="J61"/>
  <c r="J59"/>
  <c r="B36" i="147"/>
  <c r="B30"/>
  <c r="B28"/>
  <c r="K60" i="151"/>
  <c r="B33" i="147"/>
  <c r="K58" i="151"/>
  <c r="J62"/>
  <c r="B29" i="147"/>
  <c r="J57" i="151"/>
  <c r="B34" i="147"/>
  <c r="B32"/>
  <c r="K57" i="151"/>
  <c r="H12" i="147"/>
  <c r="C33"/>
  <c r="I12"/>
  <c r="H43"/>
  <c r="I43"/>
  <c r="C36" i="152"/>
  <c r="C35"/>
  <c r="C31"/>
  <c r="C27"/>
  <c r="H13" i="147"/>
  <c r="C34"/>
  <c r="I13"/>
  <c r="H9"/>
  <c r="C30"/>
  <c r="I9"/>
  <c r="H47"/>
  <c r="I47"/>
  <c r="H15"/>
  <c r="C36"/>
  <c r="I15"/>
  <c r="H11"/>
  <c r="C32"/>
  <c r="I11"/>
  <c r="H7"/>
  <c r="C28"/>
  <c r="I7"/>
  <c r="I56" i="151"/>
  <c r="I57"/>
  <c r="I58"/>
  <c r="C28" i="152"/>
  <c r="K59" i="151"/>
  <c r="I55"/>
  <c r="I65"/>
  <c r="C37" i="152"/>
  <c r="C30"/>
  <c r="H8" i="147"/>
  <c r="C29"/>
  <c r="I8"/>
  <c r="H51"/>
  <c r="I51"/>
  <c r="H5"/>
  <c r="C26"/>
  <c r="I5"/>
  <c r="H14"/>
  <c r="H35" s="1"/>
  <c r="C35"/>
  <c r="I14"/>
  <c r="I35" s="1"/>
  <c r="H10"/>
  <c r="C31"/>
  <c r="I10"/>
  <c r="H6"/>
  <c r="C27"/>
  <c r="I6"/>
  <c r="I50"/>
  <c r="I63" i="151"/>
  <c r="C34" i="152"/>
  <c r="C32"/>
  <c r="I61" i="151"/>
  <c r="K56"/>
  <c r="C29" i="152"/>
  <c r="K65" i="151"/>
  <c r="K61"/>
  <c r="I60"/>
  <c r="H27" i="147" l="1"/>
  <c r="H36"/>
  <c r="H34"/>
  <c r="H31"/>
  <c r="I29"/>
  <c r="I28"/>
  <c r="I33"/>
  <c r="I27"/>
  <c r="H29"/>
  <c r="H28"/>
  <c r="I31"/>
  <c r="H26"/>
  <c r="H32"/>
  <c r="H30"/>
  <c r="H33"/>
  <c r="I26"/>
  <c r="I32"/>
  <c r="I30"/>
  <c r="I36"/>
  <c r="I34"/>
  <c r="C32" i="113"/>
  <c r="C31"/>
  <c r="C30"/>
  <c r="C29"/>
  <c r="C28"/>
  <c r="C27"/>
  <c r="C26"/>
  <c r="C25"/>
  <c r="C24"/>
  <c r="C23"/>
  <c r="C22"/>
  <c r="C21"/>
  <c r="C20"/>
  <c r="C19"/>
  <c r="C18"/>
  <c r="C17"/>
  <c r="C16"/>
  <c r="C15"/>
  <c r="C14"/>
  <c r="C13"/>
  <c r="C12"/>
  <c r="C11"/>
  <c r="C10"/>
  <c r="C9"/>
  <c r="C8"/>
  <c r="C7"/>
  <c r="C6"/>
  <c r="C5"/>
  <c r="C4"/>
  <c r="K143" i="97"/>
  <c r="D33"/>
  <c r="I33" s="1"/>
  <c r="C33"/>
  <c r="H33" s="1"/>
  <c r="B33"/>
  <c r="G33" s="1"/>
  <c r="I32"/>
  <c r="H32"/>
  <c r="G32"/>
  <c r="I31"/>
  <c r="H31"/>
  <c r="G31"/>
  <c r="I30"/>
  <c r="H30"/>
  <c r="G30"/>
  <c r="I29"/>
  <c r="H29"/>
  <c r="G29"/>
  <c r="I28"/>
  <c r="H28"/>
  <c r="G28"/>
  <c r="I27"/>
  <c r="H27"/>
  <c r="G27"/>
  <c r="I26"/>
  <c r="H26"/>
  <c r="G26"/>
  <c r="I25"/>
  <c r="H25"/>
  <c r="G25"/>
  <c r="I24"/>
  <c r="H24"/>
  <c r="G24"/>
  <c r="I23"/>
  <c r="H23"/>
  <c r="G23"/>
  <c r="I22"/>
  <c r="H22"/>
  <c r="G22"/>
  <c r="I21"/>
  <c r="H21"/>
  <c r="G21"/>
  <c r="I20"/>
  <c r="H20"/>
  <c r="G20"/>
  <c r="I19"/>
  <c r="H19"/>
  <c r="G19"/>
  <c r="I18"/>
  <c r="H18"/>
  <c r="G18"/>
  <c r="I17"/>
  <c r="H17"/>
  <c r="G17"/>
  <c r="I16"/>
  <c r="H16"/>
  <c r="G16"/>
  <c r="I15"/>
  <c r="H15"/>
  <c r="G15"/>
  <c r="I14"/>
  <c r="H14"/>
  <c r="G14"/>
  <c r="I13"/>
  <c r="H13"/>
  <c r="G13"/>
  <c r="I12"/>
  <c r="H12"/>
  <c r="G12"/>
  <c r="I11"/>
  <c r="H11"/>
  <c r="G11"/>
  <c r="I10"/>
  <c r="H10"/>
  <c r="G10"/>
  <c r="I9"/>
  <c r="H9"/>
  <c r="G9"/>
  <c r="I8"/>
  <c r="H8"/>
  <c r="G8"/>
  <c r="I7"/>
  <c r="H7"/>
  <c r="G7"/>
  <c r="I6"/>
  <c r="H6"/>
  <c r="G6"/>
  <c r="J31" i="95"/>
  <c r="I31"/>
  <c r="H31"/>
  <c r="J30"/>
  <c r="I30"/>
  <c r="H30"/>
  <c r="J29"/>
  <c r="I29"/>
  <c r="H29"/>
  <c r="J28"/>
  <c r="I28"/>
  <c r="H28"/>
  <c r="J27"/>
  <c r="I27"/>
  <c r="H27"/>
  <c r="J26"/>
  <c r="I26"/>
  <c r="H26"/>
  <c r="J25"/>
  <c r="I25"/>
  <c r="H25"/>
  <c r="J24"/>
  <c r="I24"/>
  <c r="H24"/>
  <c r="J23"/>
  <c r="I23"/>
  <c r="H23"/>
  <c r="J22"/>
  <c r="I22"/>
  <c r="H22"/>
  <c r="J21"/>
  <c r="I21"/>
  <c r="H21"/>
  <c r="J20"/>
  <c r="I20"/>
  <c r="H20"/>
  <c r="J19"/>
  <c r="I19"/>
  <c r="H19"/>
  <c r="J18"/>
  <c r="I18"/>
  <c r="H18"/>
  <c r="J17"/>
  <c r="I17"/>
  <c r="H17"/>
  <c r="J16"/>
  <c r="I16"/>
  <c r="H16"/>
  <c r="J15"/>
  <c r="I15"/>
  <c r="H15"/>
  <c r="J14"/>
  <c r="I14"/>
  <c r="H14"/>
  <c r="J13"/>
  <c r="I13"/>
  <c r="H13"/>
  <c r="J12"/>
  <c r="I12"/>
  <c r="H12"/>
  <c r="J11"/>
  <c r="I11"/>
  <c r="H11"/>
  <c r="J10"/>
  <c r="I10"/>
  <c r="H10"/>
  <c r="J9"/>
  <c r="I9"/>
  <c r="H9"/>
  <c r="J8"/>
  <c r="I8"/>
  <c r="H8"/>
  <c r="J7"/>
  <c r="I7"/>
  <c r="H7"/>
  <c r="J6"/>
  <c r="I6"/>
  <c r="H6"/>
  <c r="J5"/>
  <c r="I5"/>
  <c r="H5"/>
  <c r="J4"/>
  <c r="I4"/>
  <c r="H4"/>
  <c r="H29" i="91"/>
  <c r="G29"/>
  <c r="F29"/>
  <c r="E29"/>
  <c r="D29"/>
  <c r="C29"/>
  <c r="B29"/>
  <c r="H28"/>
  <c r="G28"/>
  <c r="F28"/>
  <c r="E28"/>
  <c r="D28"/>
  <c r="C28"/>
  <c r="B28"/>
  <c r="H27"/>
  <c r="G27"/>
  <c r="F27"/>
  <c r="E27"/>
  <c r="D27"/>
  <c r="C27"/>
  <c r="B27"/>
  <c r="H26"/>
  <c r="G26"/>
  <c r="F26"/>
  <c r="E26"/>
  <c r="D26"/>
  <c r="C26"/>
  <c r="B26"/>
  <c r="H25"/>
  <c r="G25"/>
  <c r="F25"/>
  <c r="E25"/>
  <c r="D25"/>
  <c r="C25"/>
  <c r="B25"/>
  <c r="H24"/>
  <c r="G24"/>
  <c r="F24"/>
  <c r="E24"/>
  <c r="D24"/>
  <c r="C24"/>
  <c r="B24"/>
  <c r="H23"/>
  <c r="G23"/>
  <c r="F23"/>
  <c r="E23"/>
  <c r="D23"/>
  <c r="C23"/>
  <c r="B23"/>
  <c r="H22"/>
  <c r="G22"/>
  <c r="F22"/>
  <c r="E22"/>
  <c r="D22"/>
  <c r="C22"/>
  <c r="B22"/>
  <c r="H21"/>
  <c r="G21"/>
  <c r="F21"/>
  <c r="E21"/>
  <c r="D21"/>
  <c r="C21"/>
  <c r="B21"/>
  <c r="H20"/>
  <c r="G20"/>
  <c r="F20"/>
  <c r="E20"/>
  <c r="D20"/>
  <c r="C20"/>
  <c r="B20"/>
  <c r="H19"/>
  <c r="G19"/>
  <c r="F19"/>
  <c r="E19"/>
  <c r="D19"/>
  <c r="C19"/>
  <c r="B19"/>
  <c r="H18"/>
  <c r="G18"/>
  <c r="F18"/>
  <c r="E18"/>
  <c r="D18"/>
  <c r="C18"/>
  <c r="B18"/>
  <c r="H17"/>
  <c r="G17"/>
  <c r="F17"/>
  <c r="E17"/>
  <c r="D17"/>
  <c r="C17"/>
  <c r="B17"/>
  <c r="H16"/>
  <c r="G16"/>
  <c r="F16"/>
  <c r="E16"/>
  <c r="D16"/>
  <c r="C16"/>
  <c r="B16"/>
  <c r="H15"/>
  <c r="G15"/>
  <c r="F15"/>
  <c r="E15"/>
  <c r="D15"/>
  <c r="C15"/>
  <c r="B15"/>
  <c r="H14"/>
  <c r="G14"/>
  <c r="F14"/>
  <c r="E14"/>
  <c r="D14"/>
  <c r="C14"/>
  <c r="B14"/>
  <c r="H13"/>
  <c r="G13"/>
  <c r="F13"/>
  <c r="E13"/>
  <c r="D13"/>
  <c r="C13"/>
  <c r="B13"/>
  <c r="H12"/>
  <c r="G12"/>
  <c r="F12"/>
  <c r="E12"/>
  <c r="D12"/>
  <c r="C12"/>
  <c r="B12"/>
  <c r="H11"/>
  <c r="G11"/>
  <c r="F11"/>
  <c r="E11"/>
  <c r="D11"/>
  <c r="C11"/>
  <c r="B11"/>
  <c r="H10"/>
  <c r="G10"/>
  <c r="F10"/>
  <c r="E10"/>
  <c r="D10"/>
  <c r="C10"/>
  <c r="B10"/>
  <c r="H9"/>
  <c r="G9"/>
  <c r="F9"/>
  <c r="E9"/>
  <c r="D9"/>
  <c r="C9"/>
  <c r="B9"/>
  <c r="H8"/>
  <c r="G8"/>
  <c r="F8"/>
  <c r="E8"/>
  <c r="D8"/>
  <c r="C8"/>
  <c r="B8"/>
  <c r="H7"/>
  <c r="G7"/>
  <c r="F7"/>
  <c r="E7"/>
  <c r="D7"/>
  <c r="C7"/>
  <c r="B7"/>
  <c r="H6"/>
  <c r="G6"/>
  <c r="F6"/>
  <c r="E6"/>
  <c r="D6"/>
  <c r="C6"/>
  <c r="B6"/>
  <c r="H5"/>
  <c r="G5"/>
  <c r="F5"/>
  <c r="E5"/>
  <c r="D5"/>
  <c r="C5"/>
  <c r="B5"/>
  <c r="H4"/>
  <c r="G4"/>
  <c r="F4"/>
  <c r="E4"/>
  <c r="D4"/>
  <c r="C4"/>
  <c r="B4"/>
  <c r="H3"/>
  <c r="G3"/>
  <c r="F3"/>
  <c r="E3"/>
  <c r="D3"/>
  <c r="C3"/>
  <c r="B3"/>
  <c r="H2"/>
  <c r="G2"/>
  <c r="F2"/>
  <c r="E2"/>
  <c r="D2"/>
  <c r="C2"/>
  <c r="B2"/>
  <c r="E29" i="89"/>
  <c r="D29"/>
  <c r="C29"/>
  <c r="B29"/>
  <c r="E28"/>
  <c r="D28"/>
  <c r="C28"/>
  <c r="B28"/>
  <c r="E27"/>
  <c r="D27"/>
  <c r="C27"/>
  <c r="B27"/>
  <c r="E26"/>
  <c r="D26"/>
  <c r="C26"/>
  <c r="B26"/>
  <c r="E25"/>
  <c r="D25"/>
  <c r="C25"/>
  <c r="B25"/>
  <c r="E24"/>
  <c r="D24"/>
  <c r="C24"/>
  <c r="B24"/>
  <c r="E23"/>
  <c r="D23"/>
  <c r="C23"/>
  <c r="B23"/>
  <c r="E22"/>
  <c r="D22"/>
  <c r="C22"/>
  <c r="B22"/>
  <c r="E21"/>
  <c r="D21"/>
  <c r="C21"/>
  <c r="B21"/>
  <c r="E20"/>
  <c r="D20"/>
  <c r="C20"/>
  <c r="B20"/>
  <c r="E19"/>
  <c r="D19"/>
  <c r="C19"/>
  <c r="B19"/>
  <c r="E18"/>
  <c r="D18"/>
  <c r="C18"/>
  <c r="B18"/>
  <c r="E17"/>
  <c r="D17"/>
  <c r="C17"/>
  <c r="B17"/>
  <c r="E16"/>
  <c r="D16"/>
  <c r="C16"/>
  <c r="B16"/>
  <c r="E15"/>
  <c r="D15"/>
  <c r="C15"/>
  <c r="B15"/>
  <c r="E14"/>
  <c r="D14"/>
  <c r="C14"/>
  <c r="B14"/>
  <c r="E13"/>
  <c r="D13"/>
  <c r="C13"/>
  <c r="B13"/>
  <c r="E12"/>
  <c r="D12"/>
  <c r="C12"/>
  <c r="B12"/>
  <c r="E11"/>
  <c r="D11"/>
  <c r="C11"/>
  <c r="B11"/>
  <c r="E10"/>
  <c r="D10"/>
  <c r="C10"/>
  <c r="B10"/>
  <c r="E9"/>
  <c r="D9"/>
  <c r="C9"/>
  <c r="B9"/>
  <c r="E8"/>
  <c r="D8"/>
  <c r="C8"/>
  <c r="B8"/>
  <c r="E7"/>
  <c r="D7"/>
  <c r="C7"/>
  <c r="B7"/>
  <c r="E6"/>
  <c r="D6"/>
  <c r="C6"/>
  <c r="B6"/>
  <c r="E5"/>
  <c r="D5"/>
  <c r="C5"/>
  <c r="B5"/>
  <c r="E4"/>
  <c r="D4"/>
  <c r="C4"/>
  <c r="B4"/>
  <c r="E3"/>
  <c r="D3"/>
  <c r="C3"/>
  <c r="B3"/>
  <c r="E2"/>
  <c r="D2"/>
  <c r="C2"/>
  <c r="B2"/>
  <c r="B6" i="113" l="1"/>
  <c r="B7"/>
  <c r="B8"/>
  <c r="B13"/>
  <c r="B15"/>
  <c r="B19"/>
  <c r="B18"/>
  <c r="B9"/>
  <c r="B10"/>
  <c r="B11"/>
  <c r="B14"/>
  <c r="B17"/>
  <c r="B16"/>
  <c r="B4"/>
  <c r="B31"/>
  <c r="B28"/>
  <c r="B29"/>
  <c r="B22"/>
  <c r="B24"/>
  <c r="B23"/>
  <c r="B30"/>
  <c r="B26"/>
  <c r="B21"/>
  <c r="B27"/>
  <c r="B32"/>
  <c r="B25"/>
  <c r="B5"/>
  <c r="B12"/>
  <c r="B20"/>
  <c r="AM43" i="36" l="1"/>
  <c r="K30" i="238" s="1"/>
  <c r="AM41" i="36"/>
  <c r="K28" i="238" s="1"/>
  <c r="AM37" i="36"/>
  <c r="K24" i="238" s="1"/>
  <c r="AM36" i="36"/>
  <c r="K23" i="238" s="1"/>
  <c r="K20" i="36"/>
  <c r="D7" i="238" s="1"/>
  <c r="K31" i="36"/>
  <c r="D18" i="238" s="1"/>
  <c r="G32" i="36"/>
  <c r="C19" i="238" s="1"/>
  <c r="K43" l="1"/>
  <c r="K38"/>
  <c r="K44"/>
  <c r="K39"/>
  <c r="AM38" i="36"/>
  <c r="CJ47"/>
  <c r="CJ49" s="1"/>
  <c r="CI47"/>
  <c r="CI49" s="1"/>
  <c r="CE47"/>
  <c r="CE49" s="1"/>
  <c r="CA47"/>
  <c r="CA49" s="1"/>
  <c r="BX47"/>
  <c r="BX49" s="1"/>
  <c r="BW47"/>
  <c r="BW49" s="1"/>
  <c r="BT47"/>
  <c r="BT49" s="1"/>
  <c r="BS47"/>
  <c r="BS49" s="1"/>
  <c r="BP47"/>
  <c r="BP49" s="1"/>
  <c r="BO47"/>
  <c r="BO49" s="1"/>
  <c r="BK47"/>
  <c r="BK49" s="1"/>
  <c r="BG47"/>
  <c r="BG49" s="1"/>
  <c r="BC47"/>
  <c r="BC49" s="1"/>
  <c r="AY47"/>
  <c r="AY49" s="1"/>
  <c r="AV47"/>
  <c r="AV49" s="1"/>
  <c r="AU47"/>
  <c r="AU49" s="1"/>
  <c r="CK46"/>
  <c r="BY46"/>
  <c r="BU46"/>
  <c r="BQ46"/>
  <c r="AW46"/>
  <c r="CK45"/>
  <c r="BY45"/>
  <c r="BU45"/>
  <c r="BQ45"/>
  <c r="AW45"/>
  <c r="CK44"/>
  <c r="BY44"/>
  <c r="BU44"/>
  <c r="BQ44"/>
  <c r="AW44"/>
  <c r="CK43"/>
  <c r="CB43"/>
  <c r="CB44" s="1"/>
  <c r="BY43"/>
  <c r="BU43"/>
  <c r="BQ43"/>
  <c r="AW43"/>
  <c r="CK42"/>
  <c r="CC42"/>
  <c r="BY42"/>
  <c r="BU42"/>
  <c r="BQ42"/>
  <c r="AW42"/>
  <c r="CK41"/>
  <c r="BY41"/>
  <c r="BU41"/>
  <c r="BQ41"/>
  <c r="BH41"/>
  <c r="BH42" s="1"/>
  <c r="AW41"/>
  <c r="CK40"/>
  <c r="CB40"/>
  <c r="CB41" s="1"/>
  <c r="CC41" s="1"/>
  <c r="BY40"/>
  <c r="BU40"/>
  <c r="BQ40"/>
  <c r="BI40"/>
  <c r="AW40"/>
  <c r="CK39"/>
  <c r="CC39"/>
  <c r="BY39"/>
  <c r="BU39"/>
  <c r="BQ39"/>
  <c r="BI39"/>
  <c r="AW39"/>
  <c r="CK38"/>
  <c r="BY38"/>
  <c r="BU38"/>
  <c r="BQ38"/>
  <c r="BH38"/>
  <c r="BI38" s="1"/>
  <c r="AW38"/>
  <c r="CK37"/>
  <c r="BY37"/>
  <c r="BU37"/>
  <c r="BQ37"/>
  <c r="BI37"/>
  <c r="AW37"/>
  <c r="CK36"/>
  <c r="CF36"/>
  <c r="CF37" s="1"/>
  <c r="CB36"/>
  <c r="CB37" s="1"/>
  <c r="BY36"/>
  <c r="BU36"/>
  <c r="BQ36"/>
  <c r="BI36"/>
  <c r="AW36"/>
  <c r="CK35"/>
  <c r="CG35"/>
  <c r="CC35"/>
  <c r="BY35"/>
  <c r="BU35"/>
  <c r="BQ35"/>
  <c r="BL35"/>
  <c r="BL36" s="1"/>
  <c r="BI35"/>
  <c r="AZ35"/>
  <c r="AZ36" s="1"/>
  <c r="AW35"/>
  <c r="CK34"/>
  <c r="CG34"/>
  <c r="CC34"/>
  <c r="BY34"/>
  <c r="BU34"/>
  <c r="BQ34"/>
  <c r="BM34"/>
  <c r="BI34"/>
  <c r="BA34"/>
  <c r="AW34"/>
  <c r="CK33"/>
  <c r="CG33"/>
  <c r="CC33"/>
  <c r="BY33"/>
  <c r="BU33"/>
  <c r="BQ33"/>
  <c r="BM33"/>
  <c r="BI33"/>
  <c r="AW33"/>
  <c r="CK32"/>
  <c r="CG32"/>
  <c r="CC32"/>
  <c r="BY32"/>
  <c r="BU32"/>
  <c r="BQ32"/>
  <c r="BL32"/>
  <c r="BM32" s="1"/>
  <c r="BI32"/>
  <c r="AW32"/>
  <c r="CK31"/>
  <c r="CG31"/>
  <c r="CC31"/>
  <c r="BY31"/>
  <c r="BU31"/>
  <c r="BQ31"/>
  <c r="BM31"/>
  <c r="BI31"/>
  <c r="AZ31"/>
  <c r="AZ32" s="1"/>
  <c r="AW31"/>
  <c r="CK30"/>
  <c r="CG30"/>
  <c r="CC30"/>
  <c r="BY30"/>
  <c r="BU30"/>
  <c r="BQ30"/>
  <c r="BM30"/>
  <c r="BI30"/>
  <c r="BA30"/>
  <c r="AW30"/>
  <c r="CK29"/>
  <c r="CG29"/>
  <c r="CC29"/>
  <c r="BY29"/>
  <c r="BU29"/>
  <c r="BQ29"/>
  <c r="BM29"/>
  <c r="BI29"/>
  <c r="BA29"/>
  <c r="AW29"/>
  <c r="CK28"/>
  <c r="CG28"/>
  <c r="CC28"/>
  <c r="BY28"/>
  <c r="BU28"/>
  <c r="BQ28"/>
  <c r="BM28"/>
  <c r="BI28"/>
  <c r="BD28"/>
  <c r="BD29" s="1"/>
  <c r="BA28"/>
  <c r="AW28"/>
  <c r="CK27"/>
  <c r="CG27"/>
  <c r="CC27"/>
  <c r="BY27"/>
  <c r="BU27"/>
  <c r="BQ27"/>
  <c r="BM27"/>
  <c r="BI27"/>
  <c r="BE27"/>
  <c r="BA27"/>
  <c r="AW27"/>
  <c r="CK26"/>
  <c r="CG26"/>
  <c r="CC26"/>
  <c r="BY26"/>
  <c r="BU26"/>
  <c r="BQ26"/>
  <c r="BM26"/>
  <c r="BI26"/>
  <c r="BD26"/>
  <c r="BE26" s="1"/>
  <c r="BA26"/>
  <c r="AW26"/>
  <c r="CK25"/>
  <c r="CG25"/>
  <c r="CC25"/>
  <c r="BY25"/>
  <c r="BU25"/>
  <c r="BQ25"/>
  <c r="BM25"/>
  <c r="BI25"/>
  <c r="BE25"/>
  <c r="BA25"/>
  <c r="AW25"/>
  <c r="CK24"/>
  <c r="CG24"/>
  <c r="CC24"/>
  <c r="BY24"/>
  <c r="BU24"/>
  <c r="BQ24"/>
  <c r="BM24"/>
  <c r="BI24"/>
  <c r="BE24"/>
  <c r="BA24"/>
  <c r="AW24"/>
  <c r="CK23"/>
  <c r="CG23"/>
  <c r="CC23"/>
  <c r="BY23"/>
  <c r="BU23"/>
  <c r="BQ23"/>
  <c r="BM23"/>
  <c r="BI23"/>
  <c r="BE23"/>
  <c r="BA23"/>
  <c r="AW23"/>
  <c r="CK22"/>
  <c r="CG22"/>
  <c r="CC22"/>
  <c r="BY22"/>
  <c r="BU22"/>
  <c r="BQ22"/>
  <c r="BM22"/>
  <c r="BI22"/>
  <c r="BE22"/>
  <c r="BA22"/>
  <c r="AW22"/>
  <c r="CK21"/>
  <c r="CG21"/>
  <c r="CC21"/>
  <c r="BY21"/>
  <c r="BU21"/>
  <c r="BQ21"/>
  <c r="BM21"/>
  <c r="BI21"/>
  <c r="BE21"/>
  <c r="BA21"/>
  <c r="AW21"/>
  <c r="CK20"/>
  <c r="CG20"/>
  <c r="CC20"/>
  <c r="BY20"/>
  <c r="BU20"/>
  <c r="BQ20"/>
  <c r="BM20"/>
  <c r="BH20"/>
  <c r="BI20" s="1"/>
  <c r="BD20"/>
  <c r="BE20" s="1"/>
  <c r="AZ20"/>
  <c r="BA20" s="1"/>
  <c r="AW20"/>
  <c r="CK19"/>
  <c r="CG19"/>
  <c r="CC19"/>
  <c r="BY19"/>
  <c r="BU19"/>
  <c r="BQ19"/>
  <c r="BM19"/>
  <c r="BI19"/>
  <c r="BE19"/>
  <c r="BA19"/>
  <c r="AW19"/>
  <c r="CK18"/>
  <c r="CG18"/>
  <c r="CC18"/>
  <c r="BY18"/>
  <c r="BU18"/>
  <c r="BQ18"/>
  <c r="BM18"/>
  <c r="BI18"/>
  <c r="BE18"/>
  <c r="BA18"/>
  <c r="AW18"/>
  <c r="CK17"/>
  <c r="CG17"/>
  <c r="CC17"/>
  <c r="BY17"/>
  <c r="BU17"/>
  <c r="BQ17"/>
  <c r="BM17"/>
  <c r="BI17"/>
  <c r="BD17"/>
  <c r="BE17" s="1"/>
  <c r="BA17"/>
  <c r="AW17"/>
  <c r="CK16"/>
  <c r="CG16"/>
  <c r="CC16"/>
  <c r="BY16"/>
  <c r="BU16"/>
  <c r="BQ16"/>
  <c r="BM16"/>
  <c r="BI16"/>
  <c r="BE16"/>
  <c r="BA16"/>
  <c r="AW16"/>
  <c r="CK15"/>
  <c r="CG15"/>
  <c r="CC15"/>
  <c r="BY15"/>
  <c r="BU15"/>
  <c r="BQ15"/>
  <c r="BM15"/>
  <c r="BI15"/>
  <c r="BD15"/>
  <c r="BE15" s="1"/>
  <c r="BA15"/>
  <c r="AW15"/>
  <c r="CK14"/>
  <c r="CG14"/>
  <c r="CC14"/>
  <c r="BY14"/>
  <c r="BU14"/>
  <c r="BQ14"/>
  <c r="BM14"/>
  <c r="BI14"/>
  <c r="BE14"/>
  <c r="BA14"/>
  <c r="AW14"/>
  <c r="CK13"/>
  <c r="CG13"/>
  <c r="CC13"/>
  <c r="BY13"/>
  <c r="BU13"/>
  <c r="BQ13"/>
  <c r="BM13"/>
  <c r="BI13"/>
  <c r="BD13"/>
  <c r="BE13" s="1"/>
  <c r="BA13"/>
  <c r="AW13"/>
  <c r="CJ12"/>
  <c r="CJ11" s="1"/>
  <c r="CJ10" s="1"/>
  <c r="CJ9" s="1"/>
  <c r="CJ8" s="1"/>
  <c r="CI12"/>
  <c r="CF12"/>
  <c r="CE12"/>
  <c r="CG12" s="1"/>
  <c r="CB12"/>
  <c r="CB11" s="1"/>
  <c r="CB10" s="1"/>
  <c r="CB9" s="1"/>
  <c r="CB8" s="1"/>
  <c r="CA12"/>
  <c r="BX12"/>
  <c r="BW12"/>
  <c r="BY12" s="1"/>
  <c r="BT12"/>
  <c r="BT11" s="1"/>
  <c r="BT10" s="1"/>
  <c r="BT9" s="1"/>
  <c r="BT8" s="1"/>
  <c r="BS12"/>
  <c r="BP12"/>
  <c r="BO12"/>
  <c r="BQ12" s="1"/>
  <c r="BL12"/>
  <c r="BL11" s="1"/>
  <c r="BL10" s="1"/>
  <c r="BL9" s="1"/>
  <c r="BL8" s="1"/>
  <c r="BK12"/>
  <c r="BH12"/>
  <c r="BG12"/>
  <c r="BI12" s="1"/>
  <c r="BD12"/>
  <c r="BD11" s="1"/>
  <c r="BD10" s="1"/>
  <c r="BD9" s="1"/>
  <c r="BD8" s="1"/>
  <c r="BC12"/>
  <c r="AZ12"/>
  <c r="AY12"/>
  <c r="BA12" s="1"/>
  <c r="AV12"/>
  <c r="AV11" s="1"/>
  <c r="AV10" s="1"/>
  <c r="AV9" s="1"/>
  <c r="AV8" s="1"/>
  <c r="AU12"/>
  <c r="CF11"/>
  <c r="CF10" s="1"/>
  <c r="CF9" s="1"/>
  <c r="CF8" s="1"/>
  <c r="CE11"/>
  <c r="BX11"/>
  <c r="BX10" s="1"/>
  <c r="BX9" s="1"/>
  <c r="BX8" s="1"/>
  <c r="BW11"/>
  <c r="BP11"/>
  <c r="BP10" s="1"/>
  <c r="BP9" s="1"/>
  <c r="BP8" s="1"/>
  <c r="BO11"/>
  <c r="BH11"/>
  <c r="BH10" s="1"/>
  <c r="BH9" s="1"/>
  <c r="BH8" s="1"/>
  <c r="BG11"/>
  <c r="AZ11"/>
  <c r="AZ10" s="1"/>
  <c r="AZ9" s="1"/>
  <c r="AZ8" s="1"/>
  <c r="AY11"/>
  <c r="AF47"/>
  <c r="AI47"/>
  <c r="AH47"/>
  <c r="AE47"/>
  <c r="AD47"/>
  <c r="AA47"/>
  <c r="Z47"/>
  <c r="W47"/>
  <c r="V47"/>
  <c r="S47"/>
  <c r="R47"/>
  <c r="T47" s="1"/>
  <c r="O47"/>
  <c r="N47"/>
  <c r="K47"/>
  <c r="J47"/>
  <c r="G47"/>
  <c r="F47"/>
  <c r="C47"/>
  <c r="B47"/>
  <c r="D47" s="1"/>
  <c r="AQ47"/>
  <c r="AP47"/>
  <c r="AL47"/>
  <c r="D34" i="237" l="1"/>
  <c r="J57" i="36"/>
  <c r="D22" i="185"/>
  <c r="J49" i="36"/>
  <c r="K25" i="238"/>
  <c r="AM39" i="36"/>
  <c r="K26" i="238" s="1"/>
  <c r="L34"/>
  <c r="L22" i="184"/>
  <c r="AQ49" i="36"/>
  <c r="E34" i="238"/>
  <c r="E22" i="184"/>
  <c r="O49" i="36"/>
  <c r="G34" i="238"/>
  <c r="G22" i="184"/>
  <c r="W49" i="36"/>
  <c r="L34" i="237"/>
  <c r="AP57" i="36"/>
  <c r="L22" i="185"/>
  <c r="AP49" i="36"/>
  <c r="C34" i="237"/>
  <c r="F57" i="36"/>
  <c r="C22" i="185"/>
  <c r="F49" i="36"/>
  <c r="E34" i="237"/>
  <c r="N57" i="36"/>
  <c r="E22" i="185"/>
  <c r="N49" i="36"/>
  <c r="G34" i="237"/>
  <c r="V57" i="36"/>
  <c r="G22" i="185"/>
  <c r="V49" i="36"/>
  <c r="I34" i="237"/>
  <c r="AD57" i="36"/>
  <c r="I22" i="185"/>
  <c r="AD49" i="36"/>
  <c r="BI11"/>
  <c r="BY11"/>
  <c r="AW12"/>
  <c r="BU12"/>
  <c r="AR47"/>
  <c r="B34" i="237"/>
  <c r="B49" i="36"/>
  <c r="B57"/>
  <c r="B22" i="185"/>
  <c r="B50" i="186"/>
  <c r="F34" i="237"/>
  <c r="R57" i="36"/>
  <c r="F22" i="185"/>
  <c r="R49" i="36"/>
  <c r="H34" i="237"/>
  <c r="Z57" i="36"/>
  <c r="H22" i="185"/>
  <c r="Z49" i="36"/>
  <c r="J34" i="237"/>
  <c r="AH57" i="36"/>
  <c r="J22" i="185"/>
  <c r="AH49" i="36"/>
  <c r="C34" i="238"/>
  <c r="C22" i="184"/>
  <c r="G49" i="36"/>
  <c r="I34" i="238"/>
  <c r="I22" i="184"/>
  <c r="AE49" i="36"/>
  <c r="K34" i="237"/>
  <c r="AL57" i="36"/>
  <c r="K22" i="185"/>
  <c r="AL49" i="36"/>
  <c r="B34" i="238"/>
  <c r="C57" i="36"/>
  <c r="C50" i="186"/>
  <c r="B22" i="184"/>
  <c r="C49" i="36"/>
  <c r="D34" i="238"/>
  <c r="D22" i="184"/>
  <c r="K49" i="36"/>
  <c r="F34" i="238"/>
  <c r="S57" i="36"/>
  <c r="F22" i="184"/>
  <c r="S49" i="36"/>
  <c r="AB47"/>
  <c r="H34" i="238"/>
  <c r="AA57" i="36"/>
  <c r="H22" i="184"/>
  <c r="AA49" i="36"/>
  <c r="AJ47"/>
  <c r="J34" i="238"/>
  <c r="J22" i="184"/>
  <c r="AI49" i="36"/>
  <c r="L47"/>
  <c r="P47"/>
  <c r="BA11"/>
  <c r="BQ11"/>
  <c r="CG11"/>
  <c r="BE12"/>
  <c r="BM12"/>
  <c r="CC12"/>
  <c r="CK12"/>
  <c r="X47"/>
  <c r="H47"/>
  <c r="AY10"/>
  <c r="BG10"/>
  <c r="BO10"/>
  <c r="BW10"/>
  <c r="CE10"/>
  <c r="AU11"/>
  <c r="BC11"/>
  <c r="BK11"/>
  <c r="BS11"/>
  <c r="CA11"/>
  <c r="CI11"/>
  <c r="BD30"/>
  <c r="BE29"/>
  <c r="AZ33"/>
  <c r="BA33" s="1"/>
  <c r="BA32"/>
  <c r="AZ37"/>
  <c r="BA36"/>
  <c r="BL37"/>
  <c r="BM36"/>
  <c r="CB38"/>
  <c r="CC38" s="1"/>
  <c r="CC37"/>
  <c r="CF38"/>
  <c r="CG37"/>
  <c r="BH43"/>
  <c r="BI42"/>
  <c r="CB45"/>
  <c r="CC44"/>
  <c r="BE28"/>
  <c r="BA31"/>
  <c r="BA35"/>
  <c r="BM35"/>
  <c r="CC36"/>
  <c r="CG36"/>
  <c r="CC40"/>
  <c r="BI41"/>
  <c r="CC43"/>
  <c r="AW47"/>
  <c r="AW49" s="1"/>
  <c r="BQ47"/>
  <c r="BQ49" s="1"/>
  <c r="BU47"/>
  <c r="BU49" s="1"/>
  <c r="BY47"/>
  <c r="BY49" s="1"/>
  <c r="CK47"/>
  <c r="CK49" s="1"/>
  <c r="AW11" l="1"/>
  <c r="AU10"/>
  <c r="B41" i="237"/>
  <c r="B36"/>
  <c r="CK11" i="36"/>
  <c r="CI10"/>
  <c r="BE11"/>
  <c r="BC10"/>
  <c r="BQ10"/>
  <c r="BO9"/>
  <c r="C41" i="238"/>
  <c r="C36"/>
  <c r="L41"/>
  <c r="L36"/>
  <c r="BM11" i="36"/>
  <c r="BK10"/>
  <c r="BY10"/>
  <c r="BW9"/>
  <c r="I41" i="237"/>
  <c r="I36"/>
  <c r="G41"/>
  <c r="G36"/>
  <c r="E41"/>
  <c r="E36"/>
  <c r="C41"/>
  <c r="C36"/>
  <c r="L41"/>
  <c r="L36"/>
  <c r="CC11" i="36"/>
  <c r="CA10"/>
  <c r="BI10"/>
  <c r="BG9"/>
  <c r="H36" i="238"/>
  <c r="H41"/>
  <c r="D41"/>
  <c r="D36"/>
  <c r="I41"/>
  <c r="I36"/>
  <c r="E41"/>
  <c r="E36"/>
  <c r="J41"/>
  <c r="J36"/>
  <c r="J41" i="237"/>
  <c r="J36"/>
  <c r="H41"/>
  <c r="H36"/>
  <c r="F41"/>
  <c r="F36"/>
  <c r="BU11" i="36"/>
  <c r="BS10"/>
  <c r="CG10"/>
  <c r="CE9"/>
  <c r="BA10"/>
  <c r="AY9"/>
  <c r="F41" i="238"/>
  <c r="F36"/>
  <c r="B41"/>
  <c r="B36"/>
  <c r="K41" i="237"/>
  <c r="K36"/>
  <c r="G36" i="238"/>
  <c r="G41"/>
  <c r="D41" i="237"/>
  <c r="D36"/>
  <c r="CB46" i="36"/>
  <c r="CC45"/>
  <c r="BH44"/>
  <c r="BI43"/>
  <c r="CF39"/>
  <c r="CG38"/>
  <c r="BL38"/>
  <c r="BM37"/>
  <c r="AZ38"/>
  <c r="BA37"/>
  <c r="BD31"/>
  <c r="BE30"/>
  <c r="BQ9" l="1"/>
  <c r="BO8"/>
  <c r="BQ8" s="1"/>
  <c r="AW10"/>
  <c r="AU9"/>
  <c r="CG9"/>
  <c r="CE8"/>
  <c r="CG8" s="1"/>
  <c r="BI9"/>
  <c r="BG8"/>
  <c r="BI8" s="1"/>
  <c r="BA9"/>
  <c r="AY8"/>
  <c r="BA8" s="1"/>
  <c r="BU10"/>
  <c r="BS9"/>
  <c r="CC10"/>
  <c r="CA9"/>
  <c r="BY9"/>
  <c r="BW8"/>
  <c r="BY8" s="1"/>
  <c r="CK10"/>
  <c r="CI9"/>
  <c r="BM10"/>
  <c r="BK9"/>
  <c r="BE10"/>
  <c r="BC9"/>
  <c r="BD32"/>
  <c r="BE31"/>
  <c r="AZ39"/>
  <c r="BA38"/>
  <c r="BL39"/>
  <c r="BM38"/>
  <c r="CF40"/>
  <c r="CG39"/>
  <c r="BH45"/>
  <c r="BI44"/>
  <c r="CB47"/>
  <c r="CC46"/>
  <c r="BE9" l="1"/>
  <c r="BC8"/>
  <c r="BE8" s="1"/>
  <c r="CK9"/>
  <c r="CI8"/>
  <c r="CK8" s="1"/>
  <c r="CC9"/>
  <c r="CA8"/>
  <c r="CC8" s="1"/>
  <c r="BM9"/>
  <c r="BK8"/>
  <c r="BM8" s="1"/>
  <c r="BU9"/>
  <c r="BS8"/>
  <c r="BU8" s="1"/>
  <c r="AW9"/>
  <c r="AU8"/>
  <c r="AW8" s="1"/>
  <c r="CB49"/>
  <c r="CC47"/>
  <c r="CC49" s="1"/>
  <c r="BH46"/>
  <c r="BI45"/>
  <c r="CF41"/>
  <c r="CG40"/>
  <c r="BL40"/>
  <c r="BM39"/>
  <c r="AZ40"/>
  <c r="BA39"/>
  <c r="BD33"/>
  <c r="BE32"/>
  <c r="BD34" l="1"/>
  <c r="BE33"/>
  <c r="AZ41"/>
  <c r="BA40"/>
  <c r="BL41"/>
  <c r="BM40"/>
  <c r="CF42"/>
  <c r="CG41"/>
  <c r="BH47"/>
  <c r="BI46"/>
  <c r="BH49" l="1"/>
  <c r="BI47"/>
  <c r="BI49" s="1"/>
  <c r="CF43"/>
  <c r="CG42"/>
  <c r="BL42"/>
  <c r="BM41"/>
  <c r="AZ42"/>
  <c r="BA41"/>
  <c r="BD35"/>
  <c r="BE34"/>
  <c r="BD36" l="1"/>
  <c r="BE35"/>
  <c r="AZ43"/>
  <c r="BA42"/>
  <c r="BL43"/>
  <c r="BM42"/>
  <c r="CF44"/>
  <c r="CG43"/>
  <c r="CF45" l="1"/>
  <c r="CG44"/>
  <c r="BL44"/>
  <c r="BM43"/>
  <c r="AZ44"/>
  <c r="BA43"/>
  <c r="BD37"/>
  <c r="BE36"/>
  <c r="BD38" l="1"/>
  <c r="BE37"/>
  <c r="AZ45"/>
  <c r="BA44"/>
  <c r="BL45"/>
  <c r="BM44"/>
  <c r="CF46"/>
  <c r="CG45"/>
  <c r="CF47" l="1"/>
  <c r="CG46"/>
  <c r="BL46"/>
  <c r="BM45"/>
  <c r="AZ46"/>
  <c r="BA45"/>
  <c r="BD39"/>
  <c r="BE38"/>
  <c r="BD40" l="1"/>
  <c r="BE39"/>
  <c r="AZ47"/>
  <c r="BA46"/>
  <c r="BL47"/>
  <c r="BM46"/>
  <c r="CF49"/>
  <c r="CG47"/>
  <c r="CG49" s="1"/>
  <c r="BL49" l="1"/>
  <c r="BM47"/>
  <c r="BM49" s="1"/>
  <c r="AZ49"/>
  <c r="BA47"/>
  <c r="BD41"/>
  <c r="BE40"/>
  <c r="BD42" l="1"/>
  <c r="BE41"/>
  <c r="BA49"/>
  <c r="BD43" l="1"/>
  <c r="BE42"/>
  <c r="BD44" l="1"/>
  <c r="BE43"/>
  <c r="BD45" l="1"/>
  <c r="BE44"/>
  <c r="BD46" l="1"/>
  <c r="BE45"/>
  <c r="BD47" l="1"/>
  <c r="BE46"/>
  <c r="BD49" l="1"/>
  <c r="BE47"/>
  <c r="BE49" l="1"/>
  <c r="AV59"/>
  <c r="AV60"/>
  <c r="AV61" l="1"/>
  <c r="AV62" s="1"/>
  <c r="AV63" s="1"/>
  <c r="AV64" l="1"/>
  <c r="AV65" s="1"/>
  <c r="CH47" l="1"/>
  <c r="CH51" s="1"/>
  <c r="BR47"/>
  <c r="BB47"/>
  <c r="CD46"/>
  <c r="BN46"/>
  <c r="AX46"/>
  <c r="BZ45"/>
  <c r="BJ45"/>
  <c r="CL44"/>
  <c r="BV44"/>
  <c r="BF44"/>
  <c r="CH43"/>
  <c r="BR43"/>
  <c r="BB43"/>
  <c r="CD42"/>
  <c r="BN42"/>
  <c r="AX42"/>
  <c r="BZ41"/>
  <c r="BJ41"/>
  <c r="CL40"/>
  <c r="BV40"/>
  <c r="BF40"/>
  <c r="CH39"/>
  <c r="BR39"/>
  <c r="BB39"/>
  <c r="CD38"/>
  <c r="BN38"/>
  <c r="AX38"/>
  <c r="BZ37"/>
  <c r="BJ37"/>
  <c r="CL36"/>
  <c r="BV36"/>
  <c r="BF36"/>
  <c r="CH35"/>
  <c r="BR35"/>
  <c r="BB35"/>
  <c r="CD34"/>
  <c r="BN34"/>
  <c r="AX34"/>
  <c r="BZ33"/>
  <c r="BJ33"/>
  <c r="CL32"/>
  <c r="BV32"/>
  <c r="BF32"/>
  <c r="CH31"/>
  <c r="BR31"/>
  <c r="BB31"/>
  <c r="CD30"/>
  <c r="BN30"/>
  <c r="AX30"/>
  <c r="BZ29"/>
  <c r="BJ29"/>
  <c r="CL28"/>
  <c r="BV28"/>
  <c r="BF28"/>
  <c r="CH27"/>
  <c r="BR27"/>
  <c r="BB27"/>
  <c r="CD26"/>
  <c r="BN26"/>
  <c r="AX26"/>
  <c r="BZ25"/>
  <c r="BJ25"/>
  <c r="CL24"/>
  <c r="BV24"/>
  <c r="BF24"/>
  <c r="CH23"/>
  <c r="BR23"/>
  <c r="BB23"/>
  <c r="CD22"/>
  <c r="BN22"/>
  <c r="AX22"/>
  <c r="BZ21"/>
  <c r="BJ21"/>
  <c r="CL20"/>
  <c r="BV20"/>
  <c r="BF20"/>
  <c r="CH19"/>
  <c r="BR19"/>
  <c r="BB19"/>
  <c r="CD18"/>
  <c r="BN18"/>
  <c r="AX18"/>
  <c r="BZ47"/>
  <c r="BJ47"/>
  <c r="BJ51" s="1"/>
  <c r="BV46"/>
  <c r="CH45"/>
  <c r="BB45"/>
  <c r="BN44"/>
  <c r="BZ43"/>
  <c r="CL42"/>
  <c r="CH41"/>
  <c r="BB41"/>
  <c r="BN40"/>
  <c r="BZ39"/>
  <c r="CL38"/>
  <c r="BF38"/>
  <c r="BR37"/>
  <c r="CD36"/>
  <c r="AX36"/>
  <c r="BJ35"/>
  <c r="BV34"/>
  <c r="CH33"/>
  <c r="BB33"/>
  <c r="BN32"/>
  <c r="BZ31"/>
  <c r="CL30"/>
  <c r="BF30"/>
  <c r="BR29"/>
  <c r="CD28"/>
  <c r="AX28"/>
  <c r="BJ27"/>
  <c r="BV26"/>
  <c r="CH25"/>
  <c r="BB25"/>
  <c r="BN24"/>
  <c r="BZ23"/>
  <c r="BJ23"/>
  <c r="BV22"/>
  <c r="CH21"/>
  <c r="BB21"/>
  <c r="BN20"/>
  <c r="BZ19"/>
  <c r="CL18"/>
  <c r="BV18"/>
  <c r="BN47"/>
  <c r="BN51" s="1"/>
  <c r="AX47"/>
  <c r="BZ46"/>
  <c r="CL45"/>
  <c r="BF45"/>
  <c r="BR44"/>
  <c r="CD43"/>
  <c r="AX43"/>
  <c r="BJ42"/>
  <c r="BV41"/>
  <c r="CH40"/>
  <c r="BB40"/>
  <c r="BN39"/>
  <c r="BJ38"/>
  <c r="BV37"/>
  <c r="CH36"/>
  <c r="BB36"/>
  <c r="BN35"/>
  <c r="BZ34"/>
  <c r="CL33"/>
  <c r="BF33"/>
  <c r="BR32"/>
  <c r="CD31"/>
  <c r="AX31"/>
  <c r="BJ30"/>
  <c r="BV29"/>
  <c r="CH28"/>
  <c r="BB28"/>
  <c r="BN27"/>
  <c r="BZ26"/>
  <c r="CL25"/>
  <c r="BF25"/>
  <c r="BR24"/>
  <c r="CD23"/>
  <c r="AX23"/>
  <c r="BJ22"/>
  <c r="BV21"/>
  <c r="CH20"/>
  <c r="BB20"/>
  <c r="BN19"/>
  <c r="BZ18"/>
  <c r="CL47"/>
  <c r="BV47"/>
  <c r="BF47"/>
  <c r="CH46"/>
  <c r="BR46"/>
  <c r="BB46"/>
  <c r="CD45"/>
  <c r="BN45"/>
  <c r="AX45"/>
  <c r="BZ44"/>
  <c r="BJ44"/>
  <c r="CL43"/>
  <c r="BV43"/>
  <c r="BF43"/>
  <c r="CH42"/>
  <c r="BR42"/>
  <c r="BB42"/>
  <c r="CD41"/>
  <c r="BN41"/>
  <c r="AX41"/>
  <c r="BZ40"/>
  <c r="BJ40"/>
  <c r="CL39"/>
  <c r="BV39"/>
  <c r="BF39"/>
  <c r="CH38"/>
  <c r="BR38"/>
  <c r="BB38"/>
  <c r="CD37"/>
  <c r="BN37"/>
  <c r="AX37"/>
  <c r="BZ36"/>
  <c r="BJ36"/>
  <c r="CL35"/>
  <c r="BV35"/>
  <c r="BF35"/>
  <c r="CH34"/>
  <c r="BR34"/>
  <c r="BB34"/>
  <c r="CD33"/>
  <c r="BN33"/>
  <c r="AX33"/>
  <c r="BZ32"/>
  <c r="BJ32"/>
  <c r="CL31"/>
  <c r="BV31"/>
  <c r="BF31"/>
  <c r="CH30"/>
  <c r="BR30"/>
  <c r="BB30"/>
  <c r="CD29"/>
  <c r="BN29"/>
  <c r="AX29"/>
  <c r="BZ28"/>
  <c r="BJ28"/>
  <c r="CL27"/>
  <c r="BV27"/>
  <c r="BF27"/>
  <c r="CH26"/>
  <c r="BR26"/>
  <c r="BB26"/>
  <c r="CD25"/>
  <c r="BN25"/>
  <c r="AX25"/>
  <c r="BZ24"/>
  <c r="BJ24"/>
  <c r="CL23"/>
  <c r="BV23"/>
  <c r="BF23"/>
  <c r="CH22"/>
  <c r="BR22"/>
  <c r="BB22"/>
  <c r="CD21"/>
  <c r="BN21"/>
  <c r="AX21"/>
  <c r="BZ20"/>
  <c r="BJ20"/>
  <c r="CL19"/>
  <c r="BV19"/>
  <c r="BF19"/>
  <c r="CH18"/>
  <c r="BR18"/>
  <c r="BB18"/>
  <c r="BB51" s="1"/>
  <c r="CL46"/>
  <c r="BF46"/>
  <c r="BR45"/>
  <c r="CD44"/>
  <c r="AX44"/>
  <c r="BJ43"/>
  <c r="BV42"/>
  <c r="BF42"/>
  <c r="BR41"/>
  <c r="CD40"/>
  <c r="AX40"/>
  <c r="BJ39"/>
  <c r="BV38"/>
  <c r="CH37"/>
  <c r="BB37"/>
  <c r="BN36"/>
  <c r="BZ35"/>
  <c r="CL34"/>
  <c r="BF34"/>
  <c r="BR33"/>
  <c r="CD32"/>
  <c r="AX32"/>
  <c r="BJ31"/>
  <c r="BV30"/>
  <c r="CH29"/>
  <c r="BB29"/>
  <c r="BN28"/>
  <c r="BZ27"/>
  <c r="CL26"/>
  <c r="BF26"/>
  <c r="BR25"/>
  <c r="CD24"/>
  <c r="AX24"/>
  <c r="CL22"/>
  <c r="BF22"/>
  <c r="BR21"/>
  <c r="CD20"/>
  <c r="AX20"/>
  <c r="BJ19"/>
  <c r="BF18"/>
  <c r="CD47"/>
  <c r="CD51" s="1"/>
  <c r="BJ46"/>
  <c r="BV45"/>
  <c r="CH44"/>
  <c r="BB44"/>
  <c r="BN43"/>
  <c r="BZ42"/>
  <c r="CL41"/>
  <c r="BF41"/>
  <c r="BR40"/>
  <c r="CD39"/>
  <c r="AX39"/>
  <c r="BZ38"/>
  <c r="CL37"/>
  <c r="BF37"/>
  <c r="BR36"/>
  <c r="CD35"/>
  <c r="AX35"/>
  <c r="BJ34"/>
  <c r="BV33"/>
  <c r="CH32"/>
  <c r="BB32"/>
  <c r="BN31"/>
  <c r="BZ30"/>
  <c r="CL29"/>
  <c r="BF29"/>
  <c r="BR28"/>
  <c r="CD27"/>
  <c r="AX27"/>
  <c r="BJ26"/>
  <c r="BV25"/>
  <c r="CH24"/>
  <c r="BB24"/>
  <c r="BN23"/>
  <c r="BZ22"/>
  <c r="CL21"/>
  <c r="BF21"/>
  <c r="BR20"/>
  <c r="CD19"/>
  <c r="AX19"/>
  <c r="BJ18"/>
  <c r="AX51"/>
  <c r="BF51"/>
  <c r="BR51"/>
  <c r="BV51"/>
  <c r="BZ51"/>
  <c r="CL51"/>
  <c r="C46" i="21" l="1"/>
  <c r="G46"/>
  <c r="K46"/>
  <c r="O46"/>
  <c r="S11"/>
  <c r="S10" s="1"/>
  <c r="S9" s="1"/>
  <c r="S8" s="1"/>
  <c r="S7" s="1"/>
  <c r="S46"/>
  <c r="W46"/>
  <c r="AA11"/>
  <c r="AA10" s="1"/>
  <c r="AA9" s="1"/>
  <c r="AA8" s="1"/>
  <c r="AA7" s="1"/>
  <c r="AA46"/>
  <c r="AE46"/>
  <c r="AI46"/>
  <c r="AM46"/>
  <c r="AQ46"/>
  <c r="CW38" i="34"/>
  <c r="CW39" s="1"/>
  <c r="CW40" s="1"/>
  <c r="CW41" s="1"/>
  <c r="CW42" s="1"/>
  <c r="CW43" s="1"/>
  <c r="CW44" s="1"/>
  <c r="CW45" s="1"/>
  <c r="CW46" s="1"/>
  <c r="CW37"/>
  <c r="CV40"/>
  <c r="AR46" i="36"/>
  <c r="AM46"/>
  <c r="AJ46"/>
  <c r="AF46"/>
  <c r="AB46"/>
  <c r="X46"/>
  <c r="T46"/>
  <c r="P46"/>
  <c r="L46"/>
  <c r="H46"/>
  <c r="D46"/>
  <c r="AR45"/>
  <c r="AN45"/>
  <c r="AJ45"/>
  <c r="AF45"/>
  <c r="AB45"/>
  <c r="X45"/>
  <c r="T45"/>
  <c r="P45"/>
  <c r="L45"/>
  <c r="H45"/>
  <c r="D45"/>
  <c r="AR44"/>
  <c r="AN44"/>
  <c r="AJ44"/>
  <c r="AF44"/>
  <c r="AB44"/>
  <c r="X44"/>
  <c r="T44"/>
  <c r="P44"/>
  <c r="L44"/>
  <c r="H44"/>
  <c r="D44"/>
  <c r="AR43"/>
  <c r="AN43"/>
  <c r="AJ43"/>
  <c r="AF43"/>
  <c r="AB43"/>
  <c r="X43"/>
  <c r="T43"/>
  <c r="P43"/>
  <c r="L43"/>
  <c r="H43"/>
  <c r="D43"/>
  <c r="AR42"/>
  <c r="AN42"/>
  <c r="AJ42"/>
  <c r="AF42"/>
  <c r="AB42"/>
  <c r="X42"/>
  <c r="T42"/>
  <c r="P42"/>
  <c r="L42"/>
  <c r="H42"/>
  <c r="D42"/>
  <c r="AR41"/>
  <c r="AN41"/>
  <c r="AJ41"/>
  <c r="AF41"/>
  <c r="AB41"/>
  <c r="X41"/>
  <c r="T41"/>
  <c r="P41"/>
  <c r="L41"/>
  <c r="H41"/>
  <c r="D41"/>
  <c r="AR40"/>
  <c r="AN40"/>
  <c r="AJ40"/>
  <c r="AF40"/>
  <c r="AB40"/>
  <c r="X40"/>
  <c r="T40"/>
  <c r="P40"/>
  <c r="L40"/>
  <c r="H40"/>
  <c r="D40"/>
  <c r="AR39"/>
  <c r="AJ39"/>
  <c r="AF39"/>
  <c r="AB39"/>
  <c r="X39"/>
  <c r="T39"/>
  <c r="P39"/>
  <c r="L39"/>
  <c r="H39"/>
  <c r="D39"/>
  <c r="AR38"/>
  <c r="AJ38"/>
  <c r="AF38"/>
  <c r="AB38"/>
  <c r="X38"/>
  <c r="T38"/>
  <c r="P38"/>
  <c r="L38"/>
  <c r="H38"/>
  <c r="D38"/>
  <c r="AR37"/>
  <c r="AJ37"/>
  <c r="AF37"/>
  <c r="AB37"/>
  <c r="X37"/>
  <c r="T37"/>
  <c r="P37"/>
  <c r="L37"/>
  <c r="H37"/>
  <c r="D37"/>
  <c r="AR36"/>
  <c r="AJ36"/>
  <c r="AF36"/>
  <c r="AB36"/>
  <c r="X36"/>
  <c r="T36"/>
  <c r="P36"/>
  <c r="L36"/>
  <c r="H36"/>
  <c r="D36"/>
  <c r="AR35"/>
  <c r="AN35"/>
  <c r="AJ35"/>
  <c r="AF35"/>
  <c r="AB35"/>
  <c r="X35"/>
  <c r="T35"/>
  <c r="P35"/>
  <c r="L35"/>
  <c r="H35"/>
  <c r="D35"/>
  <c r="AR34"/>
  <c r="AN34"/>
  <c r="AJ34"/>
  <c r="AF34"/>
  <c r="AB34"/>
  <c r="X34"/>
  <c r="T34"/>
  <c r="P34"/>
  <c r="L34"/>
  <c r="H34"/>
  <c r="D34"/>
  <c r="AR33"/>
  <c r="AN33"/>
  <c r="AJ33"/>
  <c r="AF33"/>
  <c r="AB33"/>
  <c r="X33"/>
  <c r="T33"/>
  <c r="P33"/>
  <c r="L33"/>
  <c r="H33"/>
  <c r="D33"/>
  <c r="AR32"/>
  <c r="AN32"/>
  <c r="AJ32"/>
  <c r="AF32"/>
  <c r="AB32"/>
  <c r="X32"/>
  <c r="T32"/>
  <c r="P32"/>
  <c r="L32"/>
  <c r="H32"/>
  <c r="D32"/>
  <c r="AR31"/>
  <c r="AN31"/>
  <c r="AJ31"/>
  <c r="AF31"/>
  <c r="AB31"/>
  <c r="X31"/>
  <c r="T31"/>
  <c r="P31"/>
  <c r="L31"/>
  <c r="H31"/>
  <c r="D31"/>
  <c r="AR30"/>
  <c r="AN30"/>
  <c r="AJ30"/>
  <c r="AF30"/>
  <c r="AB30"/>
  <c r="X30"/>
  <c r="T30"/>
  <c r="P30"/>
  <c r="L30"/>
  <c r="H30"/>
  <c r="D30"/>
  <c r="AR29"/>
  <c r="AN29"/>
  <c r="AJ29"/>
  <c r="AF29"/>
  <c r="AB29"/>
  <c r="X29"/>
  <c r="T29"/>
  <c r="P29"/>
  <c r="L29"/>
  <c r="H29"/>
  <c r="D29"/>
  <c r="AR28"/>
  <c r="AN28"/>
  <c r="AJ28"/>
  <c r="AF28"/>
  <c r="AB28"/>
  <c r="X28"/>
  <c r="T28"/>
  <c r="P28"/>
  <c r="L28"/>
  <c r="H28"/>
  <c r="D28"/>
  <c r="AR27"/>
  <c r="AN27"/>
  <c r="AJ27"/>
  <c r="AF27"/>
  <c r="AB27"/>
  <c r="X27"/>
  <c r="T27"/>
  <c r="P27"/>
  <c r="L27"/>
  <c r="H27"/>
  <c r="D27"/>
  <c r="AR26"/>
  <c r="AN26"/>
  <c r="AJ26"/>
  <c r="AF26"/>
  <c r="AB26"/>
  <c r="X26"/>
  <c r="T26"/>
  <c r="P26"/>
  <c r="L26"/>
  <c r="H26"/>
  <c r="D26"/>
  <c r="AR25"/>
  <c r="AN25"/>
  <c r="AJ25"/>
  <c r="AF25"/>
  <c r="AB25"/>
  <c r="X25"/>
  <c r="T25"/>
  <c r="P25"/>
  <c r="L25"/>
  <c r="H25"/>
  <c r="D25"/>
  <c r="AR24"/>
  <c r="AN24"/>
  <c r="AJ24"/>
  <c r="AF24"/>
  <c r="AB24"/>
  <c r="X24"/>
  <c r="T24"/>
  <c r="P24"/>
  <c r="L24"/>
  <c r="H24"/>
  <c r="D24"/>
  <c r="AR23"/>
  <c r="AN23"/>
  <c r="AJ23"/>
  <c r="AF23"/>
  <c r="AB23"/>
  <c r="X23"/>
  <c r="T23"/>
  <c r="P23"/>
  <c r="L23"/>
  <c r="H23"/>
  <c r="D23"/>
  <c r="AR22"/>
  <c r="AN22"/>
  <c r="AJ22"/>
  <c r="AF22"/>
  <c r="AB22"/>
  <c r="X22"/>
  <c r="T22"/>
  <c r="P22"/>
  <c r="L22"/>
  <c r="H22"/>
  <c r="D22"/>
  <c r="AR21"/>
  <c r="AN21"/>
  <c r="AJ21"/>
  <c r="AF21"/>
  <c r="AB21"/>
  <c r="X21"/>
  <c r="T21"/>
  <c r="P21"/>
  <c r="L21"/>
  <c r="H21"/>
  <c r="D21"/>
  <c r="AR20"/>
  <c r="AN20"/>
  <c r="AJ20"/>
  <c r="AF20"/>
  <c r="AB20"/>
  <c r="X20"/>
  <c r="T20"/>
  <c r="P20"/>
  <c r="L20"/>
  <c r="H20"/>
  <c r="D20"/>
  <c r="AR19"/>
  <c r="AN19"/>
  <c r="AJ19"/>
  <c r="AF19"/>
  <c r="AB19"/>
  <c r="X19"/>
  <c r="T19"/>
  <c r="P19"/>
  <c r="L19"/>
  <c r="H19"/>
  <c r="D19"/>
  <c r="AR18"/>
  <c r="AR49" s="1"/>
  <c r="AN18"/>
  <c r="AJ18"/>
  <c r="AJ49" s="1"/>
  <c r="AF18"/>
  <c r="AF49" s="1"/>
  <c r="AB18"/>
  <c r="AB49" s="1"/>
  <c r="X18"/>
  <c r="X49" s="1"/>
  <c r="T18"/>
  <c r="T49" s="1"/>
  <c r="P18"/>
  <c r="P49" s="1"/>
  <c r="L18"/>
  <c r="L49" s="1"/>
  <c r="H18"/>
  <c r="H49" s="1"/>
  <c r="D18"/>
  <c r="K15"/>
  <c r="K13"/>
  <c r="K12" s="1"/>
  <c r="K11" s="1"/>
  <c r="K10" s="1"/>
  <c r="K9" s="1"/>
  <c r="K8" s="1"/>
  <c r="AQ12"/>
  <c r="AQ11" s="1"/>
  <c r="AQ10" s="1"/>
  <c r="AQ9" s="1"/>
  <c r="AQ8" s="1"/>
  <c r="AP12"/>
  <c r="AM12"/>
  <c r="AL12"/>
  <c r="AL11" s="1"/>
  <c r="AL10" s="1"/>
  <c r="AL9" s="1"/>
  <c r="AL8" s="1"/>
  <c r="AI12"/>
  <c r="AI11" s="1"/>
  <c r="AI10" s="1"/>
  <c r="AI9" s="1"/>
  <c r="AI8" s="1"/>
  <c r="AH12"/>
  <c r="AE12"/>
  <c r="AD12"/>
  <c r="AD11" s="1"/>
  <c r="AD10" s="1"/>
  <c r="AD9" s="1"/>
  <c r="AD8" s="1"/>
  <c r="AA12"/>
  <c r="AA11" s="1"/>
  <c r="AA10" s="1"/>
  <c r="AA9" s="1"/>
  <c r="AA8" s="1"/>
  <c r="Z12"/>
  <c r="W12"/>
  <c r="V12"/>
  <c r="V11" s="1"/>
  <c r="V10" s="1"/>
  <c r="V9" s="1"/>
  <c r="V8" s="1"/>
  <c r="S12"/>
  <c r="S11" s="1"/>
  <c r="S10" s="1"/>
  <c r="S9" s="1"/>
  <c r="S8" s="1"/>
  <c r="R12"/>
  <c r="O12"/>
  <c r="N12"/>
  <c r="N11" s="1"/>
  <c r="N10" s="1"/>
  <c r="N9" s="1"/>
  <c r="N8" s="1"/>
  <c r="J12"/>
  <c r="G12"/>
  <c r="F12"/>
  <c r="F11" s="1"/>
  <c r="F10" s="1"/>
  <c r="F9" s="1"/>
  <c r="F8" s="1"/>
  <c r="C12"/>
  <c r="C11" s="1"/>
  <c r="C10" s="1"/>
  <c r="C9" s="1"/>
  <c r="C8" s="1"/>
  <c r="B12"/>
  <c r="AP11"/>
  <c r="AP10" s="1"/>
  <c r="AP9" s="1"/>
  <c r="AP8" s="1"/>
  <c r="AM11"/>
  <c r="AM10" s="1"/>
  <c r="AM9" s="1"/>
  <c r="AM8" s="1"/>
  <c r="AH11"/>
  <c r="AH10" s="1"/>
  <c r="AH9" s="1"/>
  <c r="AH8" s="1"/>
  <c r="AE11"/>
  <c r="AE10" s="1"/>
  <c r="AE9" s="1"/>
  <c r="AE8" s="1"/>
  <c r="Z11"/>
  <c r="Z10" s="1"/>
  <c r="Z9" s="1"/>
  <c r="Z8" s="1"/>
  <c r="W11"/>
  <c r="W10" s="1"/>
  <c r="W9" s="1"/>
  <c r="W8" s="1"/>
  <c r="R11"/>
  <c r="R10" s="1"/>
  <c r="R9" s="1"/>
  <c r="R8" s="1"/>
  <c r="O11"/>
  <c r="O10" s="1"/>
  <c r="O9" s="1"/>
  <c r="O8" s="1"/>
  <c r="J11"/>
  <c r="J10" s="1"/>
  <c r="J9" s="1"/>
  <c r="J8" s="1"/>
  <c r="G11"/>
  <c r="G10" s="1"/>
  <c r="G9" s="1"/>
  <c r="G8" s="1"/>
  <c r="B11"/>
  <c r="B10" s="1"/>
  <c r="B9" s="1"/>
  <c r="B8" s="1"/>
  <c r="L34" i="231" l="1"/>
  <c r="AQ63" i="21"/>
  <c r="L22" i="162"/>
  <c r="H34" i="231"/>
  <c r="AA63" i="21"/>
  <c r="H22" i="162"/>
  <c r="B34" i="231"/>
  <c r="B22" i="162"/>
  <c r="F34" i="231"/>
  <c r="S63" i="21"/>
  <c r="F22" i="162"/>
  <c r="D57" i="36"/>
  <c r="D49"/>
  <c r="J34" i="231"/>
  <c r="AI63" i="21"/>
  <c r="J22" i="162"/>
  <c r="G34" i="231"/>
  <c r="W63" i="21"/>
  <c r="G22" i="162"/>
  <c r="D34" i="231"/>
  <c r="K63" i="21"/>
  <c r="D22" i="162"/>
  <c r="AN46" i="36"/>
  <c r="K33" i="238"/>
  <c r="AM47" i="36"/>
  <c r="I34" i="231"/>
  <c r="AE63" i="21"/>
  <c r="I22" i="162"/>
  <c r="C34" i="231"/>
  <c r="G48" i="21"/>
  <c r="G63"/>
  <c r="C22" i="162"/>
  <c r="K34" i="231"/>
  <c r="AM63" i="21"/>
  <c r="K22" i="162"/>
  <c r="E34" i="231"/>
  <c r="O63" i="21"/>
  <c r="E22" i="162"/>
  <c r="AN37" i="36"/>
  <c r="AN36"/>
  <c r="E41" i="231" l="1"/>
  <c r="E36"/>
  <c r="D41"/>
  <c r="D36"/>
  <c r="F41"/>
  <c r="F36"/>
  <c r="L41"/>
  <c r="L36"/>
  <c r="K41"/>
  <c r="K36"/>
  <c r="C41"/>
  <c r="C36"/>
  <c r="K34" i="238"/>
  <c r="K22" i="184"/>
  <c r="AM49" i="36"/>
  <c r="AN47"/>
  <c r="AN49" s="1"/>
  <c r="G36" i="231"/>
  <c r="G41"/>
  <c r="I41"/>
  <c r="I36"/>
  <c r="J41"/>
  <c r="J36"/>
  <c r="B41"/>
  <c r="B36"/>
  <c r="H36"/>
  <c r="H41"/>
  <c r="AN39" i="36"/>
  <c r="AN38"/>
  <c r="C59" s="1"/>
  <c r="K41" i="238" l="1"/>
  <c r="K36"/>
  <c r="C60" i="36"/>
  <c r="C61" s="1"/>
  <c r="C62" s="1"/>
  <c r="C64" s="1"/>
  <c r="C63" l="1"/>
  <c r="C65" l="1"/>
  <c r="AS47" s="1"/>
  <c r="AC45"/>
  <c r="H32" i="239" s="1"/>
  <c r="M45" i="36"/>
  <c r="D32" i="239" s="1"/>
  <c r="AO44" i="36"/>
  <c r="K31" i="239" s="1"/>
  <c r="Y44" i="36"/>
  <c r="G31" i="239" s="1"/>
  <c r="I44" i="36"/>
  <c r="C31" i="239" s="1"/>
  <c r="AK43" i="36"/>
  <c r="J30" i="239" s="1"/>
  <c r="U43" i="36"/>
  <c r="F30" i="239" s="1"/>
  <c r="E43" i="36"/>
  <c r="B30" i="239" s="1"/>
  <c r="AG42" i="36"/>
  <c r="I29" i="239" s="1"/>
  <c r="Q42" i="36"/>
  <c r="E29" i="239" s="1"/>
  <c r="AS41" i="36"/>
  <c r="L28" i="239" s="1"/>
  <c r="AC41" i="36"/>
  <c r="H28" i="239" s="1"/>
  <c r="M41" i="36"/>
  <c r="D28" i="239" s="1"/>
  <c r="AO40" i="36"/>
  <c r="K27" i="239" s="1"/>
  <c r="Y40" i="36"/>
  <c r="G27" i="239" s="1"/>
  <c r="I40" i="36"/>
  <c r="C27" i="239" s="1"/>
  <c r="AK39" i="36"/>
  <c r="J26" i="239" s="1"/>
  <c r="U39" i="36"/>
  <c r="F26" i="239" s="1"/>
  <c r="E39" i="36"/>
  <c r="B26" i="239" s="1"/>
  <c r="AG38" i="36"/>
  <c r="I25" i="239" s="1"/>
  <c r="Q38" i="36"/>
  <c r="E25" i="239" s="1"/>
  <c r="AS37" i="36"/>
  <c r="L24" i="239" s="1"/>
  <c r="AC37" i="36"/>
  <c r="H24" i="239" s="1"/>
  <c r="M37" i="36"/>
  <c r="D24" i="239" s="1"/>
  <c r="AO36" i="36"/>
  <c r="K23" i="239" s="1"/>
  <c r="Y36" i="36"/>
  <c r="G23" i="239" s="1"/>
  <c r="I36" i="36"/>
  <c r="C23" i="239" s="1"/>
  <c r="AK35" i="36"/>
  <c r="J22" i="239" s="1"/>
  <c r="U35" i="36"/>
  <c r="F22" i="239" s="1"/>
  <c r="E35" i="36"/>
  <c r="B22" i="239" s="1"/>
  <c r="AG34" i="36"/>
  <c r="I21" i="239" s="1"/>
  <c r="Q34" i="36"/>
  <c r="E21" i="239" s="1"/>
  <c r="AS33" i="36"/>
  <c r="L20" i="239" s="1"/>
  <c r="AC33" i="36"/>
  <c r="H20" i="239" s="1"/>
  <c r="M33" i="36"/>
  <c r="D20" i="239" s="1"/>
  <c r="AO32" i="36"/>
  <c r="K19" i="239" s="1"/>
  <c r="Y32" i="36"/>
  <c r="G19" i="239" s="1"/>
  <c r="I32" i="36"/>
  <c r="C19" i="239" s="1"/>
  <c r="AK31" i="36"/>
  <c r="J18" i="239" s="1"/>
  <c r="U31" i="36"/>
  <c r="F18" i="239" s="1"/>
  <c r="E31" i="36"/>
  <c r="B18" i="239" s="1"/>
  <c r="AG30" i="36"/>
  <c r="I17" i="239" s="1"/>
  <c r="Q30" i="36"/>
  <c r="E17" i="239" s="1"/>
  <c r="AS29" i="36"/>
  <c r="L16" i="239" s="1"/>
  <c r="AC29" i="36"/>
  <c r="H16" i="239" s="1"/>
  <c r="M29" i="36"/>
  <c r="D16" i="239" s="1"/>
  <c r="AO28" i="36"/>
  <c r="K15" i="239" s="1"/>
  <c r="Y28" i="36"/>
  <c r="G15" i="239" s="1"/>
  <c r="I28" i="36"/>
  <c r="C15" i="239" s="1"/>
  <c r="AK27" i="36"/>
  <c r="J14" i="239" s="1"/>
  <c r="U27" i="36"/>
  <c r="F14" i="239" s="1"/>
  <c r="E27" i="36"/>
  <c r="B14" i="239" s="1"/>
  <c r="AG26" i="36"/>
  <c r="I13" i="239" s="1"/>
  <c r="Q26" i="36"/>
  <c r="E13" i="239" s="1"/>
  <c r="AS25" i="36"/>
  <c r="L12" i="239" s="1"/>
  <c r="AC25" i="36"/>
  <c r="H12" i="239" s="1"/>
  <c r="M25" i="36"/>
  <c r="D12" i="239" s="1"/>
  <c r="AO24" i="36"/>
  <c r="K11" i="239" s="1"/>
  <c r="Y24" i="36"/>
  <c r="G11" i="239" s="1"/>
  <c r="I24" i="36"/>
  <c r="C11" i="239" s="1"/>
  <c r="AK23" i="36"/>
  <c r="J10" i="239" s="1"/>
  <c r="U23" i="36"/>
  <c r="F10" i="239" s="1"/>
  <c r="E23" i="36"/>
  <c r="B10" i="239" s="1"/>
  <c r="AG22" i="36"/>
  <c r="I9" i="239" s="1"/>
  <c r="Q22" i="36"/>
  <c r="E9" i="239" s="1"/>
  <c r="AS21" i="36"/>
  <c r="L8" i="239" s="1"/>
  <c r="AC21" i="36"/>
  <c r="H8" i="239" s="1"/>
  <c r="M21" i="36"/>
  <c r="D8" i="239" s="1"/>
  <c r="AO20" i="36"/>
  <c r="K7" i="239" s="1"/>
  <c r="Y20" i="36"/>
  <c r="G7" i="239" s="1"/>
  <c r="I20" i="36"/>
  <c r="C7" i="239" s="1"/>
  <c r="AK19" i="36"/>
  <c r="J6" i="239" s="1"/>
  <c r="U19" i="36"/>
  <c r="F6" i="239" s="1"/>
  <c r="E19" i="36"/>
  <c r="B6" i="239" s="1"/>
  <c r="AG18" i="36"/>
  <c r="Q18"/>
  <c r="I5" i="239" l="1"/>
  <c r="I37" s="1"/>
  <c r="I21" i="183"/>
  <c r="H44" i="239"/>
  <c r="H39"/>
  <c r="AS45" i="36"/>
  <c r="L32" i="239" s="1"/>
  <c r="Q46" i="36"/>
  <c r="E33" i="239" s="1"/>
  <c r="AG46" i="36"/>
  <c r="I33" i="239" s="1"/>
  <c r="M18" i="36"/>
  <c r="AS18"/>
  <c r="AG19"/>
  <c r="I6" i="239" s="1"/>
  <c r="U20" i="36"/>
  <c r="F7" i="239" s="1"/>
  <c r="I21" i="36"/>
  <c r="C8" i="239" s="1"/>
  <c r="AO21" i="36"/>
  <c r="K8" i="239" s="1"/>
  <c r="AC22" i="36"/>
  <c r="H9" i="239" s="1"/>
  <c r="Q23" i="36"/>
  <c r="E10" i="239" s="1"/>
  <c r="E24" i="36"/>
  <c r="B11" i="239" s="1"/>
  <c r="AK24" i="36"/>
  <c r="J11" i="239" s="1"/>
  <c r="Y25" i="36"/>
  <c r="G12" i="239" s="1"/>
  <c r="M26" i="36"/>
  <c r="D13" i="239" s="1"/>
  <c r="AS26" i="36"/>
  <c r="L13" i="239" s="1"/>
  <c r="AG27" i="36"/>
  <c r="I14" i="239" s="1"/>
  <c r="U28" i="36"/>
  <c r="F15" i="239" s="1"/>
  <c r="I29" i="36"/>
  <c r="C16" i="239" s="1"/>
  <c r="AO29" i="36"/>
  <c r="K16" i="239" s="1"/>
  <c r="AC30" i="36"/>
  <c r="H17" i="239" s="1"/>
  <c r="Q31" i="36"/>
  <c r="E18" i="239" s="1"/>
  <c r="E32" i="36"/>
  <c r="B19" i="239" s="1"/>
  <c r="AK32" i="36"/>
  <c r="J19" i="239" s="1"/>
  <c r="Y33" i="36"/>
  <c r="G20" i="239" s="1"/>
  <c r="M34" i="36"/>
  <c r="D21" i="239" s="1"/>
  <c r="AS34" i="36"/>
  <c r="L21" i="239" s="1"/>
  <c r="AG35" i="36"/>
  <c r="I22" i="239" s="1"/>
  <c r="U36" i="36"/>
  <c r="F23" i="239" s="1"/>
  <c r="I37" i="36"/>
  <c r="C24" i="239" s="1"/>
  <c r="AO37" i="36"/>
  <c r="K24" i="239" s="1"/>
  <c r="AC38" i="36"/>
  <c r="H25" i="239" s="1"/>
  <c r="Q39" i="36"/>
  <c r="E26" i="239" s="1"/>
  <c r="E40" i="36"/>
  <c r="B27" i="239" s="1"/>
  <c r="AK40" i="36"/>
  <c r="J27" i="239" s="1"/>
  <c r="AO41" i="36"/>
  <c r="K28" i="239" s="1"/>
  <c r="AC42" i="36"/>
  <c r="H29" i="239" s="1"/>
  <c r="AG43" i="36"/>
  <c r="I30" i="239" s="1"/>
  <c r="AS46" i="36"/>
  <c r="L33" i="239" s="1"/>
  <c r="I18" i="36"/>
  <c r="Y18"/>
  <c r="AO18"/>
  <c r="M19"/>
  <c r="D6" i="239" s="1"/>
  <c r="AC19" i="36"/>
  <c r="H6" i="239" s="1"/>
  <c r="AS19" i="36"/>
  <c r="L6" i="239" s="1"/>
  <c r="Q20" i="36"/>
  <c r="E7" i="239" s="1"/>
  <c r="AG20" i="36"/>
  <c r="I7" i="239" s="1"/>
  <c r="E21" i="36"/>
  <c r="B8" i="239" s="1"/>
  <c r="U21" i="36"/>
  <c r="F8" i="239" s="1"/>
  <c r="AK21" i="36"/>
  <c r="J8" i="239" s="1"/>
  <c r="I22" i="36"/>
  <c r="C9" i="239" s="1"/>
  <c r="Y22" i="36"/>
  <c r="G9" i="239" s="1"/>
  <c r="AO22" i="36"/>
  <c r="K9" i="239" s="1"/>
  <c r="M23" i="36"/>
  <c r="D10" i="239" s="1"/>
  <c r="AC23" i="36"/>
  <c r="H10" i="239" s="1"/>
  <c r="AS23" i="36"/>
  <c r="L10" i="239" s="1"/>
  <c r="Q24" i="36"/>
  <c r="E11" i="239" s="1"/>
  <c r="AG24" i="36"/>
  <c r="I11" i="239" s="1"/>
  <c r="E25" i="36"/>
  <c r="B12" i="239" s="1"/>
  <c r="U25" i="36"/>
  <c r="F12" i="239" s="1"/>
  <c r="AK25" i="36"/>
  <c r="J12" i="239" s="1"/>
  <c r="I26" i="36"/>
  <c r="C13" i="239" s="1"/>
  <c r="Y26" i="36"/>
  <c r="G13" i="239" s="1"/>
  <c r="AO26" i="36"/>
  <c r="K13" i="239" s="1"/>
  <c r="M27" i="36"/>
  <c r="D14" i="239" s="1"/>
  <c r="AC27" i="36"/>
  <c r="H14" i="239" s="1"/>
  <c r="AS27" i="36"/>
  <c r="L14" i="239" s="1"/>
  <c r="Q28" i="36"/>
  <c r="E15" i="239" s="1"/>
  <c r="AG28" i="36"/>
  <c r="I15" i="239" s="1"/>
  <c r="E29" i="36"/>
  <c r="B16" i="239" s="1"/>
  <c r="U29" i="36"/>
  <c r="F16" i="239" s="1"/>
  <c r="AK29" i="36"/>
  <c r="J16" i="239" s="1"/>
  <c r="I30" i="36"/>
  <c r="C17" i="239" s="1"/>
  <c r="Y30" i="36"/>
  <c r="G17" i="239" s="1"/>
  <c r="AO30" i="36"/>
  <c r="K17" i="239" s="1"/>
  <c r="M31" i="36"/>
  <c r="D18" i="239" s="1"/>
  <c r="AC31" i="36"/>
  <c r="H18" i="239" s="1"/>
  <c r="AS31" i="36"/>
  <c r="L18" i="239" s="1"/>
  <c r="Q32" i="36"/>
  <c r="E19" i="239" s="1"/>
  <c r="AG32" i="36"/>
  <c r="I19" i="239" s="1"/>
  <c r="E33" i="36"/>
  <c r="B20" i="239" s="1"/>
  <c r="U33" i="36"/>
  <c r="F20" i="239" s="1"/>
  <c r="AK33" i="36"/>
  <c r="J20" i="239" s="1"/>
  <c r="I34" i="36"/>
  <c r="C21" i="239" s="1"/>
  <c r="Y34" i="36"/>
  <c r="G21" i="239" s="1"/>
  <c r="AO34" i="36"/>
  <c r="K21" i="239" s="1"/>
  <c r="M35" i="36"/>
  <c r="D22" i="239" s="1"/>
  <c r="AC35" i="36"/>
  <c r="H22" i="239" s="1"/>
  <c r="AS35" i="36"/>
  <c r="L22" i="239" s="1"/>
  <c r="Q36" i="36"/>
  <c r="E23" i="239" s="1"/>
  <c r="AG36" i="36"/>
  <c r="I23" i="239" s="1"/>
  <c r="E37" i="36"/>
  <c r="B24" i="239" s="1"/>
  <c r="U37" i="36"/>
  <c r="F24" i="239" s="1"/>
  <c r="AK37" i="36"/>
  <c r="J24" i="239" s="1"/>
  <c r="I38" i="36"/>
  <c r="C25" i="239" s="1"/>
  <c r="Y38" i="36"/>
  <c r="G25" i="239" s="1"/>
  <c r="AO38" i="36"/>
  <c r="K25" i="239" s="1"/>
  <c r="M39" i="36"/>
  <c r="D26" i="239" s="1"/>
  <c r="AC39" i="36"/>
  <c r="H26" i="239" s="1"/>
  <c r="AS39" i="36"/>
  <c r="L26" i="239" s="1"/>
  <c r="Q40" i="36"/>
  <c r="E27" i="239" s="1"/>
  <c r="AG40" i="36"/>
  <c r="I27" i="239" s="1"/>
  <c r="E41" i="36"/>
  <c r="B28" i="239" s="1"/>
  <c r="U41" i="36"/>
  <c r="F28" i="239" s="1"/>
  <c r="AK41" i="36"/>
  <c r="J28" i="239" s="1"/>
  <c r="I42" i="36"/>
  <c r="C29" i="239" s="1"/>
  <c r="Y42" i="36"/>
  <c r="G29" i="239" s="1"/>
  <c r="AO42" i="36"/>
  <c r="K29" i="239" s="1"/>
  <c r="M43" i="36"/>
  <c r="D30" i="239" s="1"/>
  <c r="AC43" i="36"/>
  <c r="H30" i="239" s="1"/>
  <c r="AS43" i="36"/>
  <c r="L30" i="239" s="1"/>
  <c r="Q44" i="36"/>
  <c r="E31" i="239" s="1"/>
  <c r="AG44" i="36"/>
  <c r="I31" i="239" s="1"/>
  <c r="E45" i="36"/>
  <c r="B32" i="239" s="1"/>
  <c r="U45" i="36"/>
  <c r="F32" i="239" s="1"/>
  <c r="AK45" i="36"/>
  <c r="J32" i="239" s="1"/>
  <c r="I46" i="36"/>
  <c r="C33" i="239" s="1"/>
  <c r="Y46" i="36"/>
  <c r="G33" i="239" s="1"/>
  <c r="AO46" i="36"/>
  <c r="K33" i="239" s="1"/>
  <c r="E5"/>
  <c r="E42" s="1"/>
  <c r="E21" i="183"/>
  <c r="E37" i="239"/>
  <c r="D43"/>
  <c r="D38"/>
  <c r="L43"/>
  <c r="L38"/>
  <c r="D44"/>
  <c r="D39"/>
  <c r="L34"/>
  <c r="L22" i="183"/>
  <c r="AC18" i="36"/>
  <c r="Q19"/>
  <c r="E6" i="239" s="1"/>
  <c r="E20" i="36"/>
  <c r="B7" i="239" s="1"/>
  <c r="AK20" i="36"/>
  <c r="J7" i="239" s="1"/>
  <c r="Y21" i="36"/>
  <c r="G8" i="239" s="1"/>
  <c r="M22" i="36"/>
  <c r="D9" i="239" s="1"/>
  <c r="AS22" i="36"/>
  <c r="L9" i="239" s="1"/>
  <c r="AG23" i="36"/>
  <c r="I10" i="239" s="1"/>
  <c r="U24" i="36"/>
  <c r="F11" i="239" s="1"/>
  <c r="I25" i="36"/>
  <c r="C12" i="239" s="1"/>
  <c r="AO25" i="36"/>
  <c r="K12" i="239" s="1"/>
  <c r="AC26" i="36"/>
  <c r="H13" i="239" s="1"/>
  <c r="H38" s="1"/>
  <c r="Q27" i="36"/>
  <c r="E14" i="239" s="1"/>
  <c r="E28" i="36"/>
  <c r="B15" i="239" s="1"/>
  <c r="AK28" i="36"/>
  <c r="J15" i="239" s="1"/>
  <c r="Y29" i="36"/>
  <c r="G16" i="239" s="1"/>
  <c r="M30" i="36"/>
  <c r="D17" i="239" s="1"/>
  <c r="AS30" i="36"/>
  <c r="L17" i="239" s="1"/>
  <c r="AG31" i="36"/>
  <c r="I18" i="239" s="1"/>
  <c r="U32" i="36"/>
  <c r="F19" i="239" s="1"/>
  <c r="I33" i="36"/>
  <c r="C20" i="239" s="1"/>
  <c r="AO33" i="36"/>
  <c r="K20" i="239" s="1"/>
  <c r="AC34" i="36"/>
  <c r="H21" i="239" s="1"/>
  <c r="Q35" i="36"/>
  <c r="E22" i="239" s="1"/>
  <c r="E36" i="36"/>
  <c r="B23" i="239" s="1"/>
  <c r="AK36" i="36"/>
  <c r="J23" i="239" s="1"/>
  <c r="Y37" i="36"/>
  <c r="G24" i="239" s="1"/>
  <c r="M38" i="36"/>
  <c r="D25" i="239" s="1"/>
  <c r="AS38" i="36"/>
  <c r="L25" i="239" s="1"/>
  <c r="AG39" i="36"/>
  <c r="I26" i="239" s="1"/>
  <c r="U40" i="36"/>
  <c r="F27" i="239" s="1"/>
  <c r="I41" i="36"/>
  <c r="C28" i="239" s="1"/>
  <c r="Y41" i="36"/>
  <c r="G28" i="239" s="1"/>
  <c r="M42" i="36"/>
  <c r="D29" i="239" s="1"/>
  <c r="AS42" i="36"/>
  <c r="L29" i="239" s="1"/>
  <c r="Q43" i="36"/>
  <c r="E30" i="239" s="1"/>
  <c r="E44" i="36"/>
  <c r="B31" i="239" s="1"/>
  <c r="U44" i="36"/>
  <c r="F31" i="239" s="1"/>
  <c r="AK44" i="36"/>
  <c r="J31" i="239" s="1"/>
  <c r="I45" i="36"/>
  <c r="C32" i="239" s="1"/>
  <c r="Y45" i="36"/>
  <c r="G32" i="239" s="1"/>
  <c r="AO45" i="36"/>
  <c r="K32" i="239" s="1"/>
  <c r="M46" i="36"/>
  <c r="D33" i="239" s="1"/>
  <c r="AC46" i="36"/>
  <c r="H33" i="239" s="1"/>
  <c r="E18" i="36"/>
  <c r="U18"/>
  <c r="AK18"/>
  <c r="I19"/>
  <c r="C6" i="239" s="1"/>
  <c r="Y19" i="36"/>
  <c r="G6" i="239" s="1"/>
  <c r="AO19" i="36"/>
  <c r="K6" i="239" s="1"/>
  <c r="M20" i="36"/>
  <c r="D7" i="239" s="1"/>
  <c r="AC20" i="36"/>
  <c r="H7" i="239" s="1"/>
  <c r="AS20" i="36"/>
  <c r="L7" i="239" s="1"/>
  <c r="Q21" i="36"/>
  <c r="E8" i="239" s="1"/>
  <c r="AG21" i="36"/>
  <c r="I8" i="239" s="1"/>
  <c r="E22" i="36"/>
  <c r="B9" i="239" s="1"/>
  <c r="U22" i="36"/>
  <c r="F9" i="239" s="1"/>
  <c r="AK22" i="36"/>
  <c r="J9" i="239" s="1"/>
  <c r="I23" i="36"/>
  <c r="C10" i="239" s="1"/>
  <c r="Y23" i="36"/>
  <c r="G10" i="239" s="1"/>
  <c r="AO23" i="36"/>
  <c r="K10" i="239" s="1"/>
  <c r="M24" i="36"/>
  <c r="D11" i="239" s="1"/>
  <c r="AC24" i="36"/>
  <c r="H11" i="239" s="1"/>
  <c r="AS24" i="36"/>
  <c r="L11" i="239" s="1"/>
  <c r="Q25" i="36"/>
  <c r="E12" i="239" s="1"/>
  <c r="AG25" i="36"/>
  <c r="I12" i="239" s="1"/>
  <c r="E26" i="36"/>
  <c r="B13" i="239" s="1"/>
  <c r="U26" i="36"/>
  <c r="F13" i="239" s="1"/>
  <c r="AK26" i="36"/>
  <c r="J13" i="239" s="1"/>
  <c r="I27" i="36"/>
  <c r="C14" i="239" s="1"/>
  <c r="Y27" i="36"/>
  <c r="G14" i="239" s="1"/>
  <c r="AO27" i="36"/>
  <c r="K14" i="239" s="1"/>
  <c r="M28" i="36"/>
  <c r="D15" i="239" s="1"/>
  <c r="AC28" i="36"/>
  <c r="H15" i="239" s="1"/>
  <c r="AS28" i="36"/>
  <c r="L15" i="239" s="1"/>
  <c r="Q29" i="36"/>
  <c r="E16" i="239" s="1"/>
  <c r="AG29" i="36"/>
  <c r="I16" i="239" s="1"/>
  <c r="E30" i="36"/>
  <c r="B17" i="239" s="1"/>
  <c r="U30" i="36"/>
  <c r="F17" i="239" s="1"/>
  <c r="AK30" i="36"/>
  <c r="J17" i="239" s="1"/>
  <c r="I31" i="36"/>
  <c r="C18" i="239" s="1"/>
  <c r="Y31" i="36"/>
  <c r="G18" i="239" s="1"/>
  <c r="AO31" i="36"/>
  <c r="K18" i="239" s="1"/>
  <c r="M32" i="36"/>
  <c r="D19" i="239" s="1"/>
  <c r="AC32" i="36"/>
  <c r="H19" i="239" s="1"/>
  <c r="AS32" i="36"/>
  <c r="L19" i="239" s="1"/>
  <c r="Q33" i="36"/>
  <c r="E20" i="239" s="1"/>
  <c r="AG33" i="36"/>
  <c r="I20" i="239" s="1"/>
  <c r="E34" i="36"/>
  <c r="B21" i="239" s="1"/>
  <c r="U34" i="36"/>
  <c r="F21" i="239" s="1"/>
  <c r="AK34" i="36"/>
  <c r="J21" i="239" s="1"/>
  <c r="I35" i="36"/>
  <c r="C22" i="239" s="1"/>
  <c r="Y35" i="36"/>
  <c r="G22" i="239" s="1"/>
  <c r="AO35" i="36"/>
  <c r="K22" i="239" s="1"/>
  <c r="M36" i="36"/>
  <c r="D23" i="239" s="1"/>
  <c r="AC36" i="36"/>
  <c r="H23" i="239" s="1"/>
  <c r="AS36" i="36"/>
  <c r="L23" i="239" s="1"/>
  <c r="Q37" i="36"/>
  <c r="E24" i="239" s="1"/>
  <c r="AG37" i="36"/>
  <c r="I24" i="239" s="1"/>
  <c r="E38" i="36"/>
  <c r="B25" i="239" s="1"/>
  <c r="U38" i="36"/>
  <c r="F25" i="239" s="1"/>
  <c r="AK38" i="36"/>
  <c r="J25" i="239" s="1"/>
  <c r="I39" i="36"/>
  <c r="C26" i="239" s="1"/>
  <c r="Y39" i="36"/>
  <c r="G26" i="239" s="1"/>
  <c r="AO39" i="36"/>
  <c r="K26" i="239" s="1"/>
  <c r="M40" i="36"/>
  <c r="D27" i="239" s="1"/>
  <c r="AC40" i="36"/>
  <c r="H27" i="239" s="1"/>
  <c r="AS40" i="36"/>
  <c r="L27" i="239" s="1"/>
  <c r="Q41" i="36"/>
  <c r="E28" i="239" s="1"/>
  <c r="AG41" i="36"/>
  <c r="I28" i="239" s="1"/>
  <c r="E42" i="36"/>
  <c r="B29" i="239" s="1"/>
  <c r="U42" i="36"/>
  <c r="F29" i="239" s="1"/>
  <c r="AK42" i="36"/>
  <c r="J29" i="239" s="1"/>
  <c r="I43" i="36"/>
  <c r="C30" i="239" s="1"/>
  <c r="Y43" i="36"/>
  <c r="G30" i="239" s="1"/>
  <c r="AO43" i="36"/>
  <c r="K30" i="239" s="1"/>
  <c r="M44" i="36"/>
  <c r="D31" i="239" s="1"/>
  <c r="AC44" i="36"/>
  <c r="H31" i="239" s="1"/>
  <c r="AS44" i="36"/>
  <c r="L31" i="239" s="1"/>
  <c r="Q45" i="36"/>
  <c r="E32" i="239" s="1"/>
  <c r="AG45" i="36"/>
  <c r="I32" i="239" s="1"/>
  <c r="E46" i="36"/>
  <c r="B33" i="239" s="1"/>
  <c r="U46" i="36"/>
  <c r="F33" i="239" s="1"/>
  <c r="AK46" i="36"/>
  <c r="J33" i="239" s="1"/>
  <c r="E47" i="36"/>
  <c r="I47"/>
  <c r="M47"/>
  <c r="Q47"/>
  <c r="U47"/>
  <c r="Y47"/>
  <c r="AC47"/>
  <c r="AG47"/>
  <c r="AK47"/>
  <c r="AO47"/>
  <c r="C48" i="35"/>
  <c r="B22" i="179" s="1"/>
  <c r="D48" i="35"/>
  <c r="B22" i="177" s="1"/>
  <c r="W48" i="35"/>
  <c r="F22" i="179" s="1"/>
  <c r="X48" i="35"/>
  <c r="F22" i="177" s="1"/>
  <c r="AQ48" i="35"/>
  <c r="J22" i="179" s="1"/>
  <c r="AR48" i="35"/>
  <c r="CP45" i="34"/>
  <c r="CP46" s="1"/>
  <c r="CP47" s="1"/>
  <c r="CP49" s="1"/>
  <c r="FA12"/>
  <c r="FA11" s="1"/>
  <c r="FA10" s="1"/>
  <c r="FA9" s="1"/>
  <c r="FA8" s="1"/>
  <c r="EZ12"/>
  <c r="ET12"/>
  <c r="ES12"/>
  <c r="EU12" s="1"/>
  <c r="ET11"/>
  <c r="ET10" s="1"/>
  <c r="ET9" s="1"/>
  <c r="ET8" s="1"/>
  <c r="ES11"/>
  <c r="EM12"/>
  <c r="EM11" s="1"/>
  <c r="EM10" s="1"/>
  <c r="EM9" s="1"/>
  <c r="EM8" s="1"/>
  <c r="EL12"/>
  <c r="EF12"/>
  <c r="EE12"/>
  <c r="EG12" s="1"/>
  <c r="EF11"/>
  <c r="EF10" s="1"/>
  <c r="EF9" s="1"/>
  <c r="EF8" s="1"/>
  <c r="EE11"/>
  <c r="DY12"/>
  <c r="DY11" s="1"/>
  <c r="DY10" s="1"/>
  <c r="DY9" s="1"/>
  <c r="DY8" s="1"/>
  <c r="DX12"/>
  <c r="DR12"/>
  <c r="DQ12"/>
  <c r="DS12" s="1"/>
  <c r="DR11"/>
  <c r="DR10" s="1"/>
  <c r="DR9" s="1"/>
  <c r="DR8" s="1"/>
  <c r="DQ11"/>
  <c r="DK12"/>
  <c r="DK11" s="1"/>
  <c r="DK10" s="1"/>
  <c r="DK9" s="1"/>
  <c r="DK8" s="1"/>
  <c r="DJ12"/>
  <c r="DD12"/>
  <c r="DC12"/>
  <c r="DE12" s="1"/>
  <c r="DD11"/>
  <c r="DD10" s="1"/>
  <c r="DD9" s="1"/>
  <c r="DD8" s="1"/>
  <c r="DC11"/>
  <c r="CI12"/>
  <c r="CI11" s="1"/>
  <c r="CI10" s="1"/>
  <c r="CI9" s="1"/>
  <c r="CI8" s="1"/>
  <c r="CH12"/>
  <c r="CH11" s="1"/>
  <c r="CJ13"/>
  <c r="CJ14"/>
  <c r="CJ15"/>
  <c r="CJ16"/>
  <c r="CJ17"/>
  <c r="CJ18"/>
  <c r="CJ19"/>
  <c r="CJ20"/>
  <c r="CX14"/>
  <c r="CX16"/>
  <c r="CX18"/>
  <c r="CX19"/>
  <c r="CX20"/>
  <c r="CX21"/>
  <c r="DE13"/>
  <c r="DE14"/>
  <c r="DE15"/>
  <c r="DE16"/>
  <c r="DE17"/>
  <c r="DE18"/>
  <c r="DE19"/>
  <c r="DE20"/>
  <c r="DE21"/>
  <c r="DL13"/>
  <c r="DL14"/>
  <c r="DL15"/>
  <c r="DL16"/>
  <c r="DL17"/>
  <c r="DL18"/>
  <c r="DL19"/>
  <c r="DL20"/>
  <c r="DS13"/>
  <c r="DS14"/>
  <c r="DS15"/>
  <c r="DS16"/>
  <c r="DS17"/>
  <c r="DS18"/>
  <c r="DS19"/>
  <c r="DS20"/>
  <c r="DZ13"/>
  <c r="DZ14"/>
  <c r="DZ15"/>
  <c r="DZ16"/>
  <c r="DZ17"/>
  <c r="DZ18"/>
  <c r="DZ19"/>
  <c r="DZ20"/>
  <c r="DZ21"/>
  <c r="EG13"/>
  <c r="EG14"/>
  <c r="EG15"/>
  <c r="EG16"/>
  <c r="EG17"/>
  <c r="EG18"/>
  <c r="EG19"/>
  <c r="EG20"/>
  <c r="EU13"/>
  <c r="EU14"/>
  <c r="EU15"/>
  <c r="EU16"/>
  <c r="EU17"/>
  <c r="EU18"/>
  <c r="EU19"/>
  <c r="EU20"/>
  <c r="EU21"/>
  <c r="FB13"/>
  <c r="FB14"/>
  <c r="FB15"/>
  <c r="FB16"/>
  <c r="FB17"/>
  <c r="FB18"/>
  <c r="FB19"/>
  <c r="FB20"/>
  <c r="FB21"/>
  <c r="FB22"/>
  <c r="FB23"/>
  <c r="EN13"/>
  <c r="EN14"/>
  <c r="EN16"/>
  <c r="EN17"/>
  <c r="EN18"/>
  <c r="EN19"/>
  <c r="EN20"/>
  <c r="EN21"/>
  <c r="EN22"/>
  <c r="EN23"/>
  <c r="EN24"/>
  <c r="EN25"/>
  <c r="EN26"/>
  <c r="EN27"/>
  <c r="EN28"/>
  <c r="EN29"/>
  <c r="EN30"/>
  <c r="EM15"/>
  <c r="EN15" s="1"/>
  <c r="CW26"/>
  <c r="CW22"/>
  <c r="CW17"/>
  <c r="CX17" s="1"/>
  <c r="CW15"/>
  <c r="CX15" s="1"/>
  <c r="CP17"/>
  <c r="CQ17" s="1"/>
  <c r="CQ13"/>
  <c r="CQ14"/>
  <c r="CQ15"/>
  <c r="CQ16"/>
  <c r="CQ18"/>
  <c r="CQ19"/>
  <c r="CQ20"/>
  <c r="CP12"/>
  <c r="CP11" s="1"/>
  <c r="CP10" s="1"/>
  <c r="CP9" s="1"/>
  <c r="CP8" s="1"/>
  <c r="CO12"/>
  <c r="CQ12" s="1"/>
  <c r="CW13"/>
  <c r="CW12" s="1"/>
  <c r="CW11" s="1"/>
  <c r="CW10" s="1"/>
  <c r="CW9" s="1"/>
  <c r="CW8" s="1"/>
  <c r="CV13"/>
  <c r="CV12" s="1"/>
  <c r="BY47"/>
  <c r="L34" i="235" s="1"/>
  <c r="BX47" i="34"/>
  <c r="L34" i="234" s="1"/>
  <c r="BR47" i="34"/>
  <c r="K34" i="235" s="1"/>
  <c r="BQ47" i="34"/>
  <c r="K34" i="234" s="1"/>
  <c r="BK47" i="34"/>
  <c r="J34" i="235" s="1"/>
  <c r="BJ47" i="34"/>
  <c r="J34" i="234" s="1"/>
  <c r="BD47" i="34"/>
  <c r="I34" i="235" s="1"/>
  <c r="BC47" i="34"/>
  <c r="I34" i="234" s="1"/>
  <c r="AW47" i="34"/>
  <c r="H34" i="235" s="1"/>
  <c r="AV47" i="34"/>
  <c r="H34" i="234" s="1"/>
  <c r="AP47" i="34"/>
  <c r="G34" i="235" s="1"/>
  <c r="AO47" i="34"/>
  <c r="G34" i="234" s="1"/>
  <c r="AI47" i="34"/>
  <c r="F34" i="235" s="1"/>
  <c r="AH47" i="34"/>
  <c r="F34" i="234" s="1"/>
  <c r="AB47" i="34"/>
  <c r="E34" i="235" s="1"/>
  <c r="AA47" i="34"/>
  <c r="E34" i="234" s="1"/>
  <c r="U47" i="34"/>
  <c r="D34" i="235" s="1"/>
  <c r="T47" i="34"/>
  <c r="D34" i="234" s="1"/>
  <c r="N47" i="34"/>
  <c r="C34" i="235" s="1"/>
  <c r="M47" i="34"/>
  <c r="C34" i="234" s="1"/>
  <c r="F47" i="34"/>
  <c r="B34" i="234" s="1"/>
  <c r="G47" i="34"/>
  <c r="CE13"/>
  <c r="CG13" s="1"/>
  <c r="CE14"/>
  <c r="CE15"/>
  <c r="CE16"/>
  <c r="CE17"/>
  <c r="CG17" s="1"/>
  <c r="CE18"/>
  <c r="CE19"/>
  <c r="CE20"/>
  <c r="CE21"/>
  <c r="CG21" s="1"/>
  <c r="CE22"/>
  <c r="CG22" s="1"/>
  <c r="CE23"/>
  <c r="CE24"/>
  <c r="CE25"/>
  <c r="CG25" s="1"/>
  <c r="CE26"/>
  <c r="CE27"/>
  <c r="CE28"/>
  <c r="CE29"/>
  <c r="CG29" s="1"/>
  <c r="CE30"/>
  <c r="CE31"/>
  <c r="CE32"/>
  <c r="CE33"/>
  <c r="CE34"/>
  <c r="CG34" s="1"/>
  <c r="CE35"/>
  <c r="CE36"/>
  <c r="CE37"/>
  <c r="CE38"/>
  <c r="CG38" s="1"/>
  <c r="CE39"/>
  <c r="CE40"/>
  <c r="CE41"/>
  <c r="CE42"/>
  <c r="CG42" s="1"/>
  <c r="CE43"/>
  <c r="CE44"/>
  <c r="CD45"/>
  <c r="CD46" s="1"/>
  <c r="CE46" s="1"/>
  <c r="BY12"/>
  <c r="BY11" s="1"/>
  <c r="BY10" s="1"/>
  <c r="BY9" s="1"/>
  <c r="BY8" s="1"/>
  <c r="BX12"/>
  <c r="BX11" s="1"/>
  <c r="BX10" s="1"/>
  <c r="BX9" s="1"/>
  <c r="BX8" s="1"/>
  <c r="BR12"/>
  <c r="BQ12"/>
  <c r="BR11"/>
  <c r="BR10" s="1"/>
  <c r="BR9" s="1"/>
  <c r="BR8" s="1"/>
  <c r="BQ11"/>
  <c r="BQ10" s="1"/>
  <c r="BQ9" s="1"/>
  <c r="BQ8" s="1"/>
  <c r="BK12"/>
  <c r="BK11" s="1"/>
  <c r="BK10" s="1"/>
  <c r="BK9" s="1"/>
  <c r="BK8" s="1"/>
  <c r="BJ12"/>
  <c r="BJ11" s="1"/>
  <c r="BJ10" s="1"/>
  <c r="BJ9" s="1"/>
  <c r="BJ8" s="1"/>
  <c r="BD12"/>
  <c r="BC12"/>
  <c r="BD11"/>
  <c r="BD10" s="1"/>
  <c r="BD9" s="1"/>
  <c r="BD8" s="1"/>
  <c r="BC11"/>
  <c r="BC10" s="1"/>
  <c r="BC9" s="1"/>
  <c r="BC8" s="1"/>
  <c r="AW12"/>
  <c r="AW11" s="1"/>
  <c r="AW10" s="1"/>
  <c r="AW9" s="1"/>
  <c r="AW8" s="1"/>
  <c r="AV12"/>
  <c r="AV11" s="1"/>
  <c r="AV10" s="1"/>
  <c r="AV9" s="1"/>
  <c r="AV8" s="1"/>
  <c r="AP12"/>
  <c r="AO12"/>
  <c r="AP11"/>
  <c r="AP10" s="1"/>
  <c r="AP9" s="1"/>
  <c r="AP8" s="1"/>
  <c r="AO11"/>
  <c r="AO10" s="1"/>
  <c r="AO9" s="1"/>
  <c r="AO8" s="1"/>
  <c r="AI12"/>
  <c r="AI11" s="1"/>
  <c r="AI10" s="1"/>
  <c r="AI9" s="1"/>
  <c r="AI8" s="1"/>
  <c r="AH12"/>
  <c r="AH11" s="1"/>
  <c r="AH10" s="1"/>
  <c r="AH9" s="1"/>
  <c r="AH8" s="1"/>
  <c r="AB12"/>
  <c r="AA12"/>
  <c r="AB11"/>
  <c r="AB10" s="1"/>
  <c r="AB9" s="1"/>
  <c r="AB8" s="1"/>
  <c r="AA11"/>
  <c r="AA10" s="1"/>
  <c r="AA9" s="1"/>
  <c r="AA8" s="1"/>
  <c r="U13"/>
  <c r="U12" s="1"/>
  <c r="U11" s="1"/>
  <c r="U10" s="1"/>
  <c r="U9" s="1"/>
  <c r="U8" s="1"/>
  <c r="T13"/>
  <c r="T12" s="1"/>
  <c r="T11" s="1"/>
  <c r="T10" s="1"/>
  <c r="T9" s="1"/>
  <c r="T8" s="1"/>
  <c r="N12"/>
  <c r="N11" s="1"/>
  <c r="N10" s="1"/>
  <c r="N9" s="1"/>
  <c r="N8" s="1"/>
  <c r="M12"/>
  <c r="M11" s="1"/>
  <c r="M10" s="1"/>
  <c r="M9" s="1"/>
  <c r="M8" s="1"/>
  <c r="G12"/>
  <c r="F12"/>
  <c r="F11" s="1"/>
  <c r="F10" s="1"/>
  <c r="F9" s="1"/>
  <c r="F8" s="1"/>
  <c r="BZ13"/>
  <c r="BZ14"/>
  <c r="BZ15"/>
  <c r="BZ16"/>
  <c r="BZ17"/>
  <c r="BS13"/>
  <c r="BS14"/>
  <c r="BS15"/>
  <c r="BS16"/>
  <c r="BS17"/>
  <c r="BL13"/>
  <c r="BL14"/>
  <c r="BL16"/>
  <c r="BL17"/>
  <c r="BE13"/>
  <c r="BE14"/>
  <c r="BE15"/>
  <c r="BE16"/>
  <c r="BE17"/>
  <c r="AX13"/>
  <c r="AX14"/>
  <c r="AX15"/>
  <c r="AX16"/>
  <c r="AX17"/>
  <c r="AQ13"/>
  <c r="AQ14"/>
  <c r="AQ15"/>
  <c r="AQ16"/>
  <c r="AQ17"/>
  <c r="V14"/>
  <c r="V16"/>
  <c r="O13"/>
  <c r="O14"/>
  <c r="O15"/>
  <c r="O16"/>
  <c r="H13"/>
  <c r="H14"/>
  <c r="H15"/>
  <c r="H16"/>
  <c r="H17"/>
  <c r="AJ13"/>
  <c r="AJ14"/>
  <c r="AJ15"/>
  <c r="AJ16"/>
  <c r="AJ17"/>
  <c r="AC13"/>
  <c r="AC14"/>
  <c r="AC15"/>
  <c r="AC16"/>
  <c r="AC17"/>
  <c r="EV45"/>
  <c r="EV46" s="1"/>
  <c r="EO45"/>
  <c r="EO46" s="1"/>
  <c r="EH45"/>
  <c r="EH46" s="1"/>
  <c r="EA45"/>
  <c r="EA46" s="1"/>
  <c r="DT45"/>
  <c r="DT46" s="1"/>
  <c r="DM45"/>
  <c r="DM46" s="1"/>
  <c r="DF45"/>
  <c r="DF46" s="1"/>
  <c r="CY45"/>
  <c r="CY46" s="1"/>
  <c r="CR45"/>
  <c r="CR46" s="1"/>
  <c r="CK45"/>
  <c r="CK46" s="1"/>
  <c r="FA47"/>
  <c r="FA49" s="1"/>
  <c r="EW44"/>
  <c r="ET47"/>
  <c r="ET49" s="1"/>
  <c r="EP44"/>
  <c r="EM47"/>
  <c r="EM49" s="1"/>
  <c r="EI44"/>
  <c r="EF47"/>
  <c r="EF49" s="1"/>
  <c r="EB44"/>
  <c r="DY47"/>
  <c r="DY49" s="1"/>
  <c r="DU44"/>
  <c r="DR47"/>
  <c r="DR49" s="1"/>
  <c r="DN44"/>
  <c r="DK47"/>
  <c r="DK49" s="1"/>
  <c r="DG44"/>
  <c r="DD47"/>
  <c r="DD49" s="1"/>
  <c r="CZ44"/>
  <c r="CW47"/>
  <c r="CW49" s="1"/>
  <c r="CS44"/>
  <c r="CL44"/>
  <c r="CI47"/>
  <c r="CI49" s="1"/>
  <c r="FB43"/>
  <c r="EX43"/>
  <c r="EX44" s="1"/>
  <c r="EW43"/>
  <c r="EU43"/>
  <c r="EQ43"/>
  <c r="EQ44" s="1"/>
  <c r="EP43"/>
  <c r="EN43"/>
  <c r="EJ43"/>
  <c r="EJ44" s="1"/>
  <c r="EI43"/>
  <c r="EG43"/>
  <c r="EC43"/>
  <c r="EC44" s="1"/>
  <c r="EB43"/>
  <c r="DZ43"/>
  <c r="DV43"/>
  <c r="DV44" s="1"/>
  <c r="DU43"/>
  <c r="DS43"/>
  <c r="DO43"/>
  <c r="DO44" s="1"/>
  <c r="DN43"/>
  <c r="DL43"/>
  <c r="DH43"/>
  <c r="DH44" s="1"/>
  <c r="DG43"/>
  <c r="DE43"/>
  <c r="DA43"/>
  <c r="DA44" s="1"/>
  <c r="CZ43"/>
  <c r="CX43"/>
  <c r="CT43"/>
  <c r="CT44" s="1"/>
  <c r="CS43"/>
  <c r="CQ43"/>
  <c r="CM43"/>
  <c r="CM44" s="1"/>
  <c r="CL43"/>
  <c r="CJ43"/>
  <c r="CF43"/>
  <c r="CF44" s="1"/>
  <c r="FB42"/>
  <c r="EW42"/>
  <c r="EY42" s="1"/>
  <c r="EU42"/>
  <c r="EP42"/>
  <c r="ER42" s="1"/>
  <c r="EN42"/>
  <c r="EI42"/>
  <c r="EK42" s="1"/>
  <c r="EG42"/>
  <c r="EB42"/>
  <c r="ED42" s="1"/>
  <c r="DZ42"/>
  <c r="DU42"/>
  <c r="DW42" s="1"/>
  <c r="DS42"/>
  <c r="DN42"/>
  <c r="DP42" s="1"/>
  <c r="DL42"/>
  <c r="DG42"/>
  <c r="DI42" s="1"/>
  <c r="DE42"/>
  <c r="CZ42"/>
  <c r="DB42" s="1"/>
  <c r="CX42"/>
  <c r="CS42"/>
  <c r="CU42" s="1"/>
  <c r="CQ42"/>
  <c r="CL42"/>
  <c r="CN42" s="1"/>
  <c r="CJ42"/>
  <c r="FB41"/>
  <c r="EW41"/>
  <c r="EY41" s="1"/>
  <c r="EU41"/>
  <c r="EP41"/>
  <c r="ER41" s="1"/>
  <c r="EN41"/>
  <c r="EI41"/>
  <c r="EK41" s="1"/>
  <c r="EG41"/>
  <c r="EB41"/>
  <c r="ED41" s="1"/>
  <c r="DZ41"/>
  <c r="DU41"/>
  <c r="DW41" s="1"/>
  <c r="DS41"/>
  <c r="DN41"/>
  <c r="DP41" s="1"/>
  <c r="DL41"/>
  <c r="DG41"/>
  <c r="DI41" s="1"/>
  <c r="DE41"/>
  <c r="CZ41"/>
  <c r="DB41" s="1"/>
  <c r="CX41"/>
  <c r="CS41"/>
  <c r="CU41" s="1"/>
  <c r="CQ41"/>
  <c r="CL41"/>
  <c r="CN41" s="1"/>
  <c r="CJ41"/>
  <c r="CG41"/>
  <c r="FB40"/>
  <c r="EW40"/>
  <c r="EY40" s="1"/>
  <c r="EU40"/>
  <c r="EP40"/>
  <c r="ER40" s="1"/>
  <c r="EN40"/>
  <c r="EI40"/>
  <c r="EK40" s="1"/>
  <c r="EG40"/>
  <c r="EB40"/>
  <c r="ED40" s="1"/>
  <c r="DZ40"/>
  <c r="DU40"/>
  <c r="DW40" s="1"/>
  <c r="DS40"/>
  <c r="DN40"/>
  <c r="DP40" s="1"/>
  <c r="DL40"/>
  <c r="DG40"/>
  <c r="DI40" s="1"/>
  <c r="DE40"/>
  <c r="CZ40"/>
  <c r="DB40" s="1"/>
  <c r="CX40"/>
  <c r="CS40"/>
  <c r="CU40" s="1"/>
  <c r="CQ40"/>
  <c r="CL40"/>
  <c r="CN40" s="1"/>
  <c r="CJ40"/>
  <c r="CG40"/>
  <c r="FB39"/>
  <c r="EW39"/>
  <c r="EY39" s="1"/>
  <c r="EU39"/>
  <c r="EP39"/>
  <c r="ER39" s="1"/>
  <c r="EN39"/>
  <c r="EI39"/>
  <c r="EK39" s="1"/>
  <c r="EG39"/>
  <c r="EB39"/>
  <c r="ED39" s="1"/>
  <c r="DZ39"/>
  <c r="DU39"/>
  <c r="DW39" s="1"/>
  <c r="DS39"/>
  <c r="DN39"/>
  <c r="DP39" s="1"/>
  <c r="DL39"/>
  <c r="DG39"/>
  <c r="DI39" s="1"/>
  <c r="DE39"/>
  <c r="CZ39"/>
  <c r="DB39" s="1"/>
  <c r="CX39"/>
  <c r="CS39"/>
  <c r="CU39" s="1"/>
  <c r="CQ39"/>
  <c r="CL39"/>
  <c r="CN39" s="1"/>
  <c r="CJ39"/>
  <c r="CG39"/>
  <c r="FB38"/>
  <c r="EW38"/>
  <c r="EY38" s="1"/>
  <c r="EU38"/>
  <c r="EP38"/>
  <c r="ER38" s="1"/>
  <c r="EN38"/>
  <c r="EI38"/>
  <c r="EK38" s="1"/>
  <c r="EG38"/>
  <c r="EB38"/>
  <c r="ED38" s="1"/>
  <c r="DZ38"/>
  <c r="DU38"/>
  <c r="DW38" s="1"/>
  <c r="DS38"/>
  <c r="DN38"/>
  <c r="DP38" s="1"/>
  <c r="DL38"/>
  <c r="DG38"/>
  <c r="DI38" s="1"/>
  <c r="DE38"/>
  <c r="CZ38"/>
  <c r="DB38" s="1"/>
  <c r="CX38"/>
  <c r="CS38"/>
  <c r="CU38" s="1"/>
  <c r="CQ38"/>
  <c r="CL38"/>
  <c r="CN38" s="1"/>
  <c r="CJ38"/>
  <c r="FB37"/>
  <c r="EW37"/>
  <c r="EY37" s="1"/>
  <c r="EU37"/>
  <c r="EP37"/>
  <c r="ER37" s="1"/>
  <c r="EN37"/>
  <c r="EI37"/>
  <c r="EK37" s="1"/>
  <c r="EG37"/>
  <c r="EB37"/>
  <c r="ED37" s="1"/>
  <c r="DZ37"/>
  <c r="DU37"/>
  <c r="DW37" s="1"/>
  <c r="DS37"/>
  <c r="DN37"/>
  <c r="DP37" s="1"/>
  <c r="DL37"/>
  <c r="DG37"/>
  <c r="DI37" s="1"/>
  <c r="DE37"/>
  <c r="CZ37"/>
  <c r="DB37" s="1"/>
  <c r="CX37"/>
  <c r="CS37"/>
  <c r="CU37" s="1"/>
  <c r="CQ37"/>
  <c r="CL37"/>
  <c r="CN37" s="1"/>
  <c r="CJ37"/>
  <c r="CG37"/>
  <c r="FB36"/>
  <c r="EW36"/>
  <c r="EY36" s="1"/>
  <c r="EU36"/>
  <c r="EP36"/>
  <c r="ER36" s="1"/>
  <c r="EN36"/>
  <c r="EI36"/>
  <c r="EK36" s="1"/>
  <c r="EG36"/>
  <c r="EB36"/>
  <c r="ED36" s="1"/>
  <c r="DZ36"/>
  <c r="DU36"/>
  <c r="DW36" s="1"/>
  <c r="DS36"/>
  <c r="DN36"/>
  <c r="DP36" s="1"/>
  <c r="DL36"/>
  <c r="DG36"/>
  <c r="DI36" s="1"/>
  <c r="DE36"/>
  <c r="CZ36"/>
  <c r="DB36" s="1"/>
  <c r="CX36"/>
  <c r="CS36"/>
  <c r="CU36" s="1"/>
  <c r="CQ36"/>
  <c r="CL36"/>
  <c r="CN36" s="1"/>
  <c r="CJ36"/>
  <c r="CG36"/>
  <c r="FB35"/>
  <c r="EW35"/>
  <c r="EY35" s="1"/>
  <c r="EU35"/>
  <c r="EP35"/>
  <c r="ER35" s="1"/>
  <c r="EN35"/>
  <c r="EI35"/>
  <c r="EK35" s="1"/>
  <c r="EG35"/>
  <c r="EB35"/>
  <c r="ED35" s="1"/>
  <c r="DZ35"/>
  <c r="DU35"/>
  <c r="DW35" s="1"/>
  <c r="DS35"/>
  <c r="DN35"/>
  <c r="DP35" s="1"/>
  <c r="DL35"/>
  <c r="DG35"/>
  <c r="DI35" s="1"/>
  <c r="DE35"/>
  <c r="CZ35"/>
  <c r="DB35" s="1"/>
  <c r="CX35"/>
  <c r="CS35"/>
  <c r="CU35" s="1"/>
  <c r="CQ35"/>
  <c r="CL35"/>
  <c r="CN35" s="1"/>
  <c r="CJ35"/>
  <c r="CG35"/>
  <c r="FB34"/>
  <c r="EW34"/>
  <c r="EY34" s="1"/>
  <c r="EU34"/>
  <c r="EP34"/>
  <c r="ER34" s="1"/>
  <c r="EN34"/>
  <c r="EI34"/>
  <c r="EK34" s="1"/>
  <c r="EG34"/>
  <c r="EB34"/>
  <c r="ED34" s="1"/>
  <c r="DZ34"/>
  <c r="DU34"/>
  <c r="DW34" s="1"/>
  <c r="DS34"/>
  <c r="DN34"/>
  <c r="DP34" s="1"/>
  <c r="DL34"/>
  <c r="DG34"/>
  <c r="DI34" s="1"/>
  <c r="DE34"/>
  <c r="CZ34"/>
  <c r="DB34" s="1"/>
  <c r="CX34"/>
  <c r="CS34"/>
  <c r="CU34" s="1"/>
  <c r="CQ34"/>
  <c r="CL34"/>
  <c r="CN34" s="1"/>
  <c r="CJ34"/>
  <c r="FB33"/>
  <c r="EW33"/>
  <c r="EY33" s="1"/>
  <c r="EU33"/>
  <c r="EP33"/>
  <c r="ER33" s="1"/>
  <c r="EN33"/>
  <c r="EI33"/>
  <c r="EK33" s="1"/>
  <c r="EG33"/>
  <c r="EB33"/>
  <c r="ED33" s="1"/>
  <c r="DZ33"/>
  <c r="DU33"/>
  <c r="DW33" s="1"/>
  <c r="DS33"/>
  <c r="DN33"/>
  <c r="DP33" s="1"/>
  <c r="DL33"/>
  <c r="DG33"/>
  <c r="DI33" s="1"/>
  <c r="DE33"/>
  <c r="CZ33"/>
  <c r="DB33" s="1"/>
  <c r="CX33"/>
  <c r="CS33"/>
  <c r="CU33" s="1"/>
  <c r="CQ33"/>
  <c r="CL33"/>
  <c r="CN33" s="1"/>
  <c r="CJ33"/>
  <c r="CG33"/>
  <c r="FB32"/>
  <c r="EW32"/>
  <c r="EY32" s="1"/>
  <c r="EU32"/>
  <c r="EP32"/>
  <c r="ER32" s="1"/>
  <c r="EN32"/>
  <c r="EI32"/>
  <c r="EK32" s="1"/>
  <c r="EG32"/>
  <c r="EB32"/>
  <c r="ED32" s="1"/>
  <c r="DZ32"/>
  <c r="DU32"/>
  <c r="DW32" s="1"/>
  <c r="DS32"/>
  <c r="DN32"/>
  <c r="DP32" s="1"/>
  <c r="DL32"/>
  <c r="DG32"/>
  <c r="DI32" s="1"/>
  <c r="DE32"/>
  <c r="CZ32"/>
  <c r="DB32" s="1"/>
  <c r="CX32"/>
  <c r="CS32"/>
  <c r="CU32" s="1"/>
  <c r="CQ32"/>
  <c r="CL32"/>
  <c r="CN32" s="1"/>
  <c r="CJ32"/>
  <c r="CG32"/>
  <c r="FB31"/>
  <c r="EW31"/>
  <c r="EY31" s="1"/>
  <c r="EU31"/>
  <c r="EP31"/>
  <c r="ER31" s="1"/>
  <c r="EN31"/>
  <c r="EI31"/>
  <c r="EK31" s="1"/>
  <c r="EG31"/>
  <c r="EB31"/>
  <c r="ED31" s="1"/>
  <c r="DZ31"/>
  <c r="DU31"/>
  <c r="DW31" s="1"/>
  <c r="DS31"/>
  <c r="DN31"/>
  <c r="DP31" s="1"/>
  <c r="DL31"/>
  <c r="DG31"/>
  <c r="DI31" s="1"/>
  <c r="DE31"/>
  <c r="CZ31"/>
  <c r="DB31" s="1"/>
  <c r="CX31"/>
  <c r="CS31"/>
  <c r="CU31" s="1"/>
  <c r="CQ31"/>
  <c r="CL31"/>
  <c r="CN31" s="1"/>
  <c r="CJ31"/>
  <c r="CG31"/>
  <c r="FB30"/>
  <c r="EW30"/>
  <c r="EY30" s="1"/>
  <c r="EU30"/>
  <c r="EP30"/>
  <c r="ER30" s="1"/>
  <c r="EI30"/>
  <c r="EK30" s="1"/>
  <c r="EG30"/>
  <c r="EB30"/>
  <c r="ED30" s="1"/>
  <c r="DZ30"/>
  <c r="DU30"/>
  <c r="DW30" s="1"/>
  <c r="DS30"/>
  <c r="DN30"/>
  <c r="DP30" s="1"/>
  <c r="DL30"/>
  <c r="DG30"/>
  <c r="DI30" s="1"/>
  <c r="DE30"/>
  <c r="CZ30"/>
  <c r="DB30" s="1"/>
  <c r="CX30"/>
  <c r="CS30"/>
  <c r="CU30" s="1"/>
  <c r="CQ30"/>
  <c r="CL30"/>
  <c r="CN30" s="1"/>
  <c r="CJ30"/>
  <c r="CG30"/>
  <c r="FB29"/>
  <c r="EW29"/>
  <c r="EY29" s="1"/>
  <c r="EU29"/>
  <c r="EP29"/>
  <c r="ER29" s="1"/>
  <c r="EI29"/>
  <c r="EK29" s="1"/>
  <c r="EG29"/>
  <c r="EB29"/>
  <c r="ED29" s="1"/>
  <c r="DZ29"/>
  <c r="DU29"/>
  <c r="DW29" s="1"/>
  <c r="DS29"/>
  <c r="DN29"/>
  <c r="DP29" s="1"/>
  <c r="DL29"/>
  <c r="DG29"/>
  <c r="DI29" s="1"/>
  <c r="DE29"/>
  <c r="CZ29"/>
  <c r="DB29" s="1"/>
  <c r="CX29"/>
  <c r="CS29"/>
  <c r="CU29" s="1"/>
  <c r="CQ29"/>
  <c r="CL29"/>
  <c r="CN29" s="1"/>
  <c r="CJ29"/>
  <c r="FB28"/>
  <c r="EW28"/>
  <c r="EY28" s="1"/>
  <c r="EU28"/>
  <c r="EP28"/>
  <c r="ER28" s="1"/>
  <c r="EI28"/>
  <c r="EK28" s="1"/>
  <c r="EG28"/>
  <c r="EB28"/>
  <c r="ED28" s="1"/>
  <c r="DZ28"/>
  <c r="DU28"/>
  <c r="DW28" s="1"/>
  <c r="DS28"/>
  <c r="DN28"/>
  <c r="DP28" s="1"/>
  <c r="DL28"/>
  <c r="DG28"/>
  <c r="DI28" s="1"/>
  <c r="DE28"/>
  <c r="CZ28"/>
  <c r="DB28" s="1"/>
  <c r="CX28"/>
  <c r="CS28"/>
  <c r="CU28" s="1"/>
  <c r="CQ28"/>
  <c r="CL28"/>
  <c r="CN28" s="1"/>
  <c r="CJ28"/>
  <c r="CG28"/>
  <c r="FB27"/>
  <c r="EW27"/>
  <c r="EY27" s="1"/>
  <c r="EU27"/>
  <c r="EP27"/>
  <c r="ER27" s="1"/>
  <c r="EI27"/>
  <c r="EK27" s="1"/>
  <c r="EG27"/>
  <c r="EB27"/>
  <c r="ED27" s="1"/>
  <c r="DZ27"/>
  <c r="DU27"/>
  <c r="DW27" s="1"/>
  <c r="DS27"/>
  <c r="DN27"/>
  <c r="DP27" s="1"/>
  <c r="DL27"/>
  <c r="DG27"/>
  <c r="DI27" s="1"/>
  <c r="DE27"/>
  <c r="CZ27"/>
  <c r="DB27" s="1"/>
  <c r="CX27"/>
  <c r="CS27"/>
  <c r="CU27" s="1"/>
  <c r="CQ27"/>
  <c r="CL27"/>
  <c r="CN27" s="1"/>
  <c r="CJ27"/>
  <c r="CG27"/>
  <c r="FB26"/>
  <c r="EW26"/>
  <c r="EY26" s="1"/>
  <c r="EU26"/>
  <c r="EP26"/>
  <c r="ER26" s="1"/>
  <c r="EI26"/>
  <c r="EK26" s="1"/>
  <c r="EG26"/>
  <c r="EB26"/>
  <c r="ED26" s="1"/>
  <c r="DZ26"/>
  <c r="DU26"/>
  <c r="DW26" s="1"/>
  <c r="DS26"/>
  <c r="DN26"/>
  <c r="DP26" s="1"/>
  <c r="DL26"/>
  <c r="DG26"/>
  <c r="DI26" s="1"/>
  <c r="DE26"/>
  <c r="CZ26"/>
  <c r="DB26" s="1"/>
  <c r="CX26"/>
  <c r="CS26"/>
  <c r="CU26" s="1"/>
  <c r="CQ26"/>
  <c r="CL26"/>
  <c r="CN26" s="1"/>
  <c r="CJ26"/>
  <c r="CG26"/>
  <c r="FB25"/>
  <c r="EW25"/>
  <c r="EY25" s="1"/>
  <c r="EU25"/>
  <c r="EP25"/>
  <c r="ER25" s="1"/>
  <c r="EI25"/>
  <c r="EK25" s="1"/>
  <c r="EG25"/>
  <c r="EB25"/>
  <c r="ED25" s="1"/>
  <c r="DZ25"/>
  <c r="DU25"/>
  <c r="DW25" s="1"/>
  <c r="DS25"/>
  <c r="DN25"/>
  <c r="DP25" s="1"/>
  <c r="DL25"/>
  <c r="DG25"/>
  <c r="DI25" s="1"/>
  <c r="DE25"/>
  <c r="CZ25"/>
  <c r="DB25" s="1"/>
  <c r="CX25"/>
  <c r="CS25"/>
  <c r="CU25" s="1"/>
  <c r="CQ25"/>
  <c r="CL25"/>
  <c r="CN25" s="1"/>
  <c r="CJ25"/>
  <c r="FB24"/>
  <c r="EW24"/>
  <c r="EY24" s="1"/>
  <c r="EU24"/>
  <c r="EP24"/>
  <c r="ER24" s="1"/>
  <c r="EI24"/>
  <c r="EK24" s="1"/>
  <c r="EG24"/>
  <c r="EB24"/>
  <c r="ED24" s="1"/>
  <c r="DZ24"/>
  <c r="DU24"/>
  <c r="DW24" s="1"/>
  <c r="DS24"/>
  <c r="DN24"/>
  <c r="DP24" s="1"/>
  <c r="DL24"/>
  <c r="DG24"/>
  <c r="DI24" s="1"/>
  <c r="DE24"/>
  <c r="CZ24"/>
  <c r="DB24" s="1"/>
  <c r="CX24"/>
  <c r="CS24"/>
  <c r="CU24" s="1"/>
  <c r="CQ24"/>
  <c r="CL24"/>
  <c r="CN24" s="1"/>
  <c r="CJ24"/>
  <c r="CG24"/>
  <c r="EW23"/>
  <c r="EY23" s="1"/>
  <c r="EU23"/>
  <c r="EP23"/>
  <c r="ER23" s="1"/>
  <c r="EI23"/>
  <c r="EK23" s="1"/>
  <c r="EG23"/>
  <c r="EB23"/>
  <c r="ED23" s="1"/>
  <c r="DZ23"/>
  <c r="DU23"/>
  <c r="DW23" s="1"/>
  <c r="DS23"/>
  <c r="DN23"/>
  <c r="DP23" s="1"/>
  <c r="DL23"/>
  <c r="DG23"/>
  <c r="DI23" s="1"/>
  <c r="DE23"/>
  <c r="CZ23"/>
  <c r="DB23" s="1"/>
  <c r="CX23"/>
  <c r="CS23"/>
  <c r="CU23" s="1"/>
  <c r="CQ23"/>
  <c r="CL23"/>
  <c r="CN23" s="1"/>
  <c r="CJ23"/>
  <c r="CG23"/>
  <c r="EW22"/>
  <c r="EY22" s="1"/>
  <c r="EU22"/>
  <c r="EP22"/>
  <c r="ER22" s="1"/>
  <c r="EI22"/>
  <c r="EK22" s="1"/>
  <c r="EG22"/>
  <c r="EB22"/>
  <c r="ED22" s="1"/>
  <c r="DZ22"/>
  <c r="DU22"/>
  <c r="DW22" s="1"/>
  <c r="DS22"/>
  <c r="DN22"/>
  <c r="DP22" s="1"/>
  <c r="DL22"/>
  <c r="DG22"/>
  <c r="DI22" s="1"/>
  <c r="DE22"/>
  <c r="CZ22"/>
  <c r="DB22" s="1"/>
  <c r="CX22"/>
  <c r="CS22"/>
  <c r="CU22" s="1"/>
  <c r="CQ22"/>
  <c r="CL22"/>
  <c r="CN22" s="1"/>
  <c r="CJ22"/>
  <c r="EW21"/>
  <c r="EY21" s="1"/>
  <c r="EP21"/>
  <c r="ER21" s="1"/>
  <c r="EI21"/>
  <c r="EK21" s="1"/>
  <c r="EG21"/>
  <c r="EB21"/>
  <c r="ED21" s="1"/>
  <c r="DU21"/>
  <c r="DW21" s="1"/>
  <c r="DS21"/>
  <c r="DN21"/>
  <c r="DP21" s="1"/>
  <c r="DL21"/>
  <c r="DG21"/>
  <c r="DI21" s="1"/>
  <c r="CZ21"/>
  <c r="DB21" s="1"/>
  <c r="CS21"/>
  <c r="CU21" s="1"/>
  <c r="CQ21"/>
  <c r="CL21"/>
  <c r="CN21" s="1"/>
  <c r="CJ21"/>
  <c r="EW20"/>
  <c r="EY20" s="1"/>
  <c r="EP20"/>
  <c r="ER20" s="1"/>
  <c r="EI20"/>
  <c r="EK20" s="1"/>
  <c r="EB20"/>
  <c r="ED20" s="1"/>
  <c r="DU20"/>
  <c r="DW20" s="1"/>
  <c r="DN20"/>
  <c r="DP20" s="1"/>
  <c r="DG20"/>
  <c r="DI20" s="1"/>
  <c r="CZ20"/>
  <c r="DB20" s="1"/>
  <c r="CS20"/>
  <c r="CU20" s="1"/>
  <c r="CL20"/>
  <c r="CN20" s="1"/>
  <c r="CG20"/>
  <c r="EW19"/>
  <c r="EY19" s="1"/>
  <c r="EP19"/>
  <c r="ER19" s="1"/>
  <c r="EI19"/>
  <c r="EK19" s="1"/>
  <c r="EB19"/>
  <c r="ED19" s="1"/>
  <c r="DU19"/>
  <c r="DW19" s="1"/>
  <c r="DN19"/>
  <c r="DP19" s="1"/>
  <c r="DG19"/>
  <c r="DI19" s="1"/>
  <c r="CZ19"/>
  <c r="DB19" s="1"/>
  <c r="CS19"/>
  <c r="CU19" s="1"/>
  <c r="CL19"/>
  <c r="CN19" s="1"/>
  <c r="CG19"/>
  <c r="EW18"/>
  <c r="EY18" s="1"/>
  <c r="EP18"/>
  <c r="ER18" s="1"/>
  <c r="EI18"/>
  <c r="EK18" s="1"/>
  <c r="EB18"/>
  <c r="ED18" s="1"/>
  <c r="DU18"/>
  <c r="DW18" s="1"/>
  <c r="DN18"/>
  <c r="DP18" s="1"/>
  <c r="DG18"/>
  <c r="DI18" s="1"/>
  <c r="CZ18"/>
  <c r="DB18" s="1"/>
  <c r="CS18"/>
  <c r="CU18" s="1"/>
  <c r="CL18"/>
  <c r="CN18" s="1"/>
  <c r="CG18"/>
  <c r="EW17"/>
  <c r="EY17" s="1"/>
  <c r="EP17"/>
  <c r="ER17" s="1"/>
  <c r="EI17"/>
  <c r="EK17" s="1"/>
  <c r="EB17"/>
  <c r="ED17" s="1"/>
  <c r="DU17"/>
  <c r="DW17" s="1"/>
  <c r="DN17"/>
  <c r="DP17" s="1"/>
  <c r="DG17"/>
  <c r="DI17" s="1"/>
  <c r="CZ17"/>
  <c r="DB17" s="1"/>
  <c r="CS17"/>
  <c r="CU17" s="1"/>
  <c r="CL17"/>
  <c r="CN17" s="1"/>
  <c r="EW16"/>
  <c r="EY16" s="1"/>
  <c r="EP16"/>
  <c r="ER16" s="1"/>
  <c r="EI16"/>
  <c r="EK16" s="1"/>
  <c r="EB16"/>
  <c r="ED16" s="1"/>
  <c r="DU16"/>
  <c r="DW16" s="1"/>
  <c r="DN16"/>
  <c r="DP16" s="1"/>
  <c r="DG16"/>
  <c r="DI16" s="1"/>
  <c r="CZ16"/>
  <c r="DB16" s="1"/>
  <c r="CS16"/>
  <c r="CU16" s="1"/>
  <c r="CL16"/>
  <c r="CN16" s="1"/>
  <c r="CG16"/>
  <c r="EW15"/>
  <c r="EY15" s="1"/>
  <c r="EP15"/>
  <c r="ER15" s="1"/>
  <c r="EI15"/>
  <c r="EK15" s="1"/>
  <c r="EB15"/>
  <c r="ED15" s="1"/>
  <c r="DU15"/>
  <c r="DW15" s="1"/>
  <c r="DN15"/>
  <c r="DP15" s="1"/>
  <c r="DG15"/>
  <c r="DI15" s="1"/>
  <c r="CZ15"/>
  <c r="DB15" s="1"/>
  <c r="CS15"/>
  <c r="CU15" s="1"/>
  <c r="CL15"/>
  <c r="CN15" s="1"/>
  <c r="CG15"/>
  <c r="EW14"/>
  <c r="EY14" s="1"/>
  <c r="EP14"/>
  <c r="ER14" s="1"/>
  <c r="EI14"/>
  <c r="EK14" s="1"/>
  <c r="EB14"/>
  <c r="ED14" s="1"/>
  <c r="DU14"/>
  <c r="DW14" s="1"/>
  <c r="DN14"/>
  <c r="DP14" s="1"/>
  <c r="DG14"/>
  <c r="DI14" s="1"/>
  <c r="CZ14"/>
  <c r="DB14" s="1"/>
  <c r="CS14"/>
  <c r="CU14" s="1"/>
  <c r="CL14"/>
  <c r="CN14" s="1"/>
  <c r="CG14"/>
  <c r="EW13"/>
  <c r="EY13" s="1"/>
  <c r="EP13"/>
  <c r="ER13" s="1"/>
  <c r="EI13"/>
  <c r="EK13" s="1"/>
  <c r="EB13"/>
  <c r="ED13" s="1"/>
  <c r="DU13"/>
  <c r="DW13" s="1"/>
  <c r="DN13"/>
  <c r="DP13" s="1"/>
  <c r="DG13"/>
  <c r="DI13" s="1"/>
  <c r="CZ13"/>
  <c r="DB13" s="1"/>
  <c r="CS13"/>
  <c r="CU13" s="1"/>
  <c r="CL13"/>
  <c r="CN13" s="1"/>
  <c r="EW12"/>
  <c r="EY12" s="1"/>
  <c r="EP12"/>
  <c r="ER12" s="1"/>
  <c r="EI12"/>
  <c r="EK12" s="1"/>
  <c r="EB12"/>
  <c r="ED12" s="1"/>
  <c r="DU12"/>
  <c r="DW12" s="1"/>
  <c r="DN12"/>
  <c r="DP12" s="1"/>
  <c r="DG12"/>
  <c r="DI12" s="1"/>
  <c r="CZ12"/>
  <c r="DB12" s="1"/>
  <c r="CS12"/>
  <c r="CU12" s="1"/>
  <c r="CL12"/>
  <c r="CN12" s="1"/>
  <c r="CE12"/>
  <c r="CG12" s="1"/>
  <c r="EW11"/>
  <c r="EY11" s="1"/>
  <c r="EP11"/>
  <c r="ER11" s="1"/>
  <c r="EI11"/>
  <c r="EK11" s="1"/>
  <c r="EB11"/>
  <c r="ED11" s="1"/>
  <c r="DU11"/>
  <c r="DW11" s="1"/>
  <c r="DN11"/>
  <c r="DP11" s="1"/>
  <c r="DG11"/>
  <c r="DI11" s="1"/>
  <c r="CZ11"/>
  <c r="DB11" s="1"/>
  <c r="CS11"/>
  <c r="CU11" s="1"/>
  <c r="CL11"/>
  <c r="CN11" s="1"/>
  <c r="CE11"/>
  <c r="CG11" s="1"/>
  <c r="EW10"/>
  <c r="EY10" s="1"/>
  <c r="EP10"/>
  <c r="ER10" s="1"/>
  <c r="EI10"/>
  <c r="EK10" s="1"/>
  <c r="EB10"/>
  <c r="ED10" s="1"/>
  <c r="DU10"/>
  <c r="DW10" s="1"/>
  <c r="DN10"/>
  <c r="DP10" s="1"/>
  <c r="DG10"/>
  <c r="DI10" s="1"/>
  <c r="CZ10"/>
  <c r="DB10" s="1"/>
  <c r="CS10"/>
  <c r="CU10" s="1"/>
  <c r="CL10"/>
  <c r="CN10" s="1"/>
  <c r="CE10"/>
  <c r="CG10" s="1"/>
  <c r="EW9"/>
  <c r="EY9" s="1"/>
  <c r="EP9"/>
  <c r="ER9" s="1"/>
  <c r="EI9"/>
  <c r="EK9" s="1"/>
  <c r="EB9"/>
  <c r="ED9" s="1"/>
  <c r="DU9"/>
  <c r="DW9" s="1"/>
  <c r="DN9"/>
  <c r="DP9" s="1"/>
  <c r="DG9"/>
  <c r="DI9" s="1"/>
  <c r="CZ9"/>
  <c r="DB9" s="1"/>
  <c r="CS9"/>
  <c r="CU9" s="1"/>
  <c r="CL9"/>
  <c r="CN9" s="1"/>
  <c r="CE9"/>
  <c r="CG9" s="1"/>
  <c r="EW8"/>
  <c r="EY8" s="1"/>
  <c r="EP8"/>
  <c r="ER8" s="1"/>
  <c r="EI8"/>
  <c r="EK8" s="1"/>
  <c r="EB8"/>
  <c r="ED8" s="1"/>
  <c r="DU8"/>
  <c r="DW8" s="1"/>
  <c r="DN8"/>
  <c r="DP8" s="1"/>
  <c r="DG8"/>
  <c r="DI8" s="1"/>
  <c r="CZ8"/>
  <c r="DB8" s="1"/>
  <c r="CS8"/>
  <c r="CU8" s="1"/>
  <c r="CL8"/>
  <c r="CN8" s="1"/>
  <c r="CE8"/>
  <c r="CG8" s="1"/>
  <c r="FA4"/>
  <c r="ET4"/>
  <c r="EM4"/>
  <c r="EF4"/>
  <c r="DY4"/>
  <c r="DR4"/>
  <c r="DK4"/>
  <c r="DE4"/>
  <c r="DD4"/>
  <c r="CW4"/>
  <c r="CP4"/>
  <c r="AM11" i="21"/>
  <c r="AM10" s="1"/>
  <c r="AM9" s="1"/>
  <c r="AM8" s="1"/>
  <c r="AM7" s="1"/>
  <c r="AL11"/>
  <c r="AL10"/>
  <c r="AL9" s="1"/>
  <c r="AL8" s="1"/>
  <c r="AL7" s="1"/>
  <c r="AQ11"/>
  <c r="AQ10" s="1"/>
  <c r="AQ9" s="1"/>
  <c r="AQ8" s="1"/>
  <c r="AQ7" s="1"/>
  <c r="AP11"/>
  <c r="AP10" s="1"/>
  <c r="AP9" s="1"/>
  <c r="AP8" s="1"/>
  <c r="AP7" s="1"/>
  <c r="AI11"/>
  <c r="AI10" s="1"/>
  <c r="AI9" s="1"/>
  <c r="AI8" s="1"/>
  <c r="AI7" s="1"/>
  <c r="AH11"/>
  <c r="AH10" s="1"/>
  <c r="AH9" s="1"/>
  <c r="AH8" s="1"/>
  <c r="AH7" s="1"/>
  <c r="AE11"/>
  <c r="AE10" s="1"/>
  <c r="AE9" s="1"/>
  <c r="AE8" s="1"/>
  <c r="AE7" s="1"/>
  <c r="AD11"/>
  <c r="AD10" s="1"/>
  <c r="AD9" s="1"/>
  <c r="AD8" s="1"/>
  <c r="AD7" s="1"/>
  <c r="Z11"/>
  <c r="Z10" s="1"/>
  <c r="Z9" s="1"/>
  <c r="Z8" s="1"/>
  <c r="Z7" s="1"/>
  <c r="W11"/>
  <c r="W10" s="1"/>
  <c r="W9" s="1"/>
  <c r="W8" s="1"/>
  <c r="W7" s="1"/>
  <c r="V11"/>
  <c r="V10" s="1"/>
  <c r="V9" s="1"/>
  <c r="V8" s="1"/>
  <c r="V7" s="1"/>
  <c r="R11"/>
  <c r="R10" s="1"/>
  <c r="R9" s="1"/>
  <c r="R8" s="1"/>
  <c r="R7" s="1"/>
  <c r="O11"/>
  <c r="O10" s="1"/>
  <c r="O9" s="1"/>
  <c r="O8" s="1"/>
  <c r="O7" s="1"/>
  <c r="N11"/>
  <c r="N10" s="1"/>
  <c r="N9" s="1"/>
  <c r="N8" s="1"/>
  <c r="N7" s="1"/>
  <c r="K11"/>
  <c r="K10" s="1"/>
  <c r="K9" s="1"/>
  <c r="K8" s="1"/>
  <c r="K7" s="1"/>
  <c r="J11"/>
  <c r="J10" s="1"/>
  <c r="J9" s="1"/>
  <c r="J8" s="1"/>
  <c r="J7" s="1"/>
  <c r="G11"/>
  <c r="G10" s="1"/>
  <c r="G9" s="1"/>
  <c r="G8" s="1"/>
  <c r="G7" s="1"/>
  <c r="F11"/>
  <c r="F10"/>
  <c r="F9" s="1"/>
  <c r="F8" s="1"/>
  <c r="F7" s="1"/>
  <c r="C11"/>
  <c r="C10" s="1"/>
  <c r="C9" s="1"/>
  <c r="C8" s="1"/>
  <c r="C7" s="1"/>
  <c r="B11"/>
  <c r="B10" s="1"/>
  <c r="B9" s="1"/>
  <c r="B8" s="1"/>
  <c r="B7" s="1"/>
  <c r="AP46"/>
  <c r="AL46"/>
  <c r="AH46"/>
  <c r="AD46"/>
  <c r="Z46"/>
  <c r="V46"/>
  <c r="R46"/>
  <c r="N46"/>
  <c r="J46"/>
  <c r="F46"/>
  <c r="B46"/>
  <c r="CJ46"/>
  <c r="CJ48" s="1"/>
  <c r="CI46"/>
  <c r="CI48" s="1"/>
  <c r="CF46"/>
  <c r="CF48" s="1"/>
  <c r="CE46"/>
  <c r="CE48" s="1"/>
  <c r="CB46"/>
  <c r="CB48" s="1"/>
  <c r="CA46"/>
  <c r="CA48" s="1"/>
  <c r="BX46"/>
  <c r="BX48" s="1"/>
  <c r="BW46"/>
  <c r="BW48" s="1"/>
  <c r="BT46"/>
  <c r="BT48" s="1"/>
  <c r="BS46"/>
  <c r="BS48" s="1"/>
  <c r="BP46"/>
  <c r="BP48" s="1"/>
  <c r="BO46"/>
  <c r="BO48" s="1"/>
  <c r="BL46"/>
  <c r="BL48" s="1"/>
  <c r="BK46"/>
  <c r="BK48" s="1"/>
  <c r="BH46"/>
  <c r="BH48" s="1"/>
  <c r="BG46"/>
  <c r="BG48" s="1"/>
  <c r="BD46"/>
  <c r="BD48" s="1"/>
  <c r="BC46"/>
  <c r="BC48" s="1"/>
  <c r="AZ46"/>
  <c r="AZ48" s="1"/>
  <c r="AY46"/>
  <c r="AY48" s="1"/>
  <c r="AV46"/>
  <c r="AV48" s="1"/>
  <c r="AU46"/>
  <c r="AU48" s="1"/>
  <c r="CK45"/>
  <c r="CG45"/>
  <c r="CC45"/>
  <c r="BY45"/>
  <c r="BU45"/>
  <c r="BQ45"/>
  <c r="BM45"/>
  <c r="BI45"/>
  <c r="BE45"/>
  <c r="BA45"/>
  <c r="AW45"/>
  <c r="CK44"/>
  <c r="CG44"/>
  <c r="CC44"/>
  <c r="BY44"/>
  <c r="BU44"/>
  <c r="BQ44"/>
  <c r="BM44"/>
  <c r="BI44"/>
  <c r="BE44"/>
  <c r="BA44"/>
  <c r="AW44"/>
  <c r="CK43"/>
  <c r="CG43"/>
  <c r="CC43"/>
  <c r="BY43"/>
  <c r="BU43"/>
  <c r="BQ43"/>
  <c r="BM43"/>
  <c r="BI43"/>
  <c r="BE43"/>
  <c r="BA43"/>
  <c r="AW43"/>
  <c r="CK42"/>
  <c r="CG42"/>
  <c r="CC42"/>
  <c r="BY42"/>
  <c r="BU42"/>
  <c r="BQ42"/>
  <c r="BM42"/>
  <c r="BI42"/>
  <c r="BE42"/>
  <c r="BA42"/>
  <c r="AW42"/>
  <c r="CK41"/>
  <c r="CG41"/>
  <c r="CC41"/>
  <c r="BY41"/>
  <c r="BU41"/>
  <c r="BQ41"/>
  <c r="BM41"/>
  <c r="BI41"/>
  <c r="BE41"/>
  <c r="BA41"/>
  <c r="AW41"/>
  <c r="CK40"/>
  <c r="CG40"/>
  <c r="CC40"/>
  <c r="BY40"/>
  <c r="BU40"/>
  <c r="BQ40"/>
  <c r="BM40"/>
  <c r="BI40"/>
  <c r="BE40"/>
  <c r="BA40"/>
  <c r="AW40"/>
  <c r="CK39"/>
  <c r="CG39"/>
  <c r="CC39"/>
  <c r="BY39"/>
  <c r="BU39"/>
  <c r="BQ39"/>
  <c r="BM39"/>
  <c r="BI39"/>
  <c r="BE39"/>
  <c r="BA39"/>
  <c r="AW39"/>
  <c r="CK38"/>
  <c r="CG38"/>
  <c r="CC38"/>
  <c r="BY38"/>
  <c r="BU38"/>
  <c r="BQ38"/>
  <c r="BM38"/>
  <c r="BI38"/>
  <c r="BE38"/>
  <c r="BA38"/>
  <c r="AW38"/>
  <c r="CK37"/>
  <c r="CG37"/>
  <c r="CC37"/>
  <c r="BY37"/>
  <c r="BU37"/>
  <c r="BQ37"/>
  <c r="BM37"/>
  <c r="BI37"/>
  <c r="BE37"/>
  <c r="BA37"/>
  <c r="AW37"/>
  <c r="CK36"/>
  <c r="CG36"/>
  <c r="CC36"/>
  <c r="BY36"/>
  <c r="BU36"/>
  <c r="BQ36"/>
  <c r="BM36"/>
  <c r="BI36"/>
  <c r="BE36"/>
  <c r="BA36"/>
  <c r="AW36"/>
  <c r="CK35"/>
  <c r="CG35"/>
  <c r="CC35"/>
  <c r="BY35"/>
  <c r="BU35"/>
  <c r="BQ35"/>
  <c r="BM35"/>
  <c r="BI35"/>
  <c r="BE35"/>
  <c r="BA35"/>
  <c r="AW35"/>
  <c r="CK34"/>
  <c r="CG34"/>
  <c r="CC34"/>
  <c r="BY34"/>
  <c r="BU34"/>
  <c r="BQ34"/>
  <c r="BM34"/>
  <c r="BI34"/>
  <c r="BE34"/>
  <c r="BA34"/>
  <c r="AW34"/>
  <c r="CK33"/>
  <c r="CG33"/>
  <c r="CC33"/>
  <c r="BY33"/>
  <c r="BU33"/>
  <c r="BQ33"/>
  <c r="BM33"/>
  <c r="BI33"/>
  <c r="BE33"/>
  <c r="BA33"/>
  <c r="AW33"/>
  <c r="CK32"/>
  <c r="CG32"/>
  <c r="CC32"/>
  <c r="BY32"/>
  <c r="BU32"/>
  <c r="BQ32"/>
  <c r="BM32"/>
  <c r="BI32"/>
  <c r="BE32"/>
  <c r="BA32"/>
  <c r="AW32"/>
  <c r="CK31"/>
  <c r="CG31"/>
  <c r="CC31"/>
  <c r="BY31"/>
  <c r="BU31"/>
  <c r="BQ31"/>
  <c r="BM31"/>
  <c r="BI31"/>
  <c r="BE31"/>
  <c r="BA31"/>
  <c r="AW31"/>
  <c r="CK30"/>
  <c r="CG30"/>
  <c r="CC30"/>
  <c r="BY30"/>
  <c r="BU30"/>
  <c r="BQ30"/>
  <c r="BM30"/>
  <c r="BI30"/>
  <c r="BE30"/>
  <c r="BA30"/>
  <c r="AW30"/>
  <c r="CK29"/>
  <c r="CG29"/>
  <c r="CC29"/>
  <c r="BY29"/>
  <c r="BU29"/>
  <c r="BQ29"/>
  <c r="BM29"/>
  <c r="BI29"/>
  <c r="BE29"/>
  <c r="BA29"/>
  <c r="AW29"/>
  <c r="CK28"/>
  <c r="CG28"/>
  <c r="CC28"/>
  <c r="BY28"/>
  <c r="BU28"/>
  <c r="BQ28"/>
  <c r="BM28"/>
  <c r="BI28"/>
  <c r="BE28"/>
  <c r="BA28"/>
  <c r="AW28"/>
  <c r="CK27"/>
  <c r="CG27"/>
  <c r="CC27"/>
  <c r="BY27"/>
  <c r="BU27"/>
  <c r="BQ27"/>
  <c r="BM27"/>
  <c r="BI27"/>
  <c r="BE27"/>
  <c r="BA27"/>
  <c r="AW27"/>
  <c r="CK26"/>
  <c r="CG26"/>
  <c r="CC26"/>
  <c r="BY26"/>
  <c r="BU26"/>
  <c r="BQ26"/>
  <c r="BM26"/>
  <c r="BI26"/>
  <c r="BE26"/>
  <c r="BA26"/>
  <c r="AW26"/>
  <c r="CK25"/>
  <c r="CG25"/>
  <c r="CC25"/>
  <c r="BY25"/>
  <c r="BU25"/>
  <c r="BQ25"/>
  <c r="BM25"/>
  <c r="BI25"/>
  <c r="BE25"/>
  <c r="BA25"/>
  <c r="AW25"/>
  <c r="CK24"/>
  <c r="CG24"/>
  <c r="CC24"/>
  <c r="BY24"/>
  <c r="BU24"/>
  <c r="BQ24"/>
  <c r="BM24"/>
  <c r="BI24"/>
  <c r="BE24"/>
  <c r="BA24"/>
  <c r="AW24"/>
  <c r="CK23"/>
  <c r="CG23"/>
  <c r="CC23"/>
  <c r="BY23"/>
  <c r="BU23"/>
  <c r="BQ23"/>
  <c r="BM23"/>
  <c r="BI23"/>
  <c r="BE23"/>
  <c r="BA23"/>
  <c r="AW23"/>
  <c r="CK22"/>
  <c r="CG22"/>
  <c r="CC22"/>
  <c r="BY22"/>
  <c r="BU22"/>
  <c r="BQ22"/>
  <c r="BM22"/>
  <c r="BI22"/>
  <c r="BE22"/>
  <c r="BA22"/>
  <c r="AW22"/>
  <c r="CK21"/>
  <c r="CG21"/>
  <c r="CC21"/>
  <c r="BY21"/>
  <c r="BU21"/>
  <c r="BQ21"/>
  <c r="BM21"/>
  <c r="BI21"/>
  <c r="BE21"/>
  <c r="BA21"/>
  <c r="AW21"/>
  <c r="CK20"/>
  <c r="CG20"/>
  <c r="CC20"/>
  <c r="BY20"/>
  <c r="BU20"/>
  <c r="BQ20"/>
  <c r="BM20"/>
  <c r="BI20"/>
  <c r="BE20"/>
  <c r="BA20"/>
  <c r="AW20"/>
  <c r="CK19"/>
  <c r="CG19"/>
  <c r="CC19"/>
  <c r="BY19"/>
  <c r="BU19"/>
  <c r="BQ19"/>
  <c r="BM19"/>
  <c r="BI19"/>
  <c r="BE19"/>
  <c r="BA19"/>
  <c r="AW19"/>
  <c r="CK18"/>
  <c r="CG18"/>
  <c r="CC18"/>
  <c r="BY18"/>
  <c r="BU18"/>
  <c r="BQ18"/>
  <c r="BM18"/>
  <c r="BI18"/>
  <c r="BE18"/>
  <c r="BA18"/>
  <c r="AW18"/>
  <c r="CK17"/>
  <c r="CG17"/>
  <c r="CC17"/>
  <c r="BY17"/>
  <c r="BU17"/>
  <c r="BQ17"/>
  <c r="BM17"/>
  <c r="BI17"/>
  <c r="BE17"/>
  <c r="BA17"/>
  <c r="AW17"/>
  <c r="CK16"/>
  <c r="CG16"/>
  <c r="CC16"/>
  <c r="BY16"/>
  <c r="BU16"/>
  <c r="BQ16"/>
  <c r="BM16"/>
  <c r="BI16"/>
  <c r="BE16"/>
  <c r="BA16"/>
  <c r="AW16"/>
  <c r="CK15"/>
  <c r="CG15"/>
  <c r="CC15"/>
  <c r="BY15"/>
  <c r="BU15"/>
  <c r="BQ15"/>
  <c r="BM15"/>
  <c r="BI15"/>
  <c r="BE15"/>
  <c r="BA15"/>
  <c r="AW15"/>
  <c r="CK14"/>
  <c r="CG14"/>
  <c r="CC14"/>
  <c r="BY14"/>
  <c r="BU14"/>
  <c r="BQ14"/>
  <c r="BM14"/>
  <c r="BI14"/>
  <c r="BE14"/>
  <c r="BA14"/>
  <c r="AW14"/>
  <c r="CK13"/>
  <c r="CG13"/>
  <c r="CC13"/>
  <c r="BY13"/>
  <c r="BU13"/>
  <c r="BQ13"/>
  <c r="BM13"/>
  <c r="BI13"/>
  <c r="BE13"/>
  <c r="BA13"/>
  <c r="AW13"/>
  <c r="CK12"/>
  <c r="CG12"/>
  <c r="CC12"/>
  <c r="BY12"/>
  <c r="BU12"/>
  <c r="BQ12"/>
  <c r="BM12"/>
  <c r="BI12"/>
  <c r="BE12"/>
  <c r="BA12"/>
  <c r="AW12"/>
  <c r="CK11"/>
  <c r="CG11"/>
  <c r="CC11"/>
  <c r="BY11"/>
  <c r="BU11"/>
  <c r="BQ11"/>
  <c r="BM11"/>
  <c r="BI11"/>
  <c r="BE11"/>
  <c r="BA11"/>
  <c r="AW11"/>
  <c r="CK10"/>
  <c r="CG10"/>
  <c r="CC10"/>
  <c r="BY10"/>
  <c r="BU10"/>
  <c r="BQ10"/>
  <c r="BM10"/>
  <c r="BI10"/>
  <c r="BE10"/>
  <c r="BA10"/>
  <c r="AW10"/>
  <c r="CK9"/>
  <c r="CG9"/>
  <c r="CC9"/>
  <c r="BY9"/>
  <c r="BU9"/>
  <c r="BQ9"/>
  <c r="BM9"/>
  <c r="BI9"/>
  <c r="BE9"/>
  <c r="BA9"/>
  <c r="AW9"/>
  <c r="CK8"/>
  <c r="CG8"/>
  <c r="CC8"/>
  <c r="BY8"/>
  <c r="BU8"/>
  <c r="BQ8"/>
  <c r="BM8"/>
  <c r="BI8"/>
  <c r="BE8"/>
  <c r="BA8"/>
  <c r="AW8"/>
  <c r="CK7"/>
  <c r="CG7"/>
  <c r="CC7"/>
  <c r="BY7"/>
  <c r="BU7"/>
  <c r="BQ7"/>
  <c r="BM7"/>
  <c r="BI7"/>
  <c r="BE7"/>
  <c r="BA7"/>
  <c r="AW7"/>
  <c r="CU71" i="2"/>
  <c r="CU70"/>
  <c r="CU69"/>
  <c r="CU68"/>
  <c r="CT68"/>
  <c r="CV68" s="1"/>
  <c r="CU67"/>
  <c r="CU66"/>
  <c r="CU65"/>
  <c r="CU64"/>
  <c r="CT64"/>
  <c r="CV64" s="1"/>
  <c r="CU63"/>
  <c r="CU62"/>
  <c r="CU61"/>
  <c r="CL71"/>
  <c r="CL70"/>
  <c r="CL69"/>
  <c r="CL68"/>
  <c r="CL67"/>
  <c r="CK67"/>
  <c r="CM67" s="1"/>
  <c r="CL66"/>
  <c r="CL65"/>
  <c r="CL64"/>
  <c r="CL63"/>
  <c r="CK63"/>
  <c r="CM63" s="1"/>
  <c r="CL62"/>
  <c r="CL61"/>
  <c r="CC71"/>
  <c r="CC70"/>
  <c r="CB70"/>
  <c r="CD70" s="1"/>
  <c r="CC69"/>
  <c r="CC68"/>
  <c r="CC67"/>
  <c r="CC66"/>
  <c r="CB66"/>
  <c r="CD66" s="1"/>
  <c r="CC65"/>
  <c r="CC64"/>
  <c r="CC63"/>
  <c r="CC62"/>
  <c r="CB62"/>
  <c r="CD62" s="1"/>
  <c r="CC61"/>
  <c r="BT71"/>
  <c r="BT70"/>
  <c r="BT69"/>
  <c r="BS69"/>
  <c r="BU69" s="1"/>
  <c r="BT68"/>
  <c r="BT67"/>
  <c r="BT66"/>
  <c r="BT65"/>
  <c r="BS65"/>
  <c r="BU65" s="1"/>
  <c r="BT64"/>
  <c r="BT63"/>
  <c r="BT62"/>
  <c r="BT61"/>
  <c r="BS61"/>
  <c r="BU61" s="1"/>
  <c r="BK71"/>
  <c r="BK70"/>
  <c r="BK69"/>
  <c r="BK68"/>
  <c r="BJ68"/>
  <c r="BL68" s="1"/>
  <c r="BK67"/>
  <c r="BK66"/>
  <c r="BK65"/>
  <c r="BK64"/>
  <c r="BJ64"/>
  <c r="BL64" s="1"/>
  <c r="BK63"/>
  <c r="BK62"/>
  <c r="BK61"/>
  <c r="BB71"/>
  <c r="BB70"/>
  <c r="BB69"/>
  <c r="BB68"/>
  <c r="BB67"/>
  <c r="BA67"/>
  <c r="BC67" s="1"/>
  <c r="BB66"/>
  <c r="BB65"/>
  <c r="BB64"/>
  <c r="BB63"/>
  <c r="BA63"/>
  <c r="BC63" s="1"/>
  <c r="BB62"/>
  <c r="BB61"/>
  <c r="AS71"/>
  <c r="AS70"/>
  <c r="AR70"/>
  <c r="AT70" s="1"/>
  <c r="AS69"/>
  <c r="AS68"/>
  <c r="AS67"/>
  <c r="AS66"/>
  <c r="AR66"/>
  <c r="AT66" s="1"/>
  <c r="AS65"/>
  <c r="AS64"/>
  <c r="AS63"/>
  <c r="AS62"/>
  <c r="AR62"/>
  <c r="AT62" s="1"/>
  <c r="AS61"/>
  <c r="AJ71"/>
  <c r="AJ70"/>
  <c r="AJ69"/>
  <c r="AI69"/>
  <c r="AK69" s="1"/>
  <c r="AJ68"/>
  <c r="AJ67"/>
  <c r="AJ66"/>
  <c r="AJ65"/>
  <c r="AI65"/>
  <c r="AK65" s="1"/>
  <c r="AJ64"/>
  <c r="AJ63"/>
  <c r="AJ62"/>
  <c r="AJ61"/>
  <c r="AI61"/>
  <c r="AK61" s="1"/>
  <c r="AA71"/>
  <c r="AA70"/>
  <c r="AA69"/>
  <c r="AA68"/>
  <c r="Z68"/>
  <c r="AB68" s="1"/>
  <c r="AA67"/>
  <c r="AA66"/>
  <c r="AA65"/>
  <c r="AA64"/>
  <c r="Z64"/>
  <c r="AB64" s="1"/>
  <c r="AA63"/>
  <c r="AA62"/>
  <c r="AA61"/>
  <c r="R71"/>
  <c r="R70"/>
  <c r="R69"/>
  <c r="R68"/>
  <c r="R67"/>
  <c r="Q67"/>
  <c r="S67" s="1"/>
  <c r="R66"/>
  <c r="R65"/>
  <c r="R64"/>
  <c r="R63"/>
  <c r="Q63"/>
  <c r="S63" s="1"/>
  <c r="R62"/>
  <c r="R61"/>
  <c r="CP71"/>
  <c r="CO71"/>
  <c r="CN71"/>
  <c r="CG71"/>
  <c r="CF71"/>
  <c r="CH71" s="1"/>
  <c r="CK71" s="1"/>
  <c r="CM71" s="1"/>
  <c r="CE71"/>
  <c r="BX71"/>
  <c r="BW71"/>
  <c r="BY71" s="1"/>
  <c r="CB71" s="1"/>
  <c r="CD71" s="1"/>
  <c r="BV71"/>
  <c r="BO71"/>
  <c r="BN71"/>
  <c r="BM71"/>
  <c r="BF71"/>
  <c r="BE71"/>
  <c r="BD71"/>
  <c r="AW71"/>
  <c r="AV71"/>
  <c r="AX71" s="1"/>
  <c r="BA71" s="1"/>
  <c r="BC71" s="1"/>
  <c r="AU71"/>
  <c r="AN71"/>
  <c r="AM71"/>
  <c r="AO71" s="1"/>
  <c r="AR71" s="1"/>
  <c r="AT71" s="1"/>
  <c r="AL71"/>
  <c r="AE71"/>
  <c r="AD71"/>
  <c r="AC71"/>
  <c r="V71"/>
  <c r="U71"/>
  <c r="T71"/>
  <c r="M71"/>
  <c r="L71"/>
  <c r="N71" s="1"/>
  <c r="Q71" s="1"/>
  <c r="S71" s="1"/>
  <c r="K71"/>
  <c r="CQ71"/>
  <c r="CT71" s="1"/>
  <c r="CV71" s="1"/>
  <c r="CQ70"/>
  <c r="CT70" s="1"/>
  <c r="CV70" s="1"/>
  <c r="CQ69"/>
  <c r="CT69" s="1"/>
  <c r="CV69" s="1"/>
  <c r="CQ68"/>
  <c r="CQ67"/>
  <c r="CT67" s="1"/>
  <c r="CV67" s="1"/>
  <c r="CQ66"/>
  <c r="CT66" s="1"/>
  <c r="CV66" s="1"/>
  <c r="CQ65"/>
  <c r="CT65" s="1"/>
  <c r="CV65" s="1"/>
  <c r="CQ64"/>
  <c r="CQ63"/>
  <c r="CT63" s="1"/>
  <c r="CV63" s="1"/>
  <c r="CQ62"/>
  <c r="CT62" s="1"/>
  <c r="CV62" s="1"/>
  <c r="CQ61"/>
  <c r="CT61" s="1"/>
  <c r="CV61" s="1"/>
  <c r="CH70"/>
  <c r="CK70" s="1"/>
  <c r="CM70" s="1"/>
  <c r="CH69"/>
  <c r="CK69" s="1"/>
  <c r="CM69" s="1"/>
  <c r="CH68"/>
  <c r="CK68" s="1"/>
  <c r="CM68" s="1"/>
  <c r="CI45" s="1"/>
  <c r="CH67"/>
  <c r="CH66"/>
  <c r="CK66" s="1"/>
  <c r="CM66" s="1"/>
  <c r="CH65"/>
  <c r="CK65" s="1"/>
  <c r="CM65" s="1"/>
  <c r="CH64"/>
  <c r="CK64" s="1"/>
  <c r="CM64" s="1"/>
  <c r="CH63"/>
  <c r="CH62"/>
  <c r="CK62" s="1"/>
  <c r="CM62" s="1"/>
  <c r="CH61"/>
  <c r="CK61" s="1"/>
  <c r="CM61" s="1"/>
  <c r="BY70"/>
  <c r="BY69"/>
  <c r="CB69" s="1"/>
  <c r="CD69" s="1"/>
  <c r="BY68"/>
  <c r="CB68" s="1"/>
  <c r="CD68" s="1"/>
  <c r="BZ45" s="1"/>
  <c r="BZ46" s="1"/>
  <c r="BZ47" s="1"/>
  <c r="BZ48" s="1"/>
  <c r="BZ50" s="1"/>
  <c r="BY67"/>
  <c r="CB67" s="1"/>
  <c r="CD67" s="1"/>
  <c r="BY66"/>
  <c r="BY65"/>
  <c r="CB65" s="1"/>
  <c r="CD65" s="1"/>
  <c r="BY64"/>
  <c r="CB64" s="1"/>
  <c r="CD64" s="1"/>
  <c r="BY63"/>
  <c r="CB63" s="1"/>
  <c r="CD63" s="1"/>
  <c r="BY62"/>
  <c r="BY61"/>
  <c r="CB61" s="1"/>
  <c r="CD61" s="1"/>
  <c r="BP71"/>
  <c r="BS71" s="1"/>
  <c r="BU71" s="1"/>
  <c r="BP70"/>
  <c r="BS70" s="1"/>
  <c r="BU70" s="1"/>
  <c r="BP69"/>
  <c r="BP68"/>
  <c r="BS68" s="1"/>
  <c r="BU68" s="1"/>
  <c r="BP67"/>
  <c r="BS67" s="1"/>
  <c r="BU67" s="1"/>
  <c r="BP66"/>
  <c r="BS66" s="1"/>
  <c r="BU66" s="1"/>
  <c r="BP65"/>
  <c r="BP64"/>
  <c r="BS64" s="1"/>
  <c r="BU64" s="1"/>
  <c r="BP63"/>
  <c r="BS63" s="1"/>
  <c r="BU63" s="1"/>
  <c r="BP62"/>
  <c r="BS62" s="1"/>
  <c r="BU62" s="1"/>
  <c r="BP61"/>
  <c r="BG71"/>
  <c r="BJ71" s="1"/>
  <c r="BL71" s="1"/>
  <c r="BG70"/>
  <c r="BJ70" s="1"/>
  <c r="BL70" s="1"/>
  <c r="BG69"/>
  <c r="BJ69" s="1"/>
  <c r="BL69" s="1"/>
  <c r="BG68"/>
  <c r="BG67"/>
  <c r="BJ67" s="1"/>
  <c r="BL67" s="1"/>
  <c r="BG66"/>
  <c r="BJ66" s="1"/>
  <c r="BL66" s="1"/>
  <c r="BG65"/>
  <c r="BJ65" s="1"/>
  <c r="BL65" s="1"/>
  <c r="BG64"/>
  <c r="BG63"/>
  <c r="BJ63" s="1"/>
  <c r="BL63" s="1"/>
  <c r="BG62"/>
  <c r="BJ62" s="1"/>
  <c r="BL62" s="1"/>
  <c r="BG61"/>
  <c r="BJ61" s="1"/>
  <c r="BL61" s="1"/>
  <c r="AX70"/>
  <c r="BA70" s="1"/>
  <c r="BC70" s="1"/>
  <c r="AX69"/>
  <c r="BA69" s="1"/>
  <c r="BC69" s="1"/>
  <c r="AX68"/>
  <c r="BA68" s="1"/>
  <c r="BC68" s="1"/>
  <c r="AY45" s="1"/>
  <c r="AY46" s="1"/>
  <c r="AY47" s="1"/>
  <c r="AY48" s="1"/>
  <c r="AY50" s="1"/>
  <c r="AX67"/>
  <c r="AX66"/>
  <c r="BA66" s="1"/>
  <c r="BC66" s="1"/>
  <c r="AX65"/>
  <c r="BA65" s="1"/>
  <c r="BC65" s="1"/>
  <c r="AX64"/>
  <c r="BA64" s="1"/>
  <c r="BC64" s="1"/>
  <c r="AX63"/>
  <c r="AX62"/>
  <c r="BA62" s="1"/>
  <c r="BC62" s="1"/>
  <c r="AX61"/>
  <c r="BA61" s="1"/>
  <c r="BC61" s="1"/>
  <c r="AO70"/>
  <c r="AO69"/>
  <c r="AR69" s="1"/>
  <c r="AT69" s="1"/>
  <c r="AO68"/>
  <c r="AR68" s="1"/>
  <c r="AT68" s="1"/>
  <c r="AO67"/>
  <c r="AR67" s="1"/>
  <c r="AT67" s="1"/>
  <c r="AO66"/>
  <c r="AO65"/>
  <c r="AR65" s="1"/>
  <c r="AT65" s="1"/>
  <c r="AO64"/>
  <c r="AR64" s="1"/>
  <c r="AT64" s="1"/>
  <c r="AO63"/>
  <c r="AR63" s="1"/>
  <c r="AT63" s="1"/>
  <c r="AO62"/>
  <c r="AO61"/>
  <c r="AR61" s="1"/>
  <c r="AT61" s="1"/>
  <c r="AF71"/>
  <c r="AI71" s="1"/>
  <c r="AK71" s="1"/>
  <c r="AF70"/>
  <c r="AI70" s="1"/>
  <c r="AK70" s="1"/>
  <c r="AF69"/>
  <c r="AF68"/>
  <c r="AI68" s="1"/>
  <c r="AK68" s="1"/>
  <c r="AG45" s="1"/>
  <c r="AG46" s="1"/>
  <c r="AG47" s="1"/>
  <c r="AG48" s="1"/>
  <c r="AG50" s="1"/>
  <c r="AF67"/>
  <c r="AI67" s="1"/>
  <c r="AK67" s="1"/>
  <c r="AF66"/>
  <c r="AI66" s="1"/>
  <c r="AK66" s="1"/>
  <c r="AF65"/>
  <c r="AF64"/>
  <c r="AI64" s="1"/>
  <c r="AK64" s="1"/>
  <c r="AF63"/>
  <c r="AI63" s="1"/>
  <c r="AK63" s="1"/>
  <c r="AF62"/>
  <c r="AI62" s="1"/>
  <c r="AK62" s="1"/>
  <c r="AF61"/>
  <c r="W71"/>
  <c r="Z71" s="1"/>
  <c r="AB71" s="1"/>
  <c r="W70"/>
  <c r="Z70" s="1"/>
  <c r="AB70" s="1"/>
  <c r="W69"/>
  <c r="Z69" s="1"/>
  <c r="AB69" s="1"/>
  <c r="W68"/>
  <c r="W67"/>
  <c r="Z67" s="1"/>
  <c r="AB67" s="1"/>
  <c r="W66"/>
  <c r="Z66" s="1"/>
  <c r="AB66" s="1"/>
  <c r="W65"/>
  <c r="Z65" s="1"/>
  <c r="AB65" s="1"/>
  <c r="W64"/>
  <c r="W63"/>
  <c r="Z63" s="1"/>
  <c r="AB63" s="1"/>
  <c r="W62"/>
  <c r="Z62" s="1"/>
  <c r="AB62" s="1"/>
  <c r="W61"/>
  <c r="Z61" s="1"/>
  <c r="AB61" s="1"/>
  <c r="N70"/>
  <c r="Q70" s="1"/>
  <c r="S70" s="1"/>
  <c r="N69"/>
  <c r="Q69" s="1"/>
  <c r="S69" s="1"/>
  <c r="N68"/>
  <c r="Q68" s="1"/>
  <c r="S68" s="1"/>
  <c r="O45" s="1"/>
  <c r="N67"/>
  <c r="N66"/>
  <c r="Q66" s="1"/>
  <c r="S66" s="1"/>
  <c r="N65"/>
  <c r="Q65" s="1"/>
  <c r="S65" s="1"/>
  <c r="N64"/>
  <c r="Q64" s="1"/>
  <c r="S64" s="1"/>
  <c r="N63"/>
  <c r="N62"/>
  <c r="Q62" s="1"/>
  <c r="S62" s="1"/>
  <c r="N61"/>
  <c r="Q61" s="1"/>
  <c r="S61" s="1"/>
  <c r="I71"/>
  <c r="D71"/>
  <c r="C71"/>
  <c r="B71"/>
  <c r="E71" s="1"/>
  <c r="I70"/>
  <c r="E70"/>
  <c r="I69"/>
  <c r="E69"/>
  <c r="H69" s="1"/>
  <c r="J69" s="1"/>
  <c r="I68"/>
  <c r="E68"/>
  <c r="H68" s="1"/>
  <c r="I67"/>
  <c r="E67"/>
  <c r="H67" s="1"/>
  <c r="J67" s="1"/>
  <c r="I66"/>
  <c r="E66"/>
  <c r="H66" s="1"/>
  <c r="I65"/>
  <c r="E65"/>
  <c r="H65" s="1"/>
  <c r="J65" s="1"/>
  <c r="I64"/>
  <c r="E64"/>
  <c r="H64" s="1"/>
  <c r="I63"/>
  <c r="E63"/>
  <c r="H63" s="1"/>
  <c r="J63" s="1"/>
  <c r="I62"/>
  <c r="E62"/>
  <c r="H62" s="1"/>
  <c r="I61"/>
  <c r="E61"/>
  <c r="H61" s="1"/>
  <c r="J61" s="1"/>
  <c r="H43" i="239" l="1"/>
  <c r="X45" i="2"/>
  <c r="X46" s="1"/>
  <c r="X47" s="1"/>
  <c r="X48" s="1"/>
  <c r="X50" s="1"/>
  <c r="O46"/>
  <c r="O47" s="1"/>
  <c r="O48" s="1"/>
  <c r="O50" s="1"/>
  <c r="AP45"/>
  <c r="AP46" s="1"/>
  <c r="AP47" s="1"/>
  <c r="AP48" s="1"/>
  <c r="AP50" s="1"/>
  <c r="CI46"/>
  <c r="CI47" s="1"/>
  <c r="CI48" s="1"/>
  <c r="CI50" s="1"/>
  <c r="CR45"/>
  <c r="CR46" s="1"/>
  <c r="CR47" s="1"/>
  <c r="CR48" s="1"/>
  <c r="CR50" s="1"/>
  <c r="BQ45"/>
  <c r="BQ46" s="1"/>
  <c r="BQ47" s="1"/>
  <c r="BQ48" s="1"/>
  <c r="BQ50" s="1"/>
  <c r="BH45"/>
  <c r="BH46" s="1"/>
  <c r="BH47" s="1"/>
  <c r="BH48" s="1"/>
  <c r="BH50" s="1"/>
  <c r="C34" i="230"/>
  <c r="C22" i="163"/>
  <c r="G34" i="230"/>
  <c r="V56" i="21"/>
  <c r="G22" i="163"/>
  <c r="K34" i="230"/>
  <c r="AL56" i="21"/>
  <c r="K22" i="163"/>
  <c r="C41" i="235"/>
  <c r="C36"/>
  <c r="E41"/>
  <c r="E36"/>
  <c r="I41"/>
  <c r="I36"/>
  <c r="K41"/>
  <c r="K36"/>
  <c r="AK51" i="36"/>
  <c r="J34" i="239"/>
  <c r="AK57" i="36"/>
  <c r="J22" i="183"/>
  <c r="E51" i="36"/>
  <c r="B34" i="239"/>
  <c r="E57" i="36"/>
  <c r="C27" i="170"/>
  <c r="B22" i="183"/>
  <c r="B5" i="239"/>
  <c r="B27" i="170"/>
  <c r="B21" i="183"/>
  <c r="G5" i="239"/>
  <c r="G37" s="1"/>
  <c r="G21" i="183"/>
  <c r="L5" i="239"/>
  <c r="L21" i="183"/>
  <c r="L44" i="239"/>
  <c r="L39"/>
  <c r="C41" i="234"/>
  <c r="C36"/>
  <c r="G36"/>
  <c r="G41"/>
  <c r="K41"/>
  <c r="K36"/>
  <c r="J22" i="177"/>
  <c r="Y51" i="36"/>
  <c r="G34" i="239"/>
  <c r="Y57" i="36"/>
  <c r="G22" i="183"/>
  <c r="E43" i="239"/>
  <c r="E38"/>
  <c r="K44"/>
  <c r="K39"/>
  <c r="L41"/>
  <c r="L36"/>
  <c r="J38"/>
  <c r="J43"/>
  <c r="C43"/>
  <c r="C38"/>
  <c r="E34" i="230"/>
  <c r="N56" i="21"/>
  <c r="E22" i="163"/>
  <c r="I34" i="230"/>
  <c r="AD56" i="21"/>
  <c r="I22" i="163"/>
  <c r="B41" i="234"/>
  <c r="B36"/>
  <c r="D41" i="235"/>
  <c r="D36"/>
  <c r="F41"/>
  <c r="F36"/>
  <c r="H36"/>
  <c r="H41"/>
  <c r="J41"/>
  <c r="J36"/>
  <c r="L41"/>
  <c r="L36"/>
  <c r="AC51" i="36"/>
  <c r="H34" i="239"/>
  <c r="AC57" i="36"/>
  <c r="H22" i="183"/>
  <c r="M51" i="36"/>
  <c r="D34" i="239"/>
  <c r="M57" i="36"/>
  <c r="D22" i="183"/>
  <c r="I38" i="239"/>
  <c r="I43"/>
  <c r="B42"/>
  <c r="B37"/>
  <c r="J5"/>
  <c r="J42" s="1"/>
  <c r="J21" i="183"/>
  <c r="G43" i="239"/>
  <c r="G38"/>
  <c r="F39"/>
  <c r="F44"/>
  <c r="G42"/>
  <c r="K43"/>
  <c r="K38"/>
  <c r="AM48" i="35"/>
  <c r="I22" i="177" s="1"/>
  <c r="CE45" i="34"/>
  <c r="DE11"/>
  <c r="DS11"/>
  <c r="DZ12"/>
  <c r="EU11"/>
  <c r="FB12"/>
  <c r="AB48" i="35"/>
  <c r="G22" i="179" s="1"/>
  <c r="J64" i="2"/>
  <c r="J68"/>
  <c r="F45" s="1"/>
  <c r="F46" s="1"/>
  <c r="F47" s="1"/>
  <c r="CJ12" i="34"/>
  <c r="BA48" i="35"/>
  <c r="AW48"/>
  <c r="K22" i="177" s="1"/>
  <c r="AG48" i="35"/>
  <c r="H22" i="179" s="1"/>
  <c r="AC48" i="35"/>
  <c r="G22" i="177" s="1"/>
  <c r="M48" i="35"/>
  <c r="D22" i="179" s="1"/>
  <c r="I48" i="35"/>
  <c r="C22" i="177" s="1"/>
  <c r="AS51" i="36"/>
  <c r="AS57"/>
  <c r="I42" i="239"/>
  <c r="G36" i="235"/>
  <c r="G41"/>
  <c r="U51" i="36"/>
  <c r="F34" i="239"/>
  <c r="U57" i="36"/>
  <c r="F22" i="183"/>
  <c r="I44" i="239"/>
  <c r="I39"/>
  <c r="G39"/>
  <c r="G44"/>
  <c r="H5"/>
  <c r="H21" i="183"/>
  <c r="F43" i="239"/>
  <c r="F38"/>
  <c r="B34" i="230"/>
  <c r="B22" i="163"/>
  <c r="F34" i="230"/>
  <c r="R56" i="21"/>
  <c r="F22" i="163"/>
  <c r="J34" i="230"/>
  <c r="AH56" i="21"/>
  <c r="J22" i="163"/>
  <c r="E41" i="234"/>
  <c r="E36"/>
  <c r="I41"/>
  <c r="I36"/>
  <c r="AO51" i="36"/>
  <c r="K34" i="239"/>
  <c r="AO57" i="36"/>
  <c r="K22" i="183"/>
  <c r="I51" i="36"/>
  <c r="C34" i="239"/>
  <c r="I57" i="36"/>
  <c r="C22" i="183"/>
  <c r="F5" i="239"/>
  <c r="F21" i="183"/>
  <c r="B44" i="239"/>
  <c r="B39"/>
  <c r="K5"/>
  <c r="K21" i="183"/>
  <c r="D34" i="230"/>
  <c r="J56" i="21"/>
  <c r="D22" i="163"/>
  <c r="H34" i="230"/>
  <c r="Z56" i="21"/>
  <c r="H22" i="163"/>
  <c r="L34" i="230"/>
  <c r="AP56" i="21"/>
  <c r="L22" i="163"/>
  <c r="B34" i="235"/>
  <c r="G49" i="34"/>
  <c r="D41" i="234"/>
  <c r="D36"/>
  <c r="F41"/>
  <c r="F36"/>
  <c r="H36"/>
  <c r="H41"/>
  <c r="J41"/>
  <c r="J36"/>
  <c r="L41"/>
  <c r="L36"/>
  <c r="AG51" i="36"/>
  <c r="I34" i="239"/>
  <c r="AG57" i="36"/>
  <c r="I22" i="183"/>
  <c r="Q51" i="36"/>
  <c r="E34" i="239"/>
  <c r="Q57" i="36"/>
  <c r="E22" i="183"/>
  <c r="E44" i="239"/>
  <c r="E39"/>
  <c r="F42"/>
  <c r="F37"/>
  <c r="C44"/>
  <c r="C39"/>
  <c r="H42"/>
  <c r="H37"/>
  <c r="J44"/>
  <c r="J39"/>
  <c r="B38"/>
  <c r="B43"/>
  <c r="K42"/>
  <c r="K37"/>
  <c r="C5"/>
  <c r="C37" s="1"/>
  <c r="C21" i="183"/>
  <c r="L37" i="239"/>
  <c r="L42"/>
  <c r="D5"/>
  <c r="D42" s="1"/>
  <c r="D21" i="183"/>
  <c r="DL12" i="34"/>
  <c r="EG11"/>
  <c r="EN12"/>
  <c r="AV48" i="35"/>
  <c r="K22" i="179" s="1"/>
  <c r="H48" i="35"/>
  <c r="C22" i="179" s="1"/>
  <c r="J62" i="2"/>
  <c r="J66"/>
  <c r="DC10" i="34"/>
  <c r="DJ11"/>
  <c r="DQ10"/>
  <c r="DX11"/>
  <c r="EE10"/>
  <c r="EL11"/>
  <c r="ES10"/>
  <c r="EZ11"/>
  <c r="BB48" i="35"/>
  <c r="AL48"/>
  <c r="AH48"/>
  <c r="H22" i="177" s="1"/>
  <c r="R48" i="35"/>
  <c r="E22" i="179" s="1"/>
  <c r="N48" i="35"/>
  <c r="D22" i="177" s="1"/>
  <c r="CX12" i="34"/>
  <c r="CV11"/>
  <c r="CH10"/>
  <c r="CJ10" s="1"/>
  <c r="CJ11"/>
  <c r="H12"/>
  <c r="O8"/>
  <c r="O9"/>
  <c r="O10"/>
  <c r="O11"/>
  <c r="O12"/>
  <c r="V8"/>
  <c r="V9"/>
  <c r="V10"/>
  <c r="V11"/>
  <c r="V12"/>
  <c r="V13"/>
  <c r="AC8"/>
  <c r="AC9"/>
  <c r="AC10"/>
  <c r="AC11"/>
  <c r="AC12"/>
  <c r="AJ8"/>
  <c r="AJ9"/>
  <c r="AJ10"/>
  <c r="AJ11"/>
  <c r="AJ12"/>
  <c r="AQ8"/>
  <c r="AQ9"/>
  <c r="AQ10"/>
  <c r="AQ11"/>
  <c r="AQ12"/>
  <c r="AX8"/>
  <c r="AX9"/>
  <c r="AX10"/>
  <c r="AX11"/>
  <c r="AX12"/>
  <c r="BE8"/>
  <c r="BE9"/>
  <c r="BE10"/>
  <c r="BE11"/>
  <c r="BE12"/>
  <c r="BL8"/>
  <c r="BL9"/>
  <c r="BL10"/>
  <c r="BL11"/>
  <c r="BL12"/>
  <c r="BS8"/>
  <c r="BS9"/>
  <c r="BS10"/>
  <c r="BS11"/>
  <c r="BS12"/>
  <c r="BZ8"/>
  <c r="BZ9"/>
  <c r="BZ10"/>
  <c r="BZ11"/>
  <c r="BZ12"/>
  <c r="CO11"/>
  <c r="CX13"/>
  <c r="CH9"/>
  <c r="G11"/>
  <c r="CF45"/>
  <c r="CG44"/>
  <c r="CM45"/>
  <c r="CN44"/>
  <c r="CT45"/>
  <c r="CU44"/>
  <c r="DA45"/>
  <c r="DB44"/>
  <c r="DH45"/>
  <c r="DI44"/>
  <c r="DO45"/>
  <c r="DP44"/>
  <c r="DV45"/>
  <c r="DW44"/>
  <c r="EC45"/>
  <c r="ED44"/>
  <c r="EJ45"/>
  <c r="EK44"/>
  <c r="EQ45"/>
  <c r="ER44"/>
  <c r="EX45"/>
  <c r="EY44"/>
  <c r="CJ45"/>
  <c r="CQ45"/>
  <c r="CX45"/>
  <c r="DE45"/>
  <c r="DL45"/>
  <c r="DS45"/>
  <c r="DZ45"/>
  <c r="EG45"/>
  <c r="EN45"/>
  <c r="EU45"/>
  <c r="FB45"/>
  <c r="CD47"/>
  <c r="CK47"/>
  <c r="CL46"/>
  <c r="CR47"/>
  <c r="CS46"/>
  <c r="CY47"/>
  <c r="CZ46"/>
  <c r="DF47"/>
  <c r="DG46"/>
  <c r="DM47"/>
  <c r="DN46"/>
  <c r="DT47"/>
  <c r="DU46"/>
  <c r="EA47"/>
  <c r="EB46"/>
  <c r="EH47"/>
  <c r="EI46"/>
  <c r="EO47"/>
  <c r="EP46"/>
  <c r="EV47"/>
  <c r="EW46"/>
  <c r="CG43"/>
  <c r="CN43"/>
  <c r="CU43"/>
  <c r="DB43"/>
  <c r="DI43"/>
  <c r="DP43"/>
  <c r="DW43"/>
  <c r="ED43"/>
  <c r="EK43"/>
  <c r="ER43"/>
  <c r="EY43"/>
  <c r="CJ44"/>
  <c r="CQ44"/>
  <c r="CX44"/>
  <c r="DE44"/>
  <c r="DL44"/>
  <c r="DS44"/>
  <c r="DZ44"/>
  <c r="EG44"/>
  <c r="EN44"/>
  <c r="EU44"/>
  <c r="FB44"/>
  <c r="CL45"/>
  <c r="CS45"/>
  <c r="CZ45"/>
  <c r="DG45"/>
  <c r="DN45"/>
  <c r="DU45"/>
  <c r="EB45"/>
  <c r="EI45"/>
  <c r="EP45"/>
  <c r="EW45"/>
  <c r="AW46" i="21"/>
  <c r="BA46"/>
  <c r="BE46"/>
  <c r="BI46"/>
  <c r="BM46"/>
  <c r="BQ46"/>
  <c r="BU46"/>
  <c r="BY46"/>
  <c r="CC46"/>
  <c r="CG46"/>
  <c r="CK46"/>
  <c r="H71" i="2"/>
  <c r="J71" s="1"/>
  <c r="F48" s="1"/>
  <c r="F50" s="1"/>
  <c r="H70"/>
  <c r="J70" s="1"/>
  <c r="J37" i="239" l="1"/>
  <c r="FB11" i="34"/>
  <c r="EZ10"/>
  <c r="DZ11"/>
  <c r="DX10"/>
  <c r="I41" i="230"/>
  <c r="I36"/>
  <c r="G36" i="239"/>
  <c r="G41"/>
  <c r="B41"/>
  <c r="B36"/>
  <c r="K41" i="230"/>
  <c r="K36"/>
  <c r="L22" i="177"/>
  <c r="D41" i="230"/>
  <c r="D36"/>
  <c r="B41"/>
  <c r="B36"/>
  <c r="E41"/>
  <c r="E36"/>
  <c r="G36"/>
  <c r="G41"/>
  <c r="I22" i="179"/>
  <c r="EN11" i="34"/>
  <c r="EL10"/>
  <c r="DL11"/>
  <c r="DJ10"/>
  <c r="B41" i="235"/>
  <c r="B36"/>
  <c r="C41" i="239"/>
  <c r="C36"/>
  <c r="K41"/>
  <c r="K36"/>
  <c r="J41" i="230"/>
  <c r="J36"/>
  <c r="F41" i="239"/>
  <c r="F36"/>
  <c r="L22" i="179"/>
  <c r="C42" i="239"/>
  <c r="D37"/>
  <c r="H36" i="230"/>
  <c r="H41"/>
  <c r="D41" i="239"/>
  <c r="D36"/>
  <c r="H36"/>
  <c r="H41"/>
  <c r="J41"/>
  <c r="J36"/>
  <c r="EG10" i="34"/>
  <c r="EE9"/>
  <c r="DE10"/>
  <c r="DC9"/>
  <c r="EU10"/>
  <c r="ES9"/>
  <c r="DS10"/>
  <c r="DQ9"/>
  <c r="E41" i="239"/>
  <c r="E36"/>
  <c r="I41"/>
  <c r="I36"/>
  <c r="L41" i="230"/>
  <c r="L36"/>
  <c r="F41"/>
  <c r="F36"/>
  <c r="C41"/>
  <c r="C36"/>
  <c r="CO10" i="34"/>
  <c r="CQ11"/>
  <c r="CX11"/>
  <c r="CV10"/>
  <c r="CH8"/>
  <c r="CJ8" s="1"/>
  <c r="CJ9"/>
  <c r="G10"/>
  <c r="H11"/>
  <c r="EV49"/>
  <c r="EW47"/>
  <c r="EW49" s="1"/>
  <c r="EO49"/>
  <c r="EP47"/>
  <c r="EP49" s="1"/>
  <c r="EH49"/>
  <c r="EI47"/>
  <c r="EI49" s="1"/>
  <c r="EA49"/>
  <c r="EB47"/>
  <c r="EB49" s="1"/>
  <c r="DT49"/>
  <c r="DU47"/>
  <c r="DU49" s="1"/>
  <c r="DM49"/>
  <c r="DN47"/>
  <c r="DN49" s="1"/>
  <c r="DF49"/>
  <c r="DG47"/>
  <c r="DG49" s="1"/>
  <c r="CY49"/>
  <c r="CZ47"/>
  <c r="CZ49" s="1"/>
  <c r="CR49"/>
  <c r="CS47"/>
  <c r="CS49" s="1"/>
  <c r="CK49"/>
  <c r="CL47"/>
  <c r="CL49" s="1"/>
  <c r="CD49"/>
  <c r="CE47"/>
  <c r="CE49" s="1"/>
  <c r="EZ47"/>
  <c r="FB46"/>
  <c r="ES47"/>
  <c r="EU46"/>
  <c r="EL47"/>
  <c r="EN46"/>
  <c r="EE47"/>
  <c r="EG46"/>
  <c r="DX47"/>
  <c r="DZ46"/>
  <c r="DQ47"/>
  <c r="DS46"/>
  <c r="DJ47"/>
  <c r="DL46"/>
  <c r="DC47"/>
  <c r="DE46"/>
  <c r="CV47"/>
  <c r="CX46"/>
  <c r="CO47"/>
  <c r="CQ46"/>
  <c r="CH47"/>
  <c r="CJ46"/>
  <c r="EX46"/>
  <c r="EY45"/>
  <c r="EQ46"/>
  <c r="ER45"/>
  <c r="EJ46"/>
  <c r="EK45"/>
  <c r="EC46"/>
  <c r="ED45"/>
  <c r="DV46"/>
  <c r="DW45"/>
  <c r="DO46"/>
  <c r="DP45"/>
  <c r="DH46"/>
  <c r="DI45"/>
  <c r="DA46"/>
  <c r="DB45"/>
  <c r="CT46"/>
  <c r="CU45"/>
  <c r="CM46"/>
  <c r="CN45"/>
  <c r="CF46"/>
  <c r="CG45"/>
  <c r="CK48" i="21"/>
  <c r="CG48"/>
  <c r="CC48"/>
  <c r="BY48"/>
  <c r="BU48"/>
  <c r="BQ48"/>
  <c r="BM48"/>
  <c r="BI48"/>
  <c r="BE48"/>
  <c r="BA48"/>
  <c r="AW48"/>
  <c r="AW56"/>
  <c r="AW57"/>
  <c r="DS9" i="34" l="1"/>
  <c r="DQ8"/>
  <c r="DS8" s="1"/>
  <c r="DE9"/>
  <c r="DC8"/>
  <c r="DE8" s="1"/>
  <c r="EN10"/>
  <c r="EL9"/>
  <c r="FB10"/>
  <c r="EZ9"/>
  <c r="EU9"/>
  <c r="ES8"/>
  <c r="EU8" s="1"/>
  <c r="EG9"/>
  <c r="EE8"/>
  <c r="EG8" s="1"/>
  <c r="DL10"/>
  <c r="DJ9"/>
  <c r="DZ10"/>
  <c r="DX9"/>
  <c r="CX10"/>
  <c r="CV9"/>
  <c r="CO9"/>
  <c r="CQ10"/>
  <c r="G9"/>
  <c r="H10"/>
  <c r="CF47"/>
  <c r="CG46"/>
  <c r="CM47"/>
  <c r="CN46"/>
  <c r="CT47"/>
  <c r="CU46"/>
  <c r="DA47"/>
  <c r="DB46"/>
  <c r="DH47"/>
  <c r="DI46"/>
  <c r="DO47"/>
  <c r="DP46"/>
  <c r="DV47"/>
  <c r="DW46"/>
  <c r="EC47"/>
  <c r="ED46"/>
  <c r="EJ47"/>
  <c r="EK46"/>
  <c r="EQ47"/>
  <c r="ER46"/>
  <c r="EX47"/>
  <c r="EY46"/>
  <c r="CH49"/>
  <c r="CJ47"/>
  <c r="CJ49" s="1"/>
  <c r="CO49"/>
  <c r="CQ47"/>
  <c r="CQ49" s="1"/>
  <c r="CV49"/>
  <c r="CX47"/>
  <c r="CX49" s="1"/>
  <c r="DC49"/>
  <c r="DE47"/>
  <c r="DE49" s="1"/>
  <c r="DJ49"/>
  <c r="DL47"/>
  <c r="DL49" s="1"/>
  <c r="DQ49"/>
  <c r="DS47"/>
  <c r="DS49" s="1"/>
  <c r="DX49"/>
  <c r="DZ47"/>
  <c r="DZ49" s="1"/>
  <c r="EE49"/>
  <c r="EG47"/>
  <c r="EG49" s="1"/>
  <c r="EL49"/>
  <c r="EN47"/>
  <c r="EN49" s="1"/>
  <c r="ES49"/>
  <c r="EU47"/>
  <c r="EU49" s="1"/>
  <c r="EZ49"/>
  <c r="FB47"/>
  <c r="FB49" s="1"/>
  <c r="AW58" i="21"/>
  <c r="AW59" s="1"/>
  <c r="AW60" s="1"/>
  <c r="EN9" i="34" l="1"/>
  <c r="EL8"/>
  <c r="EN8" s="1"/>
  <c r="DL9"/>
  <c r="DJ8"/>
  <c r="DL8" s="1"/>
  <c r="DZ9"/>
  <c r="DX8"/>
  <c r="DZ8" s="1"/>
  <c r="FB9"/>
  <c r="EZ8"/>
  <c r="FB8" s="1"/>
  <c r="AW61" i="21"/>
  <c r="AW62" s="1"/>
  <c r="CO8" i="34"/>
  <c r="CQ8" s="1"/>
  <c r="CQ9"/>
  <c r="CX9"/>
  <c r="CV8"/>
  <c r="CX8" s="1"/>
  <c r="G8"/>
  <c r="H8" s="1"/>
  <c r="H9"/>
  <c r="EX49"/>
  <c r="EY47"/>
  <c r="EY49" s="1"/>
  <c r="EQ49"/>
  <c r="ER47"/>
  <c r="ER49" s="1"/>
  <c r="EJ49"/>
  <c r="EK47"/>
  <c r="EK49" s="1"/>
  <c r="EC49"/>
  <c r="ED47"/>
  <c r="ED49" s="1"/>
  <c r="DV49"/>
  <c r="DW47"/>
  <c r="DW49" s="1"/>
  <c r="DO49"/>
  <c r="DP47"/>
  <c r="DP49" s="1"/>
  <c r="DH49"/>
  <c r="DI47"/>
  <c r="DI49" s="1"/>
  <c r="DA49"/>
  <c r="DB47"/>
  <c r="DB49" s="1"/>
  <c r="CT49"/>
  <c r="CU47"/>
  <c r="CU49" s="1"/>
  <c r="CM49"/>
  <c r="CN47"/>
  <c r="CN49" s="1"/>
  <c r="CF49"/>
  <c r="CG47"/>
  <c r="CG49" s="1"/>
  <c r="BB39" i="21" l="1"/>
  <c r="AX36"/>
  <c r="AX32"/>
  <c r="AX28"/>
  <c r="AX24"/>
  <c r="AX20"/>
  <c r="AX16"/>
  <c r="AX12"/>
  <c r="AX8"/>
  <c r="AX34"/>
  <c r="AX26"/>
  <c r="AX18"/>
  <c r="AX10"/>
  <c r="AX27"/>
  <c r="AX19"/>
  <c r="AX11"/>
  <c r="AX37"/>
  <c r="AX33"/>
  <c r="AX29"/>
  <c r="AX25"/>
  <c r="AX21"/>
  <c r="AX17"/>
  <c r="AX13"/>
  <c r="AX9"/>
  <c r="AX30"/>
  <c r="AX22"/>
  <c r="AX14"/>
  <c r="AX35"/>
  <c r="AX31"/>
  <c r="AX23"/>
  <c r="AX15"/>
  <c r="BJ8"/>
  <c r="BJ10"/>
  <c r="BJ12"/>
  <c r="BJ14"/>
  <c r="BJ16"/>
  <c r="BJ18"/>
  <c r="BJ20"/>
  <c r="BJ22"/>
  <c r="BJ24"/>
  <c r="BJ26"/>
  <c r="BJ28"/>
  <c r="BJ30"/>
  <c r="BJ32"/>
  <c r="BJ34"/>
  <c r="BJ36"/>
  <c r="BJ38"/>
  <c r="BJ39"/>
  <c r="BB7"/>
  <c r="BF8"/>
  <c r="BF9"/>
  <c r="BF10"/>
  <c r="BF11"/>
  <c r="BF12"/>
  <c r="BF13"/>
  <c r="BF14"/>
  <c r="BF15"/>
  <c r="BF16"/>
  <c r="BF17"/>
  <c r="BF18"/>
  <c r="BF19"/>
  <c r="BF20"/>
  <c r="BF21"/>
  <c r="BF22"/>
  <c r="BF23"/>
  <c r="BF24"/>
  <c r="BF25"/>
  <c r="BF26"/>
  <c r="BF27"/>
  <c r="BF28"/>
  <c r="BF29"/>
  <c r="BF30"/>
  <c r="BF31"/>
  <c r="BF32"/>
  <c r="BF33"/>
  <c r="BF34"/>
  <c r="BF35"/>
  <c r="BF36"/>
  <c r="BF37"/>
  <c r="BF38"/>
  <c r="BF39"/>
  <c r="AX38"/>
  <c r="AX39"/>
  <c r="BF7"/>
  <c r="BJ9"/>
  <c r="BJ11"/>
  <c r="BJ13"/>
  <c r="BJ15"/>
  <c r="BJ17"/>
  <c r="BJ19"/>
  <c r="BJ21"/>
  <c r="BJ23"/>
  <c r="BJ25"/>
  <c r="BJ27"/>
  <c r="BJ29"/>
  <c r="BJ31"/>
  <c r="BJ33"/>
  <c r="BJ35"/>
  <c r="BJ37"/>
  <c r="AX7"/>
  <c r="BB8"/>
  <c r="BB9"/>
  <c r="BB10"/>
  <c r="BB11"/>
  <c r="BB12"/>
  <c r="BB13"/>
  <c r="BB14"/>
  <c r="BB15"/>
  <c r="BB16"/>
  <c r="BB17"/>
  <c r="BB18"/>
  <c r="BB19"/>
  <c r="BB20"/>
  <c r="BB21"/>
  <c r="BB22"/>
  <c r="BB23"/>
  <c r="BB24"/>
  <c r="BB25"/>
  <c r="BB26"/>
  <c r="BB27"/>
  <c r="BB28"/>
  <c r="BB29"/>
  <c r="BB30"/>
  <c r="BB31"/>
  <c r="BB32"/>
  <c r="BB33"/>
  <c r="BB34"/>
  <c r="BB35"/>
  <c r="BB36"/>
  <c r="BB37"/>
  <c r="BB38"/>
  <c r="AQ48"/>
  <c r="AP48"/>
  <c r="AM48"/>
  <c r="AL48"/>
  <c r="AI48"/>
  <c r="AH48"/>
  <c r="AE48"/>
  <c r="AD48"/>
  <c r="AA48"/>
  <c r="Z48"/>
  <c r="W48"/>
  <c r="V48"/>
  <c r="S48"/>
  <c r="R48"/>
  <c r="O48"/>
  <c r="N48"/>
  <c r="K48"/>
  <c r="J48"/>
  <c r="F48"/>
  <c r="C48"/>
  <c r="AR46"/>
  <c r="L34" i="232" s="1"/>
  <c r="AN46" i="21"/>
  <c r="K34" i="232" s="1"/>
  <c r="AJ46" i="21"/>
  <c r="J34" i="232" s="1"/>
  <c r="AF46" i="21"/>
  <c r="I34" i="232" s="1"/>
  <c r="AB46" i="21"/>
  <c r="H34" i="232" s="1"/>
  <c r="X46" i="21"/>
  <c r="G34" i="232" s="1"/>
  <c r="T46" i="21"/>
  <c r="F34" i="232" s="1"/>
  <c r="P46" i="21"/>
  <c r="E34" i="232" s="1"/>
  <c r="L46" i="21"/>
  <c r="D34" i="232" s="1"/>
  <c r="H46" i="21"/>
  <c r="C34" i="232" s="1"/>
  <c r="B48" i="21"/>
  <c r="K69" i="82"/>
  <c r="L69"/>
  <c r="M69"/>
  <c r="N69"/>
  <c r="O69"/>
  <c r="P69"/>
  <c r="Q69"/>
  <c r="R69"/>
  <c r="S69"/>
  <c r="T69"/>
  <c r="U69"/>
  <c r="V56"/>
  <c r="V57" s="1"/>
  <c r="V58" s="1"/>
  <c r="V59" s="1"/>
  <c r="V60" s="1"/>
  <c r="V61" s="1"/>
  <c r="V62" s="1"/>
  <c r="V63" s="1"/>
  <c r="H172"/>
  <c r="G172"/>
  <c r="F172"/>
  <c r="E172"/>
  <c r="D172"/>
  <c r="B172"/>
  <c r="H163"/>
  <c r="G163"/>
  <c r="F163"/>
  <c r="E163"/>
  <c r="D163"/>
  <c r="B163"/>
  <c r="H154"/>
  <c r="G154"/>
  <c r="F154"/>
  <c r="E154"/>
  <c r="D154"/>
  <c r="B154"/>
  <c r="H145"/>
  <c r="G145"/>
  <c r="F145"/>
  <c r="E145"/>
  <c r="D145"/>
  <c r="B145"/>
  <c r="H136"/>
  <c r="G136"/>
  <c r="F136"/>
  <c r="E136"/>
  <c r="D136"/>
  <c r="B136"/>
  <c r="H127"/>
  <c r="G127"/>
  <c r="F127"/>
  <c r="E127"/>
  <c r="D127"/>
  <c r="B127"/>
  <c r="H118"/>
  <c r="G118"/>
  <c r="F118"/>
  <c r="E118"/>
  <c r="D118"/>
  <c r="B118"/>
  <c r="H109"/>
  <c r="G109"/>
  <c r="F109"/>
  <c r="E109"/>
  <c r="D109"/>
  <c r="B109"/>
  <c r="H100"/>
  <c r="G100"/>
  <c r="F100"/>
  <c r="E100"/>
  <c r="D100"/>
  <c r="B100"/>
  <c r="H91"/>
  <c r="G91"/>
  <c r="F91"/>
  <c r="E91"/>
  <c r="D91"/>
  <c r="B91"/>
  <c r="H82"/>
  <c r="G82"/>
  <c r="F82"/>
  <c r="E82"/>
  <c r="D82"/>
  <c r="B82"/>
  <c r="R172"/>
  <c r="Q172"/>
  <c r="P172"/>
  <c r="D58" s="1"/>
  <c r="O172"/>
  <c r="N172"/>
  <c r="L172"/>
  <c r="D55" s="1"/>
  <c r="R163"/>
  <c r="Q163"/>
  <c r="P163"/>
  <c r="D53" s="1"/>
  <c r="O163"/>
  <c r="N163"/>
  <c r="L163"/>
  <c r="D50" s="1"/>
  <c r="R154"/>
  <c r="Q154"/>
  <c r="P154"/>
  <c r="D48" s="1"/>
  <c r="O154"/>
  <c r="N154"/>
  <c r="L154"/>
  <c r="D45" s="1"/>
  <c r="R145"/>
  <c r="Q145"/>
  <c r="P145"/>
  <c r="D43" s="1"/>
  <c r="O145"/>
  <c r="N145"/>
  <c r="L145"/>
  <c r="D40" s="1"/>
  <c r="R136"/>
  <c r="Q136"/>
  <c r="P136"/>
  <c r="D38" s="1"/>
  <c r="O136"/>
  <c r="N136"/>
  <c r="L136"/>
  <c r="D35" s="1"/>
  <c r="R127"/>
  <c r="Q127"/>
  <c r="P127"/>
  <c r="D33" s="1"/>
  <c r="O127"/>
  <c r="N127"/>
  <c r="L127"/>
  <c r="D30" s="1"/>
  <c r="R118"/>
  <c r="Q118"/>
  <c r="P118"/>
  <c r="D28" s="1"/>
  <c r="O118"/>
  <c r="N118"/>
  <c r="L118"/>
  <c r="D25" s="1"/>
  <c r="R109"/>
  <c r="Q109"/>
  <c r="P109"/>
  <c r="D23" s="1"/>
  <c r="O109"/>
  <c r="N109"/>
  <c r="L109"/>
  <c r="D20" s="1"/>
  <c r="R100"/>
  <c r="Q100"/>
  <c r="P100"/>
  <c r="D18" s="1"/>
  <c r="O100"/>
  <c r="N100"/>
  <c r="L100"/>
  <c r="D15" s="1"/>
  <c r="R91"/>
  <c r="Q91"/>
  <c r="P91"/>
  <c r="D13" s="1"/>
  <c r="O91"/>
  <c r="N91"/>
  <c r="L91"/>
  <c r="D10" s="1"/>
  <c r="R82"/>
  <c r="Q82"/>
  <c r="P82"/>
  <c r="D8" s="1"/>
  <c r="O82"/>
  <c r="N82"/>
  <c r="L82"/>
  <c r="D5" s="1"/>
  <c r="B46" i="61"/>
  <c r="C47" i="70"/>
  <c r="C48" i="71"/>
  <c r="C48" i="73"/>
  <c r="C48" i="74"/>
  <c r="C48" i="75"/>
  <c r="C48" i="76"/>
  <c r="C48" i="77"/>
  <c r="C48" i="78"/>
  <c r="C48" i="79"/>
  <c r="C48" i="80"/>
  <c r="C48" i="72"/>
  <c r="J37" i="70"/>
  <c r="J38"/>
  <c r="J39"/>
  <c r="J40"/>
  <c r="J41"/>
  <c r="J42"/>
  <c r="J43"/>
  <c r="J44"/>
  <c r="J15"/>
  <c r="J16"/>
  <c r="J17"/>
  <c r="J18"/>
  <c r="J19"/>
  <c r="J20"/>
  <c r="J21"/>
  <c r="J22"/>
  <c r="J23"/>
  <c r="J24"/>
  <c r="J25"/>
  <c r="J26"/>
  <c r="J27"/>
  <c r="J28"/>
  <c r="J29"/>
  <c r="J30"/>
  <c r="J31"/>
  <c r="J32"/>
  <c r="J33"/>
  <c r="J34"/>
  <c r="J35"/>
  <c r="K38" i="71"/>
  <c r="K39"/>
  <c r="K40"/>
  <c r="K41"/>
  <c r="K42"/>
  <c r="K43"/>
  <c r="K44"/>
  <c r="K45"/>
  <c r="K16"/>
  <c r="K17"/>
  <c r="K18"/>
  <c r="K19"/>
  <c r="K20"/>
  <c r="K21"/>
  <c r="K22"/>
  <c r="K23"/>
  <c r="K24"/>
  <c r="K25"/>
  <c r="K26"/>
  <c r="K27"/>
  <c r="K28"/>
  <c r="K29"/>
  <c r="K30"/>
  <c r="K31"/>
  <c r="K32"/>
  <c r="K33"/>
  <c r="K34"/>
  <c r="K35"/>
  <c r="K36"/>
  <c r="K38" i="72"/>
  <c r="K39"/>
  <c r="K40"/>
  <c r="K41"/>
  <c r="K42"/>
  <c r="K43"/>
  <c r="K44"/>
  <c r="K45"/>
  <c r="K48" s="1"/>
  <c r="K16"/>
  <c r="K17"/>
  <c r="K18"/>
  <c r="K19"/>
  <c r="K20"/>
  <c r="K21"/>
  <c r="K22"/>
  <c r="K23"/>
  <c r="K24"/>
  <c r="K25"/>
  <c r="K26"/>
  <c r="K27"/>
  <c r="K28"/>
  <c r="K29"/>
  <c r="K30"/>
  <c r="K31"/>
  <c r="K32"/>
  <c r="K33"/>
  <c r="K34"/>
  <c r="K35"/>
  <c r="K36"/>
  <c r="K38" i="73"/>
  <c r="K39"/>
  <c r="K40"/>
  <c r="K41"/>
  <c r="K42"/>
  <c r="K43"/>
  <c r="K44"/>
  <c r="K45"/>
  <c r="K48" s="1"/>
  <c r="K16"/>
  <c r="K17"/>
  <c r="K18"/>
  <c r="K19"/>
  <c r="K20"/>
  <c r="K21"/>
  <c r="K22"/>
  <c r="K23"/>
  <c r="K24"/>
  <c r="K25"/>
  <c r="K26"/>
  <c r="K27"/>
  <c r="K28"/>
  <c r="K29"/>
  <c r="K30"/>
  <c r="K31"/>
  <c r="K32"/>
  <c r="K33"/>
  <c r="K34"/>
  <c r="K35"/>
  <c r="K36"/>
  <c r="K38" i="74"/>
  <c r="K39"/>
  <c r="K40"/>
  <c r="K41"/>
  <c r="K42"/>
  <c r="K43"/>
  <c r="K44"/>
  <c r="K45"/>
  <c r="K16"/>
  <c r="K17"/>
  <c r="K18"/>
  <c r="K19"/>
  <c r="K20"/>
  <c r="K21"/>
  <c r="K22"/>
  <c r="K23"/>
  <c r="K24"/>
  <c r="K25"/>
  <c r="K26"/>
  <c r="K27"/>
  <c r="K28"/>
  <c r="K29"/>
  <c r="K30"/>
  <c r="K31"/>
  <c r="K32"/>
  <c r="K33"/>
  <c r="K34"/>
  <c r="K35"/>
  <c r="K36"/>
  <c r="K38" i="75"/>
  <c r="K39"/>
  <c r="K40"/>
  <c r="K41"/>
  <c r="K42"/>
  <c r="K43"/>
  <c r="K44"/>
  <c r="K45"/>
  <c r="K16"/>
  <c r="K17"/>
  <c r="K18"/>
  <c r="K19"/>
  <c r="K20"/>
  <c r="K21"/>
  <c r="K22"/>
  <c r="K23"/>
  <c r="K24"/>
  <c r="K25"/>
  <c r="K26"/>
  <c r="K27"/>
  <c r="K28"/>
  <c r="K29"/>
  <c r="K30"/>
  <c r="K31"/>
  <c r="K32"/>
  <c r="K33"/>
  <c r="K34"/>
  <c r="K35"/>
  <c r="K36"/>
  <c r="K38" i="76"/>
  <c r="K39"/>
  <c r="K40"/>
  <c r="K41"/>
  <c r="K42"/>
  <c r="K43"/>
  <c r="K44"/>
  <c r="K45"/>
  <c r="K48" s="1"/>
  <c r="K16"/>
  <c r="K17"/>
  <c r="K18"/>
  <c r="K19"/>
  <c r="K20"/>
  <c r="K21"/>
  <c r="K22"/>
  <c r="K23"/>
  <c r="K24"/>
  <c r="K25"/>
  <c r="K26"/>
  <c r="K27"/>
  <c r="K28"/>
  <c r="K29"/>
  <c r="K30"/>
  <c r="K31"/>
  <c r="K32"/>
  <c r="K33"/>
  <c r="K34"/>
  <c r="K35"/>
  <c r="K36"/>
  <c r="K38" i="77"/>
  <c r="K39"/>
  <c r="K40"/>
  <c r="K41"/>
  <c r="K42"/>
  <c r="K43"/>
  <c r="K44"/>
  <c r="K45"/>
  <c r="K48" s="1"/>
  <c r="K16"/>
  <c r="K17"/>
  <c r="K18"/>
  <c r="K19"/>
  <c r="K20"/>
  <c r="K21"/>
  <c r="K22"/>
  <c r="K23"/>
  <c r="K24"/>
  <c r="K25"/>
  <c r="K26"/>
  <c r="K27"/>
  <c r="K28"/>
  <c r="K29"/>
  <c r="K30"/>
  <c r="K31"/>
  <c r="K32"/>
  <c r="K33"/>
  <c r="K34"/>
  <c r="K35"/>
  <c r="K36"/>
  <c r="K38" i="78"/>
  <c r="K39"/>
  <c r="K40"/>
  <c r="K41"/>
  <c r="K42"/>
  <c r="K43"/>
  <c r="K44"/>
  <c r="K45"/>
  <c r="K16"/>
  <c r="K17"/>
  <c r="K18"/>
  <c r="K19"/>
  <c r="K20"/>
  <c r="K21"/>
  <c r="K22"/>
  <c r="K23"/>
  <c r="K24"/>
  <c r="K25"/>
  <c r="K26"/>
  <c r="K27"/>
  <c r="K28"/>
  <c r="K29"/>
  <c r="K30"/>
  <c r="K31"/>
  <c r="K32"/>
  <c r="K33"/>
  <c r="K34"/>
  <c r="K35"/>
  <c r="K36"/>
  <c r="K38" i="79"/>
  <c r="K39"/>
  <c r="K40"/>
  <c r="K41"/>
  <c r="K42"/>
  <c r="K43"/>
  <c r="K44"/>
  <c r="K45"/>
  <c r="K16"/>
  <c r="K17"/>
  <c r="K18"/>
  <c r="K19"/>
  <c r="K20"/>
  <c r="K21"/>
  <c r="K22"/>
  <c r="K23"/>
  <c r="K24"/>
  <c r="K25"/>
  <c r="K26"/>
  <c r="K27"/>
  <c r="K28"/>
  <c r="K29"/>
  <c r="K30"/>
  <c r="K31"/>
  <c r="K32"/>
  <c r="K33"/>
  <c r="K34"/>
  <c r="K35"/>
  <c r="K36"/>
  <c r="K16" i="80"/>
  <c r="K17"/>
  <c r="K18"/>
  <c r="K19"/>
  <c r="K20"/>
  <c r="K21"/>
  <c r="K22"/>
  <c r="K23"/>
  <c r="K24"/>
  <c r="K25"/>
  <c r="K26"/>
  <c r="K27"/>
  <c r="K28"/>
  <c r="K29"/>
  <c r="K30"/>
  <c r="K31"/>
  <c r="K32"/>
  <c r="K33"/>
  <c r="K34"/>
  <c r="K35"/>
  <c r="K36"/>
  <c r="K38"/>
  <c r="K39"/>
  <c r="K40"/>
  <c r="K41"/>
  <c r="K42"/>
  <c r="K43"/>
  <c r="K44"/>
  <c r="K45"/>
  <c r="K48" s="1"/>
  <c r="K37"/>
  <c r="K37" i="79"/>
  <c r="K37" i="78"/>
  <c r="K37" i="77"/>
  <c r="K37" i="76"/>
  <c r="K37" i="75"/>
  <c r="J37"/>
  <c r="K37" i="74"/>
  <c r="K37" i="73"/>
  <c r="K37" i="72"/>
  <c r="K37" i="71"/>
  <c r="J36" i="70"/>
  <c r="J38" i="71"/>
  <c r="J39"/>
  <c r="J40"/>
  <c r="J41"/>
  <c r="J42"/>
  <c r="J43"/>
  <c r="J44"/>
  <c r="J16"/>
  <c r="J17"/>
  <c r="J18"/>
  <c r="J19"/>
  <c r="J20"/>
  <c r="J21"/>
  <c r="J22"/>
  <c r="J23"/>
  <c r="J24"/>
  <c r="J25"/>
  <c r="J26"/>
  <c r="J27"/>
  <c r="J28"/>
  <c r="J29"/>
  <c r="J30"/>
  <c r="J31"/>
  <c r="J32"/>
  <c r="J33"/>
  <c r="J34"/>
  <c r="J35"/>
  <c r="J36"/>
  <c r="J16" i="72"/>
  <c r="J17"/>
  <c r="J18"/>
  <c r="J19"/>
  <c r="J20"/>
  <c r="J21"/>
  <c r="J22"/>
  <c r="J23"/>
  <c r="J24"/>
  <c r="J25"/>
  <c r="J26"/>
  <c r="J27"/>
  <c r="J28"/>
  <c r="J29"/>
  <c r="J30"/>
  <c r="J31"/>
  <c r="J32"/>
  <c r="J33"/>
  <c r="J34"/>
  <c r="J35"/>
  <c r="J36"/>
  <c r="J38"/>
  <c r="J39"/>
  <c r="J40"/>
  <c r="J41"/>
  <c r="J42"/>
  <c r="J43"/>
  <c r="J44"/>
  <c r="J16" i="73"/>
  <c r="J17"/>
  <c r="J18"/>
  <c r="J19"/>
  <c r="J20"/>
  <c r="J21"/>
  <c r="J22"/>
  <c r="J23"/>
  <c r="J24"/>
  <c r="J25"/>
  <c r="J26"/>
  <c r="J27"/>
  <c r="J28"/>
  <c r="J29"/>
  <c r="J30"/>
  <c r="J31"/>
  <c r="J32"/>
  <c r="J33"/>
  <c r="J34"/>
  <c r="J35"/>
  <c r="J36"/>
  <c r="J38"/>
  <c r="J39"/>
  <c r="J40"/>
  <c r="J41"/>
  <c r="J42"/>
  <c r="J43"/>
  <c r="J44"/>
  <c r="J16" i="74"/>
  <c r="J17"/>
  <c r="J18"/>
  <c r="J19"/>
  <c r="J20"/>
  <c r="J21"/>
  <c r="J22"/>
  <c r="J23"/>
  <c r="J24"/>
  <c r="J25"/>
  <c r="J26"/>
  <c r="J27"/>
  <c r="J28"/>
  <c r="J29"/>
  <c r="J30"/>
  <c r="J31"/>
  <c r="J32"/>
  <c r="J33"/>
  <c r="J34"/>
  <c r="J35"/>
  <c r="J36"/>
  <c r="J38"/>
  <c r="J39"/>
  <c r="J40"/>
  <c r="J41"/>
  <c r="J42"/>
  <c r="J43"/>
  <c r="J44"/>
  <c r="J37"/>
  <c r="J16" i="75"/>
  <c r="J17"/>
  <c r="J18"/>
  <c r="J19"/>
  <c r="J20"/>
  <c r="J21"/>
  <c r="J22"/>
  <c r="J23"/>
  <c r="J24"/>
  <c r="J25"/>
  <c r="J26"/>
  <c r="J27"/>
  <c r="J28"/>
  <c r="J29"/>
  <c r="J30"/>
  <c r="J31"/>
  <c r="J32"/>
  <c r="J33"/>
  <c r="J34"/>
  <c r="J35"/>
  <c r="J36"/>
  <c r="J38"/>
  <c r="J39"/>
  <c r="J40"/>
  <c r="J41"/>
  <c r="J42"/>
  <c r="J43"/>
  <c r="J44"/>
  <c r="J16" i="76"/>
  <c r="J17"/>
  <c r="J18"/>
  <c r="J19"/>
  <c r="J20"/>
  <c r="J21"/>
  <c r="J22"/>
  <c r="J23"/>
  <c r="J24"/>
  <c r="J25"/>
  <c r="J26"/>
  <c r="J27"/>
  <c r="J28"/>
  <c r="J29"/>
  <c r="J30"/>
  <c r="J31"/>
  <c r="J32"/>
  <c r="J33"/>
  <c r="J34"/>
  <c r="J35"/>
  <c r="J36"/>
  <c r="J38"/>
  <c r="J39"/>
  <c r="J40"/>
  <c r="J41"/>
  <c r="J42"/>
  <c r="J43"/>
  <c r="J44"/>
  <c r="J38" i="77"/>
  <c r="J39"/>
  <c r="J40"/>
  <c r="J41"/>
  <c r="J42"/>
  <c r="J43"/>
  <c r="J44"/>
  <c r="J16"/>
  <c r="J17"/>
  <c r="J18"/>
  <c r="J19"/>
  <c r="J20"/>
  <c r="J21"/>
  <c r="J22"/>
  <c r="J23"/>
  <c r="J24"/>
  <c r="J25"/>
  <c r="J26"/>
  <c r="J27"/>
  <c r="J28"/>
  <c r="J29"/>
  <c r="J30"/>
  <c r="J31"/>
  <c r="J32"/>
  <c r="J33"/>
  <c r="J34"/>
  <c r="J35"/>
  <c r="J36"/>
  <c r="J16" i="78"/>
  <c r="J17"/>
  <c r="J18"/>
  <c r="J19"/>
  <c r="J20"/>
  <c r="J21"/>
  <c r="J22"/>
  <c r="J23"/>
  <c r="J24"/>
  <c r="J25"/>
  <c r="J26"/>
  <c r="J27"/>
  <c r="J28"/>
  <c r="J29"/>
  <c r="J30"/>
  <c r="J31"/>
  <c r="J32"/>
  <c r="J33"/>
  <c r="J34"/>
  <c r="J35"/>
  <c r="J36"/>
  <c r="J38"/>
  <c r="J39"/>
  <c r="J40"/>
  <c r="J41"/>
  <c r="J42"/>
  <c r="J43"/>
  <c r="J44"/>
  <c r="J16" i="79"/>
  <c r="J17"/>
  <c r="J18"/>
  <c r="J19"/>
  <c r="J20"/>
  <c r="J21"/>
  <c r="J22"/>
  <c r="J23"/>
  <c r="J24"/>
  <c r="J25"/>
  <c r="J26"/>
  <c r="J27"/>
  <c r="J28"/>
  <c r="J29"/>
  <c r="J30"/>
  <c r="J31"/>
  <c r="J32"/>
  <c r="J33"/>
  <c r="J34"/>
  <c r="J35"/>
  <c r="J36"/>
  <c r="J38"/>
  <c r="J39"/>
  <c r="J40"/>
  <c r="J41"/>
  <c r="J42"/>
  <c r="J43"/>
  <c r="J44"/>
  <c r="J38" i="80"/>
  <c r="J39"/>
  <c r="J40"/>
  <c r="J41"/>
  <c r="J42"/>
  <c r="J43"/>
  <c r="J44"/>
  <c r="J16"/>
  <c r="J17"/>
  <c r="J18"/>
  <c r="J19"/>
  <c r="J20"/>
  <c r="J21"/>
  <c r="J22"/>
  <c r="J23"/>
  <c r="J24"/>
  <c r="J25"/>
  <c r="J26"/>
  <c r="J27"/>
  <c r="J28"/>
  <c r="J29"/>
  <c r="J30"/>
  <c r="J31"/>
  <c r="J32"/>
  <c r="J33"/>
  <c r="J34"/>
  <c r="J35"/>
  <c r="J36"/>
  <c r="J37"/>
  <c r="J37" i="79"/>
  <c r="J37" i="78"/>
  <c r="J37" i="77"/>
  <c r="J37" i="76"/>
  <c r="J37" i="73"/>
  <c r="J37" i="72"/>
  <c r="J37" i="71"/>
  <c r="I15" i="70"/>
  <c r="I16"/>
  <c r="I17"/>
  <c r="I18"/>
  <c r="I19"/>
  <c r="I20"/>
  <c r="I21"/>
  <c r="I22"/>
  <c r="I23"/>
  <c r="I24"/>
  <c r="I25"/>
  <c r="I26"/>
  <c r="I27"/>
  <c r="I28"/>
  <c r="I29"/>
  <c r="I30"/>
  <c r="I31"/>
  <c r="I32"/>
  <c r="I33"/>
  <c r="I34"/>
  <c r="I35"/>
  <c r="I37"/>
  <c r="I38"/>
  <c r="I39"/>
  <c r="I40"/>
  <c r="I41"/>
  <c r="I42"/>
  <c r="I43"/>
  <c r="I36"/>
  <c r="D45" i="79"/>
  <c r="D45" i="78"/>
  <c r="D45" i="77"/>
  <c r="D45" i="76"/>
  <c r="D45" i="75"/>
  <c r="D45" i="74"/>
  <c r="D45" i="73"/>
  <c r="D45" i="72"/>
  <c r="AL50" i="3"/>
  <c r="V50"/>
  <c r="F50"/>
  <c r="C48"/>
  <c r="G48"/>
  <c r="K48"/>
  <c r="L48" s="1"/>
  <c r="D34" i="211" s="1"/>
  <c r="O48" i="3"/>
  <c r="P48" s="1"/>
  <c r="S48"/>
  <c r="W48"/>
  <c r="X48" s="1"/>
  <c r="G34" i="211" s="1"/>
  <c r="AA48" i="3"/>
  <c r="AB48" s="1"/>
  <c r="H34" i="211" s="1"/>
  <c r="AE48" i="3"/>
  <c r="AI48"/>
  <c r="AM48"/>
  <c r="AQ48"/>
  <c r="AR48" s="1"/>
  <c r="AP48"/>
  <c r="AP50" s="1"/>
  <c r="AL48"/>
  <c r="AH48"/>
  <c r="AH50" s="1"/>
  <c r="AD48"/>
  <c r="AD50" s="1"/>
  <c r="Z48"/>
  <c r="Z50" s="1"/>
  <c r="V48"/>
  <c r="B48"/>
  <c r="B50" s="1"/>
  <c r="F48"/>
  <c r="J48"/>
  <c r="J50" s="1"/>
  <c r="N48"/>
  <c r="N50" s="1"/>
  <c r="R48"/>
  <c r="R50" s="1"/>
  <c r="BY49" i="34"/>
  <c r="BX49"/>
  <c r="BR49"/>
  <c r="BQ49"/>
  <c r="BK49"/>
  <c r="BJ49"/>
  <c r="BD49"/>
  <c r="BC49"/>
  <c r="AW49"/>
  <c r="AV49"/>
  <c r="AP49"/>
  <c r="AO49"/>
  <c r="AI49"/>
  <c r="AH49"/>
  <c r="AB49"/>
  <c r="AA49"/>
  <c r="U49"/>
  <c r="T49"/>
  <c r="N49"/>
  <c r="M49"/>
  <c r="O47"/>
  <c r="V47"/>
  <c r="AC47"/>
  <c r="S48" i="35" s="1"/>
  <c r="AJ47" i="34"/>
  <c r="AQ47"/>
  <c r="AX47"/>
  <c r="BE47"/>
  <c r="BL47"/>
  <c r="BS47"/>
  <c r="BZ47"/>
  <c r="K48" i="78" l="1"/>
  <c r="K48" i="74"/>
  <c r="J47" i="70"/>
  <c r="K48" i="79"/>
  <c r="K48" i="75"/>
  <c r="K48" i="71"/>
  <c r="Q48" i="3"/>
  <c r="E34" i="211"/>
  <c r="D48" i="3"/>
  <c r="B34" i="211" s="1"/>
  <c r="AS48" i="3"/>
  <c r="L34" i="211"/>
  <c r="E22" i="177"/>
  <c r="AN48" i="3"/>
  <c r="T48"/>
  <c r="F34" i="211" s="1"/>
  <c r="H48" i="3"/>
  <c r="C34" i="211" s="1"/>
  <c r="AF48" i="3"/>
  <c r="Y48"/>
  <c r="E48"/>
  <c r="U48"/>
  <c r="I48"/>
  <c r="M48"/>
  <c r="AC48"/>
  <c r="AJ48"/>
  <c r="J34" i="211" s="1"/>
  <c r="D46" i="21"/>
  <c r="B34" i="232" s="1"/>
  <c r="D11" i="82"/>
  <c r="I9" s="1"/>
  <c r="D16"/>
  <c r="D21"/>
  <c r="D26"/>
  <c r="I24" s="1"/>
  <c r="D31"/>
  <c r="I29" s="1"/>
  <c r="D36"/>
  <c r="D41"/>
  <c r="D46"/>
  <c r="I44" s="1"/>
  <c r="D51"/>
  <c r="I49" s="1"/>
  <c r="D56"/>
  <c r="D6"/>
  <c r="J4"/>
  <c r="I4"/>
  <c r="H4"/>
  <c r="G4"/>
  <c r="F4"/>
  <c r="E4"/>
  <c r="J9"/>
  <c r="H9"/>
  <c r="G9"/>
  <c r="F9"/>
  <c r="E9"/>
  <c r="J14"/>
  <c r="I14"/>
  <c r="H14"/>
  <c r="G14"/>
  <c r="F14"/>
  <c r="E14"/>
  <c r="J19"/>
  <c r="I19"/>
  <c r="H19"/>
  <c r="G19"/>
  <c r="F19"/>
  <c r="E19"/>
  <c r="J24"/>
  <c r="G24"/>
  <c r="F24"/>
  <c r="E24"/>
  <c r="J29"/>
  <c r="H29"/>
  <c r="G29"/>
  <c r="F29"/>
  <c r="E29"/>
  <c r="J34"/>
  <c r="I34"/>
  <c r="H34"/>
  <c r="G34"/>
  <c r="F34"/>
  <c r="E34"/>
  <c r="J39"/>
  <c r="I39"/>
  <c r="H39"/>
  <c r="G39"/>
  <c r="F39"/>
  <c r="E39"/>
  <c r="J44"/>
  <c r="G44"/>
  <c r="F44"/>
  <c r="E44"/>
  <c r="J49"/>
  <c r="H49"/>
  <c r="G49"/>
  <c r="F49"/>
  <c r="E49"/>
  <c r="J54"/>
  <c r="I54"/>
  <c r="H54"/>
  <c r="G54"/>
  <c r="F54"/>
  <c r="E54"/>
  <c r="B46" i="64"/>
  <c r="AP46"/>
  <c r="L34" i="227" s="1"/>
  <c r="AL46" i="64"/>
  <c r="K34" i="227" s="1"/>
  <c r="AH46" i="64"/>
  <c r="J34" i="227" s="1"/>
  <c r="AD46" i="64"/>
  <c r="I34" i="227" s="1"/>
  <c r="Z46" i="64"/>
  <c r="H34" i="227" s="1"/>
  <c r="V46" i="64"/>
  <c r="G34" i="227" s="1"/>
  <c r="R46" i="64"/>
  <c r="F34" i="227" s="1"/>
  <c r="N46" i="64"/>
  <c r="E34" i="227" s="1"/>
  <c r="J46" i="64"/>
  <c r="D34" i="227" s="1"/>
  <c r="F46" i="64"/>
  <c r="C34" i="227" s="1"/>
  <c r="AG48" i="3" l="1"/>
  <c r="I34" i="211"/>
  <c r="B34" i="227"/>
  <c r="I32" i="161"/>
  <c r="AO48" i="3"/>
  <c r="K34" i="211"/>
  <c r="H44" i="82"/>
  <c r="H24"/>
  <c r="AK48" i="3"/>
  <c r="GB49" i="18"/>
  <c r="FZ49"/>
  <c r="FX49"/>
  <c r="FV49"/>
  <c r="FT49"/>
  <c r="FK49"/>
  <c r="FI49"/>
  <c r="FG49"/>
  <c r="FE49"/>
  <c r="FC49"/>
  <c r="ET49"/>
  <c r="ER49"/>
  <c r="EP49"/>
  <c r="EN49"/>
  <c r="EL49"/>
  <c r="EC49"/>
  <c r="EA49"/>
  <c r="DY49"/>
  <c r="DW49"/>
  <c r="DU49"/>
  <c r="DL49"/>
  <c r="DJ49"/>
  <c r="DH49"/>
  <c r="DF49"/>
  <c r="DD49"/>
  <c r="CU49"/>
  <c r="CS49"/>
  <c r="CQ49"/>
  <c r="CO49"/>
  <c r="CM49"/>
  <c r="CD49"/>
  <c r="CB49"/>
  <c r="BZ49"/>
  <c r="BX49"/>
  <c r="BV49"/>
  <c r="BM49"/>
  <c r="BK49"/>
  <c r="BI49"/>
  <c r="BG49"/>
  <c r="BE49"/>
  <c r="AV49"/>
  <c r="AT49"/>
  <c r="AR49"/>
  <c r="AP49"/>
  <c r="AN49"/>
  <c r="AE49"/>
  <c r="AC49"/>
  <c r="AA49"/>
  <c r="Y49"/>
  <c r="W49"/>
  <c r="N49"/>
  <c r="L49"/>
  <c r="J49"/>
  <c r="H49"/>
  <c r="F49"/>
  <c r="FR49"/>
  <c r="FP49"/>
  <c r="FA49"/>
  <c r="EY49"/>
  <c r="EJ49"/>
  <c r="EH49"/>
  <c r="DS49"/>
  <c r="DQ49"/>
  <c r="DB49"/>
  <c r="CZ49"/>
  <c r="CK49"/>
  <c r="CI49"/>
  <c r="BT49"/>
  <c r="BR49"/>
  <c r="BC49"/>
  <c r="BA49"/>
  <c r="AL49"/>
  <c r="AJ49"/>
  <c r="U49"/>
  <c r="S49"/>
  <c r="D49"/>
  <c r="B49"/>
  <c r="GD47"/>
  <c r="FM47"/>
  <c r="EV47"/>
  <c r="EE47"/>
  <c r="DN47"/>
  <c r="CW47"/>
  <c r="CF47"/>
  <c r="BO47"/>
  <c r="AX47"/>
  <c r="AG47"/>
  <c r="P47"/>
  <c r="AO45" i="16"/>
  <c r="AK45"/>
  <c r="AG45"/>
  <c r="AC45"/>
  <c r="Y45"/>
  <c r="U45"/>
  <c r="Q45"/>
  <c r="M45"/>
  <c r="I45"/>
  <c r="E45"/>
  <c r="E46" s="1"/>
  <c r="B48"/>
  <c r="B50" s="1"/>
  <c r="C48" i="15"/>
  <c r="C50" s="1"/>
  <c r="B48" i="29"/>
  <c r="I48"/>
  <c r="C22" i="169" s="1"/>
  <c r="P48" i="29"/>
  <c r="D22" i="169" s="1"/>
  <c r="W48" i="29"/>
  <c r="E22" i="169" s="1"/>
  <c r="AD48" i="29"/>
  <c r="F22" i="169" s="1"/>
  <c r="AK48" i="29"/>
  <c r="G22" i="169" s="1"/>
  <c r="AR48" i="29"/>
  <c r="H22" i="169" s="1"/>
  <c r="AY48" i="29"/>
  <c r="I22" i="169" s="1"/>
  <c r="BF48" i="29"/>
  <c r="J22" i="169" s="1"/>
  <c r="BM48" i="29"/>
  <c r="K22" i="169" s="1"/>
  <c r="BT48" i="29"/>
  <c r="L22" i="169" s="1"/>
  <c r="G48" i="5"/>
  <c r="AH48" i="9"/>
  <c r="AE48"/>
  <c r="Y48"/>
  <c r="V48"/>
  <c r="S48"/>
  <c r="P48"/>
  <c r="M48"/>
  <c r="J48"/>
  <c r="G48"/>
  <c r="AG50"/>
  <c r="AF50"/>
  <c r="AD50"/>
  <c r="AC50"/>
  <c r="AA50"/>
  <c r="Z50"/>
  <c r="X50"/>
  <c r="W50"/>
  <c r="U50"/>
  <c r="T50"/>
  <c r="R50"/>
  <c r="Q50"/>
  <c r="O50"/>
  <c r="N50"/>
  <c r="L50"/>
  <c r="K50"/>
  <c r="I50"/>
  <c r="H50"/>
  <c r="F50"/>
  <c r="E50"/>
  <c r="C50"/>
  <c r="B50"/>
  <c r="D48"/>
  <c r="D45" i="71"/>
  <c r="B45" i="79"/>
  <c r="B45" i="78"/>
  <c r="B45" i="77"/>
  <c r="B45" i="76"/>
  <c r="B45" i="75"/>
  <c r="B45" i="74"/>
  <c r="B45" i="73"/>
  <c r="B45" i="72"/>
  <c r="B45" i="71"/>
  <c r="B44" i="70"/>
  <c r="D45" i="80"/>
  <c r="B45"/>
  <c r="AQ46" i="64"/>
  <c r="AR46"/>
  <c r="AS46"/>
  <c r="AM46"/>
  <c r="AN46" s="1"/>
  <c r="AO46" s="1"/>
  <c r="AI46"/>
  <c r="AJ46" s="1"/>
  <c r="AK46" s="1"/>
  <c r="AE46"/>
  <c r="AF46"/>
  <c r="AG46" s="1"/>
  <c r="AA46"/>
  <c r="AB46"/>
  <c r="AC46"/>
  <c r="W46"/>
  <c r="X46" s="1"/>
  <c r="Y46" s="1"/>
  <c r="S46"/>
  <c r="T46" s="1"/>
  <c r="U46" s="1"/>
  <c r="O46"/>
  <c r="P46"/>
  <c r="Q46" s="1"/>
  <c r="K46"/>
  <c r="L46"/>
  <c r="M46"/>
  <c r="G46"/>
  <c r="H46" s="1"/>
  <c r="I46" s="1"/>
  <c r="C46"/>
  <c r="D46" s="1"/>
  <c r="E46" s="1"/>
  <c r="BW48" i="7"/>
  <c r="BP48"/>
  <c r="BI48"/>
  <c r="BB48"/>
  <c r="AU48"/>
  <c r="AN48"/>
  <c r="AG48"/>
  <c r="Z48"/>
  <c r="S48"/>
  <c r="E48"/>
  <c r="BV48"/>
  <c r="BO48"/>
  <c r="BQ48" s="1"/>
  <c r="BH48"/>
  <c r="BJ48" s="1"/>
  <c r="BA48"/>
  <c r="AT48"/>
  <c r="AM48"/>
  <c r="AO48" s="1"/>
  <c r="AF48"/>
  <c r="AH48" s="1"/>
  <c r="Y48"/>
  <c r="R48"/>
  <c r="K48"/>
  <c r="K50" s="1"/>
  <c r="D48"/>
  <c r="F48" s="1"/>
  <c r="BT48"/>
  <c r="BM48"/>
  <c r="BF48"/>
  <c r="BF50" s="1"/>
  <c r="AY48"/>
  <c r="AY50" s="1"/>
  <c r="AR48"/>
  <c r="AK48"/>
  <c r="AD48"/>
  <c r="AD50" s="1"/>
  <c r="W48"/>
  <c r="W50" s="1"/>
  <c r="P48"/>
  <c r="Q93"/>
  <c r="R93"/>
  <c r="S93"/>
  <c r="T93"/>
  <c r="U93"/>
  <c r="V93"/>
  <c r="W93"/>
  <c r="X93"/>
  <c r="Y93"/>
  <c r="Z93"/>
  <c r="D92"/>
  <c r="D93" s="1"/>
  <c r="J48" s="1"/>
  <c r="E92"/>
  <c r="F92"/>
  <c r="G92"/>
  <c r="G93" s="1"/>
  <c r="AE48" s="1"/>
  <c r="H92"/>
  <c r="H93" s="1"/>
  <c r="AL48" s="1"/>
  <c r="I92"/>
  <c r="J92"/>
  <c r="K92"/>
  <c r="K93" s="1"/>
  <c r="BG48" s="1"/>
  <c r="L92"/>
  <c r="L93" s="1"/>
  <c r="BN48" s="1"/>
  <c r="M92"/>
  <c r="E93"/>
  <c r="Q48" s="1"/>
  <c r="F93"/>
  <c r="X48" s="1"/>
  <c r="I93"/>
  <c r="AS48" s="1"/>
  <c r="J93"/>
  <c r="AZ48" s="1"/>
  <c r="M93"/>
  <c r="BU48" s="1"/>
  <c r="C92"/>
  <c r="C93" s="1"/>
  <c r="C48" s="1"/>
  <c r="I48"/>
  <c r="B48"/>
  <c r="BV50"/>
  <c r="BT50"/>
  <c r="BM50"/>
  <c r="BH50"/>
  <c r="BA50"/>
  <c r="AT50"/>
  <c r="AR50"/>
  <c r="AK50"/>
  <c r="AF50"/>
  <c r="Y50"/>
  <c r="R50"/>
  <c r="P50"/>
  <c r="I50"/>
  <c r="D50"/>
  <c r="B50"/>
  <c r="B50" i="10"/>
  <c r="C48"/>
  <c r="I48"/>
  <c r="O48"/>
  <c r="AA48"/>
  <c r="AG48"/>
  <c r="AM48"/>
  <c r="AS48"/>
  <c r="AY48"/>
  <c r="BE48"/>
  <c r="BK48"/>
  <c r="U48"/>
  <c r="BJ47"/>
  <c r="BJ48" s="1"/>
  <c r="BJ50" s="1"/>
  <c r="BD47"/>
  <c r="BD48" s="1"/>
  <c r="BD50" s="1"/>
  <c r="AX47"/>
  <c r="AX48" s="1"/>
  <c r="AX50" s="1"/>
  <c r="AR47"/>
  <c r="AR48" s="1"/>
  <c r="AR50" s="1"/>
  <c r="AL47"/>
  <c r="AL48" s="1"/>
  <c r="AL50" s="1"/>
  <c r="AF47"/>
  <c r="AF48" s="1"/>
  <c r="AF50" s="1"/>
  <c r="Z47"/>
  <c r="Z48" s="1"/>
  <c r="Z50" s="1"/>
  <c r="T47"/>
  <c r="T48" s="1"/>
  <c r="T50" s="1"/>
  <c r="N47"/>
  <c r="N48" s="1"/>
  <c r="N50" s="1"/>
  <c r="H47"/>
  <c r="H48" s="1"/>
  <c r="B44" i="12"/>
  <c r="B48" i="15" s="1"/>
  <c r="B52" i="12"/>
  <c r="C43" i="32"/>
  <c r="C33" i="226" s="1"/>
  <c r="B43" i="32"/>
  <c r="B33" i="226" s="1"/>
  <c r="B46" i="31"/>
  <c r="L46"/>
  <c r="K46"/>
  <c r="J46"/>
  <c r="I46"/>
  <c r="H46"/>
  <c r="G46"/>
  <c r="F46"/>
  <c r="E46"/>
  <c r="D46"/>
  <c r="C46"/>
  <c r="BM48" i="1"/>
  <c r="BO48" s="1"/>
  <c r="L34" i="212" s="1"/>
  <c r="BG48" i="1"/>
  <c r="BI48" s="1"/>
  <c r="K34" i="212" s="1"/>
  <c r="BA48" i="1"/>
  <c r="BC48" s="1"/>
  <c r="J34" i="212" s="1"/>
  <c r="AU48" i="1"/>
  <c r="AW48" s="1"/>
  <c r="I34" i="212" s="1"/>
  <c r="AO48" i="1"/>
  <c r="AQ48" s="1"/>
  <c r="H34" i="212" s="1"/>
  <c r="AI48" i="1"/>
  <c r="AK48" s="1"/>
  <c r="G34" i="212" s="1"/>
  <c r="AC48" i="1"/>
  <c r="AE48" s="1"/>
  <c r="F34" i="212" s="1"/>
  <c r="W48" i="1"/>
  <c r="Y48" s="1"/>
  <c r="E34" i="212" s="1"/>
  <c r="Q48" i="1"/>
  <c r="S48" s="1"/>
  <c r="D34" i="212" s="1"/>
  <c r="K48" i="1"/>
  <c r="M48" s="1"/>
  <c r="C34" i="212" s="1"/>
  <c r="E48" i="1"/>
  <c r="G48" s="1"/>
  <c r="B34" i="212" s="1"/>
  <c r="BK48" i="1"/>
  <c r="BL48" s="1"/>
  <c r="BE48"/>
  <c r="BF48" s="1"/>
  <c r="AY48"/>
  <c r="AZ48" s="1"/>
  <c r="AS48"/>
  <c r="AT48" s="1"/>
  <c r="AM48"/>
  <c r="AN48" s="1"/>
  <c r="AG48"/>
  <c r="AH48" s="1"/>
  <c r="AA48"/>
  <c r="AB48" s="1"/>
  <c r="U48"/>
  <c r="V48" s="1"/>
  <c r="O48"/>
  <c r="P48" s="1"/>
  <c r="I48"/>
  <c r="J48" s="1"/>
  <c r="C48"/>
  <c r="D48" s="1"/>
  <c r="BN50"/>
  <c r="BM50"/>
  <c r="BK50"/>
  <c r="BJ50"/>
  <c r="BH50"/>
  <c r="BE50"/>
  <c r="BD50"/>
  <c r="BB50"/>
  <c r="AX50"/>
  <c r="AV50"/>
  <c r="AU50"/>
  <c r="AR50"/>
  <c r="AP50"/>
  <c r="AO50"/>
  <c r="AM50"/>
  <c r="AL50"/>
  <c r="AJ50"/>
  <c r="AG50"/>
  <c r="AF50"/>
  <c r="AD50"/>
  <c r="Z50"/>
  <c r="X50"/>
  <c r="W50"/>
  <c r="T50"/>
  <c r="R50"/>
  <c r="Q50"/>
  <c r="O50"/>
  <c r="N50"/>
  <c r="L50"/>
  <c r="I50"/>
  <c r="H50"/>
  <c r="F50"/>
  <c r="B50"/>
  <c r="C44" i="30"/>
  <c r="C44" i="32" s="1"/>
  <c r="D44" i="30"/>
  <c r="D44" i="32" s="1"/>
  <c r="E44" i="30"/>
  <c r="E44" i="32" s="1"/>
  <c r="F44" i="30"/>
  <c r="F44" i="32" s="1"/>
  <c r="G44" i="30"/>
  <c r="G44" i="32" s="1"/>
  <c r="H44" i="30"/>
  <c r="H44" i="32" s="1"/>
  <c r="I44" i="30"/>
  <c r="I44" i="32" s="1"/>
  <c r="J44" i="30"/>
  <c r="J44" i="32" s="1"/>
  <c r="K44" i="30"/>
  <c r="K44" i="32" s="1"/>
  <c r="L44" i="30"/>
  <c r="L44" i="32" s="1"/>
  <c r="B44" i="30"/>
  <c r="B44" i="32" s="1"/>
  <c r="L46" i="30"/>
  <c r="K46"/>
  <c r="I46"/>
  <c r="H46"/>
  <c r="G46"/>
  <c r="E46"/>
  <c r="D46"/>
  <c r="C46"/>
  <c r="B46"/>
  <c r="C44" i="28"/>
  <c r="D44"/>
  <c r="E44"/>
  <c r="F44"/>
  <c r="G44"/>
  <c r="H44"/>
  <c r="I44"/>
  <c r="J44"/>
  <c r="K44"/>
  <c r="L44"/>
  <c r="B44"/>
  <c r="L46" i="27"/>
  <c r="K46"/>
  <c r="J46"/>
  <c r="I46"/>
  <c r="H46"/>
  <c r="G46"/>
  <c r="F46"/>
  <c r="E46"/>
  <c r="D46"/>
  <c r="C46"/>
  <c r="B46"/>
  <c r="L46" i="61"/>
  <c r="K46"/>
  <c r="J46"/>
  <c r="I46"/>
  <c r="H46"/>
  <c r="G46"/>
  <c r="F46"/>
  <c r="E46"/>
  <c r="D46"/>
  <c r="C46"/>
  <c r="L46" i="24"/>
  <c r="K46"/>
  <c r="J46"/>
  <c r="I46"/>
  <c r="H46"/>
  <c r="G46"/>
  <c r="F46"/>
  <c r="E46"/>
  <c r="D46"/>
  <c r="C46"/>
  <c r="B46"/>
  <c r="AG50" i="23"/>
  <c r="AF50"/>
  <c r="AD50"/>
  <c r="AC50"/>
  <c r="AA50"/>
  <c r="Z50"/>
  <c r="X50"/>
  <c r="W50"/>
  <c r="U50"/>
  <c r="T50"/>
  <c r="R50"/>
  <c r="Q50"/>
  <c r="O50"/>
  <c r="N50"/>
  <c r="L50"/>
  <c r="K50"/>
  <c r="I50"/>
  <c r="H50"/>
  <c r="F50"/>
  <c r="E50"/>
  <c r="C50"/>
  <c r="B50"/>
  <c r="BE48" i="19" l="1"/>
  <c r="G22" i="160" s="1"/>
  <c r="G34" i="210"/>
  <c r="BY48" i="19"/>
  <c r="I22" i="160" s="1"/>
  <c r="I34" i="210"/>
  <c r="AU48" i="19"/>
  <c r="F22" i="160" s="1"/>
  <c r="F34" i="210"/>
  <c r="CS48" i="19"/>
  <c r="K22" i="160" s="1"/>
  <c r="K34" i="210"/>
  <c r="CI48" i="19"/>
  <c r="J34" i="210"/>
  <c r="Q48" i="19"/>
  <c r="C22" i="160" s="1"/>
  <c r="C34" i="210"/>
  <c r="AK48" i="19"/>
  <c r="E22" i="160" s="1"/>
  <c r="E34" i="210"/>
  <c r="BI48" i="29"/>
  <c r="J24" i="167" s="1"/>
  <c r="J34" i="224"/>
  <c r="AG48" i="29"/>
  <c r="F24" i="167" s="1"/>
  <c r="F34" i="224"/>
  <c r="L34" i="226"/>
  <c r="H34"/>
  <c r="D34"/>
  <c r="AK48" i="15"/>
  <c r="J45" i="78"/>
  <c r="J48" s="1"/>
  <c r="U48" i="15"/>
  <c r="J45" i="74"/>
  <c r="J48" s="1"/>
  <c r="AP48" i="19"/>
  <c r="F22" i="132" s="1"/>
  <c r="F34" i="217"/>
  <c r="CN48" i="19"/>
  <c r="K22" i="132" s="1"/>
  <c r="K34" i="217"/>
  <c r="F46" i="30"/>
  <c r="J46"/>
  <c r="E50" i="1"/>
  <c r="K50"/>
  <c r="AC50"/>
  <c r="AI50"/>
  <c r="BA50"/>
  <c r="BG50"/>
  <c r="AM50" i="7"/>
  <c r="BO50"/>
  <c r="AA48"/>
  <c r="AB48" s="1"/>
  <c r="BC48"/>
  <c r="BW48" i="29"/>
  <c r="L34" i="224"/>
  <c r="AU48" i="29"/>
  <c r="H24" i="167" s="1"/>
  <c r="H34" i="224"/>
  <c r="S48" i="29"/>
  <c r="D24" i="167" s="1"/>
  <c r="D34" i="224"/>
  <c r="J34" i="226"/>
  <c r="F34"/>
  <c r="AS48" i="15"/>
  <c r="J45" i="80"/>
  <c r="J48" s="1"/>
  <c r="AC48" i="15"/>
  <c r="J45" i="76"/>
  <c r="J48" s="1"/>
  <c r="I48" i="15"/>
  <c r="J45" i="71"/>
  <c r="J48" s="1"/>
  <c r="G48" i="19"/>
  <c r="B34" i="210"/>
  <c r="AA48" i="19"/>
  <c r="D22" i="160" s="1"/>
  <c r="D34" i="210"/>
  <c r="BO48" i="19"/>
  <c r="H22" i="160" s="1"/>
  <c r="H34" i="210"/>
  <c r="DC48" i="19"/>
  <c r="L22" i="160" s="1"/>
  <c r="L34" i="210"/>
  <c r="B48" i="19"/>
  <c r="B34" i="217"/>
  <c r="V48" i="19"/>
  <c r="D22" i="132" s="1"/>
  <c r="D34" i="217"/>
  <c r="BJ48" i="19"/>
  <c r="H22" i="132" s="1"/>
  <c r="H34" i="217"/>
  <c r="E48" i="29"/>
  <c r="B34" i="224"/>
  <c r="BB48" i="29"/>
  <c r="I24" i="167" s="1"/>
  <c r="I34" i="224"/>
  <c r="Z48" i="29"/>
  <c r="E24" i="167" s="1"/>
  <c r="E34" i="224"/>
  <c r="K34" i="226"/>
  <c r="G34"/>
  <c r="C34"/>
  <c r="Q48" i="15"/>
  <c r="J45" i="73"/>
  <c r="J48" s="1"/>
  <c r="AG48" i="15"/>
  <c r="J45" i="77"/>
  <c r="J48" s="1"/>
  <c r="M48" i="15"/>
  <c r="J45" i="72"/>
  <c r="J48" s="1"/>
  <c r="L48" i="19"/>
  <c r="C34" i="217"/>
  <c r="AZ48" i="19"/>
  <c r="G22" i="132" s="1"/>
  <c r="G34" i="217"/>
  <c r="CX48" i="19"/>
  <c r="L22" i="132" s="1"/>
  <c r="L34" i="217"/>
  <c r="I32" i="171"/>
  <c r="B22" i="169"/>
  <c r="BP48" i="29"/>
  <c r="K24" i="167" s="1"/>
  <c r="K34" i="224"/>
  <c r="AN48" i="29"/>
  <c r="G24" i="167" s="1"/>
  <c r="G34" i="224"/>
  <c r="L48" i="29"/>
  <c r="C24" i="167" s="1"/>
  <c r="C34" i="224"/>
  <c r="B34" i="226"/>
  <c r="I34"/>
  <c r="E34"/>
  <c r="AO48" i="15"/>
  <c r="J45" i="79"/>
  <c r="J48" s="1"/>
  <c r="Y48" i="15"/>
  <c r="J45" i="75"/>
  <c r="J48" s="1"/>
  <c r="E48" i="15"/>
  <c r="I44" i="70"/>
  <c r="I47" s="1"/>
  <c r="AF48" i="19"/>
  <c r="E22" i="132" s="1"/>
  <c r="E34" i="217"/>
  <c r="BT48" i="19"/>
  <c r="I34" i="217"/>
  <c r="C50" i="1"/>
  <c r="U50"/>
  <c r="AA50"/>
  <c r="AS50"/>
  <c r="AY50"/>
  <c r="G48" i="7"/>
  <c r="T48"/>
  <c r="AV48"/>
  <c r="AW48" s="1"/>
  <c r="BX48"/>
  <c r="BY48" s="1"/>
  <c r="B46" i="33"/>
  <c r="B22" i="173" s="1"/>
  <c r="V46" i="33"/>
  <c r="L22" i="173" s="1"/>
  <c r="T46" i="33"/>
  <c r="K22" i="173" s="1"/>
  <c r="R46" i="33"/>
  <c r="J22" i="173" s="1"/>
  <c r="P46" i="33"/>
  <c r="I22" i="173" s="1"/>
  <c r="N46" i="33"/>
  <c r="H22" i="173" s="1"/>
  <c r="L46" i="33"/>
  <c r="G22" i="173" s="1"/>
  <c r="J46" i="33"/>
  <c r="F22" i="173" s="1"/>
  <c r="H46" i="33"/>
  <c r="E22" i="173" s="1"/>
  <c r="F46" i="33"/>
  <c r="D22" i="173" s="1"/>
  <c r="D46" i="33"/>
  <c r="C22" i="173" s="1"/>
  <c r="B48" i="58"/>
  <c r="I48" i="5"/>
  <c r="L48" i="58"/>
  <c r="K48" i="5"/>
  <c r="V48" i="58"/>
  <c r="M48" i="5"/>
  <c r="AF48" i="58"/>
  <c r="O48" i="5"/>
  <c r="AP48" i="58"/>
  <c r="Q48" i="5"/>
  <c r="AZ48" i="58"/>
  <c r="S48" i="5"/>
  <c r="BJ48" i="58"/>
  <c r="U48" i="5"/>
  <c r="BT48" i="58"/>
  <c r="W48" i="5"/>
  <c r="CD48" i="58"/>
  <c r="Y48" i="5"/>
  <c r="CN48" i="58"/>
  <c r="AA48" i="5"/>
  <c r="CX48" i="58"/>
  <c r="AC48" i="5"/>
  <c r="D48" i="15"/>
  <c r="H50" i="10"/>
  <c r="J48"/>
  <c r="H48" i="7"/>
  <c r="U48"/>
  <c r="AI48"/>
  <c r="AP48"/>
  <c r="BD48"/>
  <c r="BK48"/>
  <c r="BR48"/>
  <c r="B46" i="12"/>
  <c r="D48" i="10"/>
  <c r="P48"/>
  <c r="V48"/>
  <c r="AB48"/>
  <c r="AH48"/>
  <c r="AN48"/>
  <c r="AT48"/>
  <c r="AZ48"/>
  <c r="BF48"/>
  <c r="BL48"/>
  <c r="C50"/>
  <c r="I50"/>
  <c r="O50"/>
  <c r="U50"/>
  <c r="AA50"/>
  <c r="AG50"/>
  <c r="AM50"/>
  <c r="AS50"/>
  <c r="AY50"/>
  <c r="BE50"/>
  <c r="BK50"/>
  <c r="C48" i="16"/>
  <c r="AH48" i="23"/>
  <c r="L34" i="223" s="1"/>
  <c r="AE48" i="23"/>
  <c r="K34" i="223" s="1"/>
  <c r="AB48" i="23"/>
  <c r="J34" i="223" s="1"/>
  <c r="Y48" i="23"/>
  <c r="I34" i="223" s="1"/>
  <c r="V48" i="23"/>
  <c r="H34" i="223" s="1"/>
  <c r="S48" i="23"/>
  <c r="G34" i="223" s="1"/>
  <c r="P48" i="23"/>
  <c r="F34" i="223" s="1"/>
  <c r="M48" i="23"/>
  <c r="E34" i="223" s="1"/>
  <c r="J48" i="23"/>
  <c r="D34" i="223" s="1"/>
  <c r="G48" i="23"/>
  <c r="C34" i="223" s="1"/>
  <c r="D48" i="23"/>
  <c r="B34" i="223" s="1"/>
  <c r="B48" i="14"/>
  <c r="B50" s="1"/>
  <c r="C48"/>
  <c r="C50" s="1"/>
  <c r="D48"/>
  <c r="D50" s="1"/>
  <c r="F48"/>
  <c r="F50" s="1"/>
  <c r="F48" i="13"/>
  <c r="F50" s="1"/>
  <c r="AY41"/>
  <c r="AY42" s="1"/>
  <c r="AY43" s="1"/>
  <c r="AY44" s="1"/>
  <c r="AY45" s="1"/>
  <c r="AY46" s="1"/>
  <c r="AY47" s="1"/>
  <c r="AY48" s="1"/>
  <c r="AY50" s="1"/>
  <c r="U41"/>
  <c r="E48"/>
  <c r="E50" s="1"/>
  <c r="D48"/>
  <c r="D50" s="1"/>
  <c r="C48"/>
  <c r="C50" s="1"/>
  <c r="B48"/>
  <c r="B50" s="1"/>
  <c r="AS48" i="25"/>
  <c r="CT48" i="2" s="1"/>
  <c r="AQ48" i="25"/>
  <c r="CN48" i="2" s="1"/>
  <c r="AO48" i="25"/>
  <c r="CK48" i="2" s="1"/>
  <c r="AM48" i="25"/>
  <c r="CE48" i="2" s="1"/>
  <c r="AK48" i="25"/>
  <c r="CB48" i="2" s="1"/>
  <c r="AI48" i="25"/>
  <c r="BV48" i="2" s="1"/>
  <c r="AG48" i="25"/>
  <c r="BS48" i="2" s="1"/>
  <c r="AE48" i="25"/>
  <c r="BM48" i="2" s="1"/>
  <c r="AC48" i="25"/>
  <c r="BJ48" i="2" s="1"/>
  <c r="AA48" i="25"/>
  <c r="BD48" i="2" s="1"/>
  <c r="Y48" i="25"/>
  <c r="BA48" i="2" s="1"/>
  <c r="W48" i="25"/>
  <c r="AU48" i="2" s="1"/>
  <c r="U48" i="25"/>
  <c r="AR48" i="2" s="1"/>
  <c r="S48" i="25"/>
  <c r="AL48" i="2" s="1"/>
  <c r="Q48" i="25"/>
  <c r="AI48" i="2" s="1"/>
  <c r="O48" i="25"/>
  <c r="AC48" i="2" s="1"/>
  <c r="M48" i="25"/>
  <c r="Z48" i="2" s="1"/>
  <c r="K48" i="25"/>
  <c r="T48" i="2" s="1"/>
  <c r="I48" i="25"/>
  <c r="Q48" i="2" s="1"/>
  <c r="G48" i="25"/>
  <c r="K48" i="2" s="1"/>
  <c r="E48" i="25"/>
  <c r="H48" i="2" s="1"/>
  <c r="C48" i="25"/>
  <c r="B48" i="2" s="1"/>
  <c r="D50" i="25"/>
  <c r="F50"/>
  <c r="H50"/>
  <c r="J50"/>
  <c r="L50"/>
  <c r="N50"/>
  <c r="P50"/>
  <c r="R50"/>
  <c r="T50"/>
  <c r="V50"/>
  <c r="X50"/>
  <c r="Z50"/>
  <c r="AB50"/>
  <c r="AD50"/>
  <c r="AF50"/>
  <c r="AH50"/>
  <c r="AJ50"/>
  <c r="AL50"/>
  <c r="AN50"/>
  <c r="AP50"/>
  <c r="AR50"/>
  <c r="B50"/>
  <c r="E47"/>
  <c r="E46"/>
  <c r="CB50" i="37"/>
  <c r="CC50"/>
  <c r="CD50"/>
  <c r="CE50"/>
  <c r="CF50"/>
  <c r="CG50"/>
  <c r="CH50"/>
  <c r="CI50"/>
  <c r="CJ50"/>
  <c r="CK50"/>
  <c r="AE46" i="25"/>
  <c r="BM46" i="2" s="1"/>
  <c r="AC46" i="25"/>
  <c r="BJ46" i="2" s="1"/>
  <c r="AA46" i="25"/>
  <c r="BD46" i="2" s="1"/>
  <c r="Y46" i="25"/>
  <c r="BA46" i="2" s="1"/>
  <c r="W46" i="25"/>
  <c r="AU46" i="2" s="1"/>
  <c r="U46" i="25"/>
  <c r="AR46" i="2" s="1"/>
  <c r="S46" i="25"/>
  <c r="AL46" i="2" s="1"/>
  <c r="Q46" i="25"/>
  <c r="AI46" i="2" s="1"/>
  <c r="O46" i="25"/>
  <c r="AC46" i="2" s="1"/>
  <c r="M46" i="25"/>
  <c r="Z46" i="2" s="1"/>
  <c r="K46" i="25"/>
  <c r="T46" i="2" s="1"/>
  <c r="I46" i="25"/>
  <c r="Q46" i="2" s="1"/>
  <c r="G46" i="25"/>
  <c r="K46" i="2" s="1"/>
  <c r="C46" i="25"/>
  <c r="B46" i="2" s="1"/>
  <c r="V46" i="23"/>
  <c r="H32" i="223" s="1"/>
  <c r="S46" i="23"/>
  <c r="G32" i="223" s="1"/>
  <c r="P46" i="23"/>
  <c r="F32" i="223" s="1"/>
  <c r="M46" i="23"/>
  <c r="E32" i="223" s="1"/>
  <c r="J46" i="23"/>
  <c r="D32" i="223" s="1"/>
  <c r="G46" i="23"/>
  <c r="C32" i="223" s="1"/>
  <c r="D46" i="23"/>
  <c r="B32" i="223" s="1"/>
  <c r="C46" i="16"/>
  <c r="D46" s="1"/>
  <c r="B32" i="220" s="1"/>
  <c r="GD45" i="18"/>
  <c r="FM45"/>
  <c r="EV45"/>
  <c r="EE45"/>
  <c r="DN45"/>
  <c r="CW45"/>
  <c r="CF45"/>
  <c r="BO45"/>
  <c r="AX45"/>
  <c r="AG45"/>
  <c r="P45"/>
  <c r="AO46" i="15"/>
  <c r="AK46"/>
  <c r="AG46"/>
  <c r="AC46"/>
  <c r="Y46"/>
  <c r="U46"/>
  <c r="Q46"/>
  <c r="M46"/>
  <c r="I46"/>
  <c r="E46"/>
  <c r="AR47" i="13"/>
  <c r="AR48" s="1"/>
  <c r="AR50" s="1"/>
  <c r="AQ47"/>
  <c r="AQ48" s="1"/>
  <c r="AM47"/>
  <c r="AM48" s="1"/>
  <c r="AH47"/>
  <c r="AH48" s="1"/>
  <c r="AH50" s="1"/>
  <c r="AG47"/>
  <c r="AG48" s="1"/>
  <c r="AK48" s="1"/>
  <c r="I47"/>
  <c r="I48" s="1"/>
  <c r="L48" s="1"/>
  <c r="AZ46"/>
  <c r="AP46"/>
  <c r="AK46"/>
  <c r="L46"/>
  <c r="G46"/>
  <c r="Y47" i="12"/>
  <c r="BL46" i="10"/>
  <c r="BF46"/>
  <c r="AZ46"/>
  <c r="AT46"/>
  <c r="AN46"/>
  <c r="AH46"/>
  <c r="AB46"/>
  <c r="V46"/>
  <c r="P46"/>
  <c r="J46"/>
  <c r="D46"/>
  <c r="AH46" i="9"/>
  <c r="L32" i="217" s="1"/>
  <c r="AE46" i="9"/>
  <c r="K32" i="217" s="1"/>
  <c r="Y46" i="9"/>
  <c r="I32" i="217" s="1"/>
  <c r="V46" i="9"/>
  <c r="H32" i="217" s="1"/>
  <c r="S46" i="9"/>
  <c r="G32" i="217" s="1"/>
  <c r="P46" i="9"/>
  <c r="F32" i="217" s="1"/>
  <c r="M46" i="9"/>
  <c r="E32" i="217" s="1"/>
  <c r="J46" i="9"/>
  <c r="D32" i="217" s="1"/>
  <c r="G46" i="9"/>
  <c r="C32" i="217" s="1"/>
  <c r="D46" i="9"/>
  <c r="B32" i="217" s="1"/>
  <c r="BX46" i="7"/>
  <c r="BQ46"/>
  <c r="BJ46"/>
  <c r="BC46"/>
  <c r="AV46"/>
  <c r="AO46"/>
  <c r="AH46"/>
  <c r="AA46"/>
  <c r="T46"/>
  <c r="F46"/>
  <c r="G46" i="5"/>
  <c r="AQ46" i="3"/>
  <c r="AM46"/>
  <c r="AI46"/>
  <c r="AE46"/>
  <c r="AA46"/>
  <c r="W46"/>
  <c r="S46"/>
  <c r="O46"/>
  <c r="K46"/>
  <c r="G46"/>
  <c r="C46"/>
  <c r="BO46" i="1"/>
  <c r="L32" i="212" s="1"/>
  <c r="BL46" i="1"/>
  <c r="BI46"/>
  <c r="K32" i="212" s="1"/>
  <c r="BF46" i="1"/>
  <c r="BC46"/>
  <c r="AZ46"/>
  <c r="AW46"/>
  <c r="AT46"/>
  <c r="AQ46"/>
  <c r="AN46"/>
  <c r="AK46"/>
  <c r="AH46"/>
  <c r="AE46"/>
  <c r="AB46"/>
  <c r="Y46"/>
  <c r="V46"/>
  <c r="S46"/>
  <c r="P46"/>
  <c r="M46"/>
  <c r="J46"/>
  <c r="G46"/>
  <c r="D46"/>
  <c r="AT46" i="29"/>
  <c r="Y46"/>
  <c r="R46"/>
  <c r="CX46" i="19"/>
  <c r="AZ46"/>
  <c r="L46"/>
  <c r="E46"/>
  <c r="CX46" i="58"/>
  <c r="CN46"/>
  <c r="CD46"/>
  <c r="BJ46"/>
  <c r="AZ46"/>
  <c r="AP46"/>
  <c r="V46"/>
  <c r="L46"/>
  <c r="B46"/>
  <c r="AC46" i="5"/>
  <c r="B42" i="70"/>
  <c r="B43" i="71"/>
  <c r="B43" i="72"/>
  <c r="B43" i="73"/>
  <c r="B43" i="74"/>
  <c r="B43" i="75"/>
  <c r="B43" i="76"/>
  <c r="B43" i="77"/>
  <c r="B43" i="78"/>
  <c r="B43" i="79"/>
  <c r="B43" i="80"/>
  <c r="BC47" i="13"/>
  <c r="BC48" s="1"/>
  <c r="BC50" s="1"/>
  <c r="BB47"/>
  <c r="BB48" s="1"/>
  <c r="AW47"/>
  <c r="AW48" s="1"/>
  <c r="AW50" s="1"/>
  <c r="AV47"/>
  <c r="AV48" s="1"/>
  <c r="AV50" s="1"/>
  <c r="AS46" i="15"/>
  <c r="D47" i="81"/>
  <c r="AH46" i="23"/>
  <c r="AE46"/>
  <c r="AB46"/>
  <c r="Y46"/>
  <c r="AS46" i="25"/>
  <c r="CT46" i="2" s="1"/>
  <c r="AQ46" i="25"/>
  <c r="CN46" i="2" s="1"/>
  <c r="AO46" i="25"/>
  <c r="CK46" i="2" s="1"/>
  <c r="AM46" i="25"/>
  <c r="CE46" i="2" s="1"/>
  <c r="AK46" i="25"/>
  <c r="CB46" i="2" s="1"/>
  <c r="AI46" i="25"/>
  <c r="BV46" i="2" s="1"/>
  <c r="AG46" i="25"/>
  <c r="BS46" i="2" s="1"/>
  <c r="B47" i="29"/>
  <c r="I31" i="171" s="1"/>
  <c r="I47" i="29"/>
  <c r="P47"/>
  <c r="W47"/>
  <c r="AD47"/>
  <c r="AK47"/>
  <c r="AR47"/>
  <c r="AY47"/>
  <c r="BF47"/>
  <c r="BM47"/>
  <c r="BT47"/>
  <c r="D47" i="23"/>
  <c r="G47"/>
  <c r="J47"/>
  <c r="M47"/>
  <c r="E33" i="223" s="1"/>
  <c r="P47" i="23"/>
  <c r="S47"/>
  <c r="V47"/>
  <c r="H33" i="223" s="1"/>
  <c r="Y47" i="23"/>
  <c r="AB47"/>
  <c r="AE47"/>
  <c r="AH47"/>
  <c r="D58" i="81"/>
  <c r="D57"/>
  <c r="D55"/>
  <c r="J54" s="1"/>
  <c r="D53"/>
  <c r="D52"/>
  <c r="D50"/>
  <c r="J49" s="1"/>
  <c r="D48"/>
  <c r="D45"/>
  <c r="F44" s="1"/>
  <c r="G44"/>
  <c r="D43"/>
  <c r="D42"/>
  <c r="D40"/>
  <c r="J39" s="1"/>
  <c r="D38"/>
  <c r="D37"/>
  <c r="D35"/>
  <c r="J34" s="1"/>
  <c r="F34"/>
  <c r="D33"/>
  <c r="D32"/>
  <c r="D30"/>
  <c r="H29" s="1"/>
  <c r="D28"/>
  <c r="D27"/>
  <c r="D25"/>
  <c r="G24" s="1"/>
  <c r="F24"/>
  <c r="D23"/>
  <c r="D22"/>
  <c r="D20"/>
  <c r="J19" s="1"/>
  <c r="D18"/>
  <c r="D17"/>
  <c r="D15"/>
  <c r="H14" s="1"/>
  <c r="G14"/>
  <c r="D13"/>
  <c r="D12"/>
  <c r="D10"/>
  <c r="J9" s="1"/>
  <c r="G9"/>
  <c r="D8"/>
  <c r="D7"/>
  <c r="D5"/>
  <c r="H4" s="1"/>
  <c r="G4"/>
  <c r="F4"/>
  <c r="BO47" i="29" l="1"/>
  <c r="K33" i="223"/>
  <c r="K47" i="29"/>
  <c r="C33" i="223"/>
  <c r="C22" i="122"/>
  <c r="B50" i="124"/>
  <c r="I22" i="132"/>
  <c r="BV47" i="29"/>
  <c r="L33" i="223"/>
  <c r="R47" i="29"/>
  <c r="D33" i="223"/>
  <c r="E49" i="133"/>
  <c r="O46" i="5"/>
  <c r="E32" i="212"/>
  <c r="W46" i="5"/>
  <c r="I32" i="212"/>
  <c r="BA47" i="29"/>
  <c r="I33" i="223"/>
  <c r="C22" i="132"/>
  <c r="J32" i="171"/>
  <c r="B24" i="167"/>
  <c r="C23" i="134"/>
  <c r="B51" i="133"/>
  <c r="B22" i="132"/>
  <c r="B22" i="160"/>
  <c r="F19" i="81"/>
  <c r="G29"/>
  <c r="F54"/>
  <c r="J14"/>
  <c r="I19"/>
  <c r="F29"/>
  <c r="J29"/>
  <c r="E34"/>
  <c r="I49"/>
  <c r="CN46" i="19"/>
  <c r="E29" i="81"/>
  <c r="G39"/>
  <c r="G49"/>
  <c r="H54"/>
  <c r="B46" i="19"/>
  <c r="AM46" i="29"/>
  <c r="AM47"/>
  <c r="G33" i="223"/>
  <c r="BA46" i="29"/>
  <c r="I32" i="223"/>
  <c r="L24" i="167"/>
  <c r="J22" i="160"/>
  <c r="BV46" i="29"/>
  <c r="L32" i="223"/>
  <c r="B48" i="124"/>
  <c r="K46" i="5"/>
  <c r="C32" i="212"/>
  <c r="S46" i="5"/>
  <c r="G32" i="212"/>
  <c r="D48" i="58"/>
  <c r="B34" i="213"/>
  <c r="BO46" i="29"/>
  <c r="K32" i="223"/>
  <c r="BH47" i="29"/>
  <c r="J33" i="223"/>
  <c r="AF47" i="29"/>
  <c r="F33" i="223"/>
  <c r="D47" i="29"/>
  <c r="K31" i="171" s="1"/>
  <c r="B33" i="223"/>
  <c r="BH46" i="29"/>
  <c r="J32" i="223"/>
  <c r="I46" i="5"/>
  <c r="B32" i="212"/>
  <c r="M46" i="5"/>
  <c r="D32" i="212"/>
  <c r="Q46" i="5"/>
  <c r="F32" i="212"/>
  <c r="U46" i="5"/>
  <c r="H32" i="212"/>
  <c r="Y46" i="5"/>
  <c r="J32" i="212"/>
  <c r="F9" i="81"/>
  <c r="F14"/>
  <c r="E19"/>
  <c r="E24"/>
  <c r="J44"/>
  <c r="E54"/>
  <c r="I54"/>
  <c r="AP46" i="19"/>
  <c r="E4" i="81"/>
  <c r="J4"/>
  <c r="E9"/>
  <c r="I9"/>
  <c r="E14"/>
  <c r="I14"/>
  <c r="H19"/>
  <c r="I24"/>
  <c r="I29"/>
  <c r="I34"/>
  <c r="E44"/>
  <c r="I44"/>
  <c r="AF46" i="58"/>
  <c r="BT46"/>
  <c r="AF46" i="19"/>
  <c r="BT46"/>
  <c r="K46" i="29"/>
  <c r="H9" i="81"/>
  <c r="G19"/>
  <c r="G34"/>
  <c r="H44"/>
  <c r="E49"/>
  <c r="G54"/>
  <c r="AA46" i="5"/>
  <c r="V46" i="19"/>
  <c r="BJ46"/>
  <c r="D46" i="29"/>
  <c r="K30" i="171" s="1"/>
  <c r="AF46" i="29"/>
  <c r="AZ48" i="13"/>
  <c r="BB50"/>
  <c r="AM50"/>
  <c r="AP48"/>
  <c r="AQ50"/>
  <c r="D48" i="29"/>
  <c r="K48"/>
  <c r="C24" i="176" s="1"/>
  <c r="R48" i="29"/>
  <c r="D24" i="176" s="1"/>
  <c r="Y48" i="29"/>
  <c r="E24" i="176" s="1"/>
  <c r="AF48" i="29"/>
  <c r="F24" i="176" s="1"/>
  <c r="AM48" i="29"/>
  <c r="G24" i="176" s="1"/>
  <c r="AT48" i="29"/>
  <c r="H24" i="176" s="1"/>
  <c r="BA48" i="29"/>
  <c r="I24" i="176" s="1"/>
  <c r="BH48" i="29"/>
  <c r="J24" i="176" s="1"/>
  <c r="BO48" i="29"/>
  <c r="K24" i="176" s="1"/>
  <c r="BV48" i="29"/>
  <c r="L24" i="176" s="1"/>
  <c r="D48" i="16"/>
  <c r="B34" i="220" s="1"/>
  <c r="BZ48" i="7"/>
  <c r="BS48"/>
  <c r="BL48"/>
  <c r="BE48"/>
  <c r="AX48"/>
  <c r="AQ48"/>
  <c r="AJ48"/>
  <c r="AC48"/>
  <c r="V48"/>
  <c r="F48" i="15"/>
  <c r="I4" i="81"/>
  <c r="J24"/>
  <c r="H34"/>
  <c r="G48" i="13"/>
  <c r="E39" i="81"/>
  <c r="I39"/>
  <c r="H24"/>
  <c r="F39"/>
  <c r="H39"/>
  <c r="F49"/>
  <c r="H49"/>
  <c r="Y47" i="29"/>
  <c r="AT47"/>
  <c r="B47" i="15"/>
  <c r="U42" i="13"/>
  <c r="U43" s="1"/>
  <c r="U44" s="1"/>
  <c r="U45" s="1"/>
  <c r="U46" s="1"/>
  <c r="G42"/>
  <c r="L42"/>
  <c r="Q42"/>
  <c r="AF42"/>
  <c r="AK42"/>
  <c r="AP42"/>
  <c r="AZ42"/>
  <c r="G43"/>
  <c r="L43"/>
  <c r="Q43"/>
  <c r="AF43"/>
  <c r="AK43"/>
  <c r="AP43"/>
  <c r="AZ43"/>
  <c r="G44"/>
  <c r="L44"/>
  <c r="AK44"/>
  <c r="AP44"/>
  <c r="AZ44"/>
  <c r="L45"/>
  <c r="AK45"/>
  <c r="AP45"/>
  <c r="AZ45"/>
  <c r="S50" i="12"/>
  <c r="V51"/>
  <c r="Y24"/>
  <c r="Y25"/>
  <c r="Y26"/>
  <c r="Y27"/>
  <c r="Y28"/>
  <c r="Y29"/>
  <c r="Y30"/>
  <c r="Y31"/>
  <c r="Y32"/>
  <c r="Y33"/>
  <c r="Y34"/>
  <c r="Y35"/>
  <c r="Y36"/>
  <c r="Y37"/>
  <c r="Y38"/>
  <c r="Y39"/>
  <c r="Y40"/>
  <c r="Y41"/>
  <c r="Y42"/>
  <c r="Y43"/>
  <c r="Y45"/>
  <c r="Y46"/>
  <c r="Y48"/>
  <c r="Y49"/>
  <c r="Y50"/>
  <c r="Y51"/>
  <c r="Y52"/>
  <c r="Y23"/>
  <c r="G47" i="5"/>
  <c r="D44" i="72"/>
  <c r="D44" i="73"/>
  <c r="D44" i="74"/>
  <c r="D44" i="75"/>
  <c r="D44" i="76"/>
  <c r="D44" i="77"/>
  <c r="D44" i="78"/>
  <c r="D44" i="79"/>
  <c r="D44" i="80"/>
  <c r="D44" i="71"/>
  <c r="CF48" i="58" l="1"/>
  <c r="J34" i="213"/>
  <c r="D50" i="124"/>
  <c r="C24" i="122"/>
  <c r="X48" i="58"/>
  <c r="D34" i="213"/>
  <c r="BL48" i="58"/>
  <c r="H34" i="213"/>
  <c r="CZ48" i="58"/>
  <c r="L34" i="213"/>
  <c r="B24" i="176"/>
  <c r="K32" i="171"/>
  <c r="AR48" i="58"/>
  <c r="F34" i="213"/>
  <c r="B49" i="133"/>
  <c r="AH48" i="58"/>
  <c r="E34" i="213"/>
  <c r="BV48" i="58"/>
  <c r="I34" i="213"/>
  <c r="BB48" i="58"/>
  <c r="G34" i="213"/>
  <c r="CP48" i="58"/>
  <c r="K34" i="213"/>
  <c r="G48" i="15"/>
  <c r="B34" i="219" s="1"/>
  <c r="E48" i="19"/>
  <c r="BX48" i="29"/>
  <c r="BQ48"/>
  <c r="BJ48"/>
  <c r="BC48"/>
  <c r="AV48"/>
  <c r="AO48"/>
  <c r="AH48"/>
  <c r="AA48"/>
  <c r="T48"/>
  <c r="M48"/>
  <c r="F48"/>
  <c r="U47" i="13"/>
  <c r="U48" s="1"/>
  <c r="V46"/>
  <c r="G45"/>
  <c r="B17" i="80"/>
  <c r="B18"/>
  <c r="B19"/>
  <c r="B20"/>
  <c r="B21"/>
  <c r="B22"/>
  <c r="B23"/>
  <c r="B24"/>
  <c r="B25"/>
  <c r="B26"/>
  <c r="B27"/>
  <c r="B48" s="1"/>
  <c r="B28"/>
  <c r="B29"/>
  <c r="B30"/>
  <c r="B31"/>
  <c r="B32"/>
  <c r="B33"/>
  <c r="B34"/>
  <c r="B35"/>
  <c r="B36"/>
  <c r="B37"/>
  <c r="B38"/>
  <c r="B39"/>
  <c r="B40"/>
  <c r="B41"/>
  <c r="B42"/>
  <c r="B44"/>
  <c r="B16"/>
  <c r="B44" i="79"/>
  <c r="B17"/>
  <c r="B18"/>
  <c r="B19"/>
  <c r="B20"/>
  <c r="B21"/>
  <c r="B22"/>
  <c r="B23"/>
  <c r="B24"/>
  <c r="B25"/>
  <c r="B26"/>
  <c r="B27"/>
  <c r="B48" s="1"/>
  <c r="B28"/>
  <c r="B29"/>
  <c r="B30"/>
  <c r="B31"/>
  <c r="B32"/>
  <c r="B33"/>
  <c r="B34"/>
  <c r="B35"/>
  <c r="B36"/>
  <c r="B37"/>
  <c r="B38"/>
  <c r="B39"/>
  <c r="B40"/>
  <c r="B41"/>
  <c r="B42"/>
  <c r="B16"/>
  <c r="B17" i="78"/>
  <c r="B18"/>
  <c r="B19"/>
  <c r="B20"/>
  <c r="B21"/>
  <c r="B22"/>
  <c r="B23"/>
  <c r="B24"/>
  <c r="B25"/>
  <c r="B26"/>
  <c r="B27"/>
  <c r="B48" s="1"/>
  <c r="B28"/>
  <c r="B29"/>
  <c r="B30"/>
  <c r="B31"/>
  <c r="B32"/>
  <c r="B33"/>
  <c r="B34"/>
  <c r="B35"/>
  <c r="B36"/>
  <c r="B37"/>
  <c r="B38"/>
  <c r="B39"/>
  <c r="B40"/>
  <c r="B41"/>
  <c r="B42"/>
  <c r="B44"/>
  <c r="B16"/>
  <c r="B17" i="77"/>
  <c r="B18"/>
  <c r="B19"/>
  <c r="B20"/>
  <c r="B21"/>
  <c r="B22"/>
  <c r="B23"/>
  <c r="B24"/>
  <c r="B25"/>
  <c r="B26"/>
  <c r="B27"/>
  <c r="B48" s="1"/>
  <c r="B28"/>
  <c r="B29"/>
  <c r="B30"/>
  <c r="B31"/>
  <c r="B32"/>
  <c r="B33"/>
  <c r="B34"/>
  <c r="B35"/>
  <c r="B36"/>
  <c r="B37"/>
  <c r="B38"/>
  <c r="B39"/>
  <c r="B40"/>
  <c r="B41"/>
  <c r="B42"/>
  <c r="B44"/>
  <c r="B16"/>
  <c r="B17" i="76"/>
  <c r="B18"/>
  <c r="B19"/>
  <c r="B20"/>
  <c r="B21"/>
  <c r="B22"/>
  <c r="B23"/>
  <c r="B24"/>
  <c r="B25"/>
  <c r="B26"/>
  <c r="B27"/>
  <c r="B48" s="1"/>
  <c r="B28"/>
  <c r="B29"/>
  <c r="B30"/>
  <c r="B31"/>
  <c r="B32"/>
  <c r="B33"/>
  <c r="B34"/>
  <c r="B35"/>
  <c r="B36"/>
  <c r="B37"/>
  <c r="B38"/>
  <c r="B39"/>
  <c r="B40"/>
  <c r="B41"/>
  <c r="B42"/>
  <c r="B44"/>
  <c r="B16"/>
  <c r="B17" i="75"/>
  <c r="B18"/>
  <c r="B19"/>
  <c r="B20"/>
  <c r="B21"/>
  <c r="B22"/>
  <c r="B23"/>
  <c r="B24"/>
  <c r="B25"/>
  <c r="B26"/>
  <c r="B27"/>
  <c r="B48" s="1"/>
  <c r="B28"/>
  <c r="B29"/>
  <c r="B30"/>
  <c r="B31"/>
  <c r="B32"/>
  <c r="B33"/>
  <c r="B34"/>
  <c r="B35"/>
  <c r="B36"/>
  <c r="B37"/>
  <c r="B38"/>
  <c r="B39"/>
  <c r="B40"/>
  <c r="B41"/>
  <c r="B42"/>
  <c r="B44"/>
  <c r="B16"/>
  <c r="B44" i="74"/>
  <c r="B17"/>
  <c r="B18"/>
  <c r="B19"/>
  <c r="B20"/>
  <c r="B21"/>
  <c r="B22"/>
  <c r="B23"/>
  <c r="B24"/>
  <c r="B25"/>
  <c r="B26"/>
  <c r="B27"/>
  <c r="B48" s="1"/>
  <c r="B28"/>
  <c r="B29"/>
  <c r="B30"/>
  <c r="B31"/>
  <c r="B32"/>
  <c r="B33"/>
  <c r="B34"/>
  <c r="B35"/>
  <c r="B36"/>
  <c r="B37"/>
  <c r="B38"/>
  <c r="B39"/>
  <c r="B40"/>
  <c r="B41"/>
  <c r="B42"/>
  <c r="B16"/>
  <c r="B17" i="73"/>
  <c r="B18"/>
  <c r="B19"/>
  <c r="B20"/>
  <c r="B21"/>
  <c r="B22"/>
  <c r="B23"/>
  <c r="B24"/>
  <c r="B25"/>
  <c r="B26"/>
  <c r="B27"/>
  <c r="B48" s="1"/>
  <c r="B28"/>
  <c r="B29"/>
  <c r="B30"/>
  <c r="B31"/>
  <c r="B32"/>
  <c r="B33"/>
  <c r="B34"/>
  <c r="B35"/>
  <c r="B36"/>
  <c r="B37"/>
  <c r="B38"/>
  <c r="B39"/>
  <c r="B40"/>
  <c r="B41"/>
  <c r="B42"/>
  <c r="B44"/>
  <c r="B16"/>
  <c r="B17" i="72"/>
  <c r="B18"/>
  <c r="B19"/>
  <c r="B20"/>
  <c r="B21"/>
  <c r="B22"/>
  <c r="B23"/>
  <c r="B24"/>
  <c r="B25"/>
  <c r="B26"/>
  <c r="B27"/>
  <c r="B48" s="1"/>
  <c r="B28"/>
  <c r="B29"/>
  <c r="B30"/>
  <c r="B31"/>
  <c r="B32"/>
  <c r="B33"/>
  <c r="B34"/>
  <c r="B35"/>
  <c r="B36"/>
  <c r="B37"/>
  <c r="B38"/>
  <c r="B39"/>
  <c r="B40"/>
  <c r="B41"/>
  <c r="B42"/>
  <c r="B44"/>
  <c r="B16"/>
  <c r="B44" i="71"/>
  <c r="B17"/>
  <c r="B18"/>
  <c r="B19"/>
  <c r="B20"/>
  <c r="B21"/>
  <c r="B22"/>
  <c r="B23"/>
  <c r="B24"/>
  <c r="B25"/>
  <c r="B26"/>
  <c r="B27"/>
  <c r="B48" s="1"/>
  <c r="B28"/>
  <c r="B29"/>
  <c r="B30"/>
  <c r="B31"/>
  <c r="B32"/>
  <c r="B33"/>
  <c r="B34"/>
  <c r="B35"/>
  <c r="B36"/>
  <c r="B37"/>
  <c r="B38"/>
  <c r="B39"/>
  <c r="B40"/>
  <c r="B41"/>
  <c r="B42"/>
  <c r="B16"/>
  <c r="P43" i="70"/>
  <c r="E51" i="133" l="1"/>
  <c r="F23" i="134"/>
  <c r="U50" i="13"/>
  <c r="V48"/>
  <c r="D48" i="19"/>
  <c r="B43" i="70"/>
  <c r="B16"/>
  <c r="B17"/>
  <c r="B18"/>
  <c r="B19"/>
  <c r="B20"/>
  <c r="B21"/>
  <c r="B22"/>
  <c r="B23"/>
  <c r="B24"/>
  <c r="B25"/>
  <c r="B26"/>
  <c r="B47" s="1"/>
  <c r="B27"/>
  <c r="B28"/>
  <c r="B29"/>
  <c r="B30"/>
  <c r="B31"/>
  <c r="B32"/>
  <c r="B33"/>
  <c r="B34"/>
  <c r="B35"/>
  <c r="B36"/>
  <c r="B37"/>
  <c r="B38"/>
  <c r="B39"/>
  <c r="B40"/>
  <c r="B41"/>
  <c r="B15"/>
  <c r="C47" i="25"/>
  <c r="G47"/>
  <c r="I47"/>
  <c r="K47"/>
  <c r="M47"/>
  <c r="O47"/>
  <c r="Q47"/>
  <c r="S47"/>
  <c r="U47"/>
  <c r="W47"/>
  <c r="Y47"/>
  <c r="AA47"/>
  <c r="AC47"/>
  <c r="AE47"/>
  <c r="AG47"/>
  <c r="AI47"/>
  <c r="AK47"/>
  <c r="AM47"/>
  <c r="AO47"/>
  <c r="AQ47"/>
  <c r="AS47"/>
  <c r="B45" i="33"/>
  <c r="D43" i="32"/>
  <c r="E43"/>
  <c r="F43"/>
  <c r="G43"/>
  <c r="I43"/>
  <c r="J43"/>
  <c r="K43"/>
  <c r="B43" i="28"/>
  <c r="C43"/>
  <c r="D43"/>
  <c r="F43"/>
  <c r="G43"/>
  <c r="H43"/>
  <c r="I43"/>
  <c r="J43"/>
  <c r="K43"/>
  <c r="L43"/>
  <c r="E43"/>
  <c r="V46" i="20"/>
  <c r="T46"/>
  <c r="R46"/>
  <c r="P46"/>
  <c r="N46"/>
  <c r="L46"/>
  <c r="J46"/>
  <c r="H46"/>
  <c r="F46"/>
  <c r="D46"/>
  <c r="E44" i="16"/>
  <c r="F44" s="1"/>
  <c r="G44" s="1"/>
  <c r="H44" s="1"/>
  <c r="C30" i="220" s="1"/>
  <c r="I44" i="16"/>
  <c r="J44" s="1"/>
  <c r="K44" s="1"/>
  <c r="L44" s="1"/>
  <c r="D30" i="220" s="1"/>
  <c r="M44" i="16"/>
  <c r="N44" s="1"/>
  <c r="O44" s="1"/>
  <c r="P44" s="1"/>
  <c r="E30" i="220" s="1"/>
  <c r="Q44" i="16"/>
  <c r="R44" s="1"/>
  <c r="S44" s="1"/>
  <c r="T44" s="1"/>
  <c r="F30" i="220" s="1"/>
  <c r="U44" i="16"/>
  <c r="V44" s="1"/>
  <c r="W44" s="1"/>
  <c r="X44" s="1"/>
  <c r="G30" i="220" s="1"/>
  <c r="Y44" i="16"/>
  <c r="Z44" s="1"/>
  <c r="AA44" s="1"/>
  <c r="AB44" s="1"/>
  <c r="H30" i="220" s="1"/>
  <c r="AC44" i="16"/>
  <c r="AD44" s="1"/>
  <c r="AE44" s="1"/>
  <c r="AF44" s="1"/>
  <c r="I30" i="220" s="1"/>
  <c r="AG44" i="16"/>
  <c r="AH44" s="1"/>
  <c r="AI44" s="1"/>
  <c r="AJ44" s="1"/>
  <c r="J30" i="220" s="1"/>
  <c r="AK44" i="16"/>
  <c r="AL44" s="1"/>
  <c r="AM44" s="1"/>
  <c r="AN44" s="1"/>
  <c r="K30" i="220" s="1"/>
  <c r="AO44" i="16"/>
  <c r="AP44" s="1"/>
  <c r="AQ44" s="1"/>
  <c r="AR44" s="1"/>
  <c r="L30" i="220" s="1"/>
  <c r="P46" i="18"/>
  <c r="AG46"/>
  <c r="AX46"/>
  <c r="BO46"/>
  <c r="CF46"/>
  <c r="CW46"/>
  <c r="DN46"/>
  <c r="EE46"/>
  <c r="EV46"/>
  <c r="FM46"/>
  <c r="GD46"/>
  <c r="E32" i="12"/>
  <c r="C45" i="64"/>
  <c r="D45" s="1"/>
  <c r="E45" s="1"/>
  <c r="AM45"/>
  <c r="D45" i="10"/>
  <c r="J45"/>
  <c r="P45"/>
  <c r="V45"/>
  <c r="AB45"/>
  <c r="AH45"/>
  <c r="AN45"/>
  <c r="AT45"/>
  <c r="AZ45"/>
  <c r="BF45"/>
  <c r="BL45"/>
  <c r="M20" i="9"/>
  <c r="E6" i="217" s="1"/>
  <c r="M21" i="9"/>
  <c r="E7" i="217" s="1"/>
  <c r="M22" i="9"/>
  <c r="E8" i="217" s="1"/>
  <c r="M23" i="9"/>
  <c r="E9" i="217" s="1"/>
  <c r="M24" i="9"/>
  <c r="E10" i="217" s="1"/>
  <c r="M25" i="9"/>
  <c r="E11" i="217" s="1"/>
  <c r="M26" i="9"/>
  <c r="E12" i="217" s="1"/>
  <c r="M27" i="9"/>
  <c r="E13" i="217" s="1"/>
  <c r="M28" i="9"/>
  <c r="E14" i="217" s="1"/>
  <c r="M29" i="9"/>
  <c r="E15" i="217" s="1"/>
  <c r="M30" i="9"/>
  <c r="E16" i="217" s="1"/>
  <c r="M31" i="9"/>
  <c r="E17" i="217" s="1"/>
  <c r="M32" i="9"/>
  <c r="E18" i="217" s="1"/>
  <c r="M33" i="9"/>
  <c r="E19" i="217" s="1"/>
  <c r="M34" i="9"/>
  <c r="E20" i="217" s="1"/>
  <c r="M35" i="9"/>
  <c r="E21" i="217" s="1"/>
  <c r="M36" i="9"/>
  <c r="E22" i="217" s="1"/>
  <c r="M37" i="9"/>
  <c r="E23" i="217" s="1"/>
  <c r="M38" i="9"/>
  <c r="E24" i="217" s="1"/>
  <c r="M39" i="9"/>
  <c r="E25" i="217" s="1"/>
  <c r="M40" i="9"/>
  <c r="E26" i="217" s="1"/>
  <c r="M41" i="9"/>
  <c r="E27" i="217" s="1"/>
  <c r="M42" i="9"/>
  <c r="E28" i="217" s="1"/>
  <c r="M43" i="9"/>
  <c r="E29" i="217" s="1"/>
  <c r="M44" i="9"/>
  <c r="E30" i="217" s="1"/>
  <c r="M45" i="9"/>
  <c r="E31" i="217" s="1"/>
  <c r="M19" i="9"/>
  <c r="J20"/>
  <c r="D6" i="217" s="1"/>
  <c r="J21" i="9"/>
  <c r="D7" i="217" s="1"/>
  <c r="J22" i="9"/>
  <c r="D8" i="217" s="1"/>
  <c r="J23" i="9"/>
  <c r="D9" i="217" s="1"/>
  <c r="J24" i="9"/>
  <c r="D10" i="217" s="1"/>
  <c r="J25" i="9"/>
  <c r="D11" i="217" s="1"/>
  <c r="J26" i="9"/>
  <c r="D12" i="217" s="1"/>
  <c r="J27" i="9"/>
  <c r="D13" i="217" s="1"/>
  <c r="J28" i="9"/>
  <c r="D14" i="217" s="1"/>
  <c r="J29" i="9"/>
  <c r="D15" i="217" s="1"/>
  <c r="J30" i="9"/>
  <c r="D16" i="217" s="1"/>
  <c r="J31" i="9"/>
  <c r="D17" i="217" s="1"/>
  <c r="J32" i="9"/>
  <c r="D18" i="217" s="1"/>
  <c r="J33" i="9"/>
  <c r="D19" i="217" s="1"/>
  <c r="J34" i="9"/>
  <c r="D20" i="217" s="1"/>
  <c r="J35" i="9"/>
  <c r="D21" i="217" s="1"/>
  <c r="J36" i="9"/>
  <c r="D22" i="217" s="1"/>
  <c r="J37" i="9"/>
  <c r="D23" i="217" s="1"/>
  <c r="J38" i="9"/>
  <c r="D24" i="217" s="1"/>
  <c r="J39" i="9"/>
  <c r="D25" i="217" s="1"/>
  <c r="J40" i="9"/>
  <c r="D26" i="217" s="1"/>
  <c r="J41" i="9"/>
  <c r="D27" i="217" s="1"/>
  <c r="J42" i="9"/>
  <c r="D28" i="217" s="1"/>
  <c r="J43" i="9"/>
  <c r="D29" i="217" s="1"/>
  <c r="J44" i="9"/>
  <c r="D30" i="217" s="1"/>
  <c r="J45" i="9"/>
  <c r="D31" i="217" s="1"/>
  <c r="J19" i="9"/>
  <c r="G20"/>
  <c r="C6" i="217" s="1"/>
  <c r="G21" i="9"/>
  <c r="C7" i="217" s="1"/>
  <c r="G22" i="9"/>
  <c r="C8" i="217" s="1"/>
  <c r="G23" i="9"/>
  <c r="C9" i="217" s="1"/>
  <c r="G24" i="9"/>
  <c r="C10" i="217" s="1"/>
  <c r="G25" i="9"/>
  <c r="C11" i="217" s="1"/>
  <c r="G26" i="9"/>
  <c r="C12" i="217" s="1"/>
  <c r="G27" i="9"/>
  <c r="C13" i="217" s="1"/>
  <c r="G28" i="9"/>
  <c r="C14" i="217" s="1"/>
  <c r="G29" i="9"/>
  <c r="C15" i="217" s="1"/>
  <c r="G30" i="9"/>
  <c r="C16" i="217" s="1"/>
  <c r="G31" i="9"/>
  <c r="C17" i="217" s="1"/>
  <c r="G32" i="9"/>
  <c r="C18" i="217" s="1"/>
  <c r="G33" i="9"/>
  <c r="C19" i="217" s="1"/>
  <c r="G34" i="9"/>
  <c r="C20" i="217" s="1"/>
  <c r="G35" i="9"/>
  <c r="C21" i="217" s="1"/>
  <c r="G36" i="9"/>
  <c r="C22" i="217" s="1"/>
  <c r="G37" i="9"/>
  <c r="C23" i="217" s="1"/>
  <c r="G38" i="9"/>
  <c r="C24" i="217" s="1"/>
  <c r="G39" i="9"/>
  <c r="C25" i="217" s="1"/>
  <c r="G40" i="9"/>
  <c r="C26" i="217" s="1"/>
  <c r="G41" i="9"/>
  <c r="C27" i="217" s="1"/>
  <c r="G42" i="9"/>
  <c r="C28" i="217" s="1"/>
  <c r="G43" i="9"/>
  <c r="C29" i="217" s="1"/>
  <c r="G44" i="9"/>
  <c r="C30" i="217" s="1"/>
  <c r="G45" i="9"/>
  <c r="C31" i="217" s="1"/>
  <c r="G19" i="9"/>
  <c r="P44"/>
  <c r="F30" i="217" s="1"/>
  <c r="P45" i="9"/>
  <c r="F31" i="217" s="1"/>
  <c r="S44" i="9"/>
  <c r="G30" i="217" s="1"/>
  <c r="S45" i="9"/>
  <c r="G31" i="217" s="1"/>
  <c r="V44" i="9"/>
  <c r="H30" i="217" s="1"/>
  <c r="V45" i="9"/>
  <c r="H31" i="217" s="1"/>
  <c r="Y44" i="9"/>
  <c r="I30" i="217" s="1"/>
  <c r="Y45" i="9"/>
  <c r="I31" i="217" s="1"/>
  <c r="AE44" i="9"/>
  <c r="K30" i="217" s="1"/>
  <c r="AE45" i="9"/>
  <c r="K31" i="217" s="1"/>
  <c r="AH44" i="9"/>
  <c r="L30" i="217" s="1"/>
  <c r="AH45" i="9"/>
  <c r="L31" i="217" s="1"/>
  <c r="C47" i="7"/>
  <c r="B41" i="4"/>
  <c r="L46" i="7"/>
  <c r="F43"/>
  <c r="B42" i="4" l="1"/>
  <c r="B31" i="214"/>
  <c r="P48" i="20"/>
  <c r="I34" i="229"/>
  <c r="I22" i="166"/>
  <c r="BB47" i="29"/>
  <c r="I33" i="224"/>
  <c r="R45" i="33"/>
  <c r="J33" i="226"/>
  <c r="G47" i="19"/>
  <c r="B33" i="210"/>
  <c r="F48" i="20"/>
  <c r="D34" i="229"/>
  <c r="D22" i="166"/>
  <c r="V48" i="20"/>
  <c r="L34" i="229"/>
  <c r="L22" i="166"/>
  <c r="AG47" i="29"/>
  <c r="F33" i="224"/>
  <c r="J45" i="33"/>
  <c r="F33" i="226"/>
  <c r="G50" i="9"/>
  <c r="C5" i="217"/>
  <c r="C43"/>
  <c r="C38"/>
  <c r="C44"/>
  <c r="C39"/>
  <c r="D48" i="20"/>
  <c r="C34" i="229"/>
  <c r="C22" i="166"/>
  <c r="L48" i="20"/>
  <c r="G34" i="229"/>
  <c r="G22" i="166"/>
  <c r="T48" i="20"/>
  <c r="K34" i="229"/>
  <c r="K22" i="166"/>
  <c r="BP47" i="29"/>
  <c r="K33" i="224"/>
  <c r="AN47" i="29"/>
  <c r="G33" i="224"/>
  <c r="E47" i="29"/>
  <c r="J31" i="171" s="1"/>
  <c r="B33" i="224"/>
  <c r="L45" i="33"/>
  <c r="G33" i="226"/>
  <c r="M50" i="9"/>
  <c r="E5" i="217"/>
  <c r="E43"/>
  <c r="E38"/>
  <c r="E44"/>
  <c r="E39"/>
  <c r="H48" i="20"/>
  <c r="E34" i="229"/>
  <c r="E22" i="166"/>
  <c r="Z47" i="29"/>
  <c r="AA47" s="1"/>
  <c r="E33" i="224"/>
  <c r="S47" i="29"/>
  <c r="D33" i="224"/>
  <c r="H45" i="33"/>
  <c r="E33" i="226"/>
  <c r="E23" i="134"/>
  <c r="D51" i="133"/>
  <c r="B22" i="130"/>
  <c r="N48" i="20"/>
  <c r="H34" i="229"/>
  <c r="H22" i="166"/>
  <c r="BI47" i="29"/>
  <c r="J33" i="224"/>
  <c r="T45" i="33"/>
  <c r="K33" i="226"/>
  <c r="J50" i="9"/>
  <c r="D5" i="217"/>
  <c r="D43"/>
  <c r="D38"/>
  <c r="D39"/>
  <c r="D44"/>
  <c r="J48" i="20"/>
  <c r="F34" i="229"/>
  <c r="F22" i="166"/>
  <c r="R48" i="20"/>
  <c r="J34" i="229"/>
  <c r="J22" i="166"/>
  <c r="BW47" i="29"/>
  <c r="BX47" s="1"/>
  <c r="L33" i="224"/>
  <c r="AU47" i="29"/>
  <c r="H33" i="224"/>
  <c r="L47" i="29"/>
  <c r="M47" s="1"/>
  <c r="C33" i="224"/>
  <c r="P45" i="33"/>
  <c r="I33" i="226"/>
  <c r="F45" i="33"/>
  <c r="D33" i="226"/>
  <c r="L47" i="7"/>
  <c r="L48" s="1"/>
  <c r="M48" s="1"/>
  <c r="M46"/>
  <c r="D46" i="3"/>
  <c r="H46"/>
  <c r="L46"/>
  <c r="P46"/>
  <c r="T46"/>
  <c r="X46"/>
  <c r="AB46"/>
  <c r="AF46"/>
  <c r="AJ46"/>
  <c r="AN46"/>
  <c r="AR46"/>
  <c r="B46" i="20"/>
  <c r="BQ47" i="29"/>
  <c r="BC47"/>
  <c r="AO47"/>
  <c r="T47"/>
  <c r="F47"/>
  <c r="BJ47"/>
  <c r="AV47"/>
  <c r="AH47"/>
  <c r="D45" i="33"/>
  <c r="L43" i="32"/>
  <c r="H43"/>
  <c r="CB47" i="2"/>
  <c r="BS47"/>
  <c r="BJ47"/>
  <c r="BA47"/>
  <c r="AR47"/>
  <c r="AI47"/>
  <c r="Z47"/>
  <c r="Q47"/>
  <c r="H47"/>
  <c r="CN47"/>
  <c r="CE47"/>
  <c r="BV47"/>
  <c r="BM47"/>
  <c r="BD47"/>
  <c r="AU47"/>
  <c r="AL47"/>
  <c r="AC47"/>
  <c r="T47"/>
  <c r="K47"/>
  <c r="B47"/>
  <c r="AN45" i="64"/>
  <c r="CT47" i="2"/>
  <c r="CK47"/>
  <c r="C46" i="7"/>
  <c r="G46" s="1"/>
  <c r="H46" s="1"/>
  <c r="C45" i="3"/>
  <c r="D45" s="1"/>
  <c r="G45"/>
  <c r="H45" s="1"/>
  <c r="K45"/>
  <c r="L45" s="1"/>
  <c r="O45"/>
  <c r="P45" s="1"/>
  <c r="S45"/>
  <c r="T45" s="1"/>
  <c r="W45"/>
  <c r="X45" s="1"/>
  <c r="AA45"/>
  <c r="AB45" s="1"/>
  <c r="AE45"/>
  <c r="AF45" s="1"/>
  <c r="AI45"/>
  <c r="AJ45" s="1"/>
  <c r="AM45"/>
  <c r="AN45" s="1"/>
  <c r="AQ45"/>
  <c r="AR45" s="1"/>
  <c r="C47"/>
  <c r="G47"/>
  <c r="K47"/>
  <c r="O47"/>
  <c r="S47"/>
  <c r="W47"/>
  <c r="AA47"/>
  <c r="AE47"/>
  <c r="AI47"/>
  <c r="AM47"/>
  <c r="AQ47"/>
  <c r="I45" i="34"/>
  <c r="I12" i="80"/>
  <c r="I16"/>
  <c r="L16" s="1"/>
  <c r="L5" i="215" s="1"/>
  <c r="I14" i="80"/>
  <c r="L14" s="1"/>
  <c r="B46" i="70"/>
  <c r="D45" i="1"/>
  <c r="P42" i="21"/>
  <c r="E30" i="232" s="1"/>
  <c r="H42" i="21"/>
  <c r="C30" i="232" s="1"/>
  <c r="BT45" i="29"/>
  <c r="BT46"/>
  <c r="BM45"/>
  <c r="BM46"/>
  <c r="AY45"/>
  <c r="BF45"/>
  <c r="AY46"/>
  <c r="BF46"/>
  <c r="AR46"/>
  <c r="AR45"/>
  <c r="AK45"/>
  <c r="AK46"/>
  <c r="AD45"/>
  <c r="AD46"/>
  <c r="W45"/>
  <c r="W46"/>
  <c r="P45"/>
  <c r="P46"/>
  <c r="I45"/>
  <c r="I46"/>
  <c r="B45"/>
  <c r="I29" i="171" s="1"/>
  <c r="B46" i="29"/>
  <c r="I30" i="171" s="1"/>
  <c r="BT45" i="34"/>
  <c r="BM45"/>
  <c r="BF45"/>
  <c r="AY45"/>
  <c r="AR45"/>
  <c r="AK45"/>
  <c r="AD45"/>
  <c r="W45"/>
  <c r="P45"/>
  <c r="B45"/>
  <c r="B41" i="32"/>
  <c r="B31" i="226" s="1"/>
  <c r="L42" i="32"/>
  <c r="C42"/>
  <c r="D42"/>
  <c r="E42"/>
  <c r="F42"/>
  <c r="G42"/>
  <c r="H42"/>
  <c r="I42"/>
  <c r="J42"/>
  <c r="K42"/>
  <c r="B42"/>
  <c r="AP45" i="16"/>
  <c r="AQ45" s="1"/>
  <c r="AR45" s="1"/>
  <c r="L31" i="220" s="1"/>
  <c r="AO46" i="16"/>
  <c r="AL45"/>
  <c r="AM45" s="1"/>
  <c r="AN45" s="1"/>
  <c r="K31" i="220" s="1"/>
  <c r="AK46" i="16"/>
  <c r="M43"/>
  <c r="N45" s="1"/>
  <c r="O45" s="1"/>
  <c r="P45" s="1"/>
  <c r="E31" i="220" s="1"/>
  <c r="C44" i="16"/>
  <c r="C45"/>
  <c r="D7" i="69"/>
  <c r="Q45" i="15"/>
  <c r="M44"/>
  <c r="M45"/>
  <c r="I44"/>
  <c r="I45"/>
  <c r="E45"/>
  <c r="B46"/>
  <c r="D46" s="1"/>
  <c r="F46" s="1"/>
  <c r="G46" s="1"/>
  <c r="D43" i="80"/>
  <c r="D43" i="79"/>
  <c r="D43" i="78"/>
  <c r="D43" i="77"/>
  <c r="D43" i="76"/>
  <c r="D43" i="75"/>
  <c r="D43" i="74"/>
  <c r="D43" i="73"/>
  <c r="D43" i="72"/>
  <c r="D43" i="71"/>
  <c r="O47" i="70"/>
  <c r="N47"/>
  <c r="P42"/>
  <c r="L41" i="4"/>
  <c r="L31" i="214" s="1"/>
  <c r="K41" i="4"/>
  <c r="K31" i="214" s="1"/>
  <c r="J41" i="4"/>
  <c r="J31" i="214" s="1"/>
  <c r="I41" i="4"/>
  <c r="H41"/>
  <c r="H31" i="214" s="1"/>
  <c r="G41" i="4"/>
  <c r="G31" i="214" s="1"/>
  <c r="F41" i="4"/>
  <c r="F31" i="214" s="1"/>
  <c r="E41" i="4"/>
  <c r="D41"/>
  <c r="D31" i="214" s="1"/>
  <c r="C41" i="4"/>
  <c r="E45" i="25"/>
  <c r="H45" i="2" s="1"/>
  <c r="C8" i="25"/>
  <c r="H25" i="34"/>
  <c r="BV43"/>
  <c r="BV44" s="1"/>
  <c r="BV45" s="1"/>
  <c r="BV46" s="1"/>
  <c r="BV47" s="1"/>
  <c r="BO43"/>
  <c r="BO44" s="1"/>
  <c r="BO45" s="1"/>
  <c r="BH43"/>
  <c r="BH44" s="1"/>
  <c r="BH45" s="1"/>
  <c r="BH46" s="1"/>
  <c r="BH47" s="1"/>
  <c r="BA43"/>
  <c r="BA44" s="1"/>
  <c r="BA45" s="1"/>
  <c r="BA46" s="1"/>
  <c r="BA47" s="1"/>
  <c r="AT43"/>
  <c r="AT44" s="1"/>
  <c r="AT45" s="1"/>
  <c r="AT46" s="1"/>
  <c r="AT47" s="1"/>
  <c r="AM43"/>
  <c r="AM44" s="1"/>
  <c r="AM45" s="1"/>
  <c r="AM46" s="1"/>
  <c r="AM47" s="1"/>
  <c r="AF43"/>
  <c r="AF44" s="1"/>
  <c r="AF45" s="1"/>
  <c r="AF46" s="1"/>
  <c r="AF47" s="1"/>
  <c r="Y43"/>
  <c r="Y44" s="1"/>
  <c r="Y45" s="1"/>
  <c r="Y46" s="1"/>
  <c r="Y47" s="1"/>
  <c r="R43"/>
  <c r="R44" s="1"/>
  <c r="R45" s="1"/>
  <c r="R46" s="1"/>
  <c r="R47" s="1"/>
  <c r="K43"/>
  <c r="K44" s="1"/>
  <c r="D43"/>
  <c r="D44" s="1"/>
  <c r="D45" s="1"/>
  <c r="D46" s="1"/>
  <c r="D47" s="1"/>
  <c r="B41" i="28"/>
  <c r="C41"/>
  <c r="D41"/>
  <c r="E41"/>
  <c r="F41"/>
  <c r="G41"/>
  <c r="H41"/>
  <c r="I41"/>
  <c r="J41"/>
  <c r="K41"/>
  <c r="L41"/>
  <c r="B42"/>
  <c r="C42"/>
  <c r="D42"/>
  <c r="E42"/>
  <c r="F42"/>
  <c r="G42"/>
  <c r="H42"/>
  <c r="I42"/>
  <c r="J42"/>
  <c r="K42"/>
  <c r="L42"/>
  <c r="AO43" i="16"/>
  <c r="AK43"/>
  <c r="AG43"/>
  <c r="AC43"/>
  <c r="Y43"/>
  <c r="U43"/>
  <c r="Q43"/>
  <c r="M42"/>
  <c r="I43"/>
  <c r="E43"/>
  <c r="BO44" i="18"/>
  <c r="G16" i="14"/>
  <c r="G32" i="12"/>
  <c r="F32"/>
  <c r="AN46" i="29" l="1"/>
  <c r="AO46" s="1"/>
  <c r="G32" i="224"/>
  <c r="L46" i="29"/>
  <c r="C32" i="224"/>
  <c r="E45" i="29"/>
  <c r="J29" i="171" s="1"/>
  <c r="B31" i="224"/>
  <c r="AK45" i="3"/>
  <c r="J31" i="211"/>
  <c r="U45" i="3"/>
  <c r="F31" i="211"/>
  <c r="AC46" i="3"/>
  <c r="H32" i="211"/>
  <c r="M46" i="3"/>
  <c r="D32" i="211"/>
  <c r="E41" i="217"/>
  <c r="E36"/>
  <c r="K41" i="229"/>
  <c r="K36"/>
  <c r="C41" i="217"/>
  <c r="C36"/>
  <c r="B43" i="4"/>
  <c r="B32" i="214"/>
  <c r="B93" i="4"/>
  <c r="R44" i="33"/>
  <c r="J32" i="226"/>
  <c r="V44" i="33"/>
  <c r="L32" i="226"/>
  <c r="AO45" i="3"/>
  <c r="K31" i="211"/>
  <c r="I45" i="3"/>
  <c r="C31" i="211"/>
  <c r="B34" i="229"/>
  <c r="B52" i="20"/>
  <c r="B48"/>
  <c r="B22" i="166"/>
  <c r="Q46" i="3"/>
  <c r="E32" i="211"/>
  <c r="D36" i="217"/>
  <c r="D41"/>
  <c r="L41" i="229"/>
  <c r="L36"/>
  <c r="BB46" i="29"/>
  <c r="BC46" s="1"/>
  <c r="I32" i="224"/>
  <c r="Z46" i="29"/>
  <c r="E32" i="224"/>
  <c r="BW45" i="29"/>
  <c r="L31" i="224"/>
  <c r="AU45" i="29"/>
  <c r="H31" i="224"/>
  <c r="S45" i="29"/>
  <c r="D31" i="224"/>
  <c r="D46" i="19"/>
  <c r="B32" i="219"/>
  <c r="T44" i="33"/>
  <c r="K32" i="226"/>
  <c r="L44" i="33"/>
  <c r="G32" i="226"/>
  <c r="D44" i="33"/>
  <c r="C32" i="226"/>
  <c r="AS45" i="3"/>
  <c r="L31" i="211"/>
  <c r="AC45" i="3"/>
  <c r="H31" i="211"/>
  <c r="M45" i="3"/>
  <c r="D31" i="211"/>
  <c r="V45" i="33"/>
  <c r="L33" i="226"/>
  <c r="AK46" i="3"/>
  <c r="J32" i="211"/>
  <c r="U46" i="3"/>
  <c r="F32" i="211"/>
  <c r="E46" i="3"/>
  <c r="B32" i="211"/>
  <c r="J41" i="229"/>
  <c r="J36"/>
  <c r="E41"/>
  <c r="E36"/>
  <c r="C41"/>
  <c r="C36"/>
  <c r="D41"/>
  <c r="D36"/>
  <c r="C42" i="217"/>
  <c r="E42"/>
  <c r="D37"/>
  <c r="BP46" i="29"/>
  <c r="BQ46" s="1"/>
  <c r="K32" i="224"/>
  <c r="BI45" i="29"/>
  <c r="J31" i="224"/>
  <c r="AG45" i="29"/>
  <c r="F31" i="224"/>
  <c r="P44" i="33"/>
  <c r="I32" i="226"/>
  <c r="H44" i="33"/>
  <c r="E32" i="226"/>
  <c r="E45" i="3"/>
  <c r="B31" i="211"/>
  <c r="AS46" i="3"/>
  <c r="L32" i="211"/>
  <c r="H36" i="229"/>
  <c r="H41"/>
  <c r="BW46" i="29"/>
  <c r="BX46" s="1"/>
  <c r="L32" i="224"/>
  <c r="AU46" i="29"/>
  <c r="H32" i="224"/>
  <c r="S46" i="29"/>
  <c r="T46" s="1"/>
  <c r="D32" i="224"/>
  <c r="BP45" i="29"/>
  <c r="K31" i="224"/>
  <c r="AN45" i="29"/>
  <c r="G31" i="224"/>
  <c r="L45" i="29"/>
  <c r="C31" i="224"/>
  <c r="C42" i="4"/>
  <c r="C31" i="214"/>
  <c r="J44" i="33"/>
  <c r="F32" i="226"/>
  <c r="Y45" i="3"/>
  <c r="G31" i="211"/>
  <c r="AG46" i="3"/>
  <c r="I32" i="211"/>
  <c r="G36" i="229"/>
  <c r="G41"/>
  <c r="I41"/>
  <c r="I36"/>
  <c r="BI46" i="29"/>
  <c r="BJ46" s="1"/>
  <c r="J32" i="224"/>
  <c r="AG46" i="29"/>
  <c r="F32" i="224"/>
  <c r="E46" i="29"/>
  <c r="B32" i="224"/>
  <c r="BB45" i="29"/>
  <c r="I31" i="224"/>
  <c r="Z45" i="29"/>
  <c r="E31" i="224"/>
  <c r="E42" i="4"/>
  <c r="E31" i="214"/>
  <c r="I42" i="4"/>
  <c r="BY46" i="58" s="1"/>
  <c r="I31" i="214"/>
  <c r="B44" i="33"/>
  <c r="B32" i="226"/>
  <c r="N44" i="33"/>
  <c r="H32" i="226"/>
  <c r="F44" i="33"/>
  <c r="D32" i="226"/>
  <c r="AG45" i="3"/>
  <c r="I31" i="211"/>
  <c r="Q45" i="3"/>
  <c r="E31" i="211"/>
  <c r="D46" i="58"/>
  <c r="B32" i="213"/>
  <c r="N45" i="33"/>
  <c r="H33" i="226"/>
  <c r="AO46" i="3"/>
  <c r="K32" i="211"/>
  <c r="Y46" i="3"/>
  <c r="G32" i="211"/>
  <c r="I46" i="3"/>
  <c r="C32" i="211"/>
  <c r="F41" i="229"/>
  <c r="F36"/>
  <c r="E37" i="217"/>
  <c r="C37"/>
  <c r="D42"/>
  <c r="D49" i="34"/>
  <c r="R49"/>
  <c r="Y49"/>
  <c r="AF49"/>
  <c r="AM49"/>
  <c r="AT49"/>
  <c r="BA49"/>
  <c r="BH49"/>
  <c r="BV49"/>
  <c r="K45"/>
  <c r="K46" s="1"/>
  <c r="K47" s="1"/>
  <c r="BO46"/>
  <c r="BO47" s="1"/>
  <c r="D42" i="4"/>
  <c r="F42"/>
  <c r="G42"/>
  <c r="H42"/>
  <c r="J42"/>
  <c r="K42"/>
  <c r="L42"/>
  <c r="B46" i="34"/>
  <c r="B47" s="1"/>
  <c r="C45"/>
  <c r="E45" s="1"/>
  <c r="P46"/>
  <c r="P47" s="1"/>
  <c r="Q45"/>
  <c r="S45" s="1"/>
  <c r="AD46"/>
  <c r="AD47" s="1"/>
  <c r="AE45"/>
  <c r="AG45" s="1"/>
  <c r="AK46"/>
  <c r="AK47" s="1"/>
  <c r="AL45"/>
  <c r="AN45" s="1"/>
  <c r="AR46"/>
  <c r="AR47" s="1"/>
  <c r="AS45"/>
  <c r="AU45" s="1"/>
  <c r="BM46"/>
  <c r="BM47" s="1"/>
  <c r="BN45"/>
  <c r="BP45" s="1"/>
  <c r="BT46"/>
  <c r="BT47" s="1"/>
  <c r="BU45"/>
  <c r="BW45" s="1"/>
  <c r="I46"/>
  <c r="I47" s="1"/>
  <c r="J45"/>
  <c r="L45" s="1"/>
  <c r="N48" i="7"/>
  <c r="D54" i="20"/>
  <c r="D53"/>
  <c r="E47" i="16"/>
  <c r="E48" s="1"/>
  <c r="F46"/>
  <c r="G46" s="1"/>
  <c r="H46" s="1"/>
  <c r="AK47"/>
  <c r="AK48" s="1"/>
  <c r="AL46"/>
  <c r="AM46" s="1"/>
  <c r="AN46" s="1"/>
  <c r="AO47"/>
  <c r="AO48" s="1"/>
  <c r="AP46"/>
  <c r="AQ46" s="1"/>
  <c r="AR46" s="1"/>
  <c r="N43"/>
  <c r="O43" s="1"/>
  <c r="P43" s="1"/>
  <c r="E29" i="220" s="1"/>
  <c r="AV46" i="29"/>
  <c r="AH46"/>
  <c r="AA46"/>
  <c r="M46"/>
  <c r="W46" i="34"/>
  <c r="W47" s="1"/>
  <c r="X45"/>
  <c r="Z45" s="1"/>
  <c r="AY46"/>
  <c r="AY47" s="1"/>
  <c r="AZ45"/>
  <c r="BB45" s="1"/>
  <c r="BF46"/>
  <c r="BF47" s="1"/>
  <c r="BG45"/>
  <c r="BI45" s="1"/>
  <c r="AO45" i="64"/>
  <c r="M46" i="16"/>
  <c r="G46" i="58"/>
  <c r="Q46"/>
  <c r="AK46"/>
  <c r="L36" i="13"/>
  <c r="K32" i="12"/>
  <c r="I32"/>
  <c r="H32"/>
  <c r="C32"/>
  <c r="AM44" i="64"/>
  <c r="C44"/>
  <c r="D44" s="1"/>
  <c r="BL43" i="10"/>
  <c r="BL44"/>
  <c r="BF42"/>
  <c r="BF43"/>
  <c r="BF44"/>
  <c r="AZ42"/>
  <c r="AZ43"/>
  <c r="AZ44"/>
  <c r="AT42"/>
  <c r="AT43"/>
  <c r="AT44"/>
  <c r="AN42"/>
  <c r="AN43"/>
  <c r="AN44"/>
  <c r="AN41"/>
  <c r="AH43"/>
  <c r="AH44"/>
  <c r="AB43"/>
  <c r="AB44"/>
  <c r="V43"/>
  <c r="V44"/>
  <c r="V42"/>
  <c r="P43"/>
  <c r="P44"/>
  <c r="J44"/>
  <c r="J43"/>
  <c r="D42"/>
  <c r="D43"/>
  <c r="D44"/>
  <c r="BX43" i="7"/>
  <c r="BX44"/>
  <c r="BX45"/>
  <c r="BQ43"/>
  <c r="BQ44"/>
  <c r="BQ45"/>
  <c r="BJ43"/>
  <c r="BJ44"/>
  <c r="BJ45"/>
  <c r="BC43"/>
  <c r="BC44"/>
  <c r="BC45"/>
  <c r="AV43"/>
  <c r="AV44"/>
  <c r="AV45"/>
  <c r="AO43"/>
  <c r="AO44"/>
  <c r="AO45"/>
  <c r="AH43"/>
  <c r="AH44"/>
  <c r="AH45"/>
  <c r="AA43"/>
  <c r="AA44"/>
  <c r="AA45"/>
  <c r="T45"/>
  <c r="T44"/>
  <c r="T43"/>
  <c r="BU43"/>
  <c r="BU44"/>
  <c r="BG43"/>
  <c r="BG44"/>
  <c r="BK44" s="1"/>
  <c r="BL44" s="1"/>
  <c r="J30" i="213" s="1"/>
  <c r="AS43" i="7"/>
  <c r="AS44"/>
  <c r="AE43"/>
  <c r="AE44"/>
  <c r="AI44" s="1"/>
  <c r="AJ44" s="1"/>
  <c r="F30" i="213" s="1"/>
  <c r="Q43" i="7"/>
  <c r="Q44"/>
  <c r="C42"/>
  <c r="C43"/>
  <c r="G43" s="1"/>
  <c r="H43" s="1"/>
  <c r="B29" i="213" s="1"/>
  <c r="C44" i="7"/>
  <c r="Q45"/>
  <c r="U45" s="1"/>
  <c r="V45" s="1"/>
  <c r="D31" i="213" s="1"/>
  <c r="AE45" i="7"/>
  <c r="AS45"/>
  <c r="BG45"/>
  <c r="BK45" s="1"/>
  <c r="BL45" s="1"/>
  <c r="J31" i="213" s="1"/>
  <c r="BU45" i="7"/>
  <c r="C45"/>
  <c r="F44"/>
  <c r="F45"/>
  <c r="F42"/>
  <c r="Q46" i="35" l="1"/>
  <c r="E32" i="233"/>
  <c r="DA46" i="19"/>
  <c r="L32" i="220"/>
  <c r="B33" i="214"/>
  <c r="G47" i="58"/>
  <c r="B44" i="4"/>
  <c r="AU46" i="35"/>
  <c r="K32" i="233"/>
  <c r="L43" i="4"/>
  <c r="L33" i="214" s="1"/>
  <c r="L32"/>
  <c r="AK46" i="35"/>
  <c r="I32" i="233"/>
  <c r="CQ46" i="19"/>
  <c r="K32" i="220"/>
  <c r="F43" i="4"/>
  <c r="F33" i="214" s="1"/>
  <c r="F32"/>
  <c r="E43" i="4"/>
  <c r="E32" i="214"/>
  <c r="U43" i="7"/>
  <c r="V43" s="1"/>
  <c r="D29" i="213" s="1"/>
  <c r="AP46" i="35"/>
  <c r="J32" i="233"/>
  <c r="O46" i="19"/>
  <c r="C32" i="220"/>
  <c r="K43" i="4"/>
  <c r="K33" i="214" s="1"/>
  <c r="K32"/>
  <c r="H43" i="4"/>
  <c r="H33" i="214" s="1"/>
  <c r="H32"/>
  <c r="I43" i="4"/>
  <c r="I32" i="214"/>
  <c r="F46" i="29"/>
  <c r="J30" i="171"/>
  <c r="C43" i="4"/>
  <c r="C32" i="214"/>
  <c r="C93" i="4"/>
  <c r="CS47" i="19"/>
  <c r="K33" i="210"/>
  <c r="G46" i="35"/>
  <c r="C32" i="233"/>
  <c r="AA46" i="35"/>
  <c r="G32" i="233"/>
  <c r="L46" i="35"/>
  <c r="D32" i="233"/>
  <c r="D48" i="124"/>
  <c r="B44" i="214"/>
  <c r="B39"/>
  <c r="AZ46" i="35"/>
  <c r="L32" i="233"/>
  <c r="AF46" i="35"/>
  <c r="H32" i="233"/>
  <c r="V46" i="35"/>
  <c r="F32" i="233"/>
  <c r="B46" i="35"/>
  <c r="B32" i="233"/>
  <c r="J43" i="4"/>
  <c r="J33" i="214" s="1"/>
  <c r="J32"/>
  <c r="G43" i="4"/>
  <c r="G33" i="214" s="1"/>
  <c r="G32"/>
  <c r="D43" i="4"/>
  <c r="D33" i="214" s="1"/>
  <c r="D32"/>
  <c r="D49" i="133"/>
  <c r="B41" i="229"/>
  <c r="B36"/>
  <c r="U44" i="7"/>
  <c r="V44" s="1"/>
  <c r="D30" i="213" s="1"/>
  <c r="AW44" i="7"/>
  <c r="AX44" s="1"/>
  <c r="H30" i="213" s="1"/>
  <c r="BY44" i="7"/>
  <c r="BZ44" s="1"/>
  <c r="L30" i="213" s="1"/>
  <c r="BF49" i="34"/>
  <c r="BG47"/>
  <c r="BI47" s="1"/>
  <c r="AY49"/>
  <c r="AZ47"/>
  <c r="BB47" s="1"/>
  <c r="W49"/>
  <c r="X47"/>
  <c r="Z47" s="1"/>
  <c r="I49"/>
  <c r="J47"/>
  <c r="L47" s="1"/>
  <c r="BT49"/>
  <c r="BU47"/>
  <c r="BW47" s="1"/>
  <c r="BM49"/>
  <c r="BN47"/>
  <c r="AR49"/>
  <c r="AS47"/>
  <c r="AU47" s="1"/>
  <c r="AK49"/>
  <c r="AL47"/>
  <c r="AN47" s="1"/>
  <c r="AD49"/>
  <c r="AE47"/>
  <c r="AG47" s="1"/>
  <c r="P49"/>
  <c r="Q47"/>
  <c r="S47" s="1"/>
  <c r="B49"/>
  <c r="C47"/>
  <c r="E47" s="1"/>
  <c r="BO49"/>
  <c r="BP47"/>
  <c r="K49"/>
  <c r="AP48" i="16"/>
  <c r="AL48"/>
  <c r="F48"/>
  <c r="O48" i="7"/>
  <c r="L44" i="4"/>
  <c r="L34" i="214" s="1"/>
  <c r="DC47" i="58"/>
  <c r="J44" i="4"/>
  <c r="J34" i="214" s="1"/>
  <c r="CI47" i="58"/>
  <c r="H44" i="4"/>
  <c r="H34" i="214" s="1"/>
  <c r="BO47" i="58"/>
  <c r="G44" i="4"/>
  <c r="BE47" i="58"/>
  <c r="F44" i="4"/>
  <c r="F34" i="214" s="1"/>
  <c r="AU47" i="58"/>
  <c r="D44" i="4"/>
  <c r="D34" i="214" s="1"/>
  <c r="AA47" i="58"/>
  <c r="DC46"/>
  <c r="CS46"/>
  <c r="CI46"/>
  <c r="BO46"/>
  <c r="BE46"/>
  <c r="AU46"/>
  <c r="AA46"/>
  <c r="M47" i="16"/>
  <c r="M48" s="1"/>
  <c r="N46"/>
  <c r="O46" s="1"/>
  <c r="P46" s="1"/>
  <c r="E44" i="64"/>
  <c r="G45" i="7"/>
  <c r="H45" s="1"/>
  <c r="B31" i="213" s="1"/>
  <c r="G44" i="7"/>
  <c r="H44" s="1"/>
  <c r="B30" i="213" s="1"/>
  <c r="BN47" i="7"/>
  <c r="BN46"/>
  <c r="BR46" s="1"/>
  <c r="BS46" s="1"/>
  <c r="J47"/>
  <c r="J46"/>
  <c r="N46" s="1"/>
  <c r="O46" s="1"/>
  <c r="AL47"/>
  <c r="AL46"/>
  <c r="AP46" s="1"/>
  <c r="AQ46" s="1"/>
  <c r="AZ47"/>
  <c r="AZ46"/>
  <c r="BD46" s="1"/>
  <c r="BE46" s="1"/>
  <c r="X47"/>
  <c r="X46"/>
  <c r="AB46" s="1"/>
  <c r="AC46" s="1"/>
  <c r="AI45"/>
  <c r="AJ45" s="1"/>
  <c r="F31" i="213" s="1"/>
  <c r="AW43" i="7"/>
  <c r="AX43" s="1"/>
  <c r="H29" i="213" s="1"/>
  <c r="BY43" i="7"/>
  <c r="BZ43" s="1"/>
  <c r="L29" i="213" s="1"/>
  <c r="AI43" i="7"/>
  <c r="AJ43" s="1"/>
  <c r="F29" i="213" s="1"/>
  <c r="AW45" i="7"/>
  <c r="AX45" s="1"/>
  <c r="H31" i="213" s="1"/>
  <c r="BK43" i="7"/>
  <c r="BL43" s="1"/>
  <c r="J29" i="213" s="1"/>
  <c r="BY45" i="7"/>
  <c r="BZ45" s="1"/>
  <c r="L31" i="213" s="1"/>
  <c r="AN44" i="64"/>
  <c r="AO44" s="1"/>
  <c r="K32" i="210" s="1"/>
  <c r="F19" i="5"/>
  <c r="C34" i="233" l="1"/>
  <c r="G48" i="35"/>
  <c r="D41" i="214"/>
  <c r="D36"/>
  <c r="H36"/>
  <c r="H41"/>
  <c r="J41"/>
  <c r="J36"/>
  <c r="G39"/>
  <c r="G44"/>
  <c r="AH46" i="58"/>
  <c r="E32" i="213"/>
  <c r="CP46" i="58"/>
  <c r="K32" i="213"/>
  <c r="G34" i="233"/>
  <c r="AA48" i="35"/>
  <c r="K44" i="214"/>
  <c r="K39"/>
  <c r="G34"/>
  <c r="G47" i="4"/>
  <c r="D44" i="214"/>
  <c r="D39"/>
  <c r="J44"/>
  <c r="J39"/>
  <c r="C33"/>
  <c r="Q47" i="58"/>
  <c r="C44" i="4"/>
  <c r="I33" i="214"/>
  <c r="BY47" i="58"/>
  <c r="I44" i="4"/>
  <c r="F39" i="214"/>
  <c r="F44"/>
  <c r="K44" i="4"/>
  <c r="K34" i="214" s="1"/>
  <c r="AI46" i="19"/>
  <c r="E32" i="220"/>
  <c r="F41" i="214"/>
  <c r="F36"/>
  <c r="L41"/>
  <c r="L36"/>
  <c r="E44"/>
  <c r="E39"/>
  <c r="L44"/>
  <c r="L39"/>
  <c r="B34"/>
  <c r="B47" i="4"/>
  <c r="G48" i="58"/>
  <c r="B46" i="4"/>
  <c r="BB46" i="58"/>
  <c r="G32" i="213"/>
  <c r="G46" i="19"/>
  <c r="B32" i="210"/>
  <c r="K34" i="233"/>
  <c r="AU48" i="35"/>
  <c r="D34" i="233"/>
  <c r="L48" i="35"/>
  <c r="I34" i="233"/>
  <c r="AK48" i="35"/>
  <c r="BV46" i="58"/>
  <c r="I32" i="213"/>
  <c r="N46" i="58"/>
  <c r="C32" i="213"/>
  <c r="N48" i="58"/>
  <c r="C34" i="213"/>
  <c r="B34" i="233"/>
  <c r="B48" i="35"/>
  <c r="F34" i="233"/>
  <c r="V48" i="35"/>
  <c r="H34" i="233"/>
  <c r="AF48" i="35"/>
  <c r="L34" i="233"/>
  <c r="AZ48" i="35"/>
  <c r="E34" i="233"/>
  <c r="Q48" i="35"/>
  <c r="J34" i="233"/>
  <c r="AP48" i="35"/>
  <c r="C44" i="214"/>
  <c r="C39"/>
  <c r="I44"/>
  <c r="I39"/>
  <c r="H44"/>
  <c r="H39"/>
  <c r="E33"/>
  <c r="AK47" i="58"/>
  <c r="E44" i="4"/>
  <c r="CS47" i="58"/>
  <c r="N48" i="16"/>
  <c r="AA48" i="58"/>
  <c r="D46" i="4"/>
  <c r="AU48" i="58"/>
  <c r="F46" i="4"/>
  <c r="BE48" i="58"/>
  <c r="G46" i="4"/>
  <c r="BO48" i="58"/>
  <c r="H46" i="4"/>
  <c r="CI48" i="58"/>
  <c r="J46" i="4"/>
  <c r="CS48" i="58"/>
  <c r="K46" i="4"/>
  <c r="DC48" i="58"/>
  <c r="L46" i="4"/>
  <c r="G48" i="16"/>
  <c r="AM48"/>
  <c r="AQ48"/>
  <c r="BU47" i="7"/>
  <c r="BU46"/>
  <c r="BY46" s="1"/>
  <c r="BZ46" s="1"/>
  <c r="AE46"/>
  <c r="AI46" s="1"/>
  <c r="AJ46" s="1"/>
  <c r="AE47"/>
  <c r="BG46"/>
  <c r="BK46" s="1"/>
  <c r="BL46" s="1"/>
  <c r="BG47"/>
  <c r="Q47"/>
  <c r="Q46"/>
  <c r="U46" s="1"/>
  <c r="V46" s="1"/>
  <c r="AS47"/>
  <c r="AS46"/>
  <c r="AW46" s="1"/>
  <c r="AX46" s="1"/>
  <c r="BO23" i="1"/>
  <c r="L9" i="212" s="1"/>
  <c r="BO24" i="1"/>
  <c r="L10" i="212" s="1"/>
  <c r="BO25" i="1"/>
  <c r="L11" i="212" s="1"/>
  <c r="BO26" i="1"/>
  <c r="BO27"/>
  <c r="L13" i="212" s="1"/>
  <c r="BO28" i="1"/>
  <c r="L14" i="212" s="1"/>
  <c r="BO29" i="1"/>
  <c r="L15" i="212" s="1"/>
  <c r="BO30" i="1"/>
  <c r="BO31"/>
  <c r="L17" i="212" s="1"/>
  <c r="BO32" i="1"/>
  <c r="L18" i="212" s="1"/>
  <c r="BO33" i="1"/>
  <c r="L19" i="212" s="1"/>
  <c r="BO34" i="1"/>
  <c r="CX34" i="58" s="1"/>
  <c r="BO35" i="1"/>
  <c r="L21" i="212" s="1"/>
  <c r="BO36" i="1"/>
  <c r="L22" i="212" s="1"/>
  <c r="BO37" i="1"/>
  <c r="L23" i="212" s="1"/>
  <c r="BO38" i="1"/>
  <c r="BO39"/>
  <c r="L25" i="212" s="1"/>
  <c r="BO40" i="1"/>
  <c r="L26" i="212" s="1"/>
  <c r="BO41" i="1"/>
  <c r="L27" i="212" s="1"/>
  <c r="BO42" i="1"/>
  <c r="BO43"/>
  <c r="L29" i="212" s="1"/>
  <c r="BO44" i="1"/>
  <c r="L30" i="212" s="1"/>
  <c r="BO45" i="1"/>
  <c r="L31" i="212" s="1"/>
  <c r="BI26" i="1"/>
  <c r="BI27"/>
  <c r="K13" i="212" s="1"/>
  <c r="BI28" i="1"/>
  <c r="K14" i="212" s="1"/>
  <c r="BI29" i="1"/>
  <c r="K15" i="212" s="1"/>
  <c r="BI30" i="1"/>
  <c r="BI31"/>
  <c r="K17" i="212" s="1"/>
  <c r="BI32" i="1"/>
  <c r="K18" i="212" s="1"/>
  <c r="BI33" i="1"/>
  <c r="K19" i="212" s="1"/>
  <c r="BI34" i="1"/>
  <c r="BI35"/>
  <c r="K21" i="212" s="1"/>
  <c r="BI36" i="1"/>
  <c r="K22" i="212" s="1"/>
  <c r="BI37" i="1"/>
  <c r="K23" i="212" s="1"/>
  <c r="BI38" i="1"/>
  <c r="BI39"/>
  <c r="K25" i="212" s="1"/>
  <c r="BI40" i="1"/>
  <c r="K26" i="212" s="1"/>
  <c r="BI41" i="1"/>
  <c r="K27" i="212" s="1"/>
  <c r="BI42" i="1"/>
  <c r="CN42" i="58" s="1"/>
  <c r="BI43" i="1"/>
  <c r="K29" i="212" s="1"/>
  <c r="BI44" i="1"/>
  <c r="K30" i="212" s="1"/>
  <c r="BI45" i="1"/>
  <c r="K31" i="212" s="1"/>
  <c r="BC24" i="1"/>
  <c r="J10" i="212" s="1"/>
  <c r="BC25" i="1"/>
  <c r="BC26"/>
  <c r="J12" i="212" s="1"/>
  <c r="BC27" i="1"/>
  <c r="BC28"/>
  <c r="BC29"/>
  <c r="BC30"/>
  <c r="J16" i="212" s="1"/>
  <c r="BC31" i="1"/>
  <c r="BC32"/>
  <c r="BC33"/>
  <c r="BC34"/>
  <c r="J20" i="212" s="1"/>
  <c r="BC35" i="1"/>
  <c r="J21" i="212" s="1"/>
  <c r="BC36" i="1"/>
  <c r="Y36" i="5" s="1"/>
  <c r="BC37" i="1"/>
  <c r="BC38"/>
  <c r="J24" i="212" s="1"/>
  <c r="BC39" i="1"/>
  <c r="BC40"/>
  <c r="BC41"/>
  <c r="J27" i="212" s="1"/>
  <c r="BC42" i="1"/>
  <c r="J28" i="212" s="1"/>
  <c r="BC43" i="1"/>
  <c r="BC44"/>
  <c r="BC45"/>
  <c r="J31" i="212" s="1"/>
  <c r="AW43" i="1"/>
  <c r="I29" i="212" s="1"/>
  <c r="AW44" i="1"/>
  <c r="I30" i="212" s="1"/>
  <c r="AW45" i="1"/>
  <c r="I31" i="212" s="1"/>
  <c r="AQ24" i="1"/>
  <c r="H10" i="212" s="1"/>
  <c r="AQ25" i="1"/>
  <c r="H11" i="212" s="1"/>
  <c r="AQ26" i="1"/>
  <c r="H12" i="212" s="1"/>
  <c r="AQ27" i="1"/>
  <c r="AQ28"/>
  <c r="H14" i="212" s="1"/>
  <c r="AQ29" i="1"/>
  <c r="H15" i="212" s="1"/>
  <c r="AQ30" i="1"/>
  <c r="H16" i="212" s="1"/>
  <c r="AQ31" i="1"/>
  <c r="H17" i="212" s="1"/>
  <c r="AQ32" i="1"/>
  <c r="H18" i="212" s="1"/>
  <c r="AQ33" i="1"/>
  <c r="H19" i="212" s="1"/>
  <c r="AQ34" i="1"/>
  <c r="H20" i="212" s="1"/>
  <c r="AQ35" i="1"/>
  <c r="AQ36"/>
  <c r="H22" i="212" s="1"/>
  <c r="AQ37" i="1"/>
  <c r="H23" i="212" s="1"/>
  <c r="AQ38" i="1"/>
  <c r="H24" i="212" s="1"/>
  <c r="AQ39" i="1"/>
  <c r="AQ40"/>
  <c r="H26" i="212" s="1"/>
  <c r="AQ41" i="1"/>
  <c r="H27" i="212" s="1"/>
  <c r="AQ42" i="1"/>
  <c r="H28" i="212" s="1"/>
  <c r="AQ43" i="1"/>
  <c r="AQ44"/>
  <c r="H30" i="212" s="1"/>
  <c r="AQ45" i="1"/>
  <c r="H31" i="212" s="1"/>
  <c r="AQ23" i="1"/>
  <c r="H9" i="212" s="1"/>
  <c r="AK35" i="1"/>
  <c r="AK36"/>
  <c r="G22" i="212" s="1"/>
  <c r="AK37" i="1"/>
  <c r="G23" i="212" s="1"/>
  <c r="AK38" i="1"/>
  <c r="G24" i="212" s="1"/>
  <c r="AK39" i="1"/>
  <c r="AK40"/>
  <c r="G26" i="212" s="1"/>
  <c r="AK41" i="1"/>
  <c r="G27" i="212" s="1"/>
  <c r="AK42" i="1"/>
  <c r="G28" i="212" s="1"/>
  <c r="AK43" i="1"/>
  <c r="AK44"/>
  <c r="G30" i="212" s="1"/>
  <c r="AK45" i="1"/>
  <c r="G31" i="212" s="1"/>
  <c r="AK34" i="1"/>
  <c r="G20" i="212" s="1"/>
  <c r="AE44" i="1"/>
  <c r="AE45"/>
  <c r="F31" i="212" s="1"/>
  <c r="AE43" i="1"/>
  <c r="F29" i="212" s="1"/>
  <c r="AE42" i="1"/>
  <c r="F28" i="212" s="1"/>
  <c r="Y42" i="1"/>
  <c r="Y43"/>
  <c r="E29" i="212" s="1"/>
  <c r="Y44" i="1"/>
  <c r="E30" i="212" s="1"/>
  <c r="Y45" i="1"/>
  <c r="E31" i="212" s="1"/>
  <c r="Y41" i="1"/>
  <c r="S44"/>
  <c r="D30" i="212" s="1"/>
  <c r="S45" i="1"/>
  <c r="D31" i="212" s="1"/>
  <c r="S43" i="1"/>
  <c r="D29" i="212" s="1"/>
  <c r="S42" i="1"/>
  <c r="M45"/>
  <c r="C31" i="212" s="1"/>
  <c r="J43" i="1"/>
  <c r="J44"/>
  <c r="J45"/>
  <c r="G45"/>
  <c r="B31" i="212" s="1"/>
  <c r="G44" i="1"/>
  <c r="B30" i="212" s="1"/>
  <c r="D44" i="1"/>
  <c r="D43"/>
  <c r="D42"/>
  <c r="R18" i="72"/>
  <c r="S18"/>
  <c r="R19"/>
  <c r="S19"/>
  <c r="R20"/>
  <c r="S20"/>
  <c r="S17"/>
  <c r="T17" s="1"/>
  <c r="R17"/>
  <c r="T18"/>
  <c r="T20"/>
  <c r="I21"/>
  <c r="I27"/>
  <c r="F30" i="6" s="1"/>
  <c r="G30" s="1"/>
  <c r="Y30" i="58" s="1"/>
  <c r="I21" i="73"/>
  <c r="H24" i="6" s="1"/>
  <c r="I24" s="1"/>
  <c r="AI24" i="58" s="1"/>
  <c r="I27" i="73"/>
  <c r="I21" i="74"/>
  <c r="I27"/>
  <c r="J30" i="6" s="1"/>
  <c r="K30" s="1"/>
  <c r="AS30" i="58" s="1"/>
  <c r="I21" i="75"/>
  <c r="L24" i="6" s="1"/>
  <c r="M24" s="1"/>
  <c r="I27" i="75"/>
  <c r="I17" i="76"/>
  <c r="I18"/>
  <c r="L18" s="1"/>
  <c r="H7" i="215" s="1"/>
  <c r="I19" i="76"/>
  <c r="I20"/>
  <c r="I21"/>
  <c r="I22"/>
  <c r="L22" s="1"/>
  <c r="H11" i="215" s="1"/>
  <c r="I23" i="76"/>
  <c r="I24"/>
  <c r="I25"/>
  <c r="I26"/>
  <c r="L26" s="1"/>
  <c r="H15" i="215" s="1"/>
  <c r="I27" i="76"/>
  <c r="I17" i="77"/>
  <c r="I18"/>
  <c r="I19"/>
  <c r="L19" s="1"/>
  <c r="I8" i="215" s="1"/>
  <c r="I20" i="77"/>
  <c r="P23" i="6" s="1"/>
  <c r="Q23" s="1"/>
  <c r="BW23" i="58" s="1"/>
  <c r="I21" i="77"/>
  <c r="I22"/>
  <c r="I23"/>
  <c r="I24"/>
  <c r="P27" i="6" s="1"/>
  <c r="Q27" s="1"/>
  <c r="BW27" i="58" s="1"/>
  <c r="I25" i="77"/>
  <c r="I26"/>
  <c r="I27"/>
  <c r="P30" i="6" s="1"/>
  <c r="Q30" s="1"/>
  <c r="BW30" i="58" s="1"/>
  <c r="I17" i="78"/>
  <c r="I18"/>
  <c r="I19"/>
  <c r="I20"/>
  <c r="L20" s="1"/>
  <c r="J9" i="215" s="1"/>
  <c r="I21" i="78"/>
  <c r="I22"/>
  <c r="I23"/>
  <c r="I24"/>
  <c r="I25"/>
  <c r="L25" s="1"/>
  <c r="J14" i="215" s="1"/>
  <c r="I26" i="78"/>
  <c r="I27"/>
  <c r="I17" i="79"/>
  <c r="I18"/>
  <c r="I19"/>
  <c r="I20"/>
  <c r="I21"/>
  <c r="I22"/>
  <c r="I23"/>
  <c r="I24"/>
  <c r="I25"/>
  <c r="L25" s="1"/>
  <c r="K14" i="215" s="1"/>
  <c r="I26" i="79"/>
  <c r="I27"/>
  <c r="I17" i="80"/>
  <c r="I18"/>
  <c r="V21" i="6" s="1"/>
  <c r="W21" s="1"/>
  <c r="DA21" i="58" s="1"/>
  <c r="I19" i="80"/>
  <c r="I20"/>
  <c r="I21"/>
  <c r="I22"/>
  <c r="V25" i="6" s="1"/>
  <c r="W25" s="1"/>
  <c r="DA25" i="58" s="1"/>
  <c r="I23" i="80"/>
  <c r="I24"/>
  <c r="I25"/>
  <c r="I26"/>
  <c r="V29" i="6" s="1"/>
  <c r="W29" s="1"/>
  <c r="DA29" i="58" s="1"/>
  <c r="I27" i="80"/>
  <c r="I21" i="71"/>
  <c r="I27"/>
  <c r="I16" i="72"/>
  <c r="I16" i="73"/>
  <c r="L16" s="1"/>
  <c r="E5" i="215" s="1"/>
  <c r="I16" i="74"/>
  <c r="I16" i="75"/>
  <c r="I16" i="76"/>
  <c r="L16" s="1"/>
  <c r="H5" i="215" s="1"/>
  <c r="I16" i="77"/>
  <c r="L16" s="1"/>
  <c r="I5" i="215" s="1"/>
  <c r="I16" i="78"/>
  <c r="I16" i="79"/>
  <c r="I16" i="71"/>
  <c r="L16" s="1"/>
  <c r="C5" i="215" s="1"/>
  <c r="H16" i="70"/>
  <c r="B20" i="6" s="1"/>
  <c r="C20" s="1"/>
  <c r="E20" i="58" s="1"/>
  <c r="C22" i="124" s="1"/>
  <c r="H17" i="70"/>
  <c r="H18"/>
  <c r="H19"/>
  <c r="B23" i="6" s="1"/>
  <c r="C23" s="1"/>
  <c r="E23" i="58" s="1"/>
  <c r="C25" i="124" s="1"/>
  <c r="H20" i="70"/>
  <c r="B24" i="6" s="1"/>
  <c r="C24" s="1"/>
  <c r="E24" i="58" s="1"/>
  <c r="C26" i="124" s="1"/>
  <c r="H21" i="70"/>
  <c r="H22"/>
  <c r="H23"/>
  <c r="H24"/>
  <c r="B28" i="6" s="1"/>
  <c r="C28" s="1"/>
  <c r="E28" i="58" s="1"/>
  <c r="C30" i="124" s="1"/>
  <c r="H25" i="70"/>
  <c r="H26"/>
  <c r="H15"/>
  <c r="B19" i="6" s="1"/>
  <c r="E26" i="70"/>
  <c r="E21" s="1"/>
  <c r="F21" s="1"/>
  <c r="BZ43" i="34"/>
  <c r="BZ42"/>
  <c r="BZ41"/>
  <c r="BZ40"/>
  <c r="BZ39"/>
  <c r="BZ38"/>
  <c r="BZ37"/>
  <c r="BZ36"/>
  <c r="BZ35"/>
  <c r="BZ34"/>
  <c r="BZ33"/>
  <c r="BZ32"/>
  <c r="BZ31"/>
  <c r="BZ30"/>
  <c r="BZ29"/>
  <c r="BZ28"/>
  <c r="BZ27"/>
  <c r="BZ26"/>
  <c r="BZ25"/>
  <c r="BZ24"/>
  <c r="BZ23"/>
  <c r="BZ22"/>
  <c r="BZ21"/>
  <c r="BZ20"/>
  <c r="BZ19"/>
  <c r="BZ18"/>
  <c r="BZ49" s="1"/>
  <c r="BS43"/>
  <c r="K29" i="41" s="1"/>
  <c r="BS42" i="34"/>
  <c r="BS41"/>
  <c r="BS40"/>
  <c r="BS39"/>
  <c r="BS38"/>
  <c r="BS37"/>
  <c r="BS36"/>
  <c r="BS35"/>
  <c r="BS34"/>
  <c r="BS33"/>
  <c r="BS32"/>
  <c r="BS31"/>
  <c r="BS30"/>
  <c r="BS29"/>
  <c r="BS28"/>
  <c r="BS27"/>
  <c r="BS26"/>
  <c r="BS25"/>
  <c r="BS24"/>
  <c r="BS23"/>
  <c r="BS22"/>
  <c r="BS21"/>
  <c r="BS20"/>
  <c r="BS19"/>
  <c r="BS18"/>
  <c r="BS49" s="1"/>
  <c r="BL43"/>
  <c r="BL42"/>
  <c r="BL41"/>
  <c r="BL40"/>
  <c r="BL39"/>
  <c r="BL38"/>
  <c r="BL37"/>
  <c r="BL36"/>
  <c r="BL35"/>
  <c r="BL34"/>
  <c r="BL33"/>
  <c r="BL32"/>
  <c r="BL31"/>
  <c r="BL30"/>
  <c r="BL29"/>
  <c r="BL28"/>
  <c r="BL27"/>
  <c r="BL26"/>
  <c r="BL25"/>
  <c r="BL24"/>
  <c r="BL23"/>
  <c r="BL22"/>
  <c r="BL21"/>
  <c r="BL20"/>
  <c r="BL19"/>
  <c r="BL18"/>
  <c r="BL49" s="1"/>
  <c r="BE43"/>
  <c r="I29" i="41" s="1"/>
  <c r="BE42" i="34"/>
  <c r="BE41"/>
  <c r="BE40"/>
  <c r="BE39"/>
  <c r="BE38"/>
  <c r="BE37"/>
  <c r="BE36"/>
  <c r="BE35"/>
  <c r="BE34"/>
  <c r="BE33"/>
  <c r="BE32"/>
  <c r="BE31"/>
  <c r="BE30"/>
  <c r="BE29"/>
  <c r="BE28"/>
  <c r="BE27"/>
  <c r="BE26"/>
  <c r="BE25"/>
  <c r="BE24"/>
  <c r="BE23"/>
  <c r="BE22"/>
  <c r="BE21"/>
  <c r="BE20"/>
  <c r="BE19"/>
  <c r="BE18"/>
  <c r="BE49" s="1"/>
  <c r="AX43"/>
  <c r="AX42"/>
  <c r="AX41"/>
  <c r="AX40"/>
  <c r="AX39"/>
  <c r="AX38"/>
  <c r="AX37"/>
  <c r="AX36"/>
  <c r="AX35"/>
  <c r="AX34"/>
  <c r="AX33"/>
  <c r="AX32"/>
  <c r="AX31"/>
  <c r="AX30"/>
  <c r="AX29"/>
  <c r="AX28"/>
  <c r="AX27"/>
  <c r="AX26"/>
  <c r="AX25"/>
  <c r="AX24"/>
  <c r="AX23"/>
  <c r="AX22"/>
  <c r="AX21"/>
  <c r="AX20"/>
  <c r="AX19"/>
  <c r="AX18"/>
  <c r="AX49" s="1"/>
  <c r="AQ43"/>
  <c r="G29" i="41" s="1"/>
  <c r="AQ42" i="34"/>
  <c r="AQ41"/>
  <c r="AQ40"/>
  <c r="AQ39"/>
  <c r="AQ38"/>
  <c r="AQ37"/>
  <c r="AQ36"/>
  <c r="AQ35"/>
  <c r="AQ34"/>
  <c r="AQ33"/>
  <c r="AQ32"/>
  <c r="AQ31"/>
  <c r="AQ30"/>
  <c r="AQ29"/>
  <c r="AQ28"/>
  <c r="AQ27"/>
  <c r="AQ26"/>
  <c r="AQ25"/>
  <c r="AQ24"/>
  <c r="AQ23"/>
  <c r="AQ22"/>
  <c r="AQ21"/>
  <c r="AQ20"/>
  <c r="AQ19"/>
  <c r="AQ18"/>
  <c r="AQ49" s="1"/>
  <c r="AJ43"/>
  <c r="AJ42"/>
  <c r="AJ41"/>
  <c r="AJ40"/>
  <c r="AJ39"/>
  <c r="AJ38"/>
  <c r="AJ37"/>
  <c r="AJ36"/>
  <c r="AJ35"/>
  <c r="AJ34"/>
  <c r="AJ33"/>
  <c r="AJ32"/>
  <c r="AJ31"/>
  <c r="AJ30"/>
  <c r="AJ29"/>
  <c r="AJ28"/>
  <c r="AJ27"/>
  <c r="AJ26"/>
  <c r="AJ25"/>
  <c r="AJ24"/>
  <c r="AJ23"/>
  <c r="AJ22"/>
  <c r="AJ21"/>
  <c r="AJ20"/>
  <c r="AJ19"/>
  <c r="AJ18"/>
  <c r="AJ49" s="1"/>
  <c r="AC43"/>
  <c r="AC42"/>
  <c r="S43" i="35" s="1"/>
  <c r="AC41" i="34"/>
  <c r="AC40"/>
  <c r="AC39"/>
  <c r="AC38"/>
  <c r="AC37"/>
  <c r="AC36"/>
  <c r="AC35"/>
  <c r="AC34"/>
  <c r="AC33"/>
  <c r="AC32"/>
  <c r="AC31"/>
  <c r="S32" i="35" s="1"/>
  <c r="AC30" i="34"/>
  <c r="AC29"/>
  <c r="AC28"/>
  <c r="AC27"/>
  <c r="S28" i="35" s="1"/>
  <c r="AC26" i="34"/>
  <c r="AC25"/>
  <c r="AC24"/>
  <c r="AC23"/>
  <c r="S24" i="35" s="1"/>
  <c r="AC22" i="34"/>
  <c r="AC21"/>
  <c r="AC20"/>
  <c r="AC19"/>
  <c r="AC18"/>
  <c r="AC49" s="1"/>
  <c r="V43"/>
  <c r="V42"/>
  <c r="V41"/>
  <c r="V40"/>
  <c r="V39"/>
  <c r="V38"/>
  <c r="V37"/>
  <c r="V36"/>
  <c r="V35"/>
  <c r="V34"/>
  <c r="V33"/>
  <c r="V32"/>
  <c r="V31"/>
  <c r="V30"/>
  <c r="V29"/>
  <c r="V28"/>
  <c r="V27"/>
  <c r="V26"/>
  <c r="V25"/>
  <c r="V24"/>
  <c r="V23"/>
  <c r="V22"/>
  <c r="V21"/>
  <c r="V20"/>
  <c r="V19"/>
  <c r="V18"/>
  <c r="V49" s="1"/>
  <c r="O20"/>
  <c r="O21"/>
  <c r="O22"/>
  <c r="O23"/>
  <c r="O24"/>
  <c r="O25"/>
  <c r="O26"/>
  <c r="O27"/>
  <c r="O28"/>
  <c r="O29"/>
  <c r="O30"/>
  <c r="O31"/>
  <c r="O32"/>
  <c r="O33"/>
  <c r="O34"/>
  <c r="O35"/>
  <c r="O36"/>
  <c r="O37"/>
  <c r="O38"/>
  <c r="O39"/>
  <c r="O40"/>
  <c r="O41"/>
  <c r="O42"/>
  <c r="O43"/>
  <c r="O19"/>
  <c r="O18"/>
  <c r="O49" s="1"/>
  <c r="H19"/>
  <c r="H20"/>
  <c r="H21"/>
  <c r="H22"/>
  <c r="H23"/>
  <c r="H24"/>
  <c r="H26"/>
  <c r="H27"/>
  <c r="H28"/>
  <c r="H29"/>
  <c r="H30"/>
  <c r="H31"/>
  <c r="H32"/>
  <c r="H33"/>
  <c r="H34"/>
  <c r="H35"/>
  <c r="H36"/>
  <c r="H37"/>
  <c r="H38"/>
  <c r="H39"/>
  <c r="H40"/>
  <c r="H41"/>
  <c r="H42"/>
  <c r="H18"/>
  <c r="D45" i="9"/>
  <c r="E40" i="72"/>
  <c r="E40" i="73"/>
  <c r="E47" s="1"/>
  <c r="E40" i="74"/>
  <c r="E47" s="1"/>
  <c r="E40" i="75"/>
  <c r="E40" i="76"/>
  <c r="E40" i="77"/>
  <c r="E40" i="78"/>
  <c r="E47" s="1"/>
  <c r="E40" i="79"/>
  <c r="E40" i="80"/>
  <c r="E40" i="71"/>
  <c r="E33" i="72"/>
  <c r="E28" s="1"/>
  <c r="E29" s="1"/>
  <c r="E30" s="1"/>
  <c r="E31" s="1"/>
  <c r="E32" s="1"/>
  <c r="E33" i="73"/>
  <c r="E28" s="1"/>
  <c r="E29" s="1"/>
  <c r="E30" s="1"/>
  <c r="E31" s="1"/>
  <c r="E32" s="1"/>
  <c r="E33" i="74"/>
  <c r="E28" s="1"/>
  <c r="E29" s="1"/>
  <c r="E30" s="1"/>
  <c r="E31" s="1"/>
  <c r="E32" s="1"/>
  <c r="E33" i="75"/>
  <c r="E28" s="1"/>
  <c r="E29" s="1"/>
  <c r="E30" s="1"/>
  <c r="E31" s="1"/>
  <c r="E32" s="1"/>
  <c r="E33" i="76"/>
  <c r="E28" s="1"/>
  <c r="E29" s="1"/>
  <c r="E30" s="1"/>
  <c r="E31" s="1"/>
  <c r="E32" s="1"/>
  <c r="E33" i="77"/>
  <c r="E28" s="1"/>
  <c r="E29" s="1"/>
  <c r="E30" s="1"/>
  <c r="E31" s="1"/>
  <c r="E32" s="1"/>
  <c r="E33" i="78"/>
  <c r="E28" s="1"/>
  <c r="E29" s="1"/>
  <c r="E30" s="1"/>
  <c r="E31" s="1"/>
  <c r="E32" s="1"/>
  <c r="E33" i="79"/>
  <c r="E28" s="1"/>
  <c r="E29" s="1"/>
  <c r="E30" s="1"/>
  <c r="E31" s="1"/>
  <c r="E32" s="1"/>
  <c r="E33" i="80"/>
  <c r="E28" s="1"/>
  <c r="E29" s="1"/>
  <c r="E30" s="1"/>
  <c r="E31" s="1"/>
  <c r="E32" s="1"/>
  <c r="E33" i="71"/>
  <c r="E28" s="1"/>
  <c r="E29" s="1"/>
  <c r="E30" s="1"/>
  <c r="E31" s="1"/>
  <c r="E32" s="1"/>
  <c r="S41" i="72"/>
  <c r="S42" s="1"/>
  <c r="S34"/>
  <c r="S41" i="73"/>
  <c r="S42" s="1"/>
  <c r="S34"/>
  <c r="S35"/>
  <c r="S36" s="1"/>
  <c r="S41" i="74"/>
  <c r="S42" s="1"/>
  <c r="S34"/>
  <c r="S35" s="1"/>
  <c r="S41" i="75"/>
  <c r="S42" s="1"/>
  <c r="S34"/>
  <c r="S35" s="1"/>
  <c r="S36" s="1"/>
  <c r="S41" i="76"/>
  <c r="S42" s="1"/>
  <c r="S34"/>
  <c r="S41" i="77"/>
  <c r="S42" s="1"/>
  <c r="S34"/>
  <c r="S35"/>
  <c r="S36" s="1"/>
  <c r="S41" i="78"/>
  <c r="E41" s="1"/>
  <c r="S34"/>
  <c r="E34" s="1"/>
  <c r="S35"/>
  <c r="S41" i="79"/>
  <c r="S42" s="1"/>
  <c r="S34"/>
  <c r="S41" i="80"/>
  <c r="S42" s="1"/>
  <c r="S43" s="1"/>
  <c r="E42"/>
  <c r="S34"/>
  <c r="E34" s="1"/>
  <c r="S41" i="71"/>
  <c r="S42" s="1"/>
  <c r="S34"/>
  <c r="S35" s="1"/>
  <c r="S36" s="1"/>
  <c r="D39" i="70"/>
  <c r="D32"/>
  <c r="S40"/>
  <c r="D40" s="1"/>
  <c r="S33"/>
  <c r="D33" s="1"/>
  <c r="D41" i="2"/>
  <c r="D42" s="1"/>
  <c r="D43" s="1"/>
  <c r="D44" s="1"/>
  <c r="M41"/>
  <c r="V41"/>
  <c r="V42" s="1"/>
  <c r="V43" s="1"/>
  <c r="V44" s="1"/>
  <c r="AE41"/>
  <c r="AE42" s="1"/>
  <c r="AN41"/>
  <c r="AN42" s="1"/>
  <c r="AN43" s="1"/>
  <c r="AN44" s="1"/>
  <c r="AN45" s="1"/>
  <c r="AN46" s="1"/>
  <c r="AW41"/>
  <c r="BF41"/>
  <c r="BF42" s="1"/>
  <c r="BF43" s="1"/>
  <c r="BF44" s="1"/>
  <c r="BO41"/>
  <c r="BX41"/>
  <c r="BX42" s="1"/>
  <c r="BX43" s="1"/>
  <c r="BX44" s="1"/>
  <c r="BX45" s="1"/>
  <c r="BX46" s="1"/>
  <c r="BX47" s="1"/>
  <c r="BX48" s="1"/>
  <c r="BX50" s="1"/>
  <c r="CG41"/>
  <c r="CP41"/>
  <c r="CP42" s="1"/>
  <c r="CP43" s="1"/>
  <c r="CP44" s="1"/>
  <c r="CP45" s="1"/>
  <c r="M42"/>
  <c r="M43" s="1"/>
  <c r="M44" s="1"/>
  <c r="M45" s="1"/>
  <c r="M46" s="1"/>
  <c r="AW42"/>
  <c r="AW43" s="1"/>
  <c r="AW44" s="1"/>
  <c r="AW45" s="1"/>
  <c r="AW46" s="1"/>
  <c r="BO42"/>
  <c r="CG42"/>
  <c r="CG43" s="1"/>
  <c r="CG44" s="1"/>
  <c r="CG45" s="1"/>
  <c r="CG46" s="1"/>
  <c r="B8"/>
  <c r="E8" i="25"/>
  <c r="H8" i="2" s="1"/>
  <c r="G8" i="25"/>
  <c r="K8" i="2" s="1"/>
  <c r="I8" i="25"/>
  <c r="Q8" i="2" s="1"/>
  <c r="K8" i="25"/>
  <c r="T8" i="2" s="1"/>
  <c r="M8" i="25"/>
  <c r="Z8" i="2" s="1"/>
  <c r="O8" i="25"/>
  <c r="AC8" i="2" s="1"/>
  <c r="Q8" i="25"/>
  <c r="AI8" i="2" s="1"/>
  <c r="S8" i="25"/>
  <c r="AL8" i="2" s="1"/>
  <c r="U8" i="25"/>
  <c r="AR8" i="2" s="1"/>
  <c r="W8" i="25"/>
  <c r="AU8" i="2" s="1"/>
  <c r="Y8" i="25"/>
  <c r="BA8" i="2" s="1"/>
  <c r="AA8" i="25"/>
  <c r="BD8" i="2" s="1"/>
  <c r="AC8" i="25"/>
  <c r="BJ8" i="2" s="1"/>
  <c r="AE8" i="25"/>
  <c r="BM8" i="2" s="1"/>
  <c r="AG8" i="25"/>
  <c r="BS8" i="2" s="1"/>
  <c r="AI8" i="25"/>
  <c r="BV8" i="2" s="1"/>
  <c r="AK8" i="25"/>
  <c r="CB8" i="2" s="1"/>
  <c r="AM8" i="25"/>
  <c r="CE8" i="2" s="1"/>
  <c r="AO8" i="25"/>
  <c r="CK8" i="2" s="1"/>
  <c r="AQ8" i="25"/>
  <c r="CN8" i="2" s="1"/>
  <c r="AS8" i="25"/>
  <c r="CT8" i="2" s="1"/>
  <c r="C9" i="25"/>
  <c r="B9" i="2" s="1"/>
  <c r="E9" i="25"/>
  <c r="H9" i="2" s="1"/>
  <c r="G9" i="25"/>
  <c r="K9" i="2" s="1"/>
  <c r="I9" i="25"/>
  <c r="Q9" i="2" s="1"/>
  <c r="K9" i="25"/>
  <c r="T9" i="2" s="1"/>
  <c r="M9" i="25"/>
  <c r="Z9" i="2" s="1"/>
  <c r="O9" i="25"/>
  <c r="AC9" i="2" s="1"/>
  <c r="Q9" i="25"/>
  <c r="AI9" i="2" s="1"/>
  <c r="S9" i="25"/>
  <c r="AL9" i="2" s="1"/>
  <c r="U9" i="25"/>
  <c r="AR9" i="2" s="1"/>
  <c r="W9" i="25"/>
  <c r="AU9" i="2" s="1"/>
  <c r="Y9" i="25"/>
  <c r="BA9" i="2" s="1"/>
  <c r="AA9" i="25"/>
  <c r="BD9" i="2" s="1"/>
  <c r="AC9" i="25"/>
  <c r="BJ9" i="2" s="1"/>
  <c r="AE9" i="25"/>
  <c r="BM9" i="2" s="1"/>
  <c r="AG9" i="25"/>
  <c r="BS9" i="2" s="1"/>
  <c r="AI9" i="25"/>
  <c r="BV9" i="2" s="1"/>
  <c r="AK9" i="25"/>
  <c r="CB9" i="2" s="1"/>
  <c r="AM9" i="25"/>
  <c r="CE9" i="2" s="1"/>
  <c r="AO9" i="25"/>
  <c r="CK9" i="2" s="1"/>
  <c r="AQ9" i="25"/>
  <c r="CN9" i="2" s="1"/>
  <c r="AS9" i="25"/>
  <c r="CT9" i="2" s="1"/>
  <c r="C10" i="25"/>
  <c r="B10" i="2" s="1"/>
  <c r="E10" i="25"/>
  <c r="H10" i="2" s="1"/>
  <c r="G10" i="25"/>
  <c r="K10" i="2" s="1"/>
  <c r="I10" i="25"/>
  <c r="Q10" i="2" s="1"/>
  <c r="K10" i="25"/>
  <c r="T10" i="2" s="1"/>
  <c r="M10" i="25"/>
  <c r="Z10" i="2" s="1"/>
  <c r="O10" i="25"/>
  <c r="AC10" i="2" s="1"/>
  <c r="Q10" i="25"/>
  <c r="AI10" i="2" s="1"/>
  <c r="S10" i="25"/>
  <c r="AL10" i="2" s="1"/>
  <c r="U10" i="25"/>
  <c r="AR10" i="2" s="1"/>
  <c r="W10" i="25"/>
  <c r="AU10" i="2" s="1"/>
  <c r="BC10" s="1"/>
  <c r="AX10" s="1"/>
  <c r="AB7" i="37" s="1"/>
  <c r="Y10" i="25"/>
  <c r="BA10" i="2" s="1"/>
  <c r="AA10" i="25"/>
  <c r="BD10" i="2" s="1"/>
  <c r="AC10" i="25"/>
  <c r="BJ10" i="2" s="1"/>
  <c r="AE10" i="25"/>
  <c r="BM10" i="2" s="1"/>
  <c r="AG10" i="25"/>
  <c r="BS10" i="2" s="1"/>
  <c r="AI10" i="25"/>
  <c r="BV10" i="2" s="1"/>
  <c r="AK10" i="25"/>
  <c r="CB10" i="2" s="1"/>
  <c r="AM10" i="25"/>
  <c r="CE10" i="2" s="1"/>
  <c r="CM10" s="1"/>
  <c r="CJ10" s="1"/>
  <c r="AW7" i="37" s="1"/>
  <c r="AO10" i="25"/>
  <c r="CK10" i="2" s="1"/>
  <c r="AQ10" i="25"/>
  <c r="CN10" i="2" s="1"/>
  <c r="AS10" i="25"/>
  <c r="CT10" i="2" s="1"/>
  <c r="C11" i="25"/>
  <c r="B11" i="2" s="1"/>
  <c r="E11" i="25"/>
  <c r="H11" i="2" s="1"/>
  <c r="G11" i="25"/>
  <c r="K11" i="2" s="1"/>
  <c r="I11" i="25"/>
  <c r="Q11" i="2" s="1"/>
  <c r="K11" i="25"/>
  <c r="T11" i="2" s="1"/>
  <c r="M11" i="25"/>
  <c r="Z11" i="2" s="1"/>
  <c r="O11" i="25"/>
  <c r="AC11" i="2" s="1"/>
  <c r="Q11" i="25"/>
  <c r="AI11" i="2" s="1"/>
  <c r="S11" i="25"/>
  <c r="AL11" i="2" s="1"/>
  <c r="AT11" s="1"/>
  <c r="AS11" s="1"/>
  <c r="Y8" i="37" s="1"/>
  <c r="U11" i="25"/>
  <c r="AR11" i="2" s="1"/>
  <c r="W11" i="25"/>
  <c r="AU11" i="2" s="1"/>
  <c r="Y11" i="25"/>
  <c r="BA11" i="2" s="1"/>
  <c r="AA11" i="25"/>
  <c r="BD11" i="2" s="1"/>
  <c r="AC11" i="25"/>
  <c r="BJ11" i="2" s="1"/>
  <c r="AE11" i="25"/>
  <c r="BM11" i="2" s="1"/>
  <c r="AG11" i="25"/>
  <c r="BS11" i="2" s="1"/>
  <c r="AI11" i="25"/>
  <c r="BV11" i="2" s="1"/>
  <c r="CD11" s="1"/>
  <c r="CC11" s="1"/>
  <c r="AS8" i="37" s="1"/>
  <c r="AK11" i="25"/>
  <c r="CB11" i="2" s="1"/>
  <c r="AM11" i="25"/>
  <c r="CE11" i="2" s="1"/>
  <c r="AO11" i="25"/>
  <c r="CK11" i="2" s="1"/>
  <c r="AQ11" i="25"/>
  <c r="CN11" i="2" s="1"/>
  <c r="CV11" s="1"/>
  <c r="CQ11" s="1"/>
  <c r="BA8" i="37" s="1"/>
  <c r="AS11" i="25"/>
  <c r="CT11" i="2" s="1"/>
  <c r="C12" i="25"/>
  <c r="B12" i="2" s="1"/>
  <c r="E12" i="25"/>
  <c r="H12" i="2" s="1"/>
  <c r="G12" i="25"/>
  <c r="K12" i="2" s="1"/>
  <c r="S12" s="1"/>
  <c r="R12" s="1"/>
  <c r="J9" i="37" s="1"/>
  <c r="I12" i="25"/>
  <c r="Q12" i="2" s="1"/>
  <c r="K12" i="25"/>
  <c r="T12" i="2" s="1"/>
  <c r="M12" i="25"/>
  <c r="Z12" i="2" s="1"/>
  <c r="O12" i="25"/>
  <c r="AC12" i="2" s="1"/>
  <c r="Q12" i="25"/>
  <c r="AI12" i="2" s="1"/>
  <c r="S12" i="25"/>
  <c r="AL12" i="2" s="1"/>
  <c r="U12" i="25"/>
  <c r="AR12" i="2" s="1"/>
  <c r="W12" i="25"/>
  <c r="AU12" i="2" s="1"/>
  <c r="BC12" s="1"/>
  <c r="BB12" s="1"/>
  <c r="AD9" i="37" s="1"/>
  <c r="Y12" i="25"/>
  <c r="BA12" i="2" s="1"/>
  <c r="AA12" i="25"/>
  <c r="BD12" i="2" s="1"/>
  <c r="AC12" i="25"/>
  <c r="BJ12" i="2" s="1"/>
  <c r="AE12" i="25"/>
  <c r="BM12" i="2" s="1"/>
  <c r="AG12" i="25"/>
  <c r="BS12" i="2" s="1"/>
  <c r="AI12" i="25"/>
  <c r="BV12" i="2" s="1"/>
  <c r="AK12" i="25"/>
  <c r="CB12" i="2" s="1"/>
  <c r="AM12" i="25"/>
  <c r="CE12" i="2" s="1"/>
  <c r="CM12" s="1"/>
  <c r="CL12" s="1"/>
  <c r="AX9" i="37" s="1"/>
  <c r="AO12" i="25"/>
  <c r="CK12" i="2" s="1"/>
  <c r="AQ12" i="25"/>
  <c r="CN12" i="2" s="1"/>
  <c r="AS12" i="25"/>
  <c r="CT12" i="2" s="1"/>
  <c r="C13" i="25"/>
  <c r="B13" i="2" s="1"/>
  <c r="E13" i="25"/>
  <c r="H13" i="2" s="1"/>
  <c r="G13" i="25"/>
  <c r="K13" i="2" s="1"/>
  <c r="I13" i="25"/>
  <c r="Q13" i="2" s="1"/>
  <c r="K13" i="25"/>
  <c r="T13" i="2" s="1"/>
  <c r="M13" i="25"/>
  <c r="Z13" i="2" s="1"/>
  <c r="O13" i="25"/>
  <c r="AC13" i="2" s="1"/>
  <c r="Q13" i="25"/>
  <c r="AI13" i="2" s="1"/>
  <c r="S13" i="25"/>
  <c r="AL13" i="2" s="1"/>
  <c r="U13" i="25"/>
  <c r="AR13" i="2" s="1"/>
  <c r="W13" i="25"/>
  <c r="AU13" i="2" s="1"/>
  <c r="Y13" i="25"/>
  <c r="BA13" i="2" s="1"/>
  <c r="AA13" i="25"/>
  <c r="BD13" i="2" s="1"/>
  <c r="AC13" i="25"/>
  <c r="BJ13" i="2" s="1"/>
  <c r="AE13" i="25"/>
  <c r="BM13" i="2" s="1"/>
  <c r="AG13" i="25"/>
  <c r="BS13" i="2" s="1"/>
  <c r="AI13" i="25"/>
  <c r="BV13" i="2" s="1"/>
  <c r="CD13" s="1"/>
  <c r="AK13" i="25"/>
  <c r="CB13" i="2" s="1"/>
  <c r="AM13" i="25"/>
  <c r="CE13" i="2" s="1"/>
  <c r="AO13" i="25"/>
  <c r="CK13" i="2" s="1"/>
  <c r="AQ13" i="25"/>
  <c r="CN13" i="2" s="1"/>
  <c r="AS13" i="25"/>
  <c r="CT13" i="2" s="1"/>
  <c r="C14" i="25"/>
  <c r="B14" i="2" s="1"/>
  <c r="E14" i="25"/>
  <c r="H14" i="2" s="1"/>
  <c r="G14" i="25"/>
  <c r="K14" i="2" s="1"/>
  <c r="S14" s="1"/>
  <c r="N14" s="1"/>
  <c r="H11" i="37" s="1"/>
  <c r="I14" i="25"/>
  <c r="Q14" i="2" s="1"/>
  <c r="K14" i="25"/>
  <c r="T14" i="2" s="1"/>
  <c r="M14" i="25"/>
  <c r="Z14" i="2" s="1"/>
  <c r="O14" i="25"/>
  <c r="AC14" i="2" s="1"/>
  <c r="Q14" i="25"/>
  <c r="AI14" i="2" s="1"/>
  <c r="S14" i="25"/>
  <c r="AL14" i="2" s="1"/>
  <c r="U14" i="25"/>
  <c r="AR14" i="2" s="1"/>
  <c r="W14" i="25"/>
  <c r="AU14" i="2" s="1"/>
  <c r="BC14" s="1"/>
  <c r="AZ14" s="1"/>
  <c r="AC11" i="37" s="1"/>
  <c r="Y14" i="25"/>
  <c r="BA14" i="2" s="1"/>
  <c r="AA14" i="25"/>
  <c r="BD14" i="2" s="1"/>
  <c r="AC14" i="25"/>
  <c r="BJ14" i="2" s="1"/>
  <c r="AE14" i="25"/>
  <c r="BM14" i="2" s="1"/>
  <c r="AG14" i="25"/>
  <c r="BS14" i="2" s="1"/>
  <c r="AI14" i="25"/>
  <c r="BV14" i="2" s="1"/>
  <c r="AK14" i="25"/>
  <c r="CB14" i="2" s="1"/>
  <c r="AM14" i="25"/>
  <c r="CE14" i="2" s="1"/>
  <c r="CM14" s="1"/>
  <c r="CH14" s="1"/>
  <c r="AV11" i="37" s="1"/>
  <c r="AO14" i="25"/>
  <c r="CK14" i="2" s="1"/>
  <c r="AQ14" i="25"/>
  <c r="CN14" i="2" s="1"/>
  <c r="AS14" i="25"/>
  <c r="CT14" i="2" s="1"/>
  <c r="C15" i="25"/>
  <c r="B15" i="2" s="1"/>
  <c r="E15" i="25"/>
  <c r="H15" i="2" s="1"/>
  <c r="G15" i="25"/>
  <c r="K15" i="2" s="1"/>
  <c r="I15" i="25"/>
  <c r="Q15" i="2" s="1"/>
  <c r="K15" i="25"/>
  <c r="T15" i="2" s="1"/>
  <c r="M15" i="25"/>
  <c r="Z15" i="2" s="1"/>
  <c r="O15" i="25"/>
  <c r="AC15" i="2" s="1"/>
  <c r="Q15" i="25"/>
  <c r="AI15" i="2" s="1"/>
  <c r="S15" i="25"/>
  <c r="AL15" i="2" s="1"/>
  <c r="U15" i="25"/>
  <c r="AR15" i="2" s="1"/>
  <c r="W15" i="25"/>
  <c r="AU15" i="2" s="1"/>
  <c r="Y15" i="25"/>
  <c r="BA15" i="2" s="1"/>
  <c r="AA15" i="25"/>
  <c r="BD15" i="2" s="1"/>
  <c r="AC15" i="25"/>
  <c r="BJ15" i="2" s="1"/>
  <c r="AE15" i="25"/>
  <c r="BM15" i="2" s="1"/>
  <c r="AG15" i="25"/>
  <c r="BS15" i="2" s="1"/>
  <c r="AI15" i="25"/>
  <c r="BV15" i="2" s="1"/>
  <c r="AK15" i="25"/>
  <c r="CB15" i="2" s="1"/>
  <c r="AM15" i="25"/>
  <c r="CE15" i="2" s="1"/>
  <c r="AO15" i="25"/>
  <c r="CK15" i="2" s="1"/>
  <c r="AQ15" i="25"/>
  <c r="CN15" i="2" s="1"/>
  <c r="AS15" i="25"/>
  <c r="CT15" i="2" s="1"/>
  <c r="C16" i="25"/>
  <c r="B16" i="2" s="1"/>
  <c r="E16" i="25"/>
  <c r="H16" i="2" s="1"/>
  <c r="G16" i="25"/>
  <c r="K16" i="2" s="1"/>
  <c r="I16" i="25"/>
  <c r="Q16" i="2" s="1"/>
  <c r="K16" i="25"/>
  <c r="T16" i="2" s="1"/>
  <c r="M16" i="25"/>
  <c r="Z16" i="2" s="1"/>
  <c r="O16" i="25"/>
  <c r="AC16" i="2" s="1"/>
  <c r="Q16" i="25"/>
  <c r="AI16" i="2" s="1"/>
  <c r="S16" i="25"/>
  <c r="AL16" i="2" s="1"/>
  <c r="U16" i="25"/>
  <c r="AR16" i="2" s="1"/>
  <c r="W16" i="25"/>
  <c r="AU16" i="2" s="1"/>
  <c r="Y16" i="25"/>
  <c r="BA16" i="2" s="1"/>
  <c r="AA16" i="25"/>
  <c r="BD16" i="2" s="1"/>
  <c r="AC16" i="25"/>
  <c r="BJ16" i="2" s="1"/>
  <c r="AE16" i="25"/>
  <c r="BM16" i="2" s="1"/>
  <c r="AG16" i="25"/>
  <c r="BS16" i="2" s="1"/>
  <c r="AI16" i="25"/>
  <c r="BV16" i="2" s="1"/>
  <c r="AK16" i="25"/>
  <c r="CB16" i="2" s="1"/>
  <c r="AM16" i="25"/>
  <c r="CE16" i="2" s="1"/>
  <c r="AO16" i="25"/>
  <c r="CK16" i="2" s="1"/>
  <c r="AQ16" i="25"/>
  <c r="CN16" i="2" s="1"/>
  <c r="AS16" i="25"/>
  <c r="CT16" i="2" s="1"/>
  <c r="C17" i="25"/>
  <c r="B17" i="2" s="1"/>
  <c r="E17" i="25"/>
  <c r="H17" i="2" s="1"/>
  <c r="G17" i="25"/>
  <c r="K17" i="2" s="1"/>
  <c r="I17" i="25"/>
  <c r="Q17" i="2" s="1"/>
  <c r="K17" i="25"/>
  <c r="T17" i="2" s="1"/>
  <c r="M17" i="25"/>
  <c r="Z17" i="2" s="1"/>
  <c r="O17" i="25"/>
  <c r="AC17" i="2" s="1"/>
  <c r="Q17" i="25"/>
  <c r="AI17" i="2" s="1"/>
  <c r="S17" i="25"/>
  <c r="AL17" i="2" s="1"/>
  <c r="U17" i="25"/>
  <c r="AR17" i="2" s="1"/>
  <c r="W17" i="25"/>
  <c r="AU17" i="2" s="1"/>
  <c r="Y17" i="25"/>
  <c r="BA17" i="2" s="1"/>
  <c r="AA17" i="25"/>
  <c r="BD17" i="2" s="1"/>
  <c r="AC17" i="25"/>
  <c r="BJ17" i="2" s="1"/>
  <c r="AE17" i="25"/>
  <c r="BM17" i="2" s="1"/>
  <c r="AG17" i="25"/>
  <c r="BS17" i="2" s="1"/>
  <c r="AI17" i="25"/>
  <c r="BV17" i="2" s="1"/>
  <c r="AK17" i="25"/>
  <c r="CB17" i="2" s="1"/>
  <c r="AM17" i="25"/>
  <c r="CE17" i="2" s="1"/>
  <c r="AO17" i="25"/>
  <c r="CK17" i="2" s="1"/>
  <c r="AQ17" i="25"/>
  <c r="CN17" i="2" s="1"/>
  <c r="AS17" i="25"/>
  <c r="CT17" i="2" s="1"/>
  <c r="C19" i="25"/>
  <c r="C50" s="1"/>
  <c r="E19"/>
  <c r="E50" s="1"/>
  <c r="G19"/>
  <c r="G50" s="1"/>
  <c r="I19"/>
  <c r="I50" s="1"/>
  <c r="K19"/>
  <c r="K50" s="1"/>
  <c r="M19"/>
  <c r="M50" s="1"/>
  <c r="O19"/>
  <c r="O50" s="1"/>
  <c r="Q19"/>
  <c r="Q50" s="1"/>
  <c r="S19"/>
  <c r="S50" s="1"/>
  <c r="U19"/>
  <c r="U50" s="1"/>
  <c r="W19"/>
  <c r="W50" s="1"/>
  <c r="Y19"/>
  <c r="Y50" s="1"/>
  <c r="AA19"/>
  <c r="AA50" s="1"/>
  <c r="AC19"/>
  <c r="AC50" s="1"/>
  <c r="AE19"/>
  <c r="AE50" s="1"/>
  <c r="AG19"/>
  <c r="AG50" s="1"/>
  <c r="AI19"/>
  <c r="AI50" s="1"/>
  <c r="AK19"/>
  <c r="AK50" s="1"/>
  <c r="AM19"/>
  <c r="AM50" s="1"/>
  <c r="AO19"/>
  <c r="AO50" s="1"/>
  <c r="AQ19"/>
  <c r="AQ50" s="1"/>
  <c r="AS19"/>
  <c r="AS50" s="1"/>
  <c r="C20"/>
  <c r="B20" i="2" s="1"/>
  <c r="E20" i="25"/>
  <c r="H20" i="2" s="1"/>
  <c r="G20" i="25"/>
  <c r="K20" i="2" s="1"/>
  <c r="I20" i="25"/>
  <c r="Q20" i="2" s="1"/>
  <c r="K20" i="25"/>
  <c r="T20" i="2" s="1"/>
  <c r="M20" i="25"/>
  <c r="Z20" i="2" s="1"/>
  <c r="O20" i="25"/>
  <c r="AC20" i="2" s="1"/>
  <c r="Q20" i="25"/>
  <c r="AI20" i="2" s="1"/>
  <c r="S20" i="25"/>
  <c r="AL20" i="2" s="1"/>
  <c r="U20" i="25"/>
  <c r="AR20" i="2" s="1"/>
  <c r="W20" i="25"/>
  <c r="AU20" i="2" s="1"/>
  <c r="Y20" i="25"/>
  <c r="BA20" i="2" s="1"/>
  <c r="AA20" i="25"/>
  <c r="BD20" i="2" s="1"/>
  <c r="AC20" i="25"/>
  <c r="BJ20" i="2" s="1"/>
  <c r="AE20" i="25"/>
  <c r="BM20" i="2" s="1"/>
  <c r="AG20" i="25"/>
  <c r="BS20" i="2" s="1"/>
  <c r="AI20" i="25"/>
  <c r="BV20" i="2" s="1"/>
  <c r="AK20" i="25"/>
  <c r="CB20" i="2" s="1"/>
  <c r="AM20" i="25"/>
  <c r="CE20" i="2" s="1"/>
  <c r="AO20" i="25"/>
  <c r="CK20" i="2" s="1"/>
  <c r="AQ20" i="25"/>
  <c r="CN20" i="2" s="1"/>
  <c r="AS20" i="25"/>
  <c r="CT20" i="2" s="1"/>
  <c r="C21" i="25"/>
  <c r="B21" i="2" s="1"/>
  <c r="E21" i="25"/>
  <c r="H21" i="2" s="1"/>
  <c r="G21" i="25"/>
  <c r="K21" i="2" s="1"/>
  <c r="I21" i="25"/>
  <c r="Q21" i="2" s="1"/>
  <c r="K21" i="25"/>
  <c r="T21" i="2" s="1"/>
  <c r="M21" i="25"/>
  <c r="Z21" i="2" s="1"/>
  <c r="O21" i="25"/>
  <c r="AC21" i="2" s="1"/>
  <c r="Q21" i="25"/>
  <c r="AI21" i="2" s="1"/>
  <c r="S21" i="25"/>
  <c r="AL21" i="2" s="1"/>
  <c r="U21" i="25"/>
  <c r="AR21" i="2" s="1"/>
  <c r="W21" i="25"/>
  <c r="AU21" i="2" s="1"/>
  <c r="Y21" i="25"/>
  <c r="BA21" i="2" s="1"/>
  <c r="AA21" i="25"/>
  <c r="BD21" i="2" s="1"/>
  <c r="AC21" i="25"/>
  <c r="BJ21" i="2" s="1"/>
  <c r="AE21" i="25"/>
  <c r="BM21" i="2" s="1"/>
  <c r="AG21" i="25"/>
  <c r="BS21" i="2" s="1"/>
  <c r="AI21" i="25"/>
  <c r="BV21" i="2" s="1"/>
  <c r="AK21" i="25"/>
  <c r="CB21" i="2" s="1"/>
  <c r="AM21" i="25"/>
  <c r="CE21" i="2" s="1"/>
  <c r="AO21" i="25"/>
  <c r="CK21" i="2" s="1"/>
  <c r="AQ21" i="25"/>
  <c r="CN21" i="2" s="1"/>
  <c r="AS21" i="25"/>
  <c r="CT21" i="2" s="1"/>
  <c r="C22" i="25"/>
  <c r="B22" i="2" s="1"/>
  <c r="E22" i="25"/>
  <c r="H22" i="2" s="1"/>
  <c r="G22" i="25"/>
  <c r="K22" i="2" s="1"/>
  <c r="I22" i="25"/>
  <c r="Q22" i="2" s="1"/>
  <c r="K22" i="25"/>
  <c r="T22" i="2" s="1"/>
  <c r="M22" i="25"/>
  <c r="Z22" i="2" s="1"/>
  <c r="O22" i="25"/>
  <c r="AC22" i="2" s="1"/>
  <c r="Q22" i="25"/>
  <c r="AI22" i="2" s="1"/>
  <c r="S22" i="25"/>
  <c r="AL22" i="2" s="1"/>
  <c r="U22" i="25"/>
  <c r="AR22" i="2" s="1"/>
  <c r="W22" i="25"/>
  <c r="AU22" i="2" s="1"/>
  <c r="Y22" i="25"/>
  <c r="BA22" i="2" s="1"/>
  <c r="AA22" i="25"/>
  <c r="BD22" i="2" s="1"/>
  <c r="AC22" i="25"/>
  <c r="BJ22" i="2" s="1"/>
  <c r="AE22" i="25"/>
  <c r="BM22" i="2" s="1"/>
  <c r="AG22" i="25"/>
  <c r="BS22" i="2" s="1"/>
  <c r="AI22" i="25"/>
  <c r="BV22" i="2" s="1"/>
  <c r="AK22" i="25"/>
  <c r="CB22" i="2" s="1"/>
  <c r="AM22" i="25"/>
  <c r="CE22" i="2" s="1"/>
  <c r="AO22" i="25"/>
  <c r="CK22" i="2" s="1"/>
  <c r="AQ22" i="25"/>
  <c r="CN22" i="2" s="1"/>
  <c r="AS22" i="25"/>
  <c r="CT22" i="2" s="1"/>
  <c r="C23" i="25"/>
  <c r="B23" i="2" s="1"/>
  <c r="E23" i="25"/>
  <c r="H23" i="2" s="1"/>
  <c r="G23" i="25"/>
  <c r="K23" i="2" s="1"/>
  <c r="I23" i="25"/>
  <c r="Q23" i="2" s="1"/>
  <c r="K23" i="25"/>
  <c r="T23" i="2" s="1"/>
  <c r="M23" i="25"/>
  <c r="Z23" i="2" s="1"/>
  <c r="O23" i="25"/>
  <c r="AC23" i="2" s="1"/>
  <c r="Q23" i="25"/>
  <c r="AI23" i="2" s="1"/>
  <c r="S23" i="25"/>
  <c r="AL23" i="2" s="1"/>
  <c r="U23" i="25"/>
  <c r="AR23" i="2" s="1"/>
  <c r="W23" i="25"/>
  <c r="AU23" i="2" s="1"/>
  <c r="Y23" i="25"/>
  <c r="BA23" i="2" s="1"/>
  <c r="AA23" i="25"/>
  <c r="BD23" i="2" s="1"/>
  <c r="AC23" i="25"/>
  <c r="BJ23" i="2" s="1"/>
  <c r="AE23" i="25"/>
  <c r="BM23" i="2" s="1"/>
  <c r="AG23" i="25"/>
  <c r="BS23" i="2" s="1"/>
  <c r="AI23" i="25"/>
  <c r="BV23" i="2" s="1"/>
  <c r="AK23" i="25"/>
  <c r="CB23" i="2" s="1"/>
  <c r="AM23" i="25"/>
  <c r="CE23" i="2" s="1"/>
  <c r="AO23" i="25"/>
  <c r="CK23" i="2" s="1"/>
  <c r="AQ23" i="25"/>
  <c r="CN23" i="2" s="1"/>
  <c r="AS23" i="25"/>
  <c r="CT23" i="2" s="1"/>
  <c r="C24" i="25"/>
  <c r="B24" i="2" s="1"/>
  <c r="E24" i="25"/>
  <c r="H24" i="2" s="1"/>
  <c r="G24" i="25"/>
  <c r="K24" i="2" s="1"/>
  <c r="I24" i="25"/>
  <c r="Q24" i="2" s="1"/>
  <c r="K24" i="25"/>
  <c r="T24" i="2" s="1"/>
  <c r="M24" i="25"/>
  <c r="Z24" i="2" s="1"/>
  <c r="O24" i="25"/>
  <c r="AC24" i="2" s="1"/>
  <c r="Q24" i="25"/>
  <c r="AI24" i="2" s="1"/>
  <c r="S24" i="25"/>
  <c r="AL24" i="2" s="1"/>
  <c r="U24" i="25"/>
  <c r="AR24" i="2" s="1"/>
  <c r="W24" i="25"/>
  <c r="AU24" i="2" s="1"/>
  <c r="Y24" i="25"/>
  <c r="BA24" i="2" s="1"/>
  <c r="AA24" i="25"/>
  <c r="BD24" i="2" s="1"/>
  <c r="AC24" i="25"/>
  <c r="BJ24" i="2" s="1"/>
  <c r="AE24" i="25"/>
  <c r="BM24" i="2" s="1"/>
  <c r="AG24" i="25"/>
  <c r="BS24" i="2" s="1"/>
  <c r="AI24" i="25"/>
  <c r="BV24" i="2" s="1"/>
  <c r="AK24" i="25"/>
  <c r="CB24" i="2" s="1"/>
  <c r="AM24" i="25"/>
  <c r="CE24" i="2" s="1"/>
  <c r="AO24" i="25"/>
  <c r="CK24" i="2" s="1"/>
  <c r="AQ24" i="25"/>
  <c r="CN24" i="2" s="1"/>
  <c r="AS24" i="25"/>
  <c r="CT24" i="2" s="1"/>
  <c r="C25" i="25"/>
  <c r="B25" i="2" s="1"/>
  <c r="E25" i="25"/>
  <c r="H25" i="2" s="1"/>
  <c r="G25" i="25"/>
  <c r="K25" i="2" s="1"/>
  <c r="I25" i="25"/>
  <c r="Q25" i="2" s="1"/>
  <c r="K25" i="25"/>
  <c r="T25" i="2" s="1"/>
  <c r="M25" i="25"/>
  <c r="Z25" i="2" s="1"/>
  <c r="O25" i="25"/>
  <c r="AC25" i="2" s="1"/>
  <c r="Q25" i="25"/>
  <c r="AI25" i="2" s="1"/>
  <c r="S25" i="25"/>
  <c r="AL25" i="2" s="1"/>
  <c r="U25" i="25"/>
  <c r="AR25" i="2" s="1"/>
  <c r="W25" i="25"/>
  <c r="AU25" i="2" s="1"/>
  <c r="Y25" i="25"/>
  <c r="BA25" i="2" s="1"/>
  <c r="AA25" i="25"/>
  <c r="BD25" i="2" s="1"/>
  <c r="AC25" i="25"/>
  <c r="BJ25" i="2" s="1"/>
  <c r="AE25" i="25"/>
  <c r="BM25" i="2" s="1"/>
  <c r="AG25" i="25"/>
  <c r="BS25" i="2" s="1"/>
  <c r="AI25" i="25"/>
  <c r="BV25" i="2" s="1"/>
  <c r="AK25" i="25"/>
  <c r="CB25" i="2" s="1"/>
  <c r="AM25" i="25"/>
  <c r="CE25" i="2" s="1"/>
  <c r="AO25" i="25"/>
  <c r="CK25" i="2" s="1"/>
  <c r="AQ25" i="25"/>
  <c r="CN25" i="2" s="1"/>
  <c r="AS25" i="25"/>
  <c r="CT25" i="2" s="1"/>
  <c r="C26" i="25"/>
  <c r="B26" i="2" s="1"/>
  <c r="E26" i="25"/>
  <c r="H26" i="2" s="1"/>
  <c r="G26" i="25"/>
  <c r="K26" i="2" s="1"/>
  <c r="I26" i="25"/>
  <c r="Q26" i="2" s="1"/>
  <c r="K26" i="25"/>
  <c r="T26" i="2" s="1"/>
  <c r="M26" i="25"/>
  <c r="Z26" i="2" s="1"/>
  <c r="O26" i="25"/>
  <c r="AC26" i="2" s="1"/>
  <c r="Q26" i="25"/>
  <c r="AI26" i="2" s="1"/>
  <c r="S26" i="25"/>
  <c r="AL26" i="2" s="1"/>
  <c r="U26" i="25"/>
  <c r="AR26" i="2" s="1"/>
  <c r="W26" i="25"/>
  <c r="AU26" i="2" s="1"/>
  <c r="Y26" i="25"/>
  <c r="BA26" i="2" s="1"/>
  <c r="AA26" i="25"/>
  <c r="BD26" i="2" s="1"/>
  <c r="AC26" i="25"/>
  <c r="BJ26" i="2" s="1"/>
  <c r="AE26" i="25"/>
  <c r="BM26" i="2" s="1"/>
  <c r="AG26" i="25"/>
  <c r="BS26" i="2" s="1"/>
  <c r="AI26" i="25"/>
  <c r="BV26" i="2" s="1"/>
  <c r="AK26" i="25"/>
  <c r="CB26" i="2" s="1"/>
  <c r="AM26" i="25"/>
  <c r="CE26" i="2" s="1"/>
  <c r="AO26" i="25"/>
  <c r="CK26" i="2" s="1"/>
  <c r="AQ26" i="25"/>
  <c r="CN26" i="2" s="1"/>
  <c r="AS26" i="25"/>
  <c r="CT26" i="2" s="1"/>
  <c r="C27" i="25"/>
  <c r="B27" i="2" s="1"/>
  <c r="E27" i="25"/>
  <c r="H27" i="2" s="1"/>
  <c r="G27" i="25"/>
  <c r="K27" i="2" s="1"/>
  <c r="I27" i="25"/>
  <c r="Q27" i="2" s="1"/>
  <c r="K27" i="25"/>
  <c r="T27" i="2" s="1"/>
  <c r="M27" i="25"/>
  <c r="Z27" i="2" s="1"/>
  <c r="O27" i="25"/>
  <c r="AC27" i="2" s="1"/>
  <c r="Q27" i="25"/>
  <c r="AI27" i="2" s="1"/>
  <c r="S27" i="25"/>
  <c r="AL27" i="2" s="1"/>
  <c r="U27" i="25"/>
  <c r="AR27" i="2" s="1"/>
  <c r="W27" i="25"/>
  <c r="AU27" i="2" s="1"/>
  <c r="Y27" i="25"/>
  <c r="BA27" i="2" s="1"/>
  <c r="AA27" i="25"/>
  <c r="BD27" i="2" s="1"/>
  <c r="AC27" i="25"/>
  <c r="BJ27" i="2" s="1"/>
  <c r="AE27" i="25"/>
  <c r="BM27" i="2" s="1"/>
  <c r="AG27" i="25"/>
  <c r="BS27" i="2" s="1"/>
  <c r="AI27" i="25"/>
  <c r="BV27" i="2" s="1"/>
  <c r="AK27" i="25"/>
  <c r="CB27" i="2" s="1"/>
  <c r="AM27" i="25"/>
  <c r="CE27" i="2" s="1"/>
  <c r="AO27" i="25"/>
  <c r="CK27" i="2" s="1"/>
  <c r="AQ27" i="25"/>
  <c r="CN27" i="2" s="1"/>
  <c r="AS27" i="25"/>
  <c r="CT27" i="2" s="1"/>
  <c r="C28" i="25"/>
  <c r="B28" i="2" s="1"/>
  <c r="E28" i="25"/>
  <c r="H28" i="2" s="1"/>
  <c r="G28" i="25"/>
  <c r="K28" i="2" s="1"/>
  <c r="I28" i="25"/>
  <c r="Q28" i="2" s="1"/>
  <c r="K28" i="25"/>
  <c r="T28" i="2" s="1"/>
  <c r="M28" i="25"/>
  <c r="Z28" i="2" s="1"/>
  <c r="O28" i="25"/>
  <c r="AC28" i="2" s="1"/>
  <c r="Q28" i="25"/>
  <c r="AI28" i="2" s="1"/>
  <c r="S28" i="25"/>
  <c r="AL28" i="2" s="1"/>
  <c r="U28" i="25"/>
  <c r="AR28" i="2" s="1"/>
  <c r="W28" i="25"/>
  <c r="AU28" i="2" s="1"/>
  <c r="Y28" i="25"/>
  <c r="BA28" i="2" s="1"/>
  <c r="AA28" i="25"/>
  <c r="BD28" i="2" s="1"/>
  <c r="AC28" i="25"/>
  <c r="BJ28" i="2" s="1"/>
  <c r="AE28" i="25"/>
  <c r="BM28" i="2" s="1"/>
  <c r="AG28" i="25"/>
  <c r="BS28" i="2" s="1"/>
  <c r="AI28" i="25"/>
  <c r="BV28" i="2" s="1"/>
  <c r="AK28" i="25"/>
  <c r="CB28" i="2" s="1"/>
  <c r="AM28" i="25"/>
  <c r="CE28" i="2" s="1"/>
  <c r="AO28" i="25"/>
  <c r="CK28" i="2" s="1"/>
  <c r="AQ28" i="25"/>
  <c r="CN28" i="2" s="1"/>
  <c r="AS28" i="25"/>
  <c r="CT28" i="2" s="1"/>
  <c r="C29" i="25"/>
  <c r="B29" i="2" s="1"/>
  <c r="E29" i="25"/>
  <c r="H29" i="2" s="1"/>
  <c r="G29" i="25"/>
  <c r="K29" i="2" s="1"/>
  <c r="I29" i="25"/>
  <c r="Q29" i="2" s="1"/>
  <c r="K29" i="25"/>
  <c r="T29" i="2" s="1"/>
  <c r="M29" i="25"/>
  <c r="Z29" i="2" s="1"/>
  <c r="O29" i="25"/>
  <c r="AC29" i="2" s="1"/>
  <c r="Q29" i="25"/>
  <c r="AI29" i="2" s="1"/>
  <c r="S29" i="25"/>
  <c r="AL29" i="2" s="1"/>
  <c r="U29" i="25"/>
  <c r="AR29" i="2" s="1"/>
  <c r="W29" i="25"/>
  <c r="AU29" i="2" s="1"/>
  <c r="Y29" i="25"/>
  <c r="BA29" i="2" s="1"/>
  <c r="AA29" i="25"/>
  <c r="BD29" i="2" s="1"/>
  <c r="AC29" i="25"/>
  <c r="BJ29" i="2" s="1"/>
  <c r="AE29" i="25"/>
  <c r="BM29" i="2" s="1"/>
  <c r="AG29" i="25"/>
  <c r="BS29" i="2" s="1"/>
  <c r="AI29" i="25"/>
  <c r="BV29" i="2" s="1"/>
  <c r="AK29" i="25"/>
  <c r="CB29" i="2" s="1"/>
  <c r="AM29" i="25"/>
  <c r="CE29" i="2" s="1"/>
  <c r="AO29" i="25"/>
  <c r="CK29" i="2" s="1"/>
  <c r="AQ29" i="25"/>
  <c r="CN29" i="2" s="1"/>
  <c r="AS29" i="25"/>
  <c r="CT29" i="2" s="1"/>
  <c r="C30" i="25"/>
  <c r="B30" i="2" s="1"/>
  <c r="E30" i="25"/>
  <c r="H30" i="2" s="1"/>
  <c r="G30" i="25"/>
  <c r="K30" i="2" s="1"/>
  <c r="I30" i="25"/>
  <c r="Q30" i="2" s="1"/>
  <c r="K30" i="25"/>
  <c r="T30" i="2" s="1"/>
  <c r="M30" i="25"/>
  <c r="Z30" i="2" s="1"/>
  <c r="O30" i="25"/>
  <c r="AC30" i="2" s="1"/>
  <c r="Q30" i="25"/>
  <c r="AI30" i="2" s="1"/>
  <c r="S30" i="25"/>
  <c r="AL30" i="2" s="1"/>
  <c r="U30" i="25"/>
  <c r="AR30" i="2" s="1"/>
  <c r="W30" i="25"/>
  <c r="AU30" i="2" s="1"/>
  <c r="Y30" i="25"/>
  <c r="BA30" i="2" s="1"/>
  <c r="AA30" i="25"/>
  <c r="BD30" i="2" s="1"/>
  <c r="AC30" i="25"/>
  <c r="BJ30" i="2" s="1"/>
  <c r="AE30" i="25"/>
  <c r="BM30" i="2" s="1"/>
  <c r="AG30" i="25"/>
  <c r="BS30" i="2" s="1"/>
  <c r="AI30" i="25"/>
  <c r="BV30" i="2" s="1"/>
  <c r="AK30" i="25"/>
  <c r="CB30" i="2" s="1"/>
  <c r="AM30" i="25"/>
  <c r="CE30" i="2" s="1"/>
  <c r="AO30" i="25"/>
  <c r="CK30" i="2" s="1"/>
  <c r="AQ30" i="25"/>
  <c r="CN30" i="2" s="1"/>
  <c r="AS30" i="25"/>
  <c r="CT30" i="2" s="1"/>
  <c r="C31" i="25"/>
  <c r="B31" i="2" s="1"/>
  <c r="E31" i="25"/>
  <c r="H31" i="2" s="1"/>
  <c r="G31" i="25"/>
  <c r="K31" i="2" s="1"/>
  <c r="I31" i="25"/>
  <c r="Q31" i="2" s="1"/>
  <c r="K31" i="25"/>
  <c r="T31" i="2" s="1"/>
  <c r="M31" i="25"/>
  <c r="Z31" i="2" s="1"/>
  <c r="O31" i="25"/>
  <c r="AC31" i="2" s="1"/>
  <c r="Q31" i="25"/>
  <c r="AI31" i="2" s="1"/>
  <c r="S31" i="25"/>
  <c r="AL31" i="2" s="1"/>
  <c r="U31" i="25"/>
  <c r="AR31" i="2" s="1"/>
  <c r="W31" i="25"/>
  <c r="AU31" i="2" s="1"/>
  <c r="Y31" i="25"/>
  <c r="BA31" i="2" s="1"/>
  <c r="AA31" i="25"/>
  <c r="BD31" i="2" s="1"/>
  <c r="AC31" i="25"/>
  <c r="BJ31" i="2" s="1"/>
  <c r="AE31" i="25"/>
  <c r="BM31" i="2" s="1"/>
  <c r="AG31" i="25"/>
  <c r="BS31" i="2" s="1"/>
  <c r="AI31" i="25"/>
  <c r="BV31" i="2" s="1"/>
  <c r="AK31" i="25"/>
  <c r="CB31" i="2" s="1"/>
  <c r="AM31" i="25"/>
  <c r="CE31" i="2" s="1"/>
  <c r="AO31" i="25"/>
  <c r="CK31" i="2" s="1"/>
  <c r="AQ31" i="25"/>
  <c r="CN31" i="2" s="1"/>
  <c r="AS31" i="25"/>
  <c r="CT31" i="2" s="1"/>
  <c r="C32" i="25"/>
  <c r="B32" i="2" s="1"/>
  <c r="E32" i="25"/>
  <c r="H32" i="2" s="1"/>
  <c r="G32" i="25"/>
  <c r="K32" i="2" s="1"/>
  <c r="I32" i="25"/>
  <c r="Q32" i="2" s="1"/>
  <c r="K32" i="25"/>
  <c r="T32" i="2" s="1"/>
  <c r="M32" i="25"/>
  <c r="Z32" i="2" s="1"/>
  <c r="O32" i="25"/>
  <c r="AC32" i="2" s="1"/>
  <c r="Q32" i="25"/>
  <c r="AI32" i="2" s="1"/>
  <c r="S32" i="25"/>
  <c r="AL32" i="2" s="1"/>
  <c r="U32" i="25"/>
  <c r="AR32" i="2" s="1"/>
  <c r="W32" i="25"/>
  <c r="AU32" i="2" s="1"/>
  <c r="Y32" i="25"/>
  <c r="BA32" i="2" s="1"/>
  <c r="AA32" i="25"/>
  <c r="BD32" i="2" s="1"/>
  <c r="AC32" i="25"/>
  <c r="BJ32" i="2" s="1"/>
  <c r="AE32" i="25"/>
  <c r="BM32" i="2" s="1"/>
  <c r="AG32" i="25"/>
  <c r="BS32" i="2" s="1"/>
  <c r="AI32" i="25"/>
  <c r="BV32" i="2" s="1"/>
  <c r="AK32" i="25"/>
  <c r="CB32" i="2" s="1"/>
  <c r="AM32" i="25"/>
  <c r="CE32" i="2" s="1"/>
  <c r="AO32" i="25"/>
  <c r="CK32" i="2" s="1"/>
  <c r="AQ32" i="25"/>
  <c r="CN32" i="2" s="1"/>
  <c r="AS32" i="25"/>
  <c r="CT32" i="2" s="1"/>
  <c r="C33" i="25"/>
  <c r="B33" i="2" s="1"/>
  <c r="E33" i="25"/>
  <c r="H33" i="2" s="1"/>
  <c r="G33" i="25"/>
  <c r="K33" i="2" s="1"/>
  <c r="I33" i="25"/>
  <c r="Q33" i="2" s="1"/>
  <c r="K33" i="25"/>
  <c r="T33" i="2" s="1"/>
  <c r="M33" i="25"/>
  <c r="Z33" i="2" s="1"/>
  <c r="O33" i="25"/>
  <c r="AC33" i="2" s="1"/>
  <c r="Q33" i="25"/>
  <c r="AI33" i="2" s="1"/>
  <c r="S33" i="25"/>
  <c r="AL33" i="2" s="1"/>
  <c r="U33" i="25"/>
  <c r="AR33" i="2" s="1"/>
  <c r="W33" i="25"/>
  <c r="AU33" i="2" s="1"/>
  <c r="Y33" i="25"/>
  <c r="BA33" i="2" s="1"/>
  <c r="AA33" i="25"/>
  <c r="BD33" i="2" s="1"/>
  <c r="AC33" i="25"/>
  <c r="BJ33" i="2" s="1"/>
  <c r="AE33" i="25"/>
  <c r="BM33" i="2" s="1"/>
  <c r="AG33" i="25"/>
  <c r="BS33" i="2" s="1"/>
  <c r="AI33" i="25"/>
  <c r="BV33" i="2" s="1"/>
  <c r="AK33" i="25"/>
  <c r="CB33" i="2" s="1"/>
  <c r="AM33" i="25"/>
  <c r="CE33" i="2" s="1"/>
  <c r="AO33" i="25"/>
  <c r="CK33" i="2" s="1"/>
  <c r="AQ33" i="25"/>
  <c r="CN33" i="2" s="1"/>
  <c r="AS33" i="25"/>
  <c r="CT33" i="2" s="1"/>
  <c r="C34" i="25"/>
  <c r="B34" i="2" s="1"/>
  <c r="E34" i="25"/>
  <c r="H34" i="2" s="1"/>
  <c r="G34" i="25"/>
  <c r="K34" i="2" s="1"/>
  <c r="I34" i="25"/>
  <c r="Q34" i="2" s="1"/>
  <c r="K34" i="25"/>
  <c r="T34" i="2" s="1"/>
  <c r="M34" i="25"/>
  <c r="Z34" i="2" s="1"/>
  <c r="O34" i="25"/>
  <c r="AC34" i="2" s="1"/>
  <c r="Q34" i="25"/>
  <c r="AI34" i="2" s="1"/>
  <c r="S34" i="25"/>
  <c r="AL34" i="2" s="1"/>
  <c r="U34" i="25"/>
  <c r="AR34" i="2" s="1"/>
  <c r="W34" i="25"/>
  <c r="AU34" i="2" s="1"/>
  <c r="Y34" i="25"/>
  <c r="BA34" i="2" s="1"/>
  <c r="AA34" i="25"/>
  <c r="BD34" i="2" s="1"/>
  <c r="AC34" i="25"/>
  <c r="BJ34" i="2" s="1"/>
  <c r="AE34" i="25"/>
  <c r="BM34" i="2" s="1"/>
  <c r="AG34" i="25"/>
  <c r="BS34" i="2" s="1"/>
  <c r="AI34" i="25"/>
  <c r="BV34" i="2" s="1"/>
  <c r="AK34" i="25"/>
  <c r="CB34" i="2" s="1"/>
  <c r="AM34" i="25"/>
  <c r="CE34" i="2" s="1"/>
  <c r="AO34" i="25"/>
  <c r="CK34" i="2" s="1"/>
  <c r="AQ34" i="25"/>
  <c r="CN34" i="2" s="1"/>
  <c r="AS34" i="25"/>
  <c r="CT34" i="2" s="1"/>
  <c r="C35" i="25"/>
  <c r="B35" i="2" s="1"/>
  <c r="E35" i="25"/>
  <c r="H35" i="2" s="1"/>
  <c r="G35" i="25"/>
  <c r="K35" i="2" s="1"/>
  <c r="I35" i="25"/>
  <c r="Q35" i="2" s="1"/>
  <c r="K35" i="25"/>
  <c r="T35" i="2" s="1"/>
  <c r="M35" i="25"/>
  <c r="Z35" i="2" s="1"/>
  <c r="O35" i="25"/>
  <c r="AC35" i="2" s="1"/>
  <c r="Q35" i="25"/>
  <c r="AI35" i="2" s="1"/>
  <c r="S35" i="25"/>
  <c r="AL35" i="2" s="1"/>
  <c r="U35" i="25"/>
  <c r="AR35" i="2" s="1"/>
  <c r="W35" i="25"/>
  <c r="AU35" i="2" s="1"/>
  <c r="Y35" i="25"/>
  <c r="BA35" i="2" s="1"/>
  <c r="AA35" i="25"/>
  <c r="BD35" i="2" s="1"/>
  <c r="AC35" i="25"/>
  <c r="BJ35" i="2" s="1"/>
  <c r="AE35" i="25"/>
  <c r="BM35" i="2" s="1"/>
  <c r="AG35" i="25"/>
  <c r="BS35" i="2" s="1"/>
  <c r="AI35" i="25"/>
  <c r="BV35" i="2" s="1"/>
  <c r="AK35" i="25"/>
  <c r="CB35" i="2" s="1"/>
  <c r="AM35" i="25"/>
  <c r="CE35" i="2" s="1"/>
  <c r="AO35" i="25"/>
  <c r="CK35" i="2" s="1"/>
  <c r="AQ35" i="25"/>
  <c r="CN35" i="2" s="1"/>
  <c r="AS35" i="25"/>
  <c r="CT35" i="2" s="1"/>
  <c r="C36" i="25"/>
  <c r="B36" i="2" s="1"/>
  <c r="E36" i="25"/>
  <c r="H36" i="2" s="1"/>
  <c r="G36" i="25"/>
  <c r="K36" i="2" s="1"/>
  <c r="I36" i="25"/>
  <c r="Q36" i="2" s="1"/>
  <c r="K36" i="25"/>
  <c r="T36" i="2" s="1"/>
  <c r="M36" i="25"/>
  <c r="Z36" i="2" s="1"/>
  <c r="O36" i="25"/>
  <c r="AC36" i="2" s="1"/>
  <c r="Q36" i="25"/>
  <c r="AI36" i="2" s="1"/>
  <c r="S36" i="25"/>
  <c r="AL36" i="2" s="1"/>
  <c r="U36" i="25"/>
  <c r="AR36" i="2" s="1"/>
  <c r="W36" i="25"/>
  <c r="AU36" i="2" s="1"/>
  <c r="Y36" i="25"/>
  <c r="BA36" i="2" s="1"/>
  <c r="AA36" i="25"/>
  <c r="BD36" i="2" s="1"/>
  <c r="AC36" i="25"/>
  <c r="BJ36" i="2" s="1"/>
  <c r="AE36" i="25"/>
  <c r="BM36" i="2" s="1"/>
  <c r="AG36" i="25"/>
  <c r="BS36" i="2" s="1"/>
  <c r="AI36" i="25"/>
  <c r="BV36" i="2" s="1"/>
  <c r="AK36" i="25"/>
  <c r="CB36" i="2" s="1"/>
  <c r="AM36" i="25"/>
  <c r="CE36" i="2" s="1"/>
  <c r="AO36" i="25"/>
  <c r="CK36" i="2" s="1"/>
  <c r="AQ36" i="25"/>
  <c r="CN36" i="2" s="1"/>
  <c r="AS36" i="25"/>
  <c r="CT36" i="2" s="1"/>
  <c r="C37" i="25"/>
  <c r="B37" i="2" s="1"/>
  <c r="E37" i="25"/>
  <c r="H37" i="2" s="1"/>
  <c r="G37" i="25"/>
  <c r="K37" i="2" s="1"/>
  <c r="I37" i="25"/>
  <c r="Q37" i="2" s="1"/>
  <c r="K37" i="25"/>
  <c r="T37" i="2" s="1"/>
  <c r="M37" i="25"/>
  <c r="Z37" i="2" s="1"/>
  <c r="O37" i="25"/>
  <c r="AC37" i="2" s="1"/>
  <c r="Q37" i="25"/>
  <c r="AI37" i="2" s="1"/>
  <c r="S37" i="25"/>
  <c r="AL37" i="2" s="1"/>
  <c r="U37" i="25"/>
  <c r="AR37" i="2" s="1"/>
  <c r="W37" i="25"/>
  <c r="AU37" i="2" s="1"/>
  <c r="Y37" i="25"/>
  <c r="BA37" i="2" s="1"/>
  <c r="AA37" i="25"/>
  <c r="BD37" i="2" s="1"/>
  <c r="AC37" i="25"/>
  <c r="BJ37" i="2" s="1"/>
  <c r="AE37" i="25"/>
  <c r="BM37" i="2" s="1"/>
  <c r="AG37" i="25"/>
  <c r="BS37" i="2" s="1"/>
  <c r="AI37" i="25"/>
  <c r="BV37" i="2" s="1"/>
  <c r="AK37" i="25"/>
  <c r="CB37" i="2" s="1"/>
  <c r="AM37" i="25"/>
  <c r="CE37" i="2" s="1"/>
  <c r="AO37" i="25"/>
  <c r="CK37" i="2" s="1"/>
  <c r="AQ37" i="25"/>
  <c r="CN37" i="2" s="1"/>
  <c r="AS37" i="25"/>
  <c r="CT37" i="2" s="1"/>
  <c r="C38" i="25"/>
  <c r="B38" i="2" s="1"/>
  <c r="E38" i="25"/>
  <c r="H38" i="2" s="1"/>
  <c r="G38" i="25"/>
  <c r="K38" i="2" s="1"/>
  <c r="I38" i="25"/>
  <c r="Q38" i="2" s="1"/>
  <c r="K38" i="25"/>
  <c r="T38" i="2" s="1"/>
  <c r="M38" i="25"/>
  <c r="Z38" i="2" s="1"/>
  <c r="O38" i="25"/>
  <c r="AC38" i="2" s="1"/>
  <c r="Q38" i="25"/>
  <c r="AI38" i="2" s="1"/>
  <c r="S38" i="25"/>
  <c r="AL38" i="2" s="1"/>
  <c r="U38" i="25"/>
  <c r="AR38" i="2" s="1"/>
  <c r="W38" i="25"/>
  <c r="AU38" i="2" s="1"/>
  <c r="Y38" i="25"/>
  <c r="BA38" i="2" s="1"/>
  <c r="AA38" i="25"/>
  <c r="BD38" i="2" s="1"/>
  <c r="AC38" i="25"/>
  <c r="BJ38" i="2" s="1"/>
  <c r="AE38" i="25"/>
  <c r="BM38" i="2" s="1"/>
  <c r="AG38" i="25"/>
  <c r="BS38" i="2" s="1"/>
  <c r="AI38" i="25"/>
  <c r="BV38" i="2" s="1"/>
  <c r="AK38" i="25"/>
  <c r="CB38" i="2" s="1"/>
  <c r="AM38" i="25"/>
  <c r="CE38" i="2" s="1"/>
  <c r="AO38" i="25"/>
  <c r="CK38" i="2" s="1"/>
  <c r="AQ38" i="25"/>
  <c r="CN38" i="2" s="1"/>
  <c r="AS38" i="25"/>
  <c r="CT38" i="2" s="1"/>
  <c r="C39" i="25"/>
  <c r="B39" i="2" s="1"/>
  <c r="E39" i="25"/>
  <c r="H39" i="2" s="1"/>
  <c r="G39" i="25"/>
  <c r="K39" i="2" s="1"/>
  <c r="I39" i="25"/>
  <c r="Q39" i="2" s="1"/>
  <c r="K39" i="25"/>
  <c r="T39" i="2" s="1"/>
  <c r="M39" i="25"/>
  <c r="Z39" i="2" s="1"/>
  <c r="O39" i="25"/>
  <c r="AC39" i="2" s="1"/>
  <c r="Q39" i="25"/>
  <c r="AI39" i="2" s="1"/>
  <c r="S39" i="25"/>
  <c r="AL39" i="2" s="1"/>
  <c r="U39" i="25"/>
  <c r="AR39" i="2" s="1"/>
  <c r="W39" i="25"/>
  <c r="AU39" i="2" s="1"/>
  <c r="Y39" i="25"/>
  <c r="BA39" i="2" s="1"/>
  <c r="AA39" i="25"/>
  <c r="BD39" i="2" s="1"/>
  <c r="AC39" i="25"/>
  <c r="BJ39" i="2" s="1"/>
  <c r="AE39" i="25"/>
  <c r="BM39" i="2" s="1"/>
  <c r="AG39" i="25"/>
  <c r="BS39" i="2" s="1"/>
  <c r="AI39" i="25"/>
  <c r="BV39" i="2" s="1"/>
  <c r="AK39" i="25"/>
  <c r="CB39" i="2" s="1"/>
  <c r="AM39" i="25"/>
  <c r="CE39" i="2" s="1"/>
  <c r="AO39" i="25"/>
  <c r="CK39" i="2" s="1"/>
  <c r="AQ39" i="25"/>
  <c r="CN39" i="2" s="1"/>
  <c r="AS39" i="25"/>
  <c r="CT39" i="2" s="1"/>
  <c r="C40" i="25"/>
  <c r="B40" i="2" s="1"/>
  <c r="E40" i="25"/>
  <c r="H40" i="2" s="1"/>
  <c r="G40" i="25"/>
  <c r="K40" i="2" s="1"/>
  <c r="I40" i="25"/>
  <c r="Q40" i="2" s="1"/>
  <c r="K40" i="25"/>
  <c r="T40" i="2" s="1"/>
  <c r="M40" i="25"/>
  <c r="Z40" i="2" s="1"/>
  <c r="O40" i="25"/>
  <c r="AC40" i="2" s="1"/>
  <c r="Q40" i="25"/>
  <c r="AI40" i="2" s="1"/>
  <c r="S40" i="25"/>
  <c r="AL40" i="2" s="1"/>
  <c r="U40" i="25"/>
  <c r="AR40" i="2" s="1"/>
  <c r="W40" i="25"/>
  <c r="AU40" i="2" s="1"/>
  <c r="Y40" i="25"/>
  <c r="BA40" i="2" s="1"/>
  <c r="AA40" i="25"/>
  <c r="BD40" i="2" s="1"/>
  <c r="AC40" i="25"/>
  <c r="BJ40" i="2" s="1"/>
  <c r="AE40" i="25"/>
  <c r="BM40" i="2" s="1"/>
  <c r="AG40" i="25"/>
  <c r="BS40" i="2" s="1"/>
  <c r="AI40" i="25"/>
  <c r="BV40" i="2" s="1"/>
  <c r="AK40" i="25"/>
  <c r="CB40" i="2" s="1"/>
  <c r="AM40" i="25"/>
  <c r="CE40" i="2" s="1"/>
  <c r="AO40" i="25"/>
  <c r="CK40" i="2" s="1"/>
  <c r="AQ40" i="25"/>
  <c r="CN40" i="2" s="1"/>
  <c r="AS40" i="25"/>
  <c r="CT40" i="2" s="1"/>
  <c r="C41" i="25"/>
  <c r="B41" i="2" s="1"/>
  <c r="E41" i="25"/>
  <c r="H41" i="2" s="1"/>
  <c r="G41" i="25"/>
  <c r="K41" i="2" s="1"/>
  <c r="I41" i="25"/>
  <c r="Q41" i="2" s="1"/>
  <c r="K41" i="25"/>
  <c r="T41" i="2" s="1"/>
  <c r="M41" i="25"/>
  <c r="Z41" i="2" s="1"/>
  <c r="O41" i="25"/>
  <c r="AC41" i="2" s="1"/>
  <c r="Q41" i="25"/>
  <c r="AI41" i="2" s="1"/>
  <c r="S41" i="25"/>
  <c r="AL41" i="2" s="1"/>
  <c r="U41" i="25"/>
  <c r="AR41" i="2" s="1"/>
  <c r="W41" i="25"/>
  <c r="AU41" i="2" s="1"/>
  <c r="Y41" i="25"/>
  <c r="BA41" i="2" s="1"/>
  <c r="AA41" i="25"/>
  <c r="BD41" i="2" s="1"/>
  <c r="AC41" i="25"/>
  <c r="BJ41" i="2" s="1"/>
  <c r="AE41" i="25"/>
  <c r="BM41" i="2" s="1"/>
  <c r="AG41" i="25"/>
  <c r="BS41" i="2" s="1"/>
  <c r="AI41" i="25"/>
  <c r="BV41" i="2" s="1"/>
  <c r="AK41" i="25"/>
  <c r="CB41" i="2" s="1"/>
  <c r="AM41" i="25"/>
  <c r="CE41" i="2" s="1"/>
  <c r="AO41" i="25"/>
  <c r="CK41" i="2" s="1"/>
  <c r="AQ41" i="25"/>
  <c r="CN41" i="2" s="1"/>
  <c r="AS41" i="25"/>
  <c r="CT41" i="2" s="1"/>
  <c r="C42" i="25"/>
  <c r="B42" i="2" s="1"/>
  <c r="E42" i="25"/>
  <c r="H42" i="2" s="1"/>
  <c r="G42" i="25"/>
  <c r="K42" i="2" s="1"/>
  <c r="I42" i="25"/>
  <c r="Q42" i="2" s="1"/>
  <c r="K42" i="25"/>
  <c r="T42" i="2" s="1"/>
  <c r="M42" i="25"/>
  <c r="Z42" i="2" s="1"/>
  <c r="O42" i="25"/>
  <c r="AC42" i="2" s="1"/>
  <c r="Q42" i="25"/>
  <c r="AI42" i="2" s="1"/>
  <c r="S42" i="25"/>
  <c r="AL42" i="2" s="1"/>
  <c r="U42" i="25"/>
  <c r="AR42" i="2" s="1"/>
  <c r="W42" i="25"/>
  <c r="AU42" i="2" s="1"/>
  <c r="Y42" i="25"/>
  <c r="BA42" i="2" s="1"/>
  <c r="AA42" i="25"/>
  <c r="BD42" i="2" s="1"/>
  <c r="AC42" i="25"/>
  <c r="BJ42" i="2" s="1"/>
  <c r="AE42" i="25"/>
  <c r="BM42" i="2" s="1"/>
  <c r="AG42" i="25"/>
  <c r="BS42" i="2" s="1"/>
  <c r="AI42" i="25"/>
  <c r="BV42" i="2" s="1"/>
  <c r="AK42" i="25"/>
  <c r="CB42" i="2" s="1"/>
  <c r="AM42" i="25"/>
  <c r="CE42" i="2" s="1"/>
  <c r="AO42" i="25"/>
  <c r="CK42" i="2" s="1"/>
  <c r="AQ42" i="25"/>
  <c r="CN42" i="2" s="1"/>
  <c r="AS42" i="25"/>
  <c r="CT42" i="2" s="1"/>
  <c r="C43" i="25"/>
  <c r="B43" i="2" s="1"/>
  <c r="E43" i="25"/>
  <c r="H43" i="2" s="1"/>
  <c r="G43" i="25"/>
  <c r="K43" i="2" s="1"/>
  <c r="I43" i="25"/>
  <c r="Q43" i="2" s="1"/>
  <c r="K43" i="25"/>
  <c r="T43" i="2" s="1"/>
  <c r="M43" i="25"/>
  <c r="Z43" i="2" s="1"/>
  <c r="O43" i="25"/>
  <c r="AC43" i="2" s="1"/>
  <c r="Q43" i="25"/>
  <c r="AI43" i="2" s="1"/>
  <c r="S43" i="25"/>
  <c r="AL43" i="2" s="1"/>
  <c r="U43" i="25"/>
  <c r="AR43" i="2" s="1"/>
  <c r="W43" i="25"/>
  <c r="AU43" i="2" s="1"/>
  <c r="Y43" i="25"/>
  <c r="BA43" i="2" s="1"/>
  <c r="AA43" i="25"/>
  <c r="BD43" i="2" s="1"/>
  <c r="AC43" i="25"/>
  <c r="BJ43" i="2" s="1"/>
  <c r="AE43" i="25"/>
  <c r="BM43" i="2" s="1"/>
  <c r="AG43" i="25"/>
  <c r="BS43" i="2" s="1"/>
  <c r="AI43" i="25"/>
  <c r="BV43" i="2" s="1"/>
  <c r="AK43" i="25"/>
  <c r="CB43" i="2" s="1"/>
  <c r="AM43" i="25"/>
  <c r="CE43" i="2" s="1"/>
  <c r="AO43" i="25"/>
  <c r="CK43" i="2" s="1"/>
  <c r="AQ43" i="25"/>
  <c r="CN43" i="2" s="1"/>
  <c r="AS43" i="25"/>
  <c r="CT43" i="2" s="1"/>
  <c r="C44" i="25"/>
  <c r="B44" i="2" s="1"/>
  <c r="E44" i="25"/>
  <c r="H44" i="2" s="1"/>
  <c r="G44" i="25"/>
  <c r="K44" i="2" s="1"/>
  <c r="I44" i="25"/>
  <c r="Q44" i="2" s="1"/>
  <c r="K44" i="25"/>
  <c r="T44" i="2" s="1"/>
  <c r="M44" i="25"/>
  <c r="Z44" i="2" s="1"/>
  <c r="O44" i="25"/>
  <c r="AC44" i="2" s="1"/>
  <c r="Q44" i="25"/>
  <c r="AI44" i="2" s="1"/>
  <c r="S44" i="25"/>
  <c r="AL44" i="2" s="1"/>
  <c r="U44" i="25"/>
  <c r="AR44" i="2" s="1"/>
  <c r="W44" i="25"/>
  <c r="AU44" i="2" s="1"/>
  <c r="Y44" i="25"/>
  <c r="BA44" i="2" s="1"/>
  <c r="AA44" i="25"/>
  <c r="BD44" i="2" s="1"/>
  <c r="AC44" i="25"/>
  <c r="BJ44" i="2" s="1"/>
  <c r="AE44" i="25"/>
  <c r="BM44" i="2" s="1"/>
  <c r="AG44" i="25"/>
  <c r="BS44" i="2" s="1"/>
  <c r="AI44" i="25"/>
  <c r="BV44" i="2" s="1"/>
  <c r="AK44" i="25"/>
  <c r="CB44" i="2" s="1"/>
  <c r="AM44" i="25"/>
  <c r="CE44" i="2" s="1"/>
  <c r="AO44" i="25"/>
  <c r="CK44" i="2" s="1"/>
  <c r="AQ44" i="25"/>
  <c r="CN44" i="2" s="1"/>
  <c r="AS44" i="25"/>
  <c r="CT44" i="2" s="1"/>
  <c r="C45" i="25"/>
  <c r="B45" i="2" s="1"/>
  <c r="H46"/>
  <c r="G45" i="25"/>
  <c r="K45" i="2" s="1"/>
  <c r="I45" i="25"/>
  <c r="Q45" i="2" s="1"/>
  <c r="K45" i="25"/>
  <c r="T45" i="2" s="1"/>
  <c r="M45" i="25"/>
  <c r="Z45" i="2" s="1"/>
  <c r="O45" i="25"/>
  <c r="AC45" i="2" s="1"/>
  <c r="Q45" i="25"/>
  <c r="AI45" i="2" s="1"/>
  <c r="S45" i="25"/>
  <c r="AL45" i="2" s="1"/>
  <c r="U45" i="25"/>
  <c r="AR45" i="2" s="1"/>
  <c r="W45" i="25"/>
  <c r="AU45" i="2" s="1"/>
  <c r="Y45" i="25"/>
  <c r="BA45" i="2" s="1"/>
  <c r="AA45" i="25"/>
  <c r="BD45" i="2" s="1"/>
  <c r="AC45" i="25"/>
  <c r="BJ45" i="2" s="1"/>
  <c r="AE45" i="25"/>
  <c r="BM45" i="2" s="1"/>
  <c r="AG45" i="25"/>
  <c r="BS45" i="2" s="1"/>
  <c r="AI45" i="25"/>
  <c r="BV45" i="2" s="1"/>
  <c r="AK45" i="25"/>
  <c r="CB45" i="2" s="1"/>
  <c r="AM45" i="25"/>
  <c r="CE45" i="2" s="1"/>
  <c r="AO45" i="25"/>
  <c r="CK45" i="2" s="1"/>
  <c r="AQ45" i="25"/>
  <c r="CN45" i="2" s="1"/>
  <c r="AS45" i="25"/>
  <c r="CT45" i="2" s="1"/>
  <c r="N4" i="34"/>
  <c r="U4"/>
  <c r="AB4"/>
  <c r="AC4"/>
  <c r="AI4"/>
  <c r="AP4"/>
  <c r="AW4"/>
  <c r="BD4"/>
  <c r="BK4"/>
  <c r="BR4"/>
  <c r="BY4"/>
  <c r="C8"/>
  <c r="E8" s="1"/>
  <c r="J8"/>
  <c r="L8" s="1"/>
  <c r="Q8"/>
  <c r="S8" s="1"/>
  <c r="L8" i="35" s="1"/>
  <c r="X8" i="34"/>
  <c r="Z8" s="1"/>
  <c r="AE8"/>
  <c r="AG8" s="1"/>
  <c r="AL8"/>
  <c r="AN8" s="1"/>
  <c r="AS8"/>
  <c r="AU8" s="1"/>
  <c r="AF8" i="35" s="1"/>
  <c r="AZ8" i="34"/>
  <c r="BB8" s="1"/>
  <c r="BG8"/>
  <c r="BI8" s="1"/>
  <c r="BN8"/>
  <c r="BP8" s="1"/>
  <c r="BU8"/>
  <c r="BW8" s="1"/>
  <c r="AZ8" i="35" s="1"/>
  <c r="C9" i="34"/>
  <c r="E9" s="1"/>
  <c r="J9"/>
  <c r="L9" s="1"/>
  <c r="Q9"/>
  <c r="S9" s="1"/>
  <c r="L9" i="35" s="1"/>
  <c r="X9" i="34"/>
  <c r="Z9" s="1"/>
  <c r="Q9" i="35" s="1"/>
  <c r="AE9" i="34"/>
  <c r="AG9" s="1"/>
  <c r="AL9"/>
  <c r="AN9" s="1"/>
  <c r="AS9"/>
  <c r="AU9" s="1"/>
  <c r="AZ9"/>
  <c r="BB9" s="1"/>
  <c r="AK9" i="35" s="1"/>
  <c r="BG9" i="34"/>
  <c r="BI9" s="1"/>
  <c r="BN9"/>
  <c r="BP9" s="1"/>
  <c r="BU9"/>
  <c r="BW9" s="1"/>
  <c r="C10"/>
  <c r="E10" s="1"/>
  <c r="B10" i="35" s="1"/>
  <c r="J10" i="34"/>
  <c r="L10" s="1"/>
  <c r="Q10"/>
  <c r="S10" s="1"/>
  <c r="X10"/>
  <c r="Z10" s="1"/>
  <c r="AE10"/>
  <c r="AG10" s="1"/>
  <c r="V10" i="35" s="1"/>
  <c r="AL10" i="34"/>
  <c r="AN10" s="1"/>
  <c r="AS10"/>
  <c r="AU10" s="1"/>
  <c r="AZ10"/>
  <c r="BB10" s="1"/>
  <c r="AK10" i="35" s="1"/>
  <c r="BG10" i="34"/>
  <c r="BI10" s="1"/>
  <c r="AP10" i="35" s="1"/>
  <c r="BN10" i="34"/>
  <c r="BP10" s="1"/>
  <c r="AU10" i="35" s="1"/>
  <c r="BU10" i="34"/>
  <c r="BW10" s="1"/>
  <c r="AZ10" i="35" s="1"/>
  <c r="C11" i="34"/>
  <c r="E11" s="1"/>
  <c r="B11" i="35" s="1"/>
  <c r="J11" i="34"/>
  <c r="L11" s="1"/>
  <c r="Q11"/>
  <c r="S11" s="1"/>
  <c r="L11" i="35" s="1"/>
  <c r="X11" i="34"/>
  <c r="Z11" s="1"/>
  <c r="AE11"/>
  <c r="AG11" s="1"/>
  <c r="V11" i="35" s="1"/>
  <c r="AL11" i="34"/>
  <c r="AN11" s="1"/>
  <c r="AA11" i="35" s="1"/>
  <c r="AS11" i="34"/>
  <c r="AU11" s="1"/>
  <c r="AF11" i="35" s="1"/>
  <c r="AZ11" i="34"/>
  <c r="BB11" s="1"/>
  <c r="BG11"/>
  <c r="BI11" s="1"/>
  <c r="AP11" i="35" s="1"/>
  <c r="BN11" i="34"/>
  <c r="BP11" s="1"/>
  <c r="BU11"/>
  <c r="BW11" s="1"/>
  <c r="AZ11" i="35" s="1"/>
  <c r="C12" i="34"/>
  <c r="E12" s="1"/>
  <c r="J12"/>
  <c r="L12" s="1"/>
  <c r="Q12"/>
  <c r="S12" s="1"/>
  <c r="L12" i="35" s="1"/>
  <c r="X12" i="34"/>
  <c r="Z12" s="1"/>
  <c r="AE12"/>
  <c r="AG12" s="1"/>
  <c r="AL12"/>
  <c r="AN12" s="1"/>
  <c r="AS12"/>
  <c r="AU12" s="1"/>
  <c r="AF12" i="35" s="1"/>
  <c r="AZ12" i="34"/>
  <c r="BB12" s="1"/>
  <c r="BG12"/>
  <c r="BI12" s="1"/>
  <c r="BN12"/>
  <c r="BP12" s="1"/>
  <c r="AU12" i="35" s="1"/>
  <c r="BU12" i="34"/>
  <c r="BW12" s="1"/>
  <c r="AZ12" i="35" s="1"/>
  <c r="C13" i="34"/>
  <c r="E13" s="1"/>
  <c r="J13"/>
  <c r="L13" s="1"/>
  <c r="Q13"/>
  <c r="S13" s="1"/>
  <c r="L13" i="35" s="1"/>
  <c r="X13" i="34"/>
  <c r="Z13" s="1"/>
  <c r="Q13" i="35" s="1"/>
  <c r="AE13" i="34"/>
  <c r="AG13" s="1"/>
  <c r="V13" i="35" s="1"/>
  <c r="AL13" i="34"/>
  <c r="AN13" s="1"/>
  <c r="AS13"/>
  <c r="AU13" s="1"/>
  <c r="AF13" i="35" s="1"/>
  <c r="AZ13" i="34"/>
  <c r="BB13" s="1"/>
  <c r="BG13"/>
  <c r="BI13" s="1"/>
  <c r="AP13" i="35" s="1"/>
  <c r="BN13" i="34"/>
  <c r="BP13" s="1"/>
  <c r="BU13"/>
  <c r="BW13" s="1"/>
  <c r="AZ13" i="35" s="1"/>
  <c r="C14" i="34"/>
  <c r="E14" s="1"/>
  <c r="B14" i="35" s="1"/>
  <c r="J14" i="34"/>
  <c r="L14" s="1"/>
  <c r="Q14"/>
  <c r="S14" s="1"/>
  <c r="X14"/>
  <c r="Z14" s="1"/>
  <c r="Q14" i="35" s="1"/>
  <c r="AE14" i="34"/>
  <c r="AG14" s="1"/>
  <c r="V14" i="35" s="1"/>
  <c r="AL14" i="34"/>
  <c r="AN14" s="1"/>
  <c r="AS14"/>
  <c r="AU14" s="1"/>
  <c r="AZ14"/>
  <c r="BB14" s="1"/>
  <c r="AK14" i="35" s="1"/>
  <c r="BG14" i="34"/>
  <c r="BI14" s="1"/>
  <c r="AP14" i="35" s="1"/>
  <c r="BN14" i="34"/>
  <c r="BP14" s="1"/>
  <c r="BU14"/>
  <c r="BW14" s="1"/>
  <c r="C15"/>
  <c r="E15" s="1"/>
  <c r="B15" i="35" s="1"/>
  <c r="J15" i="34"/>
  <c r="L15" s="1"/>
  <c r="G15" i="35" s="1"/>
  <c r="Q15" i="34"/>
  <c r="S15" s="1"/>
  <c r="X15"/>
  <c r="Z15" s="1"/>
  <c r="Q15" i="35" s="1"/>
  <c r="AE15" i="34"/>
  <c r="AG15" s="1"/>
  <c r="AL15"/>
  <c r="AN15" s="1"/>
  <c r="AA15" i="35" s="1"/>
  <c r="AS15" i="34"/>
  <c r="AU15" s="1"/>
  <c r="AZ15"/>
  <c r="BB15" s="1"/>
  <c r="AK15" i="35" s="1"/>
  <c r="BG15" i="34"/>
  <c r="BI15" s="1"/>
  <c r="AP15" i="35" s="1"/>
  <c r="BN15" i="34"/>
  <c r="BP15" s="1"/>
  <c r="AU15" i="35" s="1"/>
  <c r="BU15" i="34"/>
  <c r="BW15" s="1"/>
  <c r="C16"/>
  <c r="E16" s="1"/>
  <c r="B16" i="35" s="1"/>
  <c r="J16" i="34"/>
  <c r="L16" s="1"/>
  <c r="G16" i="35" s="1"/>
  <c r="Q16" i="34"/>
  <c r="S16" s="1"/>
  <c r="L16" i="35" s="1"/>
  <c r="X16" i="34"/>
  <c r="Z16" s="1"/>
  <c r="Q16" i="35" s="1"/>
  <c r="AE16" i="34"/>
  <c r="AG16" s="1"/>
  <c r="V16" i="35" s="1"/>
  <c r="AL16" i="34"/>
  <c r="AN16" s="1"/>
  <c r="AA16" i="35" s="1"/>
  <c r="AS16" i="34"/>
  <c r="AU16" s="1"/>
  <c r="AF16" i="35" s="1"/>
  <c r="AZ16" i="34"/>
  <c r="BB16" s="1"/>
  <c r="AK16" i="35" s="1"/>
  <c r="BG16" i="34"/>
  <c r="BI16" s="1"/>
  <c r="AP16" i="35" s="1"/>
  <c r="BN16" i="34"/>
  <c r="BP16" s="1"/>
  <c r="AU16" i="35" s="1"/>
  <c r="BU16" i="34"/>
  <c r="BW16" s="1"/>
  <c r="AZ16" i="35" s="1"/>
  <c r="C17" i="34"/>
  <c r="E17" s="1"/>
  <c r="B17" i="35" s="1"/>
  <c r="J17" i="34"/>
  <c r="L17" s="1"/>
  <c r="Q17"/>
  <c r="S17" s="1"/>
  <c r="L17" i="35" s="1"/>
  <c r="X17" i="34"/>
  <c r="Z17" s="1"/>
  <c r="AE17"/>
  <c r="AG17" s="1"/>
  <c r="V17" i="35" s="1"/>
  <c r="AL17" i="34"/>
  <c r="AN17" s="1"/>
  <c r="AS17"/>
  <c r="AU17" s="1"/>
  <c r="AF17" i="35" s="1"/>
  <c r="AZ17" i="34"/>
  <c r="BB17" s="1"/>
  <c r="AK17" i="35" s="1"/>
  <c r="BG17" i="34"/>
  <c r="BI17" s="1"/>
  <c r="AP17" i="35" s="1"/>
  <c r="BN17" i="34"/>
  <c r="BP17" s="1"/>
  <c r="BU17"/>
  <c r="BW17" s="1"/>
  <c r="AZ17" i="35" s="1"/>
  <c r="C18" i="34"/>
  <c r="C49" s="1"/>
  <c r="J18"/>
  <c r="J49" s="1"/>
  <c r="Q18"/>
  <c r="Q49" s="1"/>
  <c r="X18"/>
  <c r="X49" s="1"/>
  <c r="AE18"/>
  <c r="AE49" s="1"/>
  <c r="AL18"/>
  <c r="AL49" s="1"/>
  <c r="AS18"/>
  <c r="AS49" s="1"/>
  <c r="AZ18"/>
  <c r="AZ49" s="1"/>
  <c r="BG18"/>
  <c r="BG49" s="1"/>
  <c r="BN18"/>
  <c r="BN49" s="1"/>
  <c r="BU18"/>
  <c r="BU49" s="1"/>
  <c r="C19"/>
  <c r="E19" s="1"/>
  <c r="J19"/>
  <c r="L19" s="1"/>
  <c r="C6" i="233" s="1"/>
  <c r="Q19" i="34"/>
  <c r="S19" s="1"/>
  <c r="D6" i="233" s="1"/>
  <c r="X19" i="34"/>
  <c r="Z19" s="1"/>
  <c r="E6" i="233" s="1"/>
  <c r="AE19" i="34"/>
  <c r="AG19" s="1"/>
  <c r="AL19"/>
  <c r="AN19" s="1"/>
  <c r="G6" i="233" s="1"/>
  <c r="AS19" i="34"/>
  <c r="AU19" s="1"/>
  <c r="H6" i="233" s="1"/>
  <c r="AZ19" i="34"/>
  <c r="BB19" s="1"/>
  <c r="I6" i="233" s="1"/>
  <c r="BG19" i="34"/>
  <c r="BI19" s="1"/>
  <c r="BN19"/>
  <c r="BP19" s="1"/>
  <c r="K6" i="233" s="1"/>
  <c r="BU19" i="34"/>
  <c r="BW19" s="1"/>
  <c r="L6" i="233" s="1"/>
  <c r="C20" i="34"/>
  <c r="E20" s="1"/>
  <c r="B7" i="233" s="1"/>
  <c r="J20" i="34"/>
  <c r="L20" s="1"/>
  <c r="Q20"/>
  <c r="S20" s="1"/>
  <c r="D7" i="233" s="1"/>
  <c r="X20" i="34"/>
  <c r="Z20" s="1"/>
  <c r="E7" i="233" s="1"/>
  <c r="AE20" i="34"/>
  <c r="AG20" s="1"/>
  <c r="F7" i="233" s="1"/>
  <c r="AL20" i="34"/>
  <c r="AN20" s="1"/>
  <c r="AS20"/>
  <c r="AU20" s="1"/>
  <c r="H7" i="233" s="1"/>
  <c r="AZ20" i="34"/>
  <c r="BB20" s="1"/>
  <c r="I7" i="233" s="1"/>
  <c r="BG20" i="34"/>
  <c r="BI20" s="1"/>
  <c r="J7" i="233" s="1"/>
  <c r="BN20" i="34"/>
  <c r="BP20" s="1"/>
  <c r="BU20"/>
  <c r="BW20" s="1"/>
  <c r="L7" i="233" s="1"/>
  <c r="C21" i="34"/>
  <c r="E21" s="1"/>
  <c r="B8" i="233" s="1"/>
  <c r="J21" i="34"/>
  <c r="L21" s="1"/>
  <c r="C8" i="233" s="1"/>
  <c r="Q21" i="34"/>
  <c r="S21" s="1"/>
  <c r="X21"/>
  <c r="Z21" s="1"/>
  <c r="E8" i="233" s="1"/>
  <c r="AE21" i="34"/>
  <c r="AG21" s="1"/>
  <c r="F8" i="233" s="1"/>
  <c r="AL21" i="34"/>
  <c r="AN21" s="1"/>
  <c r="G8" i="233" s="1"/>
  <c r="AS21" i="34"/>
  <c r="AU21" s="1"/>
  <c r="AZ21"/>
  <c r="BB21" s="1"/>
  <c r="I8" i="233" s="1"/>
  <c r="BG21" i="34"/>
  <c r="BI21" s="1"/>
  <c r="J8" i="233" s="1"/>
  <c r="BN21" i="34"/>
  <c r="BP21" s="1"/>
  <c r="K8" i="233" s="1"/>
  <c r="BU21" i="34"/>
  <c r="BW21" s="1"/>
  <c r="C22"/>
  <c r="E22" s="1"/>
  <c r="B9" i="233" s="1"/>
  <c r="J22" i="34"/>
  <c r="L22" s="1"/>
  <c r="C9" i="233" s="1"/>
  <c r="Q22" i="34"/>
  <c r="S22" s="1"/>
  <c r="D9" i="233" s="1"/>
  <c r="X22" i="34"/>
  <c r="Z22" s="1"/>
  <c r="AE22"/>
  <c r="AG22" s="1"/>
  <c r="F9" i="233" s="1"/>
  <c r="AL22" i="34"/>
  <c r="AN22" s="1"/>
  <c r="G9" i="233" s="1"/>
  <c r="AS22" i="34"/>
  <c r="AU22" s="1"/>
  <c r="H9" i="233" s="1"/>
  <c r="AZ22" i="34"/>
  <c r="BB22" s="1"/>
  <c r="BG22"/>
  <c r="BI22" s="1"/>
  <c r="J9" i="233" s="1"/>
  <c r="BN22" i="34"/>
  <c r="BP22" s="1"/>
  <c r="K9" i="233" s="1"/>
  <c r="BU22" i="34"/>
  <c r="BW22" s="1"/>
  <c r="L9" i="233" s="1"/>
  <c r="C23" i="34"/>
  <c r="E23" s="1"/>
  <c r="J23"/>
  <c r="L23" s="1"/>
  <c r="C10" i="233" s="1"/>
  <c r="Q23" i="34"/>
  <c r="S23" s="1"/>
  <c r="D10" i="233" s="1"/>
  <c r="X23" i="34"/>
  <c r="Z23" s="1"/>
  <c r="E10" i="233" s="1"/>
  <c r="AE23" i="34"/>
  <c r="AG23" s="1"/>
  <c r="AL23"/>
  <c r="AN23" s="1"/>
  <c r="G10" i="233" s="1"/>
  <c r="AS23" i="34"/>
  <c r="AU23" s="1"/>
  <c r="H10" i="233" s="1"/>
  <c r="AZ23" i="34"/>
  <c r="BB23" s="1"/>
  <c r="I10" i="233" s="1"/>
  <c r="BG23" i="34"/>
  <c r="BI23" s="1"/>
  <c r="BN23"/>
  <c r="BP23" s="1"/>
  <c r="K10" i="233" s="1"/>
  <c r="BU23" i="34"/>
  <c r="BW23" s="1"/>
  <c r="L10" i="233" s="1"/>
  <c r="C24" i="34"/>
  <c r="E24" s="1"/>
  <c r="B11" i="233" s="1"/>
  <c r="J24" i="34"/>
  <c r="L24" s="1"/>
  <c r="Q24"/>
  <c r="S24" s="1"/>
  <c r="D11" i="233" s="1"/>
  <c r="X24" i="34"/>
  <c r="Z24" s="1"/>
  <c r="E11" i="233" s="1"/>
  <c r="AE24" i="34"/>
  <c r="AG24" s="1"/>
  <c r="F11" i="233" s="1"/>
  <c r="AL24" i="34"/>
  <c r="AN24" s="1"/>
  <c r="AS24"/>
  <c r="AU24" s="1"/>
  <c r="H11" i="233" s="1"/>
  <c r="AZ24" i="34"/>
  <c r="BB24" s="1"/>
  <c r="I11" i="233" s="1"/>
  <c r="BG24" i="34"/>
  <c r="BI24" s="1"/>
  <c r="J11" i="233" s="1"/>
  <c r="BN24" i="34"/>
  <c r="BP24" s="1"/>
  <c r="BU24"/>
  <c r="BW24" s="1"/>
  <c r="L11" i="233" s="1"/>
  <c r="C25" i="34"/>
  <c r="E25" s="1"/>
  <c r="B12" i="233" s="1"/>
  <c r="J25" i="34"/>
  <c r="L25" s="1"/>
  <c r="C12" i="233" s="1"/>
  <c r="Q25" i="34"/>
  <c r="S25" s="1"/>
  <c r="X25"/>
  <c r="Z25" s="1"/>
  <c r="E12" i="233" s="1"/>
  <c r="AE25" i="34"/>
  <c r="AG25" s="1"/>
  <c r="F12" i="233" s="1"/>
  <c r="AL25" i="34"/>
  <c r="AN25" s="1"/>
  <c r="G12" i="233" s="1"/>
  <c r="AS25" i="34"/>
  <c r="AU25" s="1"/>
  <c r="AZ25"/>
  <c r="BB25" s="1"/>
  <c r="I12" i="233" s="1"/>
  <c r="BG25" i="34"/>
  <c r="BI25" s="1"/>
  <c r="J12" i="233" s="1"/>
  <c r="BN25" i="34"/>
  <c r="BP25" s="1"/>
  <c r="K12" i="233" s="1"/>
  <c r="BU25" i="34"/>
  <c r="BW25" s="1"/>
  <c r="C26"/>
  <c r="E26" s="1"/>
  <c r="B13" i="233" s="1"/>
  <c r="J26" i="34"/>
  <c r="L26" s="1"/>
  <c r="C13" i="233" s="1"/>
  <c r="Q26" i="34"/>
  <c r="S26" s="1"/>
  <c r="D13" i="233" s="1"/>
  <c r="X26" i="34"/>
  <c r="Z26" s="1"/>
  <c r="AE26"/>
  <c r="AG26" s="1"/>
  <c r="F13" i="233" s="1"/>
  <c r="AL26" i="34"/>
  <c r="AN26" s="1"/>
  <c r="G13" i="233" s="1"/>
  <c r="AS26" i="34"/>
  <c r="AU26" s="1"/>
  <c r="H13" i="233" s="1"/>
  <c r="AZ26" i="34"/>
  <c r="BB26" s="1"/>
  <c r="BG26"/>
  <c r="BI26" s="1"/>
  <c r="J13" i="233" s="1"/>
  <c r="BN26" i="34"/>
  <c r="BP26" s="1"/>
  <c r="K13" i="233" s="1"/>
  <c r="BU26" i="34"/>
  <c r="BW26" s="1"/>
  <c r="L13" i="233" s="1"/>
  <c r="C27" i="34"/>
  <c r="E27" s="1"/>
  <c r="J27"/>
  <c r="L27" s="1"/>
  <c r="C14" i="233" s="1"/>
  <c r="Q27" i="34"/>
  <c r="S27" s="1"/>
  <c r="D14" i="233" s="1"/>
  <c r="X27" i="34"/>
  <c r="Z27" s="1"/>
  <c r="E14" i="233" s="1"/>
  <c r="AE27" i="34"/>
  <c r="AG27" s="1"/>
  <c r="AL27"/>
  <c r="AN27" s="1"/>
  <c r="G14" i="233" s="1"/>
  <c r="AS27" i="34"/>
  <c r="AU27" s="1"/>
  <c r="H14" i="233" s="1"/>
  <c r="AZ27" i="34"/>
  <c r="BB27" s="1"/>
  <c r="I14" i="233" s="1"/>
  <c r="BG27" i="34"/>
  <c r="BI27" s="1"/>
  <c r="BN27"/>
  <c r="BP27" s="1"/>
  <c r="K14" i="233" s="1"/>
  <c r="BU27" i="34"/>
  <c r="BW27" s="1"/>
  <c r="L14" i="233" s="1"/>
  <c r="C28" i="34"/>
  <c r="E28" s="1"/>
  <c r="B15" i="233" s="1"/>
  <c r="J28" i="34"/>
  <c r="L28" s="1"/>
  <c r="Q28"/>
  <c r="S28" s="1"/>
  <c r="D15" i="233" s="1"/>
  <c r="X28" i="34"/>
  <c r="Z28" s="1"/>
  <c r="E15" i="233" s="1"/>
  <c r="AE28" i="34"/>
  <c r="AG28" s="1"/>
  <c r="F15" i="233" s="1"/>
  <c r="AL28" i="34"/>
  <c r="AN28" s="1"/>
  <c r="AS28"/>
  <c r="AU28" s="1"/>
  <c r="H15" i="233" s="1"/>
  <c r="AZ28" i="34"/>
  <c r="BB28" s="1"/>
  <c r="I15" i="233" s="1"/>
  <c r="BG28" i="34"/>
  <c r="BI28" s="1"/>
  <c r="J15" i="233" s="1"/>
  <c r="BN28" i="34"/>
  <c r="BP28" s="1"/>
  <c r="BU28"/>
  <c r="BW28" s="1"/>
  <c r="L15" i="233" s="1"/>
  <c r="C29" i="34"/>
  <c r="E29" s="1"/>
  <c r="B16" i="233" s="1"/>
  <c r="J29" i="34"/>
  <c r="L29" s="1"/>
  <c r="C16" i="233" s="1"/>
  <c r="Q29" i="34"/>
  <c r="S29" s="1"/>
  <c r="X29"/>
  <c r="Z29" s="1"/>
  <c r="E16" i="233" s="1"/>
  <c r="AE29" i="34"/>
  <c r="AG29" s="1"/>
  <c r="F16" i="233" s="1"/>
  <c r="AL29" i="34"/>
  <c r="AN29" s="1"/>
  <c r="G16" i="233" s="1"/>
  <c r="AS29" i="34"/>
  <c r="AU29" s="1"/>
  <c r="AZ29"/>
  <c r="BB29" s="1"/>
  <c r="I16" i="233" s="1"/>
  <c r="BG29" i="34"/>
  <c r="BI29" s="1"/>
  <c r="J16" i="233" s="1"/>
  <c r="BN29" i="34"/>
  <c r="BP29" s="1"/>
  <c r="K16" i="233" s="1"/>
  <c r="BU29" i="34"/>
  <c r="BW29" s="1"/>
  <c r="C30"/>
  <c r="E30" s="1"/>
  <c r="B17" i="233" s="1"/>
  <c r="J30" i="34"/>
  <c r="L30" s="1"/>
  <c r="C17" i="233" s="1"/>
  <c r="Q30" i="34"/>
  <c r="S30" s="1"/>
  <c r="D17" i="233" s="1"/>
  <c r="X30" i="34"/>
  <c r="Z30" s="1"/>
  <c r="AE30"/>
  <c r="AG30" s="1"/>
  <c r="F17" i="233" s="1"/>
  <c r="AL30" i="34"/>
  <c r="AN30" s="1"/>
  <c r="G17" i="233" s="1"/>
  <c r="AS30" i="34"/>
  <c r="AU30" s="1"/>
  <c r="H17" i="233" s="1"/>
  <c r="AZ30" i="34"/>
  <c r="BB30" s="1"/>
  <c r="BG30"/>
  <c r="BI30" s="1"/>
  <c r="J17" i="233" s="1"/>
  <c r="BN30" i="34"/>
  <c r="BP30" s="1"/>
  <c r="K17" i="233" s="1"/>
  <c r="BU30" i="34"/>
  <c r="BW30" s="1"/>
  <c r="L17" i="233" s="1"/>
  <c r="C31" i="34"/>
  <c r="E31" s="1"/>
  <c r="J31"/>
  <c r="L31" s="1"/>
  <c r="C18" i="233" s="1"/>
  <c r="Q31" i="34"/>
  <c r="S31" s="1"/>
  <c r="D18" i="233" s="1"/>
  <c r="X31" i="34"/>
  <c r="Z31" s="1"/>
  <c r="E18" i="233" s="1"/>
  <c r="AE31" i="34"/>
  <c r="AG31" s="1"/>
  <c r="AL31"/>
  <c r="AN31" s="1"/>
  <c r="G18" i="233" s="1"/>
  <c r="AS31" i="34"/>
  <c r="AU31" s="1"/>
  <c r="H18" i="233" s="1"/>
  <c r="AZ31" i="34"/>
  <c r="BB31" s="1"/>
  <c r="I18" i="233" s="1"/>
  <c r="BG31" i="34"/>
  <c r="BI31" s="1"/>
  <c r="BN31"/>
  <c r="BP31" s="1"/>
  <c r="K18" i="233" s="1"/>
  <c r="BU31" i="34"/>
  <c r="BW31" s="1"/>
  <c r="L18" i="233" s="1"/>
  <c r="C32" i="34"/>
  <c r="E32" s="1"/>
  <c r="B19" i="233" s="1"/>
  <c r="J32" i="34"/>
  <c r="L32" s="1"/>
  <c r="Q32"/>
  <c r="S32" s="1"/>
  <c r="D19" i="233" s="1"/>
  <c r="X32" i="34"/>
  <c r="Z32" s="1"/>
  <c r="E19" i="233" s="1"/>
  <c r="AE32" i="34"/>
  <c r="AG32" s="1"/>
  <c r="F19" i="233" s="1"/>
  <c r="AL32" i="34"/>
  <c r="AN32" s="1"/>
  <c r="AS32"/>
  <c r="AU32" s="1"/>
  <c r="H19" i="233" s="1"/>
  <c r="AZ32" i="34"/>
  <c r="BB32" s="1"/>
  <c r="I19" i="233" s="1"/>
  <c r="BG32" i="34"/>
  <c r="BI32" s="1"/>
  <c r="J19" i="233" s="1"/>
  <c r="BN32" i="34"/>
  <c r="BP32" s="1"/>
  <c r="BU32"/>
  <c r="BW32" s="1"/>
  <c r="L19" i="233" s="1"/>
  <c r="C33" i="34"/>
  <c r="E33" s="1"/>
  <c r="B20" i="233" s="1"/>
  <c r="J33" i="34"/>
  <c r="L33" s="1"/>
  <c r="C20" i="233" s="1"/>
  <c r="Q33" i="34"/>
  <c r="S33" s="1"/>
  <c r="X33"/>
  <c r="Z33" s="1"/>
  <c r="E20" i="233" s="1"/>
  <c r="AE33" i="34"/>
  <c r="AG33" s="1"/>
  <c r="F20" i="233" s="1"/>
  <c r="AL33" i="34"/>
  <c r="AN33" s="1"/>
  <c r="G20" i="233" s="1"/>
  <c r="AS33" i="34"/>
  <c r="AU33" s="1"/>
  <c r="AZ33"/>
  <c r="BB33" s="1"/>
  <c r="I20" i="233" s="1"/>
  <c r="BG33" i="34"/>
  <c r="BI33" s="1"/>
  <c r="J20" i="233" s="1"/>
  <c r="BN33" i="34"/>
  <c r="BP33" s="1"/>
  <c r="K20" i="233" s="1"/>
  <c r="BU33" i="34"/>
  <c r="BW33" s="1"/>
  <c r="C34"/>
  <c r="E34" s="1"/>
  <c r="B21" i="233" s="1"/>
  <c r="J34" i="34"/>
  <c r="L34" s="1"/>
  <c r="C21" i="233" s="1"/>
  <c r="Q34" i="34"/>
  <c r="S34" s="1"/>
  <c r="D21" i="233" s="1"/>
  <c r="X34" i="34"/>
  <c r="Z34" s="1"/>
  <c r="AE34"/>
  <c r="AG34" s="1"/>
  <c r="F21" i="233" s="1"/>
  <c r="AL34" i="34"/>
  <c r="AN34" s="1"/>
  <c r="G21" i="233" s="1"/>
  <c r="AS34" i="34"/>
  <c r="AU34" s="1"/>
  <c r="H21" i="233" s="1"/>
  <c r="AZ34" i="34"/>
  <c r="BB34" s="1"/>
  <c r="BG34"/>
  <c r="BI34" s="1"/>
  <c r="J21" i="233" s="1"/>
  <c r="BN34" i="34"/>
  <c r="BP34" s="1"/>
  <c r="K21" i="233" s="1"/>
  <c r="BU34" i="34"/>
  <c r="BW34" s="1"/>
  <c r="L21" i="233" s="1"/>
  <c r="C35" i="34"/>
  <c r="E35" s="1"/>
  <c r="J35"/>
  <c r="L35" s="1"/>
  <c r="C22" i="233" s="1"/>
  <c r="Q35" i="34"/>
  <c r="S35" s="1"/>
  <c r="D22" i="233" s="1"/>
  <c r="X35" i="34"/>
  <c r="Z35" s="1"/>
  <c r="E22" i="233" s="1"/>
  <c r="AE35" i="34"/>
  <c r="AG35" s="1"/>
  <c r="AL35"/>
  <c r="AN35" s="1"/>
  <c r="G22" i="233" s="1"/>
  <c r="AS35" i="34"/>
  <c r="AU35" s="1"/>
  <c r="H22" i="233" s="1"/>
  <c r="AZ35" i="34"/>
  <c r="BB35" s="1"/>
  <c r="I22" i="233" s="1"/>
  <c r="BG35" i="34"/>
  <c r="BI35" s="1"/>
  <c r="BN35"/>
  <c r="BP35" s="1"/>
  <c r="K22" i="233" s="1"/>
  <c r="BU35" i="34"/>
  <c r="BW35" s="1"/>
  <c r="L22" i="233" s="1"/>
  <c r="C36" i="34"/>
  <c r="E36" s="1"/>
  <c r="B23" i="233" s="1"/>
  <c r="J36" i="34"/>
  <c r="L36" s="1"/>
  <c r="Q36"/>
  <c r="S36" s="1"/>
  <c r="D23" i="233" s="1"/>
  <c r="X36" i="34"/>
  <c r="Z36" s="1"/>
  <c r="E23" i="233" s="1"/>
  <c r="AE36" i="34"/>
  <c r="AG36" s="1"/>
  <c r="F23" i="233" s="1"/>
  <c r="AL36" i="34"/>
  <c r="AN36" s="1"/>
  <c r="AS36"/>
  <c r="AU36" s="1"/>
  <c r="H23" i="233" s="1"/>
  <c r="AZ36" i="34"/>
  <c r="BB36" s="1"/>
  <c r="I23" i="233" s="1"/>
  <c r="BG36" i="34"/>
  <c r="BI36" s="1"/>
  <c r="J23" i="233" s="1"/>
  <c r="BN36" i="34"/>
  <c r="BP36" s="1"/>
  <c r="BU36"/>
  <c r="BW36" s="1"/>
  <c r="L23" i="233" s="1"/>
  <c r="C37" i="34"/>
  <c r="E37" s="1"/>
  <c r="B24" i="233" s="1"/>
  <c r="J37" i="34"/>
  <c r="L37" s="1"/>
  <c r="C24" i="233" s="1"/>
  <c r="C39" s="1"/>
  <c r="Q37" i="34"/>
  <c r="S37" s="1"/>
  <c r="X37"/>
  <c r="Z37" s="1"/>
  <c r="E24" i="233" s="1"/>
  <c r="E44" s="1"/>
  <c r="AE37" i="34"/>
  <c r="AG37" s="1"/>
  <c r="F24" i="233" s="1"/>
  <c r="AL37" i="34"/>
  <c r="AN37" s="1"/>
  <c r="G24" i="233" s="1"/>
  <c r="G39" s="1"/>
  <c r="AS37" i="34"/>
  <c r="AU37" s="1"/>
  <c r="AZ37"/>
  <c r="BB37" s="1"/>
  <c r="I24" i="233" s="1"/>
  <c r="BG37" i="34"/>
  <c r="BI37" s="1"/>
  <c r="J24" i="233" s="1"/>
  <c r="J39" s="1"/>
  <c r="BN37" i="34"/>
  <c r="BP37" s="1"/>
  <c r="K24" i="233" s="1"/>
  <c r="K39" s="1"/>
  <c r="BU37" i="34"/>
  <c r="BW37" s="1"/>
  <c r="C38"/>
  <c r="E38" s="1"/>
  <c r="B25" i="233" s="1"/>
  <c r="J38" i="34"/>
  <c r="L38" s="1"/>
  <c r="C25" i="233" s="1"/>
  <c r="Q38" i="34"/>
  <c r="S38" s="1"/>
  <c r="D25" i="233" s="1"/>
  <c r="X38" i="34"/>
  <c r="Z38" s="1"/>
  <c r="AE38"/>
  <c r="AG38" s="1"/>
  <c r="F25" i="233" s="1"/>
  <c r="AL38" i="34"/>
  <c r="AN38" s="1"/>
  <c r="G25" i="233" s="1"/>
  <c r="AS38" i="34"/>
  <c r="AU38" s="1"/>
  <c r="H25" i="233" s="1"/>
  <c r="AZ38" i="34"/>
  <c r="BB38" s="1"/>
  <c r="BG38"/>
  <c r="BI38" s="1"/>
  <c r="J25" i="233" s="1"/>
  <c r="BN38" i="34"/>
  <c r="BP38" s="1"/>
  <c r="K25" i="233" s="1"/>
  <c r="BU38" i="34"/>
  <c r="BW38" s="1"/>
  <c r="L25" i="233" s="1"/>
  <c r="C39" i="34"/>
  <c r="E39" s="1"/>
  <c r="J39"/>
  <c r="L39" s="1"/>
  <c r="C26" i="233" s="1"/>
  <c r="Q39" i="34"/>
  <c r="S39" s="1"/>
  <c r="D26" i="233" s="1"/>
  <c r="X39" i="34"/>
  <c r="Z39" s="1"/>
  <c r="E26" i="233" s="1"/>
  <c r="AE39" i="34"/>
  <c r="AG39" s="1"/>
  <c r="AL39"/>
  <c r="AN39" s="1"/>
  <c r="G26" i="233" s="1"/>
  <c r="AS39" i="34"/>
  <c r="AU39" s="1"/>
  <c r="H26" i="233" s="1"/>
  <c r="AZ39" i="34"/>
  <c r="BB39" s="1"/>
  <c r="I26" i="233" s="1"/>
  <c r="BG39" i="34"/>
  <c r="BI39" s="1"/>
  <c r="BN39"/>
  <c r="BP39" s="1"/>
  <c r="K26" i="233" s="1"/>
  <c r="BU39" i="34"/>
  <c r="BW39" s="1"/>
  <c r="L26" i="233" s="1"/>
  <c r="C40" i="34"/>
  <c r="E40" s="1"/>
  <c r="B27" i="233" s="1"/>
  <c r="J40" i="34"/>
  <c r="L40" s="1"/>
  <c r="Q40"/>
  <c r="S40" s="1"/>
  <c r="D27" i="233" s="1"/>
  <c r="X40" i="34"/>
  <c r="Z40" s="1"/>
  <c r="E27" i="233" s="1"/>
  <c r="AE40" i="34"/>
  <c r="AG40" s="1"/>
  <c r="F27" i="233" s="1"/>
  <c r="AL40" i="34"/>
  <c r="AN40" s="1"/>
  <c r="AS40"/>
  <c r="AU40" s="1"/>
  <c r="H27" i="233" s="1"/>
  <c r="AZ40" i="34"/>
  <c r="BB40" s="1"/>
  <c r="I27" i="233" s="1"/>
  <c r="BG40" i="34"/>
  <c r="BI40" s="1"/>
  <c r="J27" i="233" s="1"/>
  <c r="BN40" i="34"/>
  <c r="BP40" s="1"/>
  <c r="BU40"/>
  <c r="BW40" s="1"/>
  <c r="L27" i="233" s="1"/>
  <c r="C41" i="34"/>
  <c r="E41" s="1"/>
  <c r="B28" i="233" s="1"/>
  <c r="J41" i="34"/>
  <c r="L41" s="1"/>
  <c r="C28" i="233" s="1"/>
  <c r="Q41" i="34"/>
  <c r="S41" s="1"/>
  <c r="X41"/>
  <c r="Z41" s="1"/>
  <c r="E28" i="233" s="1"/>
  <c r="AE41" i="34"/>
  <c r="AG41" s="1"/>
  <c r="F28" i="233" s="1"/>
  <c r="AL41" i="34"/>
  <c r="AN41" s="1"/>
  <c r="G28" i="233" s="1"/>
  <c r="AS41" i="34"/>
  <c r="AU41" s="1"/>
  <c r="AZ41"/>
  <c r="BB41" s="1"/>
  <c r="I28" i="233" s="1"/>
  <c r="BG41" i="34"/>
  <c r="BI41" s="1"/>
  <c r="J28" i="233" s="1"/>
  <c r="BN41" i="34"/>
  <c r="BP41" s="1"/>
  <c r="K28" i="233" s="1"/>
  <c r="BU41" i="34"/>
  <c r="BW41" s="1"/>
  <c r="C42"/>
  <c r="E42" s="1"/>
  <c r="B29" i="233" s="1"/>
  <c r="J42" i="34"/>
  <c r="L42"/>
  <c r="C29" i="233" s="1"/>
  <c r="Q42" i="34"/>
  <c r="S42" s="1"/>
  <c r="X42"/>
  <c r="Z42" s="1"/>
  <c r="AE42"/>
  <c r="AG42" s="1"/>
  <c r="F29" i="233" s="1"/>
  <c r="AL42" i="34"/>
  <c r="AN42" s="1"/>
  <c r="AS42"/>
  <c r="AU42" s="1"/>
  <c r="AZ42"/>
  <c r="BB42" s="1"/>
  <c r="I29" i="233" s="1"/>
  <c r="BG42" i="34"/>
  <c r="BI42" s="1"/>
  <c r="BN42"/>
  <c r="BP42" s="1"/>
  <c r="BU42"/>
  <c r="BW42"/>
  <c r="L29" i="233" s="1"/>
  <c r="C43" i="34"/>
  <c r="E43" s="1"/>
  <c r="H43"/>
  <c r="J43"/>
  <c r="L43" s="1"/>
  <c r="C30" i="233" s="1"/>
  <c r="Q43" i="34"/>
  <c r="S43" s="1"/>
  <c r="X43"/>
  <c r="Z43" s="1"/>
  <c r="E30" i="233" s="1"/>
  <c r="AE43" i="34"/>
  <c r="AG43" s="1"/>
  <c r="F30" i="233" s="1"/>
  <c r="AL43" i="34"/>
  <c r="AN43" s="1"/>
  <c r="G30" i="233" s="1"/>
  <c r="AS43" i="34"/>
  <c r="AU43" s="1"/>
  <c r="AZ43"/>
  <c r="BB43" s="1"/>
  <c r="I30" i="233" s="1"/>
  <c r="BG43" i="34"/>
  <c r="BI43" s="1"/>
  <c r="BN43"/>
  <c r="BP43" s="1"/>
  <c r="K30" i="233" s="1"/>
  <c r="BU43" i="34"/>
  <c r="BW43" s="1"/>
  <c r="C44"/>
  <c r="J44"/>
  <c r="L44" s="1"/>
  <c r="C31" i="233" s="1"/>
  <c r="Q44" i="34"/>
  <c r="X44"/>
  <c r="Z44" s="1"/>
  <c r="E31" i="233" s="1"/>
  <c r="AE44" i="34"/>
  <c r="AL44"/>
  <c r="AN44" s="1"/>
  <c r="G31" i="233" s="1"/>
  <c r="AS44" i="34"/>
  <c r="AZ44"/>
  <c r="BB44" s="1"/>
  <c r="I31" i="233" s="1"/>
  <c r="BG44" i="34"/>
  <c r="BN44"/>
  <c r="BP44" s="1"/>
  <c r="K31" i="233" s="1"/>
  <c r="BU44" i="34"/>
  <c r="B8" i="32"/>
  <c r="B10" i="33" s="1"/>
  <c r="C8" i="32"/>
  <c r="D8"/>
  <c r="E8"/>
  <c r="F8"/>
  <c r="J10" i="33" s="1"/>
  <c r="G8" i="32"/>
  <c r="H8"/>
  <c r="I8"/>
  <c r="P10" i="33" s="1"/>
  <c r="J8" i="32"/>
  <c r="R10" i="33" s="1"/>
  <c r="K8" i="32"/>
  <c r="L8"/>
  <c r="B9"/>
  <c r="C9"/>
  <c r="D11" i="33" s="1"/>
  <c r="D9" i="32"/>
  <c r="E9"/>
  <c r="F9"/>
  <c r="G9"/>
  <c r="L11" i="33" s="1"/>
  <c r="H9" i="32"/>
  <c r="I9"/>
  <c r="J9"/>
  <c r="K9"/>
  <c r="T11" i="33" s="1"/>
  <c r="L9" i="32"/>
  <c r="B10"/>
  <c r="C10"/>
  <c r="D12" i="33" s="1"/>
  <c r="D10" i="32"/>
  <c r="F12" i="33" s="1"/>
  <c r="E10" i="32"/>
  <c r="F10"/>
  <c r="G10"/>
  <c r="H10"/>
  <c r="N12" i="33" s="1"/>
  <c r="I10" i="32"/>
  <c r="J10"/>
  <c r="K10"/>
  <c r="L10"/>
  <c r="V12" i="33" s="1"/>
  <c r="B11" i="32"/>
  <c r="C11"/>
  <c r="D11"/>
  <c r="E11"/>
  <c r="H13" i="33" s="1"/>
  <c r="F11" i="32"/>
  <c r="G11"/>
  <c r="H11"/>
  <c r="N13" i="33" s="1"/>
  <c r="I11" i="32"/>
  <c r="P13" i="33" s="1"/>
  <c r="J11" i="32"/>
  <c r="K11"/>
  <c r="L11"/>
  <c r="B12"/>
  <c r="B14" i="33" s="1"/>
  <c r="C12" i="32"/>
  <c r="D12"/>
  <c r="E12"/>
  <c r="F12"/>
  <c r="J14" i="33" s="1"/>
  <c r="G12" i="32"/>
  <c r="H12"/>
  <c r="I12"/>
  <c r="J12"/>
  <c r="R14" i="33" s="1"/>
  <c r="K12" i="32"/>
  <c r="L12"/>
  <c r="B13"/>
  <c r="B15" i="33" s="1"/>
  <c r="C13" i="32"/>
  <c r="D15" i="33" s="1"/>
  <c r="D13" i="32"/>
  <c r="E13"/>
  <c r="F13"/>
  <c r="G13"/>
  <c r="L15" i="33" s="1"/>
  <c r="H13" i="32"/>
  <c r="I13"/>
  <c r="J13"/>
  <c r="K13"/>
  <c r="T15" i="33" s="1"/>
  <c r="L13" i="32"/>
  <c r="B15"/>
  <c r="C15"/>
  <c r="D15"/>
  <c r="E15"/>
  <c r="F15"/>
  <c r="G15"/>
  <c r="H15"/>
  <c r="N17" i="33" s="1"/>
  <c r="I15" i="32"/>
  <c r="J15"/>
  <c r="K15"/>
  <c r="L15"/>
  <c r="B16"/>
  <c r="B6" i="226" s="1"/>
  <c r="C16" i="32"/>
  <c r="C6" i="226" s="1"/>
  <c r="D16" i="32"/>
  <c r="D6" i="226" s="1"/>
  <c r="E16" i="32"/>
  <c r="E6" i="226" s="1"/>
  <c r="F16" i="32"/>
  <c r="F6" i="226" s="1"/>
  <c r="G16" i="32"/>
  <c r="G6" i="226" s="1"/>
  <c r="H16" i="32"/>
  <c r="H6" i="226" s="1"/>
  <c r="I16" i="32"/>
  <c r="I6" i="226" s="1"/>
  <c r="J16" i="32"/>
  <c r="J6" i="226" s="1"/>
  <c r="K16" i="32"/>
  <c r="K6" i="226" s="1"/>
  <c r="L16" i="32"/>
  <c r="L6" i="226" s="1"/>
  <c r="B17" i="32"/>
  <c r="B7" i="226" s="1"/>
  <c r="C17" i="32"/>
  <c r="C7" i="226" s="1"/>
  <c r="D17" i="32"/>
  <c r="D7" i="226" s="1"/>
  <c r="E17" i="32"/>
  <c r="E7" i="226" s="1"/>
  <c r="F17" i="32"/>
  <c r="F7" i="226" s="1"/>
  <c r="G17" i="32"/>
  <c r="G7" i="226" s="1"/>
  <c r="H17" i="32"/>
  <c r="H7" i="226" s="1"/>
  <c r="I17" i="32"/>
  <c r="I7" i="226" s="1"/>
  <c r="J17" i="32"/>
  <c r="J7" i="226" s="1"/>
  <c r="K17" i="32"/>
  <c r="K7" i="226" s="1"/>
  <c r="L17" i="32"/>
  <c r="L7" i="226" s="1"/>
  <c r="B18" i="32"/>
  <c r="B8" i="226" s="1"/>
  <c r="C18" i="32"/>
  <c r="C8" i="226" s="1"/>
  <c r="D18" i="32"/>
  <c r="D8" i="226" s="1"/>
  <c r="E18" i="32"/>
  <c r="E8" i="226" s="1"/>
  <c r="F18" i="32"/>
  <c r="F8" i="226" s="1"/>
  <c r="G18" i="32"/>
  <c r="G8" i="226" s="1"/>
  <c r="H18" i="32"/>
  <c r="H8" i="226" s="1"/>
  <c r="I18" i="32"/>
  <c r="I8" i="226" s="1"/>
  <c r="J18" i="32"/>
  <c r="J8" i="226" s="1"/>
  <c r="K18" i="32"/>
  <c r="K8" i="226" s="1"/>
  <c r="L18" i="32"/>
  <c r="L8" i="226" s="1"/>
  <c r="B19" i="32"/>
  <c r="B9" i="226" s="1"/>
  <c r="C19" i="32"/>
  <c r="C9" i="226" s="1"/>
  <c r="D19" i="32"/>
  <c r="D9" i="226" s="1"/>
  <c r="E19" i="32"/>
  <c r="E9" i="226" s="1"/>
  <c r="F19" i="32"/>
  <c r="F9" i="226" s="1"/>
  <c r="G19" i="32"/>
  <c r="G9" i="226" s="1"/>
  <c r="H19" i="32"/>
  <c r="H9" i="226" s="1"/>
  <c r="I19" i="32"/>
  <c r="I9" i="226" s="1"/>
  <c r="J19" i="32"/>
  <c r="J9" i="226" s="1"/>
  <c r="K19" i="32"/>
  <c r="K9" i="226" s="1"/>
  <c r="L19" i="32"/>
  <c r="L9" i="226" s="1"/>
  <c r="B20" i="32"/>
  <c r="B10" i="226" s="1"/>
  <c r="C20" i="32"/>
  <c r="C10" i="226" s="1"/>
  <c r="D20" i="32"/>
  <c r="D10" i="226" s="1"/>
  <c r="E20" i="32"/>
  <c r="E10" i="226" s="1"/>
  <c r="F20" i="32"/>
  <c r="F10" i="226" s="1"/>
  <c r="G20" i="32"/>
  <c r="G10" i="226" s="1"/>
  <c r="H20" i="32"/>
  <c r="H10" i="226" s="1"/>
  <c r="I20" i="32"/>
  <c r="I10" i="226" s="1"/>
  <c r="J20" i="32"/>
  <c r="J10" i="226" s="1"/>
  <c r="K20" i="32"/>
  <c r="K10" i="226" s="1"/>
  <c r="L20" i="32"/>
  <c r="L10" i="226" s="1"/>
  <c r="B21" i="32"/>
  <c r="B11" i="226" s="1"/>
  <c r="C21" i="32"/>
  <c r="C11" i="226" s="1"/>
  <c r="D21" i="32"/>
  <c r="D11" i="226" s="1"/>
  <c r="E21" i="32"/>
  <c r="E11" i="226" s="1"/>
  <c r="F21" i="32"/>
  <c r="F11" i="226" s="1"/>
  <c r="G21" i="32"/>
  <c r="G11" i="226" s="1"/>
  <c r="H21" i="32"/>
  <c r="H11" i="226" s="1"/>
  <c r="I21" i="32"/>
  <c r="I11" i="226" s="1"/>
  <c r="J21" i="32"/>
  <c r="J11" i="226" s="1"/>
  <c r="K21" i="32"/>
  <c r="K11" i="226" s="1"/>
  <c r="L21" i="32"/>
  <c r="L11" i="226" s="1"/>
  <c r="B22" i="32"/>
  <c r="B12" i="226" s="1"/>
  <c r="C22" i="32"/>
  <c r="C12" i="226" s="1"/>
  <c r="D22" i="32"/>
  <c r="D12" i="226" s="1"/>
  <c r="E22" i="32"/>
  <c r="E12" i="226" s="1"/>
  <c r="F22" i="32"/>
  <c r="F12" i="226" s="1"/>
  <c r="G22" i="32"/>
  <c r="G12" i="226" s="1"/>
  <c r="H22" i="32"/>
  <c r="H12" i="226" s="1"/>
  <c r="I22" i="32"/>
  <c r="I12" i="226" s="1"/>
  <c r="J22" i="32"/>
  <c r="J12" i="226" s="1"/>
  <c r="K22" i="32"/>
  <c r="K12" i="226" s="1"/>
  <c r="L22" i="32"/>
  <c r="L12" i="226" s="1"/>
  <c r="B23" i="32"/>
  <c r="C23"/>
  <c r="C13" i="226" s="1"/>
  <c r="D23" i="32"/>
  <c r="D13" i="226" s="1"/>
  <c r="E23" i="32"/>
  <c r="E13" i="226" s="1"/>
  <c r="F23" i="32"/>
  <c r="F13" i="226" s="1"/>
  <c r="G23" i="32"/>
  <c r="G13" i="226" s="1"/>
  <c r="H23" i="32"/>
  <c r="H13" i="226" s="1"/>
  <c r="I23" i="32"/>
  <c r="I13" i="226" s="1"/>
  <c r="J23" i="32"/>
  <c r="J13" i="226" s="1"/>
  <c r="K23" i="32"/>
  <c r="K13" i="226" s="1"/>
  <c r="L23" i="32"/>
  <c r="L13" i="226" s="1"/>
  <c r="B24" i="32"/>
  <c r="B14" i="226" s="1"/>
  <c r="C24" i="32"/>
  <c r="C14" i="226" s="1"/>
  <c r="D24" i="32"/>
  <c r="D14" i="226" s="1"/>
  <c r="E24" i="32"/>
  <c r="E14" i="226" s="1"/>
  <c r="F24" i="32"/>
  <c r="F14" i="226" s="1"/>
  <c r="G24" i="32"/>
  <c r="G14" i="226" s="1"/>
  <c r="H24" i="32"/>
  <c r="H14" i="226" s="1"/>
  <c r="I24" i="32"/>
  <c r="I14" i="226" s="1"/>
  <c r="J24" i="32"/>
  <c r="J14" i="226" s="1"/>
  <c r="K24" i="32"/>
  <c r="K14" i="226" s="1"/>
  <c r="L24" i="32"/>
  <c r="L14" i="226" s="1"/>
  <c r="B25" i="32"/>
  <c r="B15" i="226" s="1"/>
  <c r="C25" i="32"/>
  <c r="C15" i="226" s="1"/>
  <c r="D25" i="32"/>
  <c r="D15" i="226" s="1"/>
  <c r="E25" i="32"/>
  <c r="E15" i="226" s="1"/>
  <c r="F25" i="32"/>
  <c r="F15" i="226" s="1"/>
  <c r="G25" i="32"/>
  <c r="G15" i="226" s="1"/>
  <c r="H25" i="32"/>
  <c r="H15" i="226" s="1"/>
  <c r="I25" i="32"/>
  <c r="I15" i="226" s="1"/>
  <c r="J25" i="32"/>
  <c r="J15" i="226" s="1"/>
  <c r="K25" i="32"/>
  <c r="K15" i="226" s="1"/>
  <c r="L25" i="32"/>
  <c r="L15" i="226" s="1"/>
  <c r="B26" i="32"/>
  <c r="B16" i="226" s="1"/>
  <c r="C26" i="32"/>
  <c r="C16" i="226" s="1"/>
  <c r="D26" i="32"/>
  <c r="D16" i="226" s="1"/>
  <c r="E26" i="32"/>
  <c r="E16" i="226" s="1"/>
  <c r="F26" i="32"/>
  <c r="F16" i="226" s="1"/>
  <c r="G26" i="32"/>
  <c r="G16" i="226" s="1"/>
  <c r="H26" i="32"/>
  <c r="H16" i="226" s="1"/>
  <c r="I26" i="32"/>
  <c r="I16" i="226" s="1"/>
  <c r="J26" i="32"/>
  <c r="J16" i="226" s="1"/>
  <c r="K26" i="32"/>
  <c r="K16" i="226" s="1"/>
  <c r="L26" i="32"/>
  <c r="B27"/>
  <c r="B17" i="226" s="1"/>
  <c r="C27" i="32"/>
  <c r="C17" i="226" s="1"/>
  <c r="D27" i="32"/>
  <c r="D17" i="226" s="1"/>
  <c r="E27" i="32"/>
  <c r="E17" i="226" s="1"/>
  <c r="F27" i="32"/>
  <c r="F17" i="226" s="1"/>
  <c r="G27" i="32"/>
  <c r="G17" i="226" s="1"/>
  <c r="H27" i="32"/>
  <c r="H17" i="226" s="1"/>
  <c r="I27" i="32"/>
  <c r="J27"/>
  <c r="J17" i="226" s="1"/>
  <c r="K27" i="32"/>
  <c r="L27"/>
  <c r="L17" i="226" s="1"/>
  <c r="B28" i="32"/>
  <c r="C28"/>
  <c r="C18" i="226" s="1"/>
  <c r="D28" i="32"/>
  <c r="E28"/>
  <c r="E18" i="226" s="1"/>
  <c r="F28" i="32"/>
  <c r="G28"/>
  <c r="G18" i="226" s="1"/>
  <c r="H28" i="32"/>
  <c r="I28"/>
  <c r="I18" i="226" s="1"/>
  <c r="J28" i="32"/>
  <c r="K28"/>
  <c r="K18" i="226" s="1"/>
  <c r="L28" i="32"/>
  <c r="B29"/>
  <c r="B19" i="226" s="1"/>
  <c r="C29" i="32"/>
  <c r="D29"/>
  <c r="D19" i="226" s="1"/>
  <c r="E29" i="32"/>
  <c r="F29"/>
  <c r="F19" i="226" s="1"/>
  <c r="G29" i="32"/>
  <c r="H29"/>
  <c r="H19" i="226" s="1"/>
  <c r="I29" i="32"/>
  <c r="J29"/>
  <c r="J19" i="226" s="1"/>
  <c r="K29" i="32"/>
  <c r="L29"/>
  <c r="L19" i="226" s="1"/>
  <c r="B30" i="32"/>
  <c r="C30"/>
  <c r="C20" i="226" s="1"/>
  <c r="D30" i="32"/>
  <c r="E30"/>
  <c r="E20" i="226" s="1"/>
  <c r="F30" i="32"/>
  <c r="G30"/>
  <c r="G20" i="226" s="1"/>
  <c r="H30" i="32"/>
  <c r="I30"/>
  <c r="I20" i="226" s="1"/>
  <c r="J30" i="32"/>
  <c r="K30"/>
  <c r="K20" i="226" s="1"/>
  <c r="L30" i="32"/>
  <c r="B31"/>
  <c r="B21" i="226" s="1"/>
  <c r="C31" i="32"/>
  <c r="D31"/>
  <c r="D21" i="226" s="1"/>
  <c r="E31" i="32"/>
  <c r="F31"/>
  <c r="F21" i="226" s="1"/>
  <c r="G31" i="32"/>
  <c r="H31"/>
  <c r="H21" i="226" s="1"/>
  <c r="I31" i="32"/>
  <c r="J31"/>
  <c r="J21" i="226" s="1"/>
  <c r="K31" i="32"/>
  <c r="L31"/>
  <c r="L21" i="226" s="1"/>
  <c r="B32" i="32"/>
  <c r="C32"/>
  <c r="C22" i="226" s="1"/>
  <c r="D32" i="32"/>
  <c r="E32"/>
  <c r="E22" i="226" s="1"/>
  <c r="F32" i="32"/>
  <c r="G32"/>
  <c r="G22" i="226" s="1"/>
  <c r="H32" i="32"/>
  <c r="I32"/>
  <c r="I22" i="226" s="1"/>
  <c r="J32" i="32"/>
  <c r="K32"/>
  <c r="K22" i="226" s="1"/>
  <c r="L32" i="32"/>
  <c r="B33"/>
  <c r="B23" i="226" s="1"/>
  <c r="C33" i="32"/>
  <c r="D33"/>
  <c r="D23" i="226" s="1"/>
  <c r="E33" i="32"/>
  <c r="F33"/>
  <c r="F23" i="226" s="1"/>
  <c r="G33" i="32"/>
  <c r="H33"/>
  <c r="H23" i="226" s="1"/>
  <c r="I33" i="32"/>
  <c r="J33"/>
  <c r="J23" i="226" s="1"/>
  <c r="K33" i="32"/>
  <c r="L33"/>
  <c r="L23" i="226" s="1"/>
  <c r="B34" i="32"/>
  <c r="C34"/>
  <c r="C24" i="226" s="1"/>
  <c r="D34" i="32"/>
  <c r="E34"/>
  <c r="E24" i="226" s="1"/>
  <c r="F34" i="32"/>
  <c r="G34"/>
  <c r="G24" i="226" s="1"/>
  <c r="H34" i="32"/>
  <c r="I34"/>
  <c r="I24" i="226" s="1"/>
  <c r="J34" i="32"/>
  <c r="K34"/>
  <c r="K24" i="226" s="1"/>
  <c r="L34" i="32"/>
  <c r="B35"/>
  <c r="B25" i="226" s="1"/>
  <c r="C35" i="32"/>
  <c r="D35"/>
  <c r="D25" i="226" s="1"/>
  <c r="E35" i="32"/>
  <c r="F35"/>
  <c r="F25" i="226" s="1"/>
  <c r="G35" i="32"/>
  <c r="H35"/>
  <c r="H25" i="226" s="1"/>
  <c r="I35" i="32"/>
  <c r="J35"/>
  <c r="J25" i="226" s="1"/>
  <c r="K35" i="32"/>
  <c r="L35"/>
  <c r="L25" i="226" s="1"/>
  <c r="B36" i="32"/>
  <c r="B26" i="226" s="1"/>
  <c r="C36" i="32"/>
  <c r="C26" i="226" s="1"/>
  <c r="D36" i="32"/>
  <c r="E36"/>
  <c r="E26" i="226" s="1"/>
  <c r="F36" i="32"/>
  <c r="F26" i="226" s="1"/>
  <c r="G36" i="32"/>
  <c r="G26" i="226" s="1"/>
  <c r="H36" i="32"/>
  <c r="I36"/>
  <c r="I26" i="226" s="1"/>
  <c r="J36" i="32"/>
  <c r="J26" i="226" s="1"/>
  <c r="K36" i="32"/>
  <c r="K26" i="226" s="1"/>
  <c r="L36" i="32"/>
  <c r="B37"/>
  <c r="B27" i="226" s="1"/>
  <c r="C37" i="32"/>
  <c r="C27" i="226" s="1"/>
  <c r="D37" i="32"/>
  <c r="D27" i="226" s="1"/>
  <c r="E37" i="32"/>
  <c r="F37"/>
  <c r="F27" i="226" s="1"/>
  <c r="G37" i="32"/>
  <c r="G27" i="226" s="1"/>
  <c r="H37" i="32"/>
  <c r="H27" i="226" s="1"/>
  <c r="I37" i="32"/>
  <c r="J37"/>
  <c r="J27" i="226" s="1"/>
  <c r="K37" i="32"/>
  <c r="K27" i="226" s="1"/>
  <c r="L37" i="32"/>
  <c r="L27" i="226" s="1"/>
  <c r="B38" i="32"/>
  <c r="C38"/>
  <c r="C28" i="226" s="1"/>
  <c r="D38" i="32"/>
  <c r="D28" i="226" s="1"/>
  <c r="E38" i="32"/>
  <c r="E28" i="226" s="1"/>
  <c r="F38" i="32"/>
  <c r="G38"/>
  <c r="G28" i="226" s="1"/>
  <c r="H38" i="32"/>
  <c r="H28" i="226" s="1"/>
  <c r="I38" i="32"/>
  <c r="I28" i="226" s="1"/>
  <c r="J38" i="32"/>
  <c r="K38"/>
  <c r="K28" i="226" s="1"/>
  <c r="L38" i="32"/>
  <c r="L28" i="226" s="1"/>
  <c r="B39" i="32"/>
  <c r="B29" i="226" s="1"/>
  <c r="C39" i="32"/>
  <c r="D39"/>
  <c r="D29" i="226" s="1"/>
  <c r="E39" i="32"/>
  <c r="E29" i="226" s="1"/>
  <c r="F39" i="32"/>
  <c r="F29" i="226" s="1"/>
  <c r="G39" i="32"/>
  <c r="H39"/>
  <c r="H29" i="226" s="1"/>
  <c r="I39" i="32"/>
  <c r="I29" i="226" s="1"/>
  <c r="J39" i="32"/>
  <c r="J29" i="226" s="1"/>
  <c r="K39" i="32"/>
  <c r="L39"/>
  <c r="L29" i="226" s="1"/>
  <c r="B40" i="32"/>
  <c r="B30" i="226" s="1"/>
  <c r="C40" i="32"/>
  <c r="C30" i="226" s="1"/>
  <c r="D40" i="32"/>
  <c r="E40"/>
  <c r="E30" i="226" s="1"/>
  <c r="F40" i="32"/>
  <c r="F30" i="226" s="1"/>
  <c r="G40" i="32"/>
  <c r="G30" i="226" s="1"/>
  <c r="H40" i="32"/>
  <c r="I40"/>
  <c r="I30" i="226" s="1"/>
  <c r="J40" i="32"/>
  <c r="J30" i="226" s="1"/>
  <c r="K40" i="32"/>
  <c r="K30" i="226" s="1"/>
  <c r="L40" i="32"/>
  <c r="B7" i="31"/>
  <c r="B7" i="32" s="1"/>
  <c r="B9" i="33" s="1"/>
  <c r="C7" i="31"/>
  <c r="C7" i="32" s="1"/>
  <c r="D7" i="31"/>
  <c r="D7" i="32" s="1"/>
  <c r="E7" i="31"/>
  <c r="E7" i="32" s="1"/>
  <c r="H9" i="33" s="1"/>
  <c r="F7" i="31"/>
  <c r="F7" i="32" s="1"/>
  <c r="J9" i="33" s="1"/>
  <c r="G7" i="31"/>
  <c r="G7" i="32" s="1"/>
  <c r="H7" i="31"/>
  <c r="H7" i="32" s="1"/>
  <c r="I7" i="31"/>
  <c r="I7" i="32" s="1"/>
  <c r="P9" i="33" s="1"/>
  <c r="J7" i="31"/>
  <c r="J7" i="32" s="1"/>
  <c r="R9" i="33" s="1"/>
  <c r="K7" i="31"/>
  <c r="K7" i="32" s="1"/>
  <c r="L7" i="31"/>
  <c r="L7" i="32" s="1"/>
  <c r="B43" i="33"/>
  <c r="C41" i="32"/>
  <c r="D41"/>
  <c r="E41"/>
  <c r="E31" i="226" s="1"/>
  <c r="F41" i="32"/>
  <c r="G41"/>
  <c r="H41"/>
  <c r="I41"/>
  <c r="I31" i="226" s="1"/>
  <c r="J41" i="32"/>
  <c r="K41"/>
  <c r="L41"/>
  <c r="B25" i="28"/>
  <c r="B15" i="224" s="1"/>
  <c r="C25" i="28"/>
  <c r="D25"/>
  <c r="D15" i="224" s="1"/>
  <c r="E25" i="28"/>
  <c r="E15" i="224" s="1"/>
  <c r="F25" i="28"/>
  <c r="F15" i="224" s="1"/>
  <c r="G25" i="28"/>
  <c r="H25"/>
  <c r="H15" i="224" s="1"/>
  <c r="I25" i="28"/>
  <c r="I15" i="224" s="1"/>
  <c r="J25" i="28"/>
  <c r="J15" i="224" s="1"/>
  <c r="K25" i="28"/>
  <c r="L25"/>
  <c r="L15" i="224" s="1"/>
  <c r="B26" i="28"/>
  <c r="B16" i="224" s="1"/>
  <c r="C26" i="28"/>
  <c r="C16" i="224" s="1"/>
  <c r="D26" i="28"/>
  <c r="E26"/>
  <c r="E16" i="224" s="1"/>
  <c r="F26" i="28"/>
  <c r="F16" i="224" s="1"/>
  <c r="G26" i="28"/>
  <c r="G16" i="224" s="1"/>
  <c r="H26" i="28"/>
  <c r="I26"/>
  <c r="I16" i="224" s="1"/>
  <c r="J26" i="28"/>
  <c r="J16" i="224" s="1"/>
  <c r="K26" i="28"/>
  <c r="K16" i="224" s="1"/>
  <c r="L26" i="28"/>
  <c r="B27"/>
  <c r="B17" i="224" s="1"/>
  <c r="C27" i="28"/>
  <c r="C17" i="224" s="1"/>
  <c r="D27" i="28"/>
  <c r="D17" i="224" s="1"/>
  <c r="E27" i="28"/>
  <c r="F27"/>
  <c r="F17" i="224" s="1"/>
  <c r="G27" i="28"/>
  <c r="G17" i="224" s="1"/>
  <c r="H27" i="28"/>
  <c r="H17" i="224" s="1"/>
  <c r="I27" i="28"/>
  <c r="J27"/>
  <c r="J17" i="224" s="1"/>
  <c r="K27" i="28"/>
  <c r="K17" i="224" s="1"/>
  <c r="L27" i="28"/>
  <c r="L17" i="224" s="1"/>
  <c r="B28" i="28"/>
  <c r="C28"/>
  <c r="C18" i="224" s="1"/>
  <c r="D28" i="28"/>
  <c r="D18" i="224" s="1"/>
  <c r="E28" i="28"/>
  <c r="E18" i="224" s="1"/>
  <c r="F28" i="28"/>
  <c r="G28"/>
  <c r="G18" i="224" s="1"/>
  <c r="H28" i="28"/>
  <c r="H18" i="224" s="1"/>
  <c r="I28" i="28"/>
  <c r="I18" i="224" s="1"/>
  <c r="J28" i="28"/>
  <c r="K28"/>
  <c r="K18" i="224" s="1"/>
  <c r="L28" i="28"/>
  <c r="L18" i="224" s="1"/>
  <c r="B29" i="28"/>
  <c r="B19" i="224" s="1"/>
  <c r="C29" i="28"/>
  <c r="D29"/>
  <c r="D19" i="224" s="1"/>
  <c r="E29" i="28"/>
  <c r="E19" i="224" s="1"/>
  <c r="F29" i="28"/>
  <c r="F19" i="224" s="1"/>
  <c r="G29" i="28"/>
  <c r="H29"/>
  <c r="H19" i="224" s="1"/>
  <c r="I29" i="28"/>
  <c r="I19" i="224" s="1"/>
  <c r="J29" i="28"/>
  <c r="J19" i="224" s="1"/>
  <c r="K29" i="28"/>
  <c r="L29"/>
  <c r="L19" i="224" s="1"/>
  <c r="B30" i="28"/>
  <c r="B20" i="224" s="1"/>
  <c r="C30" i="28"/>
  <c r="C20" i="224" s="1"/>
  <c r="D30" i="28"/>
  <c r="E30"/>
  <c r="E20" i="224" s="1"/>
  <c r="F30" i="28"/>
  <c r="F20" i="224" s="1"/>
  <c r="G30" i="28"/>
  <c r="G20" i="224" s="1"/>
  <c r="H30" i="28"/>
  <c r="I30"/>
  <c r="I20" i="224" s="1"/>
  <c r="J30" i="28"/>
  <c r="J20" i="224" s="1"/>
  <c r="K30" i="28"/>
  <c r="K20" i="224" s="1"/>
  <c r="L30" i="28"/>
  <c r="B31"/>
  <c r="B21" i="224" s="1"/>
  <c r="C31" i="28"/>
  <c r="C21" i="224" s="1"/>
  <c r="D31" i="28"/>
  <c r="D21" i="224" s="1"/>
  <c r="E31" i="28"/>
  <c r="F31"/>
  <c r="F21" i="224" s="1"/>
  <c r="G31" i="28"/>
  <c r="G21" i="224" s="1"/>
  <c r="H31" i="28"/>
  <c r="H21" i="224" s="1"/>
  <c r="I31" i="28"/>
  <c r="J31"/>
  <c r="J21" i="224" s="1"/>
  <c r="K31" i="28"/>
  <c r="K21" i="224" s="1"/>
  <c r="L31" i="28"/>
  <c r="L21" i="224" s="1"/>
  <c r="B32" i="28"/>
  <c r="C32"/>
  <c r="C22" i="224" s="1"/>
  <c r="D32" i="28"/>
  <c r="D22" i="224" s="1"/>
  <c r="E32" i="28"/>
  <c r="E22" i="224" s="1"/>
  <c r="F32" i="28"/>
  <c r="G32"/>
  <c r="G22" i="224" s="1"/>
  <c r="H32" i="28"/>
  <c r="H22" i="224" s="1"/>
  <c r="I32" i="28"/>
  <c r="I22" i="224" s="1"/>
  <c r="J32" i="28"/>
  <c r="K32"/>
  <c r="K22" i="224" s="1"/>
  <c r="L32" i="28"/>
  <c r="L22" i="224" s="1"/>
  <c r="B33" i="28"/>
  <c r="B23" i="224" s="1"/>
  <c r="C33" i="28"/>
  <c r="D33"/>
  <c r="D23" i="224" s="1"/>
  <c r="E33" i="28"/>
  <c r="E23" i="224" s="1"/>
  <c r="F33" i="28"/>
  <c r="F23" i="224" s="1"/>
  <c r="G33" i="28"/>
  <c r="H33"/>
  <c r="H23" i="224" s="1"/>
  <c r="I33" i="28"/>
  <c r="I23" i="224" s="1"/>
  <c r="J33" i="28"/>
  <c r="J23" i="224" s="1"/>
  <c r="K33" i="28"/>
  <c r="L33"/>
  <c r="L23" i="224" s="1"/>
  <c r="B34" i="28"/>
  <c r="B24" i="224" s="1"/>
  <c r="C34" i="28"/>
  <c r="C24" i="224" s="1"/>
  <c r="D34" i="28"/>
  <c r="E34"/>
  <c r="E24" i="224" s="1"/>
  <c r="F34" i="28"/>
  <c r="F24" i="224" s="1"/>
  <c r="G34" i="28"/>
  <c r="G24" i="224" s="1"/>
  <c r="H34" i="28"/>
  <c r="I34"/>
  <c r="I24" i="224" s="1"/>
  <c r="J34" i="28"/>
  <c r="J24" i="224" s="1"/>
  <c r="K34" i="28"/>
  <c r="K24" i="224" s="1"/>
  <c r="L34" i="28"/>
  <c r="B35"/>
  <c r="B25" i="224" s="1"/>
  <c r="C35" i="28"/>
  <c r="C25" i="224" s="1"/>
  <c r="D35" i="28"/>
  <c r="D25" i="224" s="1"/>
  <c r="E35" i="28"/>
  <c r="F35"/>
  <c r="F25" i="224" s="1"/>
  <c r="G35" i="28"/>
  <c r="G25" i="224" s="1"/>
  <c r="H35" i="28"/>
  <c r="H25" i="224" s="1"/>
  <c r="I35" i="28"/>
  <c r="J35"/>
  <c r="J25" i="224" s="1"/>
  <c r="K35" i="28"/>
  <c r="K25" i="224" s="1"/>
  <c r="L35" i="28"/>
  <c r="L25" i="224" s="1"/>
  <c r="B36" i="28"/>
  <c r="C36"/>
  <c r="C26" i="224" s="1"/>
  <c r="D36" i="28"/>
  <c r="D26" i="224" s="1"/>
  <c r="E36" i="28"/>
  <c r="E26" i="224" s="1"/>
  <c r="F36" i="28"/>
  <c r="G36"/>
  <c r="G26" i="224" s="1"/>
  <c r="H36" i="28"/>
  <c r="H26" i="224" s="1"/>
  <c r="I36" i="28"/>
  <c r="I26" i="224" s="1"/>
  <c r="J36" i="28"/>
  <c r="K36"/>
  <c r="K26" i="224" s="1"/>
  <c r="L36" i="28"/>
  <c r="L26" i="224" s="1"/>
  <c r="B37" i="28"/>
  <c r="B27" i="224" s="1"/>
  <c r="C37" i="28"/>
  <c r="D37"/>
  <c r="D27" i="224" s="1"/>
  <c r="E37" i="28"/>
  <c r="E27" i="224" s="1"/>
  <c r="F37" i="28"/>
  <c r="F27" i="224" s="1"/>
  <c r="G37" i="28"/>
  <c r="H37"/>
  <c r="H27" i="224" s="1"/>
  <c r="I37" i="28"/>
  <c r="I27" i="224" s="1"/>
  <c r="J37" i="28"/>
  <c r="J27" i="224" s="1"/>
  <c r="K37" i="28"/>
  <c r="L37"/>
  <c r="L27" i="224" s="1"/>
  <c r="B38" i="28"/>
  <c r="B28" i="224" s="1"/>
  <c r="C38" i="28"/>
  <c r="C28" i="224" s="1"/>
  <c r="D38" i="28"/>
  <c r="E38"/>
  <c r="E28" i="224" s="1"/>
  <c r="F38" i="28"/>
  <c r="F28" i="224" s="1"/>
  <c r="G38" i="28"/>
  <c r="G28" i="224" s="1"/>
  <c r="H38" i="28"/>
  <c r="I38"/>
  <c r="I28" i="224" s="1"/>
  <c r="J38" i="28"/>
  <c r="J28" i="224" s="1"/>
  <c r="K38" i="28"/>
  <c r="K28" i="224" s="1"/>
  <c r="L38" i="28"/>
  <c r="B39"/>
  <c r="B29" i="224" s="1"/>
  <c r="C39" i="28"/>
  <c r="C29" i="224" s="1"/>
  <c r="D39" i="28"/>
  <c r="D29" i="224" s="1"/>
  <c r="E39" i="28"/>
  <c r="F39"/>
  <c r="F29" i="224" s="1"/>
  <c r="G39" i="28"/>
  <c r="G29" i="224" s="1"/>
  <c r="H39" i="28"/>
  <c r="H29" i="224" s="1"/>
  <c r="I39" i="28"/>
  <c r="J39"/>
  <c r="J29" i="224" s="1"/>
  <c r="K39" i="28"/>
  <c r="K29" i="224" s="1"/>
  <c r="L39" i="28"/>
  <c r="L29" i="224" s="1"/>
  <c r="B40" i="28"/>
  <c r="C40"/>
  <c r="C30" i="224" s="1"/>
  <c r="D40" i="28"/>
  <c r="D30" i="224" s="1"/>
  <c r="E40" i="28"/>
  <c r="E30" i="224" s="1"/>
  <c r="F40" i="28"/>
  <c r="G40"/>
  <c r="G30" i="224" s="1"/>
  <c r="H40" i="28"/>
  <c r="H30" i="224" s="1"/>
  <c r="I40" i="28"/>
  <c r="I30" i="224" s="1"/>
  <c r="J40" i="28"/>
  <c r="K40"/>
  <c r="K30" i="224" s="1"/>
  <c r="L40" i="28"/>
  <c r="L30" i="224" s="1"/>
  <c r="C6" i="27"/>
  <c r="D6"/>
  <c r="D5" s="1"/>
  <c r="D4" s="1"/>
  <c r="E6"/>
  <c r="E5" s="1"/>
  <c r="E4" s="1"/>
  <c r="F6"/>
  <c r="G6"/>
  <c r="H6"/>
  <c r="H5" s="1"/>
  <c r="H4" s="1"/>
  <c r="I6"/>
  <c r="I5" s="1"/>
  <c r="I4" s="1"/>
  <c r="J6"/>
  <c r="K6"/>
  <c r="L6"/>
  <c r="L5" s="1"/>
  <c r="B24" i="26"/>
  <c r="B24" i="28" s="1"/>
  <c r="B14" i="224" s="1"/>
  <c r="C24" i="26"/>
  <c r="C24" i="28" s="1"/>
  <c r="C14" i="224" s="1"/>
  <c r="D24" i="26"/>
  <c r="D24" i="28" s="1"/>
  <c r="D14" i="224" s="1"/>
  <c r="E24" i="26"/>
  <c r="F24"/>
  <c r="F24" i="28" s="1"/>
  <c r="F14" i="224" s="1"/>
  <c r="G24" i="26"/>
  <c r="G24" i="28" s="1"/>
  <c r="G14" i="224" s="1"/>
  <c r="H24" i="26"/>
  <c r="H24" i="28" s="1"/>
  <c r="H14" i="224" s="1"/>
  <c r="I24" i="26"/>
  <c r="J24"/>
  <c r="J24" i="28" s="1"/>
  <c r="J14" i="224" s="1"/>
  <c r="K24" i="26"/>
  <c r="K24" i="28" s="1"/>
  <c r="K14" i="224" s="1"/>
  <c r="L24" i="26"/>
  <c r="L24" i="28" s="1"/>
  <c r="L14" i="224" s="1"/>
  <c r="C8" i="24"/>
  <c r="C7" s="1"/>
  <c r="C6" s="1"/>
  <c r="C5" s="1"/>
  <c r="C4" s="1"/>
  <c r="D8"/>
  <c r="D7" s="1"/>
  <c r="D6" s="1"/>
  <c r="D5" s="1"/>
  <c r="D4" s="1"/>
  <c r="E8"/>
  <c r="E7" s="1"/>
  <c r="E6" s="1"/>
  <c r="E5" s="1"/>
  <c r="E4" s="1"/>
  <c r="F8"/>
  <c r="F7" s="1"/>
  <c r="F6" s="1"/>
  <c r="F5" s="1"/>
  <c r="F4" s="1"/>
  <c r="G8"/>
  <c r="G7" s="1"/>
  <c r="G6" s="1"/>
  <c r="G5" s="1"/>
  <c r="G4" s="1"/>
  <c r="H8"/>
  <c r="H7" s="1"/>
  <c r="H6" s="1"/>
  <c r="H5" s="1"/>
  <c r="H4" s="1"/>
  <c r="I8"/>
  <c r="I7" s="1"/>
  <c r="I6" s="1"/>
  <c r="I5" s="1"/>
  <c r="I4" s="1"/>
  <c r="J8"/>
  <c r="J7" s="1"/>
  <c r="J6" s="1"/>
  <c r="J5" s="1"/>
  <c r="J4" s="1"/>
  <c r="K8"/>
  <c r="K7" s="1"/>
  <c r="K6" s="1"/>
  <c r="K5" s="1"/>
  <c r="K4" s="1"/>
  <c r="L8"/>
  <c r="L7" s="1"/>
  <c r="L6" s="1"/>
  <c r="L5" s="1"/>
  <c r="L4" s="1"/>
  <c r="D8" i="23"/>
  <c r="G8"/>
  <c r="K8" i="29" s="1"/>
  <c r="J8" i="23"/>
  <c r="M8"/>
  <c r="P8"/>
  <c r="S8"/>
  <c r="AM8" i="29" s="1"/>
  <c r="V8" i="23"/>
  <c r="Y8"/>
  <c r="AB8"/>
  <c r="AE8"/>
  <c r="BO8" i="29" s="1"/>
  <c r="AH8" i="23"/>
  <c r="D9"/>
  <c r="G9"/>
  <c r="J9"/>
  <c r="R9" i="29" s="1"/>
  <c r="M9" i="23"/>
  <c r="P9"/>
  <c r="S9"/>
  <c r="V9"/>
  <c r="AT9" i="29" s="1"/>
  <c r="Y9" i="23"/>
  <c r="AB9"/>
  <c r="AE9"/>
  <c r="AH9"/>
  <c r="BV9" i="29" s="1"/>
  <c r="D10" i="23"/>
  <c r="G10"/>
  <c r="J10"/>
  <c r="M10"/>
  <c r="Y10" i="29" s="1"/>
  <c r="P10" i="23"/>
  <c r="S10"/>
  <c r="V10"/>
  <c r="Y10"/>
  <c r="BA10" i="29" s="1"/>
  <c r="AB10" i="23"/>
  <c r="AE10"/>
  <c r="AH10"/>
  <c r="D11"/>
  <c r="D11" i="29" s="1"/>
  <c r="G11" i="23"/>
  <c r="J11"/>
  <c r="M11"/>
  <c r="P11"/>
  <c r="AF11" i="29" s="1"/>
  <c r="S11" i="23"/>
  <c r="V11"/>
  <c r="Y11"/>
  <c r="AB11"/>
  <c r="BH11" i="29" s="1"/>
  <c r="AE11" i="23"/>
  <c r="AH11"/>
  <c r="D12"/>
  <c r="G12"/>
  <c r="K12" i="29" s="1"/>
  <c r="J12" i="23"/>
  <c r="M12"/>
  <c r="P12"/>
  <c r="S12"/>
  <c r="AM12" i="29" s="1"/>
  <c r="V12" i="23"/>
  <c r="Y12"/>
  <c r="AB12"/>
  <c r="AE12"/>
  <c r="BO12" i="29" s="1"/>
  <c r="AH12" i="23"/>
  <c r="D13"/>
  <c r="G13"/>
  <c r="J13"/>
  <c r="R13" i="29" s="1"/>
  <c r="M13" i="23"/>
  <c r="P13"/>
  <c r="S13"/>
  <c r="V13"/>
  <c r="AT13" i="29" s="1"/>
  <c r="Y13" i="23"/>
  <c r="AB13"/>
  <c r="AE13"/>
  <c r="AH13"/>
  <c r="BV13" i="29" s="1"/>
  <c r="D14" i="23"/>
  <c r="G14"/>
  <c r="J14"/>
  <c r="M14"/>
  <c r="Y14" i="29" s="1"/>
  <c r="P14" i="23"/>
  <c r="S14"/>
  <c r="V14"/>
  <c r="Y14"/>
  <c r="BA14" i="29" s="1"/>
  <c r="AB14" i="23"/>
  <c r="AE14"/>
  <c r="AH14"/>
  <c r="D15"/>
  <c r="D15" i="29" s="1"/>
  <c r="G15" i="23"/>
  <c r="J15"/>
  <c r="M15"/>
  <c r="P15"/>
  <c r="AF15" i="29" s="1"/>
  <c r="S15" i="23"/>
  <c r="V15"/>
  <c r="Y15"/>
  <c r="AB15"/>
  <c r="BH15" i="29" s="1"/>
  <c r="AE15" i="23"/>
  <c r="AH15"/>
  <c r="D16"/>
  <c r="G16"/>
  <c r="K16" i="29" s="1"/>
  <c r="J16" i="23"/>
  <c r="M16"/>
  <c r="P16"/>
  <c r="S16"/>
  <c r="AM16" i="29" s="1"/>
  <c r="V16" i="23"/>
  <c r="Y16"/>
  <c r="AB16"/>
  <c r="AE16"/>
  <c r="BO16" i="29" s="1"/>
  <c r="AH16" i="23"/>
  <c r="D17"/>
  <c r="G17"/>
  <c r="J17"/>
  <c r="R17" i="29" s="1"/>
  <c r="M17" i="23"/>
  <c r="P17"/>
  <c r="S17"/>
  <c r="V17"/>
  <c r="AT17" i="29" s="1"/>
  <c r="Y17" i="23"/>
  <c r="AB17"/>
  <c r="AE17"/>
  <c r="AH17"/>
  <c r="BV17" i="29" s="1"/>
  <c r="D19" i="23"/>
  <c r="G19"/>
  <c r="J19"/>
  <c r="M19"/>
  <c r="P19"/>
  <c r="S19"/>
  <c r="V19"/>
  <c r="Y19"/>
  <c r="AB19"/>
  <c r="AE19"/>
  <c r="AH19"/>
  <c r="D20"/>
  <c r="G20"/>
  <c r="C6" i="223" s="1"/>
  <c r="J20" i="23"/>
  <c r="D6" i="223" s="1"/>
  <c r="M20" i="23"/>
  <c r="E6" i="223" s="1"/>
  <c r="P20" i="23"/>
  <c r="S20"/>
  <c r="G6" i="223" s="1"/>
  <c r="V20" i="23"/>
  <c r="H6" i="223" s="1"/>
  <c r="Y20" i="23"/>
  <c r="I6" i="223" s="1"/>
  <c r="AB20" i="23"/>
  <c r="AE20"/>
  <c r="K6" i="223" s="1"/>
  <c r="AH20" i="23"/>
  <c r="L6" i="223" s="1"/>
  <c r="D21" i="23"/>
  <c r="B7" i="223" s="1"/>
  <c r="G21" i="23"/>
  <c r="J21"/>
  <c r="D7" i="223" s="1"/>
  <c r="M21" i="23"/>
  <c r="E7" i="223" s="1"/>
  <c r="P21" i="23"/>
  <c r="F7" i="223" s="1"/>
  <c r="S21" i="23"/>
  <c r="V21"/>
  <c r="H7" i="223" s="1"/>
  <c r="Y21" i="23"/>
  <c r="I7" i="223" s="1"/>
  <c r="AB21" i="23"/>
  <c r="J7" i="223" s="1"/>
  <c r="AE21" i="23"/>
  <c r="AH21"/>
  <c r="L7" i="223" s="1"/>
  <c r="D22" i="23"/>
  <c r="B8" i="223" s="1"/>
  <c r="G22" i="23"/>
  <c r="C8" i="223" s="1"/>
  <c r="J22" i="23"/>
  <c r="M22"/>
  <c r="E8" i="223" s="1"/>
  <c r="P22" i="23"/>
  <c r="F8" i="223" s="1"/>
  <c r="S22" i="23"/>
  <c r="G8" i="223" s="1"/>
  <c r="V22" i="23"/>
  <c r="Y22"/>
  <c r="I8" i="223" s="1"/>
  <c r="AB22" i="23"/>
  <c r="J8" i="223" s="1"/>
  <c r="AE22" i="23"/>
  <c r="K8" i="223" s="1"/>
  <c r="AH22" i="23"/>
  <c r="D23"/>
  <c r="B9" i="223" s="1"/>
  <c r="G23" i="23"/>
  <c r="C9" i="223" s="1"/>
  <c r="J23" i="23"/>
  <c r="D9" i="223" s="1"/>
  <c r="M23" i="23"/>
  <c r="P23"/>
  <c r="F9" i="223" s="1"/>
  <c r="S23" i="23"/>
  <c r="G9" i="223" s="1"/>
  <c r="V23" i="23"/>
  <c r="H9" i="223" s="1"/>
  <c r="Y23" i="23"/>
  <c r="AB23"/>
  <c r="J9" i="223" s="1"/>
  <c r="AE23" i="23"/>
  <c r="K9" i="223" s="1"/>
  <c r="AH23" i="23"/>
  <c r="L9" i="223" s="1"/>
  <c r="D24" i="23"/>
  <c r="G24"/>
  <c r="C10" i="223" s="1"/>
  <c r="J24" i="23"/>
  <c r="D10" i="223" s="1"/>
  <c r="M24" i="23"/>
  <c r="E10" i="223" s="1"/>
  <c r="P24" i="23"/>
  <c r="S24"/>
  <c r="G10" i="223" s="1"/>
  <c r="V24" i="23"/>
  <c r="H10" i="223" s="1"/>
  <c r="Y24" i="23"/>
  <c r="I10" i="223" s="1"/>
  <c r="AB24" i="23"/>
  <c r="AE24"/>
  <c r="K10" i="223" s="1"/>
  <c r="AH24" i="23"/>
  <c r="L10" i="223" s="1"/>
  <c r="D25" i="23"/>
  <c r="B11" i="223" s="1"/>
  <c r="G25" i="23"/>
  <c r="J25"/>
  <c r="D11" i="223" s="1"/>
  <c r="M25" i="23"/>
  <c r="E11" i="223" s="1"/>
  <c r="P25" i="23"/>
  <c r="F11" i="223" s="1"/>
  <c r="S25" i="23"/>
  <c r="V25"/>
  <c r="H11" i="223" s="1"/>
  <c r="Y25" i="23"/>
  <c r="I11" i="223" s="1"/>
  <c r="AB25" i="23"/>
  <c r="J11" i="223" s="1"/>
  <c r="AE25" i="23"/>
  <c r="AH25"/>
  <c r="L11" i="223" s="1"/>
  <c r="D26" i="23"/>
  <c r="B12" i="223" s="1"/>
  <c r="G26" i="23"/>
  <c r="C12" i="223" s="1"/>
  <c r="J26" i="23"/>
  <c r="M26"/>
  <c r="E12" i="223" s="1"/>
  <c r="P26" i="23"/>
  <c r="F12" i="223" s="1"/>
  <c r="S26" i="23"/>
  <c r="G12" i="223" s="1"/>
  <c r="V26" i="23"/>
  <c r="Y26"/>
  <c r="I12" i="223" s="1"/>
  <c r="AB26" i="23"/>
  <c r="J12" i="223" s="1"/>
  <c r="AE26" i="23"/>
  <c r="K12" i="223" s="1"/>
  <c r="AH26" i="23"/>
  <c r="D27"/>
  <c r="B13" i="223" s="1"/>
  <c r="G27" i="23"/>
  <c r="C13" i="223" s="1"/>
  <c r="J27" i="23"/>
  <c r="D13" i="223" s="1"/>
  <c r="M27" i="23"/>
  <c r="P27"/>
  <c r="F13" i="223" s="1"/>
  <c r="S27" i="23"/>
  <c r="G13" i="223" s="1"/>
  <c r="V27" i="23"/>
  <c r="H13" i="223" s="1"/>
  <c r="Y27" i="23"/>
  <c r="AB27"/>
  <c r="J13" i="223" s="1"/>
  <c r="AE27" i="23"/>
  <c r="K13" i="223" s="1"/>
  <c r="AH27" i="23"/>
  <c r="L13" i="223" s="1"/>
  <c r="D28" i="23"/>
  <c r="G28"/>
  <c r="C14" i="223" s="1"/>
  <c r="J28" i="23"/>
  <c r="D14" i="223" s="1"/>
  <c r="M28" i="23"/>
  <c r="E14" i="223" s="1"/>
  <c r="P28" i="23"/>
  <c r="S28"/>
  <c r="G14" i="223" s="1"/>
  <c r="V28" i="23"/>
  <c r="H14" i="223" s="1"/>
  <c r="Y28" i="23"/>
  <c r="I14" i="223" s="1"/>
  <c r="AB28" i="23"/>
  <c r="AE28"/>
  <c r="K14" i="223" s="1"/>
  <c r="AH28" i="23"/>
  <c r="L14" i="223" s="1"/>
  <c r="D29" i="23"/>
  <c r="B15" i="223" s="1"/>
  <c r="G29" i="23"/>
  <c r="J29"/>
  <c r="D15" i="223" s="1"/>
  <c r="M29" i="23"/>
  <c r="E15" i="223" s="1"/>
  <c r="P29" i="23"/>
  <c r="F15" i="223" s="1"/>
  <c r="S29" i="23"/>
  <c r="V29"/>
  <c r="H15" i="223" s="1"/>
  <c r="Y29" i="23"/>
  <c r="I15" i="223" s="1"/>
  <c r="AB29" i="23"/>
  <c r="J15" i="223" s="1"/>
  <c r="AE29" i="23"/>
  <c r="AH29"/>
  <c r="L15" i="223" s="1"/>
  <c r="D30" i="23"/>
  <c r="B16" i="223" s="1"/>
  <c r="G30" i="23"/>
  <c r="C16" i="223" s="1"/>
  <c r="J30" i="23"/>
  <c r="M30"/>
  <c r="E16" i="223" s="1"/>
  <c r="P30" i="23"/>
  <c r="F16" i="223" s="1"/>
  <c r="S30" i="23"/>
  <c r="G16" i="223" s="1"/>
  <c r="V30" i="23"/>
  <c r="Y30"/>
  <c r="I16" i="223" s="1"/>
  <c r="AB30" i="23"/>
  <c r="J16" i="223" s="1"/>
  <c r="AE30" i="23"/>
  <c r="K16" i="223" s="1"/>
  <c r="AH30" i="23"/>
  <c r="D31"/>
  <c r="B17" i="223" s="1"/>
  <c r="G31" i="23"/>
  <c r="C17" i="223" s="1"/>
  <c r="J31" i="23"/>
  <c r="D17" i="223" s="1"/>
  <c r="M31" i="23"/>
  <c r="P31"/>
  <c r="F17" i="223" s="1"/>
  <c r="S31" i="23"/>
  <c r="G17" i="223" s="1"/>
  <c r="V31" i="23"/>
  <c r="H17" i="223" s="1"/>
  <c r="Y31" i="23"/>
  <c r="AB31"/>
  <c r="J17" i="223" s="1"/>
  <c r="AE31" i="23"/>
  <c r="K17" i="223" s="1"/>
  <c r="AH31" i="23"/>
  <c r="L17" i="223" s="1"/>
  <c r="D32" i="23"/>
  <c r="G32"/>
  <c r="C18" i="223" s="1"/>
  <c r="J32" i="23"/>
  <c r="D18" i="223" s="1"/>
  <c r="M32" i="23"/>
  <c r="E18" i="223" s="1"/>
  <c r="P32" i="23"/>
  <c r="S32"/>
  <c r="G18" i="223" s="1"/>
  <c r="V32" i="23"/>
  <c r="H18" i="223" s="1"/>
  <c r="Y32" i="23"/>
  <c r="I18" i="223" s="1"/>
  <c r="AB32" i="23"/>
  <c r="AE32"/>
  <c r="K18" i="223" s="1"/>
  <c r="AH32" i="23"/>
  <c r="L18" i="223" s="1"/>
  <c r="D33" i="23"/>
  <c r="B19" i="223" s="1"/>
  <c r="G33" i="23"/>
  <c r="J33"/>
  <c r="D19" i="223" s="1"/>
  <c r="M33" i="23"/>
  <c r="E19" i="223" s="1"/>
  <c r="P33" i="23"/>
  <c r="F19" i="223" s="1"/>
  <c r="S33" i="23"/>
  <c r="V33"/>
  <c r="H19" i="223" s="1"/>
  <c r="Y33" i="23"/>
  <c r="I19" i="223" s="1"/>
  <c r="AB33" i="23"/>
  <c r="J19" i="223" s="1"/>
  <c r="AE33" i="23"/>
  <c r="AH33"/>
  <c r="L19" i="223" s="1"/>
  <c r="D34" i="23"/>
  <c r="B20" i="223" s="1"/>
  <c r="G34" i="23"/>
  <c r="C20" i="223" s="1"/>
  <c r="J34" i="23"/>
  <c r="M34"/>
  <c r="E20" i="223" s="1"/>
  <c r="P34" i="23"/>
  <c r="F20" i="223" s="1"/>
  <c r="S34" i="23"/>
  <c r="G20" i="223" s="1"/>
  <c r="V34" i="23"/>
  <c r="Y34"/>
  <c r="I20" i="223" s="1"/>
  <c r="AB34" i="23"/>
  <c r="J20" i="223" s="1"/>
  <c r="AE34" i="23"/>
  <c r="K20" i="223" s="1"/>
  <c r="AH34" i="23"/>
  <c r="D35"/>
  <c r="B21" i="223" s="1"/>
  <c r="G35" i="23"/>
  <c r="C21" i="223" s="1"/>
  <c r="J35" i="23"/>
  <c r="D21" i="223" s="1"/>
  <c r="M35" i="23"/>
  <c r="P35"/>
  <c r="F21" i="223" s="1"/>
  <c r="S35" i="23"/>
  <c r="G21" i="223" s="1"/>
  <c r="V35" i="23"/>
  <c r="H21" i="223" s="1"/>
  <c r="Y35" i="23"/>
  <c r="AB35"/>
  <c r="J21" i="223" s="1"/>
  <c r="AE35" i="23"/>
  <c r="K21" i="223" s="1"/>
  <c r="AH35" i="23"/>
  <c r="L21" i="223" s="1"/>
  <c r="D36" i="23"/>
  <c r="G36"/>
  <c r="C22" i="223" s="1"/>
  <c r="J36" i="23"/>
  <c r="D22" i="223" s="1"/>
  <c r="M36" i="23"/>
  <c r="E22" i="223" s="1"/>
  <c r="P36" i="23"/>
  <c r="S36"/>
  <c r="G22" i="223" s="1"/>
  <c r="V36" i="23"/>
  <c r="H22" i="223" s="1"/>
  <c r="Y36" i="23"/>
  <c r="I22" i="223" s="1"/>
  <c r="AB36" i="23"/>
  <c r="AE36"/>
  <c r="K22" i="223" s="1"/>
  <c r="AH36" i="23"/>
  <c r="L22" i="223" s="1"/>
  <c r="D37" i="23"/>
  <c r="B23" i="223" s="1"/>
  <c r="G37" i="23"/>
  <c r="J37"/>
  <c r="D23" i="223" s="1"/>
  <c r="M37" i="23"/>
  <c r="E23" i="223" s="1"/>
  <c r="P37" i="23"/>
  <c r="F23" i="223" s="1"/>
  <c r="S37" i="23"/>
  <c r="V37"/>
  <c r="H23" i="223" s="1"/>
  <c r="Y37" i="23"/>
  <c r="I23" i="223" s="1"/>
  <c r="AB37" i="23"/>
  <c r="J23" i="223" s="1"/>
  <c r="AE37" i="23"/>
  <c r="AH37"/>
  <c r="L23" i="223" s="1"/>
  <c r="D38" i="23"/>
  <c r="B24" i="223" s="1"/>
  <c r="G38" i="23"/>
  <c r="C24" i="223" s="1"/>
  <c r="J38" i="23"/>
  <c r="M38"/>
  <c r="E24" i="223" s="1"/>
  <c r="P38" i="23"/>
  <c r="F24" i="223" s="1"/>
  <c r="S38" i="23"/>
  <c r="G24" i="223" s="1"/>
  <c r="V38" i="23"/>
  <c r="Y38"/>
  <c r="I24" i="223" s="1"/>
  <c r="AB38" i="23"/>
  <c r="J24" i="223" s="1"/>
  <c r="AE38" i="23"/>
  <c r="K24" i="223" s="1"/>
  <c r="AH38" i="23"/>
  <c r="D39"/>
  <c r="B25" i="223" s="1"/>
  <c r="G39" i="23"/>
  <c r="C25" i="223" s="1"/>
  <c r="J39" i="23"/>
  <c r="D25" i="223" s="1"/>
  <c r="M39" i="23"/>
  <c r="P39"/>
  <c r="F25" i="223" s="1"/>
  <c r="S39" i="23"/>
  <c r="G25" i="223" s="1"/>
  <c r="V39" i="23"/>
  <c r="H25" i="223" s="1"/>
  <c r="Y39" i="23"/>
  <c r="AB39"/>
  <c r="J25" i="223" s="1"/>
  <c r="AE39" i="23"/>
  <c r="K25" i="223" s="1"/>
  <c r="AH39" i="23"/>
  <c r="L25" i="223" s="1"/>
  <c r="D40" i="23"/>
  <c r="G40"/>
  <c r="C26" i="223" s="1"/>
  <c r="J40" i="23"/>
  <c r="D26" i="223" s="1"/>
  <c r="M40" i="23"/>
  <c r="E26" i="223" s="1"/>
  <c r="P40" i="23"/>
  <c r="S40"/>
  <c r="G26" i="223" s="1"/>
  <c r="V40" i="23"/>
  <c r="H26" i="223" s="1"/>
  <c r="Y40" i="23"/>
  <c r="I26" i="223" s="1"/>
  <c r="AB40" i="23"/>
  <c r="AE40"/>
  <c r="K26" i="223" s="1"/>
  <c r="AH40" i="23"/>
  <c r="L26" i="223" s="1"/>
  <c r="D41" i="23"/>
  <c r="B27" i="223" s="1"/>
  <c r="G41" i="23"/>
  <c r="J41"/>
  <c r="D27" i="223" s="1"/>
  <c r="M41" i="23"/>
  <c r="E27" i="223" s="1"/>
  <c r="P41" i="23"/>
  <c r="F27" i="223" s="1"/>
  <c r="S41" i="23"/>
  <c r="V41"/>
  <c r="H27" i="223" s="1"/>
  <c r="Y41" i="23"/>
  <c r="I27" i="223" s="1"/>
  <c r="AB41" i="23"/>
  <c r="J27" i="223" s="1"/>
  <c r="AE41" i="23"/>
  <c r="AH41"/>
  <c r="L27" i="223" s="1"/>
  <c r="D42" i="23"/>
  <c r="B28" i="223" s="1"/>
  <c r="G42" i="23"/>
  <c r="C28" i="223" s="1"/>
  <c r="J42" i="23"/>
  <c r="M42"/>
  <c r="E28" i="223" s="1"/>
  <c r="P42" i="23"/>
  <c r="F28" i="223" s="1"/>
  <c r="S42" i="23"/>
  <c r="G28" i="223" s="1"/>
  <c r="V42" i="23"/>
  <c r="Y42"/>
  <c r="I28" i="223" s="1"/>
  <c r="AB42" i="23"/>
  <c r="J28" i="223" s="1"/>
  <c r="AE42" i="23"/>
  <c r="K28" i="223" s="1"/>
  <c r="AH42" i="23"/>
  <c r="D43"/>
  <c r="B29" i="223" s="1"/>
  <c r="G43" i="23"/>
  <c r="C29" i="223" s="1"/>
  <c r="J43" i="23"/>
  <c r="D29" i="223" s="1"/>
  <c r="M43" i="23"/>
  <c r="P43"/>
  <c r="F29" i="223" s="1"/>
  <c r="S43" i="23"/>
  <c r="G29" i="223" s="1"/>
  <c r="V43" i="23"/>
  <c r="H29" i="223" s="1"/>
  <c r="Y43" i="23"/>
  <c r="AB43"/>
  <c r="J29" i="223" s="1"/>
  <c r="AE43" i="23"/>
  <c r="K29" i="223" s="1"/>
  <c r="AH43" i="23"/>
  <c r="L29" i="223" s="1"/>
  <c r="D44" i="23"/>
  <c r="G44"/>
  <c r="C30" i="223" s="1"/>
  <c r="J44" i="23"/>
  <c r="D30" i="223" s="1"/>
  <c r="M44" i="23"/>
  <c r="E30" i="223" s="1"/>
  <c r="P44" i="23"/>
  <c r="S44"/>
  <c r="G30" i="223" s="1"/>
  <c r="V44" i="23"/>
  <c r="H30" i="223" s="1"/>
  <c r="Y44" i="23"/>
  <c r="I30" i="223" s="1"/>
  <c r="AB44" i="23"/>
  <c r="AE44"/>
  <c r="K30" i="223" s="1"/>
  <c r="AH44" i="23"/>
  <c r="L30" i="223" s="1"/>
  <c r="D45" i="23"/>
  <c r="G45"/>
  <c r="J45"/>
  <c r="M45"/>
  <c r="P45"/>
  <c r="S45"/>
  <c r="V45"/>
  <c r="Y45"/>
  <c r="AB45"/>
  <c r="AE45"/>
  <c r="AH45"/>
  <c r="D7" i="21"/>
  <c r="H7"/>
  <c r="L7"/>
  <c r="P7"/>
  <c r="T7"/>
  <c r="X7"/>
  <c r="AB7"/>
  <c r="AF7"/>
  <c r="AJ7"/>
  <c r="AN7"/>
  <c r="AR7"/>
  <c r="A8"/>
  <c r="D8"/>
  <c r="H8"/>
  <c r="L8"/>
  <c r="P8"/>
  <c r="T8"/>
  <c r="X8"/>
  <c r="AB8"/>
  <c r="AF8"/>
  <c r="AJ8"/>
  <c r="AN8"/>
  <c r="AR8"/>
  <c r="A9"/>
  <c r="D9"/>
  <c r="H9"/>
  <c r="L9"/>
  <c r="P9"/>
  <c r="T9"/>
  <c r="X9"/>
  <c r="AB9"/>
  <c r="AF9"/>
  <c r="AJ9"/>
  <c r="AN9"/>
  <c r="AR9"/>
  <c r="A10"/>
  <c r="D10"/>
  <c r="H10"/>
  <c r="L10"/>
  <c r="P10"/>
  <c r="T10"/>
  <c r="X10"/>
  <c r="AB10"/>
  <c r="AF10"/>
  <c r="AJ10"/>
  <c r="AN10"/>
  <c r="AR10"/>
  <c r="A11"/>
  <c r="D11"/>
  <c r="H11"/>
  <c r="L11"/>
  <c r="P11"/>
  <c r="T11"/>
  <c r="X11"/>
  <c r="AB11"/>
  <c r="AF11"/>
  <c r="AJ11"/>
  <c r="AN11"/>
  <c r="AR11"/>
  <c r="A12"/>
  <c r="D12"/>
  <c r="H12"/>
  <c r="L12"/>
  <c r="P12"/>
  <c r="T12"/>
  <c r="X12"/>
  <c r="AB12"/>
  <c r="AF12"/>
  <c r="AJ12"/>
  <c r="AN12"/>
  <c r="AR12"/>
  <c r="A13"/>
  <c r="D13"/>
  <c r="H13"/>
  <c r="L13"/>
  <c r="P13"/>
  <c r="T13"/>
  <c r="X13"/>
  <c r="AB13"/>
  <c r="AF13"/>
  <c r="AJ13"/>
  <c r="AN13"/>
  <c r="AR13"/>
  <c r="A14"/>
  <c r="D14"/>
  <c r="H14"/>
  <c r="L14"/>
  <c r="P14"/>
  <c r="T14"/>
  <c r="X14"/>
  <c r="AB14"/>
  <c r="AF14"/>
  <c r="AJ14"/>
  <c r="AN14"/>
  <c r="AR14"/>
  <c r="A15"/>
  <c r="D15"/>
  <c r="H15"/>
  <c r="L15"/>
  <c r="P15"/>
  <c r="T15"/>
  <c r="X15"/>
  <c r="AB15"/>
  <c r="AF15"/>
  <c r="AJ15"/>
  <c r="AN15"/>
  <c r="AR15"/>
  <c r="A16"/>
  <c r="D16"/>
  <c r="H16"/>
  <c r="L16"/>
  <c r="P16"/>
  <c r="T16"/>
  <c r="X16"/>
  <c r="AB16"/>
  <c r="AF16"/>
  <c r="AJ16"/>
  <c r="AN16"/>
  <c r="AR16"/>
  <c r="A17"/>
  <c r="D17"/>
  <c r="B5" i="232" s="1"/>
  <c r="H17" i="21"/>
  <c r="C5" i="232" s="1"/>
  <c r="L17" i="21"/>
  <c r="D5" i="232" s="1"/>
  <c r="P17" i="21"/>
  <c r="E5" i="232" s="1"/>
  <c r="T17" i="21"/>
  <c r="F5" i="232" s="1"/>
  <c r="X17" i="21"/>
  <c r="G5" i="232" s="1"/>
  <c r="AB17" i="21"/>
  <c r="H5" i="232" s="1"/>
  <c r="AF17" i="21"/>
  <c r="I5" i="232" s="1"/>
  <c r="AJ17" i="21"/>
  <c r="J5" i="232" s="1"/>
  <c r="AN17" i="21"/>
  <c r="K5" i="232" s="1"/>
  <c r="AR17" i="21"/>
  <c r="L5" i="232" s="1"/>
  <c r="A18" i="21"/>
  <c r="D18"/>
  <c r="B6" i="232" s="1"/>
  <c r="H18" i="21"/>
  <c r="C6" i="232" s="1"/>
  <c r="L18" i="21"/>
  <c r="D6" i="232" s="1"/>
  <c r="P18" i="21"/>
  <c r="E6" i="232" s="1"/>
  <c r="T18" i="21"/>
  <c r="F6" i="232" s="1"/>
  <c r="X18" i="21"/>
  <c r="G6" i="232" s="1"/>
  <c r="AB18" i="21"/>
  <c r="H6" i="232" s="1"/>
  <c r="AF18" i="21"/>
  <c r="I6" i="232" s="1"/>
  <c r="AJ18" i="21"/>
  <c r="J6" i="232" s="1"/>
  <c r="AN18" i="21"/>
  <c r="K6" i="232" s="1"/>
  <c r="AR18" i="21"/>
  <c r="L6" i="232" s="1"/>
  <c r="A19" i="21"/>
  <c r="A20" s="1"/>
  <c r="A21" s="1"/>
  <c r="A22" s="1"/>
  <c r="A23" s="1"/>
  <c r="A24" s="1"/>
  <c r="A25" s="1"/>
  <c r="A26" s="1"/>
  <c r="A27" s="1"/>
  <c r="A28" s="1"/>
  <c r="A29" s="1"/>
  <c r="A30" s="1"/>
  <c r="A31" s="1"/>
  <c r="A32" s="1"/>
  <c r="A33" s="1"/>
  <c r="D19"/>
  <c r="B7" i="232" s="1"/>
  <c r="H19" i="21"/>
  <c r="C7" i="232" s="1"/>
  <c r="L19" i="21"/>
  <c r="D7" i="232" s="1"/>
  <c r="P19" i="21"/>
  <c r="E7" i="232" s="1"/>
  <c r="T19" i="21"/>
  <c r="F7" i="232" s="1"/>
  <c r="X19" i="21"/>
  <c r="G7" i="232" s="1"/>
  <c r="AB19" i="21"/>
  <c r="H7" i="232" s="1"/>
  <c r="AF19" i="21"/>
  <c r="I7" i="232" s="1"/>
  <c r="AJ19" i="21"/>
  <c r="J7" i="232" s="1"/>
  <c r="AN19" i="21"/>
  <c r="K7" i="232" s="1"/>
  <c r="AR19" i="21"/>
  <c r="L7" i="232" s="1"/>
  <c r="D20" i="21"/>
  <c r="B8" i="232" s="1"/>
  <c r="H20" i="21"/>
  <c r="C8" i="232" s="1"/>
  <c r="L20" i="21"/>
  <c r="D8" i="232" s="1"/>
  <c r="P20" i="21"/>
  <c r="E8" i="232" s="1"/>
  <c r="T20" i="21"/>
  <c r="F8" i="232" s="1"/>
  <c r="X20" i="21"/>
  <c r="G8" i="232" s="1"/>
  <c r="AB20" i="21"/>
  <c r="H8" i="232" s="1"/>
  <c r="AF20" i="21"/>
  <c r="I8" i="232" s="1"/>
  <c r="AJ20" i="21"/>
  <c r="J8" i="232" s="1"/>
  <c r="AN20" i="21"/>
  <c r="K8" i="232" s="1"/>
  <c r="AR20" i="21"/>
  <c r="L8" i="232" s="1"/>
  <c r="D21" i="21"/>
  <c r="B9" i="232" s="1"/>
  <c r="H21" i="21"/>
  <c r="C9" i="232" s="1"/>
  <c r="L21" i="21"/>
  <c r="D9" i="232" s="1"/>
  <c r="P21" i="21"/>
  <c r="E9" i="232" s="1"/>
  <c r="T21" i="21"/>
  <c r="F9" i="232" s="1"/>
  <c r="X21" i="21"/>
  <c r="G9" i="232" s="1"/>
  <c r="AB21" i="21"/>
  <c r="H9" i="232" s="1"/>
  <c r="AF21" i="21"/>
  <c r="I9" i="232" s="1"/>
  <c r="AJ21" i="21"/>
  <c r="J9" i="232" s="1"/>
  <c r="AN21" i="21"/>
  <c r="K9" i="232" s="1"/>
  <c r="AR21" i="21"/>
  <c r="L9" i="232" s="1"/>
  <c r="D22" i="21"/>
  <c r="B10" i="232" s="1"/>
  <c r="H22" i="21"/>
  <c r="C10" i="232" s="1"/>
  <c r="L22" i="21"/>
  <c r="D10" i="232" s="1"/>
  <c r="P22" i="21"/>
  <c r="E10" i="232" s="1"/>
  <c r="T22" i="21"/>
  <c r="F10" i="232" s="1"/>
  <c r="X22" i="21"/>
  <c r="G10" i="232" s="1"/>
  <c r="AB22" i="21"/>
  <c r="H10" i="232" s="1"/>
  <c r="AF22" i="21"/>
  <c r="I10" i="232" s="1"/>
  <c r="AJ22" i="21"/>
  <c r="J10" i="232" s="1"/>
  <c r="AN22" i="21"/>
  <c r="K10" i="232" s="1"/>
  <c r="AR22" i="21"/>
  <c r="L10" i="232" s="1"/>
  <c r="D23" i="21"/>
  <c r="B11" i="232" s="1"/>
  <c r="H23" i="21"/>
  <c r="C11" i="232" s="1"/>
  <c r="L23" i="21"/>
  <c r="D11" i="232" s="1"/>
  <c r="P23" i="21"/>
  <c r="E11" i="232" s="1"/>
  <c r="T23" i="21"/>
  <c r="F11" i="232" s="1"/>
  <c r="X23" i="21"/>
  <c r="G11" i="232" s="1"/>
  <c r="AB23" i="21"/>
  <c r="H11" i="232" s="1"/>
  <c r="AF23" i="21"/>
  <c r="I11" i="232" s="1"/>
  <c r="AJ23" i="21"/>
  <c r="J11" i="232" s="1"/>
  <c r="AN23" i="21"/>
  <c r="K11" i="232" s="1"/>
  <c r="AR23" i="21"/>
  <c r="L11" i="232" s="1"/>
  <c r="D24" i="21"/>
  <c r="B12" i="232" s="1"/>
  <c r="H24" i="21"/>
  <c r="C12" i="232" s="1"/>
  <c r="L24" i="21"/>
  <c r="D12" i="232" s="1"/>
  <c r="P24" i="21"/>
  <c r="E12" i="232" s="1"/>
  <c r="T24" i="21"/>
  <c r="F12" i="232" s="1"/>
  <c r="X24" i="21"/>
  <c r="G12" i="232" s="1"/>
  <c r="AB24" i="21"/>
  <c r="H12" i="232" s="1"/>
  <c r="AF24" i="21"/>
  <c r="I12" i="232" s="1"/>
  <c r="AJ24" i="21"/>
  <c r="J12" i="232" s="1"/>
  <c r="AN24" i="21"/>
  <c r="K12" i="232" s="1"/>
  <c r="AR24" i="21"/>
  <c r="L12" i="232" s="1"/>
  <c r="D25" i="21"/>
  <c r="B13" i="232" s="1"/>
  <c r="H25" i="21"/>
  <c r="C13" i="232" s="1"/>
  <c r="L25" i="21"/>
  <c r="D13" i="232" s="1"/>
  <c r="P25" i="21"/>
  <c r="E13" i="232" s="1"/>
  <c r="T25" i="21"/>
  <c r="F13" i="232" s="1"/>
  <c r="X25" i="21"/>
  <c r="G13" i="232" s="1"/>
  <c r="AB25" i="21"/>
  <c r="H13" i="232" s="1"/>
  <c r="AF25" i="21"/>
  <c r="I13" i="232" s="1"/>
  <c r="AJ25" i="21"/>
  <c r="J13" i="232" s="1"/>
  <c r="AN25" i="21"/>
  <c r="K13" i="232" s="1"/>
  <c r="AR25" i="21"/>
  <c r="L13" i="232" s="1"/>
  <c r="D26" i="21"/>
  <c r="B14" i="232" s="1"/>
  <c r="H26" i="21"/>
  <c r="C14" i="232" s="1"/>
  <c r="L26" i="21"/>
  <c r="D14" i="232" s="1"/>
  <c r="P26" i="21"/>
  <c r="E14" i="232" s="1"/>
  <c r="T26" i="21"/>
  <c r="F14" i="232" s="1"/>
  <c r="X26" i="21"/>
  <c r="G14" i="232" s="1"/>
  <c r="AB26" i="21"/>
  <c r="H14" i="232" s="1"/>
  <c r="AF26" i="21"/>
  <c r="I14" i="232" s="1"/>
  <c r="AJ26" i="21"/>
  <c r="J14" i="232" s="1"/>
  <c r="AN26" i="21"/>
  <c r="K14" i="232" s="1"/>
  <c r="AR26" i="21"/>
  <c r="L14" i="232" s="1"/>
  <c r="D27" i="21"/>
  <c r="B15" i="232" s="1"/>
  <c r="H27" i="21"/>
  <c r="C15" i="232" s="1"/>
  <c r="L27" i="21"/>
  <c r="D15" i="232" s="1"/>
  <c r="P27" i="21"/>
  <c r="E15" i="232" s="1"/>
  <c r="T27" i="21"/>
  <c r="F15" i="232" s="1"/>
  <c r="X27" i="21"/>
  <c r="G15" i="232" s="1"/>
  <c r="AB27" i="21"/>
  <c r="H15" i="232" s="1"/>
  <c r="AF27" i="21"/>
  <c r="I15" i="232" s="1"/>
  <c r="AJ27" i="21"/>
  <c r="J15" i="232" s="1"/>
  <c r="AN27" i="21"/>
  <c r="K15" i="232" s="1"/>
  <c r="AR27" i="21"/>
  <c r="L15" i="232" s="1"/>
  <c r="D28" i="21"/>
  <c r="B16" i="232" s="1"/>
  <c r="H28" i="21"/>
  <c r="C16" i="232" s="1"/>
  <c r="L28" i="21"/>
  <c r="D16" i="232" s="1"/>
  <c r="P28" i="21"/>
  <c r="E16" i="232" s="1"/>
  <c r="T28" i="21"/>
  <c r="F16" i="232" s="1"/>
  <c r="X28" i="21"/>
  <c r="G16" i="232" s="1"/>
  <c r="AB28" i="21"/>
  <c r="H16" i="232" s="1"/>
  <c r="AF28" i="21"/>
  <c r="I16" i="232" s="1"/>
  <c r="AJ28" i="21"/>
  <c r="J16" i="232" s="1"/>
  <c r="AN28" i="21"/>
  <c r="K16" i="232" s="1"/>
  <c r="AR28" i="21"/>
  <c r="L16" i="232" s="1"/>
  <c r="D29" i="21"/>
  <c r="B17" i="232" s="1"/>
  <c r="H29" i="21"/>
  <c r="C17" i="232" s="1"/>
  <c r="L29" i="21"/>
  <c r="D17" i="232" s="1"/>
  <c r="P29" i="21"/>
  <c r="E17" i="232" s="1"/>
  <c r="T29" i="21"/>
  <c r="F17" i="232" s="1"/>
  <c r="X29" i="21"/>
  <c r="G17" i="232" s="1"/>
  <c r="AB29" i="21"/>
  <c r="H17" i="232" s="1"/>
  <c r="AF29" i="21"/>
  <c r="I17" i="232" s="1"/>
  <c r="AJ29" i="21"/>
  <c r="J17" i="232" s="1"/>
  <c r="AN29" i="21"/>
  <c r="K17" i="232" s="1"/>
  <c r="AR29" i="21"/>
  <c r="L17" i="232" s="1"/>
  <c r="D30" i="21"/>
  <c r="B18" i="232" s="1"/>
  <c r="H30" i="21"/>
  <c r="C18" i="232" s="1"/>
  <c r="L30" i="21"/>
  <c r="D18" i="232" s="1"/>
  <c r="P30" i="21"/>
  <c r="E18" i="232" s="1"/>
  <c r="T30" i="21"/>
  <c r="F18" i="232" s="1"/>
  <c r="X30" i="21"/>
  <c r="G18" i="232" s="1"/>
  <c r="AB30" i="21"/>
  <c r="H18" i="232" s="1"/>
  <c r="AF30" i="21"/>
  <c r="I18" i="232" s="1"/>
  <c r="AJ30" i="21"/>
  <c r="J18" i="232" s="1"/>
  <c r="AN30" i="21"/>
  <c r="K18" i="232" s="1"/>
  <c r="AR30" i="21"/>
  <c r="L18" i="232" s="1"/>
  <c r="D31" i="21"/>
  <c r="B19" i="232" s="1"/>
  <c r="H31" i="21"/>
  <c r="C19" i="232" s="1"/>
  <c r="L31" i="21"/>
  <c r="D19" i="232" s="1"/>
  <c r="P31" i="21"/>
  <c r="E19" i="232" s="1"/>
  <c r="T31" i="21"/>
  <c r="F19" i="232" s="1"/>
  <c r="X31" i="21"/>
  <c r="G19" i="232" s="1"/>
  <c r="AB31" i="21"/>
  <c r="H19" i="232" s="1"/>
  <c r="AF31" i="21"/>
  <c r="I19" i="232" s="1"/>
  <c r="AJ31" i="21"/>
  <c r="J19" i="232" s="1"/>
  <c r="AN31" i="21"/>
  <c r="K19" i="232" s="1"/>
  <c r="AR31" i="21"/>
  <c r="L19" i="232" s="1"/>
  <c r="D32" i="21"/>
  <c r="B20" i="232" s="1"/>
  <c r="H32" i="21"/>
  <c r="C20" i="232" s="1"/>
  <c r="L32" i="21"/>
  <c r="D20" i="232" s="1"/>
  <c r="P32" i="21"/>
  <c r="E20" i="232" s="1"/>
  <c r="T32" i="21"/>
  <c r="F20" i="232" s="1"/>
  <c r="X32" i="21"/>
  <c r="G20" i="232" s="1"/>
  <c r="AB32" i="21"/>
  <c r="H20" i="232" s="1"/>
  <c r="AF32" i="21"/>
  <c r="I20" i="232" s="1"/>
  <c r="AJ32" i="21"/>
  <c r="J20" i="232" s="1"/>
  <c r="AN32" i="21"/>
  <c r="K20" i="232" s="1"/>
  <c r="AR32" i="21"/>
  <c r="L20" i="232" s="1"/>
  <c r="D33" i="21"/>
  <c r="B21" i="232" s="1"/>
  <c r="H33" i="21"/>
  <c r="C21" i="232" s="1"/>
  <c r="L33" i="21"/>
  <c r="D21" i="232" s="1"/>
  <c r="P33" i="21"/>
  <c r="E21" i="232" s="1"/>
  <c r="T33" i="21"/>
  <c r="F21" i="232" s="1"/>
  <c r="X33" i="21"/>
  <c r="G21" i="232" s="1"/>
  <c r="AB33" i="21"/>
  <c r="H21" i="232" s="1"/>
  <c r="AF33" i="21"/>
  <c r="I21" i="232" s="1"/>
  <c r="AJ33" i="21"/>
  <c r="J21" i="232" s="1"/>
  <c r="AN33" i="21"/>
  <c r="K21" i="232" s="1"/>
  <c r="AR33" i="21"/>
  <c r="L21" i="232" s="1"/>
  <c r="D34" i="21"/>
  <c r="B22" i="232" s="1"/>
  <c r="H34" i="21"/>
  <c r="C22" i="232" s="1"/>
  <c r="L34" i="21"/>
  <c r="D22" i="232" s="1"/>
  <c r="P34" i="21"/>
  <c r="E22" i="232" s="1"/>
  <c r="T34" i="21"/>
  <c r="F22" i="232" s="1"/>
  <c r="X34" i="21"/>
  <c r="G22" i="232" s="1"/>
  <c r="AB34" i="21"/>
  <c r="H22" i="232" s="1"/>
  <c r="AF34" i="21"/>
  <c r="I22" i="232" s="1"/>
  <c r="AJ34" i="21"/>
  <c r="J22" i="232" s="1"/>
  <c r="AN34" i="21"/>
  <c r="K22" i="232" s="1"/>
  <c r="AR34" i="21"/>
  <c r="L22" i="232" s="1"/>
  <c r="D35" i="21"/>
  <c r="B23" i="232" s="1"/>
  <c r="H35" i="21"/>
  <c r="C23" i="232" s="1"/>
  <c r="L35" i="21"/>
  <c r="D23" i="232" s="1"/>
  <c r="P35" i="21"/>
  <c r="E23" i="232" s="1"/>
  <c r="T35" i="21"/>
  <c r="F23" i="232" s="1"/>
  <c r="X35" i="21"/>
  <c r="G23" i="232" s="1"/>
  <c r="AB35" i="21"/>
  <c r="H23" i="232" s="1"/>
  <c r="AF35" i="21"/>
  <c r="I23" i="232" s="1"/>
  <c r="AJ35" i="21"/>
  <c r="J23" i="232" s="1"/>
  <c r="AN35" i="21"/>
  <c r="K23" i="232" s="1"/>
  <c r="AR35" i="21"/>
  <c r="L23" i="232" s="1"/>
  <c r="D36" i="21"/>
  <c r="B24" i="232" s="1"/>
  <c r="H36" i="21"/>
  <c r="C24" i="232" s="1"/>
  <c r="L36" i="21"/>
  <c r="D24" i="232" s="1"/>
  <c r="P36" i="21"/>
  <c r="E24" i="232" s="1"/>
  <c r="T36" i="21"/>
  <c r="F24" i="232" s="1"/>
  <c r="X36" i="21"/>
  <c r="G24" i="232" s="1"/>
  <c r="AB36" i="21"/>
  <c r="H24" i="232" s="1"/>
  <c r="AF36" i="21"/>
  <c r="I24" i="232" s="1"/>
  <c r="AJ36" i="21"/>
  <c r="J24" i="232" s="1"/>
  <c r="AN36" i="21"/>
  <c r="K24" i="232" s="1"/>
  <c r="AR36" i="21"/>
  <c r="L24" i="232" s="1"/>
  <c r="D37" i="21"/>
  <c r="B25" i="232" s="1"/>
  <c r="H37" i="21"/>
  <c r="C25" i="232" s="1"/>
  <c r="L37" i="21"/>
  <c r="D25" i="232" s="1"/>
  <c r="P37" i="21"/>
  <c r="E25" i="232" s="1"/>
  <c r="T37" i="21"/>
  <c r="F25" i="232" s="1"/>
  <c r="X37" i="21"/>
  <c r="G25" i="232" s="1"/>
  <c r="AB37" i="21"/>
  <c r="H25" i="232" s="1"/>
  <c r="AF37" i="21"/>
  <c r="I25" i="232" s="1"/>
  <c r="AJ37" i="21"/>
  <c r="J25" i="232" s="1"/>
  <c r="AN37" i="21"/>
  <c r="K25" i="232" s="1"/>
  <c r="AR37" i="21"/>
  <c r="L25" i="232" s="1"/>
  <c r="D38" i="21"/>
  <c r="B26" i="232" s="1"/>
  <c r="H38" i="21"/>
  <c r="C26" i="232" s="1"/>
  <c r="L38" i="21"/>
  <c r="D26" i="232" s="1"/>
  <c r="P38" i="21"/>
  <c r="E26" i="232" s="1"/>
  <c r="T38" i="21"/>
  <c r="F26" i="232" s="1"/>
  <c r="X38" i="21"/>
  <c r="G26" i="232" s="1"/>
  <c r="AB38" i="21"/>
  <c r="H26" i="232" s="1"/>
  <c r="AF38" i="21"/>
  <c r="I26" i="232" s="1"/>
  <c r="AJ38" i="21"/>
  <c r="J26" i="232" s="1"/>
  <c r="AN38" i="21"/>
  <c r="K26" i="232" s="1"/>
  <c r="AR38" i="21"/>
  <c r="L26" i="232" s="1"/>
  <c r="D39" i="21"/>
  <c r="B27" i="232" s="1"/>
  <c r="H39" i="21"/>
  <c r="C27" i="232" s="1"/>
  <c r="L39" i="21"/>
  <c r="D27" i="232" s="1"/>
  <c r="P39" i="21"/>
  <c r="E27" i="232" s="1"/>
  <c r="T39" i="21"/>
  <c r="F27" i="232" s="1"/>
  <c r="X39" i="21"/>
  <c r="G27" i="232" s="1"/>
  <c r="AB39" i="21"/>
  <c r="H27" i="232" s="1"/>
  <c r="AF39" i="21"/>
  <c r="I27" i="232" s="1"/>
  <c r="AJ39" i="21"/>
  <c r="J27" i="232" s="1"/>
  <c r="AN39" i="21"/>
  <c r="K27" i="232" s="1"/>
  <c r="AR39" i="21"/>
  <c r="L27" i="232" s="1"/>
  <c r="D40" i="21"/>
  <c r="B28" i="232" s="1"/>
  <c r="H40" i="21"/>
  <c r="C28" i="232" s="1"/>
  <c r="L40" i="21"/>
  <c r="D28" i="232" s="1"/>
  <c r="P40" i="21"/>
  <c r="E28" i="232" s="1"/>
  <c r="T40" i="21"/>
  <c r="F28" i="232" s="1"/>
  <c r="X40" i="21"/>
  <c r="G28" i="232" s="1"/>
  <c r="AB40" i="21"/>
  <c r="H28" i="232" s="1"/>
  <c r="AF40" i="21"/>
  <c r="I28" i="232" s="1"/>
  <c r="AJ40" i="21"/>
  <c r="J28" i="232" s="1"/>
  <c r="AN40" i="21"/>
  <c r="K28" i="232" s="1"/>
  <c r="AR40" i="21"/>
  <c r="L28" i="232" s="1"/>
  <c r="D41" i="21"/>
  <c r="B29" i="232" s="1"/>
  <c r="H41" i="21"/>
  <c r="C29" i="232" s="1"/>
  <c r="L41" i="21"/>
  <c r="D29" i="232" s="1"/>
  <c r="P41" i="21"/>
  <c r="E29" i="232" s="1"/>
  <c r="T41" i="21"/>
  <c r="F29" i="232" s="1"/>
  <c r="X41" i="21"/>
  <c r="G29" i="232" s="1"/>
  <c r="AB41" i="21"/>
  <c r="H29" i="232" s="1"/>
  <c r="AF41" i="21"/>
  <c r="I29" i="232" s="1"/>
  <c r="AJ41" i="21"/>
  <c r="J29" i="232" s="1"/>
  <c r="AN41" i="21"/>
  <c r="K29" i="232" s="1"/>
  <c r="AR41" i="21"/>
  <c r="L29" i="232" s="1"/>
  <c r="D42" i="21"/>
  <c r="B30" i="232" s="1"/>
  <c r="L42" i="21"/>
  <c r="T42"/>
  <c r="F30" i="232" s="1"/>
  <c r="X42" i="21"/>
  <c r="G30" i="232" s="1"/>
  <c r="AB42" i="21"/>
  <c r="H30" i="232" s="1"/>
  <c r="AF42" i="21"/>
  <c r="AJ42"/>
  <c r="J30" i="232" s="1"/>
  <c r="AN42" i="21"/>
  <c r="K30" i="232" s="1"/>
  <c r="AR42" i="21"/>
  <c r="L30" i="232" s="1"/>
  <c r="C19" i="16"/>
  <c r="C50" s="1"/>
  <c r="C20"/>
  <c r="D20" s="1"/>
  <c r="C21"/>
  <c r="D21" s="1"/>
  <c r="B7" i="220" s="1"/>
  <c r="C22" i="16"/>
  <c r="D22" s="1"/>
  <c r="B8" i="220" s="1"/>
  <c r="E22" i="16"/>
  <c r="E21" s="1"/>
  <c r="E20" s="1"/>
  <c r="I22"/>
  <c r="M22"/>
  <c r="Q22"/>
  <c r="U22"/>
  <c r="U21" s="1"/>
  <c r="V22"/>
  <c r="W22" s="1"/>
  <c r="X22" s="1"/>
  <c r="Y22"/>
  <c r="AC22"/>
  <c r="AG22"/>
  <c r="AG21" s="1"/>
  <c r="AG20" s="1"/>
  <c r="AH20" s="1"/>
  <c r="AI20" s="1"/>
  <c r="AJ20" s="1"/>
  <c r="AK22"/>
  <c r="AK21" s="1"/>
  <c r="AO22"/>
  <c r="AO21"/>
  <c r="AP22"/>
  <c r="AQ22" s="1"/>
  <c r="AR22" s="1"/>
  <c r="L8" i="220" s="1"/>
  <c r="C23" i="16"/>
  <c r="D23" s="1"/>
  <c r="B9" i="220" s="1"/>
  <c r="E23" i="16"/>
  <c r="F23" s="1"/>
  <c r="G23" s="1"/>
  <c r="H23" s="1"/>
  <c r="I23"/>
  <c r="J23" s="1"/>
  <c r="K23" s="1"/>
  <c r="L23" s="1"/>
  <c r="D9" i="220" s="1"/>
  <c r="M23" i="16"/>
  <c r="N23" s="1"/>
  <c r="O23" s="1"/>
  <c r="P23" s="1"/>
  <c r="E9" i="220" s="1"/>
  <c r="Q23" i="16"/>
  <c r="R23" s="1"/>
  <c r="S23" s="1"/>
  <c r="T23" s="1"/>
  <c r="U23"/>
  <c r="V23" s="1"/>
  <c r="W23" s="1"/>
  <c r="X23" s="1"/>
  <c r="Y23"/>
  <c r="Z23" s="1"/>
  <c r="AA23" s="1"/>
  <c r="AB23" s="1"/>
  <c r="AC23"/>
  <c r="AD23" s="1"/>
  <c r="AE23" s="1"/>
  <c r="AF23" s="1"/>
  <c r="I9" i="220" s="1"/>
  <c r="AG23" i="16"/>
  <c r="AH23" s="1"/>
  <c r="AI23" s="1"/>
  <c r="AJ23" s="1"/>
  <c r="AK23"/>
  <c r="AL23" s="1"/>
  <c r="AM23" s="1"/>
  <c r="AN23" s="1"/>
  <c r="K9" i="220" s="1"/>
  <c r="AO23" i="16"/>
  <c r="AP23"/>
  <c r="AQ23" s="1"/>
  <c r="AR23" s="1"/>
  <c r="L9" i="220" s="1"/>
  <c r="C24" i="16"/>
  <c r="D24" s="1"/>
  <c r="E24"/>
  <c r="F24" s="1"/>
  <c r="G24" s="1"/>
  <c r="H24" s="1"/>
  <c r="C10" i="220" s="1"/>
  <c r="I24" i="16"/>
  <c r="J24" s="1"/>
  <c r="K24"/>
  <c r="L24" s="1"/>
  <c r="M24"/>
  <c r="N24" s="1"/>
  <c r="O24" s="1"/>
  <c r="P24" s="1"/>
  <c r="E10" i="220" s="1"/>
  <c r="Q24" i="16"/>
  <c r="R24" s="1"/>
  <c r="S24"/>
  <c r="T24" s="1"/>
  <c r="U24"/>
  <c r="V24" s="1"/>
  <c r="W24" s="1"/>
  <c r="X24" s="1"/>
  <c r="G10" i="220" s="1"/>
  <c r="Y24" i="16"/>
  <c r="Z24" s="1"/>
  <c r="AA24"/>
  <c r="AB24" s="1"/>
  <c r="AC24"/>
  <c r="AD24" s="1"/>
  <c r="AE24" s="1"/>
  <c r="AF24" s="1"/>
  <c r="AG24"/>
  <c r="AH24" s="1"/>
  <c r="AI24"/>
  <c r="AJ24" s="1"/>
  <c r="AK24"/>
  <c r="AL24" s="1"/>
  <c r="AM24" s="1"/>
  <c r="AN24" s="1"/>
  <c r="K10" i="220" s="1"/>
  <c r="AO24" i="16"/>
  <c r="AP24" s="1"/>
  <c r="AQ24"/>
  <c r="AR24" s="1"/>
  <c r="C25"/>
  <c r="D25" s="1"/>
  <c r="E25"/>
  <c r="F25" s="1"/>
  <c r="G25" s="1"/>
  <c r="H25" s="1"/>
  <c r="C11" i="220" s="1"/>
  <c r="I25" i="16"/>
  <c r="J25"/>
  <c r="K25" s="1"/>
  <c r="L25" s="1"/>
  <c r="M25"/>
  <c r="N25" s="1"/>
  <c r="O25" s="1"/>
  <c r="P25" s="1"/>
  <c r="E11" i="220" s="1"/>
  <c r="Q25" i="16"/>
  <c r="R25"/>
  <c r="S25" s="1"/>
  <c r="T25" s="1"/>
  <c r="F11" i="220" s="1"/>
  <c r="U25" i="16"/>
  <c r="V25" s="1"/>
  <c r="W25" s="1"/>
  <c r="X25" s="1"/>
  <c r="G11" i="220" s="1"/>
  <c r="Y25" i="16"/>
  <c r="Z25" s="1"/>
  <c r="AA25" s="1"/>
  <c r="AB25" s="1"/>
  <c r="AC25"/>
  <c r="AD25" s="1"/>
  <c r="AE25" s="1"/>
  <c r="AF25" s="1"/>
  <c r="I11" i="220" s="1"/>
  <c r="AG25" i="16"/>
  <c r="AH25" s="1"/>
  <c r="AI25" s="1"/>
  <c r="AJ25" s="1"/>
  <c r="AK25"/>
  <c r="AL25" s="1"/>
  <c r="AM25" s="1"/>
  <c r="AN25" s="1"/>
  <c r="K11" i="220" s="1"/>
  <c r="AO25" i="16"/>
  <c r="AP25"/>
  <c r="AQ25" s="1"/>
  <c r="AR25" s="1"/>
  <c r="C26"/>
  <c r="D26" s="1"/>
  <c r="E26"/>
  <c r="F26"/>
  <c r="G26" s="1"/>
  <c r="H26" s="1"/>
  <c r="C12" i="220" s="1"/>
  <c r="I26" i="16"/>
  <c r="J26" s="1"/>
  <c r="K26" s="1"/>
  <c r="L26" s="1"/>
  <c r="M26"/>
  <c r="N26"/>
  <c r="O26" s="1"/>
  <c r="P26" s="1"/>
  <c r="E12" i="220" s="1"/>
  <c r="Q26" i="16"/>
  <c r="R26" s="1"/>
  <c r="S26" s="1"/>
  <c r="T26" s="1"/>
  <c r="U26"/>
  <c r="V26"/>
  <c r="W26" s="1"/>
  <c r="X26" s="1"/>
  <c r="G12" i="220" s="1"/>
  <c r="Y26" i="16"/>
  <c r="Z26" s="1"/>
  <c r="AA26" s="1"/>
  <c r="AB26" s="1"/>
  <c r="AC26"/>
  <c r="AD26"/>
  <c r="AE26" s="1"/>
  <c r="AF26" s="1"/>
  <c r="I12" i="220" s="1"/>
  <c r="AG26" i="16"/>
  <c r="AH26" s="1"/>
  <c r="AI26" s="1"/>
  <c r="AJ26" s="1"/>
  <c r="AK26"/>
  <c r="AL26"/>
  <c r="AM26" s="1"/>
  <c r="AN26" s="1"/>
  <c r="K12" i="220" s="1"/>
  <c r="AO26" i="16"/>
  <c r="AP26" s="1"/>
  <c r="AQ26" s="1"/>
  <c r="AR26" s="1"/>
  <c r="C27"/>
  <c r="D27" s="1"/>
  <c r="B13" i="220" s="1"/>
  <c r="E27" i="16"/>
  <c r="F27" s="1"/>
  <c r="G27" s="1"/>
  <c r="H27" s="1"/>
  <c r="C13" i="220" s="1"/>
  <c r="I27" i="16"/>
  <c r="J27" s="1"/>
  <c r="K27" s="1"/>
  <c r="L27" s="1"/>
  <c r="M27"/>
  <c r="N27" s="1"/>
  <c r="O27" s="1"/>
  <c r="P27" s="1"/>
  <c r="E13" i="220" s="1"/>
  <c r="Q27" i="16"/>
  <c r="R27"/>
  <c r="S27" s="1"/>
  <c r="T27" s="1"/>
  <c r="F13" i="220" s="1"/>
  <c r="U27" i="16"/>
  <c r="V27" s="1"/>
  <c r="W27" s="1"/>
  <c r="X27" s="1"/>
  <c r="Y27"/>
  <c r="Z27"/>
  <c r="AA27" s="1"/>
  <c r="AB27" s="1"/>
  <c r="H13" i="220" s="1"/>
  <c r="AC27" i="16"/>
  <c r="AD27" s="1"/>
  <c r="AE27" s="1"/>
  <c r="AF27" s="1"/>
  <c r="AG27"/>
  <c r="AH27" s="1"/>
  <c r="AI27" s="1"/>
  <c r="AJ27" s="1"/>
  <c r="AK27"/>
  <c r="AL27" s="1"/>
  <c r="AM27" s="1"/>
  <c r="AN27" s="1"/>
  <c r="K13" i="220" s="1"/>
  <c r="AO27" i="16"/>
  <c r="AP27"/>
  <c r="AQ27" s="1"/>
  <c r="AR27" s="1"/>
  <c r="C28"/>
  <c r="D28" s="1"/>
  <c r="B14" i="220" s="1"/>
  <c r="E28" i="16"/>
  <c r="F28"/>
  <c r="G28" s="1"/>
  <c r="H28" s="1"/>
  <c r="I28"/>
  <c r="J28" s="1"/>
  <c r="K28" s="1"/>
  <c r="L28" s="1"/>
  <c r="D14" i="220" s="1"/>
  <c r="M28" i="16"/>
  <c r="N28"/>
  <c r="O28" s="1"/>
  <c r="P28" s="1"/>
  <c r="Q28"/>
  <c r="R28" s="1"/>
  <c r="S28" s="1"/>
  <c r="T28" s="1"/>
  <c r="U28"/>
  <c r="V28"/>
  <c r="W28" s="1"/>
  <c r="X28" s="1"/>
  <c r="Y28"/>
  <c r="Z28" s="1"/>
  <c r="AA28" s="1"/>
  <c r="AB28" s="1"/>
  <c r="H14" i="220" s="1"/>
  <c r="AC28" i="16"/>
  <c r="AD28"/>
  <c r="AE28" s="1"/>
  <c r="AF28" s="1"/>
  <c r="I14" i="220" s="1"/>
  <c r="AG28" i="16"/>
  <c r="AH28" s="1"/>
  <c r="AI28" s="1"/>
  <c r="AJ28" s="1"/>
  <c r="AK28"/>
  <c r="AL28"/>
  <c r="AM28" s="1"/>
  <c r="AN28" s="1"/>
  <c r="K14" i="220" s="1"/>
  <c r="AO28" i="16"/>
  <c r="AP28" s="1"/>
  <c r="AQ28" s="1"/>
  <c r="AR28" s="1"/>
  <c r="C29"/>
  <c r="D29" s="1"/>
  <c r="B15" i="220" s="1"/>
  <c r="E29" i="16"/>
  <c r="F29" s="1"/>
  <c r="G29" s="1"/>
  <c r="H29" s="1"/>
  <c r="I29"/>
  <c r="J29" s="1"/>
  <c r="K29" s="1"/>
  <c r="L29" s="1"/>
  <c r="D15" i="220" s="1"/>
  <c r="M29" i="16"/>
  <c r="N29" s="1"/>
  <c r="O29" s="1"/>
  <c r="P29" s="1"/>
  <c r="E15" i="220" s="1"/>
  <c r="Q29" i="16"/>
  <c r="R29"/>
  <c r="S29" s="1"/>
  <c r="T29" s="1"/>
  <c r="F15" i="220" s="1"/>
  <c r="U29" i="16"/>
  <c r="V29" s="1"/>
  <c r="W29" s="1"/>
  <c r="X29" s="1"/>
  <c r="G15" i="220" s="1"/>
  <c r="Y29" i="16"/>
  <c r="Z29"/>
  <c r="AA29" s="1"/>
  <c r="AB29" s="1"/>
  <c r="AC29"/>
  <c r="AD29" s="1"/>
  <c r="AE29" s="1"/>
  <c r="AF29" s="1"/>
  <c r="AG29"/>
  <c r="AH29" s="1"/>
  <c r="AI29" s="1"/>
  <c r="AJ29" s="1"/>
  <c r="J15" i="220" s="1"/>
  <c r="AK29" i="16"/>
  <c r="AL29"/>
  <c r="AM29" s="1"/>
  <c r="AN29" s="1"/>
  <c r="AO29"/>
  <c r="AP29" s="1"/>
  <c r="AQ29" s="1"/>
  <c r="AR29" s="1"/>
  <c r="C30"/>
  <c r="D30" s="1"/>
  <c r="B16" i="220" s="1"/>
  <c r="E30" i="16"/>
  <c r="F30" s="1"/>
  <c r="G30" s="1"/>
  <c r="H30" s="1"/>
  <c r="C16" i="220" s="1"/>
  <c r="I30" i="16"/>
  <c r="J30"/>
  <c r="K30" s="1"/>
  <c r="L30" s="1"/>
  <c r="D16" i="220" s="1"/>
  <c r="M30" i="16"/>
  <c r="N30" s="1"/>
  <c r="O30" s="1"/>
  <c r="P30" s="1"/>
  <c r="E16" i="220" s="1"/>
  <c r="Q30" i="16"/>
  <c r="R30"/>
  <c r="S30" s="1"/>
  <c r="T30" s="1"/>
  <c r="U30"/>
  <c r="V30" s="1"/>
  <c r="W30" s="1"/>
  <c r="X30" s="1"/>
  <c r="G16" i="220" s="1"/>
  <c r="Y30" i="16"/>
  <c r="Z30" s="1"/>
  <c r="AA30" s="1"/>
  <c r="AB30" s="1"/>
  <c r="AC30"/>
  <c r="AD30" s="1"/>
  <c r="AE30" s="1"/>
  <c r="AF30" s="1"/>
  <c r="I16" i="220" s="1"/>
  <c r="AG30" i="16"/>
  <c r="AH30"/>
  <c r="AI30" s="1"/>
  <c r="AJ30" s="1"/>
  <c r="J16" i="220" s="1"/>
  <c r="AK30" i="16"/>
  <c r="AL30" s="1"/>
  <c r="AM30" s="1"/>
  <c r="AN30" s="1"/>
  <c r="K16" i="220" s="1"/>
  <c r="AO30" i="16"/>
  <c r="AP30"/>
  <c r="AQ30" s="1"/>
  <c r="AR30" s="1"/>
  <c r="C31"/>
  <c r="D31" s="1"/>
  <c r="E31"/>
  <c r="F31"/>
  <c r="G31" s="1"/>
  <c r="H31" s="1"/>
  <c r="C17" i="220" s="1"/>
  <c r="I31" i="16"/>
  <c r="J31" s="1"/>
  <c r="K31" s="1"/>
  <c r="L31" s="1"/>
  <c r="D17" i="220" s="1"/>
  <c r="M31" i="16"/>
  <c r="N31" s="1"/>
  <c r="O31" s="1"/>
  <c r="P31" s="1"/>
  <c r="Q31"/>
  <c r="R31" s="1"/>
  <c r="S31" s="1"/>
  <c r="T31" s="1"/>
  <c r="F17" i="220" s="1"/>
  <c r="U31" i="16"/>
  <c r="V31" s="1"/>
  <c r="W31" s="1"/>
  <c r="X31" s="1"/>
  <c r="Y31"/>
  <c r="Z31" s="1"/>
  <c r="AA31" s="1"/>
  <c r="AB31" s="1"/>
  <c r="H17" i="220" s="1"/>
  <c r="AC31" i="16"/>
  <c r="AD31"/>
  <c r="AE31" s="1"/>
  <c r="AF31" s="1"/>
  <c r="I17" i="220" s="1"/>
  <c r="AG31" i="16"/>
  <c r="AH31" s="1"/>
  <c r="AI31" s="1"/>
  <c r="AJ31" s="1"/>
  <c r="J17" i="220" s="1"/>
  <c r="AK31" i="16"/>
  <c r="AL31"/>
  <c r="AM31" s="1"/>
  <c r="AN31" s="1"/>
  <c r="K17" i="220" s="1"/>
  <c r="AO31" i="16"/>
  <c r="AP31" s="1"/>
  <c r="AQ31" s="1"/>
  <c r="AR31" s="1"/>
  <c r="C32"/>
  <c r="D32" s="1"/>
  <c r="E32"/>
  <c r="F32" s="1"/>
  <c r="G32" s="1"/>
  <c r="H32" s="1"/>
  <c r="C18" i="220" s="1"/>
  <c r="I32" i="16"/>
  <c r="J32"/>
  <c r="K32" s="1"/>
  <c r="L32" s="1"/>
  <c r="D18" i="220" s="1"/>
  <c r="M32" i="16"/>
  <c r="N32" s="1"/>
  <c r="O32" s="1"/>
  <c r="P32" s="1"/>
  <c r="Q32"/>
  <c r="R32"/>
  <c r="S32" s="1"/>
  <c r="T32" s="1"/>
  <c r="F18" i="220" s="1"/>
  <c r="U32" i="16"/>
  <c r="V32" s="1"/>
  <c r="W32" s="1"/>
  <c r="X32" s="1"/>
  <c r="Y32"/>
  <c r="Z32" s="1"/>
  <c r="AA32" s="1"/>
  <c r="AB32" s="1"/>
  <c r="H18" i="220" s="1"/>
  <c r="AC32" i="16"/>
  <c r="AD32" s="1"/>
  <c r="AE32" s="1"/>
  <c r="AF32" s="1"/>
  <c r="I18" i="220" s="1"/>
  <c r="AG32" i="16"/>
  <c r="AH32"/>
  <c r="AI32" s="1"/>
  <c r="AJ32" s="1"/>
  <c r="AK32"/>
  <c r="AL32" s="1"/>
  <c r="AM32" s="1"/>
  <c r="AN32" s="1"/>
  <c r="K18" i="220" s="1"/>
  <c r="AO32" i="16"/>
  <c r="AP32"/>
  <c r="AQ32" s="1"/>
  <c r="AR32" s="1"/>
  <c r="C33"/>
  <c r="D33" s="1"/>
  <c r="E33"/>
  <c r="F33"/>
  <c r="G33" s="1"/>
  <c r="H33" s="1"/>
  <c r="C19" i="220" s="1"/>
  <c r="I33" i="16"/>
  <c r="J33" s="1"/>
  <c r="K33" s="1"/>
  <c r="L33" s="1"/>
  <c r="D19" i="220" s="1"/>
  <c r="M33" i="16"/>
  <c r="N33" s="1"/>
  <c r="O33" s="1"/>
  <c r="P33" s="1"/>
  <c r="Q33"/>
  <c r="R33" s="1"/>
  <c r="S33" s="1"/>
  <c r="T33" s="1"/>
  <c r="F19" i="220" s="1"/>
  <c r="U33" i="16"/>
  <c r="V33" s="1"/>
  <c r="W33" s="1"/>
  <c r="X33" s="1"/>
  <c r="Y33"/>
  <c r="Z33" s="1"/>
  <c r="AA33" s="1"/>
  <c r="AB33" s="1"/>
  <c r="H19" i="220" s="1"/>
  <c r="AC33" i="16"/>
  <c r="AD33"/>
  <c r="AE33" s="1"/>
  <c r="AF33" s="1"/>
  <c r="AG33"/>
  <c r="AH33" s="1"/>
  <c r="AI33" s="1"/>
  <c r="AJ33" s="1"/>
  <c r="AK33"/>
  <c r="AL33"/>
  <c r="AM33" s="1"/>
  <c r="AN33" s="1"/>
  <c r="K19" i="220" s="1"/>
  <c r="AO33" i="16"/>
  <c r="AP33" s="1"/>
  <c r="AQ33" s="1"/>
  <c r="AR33" s="1"/>
  <c r="L19" i="220" s="1"/>
  <c r="C34" i="16"/>
  <c r="D34" s="1"/>
  <c r="B20" i="220" s="1"/>
  <c r="E34" i="16"/>
  <c r="F34" s="1"/>
  <c r="G34" s="1"/>
  <c r="H34" s="1"/>
  <c r="C20" i="220" s="1"/>
  <c r="I34" i="16"/>
  <c r="J34"/>
  <c r="K34" s="1"/>
  <c r="L34" s="1"/>
  <c r="M34"/>
  <c r="N34" s="1"/>
  <c r="O34" s="1"/>
  <c r="P34" s="1"/>
  <c r="E20" i="220" s="1"/>
  <c r="Q34" i="16"/>
  <c r="R34"/>
  <c r="S34" s="1"/>
  <c r="T34" s="1"/>
  <c r="F20" i="220" s="1"/>
  <c r="U34" i="16"/>
  <c r="V34" s="1"/>
  <c r="W34" s="1"/>
  <c r="X34" s="1"/>
  <c r="Y34"/>
  <c r="Z34" s="1"/>
  <c r="AA34" s="1"/>
  <c r="AB34" s="1"/>
  <c r="AC34"/>
  <c r="AD34" s="1"/>
  <c r="AE34" s="1"/>
  <c r="AF34" s="1"/>
  <c r="I20" i="220" s="1"/>
  <c r="AG34" i="16"/>
  <c r="AH34" s="1"/>
  <c r="AI34" s="1"/>
  <c r="AJ34" s="1"/>
  <c r="AK34"/>
  <c r="AL34" s="1"/>
  <c r="AM34" s="1"/>
  <c r="AN34" s="1"/>
  <c r="K20" i="220" s="1"/>
  <c r="AO34" i="16"/>
  <c r="AP34"/>
  <c r="AQ34" s="1"/>
  <c r="AR34" s="1"/>
  <c r="L20" i="220" s="1"/>
  <c r="C35" i="16"/>
  <c r="D35" s="1"/>
  <c r="E35"/>
  <c r="F35"/>
  <c r="G35" s="1"/>
  <c r="H35" s="1"/>
  <c r="C21" i="220" s="1"/>
  <c r="I35" i="16"/>
  <c r="J35" s="1"/>
  <c r="K35" s="1"/>
  <c r="L35" s="1"/>
  <c r="M35"/>
  <c r="N35" s="1"/>
  <c r="O35" s="1"/>
  <c r="P35" s="1"/>
  <c r="Q35"/>
  <c r="R35" s="1"/>
  <c r="S35" s="1"/>
  <c r="T35" s="1"/>
  <c r="F21" i="220" s="1"/>
  <c r="U35" i="16"/>
  <c r="V35" s="1"/>
  <c r="W35" s="1"/>
  <c r="X35" s="1"/>
  <c r="Y35"/>
  <c r="Z35" s="1"/>
  <c r="AA35" s="1"/>
  <c r="AB35" s="1"/>
  <c r="H21" i="220" s="1"/>
  <c r="AC35" i="16"/>
  <c r="AD35"/>
  <c r="AE35" s="1"/>
  <c r="AF35" s="1"/>
  <c r="AG35"/>
  <c r="AH35" s="1"/>
  <c r="AI35" s="1"/>
  <c r="AJ35" s="1"/>
  <c r="AK35"/>
  <c r="AL35"/>
  <c r="AM35" s="1"/>
  <c r="AN35" s="1"/>
  <c r="K21" i="220" s="1"/>
  <c r="AO35" i="16"/>
  <c r="AP35" s="1"/>
  <c r="AQ35" s="1"/>
  <c r="AR35" s="1"/>
  <c r="C36"/>
  <c r="D36" s="1"/>
  <c r="E36"/>
  <c r="F36" s="1"/>
  <c r="G36" s="1"/>
  <c r="H36" s="1"/>
  <c r="C22" i="220" s="1"/>
  <c r="I36" i="16"/>
  <c r="J36"/>
  <c r="K36" s="1"/>
  <c r="L36" s="1"/>
  <c r="M36"/>
  <c r="N36" s="1"/>
  <c r="O36" s="1"/>
  <c r="P36" s="1"/>
  <c r="Q36"/>
  <c r="R36" s="1"/>
  <c r="S36" s="1"/>
  <c r="T36" s="1"/>
  <c r="U36"/>
  <c r="V36" s="1"/>
  <c r="W36" s="1"/>
  <c r="X36" s="1"/>
  <c r="G22" i="220" s="1"/>
  <c r="Y36" i="16"/>
  <c r="Z36" s="1"/>
  <c r="AA36" s="1"/>
  <c r="AB36" s="1"/>
  <c r="AC36"/>
  <c r="AD36" s="1"/>
  <c r="AE36" s="1"/>
  <c r="AF36" s="1"/>
  <c r="AG36"/>
  <c r="AH36" s="1"/>
  <c r="AI36" s="1"/>
  <c r="AJ36" s="1"/>
  <c r="AK36"/>
  <c r="AL36" s="1"/>
  <c r="AM36" s="1"/>
  <c r="AN36" s="1"/>
  <c r="K22" i="220" s="1"/>
  <c r="AO36" i="16"/>
  <c r="AP36" s="1"/>
  <c r="AQ36" s="1"/>
  <c r="AR36" s="1"/>
  <c r="C37"/>
  <c r="D37" s="1"/>
  <c r="B23" i="220" s="1"/>
  <c r="E37" i="16"/>
  <c r="F37"/>
  <c r="G37" s="1"/>
  <c r="H37" s="1"/>
  <c r="I37"/>
  <c r="J37" s="1"/>
  <c r="K37" s="1"/>
  <c r="L37" s="1"/>
  <c r="M37"/>
  <c r="N37"/>
  <c r="O37" s="1"/>
  <c r="P37" s="1"/>
  <c r="E23" i="220" s="1"/>
  <c r="Q37" i="16"/>
  <c r="R37" s="1"/>
  <c r="S37" s="1"/>
  <c r="T37" s="1"/>
  <c r="U37"/>
  <c r="V37" s="1"/>
  <c r="W37" s="1"/>
  <c r="X37" s="1"/>
  <c r="G23" i="220" s="1"/>
  <c r="Y37" i="16"/>
  <c r="Z37" s="1"/>
  <c r="AA37" s="1"/>
  <c r="AB37" s="1"/>
  <c r="H23" i="220" s="1"/>
  <c r="AC37" i="16"/>
  <c r="AD37"/>
  <c r="AE37" s="1"/>
  <c r="AF37" s="1"/>
  <c r="AG37"/>
  <c r="AH37" s="1"/>
  <c r="AI37" s="1"/>
  <c r="AJ37" s="1"/>
  <c r="J23" i="220" s="1"/>
  <c r="AK37" i="16"/>
  <c r="AL37"/>
  <c r="AM37" s="1"/>
  <c r="AN37" s="1"/>
  <c r="AO37"/>
  <c r="AP37" s="1"/>
  <c r="AQ37" s="1"/>
  <c r="AR37" s="1"/>
  <c r="L23" i="220" s="1"/>
  <c r="C38" i="16"/>
  <c r="D38" s="1"/>
  <c r="B24" i="220" s="1"/>
  <c r="E38" i="16"/>
  <c r="F38" s="1"/>
  <c r="G38" s="1"/>
  <c r="H38" s="1"/>
  <c r="C24" i="220" s="1"/>
  <c r="C44" s="1"/>
  <c r="I38" i="16"/>
  <c r="J38"/>
  <c r="K38" s="1"/>
  <c r="L38" s="1"/>
  <c r="M38"/>
  <c r="N38" s="1"/>
  <c r="O38" s="1"/>
  <c r="P38" s="1"/>
  <c r="E24" i="220" s="1"/>
  <c r="Q38" i="16"/>
  <c r="R38"/>
  <c r="S38" s="1"/>
  <c r="T38" s="1"/>
  <c r="U38"/>
  <c r="V38" s="1"/>
  <c r="W38" s="1"/>
  <c r="X38" s="1"/>
  <c r="Y38"/>
  <c r="Z38"/>
  <c r="AA38" s="1"/>
  <c r="AB38" s="1"/>
  <c r="H24" i="220" s="1"/>
  <c r="AC38" i="16"/>
  <c r="AD38" s="1"/>
  <c r="AE38" s="1"/>
  <c r="AF38" s="1"/>
  <c r="AG38"/>
  <c r="AH38" s="1"/>
  <c r="AI38" s="1"/>
  <c r="AJ38" s="1"/>
  <c r="AK38"/>
  <c r="AL38" s="1"/>
  <c r="AM38" s="1"/>
  <c r="AN38" s="1"/>
  <c r="K24" i="220" s="1"/>
  <c r="K39" s="1"/>
  <c r="AO38" i="16"/>
  <c r="AP38" s="1"/>
  <c r="AQ38" s="1"/>
  <c r="AR38" s="1"/>
  <c r="L24" i="220" s="1"/>
  <c r="C39" i="16"/>
  <c r="D39" s="1"/>
  <c r="B25" i="220" s="1"/>
  <c r="E39" i="16"/>
  <c r="F39"/>
  <c r="G39" s="1"/>
  <c r="H39" s="1"/>
  <c r="C25" i="220" s="1"/>
  <c r="I39" i="16"/>
  <c r="J39" s="1"/>
  <c r="K39" s="1"/>
  <c r="L39" s="1"/>
  <c r="D25" i="220" s="1"/>
  <c r="M39" i="16"/>
  <c r="N39"/>
  <c r="O39" s="1"/>
  <c r="P39" s="1"/>
  <c r="E25" i="220" s="1"/>
  <c r="Q39" i="16"/>
  <c r="R39" s="1"/>
  <c r="S39" s="1"/>
  <c r="T39" s="1"/>
  <c r="U39"/>
  <c r="V39" s="1"/>
  <c r="W39" s="1"/>
  <c r="X39" s="1"/>
  <c r="G25" i="220" s="1"/>
  <c r="Y39" i="16"/>
  <c r="Z39" s="1"/>
  <c r="AA39" s="1"/>
  <c r="AB39" s="1"/>
  <c r="H25" i="220" s="1"/>
  <c r="AC39" i="16"/>
  <c r="AD39" s="1"/>
  <c r="AE39" s="1"/>
  <c r="AF39" s="1"/>
  <c r="AG39"/>
  <c r="AH39" s="1"/>
  <c r="AI39" s="1"/>
  <c r="AJ39" s="1"/>
  <c r="AK39"/>
  <c r="AL39"/>
  <c r="AM39" s="1"/>
  <c r="AN39" s="1"/>
  <c r="K25" i="220" s="1"/>
  <c r="AO39" i="16"/>
  <c r="AP39" s="1"/>
  <c r="AQ39" s="1"/>
  <c r="AR39" s="1"/>
  <c r="C40"/>
  <c r="D40" s="1"/>
  <c r="B26" i="220" s="1"/>
  <c r="E40" i="16"/>
  <c r="F40" s="1"/>
  <c r="G40" s="1"/>
  <c r="H40" s="1"/>
  <c r="C26" i="220" s="1"/>
  <c r="I40" i="16"/>
  <c r="J40" s="1"/>
  <c r="K40" s="1"/>
  <c r="L40" s="1"/>
  <c r="M40"/>
  <c r="N40" s="1"/>
  <c r="O40" s="1"/>
  <c r="P40" s="1"/>
  <c r="E26" i="220" s="1"/>
  <c r="Q40" i="16"/>
  <c r="R40"/>
  <c r="S40" s="1"/>
  <c r="T40" s="1"/>
  <c r="U40"/>
  <c r="V40" s="1"/>
  <c r="W40" s="1"/>
  <c r="X40" s="1"/>
  <c r="G26" i="220" s="1"/>
  <c r="Y40" i="16"/>
  <c r="Z40"/>
  <c r="AA40" s="1"/>
  <c r="AB40" s="1"/>
  <c r="H26" i="220" s="1"/>
  <c r="AC40" i="16"/>
  <c r="AD40" s="1"/>
  <c r="AE40" s="1"/>
  <c r="AF40" s="1"/>
  <c r="I26" i="220" s="1"/>
  <c r="AG40" i="16"/>
  <c r="AH40" s="1"/>
  <c r="AI40" s="1"/>
  <c r="AJ40" s="1"/>
  <c r="AK40"/>
  <c r="AL40" s="1"/>
  <c r="AM40" s="1"/>
  <c r="AN40" s="1"/>
  <c r="K26" i="220" s="1"/>
  <c r="AO40" i="16"/>
  <c r="AP40" s="1"/>
  <c r="AQ40" s="1"/>
  <c r="AR40" s="1"/>
  <c r="C41"/>
  <c r="D41" s="1"/>
  <c r="B27" i="220" s="1"/>
  <c r="E41" i="16"/>
  <c r="F41"/>
  <c r="G41" s="1"/>
  <c r="H41" s="1"/>
  <c r="I41"/>
  <c r="J41" s="1"/>
  <c r="K41" s="1"/>
  <c r="L41" s="1"/>
  <c r="M41"/>
  <c r="N41"/>
  <c r="O41" s="1"/>
  <c r="P41" s="1"/>
  <c r="E27" i="220" s="1"/>
  <c r="Q41" i="16"/>
  <c r="R41" s="1"/>
  <c r="S41" s="1"/>
  <c r="T41" s="1"/>
  <c r="U41"/>
  <c r="V41" s="1"/>
  <c r="W41" s="1"/>
  <c r="X41" s="1"/>
  <c r="G27" i="220" s="1"/>
  <c r="Y41" i="16"/>
  <c r="Z41" s="1"/>
  <c r="AA41" s="1"/>
  <c r="AB41" s="1"/>
  <c r="H27" i="220" s="1"/>
  <c r="AC41" i="16"/>
  <c r="AD41"/>
  <c r="AE41" s="1"/>
  <c r="AF41" s="1"/>
  <c r="AG41"/>
  <c r="AH41" s="1"/>
  <c r="AI41" s="1"/>
  <c r="AJ41" s="1"/>
  <c r="J27" i="220" s="1"/>
  <c r="AK41" i="16"/>
  <c r="AL41"/>
  <c r="AM41" s="1"/>
  <c r="AN41" s="1"/>
  <c r="AO41"/>
  <c r="AP41" s="1"/>
  <c r="AQ41" s="1"/>
  <c r="AR41" s="1"/>
  <c r="C42"/>
  <c r="D42" s="1"/>
  <c r="B28" i="220" s="1"/>
  <c r="E42" i="16"/>
  <c r="F42" s="1"/>
  <c r="G42" s="1"/>
  <c r="H42" s="1"/>
  <c r="C28" i="220" s="1"/>
  <c r="I42" i="16"/>
  <c r="J42" s="1"/>
  <c r="K42" s="1"/>
  <c r="L42" s="1"/>
  <c r="N42"/>
  <c r="O42" s="1"/>
  <c r="P42" s="1"/>
  <c r="Q42"/>
  <c r="R42" s="1"/>
  <c r="S42" s="1"/>
  <c r="T42" s="1"/>
  <c r="U42"/>
  <c r="V42" s="1"/>
  <c r="W42" s="1"/>
  <c r="X42" s="1"/>
  <c r="G28" i="220" s="1"/>
  <c r="Y42" i="16"/>
  <c r="Z42" s="1"/>
  <c r="AA42" s="1"/>
  <c r="AB42" s="1"/>
  <c r="AC42"/>
  <c r="AD42" s="1"/>
  <c r="AE42" s="1"/>
  <c r="AF42" s="1"/>
  <c r="AG42"/>
  <c r="AH42" s="1"/>
  <c r="AI42" s="1"/>
  <c r="AJ42" s="1"/>
  <c r="AK42"/>
  <c r="AL42" s="1"/>
  <c r="AM42" s="1"/>
  <c r="AN42" s="1"/>
  <c r="K28" i="220" s="1"/>
  <c r="AO42" i="16"/>
  <c r="AP42" s="1"/>
  <c r="AQ42" s="1"/>
  <c r="AR42" s="1"/>
  <c r="C43"/>
  <c r="D43" s="1"/>
  <c r="J43"/>
  <c r="K43" s="1"/>
  <c r="L43" s="1"/>
  <c r="D29" i="220" s="1"/>
  <c r="R43" i="16"/>
  <c r="S43" s="1"/>
  <c r="T43" s="1"/>
  <c r="F29" i="220" s="1"/>
  <c r="Z43" i="16"/>
  <c r="AA43" s="1"/>
  <c r="AB43" s="1"/>
  <c r="AH43"/>
  <c r="AI43" s="1"/>
  <c r="AJ43" s="1"/>
  <c r="AP43"/>
  <c r="AQ43" s="1"/>
  <c r="AR43" s="1"/>
  <c r="L29" i="220" s="1"/>
  <c r="D44" i="16"/>
  <c r="B30" i="220" s="1"/>
  <c r="C7" i="18"/>
  <c r="E7"/>
  <c r="I7"/>
  <c r="K7"/>
  <c r="M7"/>
  <c r="O7"/>
  <c r="P7"/>
  <c r="AG7"/>
  <c r="AX7"/>
  <c r="BO7"/>
  <c r="CF7"/>
  <c r="CW7"/>
  <c r="DN7"/>
  <c r="EE7"/>
  <c r="EV7"/>
  <c r="FM7"/>
  <c r="GD7"/>
  <c r="C8"/>
  <c r="E8"/>
  <c r="I8"/>
  <c r="K8"/>
  <c r="M8"/>
  <c r="P8"/>
  <c r="AG8"/>
  <c r="AX8"/>
  <c r="BO8"/>
  <c r="CF8"/>
  <c r="CW8"/>
  <c r="DN8"/>
  <c r="EE8"/>
  <c r="EV8"/>
  <c r="FM8"/>
  <c r="GD8"/>
  <c r="C9"/>
  <c r="E9"/>
  <c r="I9"/>
  <c r="K9"/>
  <c r="M9"/>
  <c r="P9"/>
  <c r="AG9"/>
  <c r="AX9"/>
  <c r="BO9"/>
  <c r="CF9"/>
  <c r="CW9"/>
  <c r="DN9"/>
  <c r="EE9"/>
  <c r="EV9"/>
  <c r="FM9"/>
  <c r="GD9"/>
  <c r="C10"/>
  <c r="E10"/>
  <c r="I10"/>
  <c r="K10"/>
  <c r="M10"/>
  <c r="P10"/>
  <c r="AG10"/>
  <c r="AX10"/>
  <c r="BO10"/>
  <c r="CF10"/>
  <c r="CW10"/>
  <c r="DN10"/>
  <c r="EE10"/>
  <c r="EV10"/>
  <c r="FM10"/>
  <c r="GD10"/>
  <c r="C11"/>
  <c r="E11"/>
  <c r="I11"/>
  <c r="K11"/>
  <c r="M11"/>
  <c r="P11"/>
  <c r="AG11"/>
  <c r="AX11"/>
  <c r="BO11"/>
  <c r="CF11"/>
  <c r="CW11"/>
  <c r="DN11"/>
  <c r="EE11"/>
  <c r="EV11"/>
  <c r="FM11"/>
  <c r="GD11"/>
  <c r="C12"/>
  <c r="E12"/>
  <c r="I12"/>
  <c r="K12"/>
  <c r="M12"/>
  <c r="P12"/>
  <c r="T12"/>
  <c r="V12"/>
  <c r="AG12"/>
  <c r="AE11" s="1"/>
  <c r="AX12"/>
  <c r="BO12"/>
  <c r="CF12"/>
  <c r="CW12"/>
  <c r="CU11" s="1"/>
  <c r="CS11" s="1"/>
  <c r="DN12"/>
  <c r="EE12"/>
  <c r="EV12"/>
  <c r="FM12"/>
  <c r="FK11" s="1"/>
  <c r="GD12"/>
  <c r="C13"/>
  <c r="E13"/>
  <c r="I13"/>
  <c r="K13"/>
  <c r="M13"/>
  <c r="P13"/>
  <c r="T13"/>
  <c r="V13"/>
  <c r="AG13"/>
  <c r="AX13"/>
  <c r="BO13"/>
  <c r="CF13"/>
  <c r="CW13"/>
  <c r="DN13"/>
  <c r="EE13"/>
  <c r="EV13"/>
  <c r="FM13"/>
  <c r="GD13"/>
  <c r="C14"/>
  <c r="E14"/>
  <c r="I14"/>
  <c r="K14"/>
  <c r="M14"/>
  <c r="P14"/>
  <c r="T14"/>
  <c r="V14"/>
  <c r="AG14"/>
  <c r="AX14"/>
  <c r="BO14"/>
  <c r="CF14"/>
  <c r="CW14"/>
  <c r="DN14"/>
  <c r="EE14"/>
  <c r="EV14"/>
  <c r="FM14"/>
  <c r="GD14"/>
  <c r="C15"/>
  <c r="E15"/>
  <c r="I15"/>
  <c r="K15"/>
  <c r="M15"/>
  <c r="P15"/>
  <c r="T15"/>
  <c r="V15"/>
  <c r="AG15"/>
  <c r="AX15"/>
  <c r="BO15"/>
  <c r="CF15"/>
  <c r="CW15"/>
  <c r="DN15"/>
  <c r="EE15"/>
  <c r="EV15"/>
  <c r="FM15"/>
  <c r="GD15"/>
  <c r="C16"/>
  <c r="E16"/>
  <c r="I16"/>
  <c r="K16"/>
  <c r="M16"/>
  <c r="P16"/>
  <c r="T16"/>
  <c r="V16"/>
  <c r="AG16"/>
  <c r="AX16"/>
  <c r="BO16"/>
  <c r="CF16"/>
  <c r="CW16"/>
  <c r="DN16"/>
  <c r="EE16"/>
  <c r="EV16"/>
  <c r="FM16"/>
  <c r="GD16"/>
  <c r="CH17"/>
  <c r="P18"/>
  <c r="P49" s="1"/>
  <c r="AG18"/>
  <c r="AG49" s="1"/>
  <c r="AX18"/>
  <c r="AX49" s="1"/>
  <c r="BO18"/>
  <c r="BO49" s="1"/>
  <c r="CF18"/>
  <c r="CF49" s="1"/>
  <c r="CW18"/>
  <c r="CW49" s="1"/>
  <c r="DN18"/>
  <c r="DN49" s="1"/>
  <c r="EE18"/>
  <c r="EE49" s="1"/>
  <c r="EV18"/>
  <c r="EV49" s="1"/>
  <c r="FM18"/>
  <c r="FM49" s="1"/>
  <c r="GD18"/>
  <c r="GD49" s="1"/>
  <c r="P19"/>
  <c r="AG19"/>
  <c r="AX19"/>
  <c r="BO19"/>
  <c r="CF19"/>
  <c r="CW19"/>
  <c r="DN19"/>
  <c r="EE19"/>
  <c r="EV19"/>
  <c r="FM19"/>
  <c r="GD19"/>
  <c r="P20"/>
  <c r="AG20"/>
  <c r="AX20"/>
  <c r="BO20"/>
  <c r="CF20"/>
  <c r="CW20"/>
  <c r="DN20"/>
  <c r="EE20"/>
  <c r="EV20"/>
  <c r="FM20"/>
  <c r="GD20"/>
  <c r="P21"/>
  <c r="AG21"/>
  <c r="AX21"/>
  <c r="BO21"/>
  <c r="CF21"/>
  <c r="CW21"/>
  <c r="DN21"/>
  <c r="EE21"/>
  <c r="EV21"/>
  <c r="FM21"/>
  <c r="GD21"/>
  <c r="P22"/>
  <c r="AG22"/>
  <c r="AX22"/>
  <c r="BO22"/>
  <c r="CF22"/>
  <c r="CW22"/>
  <c r="DN22"/>
  <c r="EE22"/>
  <c r="EV22"/>
  <c r="FM22"/>
  <c r="GD22"/>
  <c r="P23"/>
  <c r="AG23"/>
  <c r="AX23"/>
  <c r="BO23"/>
  <c r="CF23"/>
  <c r="CW23"/>
  <c r="DN23"/>
  <c r="EE23"/>
  <c r="EV23"/>
  <c r="FM23"/>
  <c r="GD23"/>
  <c r="P24"/>
  <c r="AG24"/>
  <c r="AX24"/>
  <c r="BO24"/>
  <c r="CF24"/>
  <c r="CW24"/>
  <c r="DN24"/>
  <c r="EE24"/>
  <c r="EV24"/>
  <c r="FM24"/>
  <c r="GD24"/>
  <c r="P25"/>
  <c r="AG25"/>
  <c r="AX25"/>
  <c r="BO25"/>
  <c r="CF25"/>
  <c r="CW25"/>
  <c r="DN25"/>
  <c r="EE25"/>
  <c r="EV25"/>
  <c r="FM25"/>
  <c r="GD25"/>
  <c r="P26"/>
  <c r="AG26"/>
  <c r="AX26"/>
  <c r="BO26"/>
  <c r="CF26"/>
  <c r="CW26"/>
  <c r="DN26"/>
  <c r="EE26"/>
  <c r="EV26"/>
  <c r="FM26"/>
  <c r="GD26"/>
  <c r="P27"/>
  <c r="AG27"/>
  <c r="AX27"/>
  <c r="BO27"/>
  <c r="CF27"/>
  <c r="CW27"/>
  <c r="DN27"/>
  <c r="EE27"/>
  <c r="EV27"/>
  <c r="FM27"/>
  <c r="GD27"/>
  <c r="P28"/>
  <c r="AG28"/>
  <c r="AX28"/>
  <c r="BO28"/>
  <c r="CF28"/>
  <c r="CW28"/>
  <c r="DN28"/>
  <c r="EE28"/>
  <c r="EV28"/>
  <c r="FM28"/>
  <c r="GD28"/>
  <c r="P29"/>
  <c r="AG29"/>
  <c r="AX29"/>
  <c r="BO29"/>
  <c r="CF29"/>
  <c r="CW29"/>
  <c r="DN29"/>
  <c r="EE29"/>
  <c r="EV29"/>
  <c r="FM29"/>
  <c r="GD29"/>
  <c r="P30"/>
  <c r="AG30"/>
  <c r="AX30"/>
  <c r="BO30"/>
  <c r="CF30"/>
  <c r="CW30"/>
  <c r="DN30"/>
  <c r="EE30"/>
  <c r="EV30"/>
  <c r="FM30"/>
  <c r="GD30"/>
  <c r="P31"/>
  <c r="AG31"/>
  <c r="AX31"/>
  <c r="BO31"/>
  <c r="CF31"/>
  <c r="CW31"/>
  <c r="DN31"/>
  <c r="EE31"/>
  <c r="EV31"/>
  <c r="FM31"/>
  <c r="GD31"/>
  <c r="P32"/>
  <c r="AG32"/>
  <c r="AX32"/>
  <c r="BO32"/>
  <c r="CF32"/>
  <c r="CW32"/>
  <c r="DN32"/>
  <c r="EE32"/>
  <c r="EV32"/>
  <c r="FM32"/>
  <c r="GD32"/>
  <c r="P33"/>
  <c r="AG33"/>
  <c r="AX33"/>
  <c r="BO33"/>
  <c r="CF33"/>
  <c r="CW33"/>
  <c r="DN33"/>
  <c r="EE33"/>
  <c r="EV33"/>
  <c r="FM33"/>
  <c r="GD33"/>
  <c r="P34"/>
  <c r="AG34"/>
  <c r="AX34"/>
  <c r="BO34"/>
  <c r="CF34"/>
  <c r="CW34"/>
  <c r="DN34"/>
  <c r="EE34"/>
  <c r="EV34"/>
  <c r="FM34"/>
  <c r="GD34"/>
  <c r="P35"/>
  <c r="AG35"/>
  <c r="AX35"/>
  <c r="BO35"/>
  <c r="CF35"/>
  <c r="CW35"/>
  <c r="DN35"/>
  <c r="EE35"/>
  <c r="EV35"/>
  <c r="FM35"/>
  <c r="GD35"/>
  <c r="P36"/>
  <c r="AG36"/>
  <c r="AX36"/>
  <c r="BO36"/>
  <c r="CF36"/>
  <c r="CW36"/>
  <c r="DN36"/>
  <c r="EE36"/>
  <c r="EV36"/>
  <c r="FM36"/>
  <c r="GD36"/>
  <c r="P37"/>
  <c r="AG37"/>
  <c r="AX37"/>
  <c r="BO37"/>
  <c r="CF37"/>
  <c r="CW37"/>
  <c r="DN37"/>
  <c r="EE37"/>
  <c r="EV37"/>
  <c r="FM37"/>
  <c r="GD37"/>
  <c r="P38"/>
  <c r="AG38"/>
  <c r="AX38"/>
  <c r="BO38"/>
  <c r="CF38"/>
  <c r="CW38"/>
  <c r="DN38"/>
  <c r="EE38"/>
  <c r="EV38"/>
  <c r="FM38"/>
  <c r="GD38"/>
  <c r="P39"/>
  <c r="AG39"/>
  <c r="AX39"/>
  <c r="BO39"/>
  <c r="CF39"/>
  <c r="CW39"/>
  <c r="DN39"/>
  <c r="EE39"/>
  <c r="EV39"/>
  <c r="FM39"/>
  <c r="GD39"/>
  <c r="P40"/>
  <c r="AG40"/>
  <c r="AX40"/>
  <c r="BO40"/>
  <c r="CF40"/>
  <c r="CW40"/>
  <c r="DN40"/>
  <c r="EE40"/>
  <c r="EV40"/>
  <c r="FM40"/>
  <c r="GD40"/>
  <c r="P41"/>
  <c r="AG41"/>
  <c r="AX41"/>
  <c r="BO41"/>
  <c r="CF41"/>
  <c r="CW41"/>
  <c r="DN41"/>
  <c r="EE41"/>
  <c r="EV41"/>
  <c r="FM41"/>
  <c r="GD41"/>
  <c r="P42"/>
  <c r="AG42"/>
  <c r="AX42"/>
  <c r="BO42"/>
  <c r="CF42"/>
  <c r="CW42"/>
  <c r="DN42"/>
  <c r="EE42"/>
  <c r="EV42"/>
  <c r="FM42"/>
  <c r="GD42"/>
  <c r="P43"/>
  <c r="AG43"/>
  <c r="AX43"/>
  <c r="BO43"/>
  <c r="CF43"/>
  <c r="CW43"/>
  <c r="DN43"/>
  <c r="EE43"/>
  <c r="EV43"/>
  <c r="FM43"/>
  <c r="GD43"/>
  <c r="P44"/>
  <c r="AG44"/>
  <c r="AX44"/>
  <c r="CF44"/>
  <c r="CW44"/>
  <c r="DN44"/>
  <c r="EE44"/>
  <c r="EV44"/>
  <c r="FM44"/>
  <c r="GD44"/>
  <c r="D5" i="69"/>
  <c r="D8"/>
  <c r="H4" s="1"/>
  <c r="D10"/>
  <c r="E9" s="1"/>
  <c r="D12"/>
  <c r="D13"/>
  <c r="J9" s="1"/>
  <c r="D15"/>
  <c r="D17"/>
  <c r="D18"/>
  <c r="D20"/>
  <c r="D22"/>
  <c r="I19" s="1"/>
  <c r="D23"/>
  <c r="D25"/>
  <c r="E24" s="1"/>
  <c r="D27"/>
  <c r="D28"/>
  <c r="J24" s="1"/>
  <c r="CC34" i="18" s="1"/>
  <c r="D30" i="69"/>
  <c r="E29" s="1"/>
  <c r="D32"/>
  <c r="D33"/>
  <c r="J29" s="1"/>
  <c r="D35"/>
  <c r="J34" s="1"/>
  <c r="D37"/>
  <c r="D38"/>
  <c r="D40"/>
  <c r="D42"/>
  <c r="I39" s="1"/>
  <c r="D43"/>
  <c r="D45"/>
  <c r="E44" s="1"/>
  <c r="D47"/>
  <c r="D48"/>
  <c r="J44" s="1"/>
  <c r="ES35" i="18" s="1"/>
  <c r="D50" i="69"/>
  <c r="E49" s="1"/>
  <c r="D52"/>
  <c r="D53"/>
  <c r="J49" s="1"/>
  <c r="D55"/>
  <c r="D57"/>
  <c r="D58"/>
  <c r="C11" i="15"/>
  <c r="C10" s="1"/>
  <c r="C9" s="1"/>
  <c r="C8" s="1"/>
  <c r="E19"/>
  <c r="E50" s="1"/>
  <c r="I19"/>
  <c r="I50" s="1"/>
  <c r="M19"/>
  <c r="M50" s="1"/>
  <c r="Q19"/>
  <c r="Q50" s="1"/>
  <c r="U19"/>
  <c r="U50" s="1"/>
  <c r="Y19"/>
  <c r="Y50" s="1"/>
  <c r="AC19"/>
  <c r="AC50" s="1"/>
  <c r="AG19"/>
  <c r="AG50" s="1"/>
  <c r="AK19"/>
  <c r="AK50" s="1"/>
  <c r="AO19"/>
  <c r="AO50" s="1"/>
  <c r="AS19"/>
  <c r="AS50" s="1"/>
  <c r="E20"/>
  <c r="I20"/>
  <c r="M20"/>
  <c r="Q20"/>
  <c r="U20"/>
  <c r="Y20"/>
  <c r="AC20"/>
  <c r="AG20"/>
  <c r="AK20"/>
  <c r="AO20"/>
  <c r="AS20"/>
  <c r="E21"/>
  <c r="I21"/>
  <c r="M21"/>
  <c r="Q21"/>
  <c r="U21"/>
  <c r="Y21"/>
  <c r="AC21"/>
  <c r="AG21"/>
  <c r="AK21"/>
  <c r="AO21"/>
  <c r="AS21"/>
  <c r="E22"/>
  <c r="I22"/>
  <c r="M22"/>
  <c r="Q22"/>
  <c r="U22"/>
  <c r="Y22"/>
  <c r="AC22"/>
  <c r="AG22"/>
  <c r="AK22"/>
  <c r="AO22"/>
  <c r="AS22"/>
  <c r="E23"/>
  <c r="I23"/>
  <c r="M23"/>
  <c r="Q23"/>
  <c r="U23"/>
  <c r="Y23"/>
  <c r="AC23"/>
  <c r="AG23"/>
  <c r="AK23"/>
  <c r="AO23"/>
  <c r="AS23"/>
  <c r="E24"/>
  <c r="I24"/>
  <c r="M24"/>
  <c r="Q24"/>
  <c r="U24"/>
  <c r="Y24"/>
  <c r="AC24"/>
  <c r="AG24"/>
  <c r="AK24"/>
  <c r="AO24"/>
  <c r="AS24"/>
  <c r="E25"/>
  <c r="I25"/>
  <c r="M25"/>
  <c r="Q25"/>
  <c r="U25"/>
  <c r="Y25"/>
  <c r="AC25"/>
  <c r="AG25"/>
  <c r="AK25"/>
  <c r="AO25"/>
  <c r="AS25"/>
  <c r="E26"/>
  <c r="I26"/>
  <c r="M26"/>
  <c r="Q26"/>
  <c r="U26"/>
  <c r="Y26"/>
  <c r="AC26"/>
  <c r="AG26"/>
  <c r="AK26"/>
  <c r="AO26"/>
  <c r="AS26"/>
  <c r="E27"/>
  <c r="I27"/>
  <c r="M27"/>
  <c r="Q27"/>
  <c r="U27"/>
  <c r="Y27"/>
  <c r="AC27"/>
  <c r="AG27"/>
  <c r="AK27"/>
  <c r="AO27"/>
  <c r="AS27"/>
  <c r="E28"/>
  <c r="I28"/>
  <c r="M28"/>
  <c r="Q28"/>
  <c r="U28"/>
  <c r="Y28"/>
  <c r="AC28"/>
  <c r="AG28"/>
  <c r="AK28"/>
  <c r="AO28"/>
  <c r="AS28"/>
  <c r="E29"/>
  <c r="I29"/>
  <c r="M29"/>
  <c r="Q29"/>
  <c r="U29"/>
  <c r="Y29"/>
  <c r="AC29"/>
  <c r="AG29"/>
  <c r="AK29"/>
  <c r="AO29"/>
  <c r="AS29"/>
  <c r="E30"/>
  <c r="I30"/>
  <c r="M30"/>
  <c r="Q30"/>
  <c r="U30"/>
  <c r="Y30"/>
  <c r="AC30"/>
  <c r="AG30"/>
  <c r="AK30"/>
  <c r="AO30"/>
  <c r="AS30"/>
  <c r="E31"/>
  <c r="I31"/>
  <c r="M31"/>
  <c r="Q31"/>
  <c r="U31"/>
  <c r="Y31"/>
  <c r="AC31"/>
  <c r="AG31"/>
  <c r="AK31"/>
  <c r="AO31"/>
  <c r="AS31"/>
  <c r="E32"/>
  <c r="I32"/>
  <c r="M32"/>
  <c r="Q32"/>
  <c r="U32"/>
  <c r="Y32"/>
  <c r="AC32"/>
  <c r="AG32"/>
  <c r="AK32"/>
  <c r="AO32"/>
  <c r="AS32"/>
  <c r="E33"/>
  <c r="I33"/>
  <c r="M33"/>
  <c r="Q33"/>
  <c r="U33"/>
  <c r="Y33"/>
  <c r="AC33"/>
  <c r="AG33"/>
  <c r="AK33"/>
  <c r="AO33"/>
  <c r="AS33"/>
  <c r="E34"/>
  <c r="I34"/>
  <c r="M34"/>
  <c r="Q34"/>
  <c r="U34"/>
  <c r="Y34"/>
  <c r="AC34"/>
  <c r="AG34"/>
  <c r="AK34"/>
  <c r="AO34"/>
  <c r="AS34"/>
  <c r="E35"/>
  <c r="I35"/>
  <c r="M35"/>
  <c r="Q35"/>
  <c r="U35"/>
  <c r="Y35"/>
  <c r="AC35"/>
  <c r="AG35"/>
  <c r="AK35"/>
  <c r="AO35"/>
  <c r="AS35"/>
  <c r="E36"/>
  <c r="I36"/>
  <c r="M36"/>
  <c r="Q36"/>
  <c r="U36"/>
  <c r="Y36"/>
  <c r="AC36"/>
  <c r="AG36"/>
  <c r="AK36"/>
  <c r="AO36"/>
  <c r="AS36"/>
  <c r="E37"/>
  <c r="I37"/>
  <c r="M37"/>
  <c r="Q37"/>
  <c r="U37"/>
  <c r="Y37"/>
  <c r="AC37"/>
  <c r="AG37"/>
  <c r="AK37"/>
  <c r="AO37"/>
  <c r="AS37"/>
  <c r="E38"/>
  <c r="I38"/>
  <c r="M38"/>
  <c r="Q38"/>
  <c r="U38"/>
  <c r="Y38"/>
  <c r="AC38"/>
  <c r="AG38"/>
  <c r="AK38"/>
  <c r="AO38"/>
  <c r="AS38"/>
  <c r="E39"/>
  <c r="I39"/>
  <c r="M39"/>
  <c r="Q39"/>
  <c r="U39"/>
  <c r="Y39"/>
  <c r="AC39"/>
  <c r="AG39"/>
  <c r="AK39"/>
  <c r="AO39"/>
  <c r="AS39"/>
  <c r="E40"/>
  <c r="I40"/>
  <c r="M40"/>
  <c r="Q40"/>
  <c r="U40"/>
  <c r="Y40"/>
  <c r="AC40"/>
  <c r="AG40"/>
  <c r="AK40"/>
  <c r="AO40"/>
  <c r="AS40"/>
  <c r="E41"/>
  <c r="I41"/>
  <c r="M41"/>
  <c r="Q41"/>
  <c r="U41"/>
  <c r="Y41"/>
  <c r="AC41"/>
  <c r="AG41"/>
  <c r="AK41"/>
  <c r="AO41"/>
  <c r="AS41"/>
  <c r="E42"/>
  <c r="I42"/>
  <c r="M42"/>
  <c r="Q42"/>
  <c r="U42"/>
  <c r="Y42"/>
  <c r="AC42"/>
  <c r="AG42"/>
  <c r="AK42"/>
  <c r="AO42"/>
  <c r="AS42"/>
  <c r="E43"/>
  <c r="I43"/>
  <c r="M43"/>
  <c r="Q43"/>
  <c r="U43"/>
  <c r="Y43"/>
  <c r="AC43"/>
  <c r="AG43"/>
  <c r="AK43"/>
  <c r="AO43"/>
  <c r="AS43"/>
  <c r="E44"/>
  <c r="Q44"/>
  <c r="U44"/>
  <c r="Y44"/>
  <c r="AC44"/>
  <c r="AG44"/>
  <c r="AK44"/>
  <c r="AO44"/>
  <c r="AS44"/>
  <c r="U3" i="60"/>
  <c r="B4" i="11" s="1"/>
  <c r="U4" i="60"/>
  <c r="U5"/>
  <c r="B9"/>
  <c r="C9"/>
  <c r="D9"/>
  <c r="E9"/>
  <c r="F9"/>
  <c r="G9"/>
  <c r="H9"/>
  <c r="I9"/>
  <c r="J9"/>
  <c r="K9"/>
  <c r="L9"/>
  <c r="M9"/>
  <c r="N9"/>
  <c r="O9"/>
  <c r="P9"/>
  <c r="Q9"/>
  <c r="R9"/>
  <c r="S9"/>
  <c r="T9"/>
  <c r="U9"/>
  <c r="U12"/>
  <c r="U13"/>
  <c r="C5" i="11" s="1"/>
  <c r="U14" i="60"/>
  <c r="B18"/>
  <c r="C18"/>
  <c r="D18"/>
  <c r="E18"/>
  <c r="F18"/>
  <c r="G18"/>
  <c r="H18"/>
  <c r="I18"/>
  <c r="J18"/>
  <c r="K18"/>
  <c r="L18"/>
  <c r="M18"/>
  <c r="N18"/>
  <c r="O18"/>
  <c r="P18"/>
  <c r="Q18"/>
  <c r="R18"/>
  <c r="S18"/>
  <c r="T18"/>
  <c r="U18" s="1"/>
  <c r="U20"/>
  <c r="U21"/>
  <c r="U22"/>
  <c r="B26"/>
  <c r="C26"/>
  <c r="D26"/>
  <c r="E26"/>
  <c r="F26"/>
  <c r="G26"/>
  <c r="H26"/>
  <c r="I26"/>
  <c r="J26"/>
  <c r="K26"/>
  <c r="L26"/>
  <c r="M26"/>
  <c r="N26"/>
  <c r="O26"/>
  <c r="P26"/>
  <c r="Q26"/>
  <c r="R26"/>
  <c r="S26"/>
  <c r="T26"/>
  <c r="U26"/>
  <c r="U28"/>
  <c r="B7" i="11" s="1"/>
  <c r="U29" i="60"/>
  <c r="U30"/>
  <c r="B34"/>
  <c r="C34"/>
  <c r="D34"/>
  <c r="E34"/>
  <c r="F34"/>
  <c r="G34"/>
  <c r="H34"/>
  <c r="I34"/>
  <c r="J34"/>
  <c r="K34"/>
  <c r="L34"/>
  <c r="M34"/>
  <c r="N34"/>
  <c r="O34"/>
  <c r="P34"/>
  <c r="Q34"/>
  <c r="R34"/>
  <c r="S34"/>
  <c r="T34"/>
  <c r="U34" s="1"/>
  <c r="U36"/>
  <c r="U37"/>
  <c r="U38"/>
  <c r="D8" i="11" s="1"/>
  <c r="B42" i="60"/>
  <c r="C42"/>
  <c r="D42"/>
  <c r="E42"/>
  <c r="F42"/>
  <c r="G42"/>
  <c r="H42"/>
  <c r="I42"/>
  <c r="J42"/>
  <c r="K42"/>
  <c r="L42"/>
  <c r="M42"/>
  <c r="N42"/>
  <c r="O42"/>
  <c r="P42"/>
  <c r="Q42"/>
  <c r="R42"/>
  <c r="S42"/>
  <c r="T42"/>
  <c r="U42" s="1"/>
  <c r="U44"/>
  <c r="B9" i="11" s="1"/>
  <c r="U45" i="60"/>
  <c r="U46"/>
  <c r="B50"/>
  <c r="C50"/>
  <c r="D50"/>
  <c r="E50"/>
  <c r="F50"/>
  <c r="G50"/>
  <c r="H50"/>
  <c r="I50"/>
  <c r="J50"/>
  <c r="K50"/>
  <c r="L50"/>
  <c r="M50"/>
  <c r="N50"/>
  <c r="O50"/>
  <c r="P50"/>
  <c r="Q50"/>
  <c r="R50"/>
  <c r="S50"/>
  <c r="T50"/>
  <c r="U50"/>
  <c r="U52"/>
  <c r="B10" i="11" s="1"/>
  <c r="U53" i="60"/>
  <c r="C10" i="11" s="1"/>
  <c r="U54" i="60"/>
  <c r="B58"/>
  <c r="C58"/>
  <c r="D58"/>
  <c r="E58"/>
  <c r="F58"/>
  <c r="G58"/>
  <c r="H58"/>
  <c r="I58"/>
  <c r="J58"/>
  <c r="K58"/>
  <c r="L58"/>
  <c r="M58"/>
  <c r="N58"/>
  <c r="O58"/>
  <c r="P58"/>
  <c r="Q58"/>
  <c r="R58"/>
  <c r="S58"/>
  <c r="T58"/>
  <c r="U58" s="1"/>
  <c r="U60"/>
  <c r="U61"/>
  <c r="C11" i="11" s="1"/>
  <c r="U62" i="60"/>
  <c r="D11" i="11" s="1"/>
  <c r="B66" i="60"/>
  <c r="C66"/>
  <c r="D66"/>
  <c r="E66"/>
  <c r="F66"/>
  <c r="G66"/>
  <c r="H66"/>
  <c r="I66"/>
  <c r="J66"/>
  <c r="K66"/>
  <c r="L66"/>
  <c r="M66"/>
  <c r="N66"/>
  <c r="O66"/>
  <c r="P66"/>
  <c r="Q66"/>
  <c r="R66"/>
  <c r="S66"/>
  <c r="T66"/>
  <c r="U66"/>
  <c r="U68"/>
  <c r="B12" i="11" s="1"/>
  <c r="U69" i="60"/>
  <c r="U70"/>
  <c r="D12" i="11" s="1"/>
  <c r="B74" i="60"/>
  <c r="C74"/>
  <c r="D74"/>
  <c r="E74"/>
  <c r="F74"/>
  <c r="G74"/>
  <c r="H74"/>
  <c r="I74"/>
  <c r="J74"/>
  <c r="K74"/>
  <c r="L74"/>
  <c r="M74"/>
  <c r="N74"/>
  <c r="O74"/>
  <c r="P74"/>
  <c r="Q74"/>
  <c r="R74"/>
  <c r="S74"/>
  <c r="T74"/>
  <c r="U74" s="1"/>
  <c r="U76"/>
  <c r="U77"/>
  <c r="U78"/>
  <c r="D13" i="11" s="1"/>
  <c r="B82" i="60"/>
  <c r="C82"/>
  <c r="D82"/>
  <c r="E82"/>
  <c r="F82"/>
  <c r="G82"/>
  <c r="H82"/>
  <c r="I82"/>
  <c r="J82"/>
  <c r="K82"/>
  <c r="L82"/>
  <c r="M82"/>
  <c r="N82"/>
  <c r="O82"/>
  <c r="P82"/>
  <c r="Q82"/>
  <c r="R82"/>
  <c r="S82"/>
  <c r="T82"/>
  <c r="U82"/>
  <c r="U84"/>
  <c r="U85"/>
  <c r="U86"/>
  <c r="U90"/>
  <c r="E14" i="11" s="1"/>
  <c r="C4"/>
  <c r="B5"/>
  <c r="D5"/>
  <c r="B6"/>
  <c r="C6"/>
  <c r="C7"/>
  <c r="D7"/>
  <c r="B8"/>
  <c r="C8"/>
  <c r="C9"/>
  <c r="D9"/>
  <c r="D10"/>
  <c r="B11"/>
  <c r="C12"/>
  <c r="B13"/>
  <c r="C13"/>
  <c r="B14"/>
  <c r="C14"/>
  <c r="D14"/>
  <c r="B12" i="14"/>
  <c r="B11" s="1"/>
  <c r="D12"/>
  <c r="D11" s="1"/>
  <c r="D10" s="1"/>
  <c r="D9" s="1"/>
  <c r="D8" s="1"/>
  <c r="C15"/>
  <c r="C14" s="1"/>
  <c r="H16"/>
  <c r="I16"/>
  <c r="K16"/>
  <c r="M16"/>
  <c r="O16"/>
  <c r="Q16"/>
  <c r="G17"/>
  <c r="H17" s="1"/>
  <c r="O17"/>
  <c r="G19"/>
  <c r="K19" s="1"/>
  <c r="G20"/>
  <c r="H20" s="1"/>
  <c r="I20"/>
  <c r="K20"/>
  <c r="M20"/>
  <c r="O20"/>
  <c r="Q20"/>
  <c r="G21"/>
  <c r="I21"/>
  <c r="O21"/>
  <c r="Q21"/>
  <c r="G22"/>
  <c r="H22"/>
  <c r="I22"/>
  <c r="J22"/>
  <c r="K22"/>
  <c r="L22"/>
  <c r="M22"/>
  <c r="N22"/>
  <c r="O22"/>
  <c r="P22"/>
  <c r="Q22"/>
  <c r="G23"/>
  <c r="O23" s="1"/>
  <c r="AJ23" i="15" s="1"/>
  <c r="AL23" s="1"/>
  <c r="AM23" s="1"/>
  <c r="G24" i="14"/>
  <c r="J24" s="1"/>
  <c r="H24"/>
  <c r="I24"/>
  <c r="K24"/>
  <c r="L24"/>
  <c r="M24"/>
  <c r="O24"/>
  <c r="P24"/>
  <c r="Q24"/>
  <c r="G25"/>
  <c r="H25" s="1"/>
  <c r="M25"/>
  <c r="O25"/>
  <c r="Q25"/>
  <c r="G26"/>
  <c r="H26"/>
  <c r="I26"/>
  <c r="J26"/>
  <c r="K26"/>
  <c r="L26"/>
  <c r="M26"/>
  <c r="N26"/>
  <c r="O26"/>
  <c r="P26"/>
  <c r="Q26"/>
  <c r="G27"/>
  <c r="G28"/>
  <c r="H28" s="1"/>
  <c r="J28"/>
  <c r="K28"/>
  <c r="M28"/>
  <c r="N28"/>
  <c r="O28"/>
  <c r="Q28"/>
  <c r="G29"/>
  <c r="I29"/>
  <c r="O29"/>
  <c r="Q29"/>
  <c r="G30"/>
  <c r="H30"/>
  <c r="I30"/>
  <c r="J30"/>
  <c r="K30"/>
  <c r="L30"/>
  <c r="M30"/>
  <c r="N30"/>
  <c r="O30"/>
  <c r="P30"/>
  <c r="Q30"/>
  <c r="G31"/>
  <c r="G32"/>
  <c r="J32" s="1"/>
  <c r="H32"/>
  <c r="I32"/>
  <c r="K32"/>
  <c r="L32"/>
  <c r="M32"/>
  <c r="O32"/>
  <c r="P32"/>
  <c r="Q32"/>
  <c r="G33"/>
  <c r="H33" s="1"/>
  <c r="I33"/>
  <c r="K33"/>
  <c r="T33" i="15" s="1"/>
  <c r="V33" s="1"/>
  <c r="W33" s="1"/>
  <c r="M33" i="14"/>
  <c r="O33"/>
  <c r="Q33"/>
  <c r="G34"/>
  <c r="K34"/>
  <c r="O34"/>
  <c r="G35"/>
  <c r="H35" s="1"/>
  <c r="I35"/>
  <c r="K35"/>
  <c r="O35"/>
  <c r="Q35"/>
  <c r="E36"/>
  <c r="G36" s="1"/>
  <c r="K36"/>
  <c r="T36" i="15" s="1"/>
  <c r="V36" s="1"/>
  <c r="W36" s="1"/>
  <c r="F22" i="219" s="1"/>
  <c r="E37" i="14"/>
  <c r="E38" s="1"/>
  <c r="E39" s="1"/>
  <c r="E40" s="1"/>
  <c r="E41" s="1"/>
  <c r="G41" s="1"/>
  <c r="H41" s="1"/>
  <c r="G38"/>
  <c r="AZ4" i="13"/>
  <c r="L8"/>
  <c r="Q8"/>
  <c r="AF8"/>
  <c r="AK8"/>
  <c r="AP8"/>
  <c r="AU8"/>
  <c r="AZ8"/>
  <c r="BA8" s="1"/>
  <c r="L9"/>
  <c r="Q9"/>
  <c r="AF9"/>
  <c r="AK9"/>
  <c r="AP9"/>
  <c r="AU9"/>
  <c r="AZ9"/>
  <c r="BA9" s="1"/>
  <c r="L10"/>
  <c r="Q10"/>
  <c r="AF10"/>
  <c r="AK10"/>
  <c r="AP10"/>
  <c r="AU10"/>
  <c r="AZ10"/>
  <c r="BA10" s="1"/>
  <c r="L11"/>
  <c r="Q11"/>
  <c r="AF11"/>
  <c r="AK11"/>
  <c r="AP11"/>
  <c r="AU11"/>
  <c r="AZ11"/>
  <c r="BA11" s="1"/>
  <c r="D12"/>
  <c r="D11" s="1"/>
  <c r="E12"/>
  <c r="E11" s="1"/>
  <c r="E10" s="1"/>
  <c r="E9" s="1"/>
  <c r="E8" s="1"/>
  <c r="L12"/>
  <c r="Q12"/>
  <c r="U12"/>
  <c r="U11" s="1"/>
  <c r="Z12"/>
  <c r="Z11" s="1"/>
  <c r="AF12"/>
  <c r="AK12"/>
  <c r="AP12"/>
  <c r="AU12"/>
  <c r="AZ12"/>
  <c r="BA12" s="1"/>
  <c r="BE12"/>
  <c r="BE11" s="1"/>
  <c r="BF12"/>
  <c r="G13"/>
  <c r="L13"/>
  <c r="Q13"/>
  <c r="V13"/>
  <c r="AA13"/>
  <c r="AF13"/>
  <c r="AK13"/>
  <c r="AP13"/>
  <c r="AU13"/>
  <c r="AZ13"/>
  <c r="BA13" s="1"/>
  <c r="BF13"/>
  <c r="G14"/>
  <c r="L14"/>
  <c r="Q14"/>
  <c r="V14"/>
  <c r="AA14"/>
  <c r="AF14"/>
  <c r="AK14"/>
  <c r="AP14"/>
  <c r="AU14"/>
  <c r="AZ14"/>
  <c r="BA14" s="1"/>
  <c r="BF14"/>
  <c r="G15"/>
  <c r="L15"/>
  <c r="Q15"/>
  <c r="V15"/>
  <c r="AA15"/>
  <c r="AF15"/>
  <c r="AK15"/>
  <c r="AP15"/>
  <c r="AU15"/>
  <c r="AZ15"/>
  <c r="BA15" s="1"/>
  <c r="BF15"/>
  <c r="G16"/>
  <c r="L16"/>
  <c r="Q16"/>
  <c r="L16" i="15" s="1"/>
  <c r="V16" i="13"/>
  <c r="AA16"/>
  <c r="T16" i="15" s="1"/>
  <c r="AF16" i="13"/>
  <c r="AK16"/>
  <c r="AB16" i="15" s="1"/>
  <c r="AP16" i="13"/>
  <c r="AU16"/>
  <c r="AZ16"/>
  <c r="BA16" s="1"/>
  <c r="BF16"/>
  <c r="AR16" i="15" s="1"/>
  <c r="G17" i="13"/>
  <c r="L17"/>
  <c r="Q17"/>
  <c r="V17"/>
  <c r="AA17"/>
  <c r="AF17"/>
  <c r="AK17"/>
  <c r="AP17"/>
  <c r="AU17"/>
  <c r="AZ17"/>
  <c r="BA17" s="1"/>
  <c r="BF17"/>
  <c r="BA18"/>
  <c r="G19"/>
  <c r="G50" s="1"/>
  <c r="L19"/>
  <c r="Q19"/>
  <c r="V19"/>
  <c r="V50" s="1"/>
  <c r="AA19"/>
  <c r="AF19"/>
  <c r="AK19"/>
  <c r="AK50" s="1"/>
  <c r="AP19"/>
  <c r="AP50" s="1"/>
  <c r="AU19"/>
  <c r="AZ19"/>
  <c r="AZ50" s="1"/>
  <c r="BF19"/>
  <c r="G20"/>
  <c r="L20"/>
  <c r="Q20"/>
  <c r="L20" i="15" s="1"/>
  <c r="N20" s="1"/>
  <c r="O20" s="1"/>
  <c r="V20" i="13"/>
  <c r="AA20"/>
  <c r="T20" i="15" s="1"/>
  <c r="V20" s="1"/>
  <c r="W20" s="1"/>
  <c r="AF20" i="13"/>
  <c r="AK20"/>
  <c r="AP20"/>
  <c r="AU20"/>
  <c r="AJ20" i="15" s="1"/>
  <c r="AL20" s="1"/>
  <c r="AM20" s="1"/>
  <c r="AZ20" i="13"/>
  <c r="BA20" s="1"/>
  <c r="BF20"/>
  <c r="AR20" i="15" s="1"/>
  <c r="AT20" s="1"/>
  <c r="AU20" s="1"/>
  <c r="G21" i="13"/>
  <c r="L21"/>
  <c r="Q21"/>
  <c r="V21"/>
  <c r="AA21"/>
  <c r="AF21"/>
  <c r="AK21"/>
  <c r="AP21"/>
  <c r="AU21"/>
  <c r="AJ21" i="15" s="1"/>
  <c r="AL21" s="1"/>
  <c r="AM21" s="1"/>
  <c r="AZ21" i="13"/>
  <c r="BA21"/>
  <c r="BF21"/>
  <c r="G22"/>
  <c r="L22"/>
  <c r="H22" i="15" s="1"/>
  <c r="J22" s="1"/>
  <c r="K22" s="1"/>
  <c r="Q22" i="13"/>
  <c r="V22"/>
  <c r="AA22"/>
  <c r="T22" i="15" s="1"/>
  <c r="V22" s="1"/>
  <c r="W22" s="1"/>
  <c r="AF22" i="13"/>
  <c r="X22" i="15" s="1"/>
  <c r="Z22" s="1"/>
  <c r="AA22" s="1"/>
  <c r="AK22" i="13"/>
  <c r="AP22"/>
  <c r="AU22"/>
  <c r="AJ22" i="15" s="1"/>
  <c r="AL22" s="1"/>
  <c r="AM22" s="1"/>
  <c r="AZ22" i="13"/>
  <c r="BA22" s="1"/>
  <c r="AN22" i="15" s="1"/>
  <c r="AP22" s="1"/>
  <c r="AQ22" s="1"/>
  <c r="BF22" i="13"/>
  <c r="G23"/>
  <c r="L23"/>
  <c r="Q23"/>
  <c r="V23"/>
  <c r="AA23"/>
  <c r="AF23"/>
  <c r="AK23"/>
  <c r="AP23"/>
  <c r="AU23"/>
  <c r="AZ23"/>
  <c r="BA23" s="1"/>
  <c r="BF23"/>
  <c r="G24"/>
  <c r="L24"/>
  <c r="Q24"/>
  <c r="V24"/>
  <c r="P24" i="15" s="1"/>
  <c r="R24" s="1"/>
  <c r="S24" s="1"/>
  <c r="AA24" i="13"/>
  <c r="T24" i="15" s="1"/>
  <c r="V24" s="1"/>
  <c r="W24" s="1"/>
  <c r="AF24" i="13"/>
  <c r="AK24"/>
  <c r="AP24"/>
  <c r="AU24"/>
  <c r="AJ24" i="15" s="1"/>
  <c r="AL24" s="1"/>
  <c r="AM24" s="1"/>
  <c r="AZ24" i="13"/>
  <c r="BA24" s="1"/>
  <c r="BF24"/>
  <c r="G25"/>
  <c r="L25"/>
  <c r="Q25"/>
  <c r="V25"/>
  <c r="AA25"/>
  <c r="AF25"/>
  <c r="AK25"/>
  <c r="AB25" i="15" s="1"/>
  <c r="AP25" i="13"/>
  <c r="AU25"/>
  <c r="AJ25" i="15" s="1"/>
  <c r="AL25" s="1"/>
  <c r="AM25" s="1"/>
  <c r="AZ25" i="13"/>
  <c r="BA25"/>
  <c r="BF25"/>
  <c r="AR25" i="15" s="1"/>
  <c r="AT25" s="1"/>
  <c r="AU25" s="1"/>
  <c r="G26" i="13"/>
  <c r="L26"/>
  <c r="H26" i="15" s="1"/>
  <c r="J26" s="1"/>
  <c r="K26" s="1"/>
  <c r="Q26" i="13"/>
  <c r="L26" i="15" s="1"/>
  <c r="N26" s="1"/>
  <c r="O26" s="1"/>
  <c r="V26" i="13"/>
  <c r="P26" i="15" s="1"/>
  <c r="AA26" i="13"/>
  <c r="T26" i="15" s="1"/>
  <c r="V26" s="1"/>
  <c r="W26" s="1"/>
  <c r="AF26" i="13"/>
  <c r="X26" i="15" s="1"/>
  <c r="Z26" s="1"/>
  <c r="AA26" s="1"/>
  <c r="AK26" i="13"/>
  <c r="AB26" i="15" s="1"/>
  <c r="AD26" s="1"/>
  <c r="AE26" s="1"/>
  <c r="AP26" i="13"/>
  <c r="AF26" i="15" s="1"/>
  <c r="AU26" i="13"/>
  <c r="AJ26" i="15" s="1"/>
  <c r="AL26" s="1"/>
  <c r="AM26" s="1"/>
  <c r="AZ26" i="13"/>
  <c r="BA26" s="1"/>
  <c r="AN26" i="15" s="1"/>
  <c r="AP26" s="1"/>
  <c r="AQ26" s="1"/>
  <c r="BF26" i="13"/>
  <c r="AR26" i="15" s="1"/>
  <c r="AT26" s="1"/>
  <c r="AU26" s="1"/>
  <c r="G27" i="13"/>
  <c r="L27"/>
  <c r="Q27"/>
  <c r="V27"/>
  <c r="AA27"/>
  <c r="AF27"/>
  <c r="AK27"/>
  <c r="AP27"/>
  <c r="AU27"/>
  <c r="AZ27"/>
  <c r="BA27" s="1"/>
  <c r="BF27"/>
  <c r="G28"/>
  <c r="L28"/>
  <c r="Q28"/>
  <c r="V28"/>
  <c r="AA28"/>
  <c r="T28" i="15" s="1"/>
  <c r="V28" s="1"/>
  <c r="W28" s="1"/>
  <c r="AF28" i="13"/>
  <c r="AK28"/>
  <c r="AB28" i="15" s="1"/>
  <c r="AD28" s="1"/>
  <c r="AE28" s="1"/>
  <c r="AP28" i="13"/>
  <c r="AU28"/>
  <c r="AJ28" i="15" s="1"/>
  <c r="AL28" s="1"/>
  <c r="AM28" s="1"/>
  <c r="AZ28" i="13"/>
  <c r="BA28" s="1"/>
  <c r="BF28"/>
  <c r="AR28" i="15" s="1"/>
  <c r="AT28" s="1"/>
  <c r="AU28" s="1"/>
  <c r="G29" i="13"/>
  <c r="L29"/>
  <c r="Q29"/>
  <c r="V29"/>
  <c r="AA29"/>
  <c r="AF29"/>
  <c r="AK29"/>
  <c r="AP29"/>
  <c r="AU29"/>
  <c r="AJ29" i="15" s="1"/>
  <c r="AL29" s="1"/>
  <c r="AM29" s="1"/>
  <c r="AZ29" i="13"/>
  <c r="BA29" s="1"/>
  <c r="BF29"/>
  <c r="AR29" i="15"/>
  <c r="AT29" s="1"/>
  <c r="AU29" s="1"/>
  <c r="G30" i="13"/>
  <c r="L30"/>
  <c r="H30" i="15" s="1"/>
  <c r="J30" s="1"/>
  <c r="K30" s="1"/>
  <c r="Q30" i="13"/>
  <c r="V30"/>
  <c r="P30" i="15" s="1"/>
  <c r="R30" s="1"/>
  <c r="S30" s="1"/>
  <c r="AA30" i="13"/>
  <c r="T30" i="15" s="1"/>
  <c r="V30" s="1"/>
  <c r="W30" s="1"/>
  <c r="AF30" i="13"/>
  <c r="X30" i="15" s="1"/>
  <c r="Z30" s="1"/>
  <c r="AA30" s="1"/>
  <c r="AK30" i="13"/>
  <c r="AP30"/>
  <c r="AF30" i="15" s="1"/>
  <c r="AH30" s="1"/>
  <c r="AI30" s="1"/>
  <c r="AU30" i="13"/>
  <c r="AJ30" i="15" s="1"/>
  <c r="AL30" s="1"/>
  <c r="AM30" s="1"/>
  <c r="AZ30" i="13"/>
  <c r="BA30" s="1"/>
  <c r="AN30" i="15" s="1"/>
  <c r="AP30" s="1"/>
  <c r="AQ30" s="1"/>
  <c r="BF30" i="13"/>
  <c r="G31"/>
  <c r="L31"/>
  <c r="Q31"/>
  <c r="V31"/>
  <c r="AA31"/>
  <c r="AF31"/>
  <c r="AK31"/>
  <c r="AP31"/>
  <c r="AU31"/>
  <c r="AZ31"/>
  <c r="BA31"/>
  <c r="BF31"/>
  <c r="G32"/>
  <c r="L32"/>
  <c r="Q32"/>
  <c r="L32" i="15" s="1"/>
  <c r="N32" s="1"/>
  <c r="O32" s="1"/>
  <c r="V32" i="13"/>
  <c r="AA32"/>
  <c r="T32" i="15" s="1"/>
  <c r="AF32" i="13"/>
  <c r="AK32"/>
  <c r="AP32"/>
  <c r="AU32"/>
  <c r="AJ32" i="15" s="1"/>
  <c r="AZ32" i="13"/>
  <c r="BA32" s="1"/>
  <c r="AN32" i="15" s="1"/>
  <c r="BF32" i="13"/>
  <c r="G33"/>
  <c r="L33"/>
  <c r="Q33"/>
  <c r="L33" i="15" s="1"/>
  <c r="V33" i="13"/>
  <c r="AA33"/>
  <c r="AF33"/>
  <c r="AK33"/>
  <c r="AP33"/>
  <c r="AU33"/>
  <c r="AJ33" i="15"/>
  <c r="AL33" s="1"/>
  <c r="AM33" s="1"/>
  <c r="AZ33" i="13"/>
  <c r="BA33" s="1"/>
  <c r="BF33"/>
  <c r="AR33" i="15"/>
  <c r="AT33" s="1"/>
  <c r="AU33" s="1"/>
  <c r="L19" i="219" s="1"/>
  <c r="G34" i="13"/>
  <c r="L34"/>
  <c r="Q34"/>
  <c r="V34"/>
  <c r="AA34"/>
  <c r="AF34"/>
  <c r="AK34"/>
  <c r="AP34"/>
  <c r="AU34"/>
  <c r="AJ34" i="15" s="1"/>
  <c r="AL34" s="1"/>
  <c r="AM34" s="1"/>
  <c r="AZ34" i="13"/>
  <c r="BA34" s="1"/>
  <c r="BF34"/>
  <c r="G35"/>
  <c r="L35"/>
  <c r="Q35"/>
  <c r="V35"/>
  <c r="AA35"/>
  <c r="T35" i="15" s="1"/>
  <c r="V35" s="1"/>
  <c r="W35" s="1"/>
  <c r="AF35" i="13"/>
  <c r="AK35"/>
  <c r="AP35"/>
  <c r="AU35"/>
  <c r="AJ35" i="15" s="1"/>
  <c r="AZ35" i="13"/>
  <c r="BA35"/>
  <c r="BF35"/>
  <c r="AR35" i="15" s="1"/>
  <c r="AT35" s="1"/>
  <c r="AU35" s="1"/>
  <c r="G36" i="13"/>
  <c r="Q36"/>
  <c r="V36"/>
  <c r="AA36"/>
  <c r="AF36"/>
  <c r="AK36"/>
  <c r="AP36"/>
  <c r="AU36"/>
  <c r="AZ36"/>
  <c r="BA36" s="1"/>
  <c r="BF36"/>
  <c r="G37"/>
  <c r="L37"/>
  <c r="Q37"/>
  <c r="V37"/>
  <c r="AA37"/>
  <c r="AF37"/>
  <c r="AK37"/>
  <c r="AP37"/>
  <c r="AU37"/>
  <c r="AZ37"/>
  <c r="BA37" s="1"/>
  <c r="BF37"/>
  <c r="G38"/>
  <c r="L38"/>
  <c r="Q38"/>
  <c r="V38"/>
  <c r="AA38"/>
  <c r="AF38"/>
  <c r="AK38"/>
  <c r="AP38"/>
  <c r="AU38"/>
  <c r="AZ38"/>
  <c r="BA38" s="1"/>
  <c r="BF38"/>
  <c r="G39"/>
  <c r="L39"/>
  <c r="Q39"/>
  <c r="V39"/>
  <c r="AA39"/>
  <c r="AF39"/>
  <c r="AK39"/>
  <c r="AP39"/>
  <c r="AU39"/>
  <c r="AZ39"/>
  <c r="BA39" s="1"/>
  <c r="BF39"/>
  <c r="G40"/>
  <c r="L40"/>
  <c r="Q40"/>
  <c r="V40"/>
  <c r="AA40"/>
  <c r="AF40"/>
  <c r="AK40"/>
  <c r="AP40"/>
  <c r="AU40"/>
  <c r="AZ40"/>
  <c r="BA40" s="1"/>
  <c r="BF40"/>
  <c r="G41"/>
  <c r="L41"/>
  <c r="Q41"/>
  <c r="Z41"/>
  <c r="AF41"/>
  <c r="AK41"/>
  <c r="AP41"/>
  <c r="AS41"/>
  <c r="AX41"/>
  <c r="AZ41"/>
  <c r="BE41"/>
  <c r="B8" i="15"/>
  <c r="B9"/>
  <c r="B10"/>
  <c r="B11"/>
  <c r="D11" s="1"/>
  <c r="B12"/>
  <c r="D12" s="1"/>
  <c r="B13"/>
  <c r="D13" s="1"/>
  <c r="B14"/>
  <c r="D14" s="1"/>
  <c r="B15"/>
  <c r="D15" s="1"/>
  <c r="B16"/>
  <c r="D16" s="1"/>
  <c r="B17"/>
  <c r="D17" s="1"/>
  <c r="B19"/>
  <c r="B50" s="1"/>
  <c r="B20"/>
  <c r="D20" s="1"/>
  <c r="F20" s="1"/>
  <c r="G20" s="1"/>
  <c r="B21"/>
  <c r="D21" s="1"/>
  <c r="F21" s="1"/>
  <c r="G21" s="1"/>
  <c r="B7" i="219" s="1"/>
  <c r="B22" i="15"/>
  <c r="D22" s="1"/>
  <c r="F22" s="1"/>
  <c r="G22" s="1"/>
  <c r="B8" i="219" s="1"/>
  <c r="B23" i="15"/>
  <c r="D23" s="1"/>
  <c r="B24"/>
  <c r="D24" s="1"/>
  <c r="F24" s="1"/>
  <c r="G24" s="1"/>
  <c r="B25"/>
  <c r="D25" s="1"/>
  <c r="F25" s="1"/>
  <c r="G25" s="1"/>
  <c r="B11" i="219" s="1"/>
  <c r="B26" i="15"/>
  <c r="D26" s="1"/>
  <c r="F26" s="1"/>
  <c r="G26" s="1"/>
  <c r="B27"/>
  <c r="D27" s="1"/>
  <c r="B28"/>
  <c r="D28" s="1"/>
  <c r="F28" s="1"/>
  <c r="G28" s="1"/>
  <c r="B29"/>
  <c r="D29" s="1"/>
  <c r="F29" s="1"/>
  <c r="G29" s="1"/>
  <c r="B15" i="219" s="1"/>
  <c r="B30" i="15"/>
  <c r="D30" s="1"/>
  <c r="F30" s="1"/>
  <c r="G30" s="1"/>
  <c r="B31"/>
  <c r="D31" s="1"/>
  <c r="B32"/>
  <c r="D32" s="1"/>
  <c r="F32" s="1"/>
  <c r="G32" s="1"/>
  <c r="B18" i="219" s="1"/>
  <c r="B33" i="15"/>
  <c r="D33" s="1"/>
  <c r="F33" s="1"/>
  <c r="G33" s="1"/>
  <c r="B19" i="219" s="1"/>
  <c r="B34" i="15"/>
  <c r="D34" s="1"/>
  <c r="F34" s="1"/>
  <c r="G34" s="1"/>
  <c r="B35"/>
  <c r="D35" s="1"/>
  <c r="B36"/>
  <c r="D36" s="1"/>
  <c r="F36" s="1"/>
  <c r="G36" s="1"/>
  <c r="J32" i="12"/>
  <c r="L32"/>
  <c r="L33" s="1"/>
  <c r="B37" i="15"/>
  <c r="D37" s="1"/>
  <c r="F37" s="1"/>
  <c r="G37" s="1"/>
  <c r="B23" i="219" s="1"/>
  <c r="C33" i="12"/>
  <c r="E33"/>
  <c r="E34" s="1"/>
  <c r="F33"/>
  <c r="G33"/>
  <c r="H33"/>
  <c r="I33"/>
  <c r="I34" s="1"/>
  <c r="J33"/>
  <c r="K33"/>
  <c r="B38" i="15"/>
  <c r="D38" s="1"/>
  <c r="F38" s="1"/>
  <c r="G38" s="1"/>
  <c r="B24" i="219" s="1"/>
  <c r="C34" i="12"/>
  <c r="G34"/>
  <c r="G35" s="1"/>
  <c r="G36" s="1"/>
  <c r="G37" s="1"/>
  <c r="G38" s="1"/>
  <c r="G39" s="1"/>
  <c r="G40" s="1"/>
  <c r="H34"/>
  <c r="H35" s="1"/>
  <c r="K34"/>
  <c r="K35" s="1"/>
  <c r="B39" i="15"/>
  <c r="D39" s="1"/>
  <c r="E35" i="12"/>
  <c r="E36" s="1"/>
  <c r="E37" s="1"/>
  <c r="E38" s="1"/>
  <c r="E39" s="1"/>
  <c r="I35"/>
  <c r="I36" s="1"/>
  <c r="I37" s="1"/>
  <c r="I38" s="1"/>
  <c r="I39" s="1"/>
  <c r="I40" s="1"/>
  <c r="B40" i="15"/>
  <c r="D40" s="1"/>
  <c r="F40" s="1"/>
  <c r="G40" s="1"/>
  <c r="K36" i="12"/>
  <c r="K37" s="1"/>
  <c r="K38" s="1"/>
  <c r="K39" s="1"/>
  <c r="K40" s="1"/>
  <c r="B41" i="15"/>
  <c r="D41" s="1"/>
  <c r="F41" s="1"/>
  <c r="G41" s="1"/>
  <c r="B42"/>
  <c r="D42" s="1"/>
  <c r="F42" s="1"/>
  <c r="G42" s="1"/>
  <c r="B43"/>
  <c r="D43" s="1"/>
  <c r="B44"/>
  <c r="D44" s="1"/>
  <c r="B45"/>
  <c r="D45" s="1"/>
  <c r="F45" s="1"/>
  <c r="G45" s="1"/>
  <c r="P16" i="64"/>
  <c r="T16"/>
  <c r="B25"/>
  <c r="C26"/>
  <c r="D26" s="1"/>
  <c r="E26" s="1"/>
  <c r="B14" i="210" s="1"/>
  <c r="G26" i="64"/>
  <c r="H26" s="1"/>
  <c r="I26" s="1"/>
  <c r="K26"/>
  <c r="L26" s="1"/>
  <c r="M26" s="1"/>
  <c r="D14" i="210" s="1"/>
  <c r="O26" i="64"/>
  <c r="P26" s="1"/>
  <c r="Q26" s="1"/>
  <c r="S26"/>
  <c r="T26" s="1"/>
  <c r="U26" s="1"/>
  <c r="F14" i="210" s="1"/>
  <c r="W26" i="64"/>
  <c r="X26"/>
  <c r="Y26" s="1"/>
  <c r="AA26"/>
  <c r="AB26" s="1"/>
  <c r="AC26" s="1"/>
  <c r="AE26"/>
  <c r="AF26" s="1"/>
  <c r="AG26" s="1"/>
  <c r="I14" i="210" s="1"/>
  <c r="AI26" i="64"/>
  <c r="AJ26" s="1"/>
  <c r="AK26" s="1"/>
  <c r="AM26"/>
  <c r="AN26" s="1"/>
  <c r="AO26" s="1"/>
  <c r="K14" i="210" s="1"/>
  <c r="AQ26" i="64"/>
  <c r="AR26" s="1"/>
  <c r="AS26" s="1"/>
  <c r="L14" i="210" s="1"/>
  <c r="C27" i="64"/>
  <c r="D27"/>
  <c r="E27" s="1"/>
  <c r="G27"/>
  <c r="H27" s="1"/>
  <c r="I27" s="1"/>
  <c r="C15" i="210" s="1"/>
  <c r="K27" i="64"/>
  <c r="L27"/>
  <c r="M27" s="1"/>
  <c r="O27"/>
  <c r="P27" s="1"/>
  <c r="Q27" s="1"/>
  <c r="E15" i="210" s="1"/>
  <c r="S27" i="64"/>
  <c r="T27"/>
  <c r="U27" s="1"/>
  <c r="F15" i="210" s="1"/>
  <c r="W27" i="64"/>
  <c r="X27" s="1"/>
  <c r="Y27" s="1"/>
  <c r="G15" i="210" s="1"/>
  <c r="AA27" i="64"/>
  <c r="AB27" s="1"/>
  <c r="AC27" s="1"/>
  <c r="AE27"/>
  <c r="AF27" s="1"/>
  <c r="AG27" s="1"/>
  <c r="I15" i="210" s="1"/>
  <c r="AI27" i="64"/>
  <c r="AJ27" s="1"/>
  <c r="AK27" s="1"/>
  <c r="AM27"/>
  <c r="AN27" s="1"/>
  <c r="AO27" s="1"/>
  <c r="K15" i="210" s="1"/>
  <c r="AQ27" i="64"/>
  <c r="AR27"/>
  <c r="AS27" s="1"/>
  <c r="C28"/>
  <c r="D28" s="1"/>
  <c r="E28" s="1"/>
  <c r="G28"/>
  <c r="H28"/>
  <c r="I28" s="1"/>
  <c r="C16" i="210" s="1"/>
  <c r="K28" i="64"/>
  <c r="L28" s="1"/>
  <c r="M28" s="1"/>
  <c r="O28"/>
  <c r="P28" s="1"/>
  <c r="Q28" s="1"/>
  <c r="E16" i="210" s="1"/>
  <c r="S28" i="64"/>
  <c r="T28" s="1"/>
  <c r="U28" s="1"/>
  <c r="F16" i="210" s="1"/>
  <c r="W28" i="64"/>
  <c r="X28" s="1"/>
  <c r="Y28" s="1"/>
  <c r="AA28"/>
  <c r="AB28" s="1"/>
  <c r="AC28" s="1"/>
  <c r="H16" i="210" s="1"/>
  <c r="AE28" i="64"/>
  <c r="AF28"/>
  <c r="AG28" s="1"/>
  <c r="AI28"/>
  <c r="AJ28" s="1"/>
  <c r="AK28" s="1"/>
  <c r="AM28"/>
  <c r="AN28"/>
  <c r="AO28" s="1"/>
  <c r="K16" i="210" s="1"/>
  <c r="AQ28" i="64"/>
  <c r="AR28" s="1"/>
  <c r="AS28" s="1"/>
  <c r="C29"/>
  <c r="D29" s="1"/>
  <c r="E29" s="1"/>
  <c r="G29"/>
  <c r="H29" s="1"/>
  <c r="I29" s="1"/>
  <c r="C17" i="210" s="1"/>
  <c r="K29" i="64"/>
  <c r="L29" s="1"/>
  <c r="M29" s="1"/>
  <c r="O29"/>
  <c r="P29" s="1"/>
  <c r="Q29" s="1"/>
  <c r="E17" i="210" s="1"/>
  <c r="S29" i="64"/>
  <c r="T29"/>
  <c r="U29" s="1"/>
  <c r="F17" i="210" s="1"/>
  <c r="W29" i="64"/>
  <c r="X29" s="1"/>
  <c r="Y29" s="1"/>
  <c r="AA29"/>
  <c r="AB29"/>
  <c r="AC29" s="1"/>
  <c r="H17" i="210" s="1"/>
  <c r="AE29" i="64"/>
  <c r="AF29" s="1"/>
  <c r="AG29" s="1"/>
  <c r="I17" i="210" s="1"/>
  <c r="AI29" i="64"/>
  <c r="AJ29" s="1"/>
  <c r="AK29" s="1"/>
  <c r="AM29"/>
  <c r="AN29" s="1"/>
  <c r="AO29" s="1"/>
  <c r="K17" i="210" s="1"/>
  <c r="AQ29" i="64"/>
  <c r="AR29"/>
  <c r="AS29" s="1"/>
  <c r="C30"/>
  <c r="D30" s="1"/>
  <c r="E30" s="1"/>
  <c r="B18" i="210" s="1"/>
  <c r="G30" i="64"/>
  <c r="H30"/>
  <c r="I30" s="1"/>
  <c r="K30"/>
  <c r="L30" s="1"/>
  <c r="M30" s="1"/>
  <c r="D18" i="210" s="1"/>
  <c r="O30" i="64"/>
  <c r="P30"/>
  <c r="Q30" s="1"/>
  <c r="E18" i="210" s="1"/>
  <c r="S30" i="64"/>
  <c r="T30" s="1"/>
  <c r="U30" s="1"/>
  <c r="W30"/>
  <c r="X30" s="1"/>
  <c r="Y30" s="1"/>
  <c r="AA30"/>
  <c r="AB30" s="1"/>
  <c r="AC30" s="1"/>
  <c r="H18" i="210" s="1"/>
  <c r="AE30" i="64"/>
  <c r="AF30" s="1"/>
  <c r="AG30" s="1"/>
  <c r="AI30"/>
  <c r="AJ30" s="1"/>
  <c r="AK30" s="1"/>
  <c r="J18" i="210" s="1"/>
  <c r="AM30" i="64"/>
  <c r="AN30"/>
  <c r="AO30" s="1"/>
  <c r="K18" i="210" s="1"/>
  <c r="AQ30" i="64"/>
  <c r="AR30" s="1"/>
  <c r="AS30" s="1"/>
  <c r="L18" i="210" s="1"/>
  <c r="C31" i="64"/>
  <c r="D31" s="1"/>
  <c r="E31" s="1"/>
  <c r="G31"/>
  <c r="H31" s="1"/>
  <c r="I31" s="1"/>
  <c r="C19" i="210" s="1"/>
  <c r="K31" i="64"/>
  <c r="L31" s="1"/>
  <c r="M31" s="1"/>
  <c r="D19" i="210" s="1"/>
  <c r="O31" i="64"/>
  <c r="P31" s="1"/>
  <c r="Q31" s="1"/>
  <c r="E19" i="210" s="1"/>
  <c r="S31" i="64"/>
  <c r="T31"/>
  <c r="U31" s="1"/>
  <c r="F19" i="210" s="1"/>
  <c r="W31" i="64"/>
  <c r="X31" s="1"/>
  <c r="Y31" s="1"/>
  <c r="AA31"/>
  <c r="AB31"/>
  <c r="AC31" s="1"/>
  <c r="H19" i="210" s="1"/>
  <c r="AE31" i="64"/>
  <c r="AF31" s="1"/>
  <c r="AG31" s="1"/>
  <c r="I19" i="210" s="1"/>
  <c r="AI31" i="64"/>
  <c r="AJ31" s="1"/>
  <c r="AK31" s="1"/>
  <c r="AM31"/>
  <c r="AN31" s="1"/>
  <c r="AO31" s="1"/>
  <c r="K19" i="210" s="1"/>
  <c r="AQ31" i="64"/>
  <c r="AR31"/>
  <c r="AS31" s="1"/>
  <c r="C32"/>
  <c r="D32" s="1"/>
  <c r="E32" s="1"/>
  <c r="B20" i="210" s="1"/>
  <c r="G32" i="64"/>
  <c r="H32"/>
  <c r="I32" s="1"/>
  <c r="C20" i="210" s="1"/>
  <c r="K32" i="64"/>
  <c r="L32" s="1"/>
  <c r="M32" s="1"/>
  <c r="O32"/>
  <c r="P32"/>
  <c r="Q32" s="1"/>
  <c r="E20" i="210" s="1"/>
  <c r="S32" i="64"/>
  <c r="T32" s="1"/>
  <c r="U32" s="1"/>
  <c r="F20" i="210" s="1"/>
  <c r="W32" i="64"/>
  <c r="X32" s="1"/>
  <c r="Y32" s="1"/>
  <c r="AA32"/>
  <c r="AB32" s="1"/>
  <c r="AC32" s="1"/>
  <c r="H20" i="210" s="1"/>
  <c r="AE32" i="64"/>
  <c r="AF32" s="1"/>
  <c r="AG32" s="1"/>
  <c r="AI32"/>
  <c r="AJ32" s="1"/>
  <c r="AK32" s="1"/>
  <c r="J20" i="210" s="1"/>
  <c r="AM32" i="64"/>
  <c r="AN32"/>
  <c r="AO32" s="1"/>
  <c r="AQ32"/>
  <c r="AR32" s="1"/>
  <c r="AS32" s="1"/>
  <c r="C33"/>
  <c r="D33"/>
  <c r="E33" s="1"/>
  <c r="B21" i="210" s="1"/>
  <c r="G33" i="64"/>
  <c r="H33" s="1"/>
  <c r="I33" s="1"/>
  <c r="K33"/>
  <c r="L33" s="1"/>
  <c r="M33" s="1"/>
  <c r="D21" i="210" s="1"/>
  <c r="O33" i="64"/>
  <c r="P33" s="1"/>
  <c r="Q33" s="1"/>
  <c r="E21" i="210" s="1"/>
  <c r="S33" i="64"/>
  <c r="T33"/>
  <c r="U33" s="1"/>
  <c r="W33"/>
  <c r="X33" s="1"/>
  <c r="Y33" s="1"/>
  <c r="G21" i="210" s="1"/>
  <c r="AA33" i="64"/>
  <c r="AB33"/>
  <c r="AC33" s="1"/>
  <c r="H21" i="210" s="1"/>
  <c r="AE33" i="64"/>
  <c r="AF33" s="1"/>
  <c r="AG33" s="1"/>
  <c r="I21" i="210" s="1"/>
  <c r="AI33" i="64"/>
  <c r="AJ33" s="1"/>
  <c r="AK33" s="1"/>
  <c r="J21" i="210" s="1"/>
  <c r="AM33" i="64"/>
  <c r="AN33" s="1"/>
  <c r="AO33" s="1"/>
  <c r="K21" i="210" s="1"/>
  <c r="AQ33" i="64"/>
  <c r="AR33" s="1"/>
  <c r="AS33" s="1"/>
  <c r="L21" i="210" s="1"/>
  <c r="C34" i="64"/>
  <c r="D34" s="1"/>
  <c r="E34" s="1"/>
  <c r="B22" i="210" s="1"/>
  <c r="G34" i="64"/>
  <c r="H34"/>
  <c r="I34" s="1"/>
  <c r="K34"/>
  <c r="L34" s="1"/>
  <c r="M34" s="1"/>
  <c r="D22" i="210" s="1"/>
  <c r="O34" i="64"/>
  <c r="P34"/>
  <c r="Q34" s="1"/>
  <c r="S34"/>
  <c r="T34" s="1"/>
  <c r="U34" s="1"/>
  <c r="F22" i="210" s="1"/>
  <c r="W34" i="64"/>
  <c r="X34" s="1"/>
  <c r="Y34" s="1"/>
  <c r="G22" i="210" s="1"/>
  <c r="AA34" i="64"/>
  <c r="AB34" s="1"/>
  <c r="AC34" s="1"/>
  <c r="AE34"/>
  <c r="AF34" s="1"/>
  <c r="AG34" s="1"/>
  <c r="I22" i="210" s="1"/>
  <c r="AI34" i="64"/>
  <c r="AJ34" s="1"/>
  <c r="AK34" s="1"/>
  <c r="J22" i="210" s="1"/>
  <c r="AM34" i="64"/>
  <c r="AN34"/>
  <c r="AO34" s="1"/>
  <c r="AQ34"/>
  <c r="AR34" s="1"/>
  <c r="AS34" s="1"/>
  <c r="L22" i="210" s="1"/>
  <c r="C35" i="64"/>
  <c r="D35"/>
  <c r="E35" s="1"/>
  <c r="B23" i="210" s="1"/>
  <c r="G35" i="64"/>
  <c r="H35" s="1"/>
  <c r="I35" s="1"/>
  <c r="C23" i="210" s="1"/>
  <c r="K35" i="64"/>
  <c r="L35"/>
  <c r="M35" s="1"/>
  <c r="D23" i="210" s="1"/>
  <c r="O35" i="64"/>
  <c r="P35" s="1"/>
  <c r="Q35" s="1"/>
  <c r="S35"/>
  <c r="T35" s="1"/>
  <c r="U35" s="1"/>
  <c r="W35"/>
  <c r="X35" s="1"/>
  <c r="Y35" s="1"/>
  <c r="G23" i="210" s="1"/>
  <c r="AA35" i="64"/>
  <c r="AB35" s="1"/>
  <c r="AC35" s="1"/>
  <c r="H23" i="210" s="1"/>
  <c r="AE35" i="64"/>
  <c r="AF35" s="1"/>
  <c r="AG35" s="1"/>
  <c r="I23" i="210" s="1"/>
  <c r="AI35" i="64"/>
  <c r="AJ35"/>
  <c r="AK35" s="1"/>
  <c r="J23" i="210" s="1"/>
  <c r="AM35" i="64"/>
  <c r="AN35" s="1"/>
  <c r="AO35" s="1"/>
  <c r="AQ35"/>
  <c r="AR35"/>
  <c r="AS35" s="1"/>
  <c r="L23" i="210" s="1"/>
  <c r="C36" i="64"/>
  <c r="D36" s="1"/>
  <c r="E36" s="1"/>
  <c r="G36"/>
  <c r="H36" s="1"/>
  <c r="I36" s="1"/>
  <c r="K36"/>
  <c r="L36" s="1"/>
  <c r="M36" s="1"/>
  <c r="D24" i="210" s="1"/>
  <c r="O36" i="64"/>
  <c r="P36" s="1"/>
  <c r="Q36" s="1"/>
  <c r="S36"/>
  <c r="T36" s="1"/>
  <c r="U36" s="1"/>
  <c r="W36"/>
  <c r="X36" s="1"/>
  <c r="Y36" s="1"/>
  <c r="AA36"/>
  <c r="AB36" s="1"/>
  <c r="AC36" s="1"/>
  <c r="H24" i="210" s="1"/>
  <c r="AE36" i="64"/>
  <c r="AF36" s="1"/>
  <c r="AG36" s="1"/>
  <c r="AI36"/>
  <c r="AJ36" s="1"/>
  <c r="AK36" s="1"/>
  <c r="J24" i="210" s="1"/>
  <c r="AM36" i="64"/>
  <c r="AN36" s="1"/>
  <c r="AO36" s="1"/>
  <c r="AQ36"/>
  <c r="AR36" s="1"/>
  <c r="AS36" s="1"/>
  <c r="L24" i="210" s="1"/>
  <c r="C37" i="64"/>
  <c r="D37"/>
  <c r="E37" s="1"/>
  <c r="G37"/>
  <c r="H37" s="1"/>
  <c r="I37" s="1"/>
  <c r="K37"/>
  <c r="L37" s="1"/>
  <c r="M37" s="1"/>
  <c r="O37"/>
  <c r="P37" s="1"/>
  <c r="Q37" s="1"/>
  <c r="E25" i="210" s="1"/>
  <c r="S37" i="64"/>
  <c r="T37" s="1"/>
  <c r="U37" s="1"/>
  <c r="W37"/>
  <c r="X37" s="1"/>
  <c r="Y37" s="1"/>
  <c r="G25" i="210" s="1"/>
  <c r="AA37" i="64"/>
  <c r="AB37" s="1"/>
  <c r="AC37" s="1"/>
  <c r="AE37"/>
  <c r="AF37" s="1"/>
  <c r="AG37" s="1"/>
  <c r="I25" i="210" s="1"/>
  <c r="AI37" i="64"/>
  <c r="AJ37" s="1"/>
  <c r="AK37" s="1"/>
  <c r="AM37"/>
  <c r="AN37" s="1"/>
  <c r="AO37" s="1"/>
  <c r="AQ37"/>
  <c r="AR37" s="1"/>
  <c r="AS37" s="1"/>
  <c r="C38"/>
  <c r="D38" s="1"/>
  <c r="E38" s="1"/>
  <c r="B26" i="210" s="1"/>
  <c r="G38" i="64"/>
  <c r="H38" s="1"/>
  <c r="I38" s="1"/>
  <c r="K38"/>
  <c r="L38" s="1"/>
  <c r="M38" s="1"/>
  <c r="D26" i="210" s="1"/>
  <c r="O38" i="64"/>
  <c r="P38" s="1"/>
  <c r="Q38" s="1"/>
  <c r="S38"/>
  <c r="T38" s="1"/>
  <c r="U38" s="1"/>
  <c r="F26" i="210" s="1"/>
  <c r="W38" i="64"/>
  <c r="X38" s="1"/>
  <c r="Y38" s="1"/>
  <c r="AA38"/>
  <c r="AB38" s="1"/>
  <c r="AC38" s="1"/>
  <c r="AE38"/>
  <c r="AF38" s="1"/>
  <c r="AG38" s="1"/>
  <c r="AI38"/>
  <c r="AJ38" s="1"/>
  <c r="AK38" s="1"/>
  <c r="AM38"/>
  <c r="AN38" s="1"/>
  <c r="AO38" s="1"/>
  <c r="AQ38"/>
  <c r="AR38" s="1"/>
  <c r="AS38" s="1"/>
  <c r="C39"/>
  <c r="D39"/>
  <c r="E39" s="1"/>
  <c r="G39"/>
  <c r="H39" s="1"/>
  <c r="I39" s="1"/>
  <c r="C27" i="210" s="1"/>
  <c r="K39" i="64"/>
  <c r="L39" s="1"/>
  <c r="M39" s="1"/>
  <c r="O39"/>
  <c r="P39" s="1"/>
  <c r="Q39" s="1"/>
  <c r="E27" i="210" s="1"/>
  <c r="S39" i="64"/>
  <c r="T39" s="1"/>
  <c r="U39" s="1"/>
  <c r="W39"/>
  <c r="X39" s="1"/>
  <c r="Y39" s="1"/>
  <c r="AA39"/>
  <c r="AB39" s="1"/>
  <c r="AC39" s="1"/>
  <c r="AE39"/>
  <c r="AF39" s="1"/>
  <c r="AG39" s="1"/>
  <c r="I27" i="210" s="1"/>
  <c r="AI39" i="64"/>
  <c r="AJ39" s="1"/>
  <c r="AK39" s="1"/>
  <c r="AM39"/>
  <c r="AN39" s="1"/>
  <c r="AO39" s="1"/>
  <c r="AQ39"/>
  <c r="AR39" s="1"/>
  <c r="AS39" s="1"/>
  <c r="C40"/>
  <c r="D40" s="1"/>
  <c r="E40" s="1"/>
  <c r="B28" i="210" s="1"/>
  <c r="G40" i="64"/>
  <c r="H40" s="1"/>
  <c r="I40" s="1"/>
  <c r="K40"/>
  <c r="L40" s="1"/>
  <c r="M40" s="1"/>
  <c r="D28" i="210" s="1"/>
  <c r="O40" i="64"/>
  <c r="P40" s="1"/>
  <c r="Q40" s="1"/>
  <c r="S40"/>
  <c r="T40" s="1"/>
  <c r="U40" s="1"/>
  <c r="F28" i="210" s="1"/>
  <c r="W40" i="64"/>
  <c r="X40" s="1"/>
  <c r="Y40" s="1"/>
  <c r="AA40"/>
  <c r="AB40" s="1"/>
  <c r="AC40" s="1"/>
  <c r="AE40"/>
  <c r="AF40" s="1"/>
  <c r="AG40" s="1"/>
  <c r="AI40"/>
  <c r="AJ40" s="1"/>
  <c r="AK40" s="1"/>
  <c r="J28" i="210" s="1"/>
  <c r="AM40" i="64"/>
  <c r="AN40" s="1"/>
  <c r="AO40" s="1"/>
  <c r="AQ40"/>
  <c r="AR40" s="1"/>
  <c r="AS40" s="1"/>
  <c r="C41"/>
  <c r="D41" s="1"/>
  <c r="E41" s="1"/>
  <c r="G41"/>
  <c r="H41" s="1"/>
  <c r="I41" s="1"/>
  <c r="C29" i="210" s="1"/>
  <c r="K41" i="64"/>
  <c r="L41" s="1"/>
  <c r="M41" s="1"/>
  <c r="O41"/>
  <c r="P41" s="1"/>
  <c r="Q41" s="1"/>
  <c r="E29" i="210" s="1"/>
  <c r="S41" i="64"/>
  <c r="T41" s="1"/>
  <c r="U41" s="1"/>
  <c r="W41"/>
  <c r="X41" s="1"/>
  <c r="Y41" s="1"/>
  <c r="G29" i="210" s="1"/>
  <c r="AA41" i="64"/>
  <c r="AB41" s="1"/>
  <c r="AC41" s="1"/>
  <c r="AE41"/>
  <c r="AF41" s="1"/>
  <c r="AG41" s="1"/>
  <c r="I29" i="210" s="1"/>
  <c r="AI41" i="64"/>
  <c r="AJ41" s="1"/>
  <c r="AK41" s="1"/>
  <c r="AM41"/>
  <c r="AN41" s="1"/>
  <c r="AO41" s="1"/>
  <c r="K29" i="210" s="1"/>
  <c r="AQ41" i="64"/>
  <c r="AR41" s="1"/>
  <c r="AS41" s="1"/>
  <c r="C42"/>
  <c r="D42" s="1"/>
  <c r="E42" s="1"/>
  <c r="B30" i="210" s="1"/>
  <c r="AM42" i="64"/>
  <c r="AN42" s="1"/>
  <c r="AO42" s="1"/>
  <c r="C43"/>
  <c r="D43" s="1"/>
  <c r="E43" s="1"/>
  <c r="AM43"/>
  <c r="AN43" s="1"/>
  <c r="AO43" s="1"/>
  <c r="C72"/>
  <c r="Q72" s="1"/>
  <c r="D72"/>
  <c r="E72"/>
  <c r="F72"/>
  <c r="G72"/>
  <c r="H72"/>
  <c r="I72"/>
  <c r="J72"/>
  <c r="K72"/>
  <c r="L72"/>
  <c r="M72"/>
  <c r="N72"/>
  <c r="O72"/>
  <c r="P72"/>
  <c r="C73"/>
  <c r="D73"/>
  <c r="E73"/>
  <c r="F73"/>
  <c r="G73"/>
  <c r="H73"/>
  <c r="I73"/>
  <c r="J73"/>
  <c r="K73"/>
  <c r="L73"/>
  <c r="M73"/>
  <c r="N73"/>
  <c r="O73"/>
  <c r="P73"/>
  <c r="Q73"/>
  <c r="F25" s="1"/>
  <c r="C74"/>
  <c r="D74"/>
  <c r="E74"/>
  <c r="F74"/>
  <c r="G74"/>
  <c r="H74"/>
  <c r="I74"/>
  <c r="J74"/>
  <c r="K74"/>
  <c r="L74"/>
  <c r="M74"/>
  <c r="N74"/>
  <c r="O74"/>
  <c r="P74"/>
  <c r="Q74"/>
  <c r="J25" s="1"/>
  <c r="C75"/>
  <c r="D75"/>
  <c r="E75"/>
  <c r="F75"/>
  <c r="G75"/>
  <c r="H75"/>
  <c r="I75"/>
  <c r="J75"/>
  <c r="K75"/>
  <c r="L75"/>
  <c r="M75"/>
  <c r="N75"/>
  <c r="O75"/>
  <c r="P75"/>
  <c r="Q75"/>
  <c r="N25" s="1"/>
  <c r="C76"/>
  <c r="D76"/>
  <c r="E76"/>
  <c r="F76"/>
  <c r="G76"/>
  <c r="H76"/>
  <c r="I76"/>
  <c r="J76"/>
  <c r="K76"/>
  <c r="L76"/>
  <c r="M76"/>
  <c r="N76"/>
  <c r="O76"/>
  <c r="P76"/>
  <c r="Q76"/>
  <c r="R25" s="1"/>
  <c r="C77"/>
  <c r="Q77" s="1"/>
  <c r="V25" s="1"/>
  <c r="D77"/>
  <c r="E77"/>
  <c r="F77"/>
  <c r="G77"/>
  <c r="H77"/>
  <c r="I77"/>
  <c r="J77"/>
  <c r="K77"/>
  <c r="L77"/>
  <c r="M77"/>
  <c r="N77"/>
  <c r="O77"/>
  <c r="P77"/>
  <c r="C78"/>
  <c r="Q78" s="1"/>
  <c r="Z25" s="1"/>
  <c r="D78"/>
  <c r="E78"/>
  <c r="F78"/>
  <c r="G78"/>
  <c r="H78"/>
  <c r="I78"/>
  <c r="J78"/>
  <c r="K78"/>
  <c r="L78"/>
  <c r="M78"/>
  <c r="N78"/>
  <c r="O78"/>
  <c r="P78"/>
  <c r="C79"/>
  <c r="Q79" s="1"/>
  <c r="AD25" s="1"/>
  <c r="D79"/>
  <c r="E79"/>
  <c r="F79"/>
  <c r="G79"/>
  <c r="H79"/>
  <c r="I79"/>
  <c r="J79"/>
  <c r="K79"/>
  <c r="L79"/>
  <c r="M79"/>
  <c r="N79"/>
  <c r="O79"/>
  <c r="P79"/>
  <c r="C80"/>
  <c r="Q80" s="1"/>
  <c r="AH25" s="1"/>
  <c r="D80"/>
  <c r="E80"/>
  <c r="F80"/>
  <c r="G80"/>
  <c r="H80"/>
  <c r="I80"/>
  <c r="J80"/>
  <c r="K80"/>
  <c r="L80"/>
  <c r="M80"/>
  <c r="N80"/>
  <c r="O80"/>
  <c r="P80"/>
  <c r="C81"/>
  <c r="D81"/>
  <c r="E81"/>
  <c r="F81"/>
  <c r="G81"/>
  <c r="H81"/>
  <c r="I81"/>
  <c r="J81"/>
  <c r="K81"/>
  <c r="L81"/>
  <c r="M81"/>
  <c r="N81"/>
  <c r="O81"/>
  <c r="P81"/>
  <c r="Q81"/>
  <c r="AL25" s="1"/>
  <c r="C82"/>
  <c r="D82"/>
  <c r="E82"/>
  <c r="F82"/>
  <c r="G82"/>
  <c r="H82"/>
  <c r="I82"/>
  <c r="J82"/>
  <c r="K82"/>
  <c r="L82"/>
  <c r="M82"/>
  <c r="N82"/>
  <c r="O82"/>
  <c r="P82"/>
  <c r="Q82"/>
  <c r="AP25" s="1"/>
  <c r="H15" i="10"/>
  <c r="H14" s="1"/>
  <c r="N15"/>
  <c r="N14" s="1"/>
  <c r="T15"/>
  <c r="T14" s="1"/>
  <c r="Z15"/>
  <c r="Z14" s="1"/>
  <c r="AF15"/>
  <c r="AF14" s="1"/>
  <c r="AL15"/>
  <c r="AL14" s="1"/>
  <c r="AR15"/>
  <c r="AR14" s="1"/>
  <c r="AX15"/>
  <c r="AX14" s="1"/>
  <c r="BD15"/>
  <c r="BD14" s="1"/>
  <c r="BJ15"/>
  <c r="BJ14" s="1"/>
  <c r="C17"/>
  <c r="I17"/>
  <c r="O17"/>
  <c r="P17" s="1"/>
  <c r="U17"/>
  <c r="Q17" i="15" s="1"/>
  <c r="V17" i="10"/>
  <c r="AA17"/>
  <c r="AG17"/>
  <c r="Y17" i="15" s="1"/>
  <c r="AM17" i="10"/>
  <c r="AS17"/>
  <c r="AY17"/>
  <c r="AK17" i="15" s="1"/>
  <c r="BE17" i="10"/>
  <c r="AO17" i="15" s="1"/>
  <c r="BF17" i="10"/>
  <c r="BK17"/>
  <c r="D19"/>
  <c r="D50" s="1"/>
  <c r="J19"/>
  <c r="J50" s="1"/>
  <c r="P19"/>
  <c r="P50" s="1"/>
  <c r="V19"/>
  <c r="V50" s="1"/>
  <c r="AB19"/>
  <c r="AB50" s="1"/>
  <c r="AH19"/>
  <c r="AH50" s="1"/>
  <c r="AN19"/>
  <c r="AN50" s="1"/>
  <c r="AT19"/>
  <c r="AT50" s="1"/>
  <c r="AZ19"/>
  <c r="AZ50" s="1"/>
  <c r="BF19"/>
  <c r="BF50" s="1"/>
  <c r="BL19"/>
  <c r="BL50" s="1"/>
  <c r="D20"/>
  <c r="J20"/>
  <c r="P20"/>
  <c r="V20"/>
  <c r="AB20"/>
  <c r="AH20"/>
  <c r="AN20"/>
  <c r="AT20"/>
  <c r="AZ20"/>
  <c r="BF20"/>
  <c r="BL20"/>
  <c r="D21"/>
  <c r="J21"/>
  <c r="P21"/>
  <c r="V21"/>
  <c r="AB21"/>
  <c r="AH21"/>
  <c r="AN21"/>
  <c r="AT21"/>
  <c r="AZ21"/>
  <c r="BF21"/>
  <c r="BL21"/>
  <c r="D22"/>
  <c r="J22"/>
  <c r="P22"/>
  <c r="V22"/>
  <c r="AB22"/>
  <c r="AH22"/>
  <c r="AN22"/>
  <c r="AT22"/>
  <c r="AZ22"/>
  <c r="BF22"/>
  <c r="BL22"/>
  <c r="D23"/>
  <c r="J23"/>
  <c r="P23"/>
  <c r="V23"/>
  <c r="AB23"/>
  <c r="AH23"/>
  <c r="AN23"/>
  <c r="AT23"/>
  <c r="AZ23"/>
  <c r="BF23"/>
  <c r="BL23"/>
  <c r="D24"/>
  <c r="J24"/>
  <c r="P24"/>
  <c r="V24"/>
  <c r="AB24"/>
  <c r="AH24"/>
  <c r="AN24"/>
  <c r="AT24"/>
  <c r="AZ24"/>
  <c r="BF24"/>
  <c r="BL24"/>
  <c r="D25"/>
  <c r="J25"/>
  <c r="P25"/>
  <c r="V25"/>
  <c r="AB25"/>
  <c r="AH25"/>
  <c r="AN25"/>
  <c r="AT25"/>
  <c r="AZ25"/>
  <c r="BF25"/>
  <c r="BL25"/>
  <c r="D26"/>
  <c r="J26"/>
  <c r="P26"/>
  <c r="V26"/>
  <c r="AB26"/>
  <c r="AH26"/>
  <c r="AN26"/>
  <c r="AT26"/>
  <c r="AZ26"/>
  <c r="BF26"/>
  <c r="BL26"/>
  <c r="D27"/>
  <c r="J27"/>
  <c r="P27"/>
  <c r="V27"/>
  <c r="AB27"/>
  <c r="AH27"/>
  <c r="AN27"/>
  <c r="AT27"/>
  <c r="AZ27"/>
  <c r="BF27"/>
  <c r="BL27"/>
  <c r="D28"/>
  <c r="J28"/>
  <c r="P28"/>
  <c r="V28"/>
  <c r="AB28"/>
  <c r="AH28"/>
  <c r="AN28"/>
  <c r="AT28"/>
  <c r="AZ28"/>
  <c r="BF28"/>
  <c r="BL28"/>
  <c r="D29"/>
  <c r="J29"/>
  <c r="P29"/>
  <c r="V29"/>
  <c r="AB29"/>
  <c r="AH29"/>
  <c r="AN29"/>
  <c r="AT29"/>
  <c r="AZ29"/>
  <c r="BF29"/>
  <c r="BL29"/>
  <c r="D30"/>
  <c r="J30"/>
  <c r="P30"/>
  <c r="V30"/>
  <c r="AB30"/>
  <c r="AH30"/>
  <c r="AN30"/>
  <c r="AT30"/>
  <c r="AZ30"/>
  <c r="BF30"/>
  <c r="BL30"/>
  <c r="D31"/>
  <c r="J31"/>
  <c r="P31"/>
  <c r="V31"/>
  <c r="AB31"/>
  <c r="AH31"/>
  <c r="AN31"/>
  <c r="AT31"/>
  <c r="AZ31"/>
  <c r="BF31"/>
  <c r="BL31"/>
  <c r="D32"/>
  <c r="J32"/>
  <c r="P32"/>
  <c r="V32"/>
  <c r="AB32"/>
  <c r="AH32"/>
  <c r="AN32"/>
  <c r="AT32"/>
  <c r="AZ32"/>
  <c r="BF32"/>
  <c r="BL32"/>
  <c r="D33"/>
  <c r="J33"/>
  <c r="P33"/>
  <c r="V33"/>
  <c r="AB33"/>
  <c r="AH33"/>
  <c r="AN33"/>
  <c r="AT33"/>
  <c r="AZ33"/>
  <c r="BF33"/>
  <c r="BL33"/>
  <c r="D34"/>
  <c r="J34"/>
  <c r="P34"/>
  <c r="V34"/>
  <c r="AB34"/>
  <c r="AH34"/>
  <c r="AN34"/>
  <c r="AT34"/>
  <c r="AZ34"/>
  <c r="BF34"/>
  <c r="BL34"/>
  <c r="D35"/>
  <c r="J35"/>
  <c r="P35"/>
  <c r="V35"/>
  <c r="AB35"/>
  <c r="AH35"/>
  <c r="AN35"/>
  <c r="AT35"/>
  <c r="AZ35"/>
  <c r="BF35"/>
  <c r="BL35"/>
  <c r="D36"/>
  <c r="J36"/>
  <c r="P36"/>
  <c r="V36"/>
  <c r="AB36"/>
  <c r="AH36"/>
  <c r="AN36"/>
  <c r="AT36"/>
  <c r="AZ36"/>
  <c r="BF36"/>
  <c r="BL36"/>
  <c r="D37"/>
  <c r="J37"/>
  <c r="P37"/>
  <c r="V37"/>
  <c r="AB37"/>
  <c r="AH37"/>
  <c r="AN37"/>
  <c r="AT37"/>
  <c r="AZ37"/>
  <c r="BF37"/>
  <c r="BL37"/>
  <c r="D38"/>
  <c r="J38"/>
  <c r="P38"/>
  <c r="V38"/>
  <c r="AB38"/>
  <c r="AH38"/>
  <c r="AN38"/>
  <c r="AT38"/>
  <c r="AZ38"/>
  <c r="BF38"/>
  <c r="BL38"/>
  <c r="D39"/>
  <c r="J39"/>
  <c r="P39"/>
  <c r="V39"/>
  <c r="AB39"/>
  <c r="AH39"/>
  <c r="AN39"/>
  <c r="AT39"/>
  <c r="AZ39"/>
  <c r="BF39"/>
  <c r="BL39"/>
  <c r="D40"/>
  <c r="J40"/>
  <c r="P40"/>
  <c r="V40"/>
  <c r="AB40"/>
  <c r="AH40"/>
  <c r="AN40"/>
  <c r="AT40"/>
  <c r="AZ40"/>
  <c r="BF40"/>
  <c r="BL40"/>
  <c r="D41"/>
  <c r="J41"/>
  <c r="P41"/>
  <c r="V41"/>
  <c r="AB41"/>
  <c r="AH41"/>
  <c r="AT41"/>
  <c r="AZ41"/>
  <c r="BF41"/>
  <c r="BL41"/>
  <c r="J42"/>
  <c r="P42"/>
  <c r="AB42"/>
  <c r="AH42"/>
  <c r="BL42"/>
  <c r="D8" i="9"/>
  <c r="G8"/>
  <c r="L8" i="19" s="1"/>
  <c r="J8" i="9"/>
  <c r="V8" i="19" s="1"/>
  <c r="M8" i="9"/>
  <c r="AF8" i="19" s="1"/>
  <c r="P8" i="9"/>
  <c r="S8"/>
  <c r="AZ8" i="19" s="1"/>
  <c r="V8" i="9"/>
  <c r="Y8"/>
  <c r="BT8" i="19" s="1"/>
  <c r="AB8" i="9"/>
  <c r="AE8"/>
  <c r="CN8" i="19" s="1"/>
  <c r="AH8" i="9"/>
  <c r="CX8" i="19" s="1"/>
  <c r="D9" i="9"/>
  <c r="B9" i="19" s="1"/>
  <c r="G9" i="9"/>
  <c r="J9"/>
  <c r="V9" i="19" s="1"/>
  <c r="M9" i="9"/>
  <c r="P9"/>
  <c r="AP9" i="19" s="1"/>
  <c r="S9" i="9"/>
  <c r="V9"/>
  <c r="BJ9" i="19" s="1"/>
  <c r="Y9" i="9"/>
  <c r="BT9" i="19" s="1"/>
  <c r="AB9" i="9"/>
  <c r="CD9" i="19" s="1"/>
  <c r="AE9" i="9"/>
  <c r="AH9"/>
  <c r="CX9" i="19" s="1"/>
  <c r="D10" i="9"/>
  <c r="B10" i="19" s="1"/>
  <c r="G10" i="9"/>
  <c r="J10"/>
  <c r="M10"/>
  <c r="AF10" i="19" s="1"/>
  <c r="P10" i="9"/>
  <c r="AP10" i="19" s="1"/>
  <c r="S10" i="9"/>
  <c r="V10"/>
  <c r="Y10"/>
  <c r="BT10" i="19" s="1"/>
  <c r="AB10" i="9"/>
  <c r="CD10" i="19" s="1"/>
  <c r="AE10" i="9"/>
  <c r="AH10"/>
  <c r="D11"/>
  <c r="G11"/>
  <c r="L11" i="19" s="1"/>
  <c r="J11" i="9"/>
  <c r="M11"/>
  <c r="P11"/>
  <c r="S11"/>
  <c r="AZ11" i="19" s="1"/>
  <c r="V11" i="9"/>
  <c r="Y11"/>
  <c r="AB11"/>
  <c r="CD11" i="19" s="1"/>
  <c r="AE11" i="9"/>
  <c r="CN11" i="19" s="1"/>
  <c r="AH11" i="9"/>
  <c r="D12"/>
  <c r="G12"/>
  <c r="L12" i="19" s="1"/>
  <c r="J12" i="9"/>
  <c r="V12" i="19" s="1"/>
  <c r="M12" i="9"/>
  <c r="P12"/>
  <c r="S12"/>
  <c r="V12"/>
  <c r="BJ12" i="19" s="1"/>
  <c r="Y12" i="9"/>
  <c r="AB12"/>
  <c r="AE12"/>
  <c r="AH12"/>
  <c r="CX12" i="19" s="1"/>
  <c r="D13" i="9"/>
  <c r="G13"/>
  <c r="J13"/>
  <c r="V13" i="19" s="1"/>
  <c r="M13" i="9"/>
  <c r="AF13" i="19" s="1"/>
  <c r="P13" i="9"/>
  <c r="S13"/>
  <c r="V13"/>
  <c r="BJ13" i="19" s="1"/>
  <c r="Y13" i="9"/>
  <c r="BT13" i="19" s="1"/>
  <c r="AB13" i="9"/>
  <c r="AE13"/>
  <c r="AH13"/>
  <c r="D14"/>
  <c r="B14" i="19" s="1"/>
  <c r="G14" i="9"/>
  <c r="L14" i="19" s="1"/>
  <c r="J14" i="9"/>
  <c r="M14"/>
  <c r="AF14" i="19" s="1"/>
  <c r="P14" i="9"/>
  <c r="AP14" i="19" s="1"/>
  <c r="S14" i="9"/>
  <c r="AZ14" i="19" s="1"/>
  <c r="V14" i="9"/>
  <c r="Y14"/>
  <c r="BT14" i="19" s="1"/>
  <c r="AB14" i="9"/>
  <c r="AE14"/>
  <c r="CN14" i="19" s="1"/>
  <c r="AH14" i="9"/>
  <c r="D15"/>
  <c r="B15" i="19" s="1"/>
  <c r="G15" i="9"/>
  <c r="L15" i="19" s="1"/>
  <c r="J15" i="9"/>
  <c r="V15" i="19" s="1"/>
  <c r="M15" i="9"/>
  <c r="P15"/>
  <c r="AP15" i="19" s="1"/>
  <c r="S15" i="9"/>
  <c r="V15"/>
  <c r="BJ15" i="19" s="1"/>
  <c r="Y15" i="9"/>
  <c r="AB15"/>
  <c r="CD15" i="19" s="1"/>
  <c r="AE15" i="9"/>
  <c r="CN15" i="19" s="1"/>
  <c r="AH15" i="9"/>
  <c r="CX15" i="19" s="1"/>
  <c r="D16" i="9"/>
  <c r="G16"/>
  <c r="L16" i="19" s="1"/>
  <c r="J16" i="9"/>
  <c r="M16"/>
  <c r="AF16" i="19" s="1"/>
  <c r="P16" i="9"/>
  <c r="S16"/>
  <c r="AZ16" i="19" s="1"/>
  <c r="V16" i="9"/>
  <c r="BJ16" i="19" s="1"/>
  <c r="Y16" i="9"/>
  <c r="BT16" i="19" s="1"/>
  <c r="AB16" i="9"/>
  <c r="AE16"/>
  <c r="CN16" i="19" s="1"/>
  <c r="AH16" i="9"/>
  <c r="CX16" i="19" s="1"/>
  <c r="D17" i="9"/>
  <c r="B17" i="19" s="1"/>
  <c r="G17" i="9"/>
  <c r="J17"/>
  <c r="V17" i="19" s="1"/>
  <c r="M17" i="9"/>
  <c r="AF17" i="19" s="1"/>
  <c r="P17" i="9"/>
  <c r="AP17" i="19" s="1"/>
  <c r="S17" i="9"/>
  <c r="V17"/>
  <c r="BJ17" i="19" s="1"/>
  <c r="Y17" i="9"/>
  <c r="AB17"/>
  <c r="CD17" i="19" s="1"/>
  <c r="AE17" i="9"/>
  <c r="AH17"/>
  <c r="CX17" i="19" s="1"/>
  <c r="D19" i="9"/>
  <c r="P19"/>
  <c r="S19"/>
  <c r="V19"/>
  <c r="BJ19" i="19" s="1"/>
  <c r="Y19" i="9"/>
  <c r="AB19"/>
  <c r="J5" i="217" s="1"/>
  <c r="AE19" i="9"/>
  <c r="AH19"/>
  <c r="D20"/>
  <c r="P20"/>
  <c r="F6" i="217" s="1"/>
  <c r="S20" i="9"/>
  <c r="G6" i="217" s="1"/>
  <c r="V20" i="9"/>
  <c r="H6" i="217" s="1"/>
  <c r="Y20" i="9"/>
  <c r="AB20"/>
  <c r="J6" i="217" s="1"/>
  <c r="AE20" i="9"/>
  <c r="K6" i="217" s="1"/>
  <c r="AH20" i="9"/>
  <c r="L6" i="217" s="1"/>
  <c r="D21" i="9"/>
  <c r="P21"/>
  <c r="F7" i="217" s="1"/>
  <c r="S21" i="9"/>
  <c r="G7" i="217" s="1"/>
  <c r="V21" i="9"/>
  <c r="Y21"/>
  <c r="I7" i="217" s="1"/>
  <c r="AB21" i="9"/>
  <c r="J7" i="217" s="1"/>
  <c r="AE21" i="9"/>
  <c r="K7" i="217" s="1"/>
  <c r="AH21" i="9"/>
  <c r="L7" i="217" s="1"/>
  <c r="D22" i="9"/>
  <c r="P22"/>
  <c r="F8" i="217" s="1"/>
  <c r="S22" i="9"/>
  <c r="G8" i="217" s="1"/>
  <c r="V22" i="9"/>
  <c r="Y22"/>
  <c r="I8" i="217" s="1"/>
  <c r="AB22" i="9"/>
  <c r="J8" i="217" s="1"/>
  <c r="AE22" i="9"/>
  <c r="K8" i="217" s="1"/>
  <c r="AH22" i="9"/>
  <c r="L8" i="217" s="1"/>
  <c r="D23" i="9"/>
  <c r="P23"/>
  <c r="F9" i="217" s="1"/>
  <c r="S23" i="9"/>
  <c r="G9" i="217" s="1"/>
  <c r="V23" i="9"/>
  <c r="Y23"/>
  <c r="AB23"/>
  <c r="J9" i="217" s="1"/>
  <c r="AE23" i="9"/>
  <c r="K9" i="217" s="1"/>
  <c r="AH23" i="9"/>
  <c r="D24"/>
  <c r="B10" i="217" s="1"/>
  <c r="P24" i="9"/>
  <c r="F10" i="217" s="1"/>
  <c r="S24" i="9"/>
  <c r="G10" i="217" s="1"/>
  <c r="V24" i="9"/>
  <c r="Y24"/>
  <c r="I10" i="217" s="1"/>
  <c r="AB24" i="9"/>
  <c r="J10" i="217" s="1"/>
  <c r="AE24" i="9"/>
  <c r="K10" i="217" s="1"/>
  <c r="AH24" i="9"/>
  <c r="D25"/>
  <c r="P25"/>
  <c r="F11" i="217" s="1"/>
  <c r="S25" i="9"/>
  <c r="G11" i="217" s="1"/>
  <c r="V25" i="9"/>
  <c r="H11" i="217" s="1"/>
  <c r="Y25" i="9"/>
  <c r="AB25"/>
  <c r="J11" i="217" s="1"/>
  <c r="AE25" i="9"/>
  <c r="K11" i="217" s="1"/>
  <c r="AH25" i="9"/>
  <c r="D26"/>
  <c r="B12" i="217" s="1"/>
  <c r="P26" i="9"/>
  <c r="F12" i="217" s="1"/>
  <c r="S26" i="9"/>
  <c r="G12" i="217" s="1"/>
  <c r="V26" i="9"/>
  <c r="H12" i="217" s="1"/>
  <c r="Y26" i="9"/>
  <c r="AB26"/>
  <c r="J12" i="217" s="1"/>
  <c r="AE26" i="9"/>
  <c r="K12" i="217" s="1"/>
  <c r="AH26" i="9"/>
  <c r="L12" i="217" s="1"/>
  <c r="D27" i="9"/>
  <c r="P27"/>
  <c r="F13" i="217" s="1"/>
  <c r="S27" i="9"/>
  <c r="G13" i="217" s="1"/>
  <c r="V27" i="9"/>
  <c r="Y27"/>
  <c r="AB27"/>
  <c r="AE27"/>
  <c r="K13" i="217" s="1"/>
  <c r="AH27" i="9"/>
  <c r="L13" i="217" s="1"/>
  <c r="D28" i="9"/>
  <c r="P28"/>
  <c r="F14" i="217" s="1"/>
  <c r="S28" i="9"/>
  <c r="G14" i="217" s="1"/>
  <c r="V28" i="9"/>
  <c r="H14" i="217" s="1"/>
  <c r="Y28" i="9"/>
  <c r="AB28"/>
  <c r="AE28"/>
  <c r="K14" i="217" s="1"/>
  <c r="AH28" i="9"/>
  <c r="D29"/>
  <c r="B15" i="217" s="1"/>
  <c r="P29" i="9"/>
  <c r="F15" i="217" s="1"/>
  <c r="S29" i="9"/>
  <c r="G15" i="217" s="1"/>
  <c r="V29" i="9"/>
  <c r="H15" i="217" s="1"/>
  <c r="Y29" i="9"/>
  <c r="I15" i="217" s="1"/>
  <c r="AB29" i="9"/>
  <c r="J15" i="217" s="1"/>
  <c r="AE29" i="9"/>
  <c r="K15" i="217" s="1"/>
  <c r="AH29" i="9"/>
  <c r="L15" i="217" s="1"/>
  <c r="D30" i="9"/>
  <c r="B16" i="217" s="1"/>
  <c r="P30" i="9"/>
  <c r="F16" i="217" s="1"/>
  <c r="S30" i="9"/>
  <c r="G16" i="217" s="1"/>
  <c r="V30" i="9"/>
  <c r="Y30"/>
  <c r="I16" i="217" s="1"/>
  <c r="AB30" i="9"/>
  <c r="AE30"/>
  <c r="K16" i="217" s="1"/>
  <c r="AH30" i="9"/>
  <c r="D31"/>
  <c r="B17" i="217" s="1"/>
  <c r="P31" i="9"/>
  <c r="F17" i="217" s="1"/>
  <c r="S31" i="9"/>
  <c r="G17" i="217" s="1"/>
  <c r="V31" i="9"/>
  <c r="H17" i="217" s="1"/>
  <c r="Y31" i="9"/>
  <c r="AB31"/>
  <c r="J17" i="217" s="1"/>
  <c r="AE31" i="9"/>
  <c r="K17" i="217" s="1"/>
  <c r="AH31" i="9"/>
  <c r="L17" i="217" s="1"/>
  <c r="D32" i="9"/>
  <c r="B18" i="217" s="1"/>
  <c r="P32" i="9"/>
  <c r="F18" i="217" s="1"/>
  <c r="S32" i="9"/>
  <c r="G18" i="217" s="1"/>
  <c r="V32" i="9"/>
  <c r="Y32"/>
  <c r="AB32"/>
  <c r="J18" i="217" s="1"/>
  <c r="AE32" i="9"/>
  <c r="K18" i="217" s="1"/>
  <c r="AH32" i="9"/>
  <c r="D33"/>
  <c r="B19" i="217" s="1"/>
  <c r="P33" i="9"/>
  <c r="F19" i="217" s="1"/>
  <c r="S33" i="9"/>
  <c r="G19" i="217" s="1"/>
  <c r="V33" i="9"/>
  <c r="H19" i="217" s="1"/>
  <c r="Y33" i="9"/>
  <c r="AB33"/>
  <c r="AE33"/>
  <c r="K19" i="217" s="1"/>
  <c r="AH33" i="9"/>
  <c r="D34"/>
  <c r="P34"/>
  <c r="F20" i="217" s="1"/>
  <c r="S34" i="9"/>
  <c r="G20" i="217" s="1"/>
  <c r="V34" i="9"/>
  <c r="H20" i="217" s="1"/>
  <c r="Y34" i="9"/>
  <c r="I20" i="217" s="1"/>
  <c r="AB34" i="9"/>
  <c r="J20" i="217" s="1"/>
  <c r="AE34" i="9"/>
  <c r="K20" i="217" s="1"/>
  <c r="AH34" i="9"/>
  <c r="L20" i="217" s="1"/>
  <c r="D35" i="9"/>
  <c r="P35"/>
  <c r="F21" i="217" s="1"/>
  <c r="S35" i="9"/>
  <c r="G21" i="217" s="1"/>
  <c r="V35" i="9"/>
  <c r="Y35"/>
  <c r="AB35"/>
  <c r="AE35"/>
  <c r="K21" i="217" s="1"/>
  <c r="AH35" i="9"/>
  <c r="L21" i="217" s="1"/>
  <c r="D36" i="9"/>
  <c r="P36"/>
  <c r="F22" i="217" s="1"/>
  <c r="S36" i="9"/>
  <c r="G22" i="217" s="1"/>
  <c r="V36" i="9"/>
  <c r="H22" i="217" s="1"/>
  <c r="Y36" i="9"/>
  <c r="AB36"/>
  <c r="AE36"/>
  <c r="K22" i="217" s="1"/>
  <c r="AH36" i="9"/>
  <c r="D37"/>
  <c r="P37"/>
  <c r="F23" i="217" s="1"/>
  <c r="S37" i="9"/>
  <c r="G23" i="217" s="1"/>
  <c r="V37" i="9"/>
  <c r="Y37"/>
  <c r="AB37"/>
  <c r="J23" i="217" s="1"/>
  <c r="AE37" i="9"/>
  <c r="K23" i="217" s="1"/>
  <c r="AH37" i="9"/>
  <c r="D38"/>
  <c r="P38"/>
  <c r="F24" i="217" s="1"/>
  <c r="S38" i="9"/>
  <c r="G24" i="217" s="1"/>
  <c r="V38" i="9"/>
  <c r="Y38"/>
  <c r="AB38"/>
  <c r="J24" i="217" s="1"/>
  <c r="AE38" i="9"/>
  <c r="K24" i="217" s="1"/>
  <c r="AH38" i="9"/>
  <c r="D39"/>
  <c r="P39"/>
  <c r="F25" i="217" s="1"/>
  <c r="S39" i="9"/>
  <c r="G25" i="217" s="1"/>
  <c r="V39" i="9"/>
  <c r="Y39"/>
  <c r="I25" i="217" s="1"/>
  <c r="AB39" i="9"/>
  <c r="AE39"/>
  <c r="K25" i="217" s="1"/>
  <c r="AH39" i="9"/>
  <c r="D40"/>
  <c r="B26" i="217" s="1"/>
  <c r="P40" i="9"/>
  <c r="F26" i="217" s="1"/>
  <c r="S40" i="9"/>
  <c r="G26" i="217" s="1"/>
  <c r="V40" i="9"/>
  <c r="Y40"/>
  <c r="I26" i="217" s="1"/>
  <c r="AB40" i="9"/>
  <c r="AE40"/>
  <c r="K26" i="217" s="1"/>
  <c r="AH40" i="9"/>
  <c r="L26" i="217" s="1"/>
  <c r="D41" i="9"/>
  <c r="B27" i="217" s="1"/>
  <c r="P41" i="9"/>
  <c r="F27" i="217" s="1"/>
  <c r="S41" i="9"/>
  <c r="G27" i="217" s="1"/>
  <c r="V41" i="9"/>
  <c r="Y41"/>
  <c r="I27" i="217" s="1"/>
  <c r="AB41" i="9"/>
  <c r="AE41"/>
  <c r="K27" i="217" s="1"/>
  <c r="AH41" i="9"/>
  <c r="L27" i="217" s="1"/>
  <c r="D42" i="9"/>
  <c r="P42"/>
  <c r="F28" i="217" s="1"/>
  <c r="S42" i="9"/>
  <c r="G28" i="217" s="1"/>
  <c r="V42" i="9"/>
  <c r="Y42"/>
  <c r="I28" i="217" s="1"/>
  <c r="AB42" i="9"/>
  <c r="J28" i="217" s="1"/>
  <c r="AE42" i="9"/>
  <c r="K28" i="217" s="1"/>
  <c r="AH42" i="9"/>
  <c r="D43"/>
  <c r="B29" i="217" s="1"/>
  <c r="P43" i="9"/>
  <c r="F29" i="217" s="1"/>
  <c r="S43" i="9"/>
  <c r="G29" i="217" s="1"/>
  <c r="V43" i="9"/>
  <c r="H29" i="217" s="1"/>
  <c r="Y43" i="9"/>
  <c r="AB43"/>
  <c r="J29" i="217" s="1"/>
  <c r="AE43" i="9"/>
  <c r="K29" i="217" s="1"/>
  <c r="AH43" i="9"/>
  <c r="L29" i="217" s="1"/>
  <c r="D44" i="9"/>
  <c r="B17" i="7"/>
  <c r="B16" s="1"/>
  <c r="I17"/>
  <c r="I16" s="1"/>
  <c r="P17"/>
  <c r="P16" s="1"/>
  <c r="P15" s="1"/>
  <c r="P14" s="1"/>
  <c r="P13" s="1"/>
  <c r="P12" s="1"/>
  <c r="P11" s="1"/>
  <c r="P10" s="1"/>
  <c r="P9" s="1"/>
  <c r="P8" s="1"/>
  <c r="W17"/>
  <c r="W16" s="1"/>
  <c r="W15" s="1"/>
  <c r="W14" s="1"/>
  <c r="W13" s="1"/>
  <c r="W12" s="1"/>
  <c r="AD17"/>
  <c r="AD16" s="1"/>
  <c r="AK17"/>
  <c r="AK16" s="1"/>
  <c r="AR17"/>
  <c r="AR16" s="1"/>
  <c r="AR15" s="1"/>
  <c r="AR14" s="1"/>
  <c r="AR13" s="1"/>
  <c r="AR12" s="1"/>
  <c r="AR11" s="1"/>
  <c r="AR10" s="1"/>
  <c r="AR9" s="1"/>
  <c r="AR8" s="1"/>
  <c r="AY17"/>
  <c r="AY16" s="1"/>
  <c r="AY15" s="1"/>
  <c r="AY14" s="1"/>
  <c r="AY13" s="1"/>
  <c r="AY12" s="1"/>
  <c r="AY11" s="1"/>
  <c r="BF17"/>
  <c r="BF16" s="1"/>
  <c r="BM17"/>
  <c r="BM16" s="1"/>
  <c r="BT17"/>
  <c r="BT16" s="1"/>
  <c r="BT15" s="1"/>
  <c r="BT14" s="1"/>
  <c r="BT13" s="1"/>
  <c r="BT12" s="1"/>
  <c r="BT11" s="1"/>
  <c r="BT10" s="1"/>
  <c r="BT9" s="1"/>
  <c r="BT8" s="1"/>
  <c r="C19"/>
  <c r="C50" s="1"/>
  <c r="F19"/>
  <c r="F50" s="1"/>
  <c r="J19"/>
  <c r="J50" s="1"/>
  <c r="M19"/>
  <c r="M50" s="1"/>
  <c r="Q19"/>
  <c r="T19"/>
  <c r="T50" s="1"/>
  <c r="X19"/>
  <c r="X50" s="1"/>
  <c r="AA19"/>
  <c r="AA50" s="1"/>
  <c r="AE19"/>
  <c r="AH19"/>
  <c r="AH50" s="1"/>
  <c r="AL19"/>
  <c r="AL50" s="1"/>
  <c r="AO19"/>
  <c r="AO50" s="1"/>
  <c r="AS19"/>
  <c r="AV19"/>
  <c r="AV50" s="1"/>
  <c r="AZ19"/>
  <c r="AZ50" s="1"/>
  <c r="BC19"/>
  <c r="BC50" s="1"/>
  <c r="BG19"/>
  <c r="BG50" s="1"/>
  <c r="BJ19"/>
  <c r="BJ50" s="1"/>
  <c r="BN19"/>
  <c r="BN50" s="1"/>
  <c r="BQ19"/>
  <c r="BQ50" s="1"/>
  <c r="BU19"/>
  <c r="BU50" s="1"/>
  <c r="BX19"/>
  <c r="BX50" s="1"/>
  <c r="C20"/>
  <c r="F20"/>
  <c r="J20"/>
  <c r="M20"/>
  <c r="Q20"/>
  <c r="T20"/>
  <c r="X20"/>
  <c r="AA20"/>
  <c r="AE20"/>
  <c r="AH20"/>
  <c r="AL20"/>
  <c r="AO20"/>
  <c r="AS20"/>
  <c r="AV20"/>
  <c r="AZ20"/>
  <c r="BC20"/>
  <c r="BG20"/>
  <c r="BJ20"/>
  <c r="BN20"/>
  <c r="BQ20"/>
  <c r="BU20"/>
  <c r="BX20"/>
  <c r="C21"/>
  <c r="F21"/>
  <c r="J21"/>
  <c r="M21"/>
  <c r="Q21"/>
  <c r="T21"/>
  <c r="X21"/>
  <c r="AA21"/>
  <c r="AE21"/>
  <c r="AH21"/>
  <c r="AL21"/>
  <c r="AO21"/>
  <c r="AS21"/>
  <c r="AV21"/>
  <c r="AZ21"/>
  <c r="BC21"/>
  <c r="BG21"/>
  <c r="BJ21"/>
  <c r="BN21"/>
  <c r="BQ21"/>
  <c r="BU21"/>
  <c r="BX21"/>
  <c r="C22"/>
  <c r="F22"/>
  <c r="J22"/>
  <c r="M22"/>
  <c r="Q22"/>
  <c r="T22"/>
  <c r="X22"/>
  <c r="AA22"/>
  <c r="AE22"/>
  <c r="AH22"/>
  <c r="AL22"/>
  <c r="AO22"/>
  <c r="AS22"/>
  <c r="AV22"/>
  <c r="AZ22"/>
  <c r="BC22"/>
  <c r="BG22"/>
  <c r="BJ22"/>
  <c r="BN22"/>
  <c r="BQ22"/>
  <c r="BU22"/>
  <c r="BX22"/>
  <c r="C23"/>
  <c r="F23"/>
  <c r="J23"/>
  <c r="M23"/>
  <c r="Q23"/>
  <c r="T23"/>
  <c r="X23"/>
  <c r="AA23"/>
  <c r="AE23"/>
  <c r="AH23"/>
  <c r="AL23"/>
  <c r="AO23"/>
  <c r="AS23"/>
  <c r="AV23"/>
  <c r="AZ23"/>
  <c r="BC23"/>
  <c r="BG23"/>
  <c r="BJ23"/>
  <c r="BN23"/>
  <c r="BQ23"/>
  <c r="BU23"/>
  <c r="BX23"/>
  <c r="C24"/>
  <c r="F24"/>
  <c r="J24"/>
  <c r="M24"/>
  <c r="Q24"/>
  <c r="T24"/>
  <c r="X24"/>
  <c r="AA24"/>
  <c r="AE24"/>
  <c r="AH24"/>
  <c r="AL24"/>
  <c r="AO24"/>
  <c r="AS24"/>
  <c r="AV24"/>
  <c r="AZ24"/>
  <c r="BC24"/>
  <c r="BG24"/>
  <c r="BJ24"/>
  <c r="BN24"/>
  <c r="BQ24"/>
  <c r="BU24"/>
  <c r="BX24"/>
  <c r="C25"/>
  <c r="F25"/>
  <c r="J25"/>
  <c r="M25"/>
  <c r="Q25"/>
  <c r="T25"/>
  <c r="X25"/>
  <c r="AA25"/>
  <c r="AE25"/>
  <c r="AH25"/>
  <c r="AL25"/>
  <c r="AO25"/>
  <c r="AS25"/>
  <c r="AV25"/>
  <c r="AZ25"/>
  <c r="BC25"/>
  <c r="BG25"/>
  <c r="BJ25"/>
  <c r="BN25"/>
  <c r="BQ25"/>
  <c r="BU25"/>
  <c r="BX25"/>
  <c r="C26"/>
  <c r="F26"/>
  <c r="J26"/>
  <c r="M26"/>
  <c r="Q26"/>
  <c r="T26"/>
  <c r="X26"/>
  <c r="AA26"/>
  <c r="AE26"/>
  <c r="AH26"/>
  <c r="AL26"/>
  <c r="AO26"/>
  <c r="AS26"/>
  <c r="AV26"/>
  <c r="AZ26"/>
  <c r="BC26"/>
  <c r="BG26"/>
  <c r="BJ26"/>
  <c r="BN26"/>
  <c r="BQ26"/>
  <c r="BU26"/>
  <c r="BX26"/>
  <c r="C27"/>
  <c r="F27"/>
  <c r="J27"/>
  <c r="M27"/>
  <c r="Q27"/>
  <c r="T27"/>
  <c r="X27"/>
  <c r="AA27"/>
  <c r="AE27"/>
  <c r="AH27"/>
  <c r="AL27"/>
  <c r="AO27"/>
  <c r="AS27"/>
  <c r="AV27"/>
  <c r="AZ27"/>
  <c r="BC27"/>
  <c r="BG27"/>
  <c r="BJ27"/>
  <c r="BN27"/>
  <c r="BQ27"/>
  <c r="BU27"/>
  <c r="BX27"/>
  <c r="C28"/>
  <c r="F28"/>
  <c r="J28"/>
  <c r="M28"/>
  <c r="Q28"/>
  <c r="T28"/>
  <c r="X28"/>
  <c r="AA28"/>
  <c r="AE28"/>
  <c r="AH28"/>
  <c r="AL28"/>
  <c r="AO28"/>
  <c r="AS28"/>
  <c r="AV28"/>
  <c r="AZ28"/>
  <c r="BC28"/>
  <c r="BG28"/>
  <c r="BJ28"/>
  <c r="BN28"/>
  <c r="BQ28"/>
  <c r="BU28"/>
  <c r="BX28"/>
  <c r="C29"/>
  <c r="F29"/>
  <c r="J29"/>
  <c r="M29"/>
  <c r="Q29"/>
  <c r="T29"/>
  <c r="X29"/>
  <c r="AA29"/>
  <c r="AE29"/>
  <c r="AH29"/>
  <c r="AL29"/>
  <c r="AO29"/>
  <c r="AS29"/>
  <c r="AV29"/>
  <c r="AZ29"/>
  <c r="BC29"/>
  <c r="BG29"/>
  <c r="BJ29"/>
  <c r="BN29"/>
  <c r="BQ29"/>
  <c r="BU29"/>
  <c r="BX29"/>
  <c r="C30"/>
  <c r="F30"/>
  <c r="J30"/>
  <c r="M30"/>
  <c r="Q30"/>
  <c r="T30"/>
  <c r="X30"/>
  <c r="AA30"/>
  <c r="AE30"/>
  <c r="AH30"/>
  <c r="AL30"/>
  <c r="AO30"/>
  <c r="AS30"/>
  <c r="AV30"/>
  <c r="AZ30"/>
  <c r="BC30"/>
  <c r="BG30"/>
  <c r="BJ30"/>
  <c r="BN30"/>
  <c r="BQ30"/>
  <c r="BU30"/>
  <c r="BX30"/>
  <c r="C31"/>
  <c r="F31"/>
  <c r="J31"/>
  <c r="M31"/>
  <c r="Q31"/>
  <c r="T31"/>
  <c r="X31"/>
  <c r="AA31"/>
  <c r="AE31"/>
  <c r="AH31"/>
  <c r="AL31"/>
  <c r="AO31"/>
  <c r="AS31"/>
  <c r="AV31"/>
  <c r="AZ31"/>
  <c r="BC31"/>
  <c r="BG31"/>
  <c r="BJ31"/>
  <c r="BN31"/>
  <c r="BQ31"/>
  <c r="BU31"/>
  <c r="BX31"/>
  <c r="C32"/>
  <c r="F32"/>
  <c r="J32"/>
  <c r="M32"/>
  <c r="Q32"/>
  <c r="T32"/>
  <c r="X32"/>
  <c r="AA32"/>
  <c r="AE32"/>
  <c r="AH32"/>
  <c r="AL32"/>
  <c r="AO32"/>
  <c r="AS32"/>
  <c r="AV32"/>
  <c r="AZ32"/>
  <c r="BC32"/>
  <c r="BG32"/>
  <c r="BJ32"/>
  <c r="BN32"/>
  <c r="BQ32"/>
  <c r="BU32"/>
  <c r="BX32"/>
  <c r="C33"/>
  <c r="F33"/>
  <c r="J33"/>
  <c r="M33"/>
  <c r="Q33"/>
  <c r="T33"/>
  <c r="X33"/>
  <c r="AA33"/>
  <c r="AE33"/>
  <c r="AH33"/>
  <c r="AL33"/>
  <c r="AO33"/>
  <c r="AS33"/>
  <c r="AV33"/>
  <c r="AZ33"/>
  <c r="BC33"/>
  <c r="BG33"/>
  <c r="BJ33"/>
  <c r="BN33"/>
  <c r="BQ33"/>
  <c r="BU33"/>
  <c r="BX33"/>
  <c r="C34"/>
  <c r="F34"/>
  <c r="J34"/>
  <c r="M34"/>
  <c r="Q34"/>
  <c r="T34"/>
  <c r="X34"/>
  <c r="AA34"/>
  <c r="AE34"/>
  <c r="AH34"/>
  <c r="AI34" s="1"/>
  <c r="AJ34" s="1"/>
  <c r="F20" i="213" s="1"/>
  <c r="AL34" i="7"/>
  <c r="AO34"/>
  <c r="AS34"/>
  <c r="AV34"/>
  <c r="AW34" s="1"/>
  <c r="AX34" s="1"/>
  <c r="AZ34"/>
  <c r="BC34"/>
  <c r="BG34"/>
  <c r="BJ34"/>
  <c r="BK34" s="1"/>
  <c r="BL34" s="1"/>
  <c r="BN34"/>
  <c r="BQ34"/>
  <c r="BU34"/>
  <c r="BX34"/>
  <c r="BY34" s="1"/>
  <c r="BZ34" s="1"/>
  <c r="C35"/>
  <c r="F35"/>
  <c r="J35"/>
  <c r="M35"/>
  <c r="N35" s="1"/>
  <c r="O35" s="1"/>
  <c r="Q35"/>
  <c r="T35"/>
  <c r="X35"/>
  <c r="AA35"/>
  <c r="AB35" s="1"/>
  <c r="AC35" s="1"/>
  <c r="AE35"/>
  <c r="AH35"/>
  <c r="AL35"/>
  <c r="AO35"/>
  <c r="AP35" s="1"/>
  <c r="AQ35" s="1"/>
  <c r="AS35"/>
  <c r="AV35"/>
  <c r="AZ35"/>
  <c r="BC35"/>
  <c r="BD35" s="1"/>
  <c r="BE35" s="1"/>
  <c r="BG35"/>
  <c r="BJ35"/>
  <c r="BN35"/>
  <c r="BQ35"/>
  <c r="BR35" s="1"/>
  <c r="BS35" s="1"/>
  <c r="K21" i="213" s="1"/>
  <c r="BU35" i="7"/>
  <c r="BX35"/>
  <c r="C36"/>
  <c r="F36"/>
  <c r="G36" s="1"/>
  <c r="H36" s="1"/>
  <c r="J36"/>
  <c r="M36"/>
  <c r="Q36"/>
  <c r="T36"/>
  <c r="U36" s="1"/>
  <c r="V36" s="1"/>
  <c r="X36"/>
  <c r="AA36"/>
  <c r="AE36"/>
  <c r="AH36"/>
  <c r="AI36" s="1"/>
  <c r="AJ36" s="1"/>
  <c r="AL36"/>
  <c r="AO36"/>
  <c r="AS36"/>
  <c r="AV36"/>
  <c r="AW36" s="1"/>
  <c r="AX36" s="1"/>
  <c r="AZ36"/>
  <c r="BC36"/>
  <c r="BG36"/>
  <c r="BJ36"/>
  <c r="BK36" s="1"/>
  <c r="BL36" s="1"/>
  <c r="BN36"/>
  <c r="BQ36"/>
  <c r="BU36"/>
  <c r="BX36"/>
  <c r="BY36" s="1"/>
  <c r="BZ36" s="1"/>
  <c r="C37"/>
  <c r="F37"/>
  <c r="J37"/>
  <c r="M37"/>
  <c r="N37" s="1"/>
  <c r="O37" s="1"/>
  <c r="Q37"/>
  <c r="T37"/>
  <c r="X37"/>
  <c r="AA37"/>
  <c r="AB37" s="1"/>
  <c r="AC37" s="1"/>
  <c r="E23" i="213" s="1"/>
  <c r="AE37" i="7"/>
  <c r="AH37"/>
  <c r="AL37"/>
  <c r="AO37"/>
  <c r="AP37" s="1"/>
  <c r="AQ37" s="1"/>
  <c r="G23" i="213" s="1"/>
  <c r="AS37" i="7"/>
  <c r="AV37"/>
  <c r="AZ37"/>
  <c r="BC37"/>
  <c r="BD37" s="1"/>
  <c r="BE37" s="1"/>
  <c r="BG37"/>
  <c r="BJ37"/>
  <c r="BN37"/>
  <c r="BQ37"/>
  <c r="BR37" s="1"/>
  <c r="BS37" s="1"/>
  <c r="BU37"/>
  <c r="BX37"/>
  <c r="C38"/>
  <c r="F38"/>
  <c r="G38" s="1"/>
  <c r="H38" s="1"/>
  <c r="J38"/>
  <c r="M38"/>
  <c r="Q38"/>
  <c r="T38"/>
  <c r="U38" s="1"/>
  <c r="V38" s="1"/>
  <c r="D24" i="213" s="1"/>
  <c r="X38" i="7"/>
  <c r="AA38"/>
  <c r="AE38"/>
  <c r="AH38"/>
  <c r="AI38" s="1"/>
  <c r="AJ38" s="1"/>
  <c r="AL38"/>
  <c r="AO38"/>
  <c r="AS38"/>
  <c r="AV38"/>
  <c r="AW38" s="1"/>
  <c r="AX38" s="1"/>
  <c r="AZ38"/>
  <c r="BC38"/>
  <c r="BG38"/>
  <c r="BJ38"/>
  <c r="BK38" s="1"/>
  <c r="BL38" s="1"/>
  <c r="BN38"/>
  <c r="BQ38"/>
  <c r="BU38"/>
  <c r="BX38"/>
  <c r="BY38" s="1"/>
  <c r="BZ38" s="1"/>
  <c r="L24" i="213" s="1"/>
  <c r="C39" i="7"/>
  <c r="F39"/>
  <c r="J39"/>
  <c r="M39"/>
  <c r="N39" s="1"/>
  <c r="O39" s="1"/>
  <c r="Q39"/>
  <c r="T39"/>
  <c r="X39"/>
  <c r="AA39"/>
  <c r="AB39" s="1"/>
  <c r="AC39" s="1"/>
  <c r="AE39"/>
  <c r="AH39"/>
  <c r="AL39"/>
  <c r="AO39"/>
  <c r="AP39" s="1"/>
  <c r="AQ39" s="1"/>
  <c r="AS39"/>
  <c r="AV39"/>
  <c r="AZ39"/>
  <c r="BC39"/>
  <c r="BD39" s="1"/>
  <c r="BE39" s="1"/>
  <c r="I25" i="213" s="1"/>
  <c r="BG39" i="7"/>
  <c r="BJ39"/>
  <c r="BN39"/>
  <c r="BQ39"/>
  <c r="BR39" s="1"/>
  <c r="BS39" s="1"/>
  <c r="BU39"/>
  <c r="BX39"/>
  <c r="C40"/>
  <c r="F40"/>
  <c r="G40" s="1"/>
  <c r="H40" s="1"/>
  <c r="J40"/>
  <c r="M40"/>
  <c r="Q40"/>
  <c r="T40"/>
  <c r="U40" s="1"/>
  <c r="V40" s="1"/>
  <c r="X40"/>
  <c r="AA40"/>
  <c r="AE40"/>
  <c r="AH40"/>
  <c r="AI40" s="1"/>
  <c r="AJ40" s="1"/>
  <c r="AL40"/>
  <c r="AO40"/>
  <c r="AS40"/>
  <c r="AV40"/>
  <c r="AW40" s="1"/>
  <c r="AX40" s="1"/>
  <c r="AZ40"/>
  <c r="BC40"/>
  <c r="BG40"/>
  <c r="BJ40"/>
  <c r="BK40" s="1"/>
  <c r="BL40" s="1"/>
  <c r="BN40"/>
  <c r="BQ40"/>
  <c r="BU40"/>
  <c r="BX40"/>
  <c r="BY40" s="1"/>
  <c r="BZ40" s="1"/>
  <c r="L26" i="213" s="1"/>
  <c r="C41" i="7"/>
  <c r="F41"/>
  <c r="J41"/>
  <c r="M41"/>
  <c r="N41" s="1"/>
  <c r="O41" s="1"/>
  <c r="Q41"/>
  <c r="T41"/>
  <c r="X41"/>
  <c r="AA41"/>
  <c r="AB41" s="1"/>
  <c r="AC41" s="1"/>
  <c r="AE41"/>
  <c r="AH41"/>
  <c r="AL41"/>
  <c r="AO41"/>
  <c r="AP41" s="1"/>
  <c r="AQ41" s="1"/>
  <c r="AS41"/>
  <c r="AV41"/>
  <c r="AZ41"/>
  <c r="BC41"/>
  <c r="BD41" s="1"/>
  <c r="BE41" s="1"/>
  <c r="I27" i="213" s="1"/>
  <c r="BG41" i="7"/>
  <c r="BJ41"/>
  <c r="BN41"/>
  <c r="BQ41"/>
  <c r="BR41" s="1"/>
  <c r="BS41" s="1"/>
  <c r="BU41"/>
  <c r="BX41"/>
  <c r="G42"/>
  <c r="H42" s="1"/>
  <c r="J42"/>
  <c r="M42"/>
  <c r="Q42"/>
  <c r="T42"/>
  <c r="X42"/>
  <c r="AA42"/>
  <c r="AE42"/>
  <c r="AH42"/>
  <c r="AL42"/>
  <c r="AO42"/>
  <c r="AS42"/>
  <c r="AV42"/>
  <c r="AZ42"/>
  <c r="BC42"/>
  <c r="BG42"/>
  <c r="BJ42"/>
  <c r="BN42"/>
  <c r="BQ42"/>
  <c r="BU42"/>
  <c r="BX42"/>
  <c r="J43"/>
  <c r="M43"/>
  <c r="X43" i="58"/>
  <c r="X43" i="7"/>
  <c r="AB43" s="1"/>
  <c r="AC43" s="1"/>
  <c r="E29" i="213" s="1"/>
  <c r="AL43" i="7"/>
  <c r="AP43" s="1"/>
  <c r="AQ43" s="1"/>
  <c r="G29" i="213" s="1"/>
  <c r="BL43" i="58"/>
  <c r="AZ43" i="7"/>
  <c r="BD43" s="1"/>
  <c r="BE43" s="1"/>
  <c r="I29" i="213" s="1"/>
  <c r="BN43" i="7"/>
  <c r="BR43" s="1"/>
  <c r="BS43" s="1"/>
  <c r="K29" i="213" s="1"/>
  <c r="CZ43" i="58"/>
  <c r="M44" i="7"/>
  <c r="CF44" i="58"/>
  <c r="CZ44"/>
  <c r="M45" i="7"/>
  <c r="J44"/>
  <c r="N44" s="1"/>
  <c r="O44" s="1"/>
  <c r="C30" i="213" s="1"/>
  <c r="X44" i="7"/>
  <c r="AB44" s="1"/>
  <c r="AC44" s="1"/>
  <c r="E30" i="213" s="1"/>
  <c r="AL44" i="7"/>
  <c r="AP44" s="1"/>
  <c r="AQ44" s="1"/>
  <c r="G30" i="213" s="1"/>
  <c r="AZ44" i="7"/>
  <c r="BD44" s="1"/>
  <c r="BE44" s="1"/>
  <c r="BN44"/>
  <c r="BR44" s="1"/>
  <c r="BS44" s="1"/>
  <c r="J45"/>
  <c r="X45"/>
  <c r="AB45" s="1"/>
  <c r="AC45" s="1"/>
  <c r="E31" i="213" s="1"/>
  <c r="AL45" i="7"/>
  <c r="AP45" s="1"/>
  <c r="AQ45" s="1"/>
  <c r="AZ45"/>
  <c r="BD45" s="1"/>
  <c r="BE45" s="1"/>
  <c r="BN45"/>
  <c r="BR45" s="1"/>
  <c r="BS45" s="1"/>
  <c r="K31" i="213" s="1"/>
  <c r="AF90" i="7"/>
  <c r="AJ90"/>
  <c r="F5" i="70"/>
  <c r="H5"/>
  <c r="K5" s="1"/>
  <c r="E6"/>
  <c r="F6" s="1"/>
  <c r="H6"/>
  <c r="E7"/>
  <c r="H7"/>
  <c r="K7" s="1"/>
  <c r="H8"/>
  <c r="K8" s="1"/>
  <c r="C9"/>
  <c r="C8" s="1"/>
  <c r="H9"/>
  <c r="K9" s="1"/>
  <c r="H10"/>
  <c r="K10" s="1"/>
  <c r="H11"/>
  <c r="K11" s="1"/>
  <c r="H12"/>
  <c r="K12" s="1"/>
  <c r="H13"/>
  <c r="K13" s="1"/>
  <c r="H14"/>
  <c r="K14" s="1"/>
  <c r="F15"/>
  <c r="K15"/>
  <c r="B5" i="215" s="1"/>
  <c r="P15" i="70"/>
  <c r="E16"/>
  <c r="F16" s="1"/>
  <c r="K16"/>
  <c r="B6" i="215" s="1"/>
  <c r="P16" i="70"/>
  <c r="E17"/>
  <c r="F17" s="1"/>
  <c r="K17"/>
  <c r="B7" i="215" s="1"/>
  <c r="P17" i="70"/>
  <c r="E18"/>
  <c r="F18" s="1"/>
  <c r="K18"/>
  <c r="B8" i="215" s="1"/>
  <c r="P18" i="70"/>
  <c r="E19"/>
  <c r="F19" s="1"/>
  <c r="K19"/>
  <c r="B9" i="215" s="1"/>
  <c r="P19" i="70"/>
  <c r="F20"/>
  <c r="K20"/>
  <c r="B10" i="215" s="1"/>
  <c r="P20" i="70"/>
  <c r="K21"/>
  <c r="B11" i="215" s="1"/>
  <c r="P21" i="70"/>
  <c r="E22"/>
  <c r="F22" s="1"/>
  <c r="K22"/>
  <c r="B12" i="215" s="1"/>
  <c r="P22" i="70"/>
  <c r="P23"/>
  <c r="P24"/>
  <c r="K25"/>
  <c r="B15" i="215" s="1"/>
  <c r="P25" i="70"/>
  <c r="K26"/>
  <c r="B16" i="215" s="1"/>
  <c r="P26" i="70"/>
  <c r="D27"/>
  <c r="D28" s="1"/>
  <c r="P27"/>
  <c r="P28"/>
  <c r="D29"/>
  <c r="D30" s="1"/>
  <c r="D31" s="1"/>
  <c r="P29"/>
  <c r="P30"/>
  <c r="P31"/>
  <c r="P32"/>
  <c r="P33"/>
  <c r="P34"/>
  <c r="P35"/>
  <c r="P36"/>
  <c r="P37"/>
  <c r="P38"/>
  <c r="P39"/>
  <c r="P40"/>
  <c r="P41"/>
  <c r="C46"/>
  <c r="D46"/>
  <c r="I46"/>
  <c r="J46"/>
  <c r="N46"/>
  <c r="O46"/>
  <c r="B8" i="6"/>
  <c r="C8" s="1"/>
  <c r="E8" i="58" s="1"/>
  <c r="E8" i="6"/>
  <c r="G8"/>
  <c r="I8"/>
  <c r="K8"/>
  <c r="AS8" i="58" s="1"/>
  <c r="M8" i="6"/>
  <c r="O8"/>
  <c r="Q8"/>
  <c r="S8"/>
  <c r="CG8" i="58" s="1"/>
  <c r="U8" i="6"/>
  <c r="W8"/>
  <c r="B11"/>
  <c r="C11" s="1"/>
  <c r="E11" i="58" s="1"/>
  <c r="B21" i="6"/>
  <c r="C21" s="1"/>
  <c r="E21" i="58" s="1"/>
  <c r="C23" i="124" s="1"/>
  <c r="B22" i="6"/>
  <c r="C22" s="1"/>
  <c r="B25"/>
  <c r="C25" s="1"/>
  <c r="E25" i="58" s="1"/>
  <c r="C27" i="124" s="1"/>
  <c r="B26" i="6"/>
  <c r="C26" s="1"/>
  <c r="B29"/>
  <c r="C29" s="1"/>
  <c r="B30"/>
  <c r="C30" s="1"/>
  <c r="F5" i="80"/>
  <c r="G5" s="1"/>
  <c r="I5"/>
  <c r="L5" s="1"/>
  <c r="F6"/>
  <c r="G6" s="1"/>
  <c r="I6"/>
  <c r="L6" s="1"/>
  <c r="I7"/>
  <c r="L7" s="1"/>
  <c r="I8"/>
  <c r="L8" s="1"/>
  <c r="C9"/>
  <c r="C8" s="1"/>
  <c r="C7" s="1"/>
  <c r="C6" s="1"/>
  <c r="C5" s="1"/>
  <c r="I9"/>
  <c r="L9" s="1"/>
  <c r="D10"/>
  <c r="I10"/>
  <c r="L10" s="1"/>
  <c r="D11"/>
  <c r="I11"/>
  <c r="L11" s="1"/>
  <c r="D12"/>
  <c r="L12"/>
  <c r="D13"/>
  <c r="I13"/>
  <c r="L13" s="1"/>
  <c r="D14"/>
  <c r="D16"/>
  <c r="G16"/>
  <c r="V19" i="6"/>
  <c r="D17" i="80"/>
  <c r="F17"/>
  <c r="G17" s="1"/>
  <c r="V20" i="6"/>
  <c r="W20" s="1"/>
  <c r="L17" i="80"/>
  <c r="L6" i="215" s="1"/>
  <c r="D18" i="80"/>
  <c r="F18"/>
  <c r="G18" s="1"/>
  <c r="D19"/>
  <c r="F19"/>
  <c r="G19" s="1"/>
  <c r="V22" i="6"/>
  <c r="W22" s="1"/>
  <c r="L19" i="80"/>
  <c r="L8" i="215" s="1"/>
  <c r="D20" i="80"/>
  <c r="F20"/>
  <c r="G20" s="1"/>
  <c r="V23" i="6"/>
  <c r="W23" s="1"/>
  <c r="L20" i="80"/>
  <c r="L9" i="215" s="1"/>
  <c r="D21" i="80"/>
  <c r="G21"/>
  <c r="V24" i="6"/>
  <c r="W24" s="1"/>
  <c r="DA24" i="58" s="1"/>
  <c r="L21" i="80"/>
  <c r="L10" i="215" s="1"/>
  <c r="D22" i="80"/>
  <c r="F22"/>
  <c r="G22" s="1"/>
  <c r="L22"/>
  <c r="L11" i="215" s="1"/>
  <c r="D23" i="80"/>
  <c r="V26" i="6"/>
  <c r="W26" s="1"/>
  <c r="L23" i="80"/>
  <c r="L12" i="215" s="1"/>
  <c r="D24" i="80"/>
  <c r="V27" i="6"/>
  <c r="W27" s="1"/>
  <c r="DA27" i="58" s="1"/>
  <c r="L24" i="80"/>
  <c r="L13" i="215" s="1"/>
  <c r="D25" i="80"/>
  <c r="V28" i="6"/>
  <c r="W28" s="1"/>
  <c r="L25" i="80"/>
  <c r="L14" i="215" s="1"/>
  <c r="D26" i="80"/>
  <c r="L26"/>
  <c r="L15" i="215" s="1"/>
  <c r="D27" i="80"/>
  <c r="D48" s="1"/>
  <c r="G27"/>
  <c r="V30" i="6"/>
  <c r="W30" s="1"/>
  <c r="DA30" i="58" s="1"/>
  <c r="L27" i="80"/>
  <c r="L16" i="215" s="1"/>
  <c r="D28" i="80"/>
  <c r="D29"/>
  <c r="D30"/>
  <c r="D31"/>
  <c r="D32"/>
  <c r="D33"/>
  <c r="D34"/>
  <c r="D35"/>
  <c r="D36"/>
  <c r="D37"/>
  <c r="D38"/>
  <c r="D39"/>
  <c r="D40"/>
  <c r="D47" s="1"/>
  <c r="D41"/>
  <c r="D42"/>
  <c r="B47"/>
  <c r="C47"/>
  <c r="J47"/>
  <c r="K47"/>
  <c r="F5" i="79"/>
  <c r="I5"/>
  <c r="L5" s="1"/>
  <c r="I6"/>
  <c r="L6" s="1"/>
  <c r="I7"/>
  <c r="L7" s="1"/>
  <c r="I8"/>
  <c r="L8" s="1"/>
  <c r="C9"/>
  <c r="C8" s="1"/>
  <c r="C7" s="1"/>
  <c r="C6" s="1"/>
  <c r="C5" s="1"/>
  <c r="I9"/>
  <c r="L9" s="1"/>
  <c r="D10"/>
  <c r="I10"/>
  <c r="L10" s="1"/>
  <c r="D11"/>
  <c r="I11"/>
  <c r="L11" s="1"/>
  <c r="D12"/>
  <c r="I12"/>
  <c r="L12" s="1"/>
  <c r="D13"/>
  <c r="I13"/>
  <c r="L13" s="1"/>
  <c r="D14"/>
  <c r="I14"/>
  <c r="L14" s="1"/>
  <c r="D16"/>
  <c r="G16"/>
  <c r="T19" i="6"/>
  <c r="L16" i="79"/>
  <c r="K5" i="215" s="1"/>
  <c r="D17" i="79"/>
  <c r="F17"/>
  <c r="G17" s="1"/>
  <c r="T20" i="6"/>
  <c r="U20" s="1"/>
  <c r="CQ20" i="58" s="1"/>
  <c r="L17" i="79"/>
  <c r="K6" i="215" s="1"/>
  <c r="D18" i="79"/>
  <c r="F18"/>
  <c r="G18" s="1"/>
  <c r="T21" i="6"/>
  <c r="U21" s="1"/>
  <c r="CQ21" i="58" s="1"/>
  <c r="L18" i="79"/>
  <c r="K7" i="215" s="1"/>
  <c r="D19" i="79"/>
  <c r="F19"/>
  <c r="G19" s="1"/>
  <c r="T22" i="6"/>
  <c r="U22" s="1"/>
  <c r="CQ22" i="58" s="1"/>
  <c r="L19" i="79"/>
  <c r="K8" i="215" s="1"/>
  <c r="D20" i="79"/>
  <c r="F20"/>
  <c r="G20" s="1"/>
  <c r="T23" i="6"/>
  <c r="U23" s="1"/>
  <c r="CQ23" i="58" s="1"/>
  <c r="L20" i="79"/>
  <c r="K9" i="215" s="1"/>
  <c r="D21" i="79"/>
  <c r="G21"/>
  <c r="T24" i="6"/>
  <c r="U24" s="1"/>
  <c r="CQ24" i="58" s="1"/>
  <c r="L21" i="79"/>
  <c r="K10" i="215" s="1"/>
  <c r="D22" i="79"/>
  <c r="F22"/>
  <c r="G22" s="1"/>
  <c r="T25" i="6"/>
  <c r="U25" s="1"/>
  <c r="CQ25" i="58" s="1"/>
  <c r="L22" i="79"/>
  <c r="K11" i="215" s="1"/>
  <c r="D23" i="79"/>
  <c r="T26" i="6"/>
  <c r="U26" s="1"/>
  <c r="CQ26" i="58" s="1"/>
  <c r="L23" i="79"/>
  <c r="K12" i="215" s="1"/>
  <c r="D24" i="79"/>
  <c r="T27" i="6"/>
  <c r="U27" s="1"/>
  <c r="CQ27" i="58" s="1"/>
  <c r="L24" i="79"/>
  <c r="K13" i="215" s="1"/>
  <c r="D25" i="79"/>
  <c r="T28" i="6"/>
  <c r="U28" s="1"/>
  <c r="CQ28" i="58" s="1"/>
  <c r="D26" i="79"/>
  <c r="T29" i="6"/>
  <c r="U29" s="1"/>
  <c r="CQ29" i="58" s="1"/>
  <c r="L26" i="79"/>
  <c r="K15" i="215" s="1"/>
  <c r="D27" i="79"/>
  <c r="D48" s="1"/>
  <c r="G27"/>
  <c r="T30" i="6"/>
  <c r="U30" s="1"/>
  <c r="L27" i="79"/>
  <c r="K16" i="215" s="1"/>
  <c r="D28" i="79"/>
  <c r="D29"/>
  <c r="D30"/>
  <c r="D31"/>
  <c r="D32"/>
  <c r="D33"/>
  <c r="D34"/>
  <c r="D35"/>
  <c r="D36"/>
  <c r="D37"/>
  <c r="D38"/>
  <c r="D39"/>
  <c r="D40"/>
  <c r="D41"/>
  <c r="D42"/>
  <c r="B47"/>
  <c r="C47"/>
  <c r="J47"/>
  <c r="K47"/>
  <c r="F5" i="78"/>
  <c r="I5"/>
  <c r="L5" s="1"/>
  <c r="I6"/>
  <c r="L6" s="1"/>
  <c r="I7"/>
  <c r="L7" s="1"/>
  <c r="I8"/>
  <c r="L8" s="1"/>
  <c r="C9"/>
  <c r="C8" s="1"/>
  <c r="I9"/>
  <c r="L9" s="1"/>
  <c r="D10"/>
  <c r="I10"/>
  <c r="L10" s="1"/>
  <c r="D11"/>
  <c r="I11"/>
  <c r="L11" s="1"/>
  <c r="D12"/>
  <c r="I12"/>
  <c r="L12" s="1"/>
  <c r="D13"/>
  <c r="I13"/>
  <c r="L13" s="1"/>
  <c r="D14"/>
  <c r="I14"/>
  <c r="L14" s="1"/>
  <c r="D16"/>
  <c r="G16"/>
  <c r="R19" i="6"/>
  <c r="L16" i="78"/>
  <c r="J5" i="215" s="1"/>
  <c r="D17" i="78"/>
  <c r="F17"/>
  <c r="G17" s="1"/>
  <c r="R20" i="6"/>
  <c r="S20" s="1"/>
  <c r="CG20" i="58" s="1"/>
  <c r="L17" i="78"/>
  <c r="J6" i="215" s="1"/>
  <c r="D18" i="78"/>
  <c r="F18"/>
  <c r="G18" s="1"/>
  <c r="R21" i="6"/>
  <c r="S21" s="1"/>
  <c r="CG21" i="58" s="1"/>
  <c r="L18" i="78"/>
  <c r="J7" i="215" s="1"/>
  <c r="D19" i="78"/>
  <c r="F19"/>
  <c r="G19" s="1"/>
  <c r="R22" i="6"/>
  <c r="S22" s="1"/>
  <c r="CG22" i="58" s="1"/>
  <c r="L19" i="78"/>
  <c r="J8" i="215" s="1"/>
  <c r="D20" i="78"/>
  <c r="F20"/>
  <c r="G20" s="1"/>
  <c r="R23" i="6"/>
  <c r="S23" s="1"/>
  <c r="CG23" i="58" s="1"/>
  <c r="D21" i="78"/>
  <c r="G21"/>
  <c r="R24" i="6"/>
  <c r="S24" s="1"/>
  <c r="CG24" i="58" s="1"/>
  <c r="L21" i="78"/>
  <c r="J10" i="215" s="1"/>
  <c r="D22" i="78"/>
  <c r="F22"/>
  <c r="G22" s="1"/>
  <c r="R25" i="6"/>
  <c r="S25" s="1"/>
  <c r="CG25" i="58" s="1"/>
  <c r="L22" i="78"/>
  <c r="J11" i="215" s="1"/>
  <c r="D23" i="78"/>
  <c r="R26" i="6"/>
  <c r="S26" s="1"/>
  <c r="CG26" i="58" s="1"/>
  <c r="L23" i="78"/>
  <c r="J12" i="215" s="1"/>
  <c r="D24" i="78"/>
  <c r="D25"/>
  <c r="R28" i="6"/>
  <c r="S28" s="1"/>
  <c r="CG28" i="58" s="1"/>
  <c r="D26" i="78"/>
  <c r="R29" i="6"/>
  <c r="S29" s="1"/>
  <c r="CG29" i="58" s="1"/>
  <c r="L26" i="78"/>
  <c r="J15" i="215" s="1"/>
  <c r="D27" i="78"/>
  <c r="D48" s="1"/>
  <c r="G27"/>
  <c r="R30" i="6"/>
  <c r="S30" s="1"/>
  <c r="L27" i="78"/>
  <c r="J16" i="215" s="1"/>
  <c r="D28" i="78"/>
  <c r="D29"/>
  <c r="D30"/>
  <c r="D31"/>
  <c r="D32"/>
  <c r="D33"/>
  <c r="D34"/>
  <c r="D35"/>
  <c r="D36"/>
  <c r="D37"/>
  <c r="D38"/>
  <c r="D39"/>
  <c r="D40"/>
  <c r="D47" s="1"/>
  <c r="D41"/>
  <c r="D42"/>
  <c r="B47"/>
  <c r="C47"/>
  <c r="J47"/>
  <c r="K47"/>
  <c r="F5" i="77"/>
  <c r="G5" s="1"/>
  <c r="I5"/>
  <c r="L5"/>
  <c r="I6"/>
  <c r="L6" s="1"/>
  <c r="I7"/>
  <c r="L7" s="1"/>
  <c r="I8"/>
  <c r="L8" s="1"/>
  <c r="C9"/>
  <c r="C8" s="1"/>
  <c r="I9"/>
  <c r="L9" s="1"/>
  <c r="D10"/>
  <c r="I10"/>
  <c r="L10" s="1"/>
  <c r="D11"/>
  <c r="I11"/>
  <c r="L11"/>
  <c r="D12"/>
  <c r="I12"/>
  <c r="L12" s="1"/>
  <c r="D13"/>
  <c r="I13"/>
  <c r="L13" s="1"/>
  <c r="D14"/>
  <c r="I14"/>
  <c r="L14" s="1"/>
  <c r="D16"/>
  <c r="G16"/>
  <c r="D17"/>
  <c r="F17"/>
  <c r="G17" s="1"/>
  <c r="P20" i="6"/>
  <c r="Q20" s="1"/>
  <c r="BW20" i="58" s="1"/>
  <c r="L17" i="77"/>
  <c r="I6" i="215" s="1"/>
  <c r="D18" i="77"/>
  <c r="P21" i="6"/>
  <c r="Q21" s="1"/>
  <c r="BW21" i="58" s="1"/>
  <c r="L18" i="77"/>
  <c r="I7" i="215" s="1"/>
  <c r="D19" i="77"/>
  <c r="D20"/>
  <c r="L20"/>
  <c r="I9" i="215" s="1"/>
  <c r="D21" i="77"/>
  <c r="G21"/>
  <c r="P24" i="6"/>
  <c r="Q24" s="1"/>
  <c r="L21" i="77"/>
  <c r="I10" i="215" s="1"/>
  <c r="D22" i="77"/>
  <c r="F22"/>
  <c r="G22" s="1"/>
  <c r="P25" i="6"/>
  <c r="Q25" s="1"/>
  <c r="L22" i="77"/>
  <c r="I11" i="215" s="1"/>
  <c r="D23" i="77"/>
  <c r="F23"/>
  <c r="G23" s="1"/>
  <c r="D24"/>
  <c r="F24"/>
  <c r="G24" s="1"/>
  <c r="L24"/>
  <c r="I13" i="215" s="1"/>
  <c r="D25" i="77"/>
  <c r="P28" i="6"/>
  <c r="Q28" s="1"/>
  <c r="L25" i="77"/>
  <c r="I14" i="215" s="1"/>
  <c r="D26" i="77"/>
  <c r="P29" i="6"/>
  <c r="Q29" s="1"/>
  <c r="L26" i="77"/>
  <c r="I15" i="215" s="1"/>
  <c r="D27" i="77"/>
  <c r="D48" s="1"/>
  <c r="G27"/>
  <c r="L27"/>
  <c r="I16" i="215" s="1"/>
  <c r="D28" i="77"/>
  <c r="D29"/>
  <c r="D30"/>
  <c r="D31"/>
  <c r="D32"/>
  <c r="D33"/>
  <c r="D34"/>
  <c r="D35"/>
  <c r="D36"/>
  <c r="D37"/>
  <c r="D38"/>
  <c r="D39"/>
  <c r="D40"/>
  <c r="D41"/>
  <c r="D42"/>
  <c r="B47"/>
  <c r="C47"/>
  <c r="J47"/>
  <c r="K47"/>
  <c r="F5" i="76"/>
  <c r="G5" s="1"/>
  <c r="I5"/>
  <c r="L5" s="1"/>
  <c r="I6"/>
  <c r="L6" s="1"/>
  <c r="I7"/>
  <c r="L7"/>
  <c r="I8"/>
  <c r="L8" s="1"/>
  <c r="C9"/>
  <c r="C8" s="1"/>
  <c r="I9"/>
  <c r="L9" s="1"/>
  <c r="D10"/>
  <c r="I10"/>
  <c r="L10" s="1"/>
  <c r="D11"/>
  <c r="I11"/>
  <c r="L11" s="1"/>
  <c r="D12"/>
  <c r="I12"/>
  <c r="L12" s="1"/>
  <c r="D13"/>
  <c r="I13"/>
  <c r="L13" s="1"/>
  <c r="D14"/>
  <c r="I14"/>
  <c r="L14" s="1"/>
  <c r="D16"/>
  <c r="G16"/>
  <c r="N19" i="6"/>
  <c r="D17" i="76"/>
  <c r="F17"/>
  <c r="G17" s="1"/>
  <c r="N20" i="6"/>
  <c r="O20" s="1"/>
  <c r="BM20" i="58" s="1"/>
  <c r="L17" i="76"/>
  <c r="H6" i="215" s="1"/>
  <c r="D18" i="76"/>
  <c r="F18"/>
  <c r="G18" s="1"/>
  <c r="N21" i="6"/>
  <c r="O21" s="1"/>
  <c r="BM21" i="58" s="1"/>
  <c r="D19" i="76"/>
  <c r="N22" i="6"/>
  <c r="O22" s="1"/>
  <c r="BM22" i="58" s="1"/>
  <c r="L19" i="76"/>
  <c r="H8" i="215" s="1"/>
  <c r="D20" i="76"/>
  <c r="N23" i="6"/>
  <c r="O23" s="1"/>
  <c r="BM23" i="58" s="1"/>
  <c r="L20" i="76"/>
  <c r="H9" i="215" s="1"/>
  <c r="D21" i="76"/>
  <c r="G21"/>
  <c r="N24" i="6"/>
  <c r="O24" s="1"/>
  <c r="BM24" i="58" s="1"/>
  <c r="L21" i="76"/>
  <c r="H10" i="215" s="1"/>
  <c r="D22" i="76"/>
  <c r="F22"/>
  <c r="G22" s="1"/>
  <c r="N25" i="6"/>
  <c r="O25" s="1"/>
  <c r="BM25" i="58" s="1"/>
  <c r="D23" i="76"/>
  <c r="F23"/>
  <c r="G23" s="1"/>
  <c r="N26" i="6"/>
  <c r="O26" s="1"/>
  <c r="BM26" i="58" s="1"/>
  <c r="L23" i="76"/>
  <c r="H12" i="215" s="1"/>
  <c r="D24" i="76"/>
  <c r="F24"/>
  <c r="G24" s="1"/>
  <c r="N27" i="6"/>
  <c r="O27" s="1"/>
  <c r="BM27" i="58" s="1"/>
  <c r="L24" i="76"/>
  <c r="H13" i="215" s="1"/>
  <c r="D25" i="76"/>
  <c r="F25"/>
  <c r="G25" s="1"/>
  <c r="N28" i="6"/>
  <c r="O28" s="1"/>
  <c r="BM28" i="58" s="1"/>
  <c r="L25" i="76"/>
  <c r="H14" i="215" s="1"/>
  <c r="D26" i="76"/>
  <c r="F26"/>
  <c r="G26" s="1"/>
  <c r="N29" i="6"/>
  <c r="O29" s="1"/>
  <c r="BM29" i="58" s="1"/>
  <c r="D27" i="76"/>
  <c r="D48" s="1"/>
  <c r="G27"/>
  <c r="N30" i="6"/>
  <c r="O30" s="1"/>
  <c r="BM30" i="58" s="1"/>
  <c r="L27" i="76"/>
  <c r="H16" i="215" s="1"/>
  <c r="D28" i="76"/>
  <c r="D29"/>
  <c r="D30"/>
  <c r="D31"/>
  <c r="D32"/>
  <c r="D33"/>
  <c r="D34"/>
  <c r="D35"/>
  <c r="D36"/>
  <c r="D37"/>
  <c r="D38"/>
  <c r="D39"/>
  <c r="D40"/>
  <c r="D47" s="1"/>
  <c r="D41"/>
  <c r="D42"/>
  <c r="B47"/>
  <c r="C47"/>
  <c r="J47"/>
  <c r="K47"/>
  <c r="F5" i="75"/>
  <c r="G5" s="1"/>
  <c r="I5"/>
  <c r="L5" s="1"/>
  <c r="I6"/>
  <c r="L6" s="1"/>
  <c r="I7"/>
  <c r="L7" s="1"/>
  <c r="I8"/>
  <c r="L8" s="1"/>
  <c r="C9"/>
  <c r="C8" s="1"/>
  <c r="I9"/>
  <c r="L9" s="1"/>
  <c r="D10"/>
  <c r="I10"/>
  <c r="L10" s="1"/>
  <c r="D11"/>
  <c r="I11"/>
  <c r="L11"/>
  <c r="D12"/>
  <c r="I12"/>
  <c r="L12" s="1"/>
  <c r="D13"/>
  <c r="I13"/>
  <c r="L13" s="1"/>
  <c r="D14"/>
  <c r="I14"/>
  <c r="L14" s="1"/>
  <c r="D16"/>
  <c r="F16"/>
  <c r="L19" i="6"/>
  <c r="L16" i="75"/>
  <c r="G5" i="215" s="1"/>
  <c r="D17" i="75"/>
  <c r="H17"/>
  <c r="I17" s="1"/>
  <c r="L17" s="1"/>
  <c r="G6" i="215" s="1"/>
  <c r="D18" i="75"/>
  <c r="H18"/>
  <c r="D19"/>
  <c r="D20"/>
  <c r="D21"/>
  <c r="F21"/>
  <c r="L21"/>
  <c r="G10" i="215" s="1"/>
  <c r="D22" i="75"/>
  <c r="H22"/>
  <c r="I22" s="1"/>
  <c r="L25" i="6" s="1"/>
  <c r="M25" s="1"/>
  <c r="BC25" i="58" s="1"/>
  <c r="L22" i="75"/>
  <c r="G11" i="215" s="1"/>
  <c r="D23" i="75"/>
  <c r="H23"/>
  <c r="I23" s="1"/>
  <c r="L26" i="6" s="1"/>
  <c r="M26" s="1"/>
  <c r="D24" i="75"/>
  <c r="H24"/>
  <c r="I24" s="1"/>
  <c r="L27" i="6" s="1"/>
  <c r="M27" s="1"/>
  <c r="BC27" i="58" s="1"/>
  <c r="D25" i="75"/>
  <c r="D26"/>
  <c r="D27"/>
  <c r="D48" s="1"/>
  <c r="F27"/>
  <c r="L30" i="6"/>
  <c r="M30" s="1"/>
  <c r="BC30" i="58" s="1"/>
  <c r="L27" i="75"/>
  <c r="G16" i="215" s="1"/>
  <c r="D28" i="75"/>
  <c r="D29"/>
  <c r="D30"/>
  <c r="D31"/>
  <c r="D32"/>
  <c r="D33"/>
  <c r="D34"/>
  <c r="D35"/>
  <c r="D36"/>
  <c r="D37"/>
  <c r="D38"/>
  <c r="D39"/>
  <c r="D40"/>
  <c r="D47" s="1"/>
  <c r="D41"/>
  <c r="D42"/>
  <c r="B47"/>
  <c r="C47"/>
  <c r="J47"/>
  <c r="K47"/>
  <c r="F5" i="74"/>
  <c r="G5" s="1"/>
  <c r="I5"/>
  <c r="L5" s="1"/>
  <c r="I6"/>
  <c r="L6" s="1"/>
  <c r="I7"/>
  <c r="L7"/>
  <c r="I8"/>
  <c r="L8" s="1"/>
  <c r="C9"/>
  <c r="C8" s="1"/>
  <c r="I9"/>
  <c r="L9" s="1"/>
  <c r="D10"/>
  <c r="I10"/>
  <c r="L10" s="1"/>
  <c r="D11"/>
  <c r="I11"/>
  <c r="L11" s="1"/>
  <c r="D12"/>
  <c r="I12"/>
  <c r="L12" s="1"/>
  <c r="D13"/>
  <c r="I13"/>
  <c r="L13" s="1"/>
  <c r="D14"/>
  <c r="I14"/>
  <c r="L14" s="1"/>
  <c r="D16"/>
  <c r="F16"/>
  <c r="J19" i="6"/>
  <c r="L16" i="74"/>
  <c r="F5" i="215" s="1"/>
  <c r="D17" i="74"/>
  <c r="H17"/>
  <c r="I17" s="1"/>
  <c r="D18"/>
  <c r="H18"/>
  <c r="I18" s="1"/>
  <c r="J21" i="6" s="1"/>
  <c r="K21" s="1"/>
  <c r="AS21" i="58" s="1"/>
  <c r="D19" i="74"/>
  <c r="D20"/>
  <c r="D21"/>
  <c r="F21"/>
  <c r="J24" i="6"/>
  <c r="K24" s="1"/>
  <c r="AS24" i="58" s="1"/>
  <c r="L21" i="74"/>
  <c r="F10" i="215" s="1"/>
  <c r="D22" i="74"/>
  <c r="H22"/>
  <c r="I22" s="1"/>
  <c r="L22" s="1"/>
  <c r="F11" i="215" s="1"/>
  <c r="D23" i="74"/>
  <c r="H23"/>
  <c r="D24"/>
  <c r="D25"/>
  <c r="D26"/>
  <c r="D27"/>
  <c r="D48" s="1"/>
  <c r="F27"/>
  <c r="D28"/>
  <c r="D29"/>
  <c r="D30"/>
  <c r="D31"/>
  <c r="D32"/>
  <c r="D33"/>
  <c r="D34"/>
  <c r="D35"/>
  <c r="D36"/>
  <c r="D37"/>
  <c r="D38"/>
  <c r="D39"/>
  <c r="D40"/>
  <c r="D47" s="1"/>
  <c r="D41"/>
  <c r="D42"/>
  <c r="B47"/>
  <c r="C47"/>
  <c r="J47"/>
  <c r="K47"/>
  <c r="F5" i="73"/>
  <c r="G5" s="1"/>
  <c r="I5"/>
  <c r="L5" s="1"/>
  <c r="I6"/>
  <c r="L6" s="1"/>
  <c r="I7"/>
  <c r="L7" s="1"/>
  <c r="I8"/>
  <c r="L8" s="1"/>
  <c r="C9"/>
  <c r="I9"/>
  <c r="L9" s="1"/>
  <c r="D10"/>
  <c r="I10"/>
  <c r="L10" s="1"/>
  <c r="D11"/>
  <c r="I11"/>
  <c r="L11" s="1"/>
  <c r="D12"/>
  <c r="I12"/>
  <c r="L12" s="1"/>
  <c r="D13"/>
  <c r="I13"/>
  <c r="L13" s="1"/>
  <c r="D14"/>
  <c r="I14"/>
  <c r="L14" s="1"/>
  <c r="D16"/>
  <c r="F16"/>
  <c r="D17"/>
  <c r="H17"/>
  <c r="D18"/>
  <c r="D19"/>
  <c r="D20"/>
  <c r="D21"/>
  <c r="F21"/>
  <c r="L21"/>
  <c r="E10" i="215" s="1"/>
  <c r="D22" i="73"/>
  <c r="H22"/>
  <c r="I22" s="1"/>
  <c r="H25" i="6" s="1"/>
  <c r="I25" s="1"/>
  <c r="D23" i="73"/>
  <c r="D24"/>
  <c r="D25"/>
  <c r="D26"/>
  <c r="D27"/>
  <c r="D48" s="1"/>
  <c r="F27"/>
  <c r="H30" i="6"/>
  <c r="I30" s="1"/>
  <c r="AI30" i="58" s="1"/>
  <c r="L27" i="73"/>
  <c r="E16" i="215" s="1"/>
  <c r="D28" i="73"/>
  <c r="D29"/>
  <c r="D30"/>
  <c r="D31"/>
  <c r="D32"/>
  <c r="D33"/>
  <c r="D34"/>
  <c r="D35"/>
  <c r="D36"/>
  <c r="D37"/>
  <c r="D38"/>
  <c r="D39"/>
  <c r="D40"/>
  <c r="D47" s="1"/>
  <c r="D41"/>
  <c r="D42"/>
  <c r="B47"/>
  <c r="C47"/>
  <c r="J47"/>
  <c r="K47"/>
  <c r="F5" i="72"/>
  <c r="G5" s="1"/>
  <c r="I5"/>
  <c r="L5" s="1"/>
  <c r="I6"/>
  <c r="L6" s="1"/>
  <c r="I7"/>
  <c r="L7" s="1"/>
  <c r="I8"/>
  <c r="L8" s="1"/>
  <c r="C9"/>
  <c r="C8" s="1"/>
  <c r="I9"/>
  <c r="L9" s="1"/>
  <c r="D10"/>
  <c r="I10"/>
  <c r="L10" s="1"/>
  <c r="D11"/>
  <c r="I11"/>
  <c r="L11" s="1"/>
  <c r="D12"/>
  <c r="I12"/>
  <c r="L12" s="1"/>
  <c r="D13"/>
  <c r="I13"/>
  <c r="L13"/>
  <c r="D14"/>
  <c r="I14"/>
  <c r="L14" s="1"/>
  <c r="D16"/>
  <c r="F16"/>
  <c r="D17"/>
  <c r="H17"/>
  <c r="I17" s="1"/>
  <c r="L17" s="1"/>
  <c r="D6" i="215" s="1"/>
  <c r="D18" i="72"/>
  <c r="D19"/>
  <c r="D20"/>
  <c r="D21"/>
  <c r="F21"/>
  <c r="G21" s="1"/>
  <c r="F24" i="6"/>
  <c r="G24" s="1"/>
  <c r="Y24" i="58" s="1"/>
  <c r="L21" i="72"/>
  <c r="D10" i="215" s="1"/>
  <c r="D22" i="72"/>
  <c r="H22"/>
  <c r="I22"/>
  <c r="F25" i="6" s="1"/>
  <c r="G25" s="1"/>
  <c r="Y25" i="58" s="1"/>
  <c r="D23" i="72"/>
  <c r="H23"/>
  <c r="I23" s="1"/>
  <c r="D24"/>
  <c r="D25"/>
  <c r="D26"/>
  <c r="D27"/>
  <c r="D48" s="1"/>
  <c r="D28"/>
  <c r="D29"/>
  <c r="D30"/>
  <c r="D31"/>
  <c r="D32"/>
  <c r="D33"/>
  <c r="D34"/>
  <c r="D35"/>
  <c r="D36"/>
  <c r="D37"/>
  <c r="D38"/>
  <c r="D39"/>
  <c r="D40"/>
  <c r="D47" s="1"/>
  <c r="D41"/>
  <c r="D42"/>
  <c r="B47"/>
  <c r="C47"/>
  <c r="J47"/>
  <c r="K47"/>
  <c r="F5" i="71"/>
  <c r="G5" s="1"/>
  <c r="I5"/>
  <c r="L5" s="1"/>
  <c r="I6"/>
  <c r="L6" s="1"/>
  <c r="I7"/>
  <c r="L7" s="1"/>
  <c r="I8"/>
  <c r="L8" s="1"/>
  <c r="C9"/>
  <c r="C8" s="1"/>
  <c r="C7" s="1"/>
  <c r="C6" s="1"/>
  <c r="C5" s="1"/>
  <c r="I9"/>
  <c r="L9" s="1"/>
  <c r="D10"/>
  <c r="I10"/>
  <c r="L10" s="1"/>
  <c r="D11"/>
  <c r="I11"/>
  <c r="L11" s="1"/>
  <c r="D12"/>
  <c r="I12"/>
  <c r="L12" s="1"/>
  <c r="D13"/>
  <c r="I13"/>
  <c r="L13" s="1"/>
  <c r="D14"/>
  <c r="I14"/>
  <c r="L14" s="1"/>
  <c r="D16"/>
  <c r="F16"/>
  <c r="D17"/>
  <c r="H17"/>
  <c r="I17" s="1"/>
  <c r="D20" i="6" s="1"/>
  <c r="E20" s="1"/>
  <c r="O20" i="58" s="1"/>
  <c r="D18" i="71"/>
  <c r="D19"/>
  <c r="D20"/>
  <c r="D21"/>
  <c r="F21"/>
  <c r="D24" i="6"/>
  <c r="E24" s="1"/>
  <c r="O24" i="58" s="1"/>
  <c r="L21" i="71"/>
  <c r="C10" i="215" s="1"/>
  <c r="D22" i="71"/>
  <c r="H22"/>
  <c r="D23"/>
  <c r="D24"/>
  <c r="D25"/>
  <c r="D26"/>
  <c r="D27"/>
  <c r="D48" s="1"/>
  <c r="F27"/>
  <c r="D30" i="6"/>
  <c r="E30" s="1"/>
  <c r="O30" i="58" s="1"/>
  <c r="L27" i="71"/>
  <c r="C16" i="215" s="1"/>
  <c r="D28" i="71"/>
  <c r="D29"/>
  <c r="D30"/>
  <c r="D31"/>
  <c r="D32"/>
  <c r="D33"/>
  <c r="D34"/>
  <c r="D35"/>
  <c r="D36"/>
  <c r="D37"/>
  <c r="D38"/>
  <c r="D39"/>
  <c r="D40"/>
  <c r="D47" s="1"/>
  <c r="D41"/>
  <c r="D42"/>
  <c r="B47"/>
  <c r="C47"/>
  <c r="J47"/>
  <c r="K47"/>
  <c r="F8" i="5"/>
  <c r="G8"/>
  <c r="F9"/>
  <c r="G9"/>
  <c r="F10"/>
  <c r="G10"/>
  <c r="F11"/>
  <c r="G11"/>
  <c r="F12"/>
  <c r="G12"/>
  <c r="F13"/>
  <c r="G13"/>
  <c r="F14"/>
  <c r="G14"/>
  <c r="F15"/>
  <c r="G15"/>
  <c r="F16"/>
  <c r="G16"/>
  <c r="F17"/>
  <c r="G17"/>
  <c r="G19"/>
  <c r="G50" s="1"/>
  <c r="F20"/>
  <c r="G20"/>
  <c r="F21"/>
  <c r="G21"/>
  <c r="F22"/>
  <c r="G22"/>
  <c r="F23"/>
  <c r="G23"/>
  <c r="F24"/>
  <c r="G24"/>
  <c r="F25"/>
  <c r="G25"/>
  <c r="F26"/>
  <c r="G26"/>
  <c r="F27"/>
  <c r="G27"/>
  <c r="F28"/>
  <c r="G28"/>
  <c r="F29"/>
  <c r="G29"/>
  <c r="F30"/>
  <c r="G30"/>
  <c r="F31"/>
  <c r="G31"/>
  <c r="F32"/>
  <c r="G32"/>
  <c r="B33"/>
  <c r="C33"/>
  <c r="D33"/>
  <c r="D34" s="1"/>
  <c r="D35" s="1"/>
  <c r="D36" s="1"/>
  <c r="D37" s="1"/>
  <c r="D38" s="1"/>
  <c r="D39" s="1"/>
  <c r="D40" s="1"/>
  <c r="D41" s="1"/>
  <c r="D42" s="1"/>
  <c r="D43" s="1"/>
  <c r="D44" s="1"/>
  <c r="D45" s="1"/>
  <c r="D46" s="1"/>
  <c r="D47" s="1"/>
  <c r="D48" s="1"/>
  <c r="D50" s="1"/>
  <c r="E33"/>
  <c r="G33"/>
  <c r="B34"/>
  <c r="C34"/>
  <c r="G34"/>
  <c r="B35"/>
  <c r="B36" s="1"/>
  <c r="B37" s="1"/>
  <c r="B38" s="1"/>
  <c r="G35"/>
  <c r="G36"/>
  <c r="G37"/>
  <c r="G38"/>
  <c r="G39"/>
  <c r="G40"/>
  <c r="G41"/>
  <c r="G42"/>
  <c r="G43"/>
  <c r="G44"/>
  <c r="G45"/>
  <c r="B11" i="4"/>
  <c r="C11"/>
  <c r="C10" s="1"/>
  <c r="C9" s="1"/>
  <c r="D11"/>
  <c r="D10" s="1"/>
  <c r="D9" s="1"/>
  <c r="D8" s="1"/>
  <c r="D7" s="1"/>
  <c r="D6" s="1"/>
  <c r="D5" s="1"/>
  <c r="D4" s="1"/>
  <c r="E11"/>
  <c r="E10" s="1"/>
  <c r="E9" s="1"/>
  <c r="E8" s="1"/>
  <c r="E7" s="1"/>
  <c r="E6" s="1"/>
  <c r="E5" s="1"/>
  <c r="E4" s="1"/>
  <c r="F11"/>
  <c r="G11"/>
  <c r="H11"/>
  <c r="H10" s="1"/>
  <c r="H9" s="1"/>
  <c r="H8" s="1"/>
  <c r="H7" s="1"/>
  <c r="H6" s="1"/>
  <c r="H5" s="1"/>
  <c r="H4" s="1"/>
  <c r="I11"/>
  <c r="I10" s="1"/>
  <c r="I9" s="1"/>
  <c r="I8" s="1"/>
  <c r="I7" s="1"/>
  <c r="I6" s="1"/>
  <c r="I5" s="1"/>
  <c r="I4" s="1"/>
  <c r="J11"/>
  <c r="K11"/>
  <c r="K10" s="1"/>
  <c r="K9" s="1"/>
  <c r="L11"/>
  <c r="L10" s="1"/>
  <c r="L9" s="1"/>
  <c r="L8" s="1"/>
  <c r="L7" s="1"/>
  <c r="L6" s="1"/>
  <c r="L5" s="1"/>
  <c r="L4" s="1"/>
  <c r="Q45" i="58"/>
  <c r="AK45"/>
  <c r="BE45"/>
  <c r="BY45"/>
  <c r="CS45"/>
  <c r="C8" i="3"/>
  <c r="G8"/>
  <c r="K8"/>
  <c r="O8"/>
  <c r="S8"/>
  <c r="W8"/>
  <c r="AA8"/>
  <c r="AE8"/>
  <c r="AI8"/>
  <c r="AM8"/>
  <c r="AQ8"/>
  <c r="C9"/>
  <c r="G9"/>
  <c r="K9"/>
  <c r="O9"/>
  <c r="S9"/>
  <c r="W9"/>
  <c r="AA9"/>
  <c r="AE9"/>
  <c r="AI9"/>
  <c r="AM9"/>
  <c r="AQ9"/>
  <c r="C10"/>
  <c r="G10"/>
  <c r="K10"/>
  <c r="O10"/>
  <c r="S10"/>
  <c r="W10"/>
  <c r="AA10"/>
  <c r="AE10"/>
  <c r="AI10"/>
  <c r="AM10"/>
  <c r="AQ10"/>
  <c r="C11"/>
  <c r="G11"/>
  <c r="K11"/>
  <c r="O11"/>
  <c r="S11"/>
  <c r="W11"/>
  <c r="AA11"/>
  <c r="AE11"/>
  <c r="AI11"/>
  <c r="AM11"/>
  <c r="AQ11"/>
  <c r="C12"/>
  <c r="G12"/>
  <c r="K12"/>
  <c r="O12"/>
  <c r="S12"/>
  <c r="W12"/>
  <c r="AA12"/>
  <c r="AE12"/>
  <c r="AI12"/>
  <c r="AM12"/>
  <c r="AQ12"/>
  <c r="C13"/>
  <c r="G13"/>
  <c r="K13"/>
  <c r="O13"/>
  <c r="S13"/>
  <c r="W13"/>
  <c r="AA13"/>
  <c r="AE13"/>
  <c r="AI13"/>
  <c r="AM13"/>
  <c r="AQ13"/>
  <c r="C14"/>
  <c r="G14"/>
  <c r="K14"/>
  <c r="O14"/>
  <c r="S14"/>
  <c r="W14"/>
  <c r="AA14"/>
  <c r="AE14"/>
  <c r="AI14"/>
  <c r="AM14"/>
  <c r="AQ14"/>
  <c r="C15"/>
  <c r="G15"/>
  <c r="K15"/>
  <c r="O15"/>
  <c r="P15" s="1"/>
  <c r="Q15" s="1"/>
  <c r="S15"/>
  <c r="W15"/>
  <c r="AA15"/>
  <c r="AE15"/>
  <c r="AF15" s="1"/>
  <c r="AG15" s="1"/>
  <c r="AI15"/>
  <c r="AM15"/>
  <c r="AQ15"/>
  <c r="B16"/>
  <c r="B15" s="1"/>
  <c r="C16"/>
  <c r="F16"/>
  <c r="F15" s="1"/>
  <c r="G16"/>
  <c r="J16"/>
  <c r="J15" s="1"/>
  <c r="K16"/>
  <c r="N16"/>
  <c r="N15" s="1"/>
  <c r="O16"/>
  <c r="R16"/>
  <c r="R15" s="1"/>
  <c r="S16"/>
  <c r="V16"/>
  <c r="V15" s="1"/>
  <c r="W16"/>
  <c r="Z16"/>
  <c r="Z15" s="1"/>
  <c r="Z14" s="1"/>
  <c r="Z13" s="1"/>
  <c r="AB13" s="1"/>
  <c r="AC13" s="1"/>
  <c r="AA16"/>
  <c r="AD16"/>
  <c r="AD15" s="1"/>
  <c r="AE16"/>
  <c r="AH16"/>
  <c r="AH15" s="1"/>
  <c r="AI16"/>
  <c r="AL16"/>
  <c r="AL15" s="1"/>
  <c r="AM16"/>
  <c r="AP16"/>
  <c r="AP15" s="1"/>
  <c r="AP14" s="1"/>
  <c r="AQ16"/>
  <c r="C17"/>
  <c r="D17" s="1"/>
  <c r="E17" s="1"/>
  <c r="G17"/>
  <c r="H17" s="1"/>
  <c r="I17" s="1"/>
  <c r="K17"/>
  <c r="L17" s="1"/>
  <c r="M17" s="1"/>
  <c r="O17"/>
  <c r="P17" s="1"/>
  <c r="Q17" s="1"/>
  <c r="S17"/>
  <c r="T17" s="1"/>
  <c r="U17" s="1"/>
  <c r="W17"/>
  <c r="X17" s="1"/>
  <c r="Y17" s="1"/>
  <c r="AA17"/>
  <c r="AB17" s="1"/>
  <c r="AC17" s="1"/>
  <c r="AE17"/>
  <c r="AF17" s="1"/>
  <c r="AG17" s="1"/>
  <c r="AI17"/>
  <c r="AJ17" s="1"/>
  <c r="AK17" s="1"/>
  <c r="AM17"/>
  <c r="AN17" s="1"/>
  <c r="AO17" s="1"/>
  <c r="AQ17"/>
  <c r="AR17" s="1"/>
  <c r="AS17" s="1"/>
  <c r="C19"/>
  <c r="C50" s="1"/>
  <c r="G19"/>
  <c r="G50" s="1"/>
  <c r="K19"/>
  <c r="K50" s="1"/>
  <c r="O19"/>
  <c r="O50" s="1"/>
  <c r="S19"/>
  <c r="S50" s="1"/>
  <c r="W19"/>
  <c r="W50" s="1"/>
  <c r="AA19"/>
  <c r="AA50" s="1"/>
  <c r="AE19"/>
  <c r="AE50" s="1"/>
  <c r="AI19"/>
  <c r="AI50" s="1"/>
  <c r="AM19"/>
  <c r="AM50" s="1"/>
  <c r="AQ19"/>
  <c r="AQ50" s="1"/>
  <c r="C20"/>
  <c r="D20" s="1"/>
  <c r="G20"/>
  <c r="H20" s="1"/>
  <c r="K20"/>
  <c r="L20" s="1"/>
  <c r="O20"/>
  <c r="P20" s="1"/>
  <c r="S20"/>
  <c r="T20" s="1"/>
  <c r="W20"/>
  <c r="X20" s="1"/>
  <c r="AA20"/>
  <c r="AB20" s="1"/>
  <c r="AE20"/>
  <c r="AF20" s="1"/>
  <c r="AI20"/>
  <c r="AJ20" s="1"/>
  <c r="AM20"/>
  <c r="AN20" s="1"/>
  <c r="AQ20"/>
  <c r="AR20" s="1"/>
  <c r="C21"/>
  <c r="D21" s="1"/>
  <c r="G21"/>
  <c r="H21" s="1"/>
  <c r="K21"/>
  <c r="L21" s="1"/>
  <c r="O21"/>
  <c r="P21" s="1"/>
  <c r="S21"/>
  <c r="T21" s="1"/>
  <c r="W21"/>
  <c r="X21" s="1"/>
  <c r="AA21"/>
  <c r="AB21" s="1"/>
  <c r="AE21"/>
  <c r="AF21" s="1"/>
  <c r="AI21"/>
  <c r="AJ21" s="1"/>
  <c r="AM21"/>
  <c r="AN21" s="1"/>
  <c r="AQ21"/>
  <c r="AR21" s="1"/>
  <c r="C22"/>
  <c r="D22" s="1"/>
  <c r="G22"/>
  <c r="H22" s="1"/>
  <c r="K22"/>
  <c r="L22" s="1"/>
  <c r="O22"/>
  <c r="P22" s="1"/>
  <c r="S22"/>
  <c r="T22" s="1"/>
  <c r="W22"/>
  <c r="X22" s="1"/>
  <c r="AA22"/>
  <c r="AB22" s="1"/>
  <c r="AE22"/>
  <c r="AF22" s="1"/>
  <c r="AI22"/>
  <c r="AJ22" s="1"/>
  <c r="AM22"/>
  <c r="AN22" s="1"/>
  <c r="AQ22"/>
  <c r="AR22" s="1"/>
  <c r="C23"/>
  <c r="D23" s="1"/>
  <c r="G23"/>
  <c r="H23" s="1"/>
  <c r="K23"/>
  <c r="L23" s="1"/>
  <c r="O23"/>
  <c r="P23" s="1"/>
  <c r="S23"/>
  <c r="T23" s="1"/>
  <c r="W23"/>
  <c r="X23" s="1"/>
  <c r="AA23"/>
  <c r="AB23" s="1"/>
  <c r="AE23"/>
  <c r="AF23" s="1"/>
  <c r="AI23"/>
  <c r="AJ23" s="1"/>
  <c r="AM23"/>
  <c r="AN23" s="1"/>
  <c r="AQ23"/>
  <c r="AR23" s="1"/>
  <c r="C24"/>
  <c r="D24" s="1"/>
  <c r="G24"/>
  <c r="H24" s="1"/>
  <c r="K24"/>
  <c r="L24" s="1"/>
  <c r="O24"/>
  <c r="P24" s="1"/>
  <c r="S24"/>
  <c r="T24" s="1"/>
  <c r="W24"/>
  <c r="X24" s="1"/>
  <c r="AA24"/>
  <c r="AB24" s="1"/>
  <c r="AE24"/>
  <c r="AF24" s="1"/>
  <c r="AI24"/>
  <c r="AJ24" s="1"/>
  <c r="AM24"/>
  <c r="AN24" s="1"/>
  <c r="AQ24"/>
  <c r="AR24" s="1"/>
  <c r="C25"/>
  <c r="D25" s="1"/>
  <c r="G25"/>
  <c r="H25" s="1"/>
  <c r="K25"/>
  <c r="L25" s="1"/>
  <c r="O25"/>
  <c r="P25" s="1"/>
  <c r="S25"/>
  <c r="T25" s="1"/>
  <c r="W25"/>
  <c r="X25" s="1"/>
  <c r="AA25"/>
  <c r="AB25" s="1"/>
  <c r="AE25"/>
  <c r="AF25" s="1"/>
  <c r="AI25"/>
  <c r="AJ25" s="1"/>
  <c r="AM25"/>
  <c r="AN25" s="1"/>
  <c r="AQ25"/>
  <c r="AR25" s="1"/>
  <c r="C26"/>
  <c r="D26" s="1"/>
  <c r="G26"/>
  <c r="H26" s="1"/>
  <c r="K26"/>
  <c r="L26" s="1"/>
  <c r="O26"/>
  <c r="P26" s="1"/>
  <c r="S26"/>
  <c r="T26" s="1"/>
  <c r="W26"/>
  <c r="X26" s="1"/>
  <c r="AA26"/>
  <c r="AB26" s="1"/>
  <c r="AE26"/>
  <c r="AF26" s="1"/>
  <c r="AI26"/>
  <c r="AJ26" s="1"/>
  <c r="AM26"/>
  <c r="AN26" s="1"/>
  <c r="AQ26"/>
  <c r="AR26" s="1"/>
  <c r="C27"/>
  <c r="D27" s="1"/>
  <c r="G27"/>
  <c r="H27" s="1"/>
  <c r="K27"/>
  <c r="L27" s="1"/>
  <c r="O27"/>
  <c r="P27" s="1"/>
  <c r="S27"/>
  <c r="T27" s="1"/>
  <c r="W27"/>
  <c r="X27" s="1"/>
  <c r="AA27"/>
  <c r="AB27" s="1"/>
  <c r="AE27"/>
  <c r="AF27" s="1"/>
  <c r="AI27"/>
  <c r="AJ27" s="1"/>
  <c r="AM27"/>
  <c r="AN27" s="1"/>
  <c r="AQ27"/>
  <c r="AR27" s="1"/>
  <c r="C28"/>
  <c r="D28" s="1"/>
  <c r="G28"/>
  <c r="H28" s="1"/>
  <c r="K28"/>
  <c r="L28" s="1"/>
  <c r="O28"/>
  <c r="P28" s="1"/>
  <c r="S28"/>
  <c r="T28" s="1"/>
  <c r="W28"/>
  <c r="X28" s="1"/>
  <c r="AA28"/>
  <c r="AB28" s="1"/>
  <c r="AE28"/>
  <c r="AF28" s="1"/>
  <c r="AI28"/>
  <c r="AJ28" s="1"/>
  <c r="AM28"/>
  <c r="AN28" s="1"/>
  <c r="AQ28"/>
  <c r="AR28" s="1"/>
  <c r="C29"/>
  <c r="D29" s="1"/>
  <c r="G29"/>
  <c r="H29" s="1"/>
  <c r="K29"/>
  <c r="L29" s="1"/>
  <c r="O29"/>
  <c r="P29" s="1"/>
  <c r="S29"/>
  <c r="T29" s="1"/>
  <c r="W29"/>
  <c r="X29" s="1"/>
  <c r="AA29"/>
  <c r="AB29" s="1"/>
  <c r="AE29"/>
  <c r="AF29" s="1"/>
  <c r="AI29"/>
  <c r="AJ29" s="1"/>
  <c r="AM29"/>
  <c r="AN29" s="1"/>
  <c r="AQ29"/>
  <c r="AR29" s="1"/>
  <c r="C30"/>
  <c r="D30" s="1"/>
  <c r="G30"/>
  <c r="H30" s="1"/>
  <c r="K30"/>
  <c r="L30" s="1"/>
  <c r="O30"/>
  <c r="P30" s="1"/>
  <c r="S30"/>
  <c r="T30" s="1"/>
  <c r="W30"/>
  <c r="X30" s="1"/>
  <c r="AA30"/>
  <c r="AB30" s="1"/>
  <c r="AE30"/>
  <c r="AF30" s="1"/>
  <c r="AI30"/>
  <c r="AJ30" s="1"/>
  <c r="AM30"/>
  <c r="AN30" s="1"/>
  <c r="AQ30"/>
  <c r="AR30" s="1"/>
  <c r="C31"/>
  <c r="D31" s="1"/>
  <c r="G31"/>
  <c r="H31" s="1"/>
  <c r="K31"/>
  <c r="L31" s="1"/>
  <c r="O31"/>
  <c r="P31" s="1"/>
  <c r="S31"/>
  <c r="T31" s="1"/>
  <c r="W31"/>
  <c r="X31" s="1"/>
  <c r="AA31"/>
  <c r="AB31" s="1"/>
  <c r="AE31"/>
  <c r="AF31" s="1"/>
  <c r="AI31"/>
  <c r="AJ31" s="1"/>
  <c r="AM31"/>
  <c r="AN31" s="1"/>
  <c r="AQ31"/>
  <c r="AR31" s="1"/>
  <c r="C32"/>
  <c r="D32" s="1"/>
  <c r="G32"/>
  <c r="H32" s="1"/>
  <c r="K32"/>
  <c r="L32" s="1"/>
  <c r="O32"/>
  <c r="P32" s="1"/>
  <c r="S32"/>
  <c r="T32" s="1"/>
  <c r="W32"/>
  <c r="X32" s="1"/>
  <c r="AA32"/>
  <c r="AB32" s="1"/>
  <c r="AE32"/>
  <c r="AF32" s="1"/>
  <c r="AI32"/>
  <c r="AJ32" s="1"/>
  <c r="AM32"/>
  <c r="AN32" s="1"/>
  <c r="AQ32"/>
  <c r="AR32" s="1"/>
  <c r="C33"/>
  <c r="D33" s="1"/>
  <c r="G33"/>
  <c r="H33" s="1"/>
  <c r="K33"/>
  <c r="L33" s="1"/>
  <c r="O33"/>
  <c r="P33" s="1"/>
  <c r="S33"/>
  <c r="T33" s="1"/>
  <c r="W33"/>
  <c r="X33" s="1"/>
  <c r="AA33"/>
  <c r="AB33" s="1"/>
  <c r="AE33"/>
  <c r="AF33" s="1"/>
  <c r="AI33"/>
  <c r="AJ33" s="1"/>
  <c r="AM33"/>
  <c r="AN33" s="1"/>
  <c r="AQ33"/>
  <c r="AR33" s="1"/>
  <c r="C34"/>
  <c r="D34" s="1"/>
  <c r="G34"/>
  <c r="H34" s="1"/>
  <c r="K34"/>
  <c r="L34" s="1"/>
  <c r="O34"/>
  <c r="P34" s="1"/>
  <c r="S34"/>
  <c r="T34" s="1"/>
  <c r="W34"/>
  <c r="X34" s="1"/>
  <c r="AA34"/>
  <c r="AB34" s="1"/>
  <c r="AE34"/>
  <c r="AF34" s="1"/>
  <c r="AI34"/>
  <c r="AJ34" s="1"/>
  <c r="AM34"/>
  <c r="AN34" s="1"/>
  <c r="AQ34"/>
  <c r="AR34" s="1"/>
  <c r="C35"/>
  <c r="D35" s="1"/>
  <c r="G35"/>
  <c r="H35" s="1"/>
  <c r="K35"/>
  <c r="L35" s="1"/>
  <c r="O35"/>
  <c r="P35" s="1"/>
  <c r="S35"/>
  <c r="T35" s="1"/>
  <c r="W35"/>
  <c r="X35" s="1"/>
  <c r="AA35"/>
  <c r="AB35" s="1"/>
  <c r="AE35"/>
  <c r="AF35" s="1"/>
  <c r="AI35"/>
  <c r="AJ35" s="1"/>
  <c r="AM35"/>
  <c r="AN35" s="1"/>
  <c r="AQ35"/>
  <c r="AR35" s="1"/>
  <c r="C36"/>
  <c r="D36" s="1"/>
  <c r="G36"/>
  <c r="H36" s="1"/>
  <c r="K36"/>
  <c r="L36" s="1"/>
  <c r="O36"/>
  <c r="P36" s="1"/>
  <c r="S36"/>
  <c r="T36" s="1"/>
  <c r="W36"/>
  <c r="X36" s="1"/>
  <c r="AA36"/>
  <c r="AB36" s="1"/>
  <c r="AE36"/>
  <c r="AF36" s="1"/>
  <c r="AI36"/>
  <c r="AJ36" s="1"/>
  <c r="AM36"/>
  <c r="AN36" s="1"/>
  <c r="AQ36"/>
  <c r="AR36" s="1"/>
  <c r="C37"/>
  <c r="D37" s="1"/>
  <c r="G37"/>
  <c r="H37" s="1"/>
  <c r="K37"/>
  <c r="L37" s="1"/>
  <c r="O37"/>
  <c r="P37" s="1"/>
  <c r="S37"/>
  <c r="T37" s="1"/>
  <c r="W37"/>
  <c r="X37" s="1"/>
  <c r="AA37"/>
  <c r="AB37" s="1"/>
  <c r="AE37"/>
  <c r="AF37" s="1"/>
  <c r="AI37"/>
  <c r="AJ37" s="1"/>
  <c r="AM37"/>
  <c r="AN37" s="1"/>
  <c r="AQ37"/>
  <c r="AR37" s="1"/>
  <c r="C38"/>
  <c r="D38" s="1"/>
  <c r="G38"/>
  <c r="H38" s="1"/>
  <c r="K38"/>
  <c r="L38" s="1"/>
  <c r="O38"/>
  <c r="P38" s="1"/>
  <c r="S38"/>
  <c r="T38" s="1"/>
  <c r="W38"/>
  <c r="X38" s="1"/>
  <c r="AA38"/>
  <c r="AB38" s="1"/>
  <c r="AE38"/>
  <c r="AF38" s="1"/>
  <c r="AI38"/>
  <c r="AJ38" s="1"/>
  <c r="AM38"/>
  <c r="AN38" s="1"/>
  <c r="AQ38"/>
  <c r="AR38" s="1"/>
  <c r="C39"/>
  <c r="D39" s="1"/>
  <c r="G39"/>
  <c r="H39" s="1"/>
  <c r="K39"/>
  <c r="L39" s="1"/>
  <c r="O39"/>
  <c r="P39" s="1"/>
  <c r="S39"/>
  <c r="T39" s="1"/>
  <c r="W39"/>
  <c r="X39" s="1"/>
  <c r="AA39"/>
  <c r="AB39" s="1"/>
  <c r="AE39"/>
  <c r="AF39" s="1"/>
  <c r="AI39"/>
  <c r="AJ39" s="1"/>
  <c r="AM39"/>
  <c r="AN39" s="1"/>
  <c r="AQ39"/>
  <c r="AR39" s="1"/>
  <c r="C40"/>
  <c r="D40" s="1"/>
  <c r="G40"/>
  <c r="H40" s="1"/>
  <c r="K40"/>
  <c r="L40" s="1"/>
  <c r="O40"/>
  <c r="P40" s="1"/>
  <c r="S40"/>
  <c r="T40" s="1"/>
  <c r="W40"/>
  <c r="X40" s="1"/>
  <c r="AA40"/>
  <c r="AB40" s="1"/>
  <c r="AE40"/>
  <c r="AF40" s="1"/>
  <c r="AI40"/>
  <c r="AJ40" s="1"/>
  <c r="AM40"/>
  <c r="AN40" s="1"/>
  <c r="AQ40"/>
  <c r="AR40" s="1"/>
  <c r="C41"/>
  <c r="G41"/>
  <c r="H41" s="1"/>
  <c r="K41"/>
  <c r="L41" s="1"/>
  <c r="O41"/>
  <c r="P41" s="1"/>
  <c r="S41"/>
  <c r="T41" s="1"/>
  <c r="W41"/>
  <c r="X41" s="1"/>
  <c r="AA41"/>
  <c r="AB41" s="1"/>
  <c r="AE41"/>
  <c r="AF41" s="1"/>
  <c r="AI41"/>
  <c r="AJ41" s="1"/>
  <c r="AM41"/>
  <c r="AN41" s="1"/>
  <c r="AQ41"/>
  <c r="AR41" s="1"/>
  <c r="C42"/>
  <c r="G42"/>
  <c r="K42"/>
  <c r="L42" s="1"/>
  <c r="O42"/>
  <c r="P42" s="1"/>
  <c r="S42"/>
  <c r="T42" s="1"/>
  <c r="W42"/>
  <c r="X42" s="1"/>
  <c r="AA42"/>
  <c r="AB42" s="1"/>
  <c r="AE42"/>
  <c r="AF42" s="1"/>
  <c r="AI42"/>
  <c r="AJ42" s="1"/>
  <c r="AM42"/>
  <c r="AN42" s="1"/>
  <c r="AQ42"/>
  <c r="AR42" s="1"/>
  <c r="C43"/>
  <c r="D43" s="1"/>
  <c r="G43"/>
  <c r="H43" s="1"/>
  <c r="K43"/>
  <c r="L43" s="1"/>
  <c r="O43"/>
  <c r="P43" s="1"/>
  <c r="S43"/>
  <c r="T43" s="1"/>
  <c r="W43"/>
  <c r="X43" s="1"/>
  <c r="AA43"/>
  <c r="AB43" s="1"/>
  <c r="AE43"/>
  <c r="AF43" s="1"/>
  <c r="AI43"/>
  <c r="AJ43" s="1"/>
  <c r="AM43"/>
  <c r="AN43" s="1"/>
  <c r="AQ43"/>
  <c r="AR43" s="1"/>
  <c r="C44"/>
  <c r="G44"/>
  <c r="H44" s="1"/>
  <c r="K44"/>
  <c r="L44" s="1"/>
  <c r="O44"/>
  <c r="P44" s="1"/>
  <c r="S44"/>
  <c r="T44" s="1"/>
  <c r="W44"/>
  <c r="X44" s="1"/>
  <c r="AA44"/>
  <c r="AB44" s="1"/>
  <c r="AE44"/>
  <c r="AF44" s="1"/>
  <c r="AI44"/>
  <c r="AJ44" s="1"/>
  <c r="AM44"/>
  <c r="AN44" s="1"/>
  <c r="AQ44"/>
  <c r="AR44" s="1"/>
  <c r="D8" i="1"/>
  <c r="J8"/>
  <c r="P8"/>
  <c r="V8"/>
  <c r="AB8"/>
  <c r="AH8"/>
  <c r="AN8"/>
  <c r="AT8"/>
  <c r="AZ8"/>
  <c r="BF8"/>
  <c r="BL8"/>
  <c r="D9"/>
  <c r="J9"/>
  <c r="P9"/>
  <c r="V9"/>
  <c r="AB9"/>
  <c r="AH9"/>
  <c r="AN9"/>
  <c r="AT9"/>
  <c r="AZ9"/>
  <c r="BF9"/>
  <c r="BL9"/>
  <c r="D10"/>
  <c r="J10"/>
  <c r="P10"/>
  <c r="V10"/>
  <c r="AB10"/>
  <c r="AH10"/>
  <c r="AN10"/>
  <c r="AT10"/>
  <c r="AZ10"/>
  <c r="BF10"/>
  <c r="BL10"/>
  <c r="D11"/>
  <c r="J11"/>
  <c r="P11"/>
  <c r="V11"/>
  <c r="AB11"/>
  <c r="AH11"/>
  <c r="AN11"/>
  <c r="AT11"/>
  <c r="AZ11"/>
  <c r="BF11"/>
  <c r="BL11"/>
  <c r="D12"/>
  <c r="J12"/>
  <c r="P12"/>
  <c r="V12"/>
  <c r="AB12"/>
  <c r="AH12"/>
  <c r="AN12"/>
  <c r="AT12"/>
  <c r="AZ12"/>
  <c r="BF12"/>
  <c r="BL12"/>
  <c r="D13"/>
  <c r="J13"/>
  <c r="P13"/>
  <c r="V13"/>
  <c r="AB13"/>
  <c r="AH13"/>
  <c r="AN13"/>
  <c r="AT13"/>
  <c r="AZ13"/>
  <c r="BF13"/>
  <c r="BL13"/>
  <c r="D14"/>
  <c r="J14"/>
  <c r="P14"/>
  <c r="V14"/>
  <c r="AB14"/>
  <c r="AH14"/>
  <c r="AN14"/>
  <c r="AT14"/>
  <c r="AZ14"/>
  <c r="BF14"/>
  <c r="BL14"/>
  <c r="D15"/>
  <c r="J15"/>
  <c r="P15"/>
  <c r="V15"/>
  <c r="AB15"/>
  <c r="AH15"/>
  <c r="AN15"/>
  <c r="AT15"/>
  <c r="AZ15"/>
  <c r="BF15"/>
  <c r="BL15"/>
  <c r="D16"/>
  <c r="J16"/>
  <c r="P16"/>
  <c r="V16"/>
  <c r="AB16"/>
  <c r="AH16"/>
  <c r="AN16"/>
  <c r="AT16"/>
  <c r="AZ16"/>
  <c r="BF16"/>
  <c r="BL16"/>
  <c r="D17"/>
  <c r="J17"/>
  <c r="P17"/>
  <c r="V17"/>
  <c r="AB17"/>
  <c r="AH17"/>
  <c r="AN17"/>
  <c r="AT17"/>
  <c r="AZ17"/>
  <c r="BF17"/>
  <c r="BL17"/>
  <c r="D19"/>
  <c r="D50" s="1"/>
  <c r="G19"/>
  <c r="B5" i="212" s="1"/>
  <c r="J19" i="1"/>
  <c r="J50" s="1"/>
  <c r="M19"/>
  <c r="P19"/>
  <c r="P50" s="1"/>
  <c r="S19"/>
  <c r="D5" i="212" s="1"/>
  <c r="V19" i="1"/>
  <c r="V50" s="1"/>
  <c r="Y19"/>
  <c r="AB19"/>
  <c r="AB50" s="1"/>
  <c r="AE19"/>
  <c r="F5" i="212" s="1"/>
  <c r="AH19" i="1"/>
  <c r="AH50" s="1"/>
  <c r="AK19"/>
  <c r="AN19"/>
  <c r="AQ19"/>
  <c r="H5" i="212" s="1"/>
  <c r="AT19" i="1"/>
  <c r="AT50" s="1"/>
  <c r="AW19"/>
  <c r="AZ19"/>
  <c r="BC19"/>
  <c r="BF19"/>
  <c r="BI19"/>
  <c r="BL19"/>
  <c r="BL50" s="1"/>
  <c r="BO19"/>
  <c r="L5" i="212" s="1"/>
  <c r="D20" i="1"/>
  <c r="G20"/>
  <c r="J20"/>
  <c r="M20"/>
  <c r="P20"/>
  <c r="S20"/>
  <c r="V20"/>
  <c r="Y20"/>
  <c r="AB20"/>
  <c r="AE20"/>
  <c r="AH20"/>
  <c r="AK20"/>
  <c r="AN20"/>
  <c r="AQ20"/>
  <c r="AT20"/>
  <c r="AW20"/>
  <c r="AZ20"/>
  <c r="BC20"/>
  <c r="BF20"/>
  <c r="BI20"/>
  <c r="BL20"/>
  <c r="BO20"/>
  <c r="D21"/>
  <c r="G21"/>
  <c r="J21"/>
  <c r="M21"/>
  <c r="C7" i="212" s="1"/>
  <c r="K21" i="5"/>
  <c r="P21" i="1"/>
  <c r="S21"/>
  <c r="V21"/>
  <c r="Y21"/>
  <c r="AB21"/>
  <c r="AE21"/>
  <c r="AH21"/>
  <c r="AK21"/>
  <c r="AN21"/>
  <c r="AQ21"/>
  <c r="AT21"/>
  <c r="AW21"/>
  <c r="AZ21"/>
  <c r="BC21"/>
  <c r="BF21"/>
  <c r="BI21"/>
  <c r="BL21"/>
  <c r="BO21"/>
  <c r="D22"/>
  <c r="G22"/>
  <c r="J22"/>
  <c r="M22"/>
  <c r="P22"/>
  <c r="S22"/>
  <c r="V22"/>
  <c r="Y22"/>
  <c r="AB22"/>
  <c r="AE22"/>
  <c r="AH22"/>
  <c r="AK22"/>
  <c r="AN22"/>
  <c r="AQ22"/>
  <c r="AT22"/>
  <c r="AW22"/>
  <c r="AZ22"/>
  <c r="BC22"/>
  <c r="BF22"/>
  <c r="BI22"/>
  <c r="K8" i="212" s="1"/>
  <c r="AA22" i="5"/>
  <c r="BL22" i="1"/>
  <c r="BO22"/>
  <c r="D23"/>
  <c r="G23"/>
  <c r="J23"/>
  <c r="M23"/>
  <c r="P23"/>
  <c r="S23"/>
  <c r="V23"/>
  <c r="Y23"/>
  <c r="AB23"/>
  <c r="AE23"/>
  <c r="AH23"/>
  <c r="AK23"/>
  <c r="G9" i="212" s="1"/>
  <c r="S23" i="5"/>
  <c r="AN23" i="1"/>
  <c r="U23" i="5"/>
  <c r="AT23" i="1"/>
  <c r="AW23"/>
  <c r="AZ23"/>
  <c r="BC23"/>
  <c r="BF23"/>
  <c r="BI23"/>
  <c r="BL23"/>
  <c r="AC23" i="5"/>
  <c r="D24" i="1"/>
  <c r="G24"/>
  <c r="J24"/>
  <c r="M24"/>
  <c r="P24"/>
  <c r="S24"/>
  <c r="V24"/>
  <c r="Y24"/>
  <c r="AB24"/>
  <c r="AE24"/>
  <c r="AH24"/>
  <c r="AK24"/>
  <c r="AN24"/>
  <c r="AT24"/>
  <c r="AW24"/>
  <c r="AZ24"/>
  <c r="Y24" i="5"/>
  <c r="BF24" i="1"/>
  <c r="BI24"/>
  <c r="BL24"/>
  <c r="AC24" i="5"/>
  <c r="D25" i="1"/>
  <c r="G25"/>
  <c r="J25"/>
  <c r="M25"/>
  <c r="P25"/>
  <c r="S25"/>
  <c r="V25"/>
  <c r="Y25"/>
  <c r="AB25"/>
  <c r="AE25"/>
  <c r="AH25"/>
  <c r="AK25"/>
  <c r="AN25"/>
  <c r="U25" i="5"/>
  <c r="AT25" i="1"/>
  <c r="AW25"/>
  <c r="AZ25"/>
  <c r="BF25"/>
  <c r="BI25"/>
  <c r="BL25"/>
  <c r="AC25" i="5"/>
  <c r="D26" i="1"/>
  <c r="G26"/>
  <c r="J26"/>
  <c r="M26"/>
  <c r="P26"/>
  <c r="S26"/>
  <c r="V26"/>
  <c r="Y26"/>
  <c r="AB26"/>
  <c r="AE26"/>
  <c r="AH26"/>
  <c r="AK26"/>
  <c r="AN26"/>
  <c r="U26" i="5"/>
  <c r="AT26" i="1"/>
  <c r="AW26"/>
  <c r="AZ26"/>
  <c r="Y26" i="5"/>
  <c r="BF26" i="1"/>
  <c r="BL26"/>
  <c r="D27"/>
  <c r="G27"/>
  <c r="J27"/>
  <c r="M27"/>
  <c r="P27"/>
  <c r="S27"/>
  <c r="V27"/>
  <c r="Y27"/>
  <c r="AB27"/>
  <c r="AE27"/>
  <c r="F13" i="212" s="1"/>
  <c r="AH27" i="1"/>
  <c r="AK27"/>
  <c r="AN27"/>
  <c r="AT27"/>
  <c r="AW27"/>
  <c r="BT27" i="58" s="1"/>
  <c r="AZ27" i="1"/>
  <c r="BF27"/>
  <c r="AA27" i="5"/>
  <c r="BL27" i="1"/>
  <c r="D28"/>
  <c r="G28"/>
  <c r="J28"/>
  <c r="M28"/>
  <c r="P28"/>
  <c r="S28"/>
  <c r="V28"/>
  <c r="Y28"/>
  <c r="E14" i="212" s="1"/>
  <c r="AB28" i="1"/>
  <c r="AE28"/>
  <c r="AH28"/>
  <c r="AK28"/>
  <c r="G14" i="212" s="1"/>
  <c r="S28" i="5"/>
  <c r="AN28" i="1"/>
  <c r="AT28"/>
  <c r="AW28"/>
  <c r="AZ28"/>
  <c r="BF28"/>
  <c r="AA28" i="5"/>
  <c r="BL28" i="1"/>
  <c r="AC28" i="5"/>
  <c r="D29" i="1"/>
  <c r="G29"/>
  <c r="J29"/>
  <c r="M29"/>
  <c r="P29"/>
  <c r="S29"/>
  <c r="V29"/>
  <c r="Y29"/>
  <c r="E15" i="212" s="1"/>
  <c r="AB29" i="1"/>
  <c r="AE29"/>
  <c r="AH29"/>
  <c r="AK29"/>
  <c r="G15" i="212" s="1"/>
  <c r="S29" i="5"/>
  <c r="AN29" i="1"/>
  <c r="U29" i="5"/>
  <c r="AT29" i="1"/>
  <c r="AW29"/>
  <c r="AZ29"/>
  <c r="BF29"/>
  <c r="AA29" i="5"/>
  <c r="BL29" i="1"/>
  <c r="AC29" i="5"/>
  <c r="D30" i="1"/>
  <c r="G30"/>
  <c r="J30"/>
  <c r="M30"/>
  <c r="P30"/>
  <c r="S30"/>
  <c r="V30"/>
  <c r="Y30"/>
  <c r="AB30"/>
  <c r="AE30"/>
  <c r="F16" i="212" s="1"/>
  <c r="Q30" i="5"/>
  <c r="AH30" i="1"/>
  <c r="AK30"/>
  <c r="AN30"/>
  <c r="U30" i="5"/>
  <c r="AT30" i="1"/>
  <c r="AW30"/>
  <c r="AZ30"/>
  <c r="Y30" i="5"/>
  <c r="BF30" i="1"/>
  <c r="BL30"/>
  <c r="D31"/>
  <c r="G31"/>
  <c r="B17" i="212" s="1"/>
  <c r="J31" i="1"/>
  <c r="M31"/>
  <c r="P31"/>
  <c r="S31"/>
  <c r="V31"/>
  <c r="Y31"/>
  <c r="AB31"/>
  <c r="AE31"/>
  <c r="AH31"/>
  <c r="AK31"/>
  <c r="AN31"/>
  <c r="U31" i="5"/>
  <c r="AT31" i="1"/>
  <c r="AW31"/>
  <c r="AZ31"/>
  <c r="Y31" i="5"/>
  <c r="BF31" i="1"/>
  <c r="BL31"/>
  <c r="AC31" i="5"/>
  <c r="D32" i="1"/>
  <c r="G32"/>
  <c r="J32"/>
  <c r="M32"/>
  <c r="P32"/>
  <c r="S32"/>
  <c r="V32"/>
  <c r="Y32"/>
  <c r="AB32"/>
  <c r="AE32"/>
  <c r="AH32"/>
  <c r="AK32"/>
  <c r="AN32"/>
  <c r="AT32"/>
  <c r="AW32"/>
  <c r="AZ32"/>
  <c r="BF32"/>
  <c r="AA32" i="5"/>
  <c r="BL32" i="1"/>
  <c r="AC32" i="5"/>
  <c r="D33" i="1"/>
  <c r="G33"/>
  <c r="J33"/>
  <c r="M33"/>
  <c r="P33"/>
  <c r="S33"/>
  <c r="V33"/>
  <c r="Y33"/>
  <c r="AB33"/>
  <c r="AE33"/>
  <c r="AH33"/>
  <c r="AK33"/>
  <c r="AN33"/>
  <c r="U33" i="5"/>
  <c r="AT33" i="1"/>
  <c r="AW33"/>
  <c r="I19" i="212" s="1"/>
  <c r="W33" i="5"/>
  <c r="AZ33" i="1"/>
  <c r="BF33"/>
  <c r="AA33" i="5"/>
  <c r="BL33" i="1"/>
  <c r="AC33" i="5"/>
  <c r="D34" i="1"/>
  <c r="G34"/>
  <c r="J34"/>
  <c r="M34"/>
  <c r="P34"/>
  <c r="S34"/>
  <c r="V34"/>
  <c r="Y34"/>
  <c r="AB34"/>
  <c r="AE34"/>
  <c r="AH34"/>
  <c r="S34" i="5"/>
  <c r="AN34" i="1"/>
  <c r="U34" i="5"/>
  <c r="AT34" i="1"/>
  <c r="AW34"/>
  <c r="AZ34"/>
  <c r="Y34" i="5"/>
  <c r="BF34" i="1"/>
  <c r="BL34"/>
  <c r="D35"/>
  <c r="G35"/>
  <c r="J35"/>
  <c r="M35"/>
  <c r="P35"/>
  <c r="S35"/>
  <c r="V35"/>
  <c r="Y35"/>
  <c r="AB35"/>
  <c r="AE35"/>
  <c r="AH35"/>
  <c r="AN35"/>
  <c r="AT35"/>
  <c r="AW35"/>
  <c r="AZ35"/>
  <c r="Y35" i="5"/>
  <c r="BF35" i="1"/>
  <c r="AA35" i="5"/>
  <c r="BL35" i="1"/>
  <c r="D36"/>
  <c r="G36"/>
  <c r="J36"/>
  <c r="M36"/>
  <c r="P36"/>
  <c r="S36"/>
  <c r="V36"/>
  <c r="Y36"/>
  <c r="AB36"/>
  <c r="AE36"/>
  <c r="AH36"/>
  <c r="AN36"/>
  <c r="U36" i="5"/>
  <c r="AT36" i="1"/>
  <c r="AW36"/>
  <c r="I22" i="212" s="1"/>
  <c r="AZ36" i="1"/>
  <c r="BF36"/>
  <c r="AA36" i="5"/>
  <c r="BL36" i="1"/>
  <c r="AC36" i="5"/>
  <c r="D37" i="1"/>
  <c r="G37"/>
  <c r="J37"/>
  <c r="M37"/>
  <c r="P37"/>
  <c r="S37"/>
  <c r="V37"/>
  <c r="Y37"/>
  <c r="AB37"/>
  <c r="AE37"/>
  <c r="AH37"/>
  <c r="S37" i="5"/>
  <c r="AN37" i="1"/>
  <c r="U37" i="5"/>
  <c r="AT37" i="1"/>
  <c r="AW37"/>
  <c r="AZ37"/>
  <c r="BF37"/>
  <c r="AA37" i="5"/>
  <c r="BL37" i="1"/>
  <c r="AC37" i="5"/>
  <c r="D38" i="1"/>
  <c r="G38"/>
  <c r="J38"/>
  <c r="M38"/>
  <c r="P38"/>
  <c r="S38"/>
  <c r="V38"/>
  <c r="Y38"/>
  <c r="AB38"/>
  <c r="AE38"/>
  <c r="AH38"/>
  <c r="S38" i="5"/>
  <c r="AN38" i="1"/>
  <c r="U38" i="5"/>
  <c r="AT38" i="1"/>
  <c r="AW38"/>
  <c r="AZ38"/>
  <c r="Y38" i="5"/>
  <c r="BF38" i="1"/>
  <c r="BL38"/>
  <c r="D39"/>
  <c r="G39"/>
  <c r="J39"/>
  <c r="M39"/>
  <c r="P39"/>
  <c r="S39"/>
  <c r="V39"/>
  <c r="Y39"/>
  <c r="AB39"/>
  <c r="AE39"/>
  <c r="F25" i="212" s="1"/>
  <c r="AH39" i="1"/>
  <c r="AN39"/>
  <c r="AT39"/>
  <c r="AW39"/>
  <c r="AZ39"/>
  <c r="Y39" i="5"/>
  <c r="BF39" i="1"/>
  <c r="AA39" i="5"/>
  <c r="BL39" i="1"/>
  <c r="D40"/>
  <c r="G40"/>
  <c r="J40"/>
  <c r="M40"/>
  <c r="P40"/>
  <c r="S40"/>
  <c r="V40"/>
  <c r="Y40"/>
  <c r="AB40"/>
  <c r="AE40"/>
  <c r="AH40"/>
  <c r="AN40"/>
  <c r="U40" i="5"/>
  <c r="AT40" i="1"/>
  <c r="AW40"/>
  <c r="AZ40"/>
  <c r="BF40"/>
  <c r="AA40" i="5"/>
  <c r="BL40" i="1"/>
  <c r="AC40" i="5"/>
  <c r="D41" i="1"/>
  <c r="G41"/>
  <c r="J41"/>
  <c r="M41"/>
  <c r="P41"/>
  <c r="S41"/>
  <c r="V41"/>
  <c r="AB41"/>
  <c r="AE41"/>
  <c r="AH41"/>
  <c r="S41" i="5"/>
  <c r="AN41" i="1"/>
  <c r="U41" i="5"/>
  <c r="AT41" i="1"/>
  <c r="AW41"/>
  <c r="AZ41"/>
  <c r="BF41"/>
  <c r="AA41" i="5"/>
  <c r="BL41" i="1"/>
  <c r="AC41" i="5"/>
  <c r="G42" i="1"/>
  <c r="J42"/>
  <c r="M42"/>
  <c r="P42"/>
  <c r="M42" i="5"/>
  <c r="V42" i="1"/>
  <c r="AB42"/>
  <c r="Q42" i="5"/>
  <c r="AH42" i="1"/>
  <c r="S42" i="5"/>
  <c r="AN42" i="1"/>
  <c r="U42" i="5"/>
  <c r="AT42" i="1"/>
  <c r="AW42"/>
  <c r="AZ42"/>
  <c r="Y42" i="5"/>
  <c r="BF42" i="1"/>
  <c r="BL42"/>
  <c r="G43"/>
  <c r="M43"/>
  <c r="P43"/>
  <c r="M43" i="5"/>
  <c r="V43" i="1"/>
  <c r="AB43"/>
  <c r="Q43" i="5"/>
  <c r="AH43" i="1"/>
  <c r="AN43"/>
  <c r="AT43"/>
  <c r="W43" i="5"/>
  <c r="AZ43" i="1"/>
  <c r="BF43"/>
  <c r="AA43" i="5"/>
  <c r="BL43" i="1"/>
  <c r="I44" i="5"/>
  <c r="M44" i="1"/>
  <c r="P44"/>
  <c r="V44"/>
  <c r="O44" i="5"/>
  <c r="AB44" i="1"/>
  <c r="AH44"/>
  <c r="S44" i="5"/>
  <c r="AN44" i="1"/>
  <c r="AT44"/>
  <c r="W44" i="5"/>
  <c r="AZ44" i="1"/>
  <c r="BF44"/>
  <c r="AA44" i="5"/>
  <c r="BL44" i="1"/>
  <c r="AC44" i="5"/>
  <c r="L45" i="58"/>
  <c r="P45" i="1"/>
  <c r="V45"/>
  <c r="AF45" i="58"/>
  <c r="AB45" i="1"/>
  <c r="AH45"/>
  <c r="AZ45" i="58"/>
  <c r="AN45" i="1"/>
  <c r="AT45"/>
  <c r="AZ45"/>
  <c r="BF45"/>
  <c r="CN45" i="58"/>
  <c r="BL45" i="1"/>
  <c r="B8" i="41"/>
  <c r="B9" s="1"/>
  <c r="C8"/>
  <c r="D8"/>
  <c r="D9" s="1"/>
  <c r="E8"/>
  <c r="F8"/>
  <c r="F9" s="1"/>
  <c r="G8"/>
  <c r="H8"/>
  <c r="H9" s="1"/>
  <c r="I8"/>
  <c r="J8"/>
  <c r="J9" s="1"/>
  <c r="K8"/>
  <c r="L8"/>
  <c r="L9" s="1"/>
  <c r="B10"/>
  <c r="B11" s="1"/>
  <c r="C10"/>
  <c r="E10"/>
  <c r="G10"/>
  <c r="H10"/>
  <c r="J10"/>
  <c r="J11" s="1"/>
  <c r="K10"/>
  <c r="L10"/>
  <c r="B16"/>
  <c r="C16"/>
  <c r="D16"/>
  <c r="E16"/>
  <c r="F16"/>
  <c r="G16"/>
  <c r="H16"/>
  <c r="I16"/>
  <c r="J16"/>
  <c r="K16"/>
  <c r="L16"/>
  <c r="C19"/>
  <c r="D19"/>
  <c r="E19"/>
  <c r="G19"/>
  <c r="H19"/>
  <c r="I19"/>
  <c r="K19"/>
  <c r="L19"/>
  <c r="D20"/>
  <c r="E20"/>
  <c r="H20"/>
  <c r="I20"/>
  <c r="L20"/>
  <c r="B25"/>
  <c r="B26" s="1"/>
  <c r="B27" s="1"/>
  <c r="C25"/>
  <c r="E25"/>
  <c r="F25"/>
  <c r="F26" s="1"/>
  <c r="F27" s="1"/>
  <c r="G25"/>
  <c r="I25"/>
  <c r="J25"/>
  <c r="J26" s="1"/>
  <c r="J27" s="1"/>
  <c r="K25"/>
  <c r="B29"/>
  <c r="B30" s="1"/>
  <c r="C29"/>
  <c r="D29"/>
  <c r="F29"/>
  <c r="F30" s="1"/>
  <c r="H29"/>
  <c r="J29"/>
  <c r="J30" s="1"/>
  <c r="L29"/>
  <c r="F31"/>
  <c r="H31"/>
  <c r="B36"/>
  <c r="B37" s="1"/>
  <c r="B38" s="1"/>
  <c r="B8" i="35"/>
  <c r="C8"/>
  <c r="D8"/>
  <c r="G8"/>
  <c r="H8"/>
  <c r="I8"/>
  <c r="M8"/>
  <c r="N8"/>
  <c r="Q8"/>
  <c r="R8"/>
  <c r="S8"/>
  <c r="V8"/>
  <c r="W8"/>
  <c r="X8"/>
  <c r="AA8"/>
  <c r="AB8"/>
  <c r="AC8"/>
  <c r="AG8"/>
  <c r="AH8"/>
  <c r="AK8"/>
  <c r="AL8"/>
  <c r="AM8"/>
  <c r="AP8"/>
  <c r="AQ8"/>
  <c r="AR8"/>
  <c r="AU8"/>
  <c r="AV8"/>
  <c r="AW8"/>
  <c r="BA8"/>
  <c r="BB8"/>
  <c r="B9"/>
  <c r="C9"/>
  <c r="D9"/>
  <c r="G9"/>
  <c r="H9"/>
  <c r="I9"/>
  <c r="M9"/>
  <c r="N9"/>
  <c r="R9"/>
  <c r="S9"/>
  <c r="V9"/>
  <c r="W9"/>
  <c r="X9"/>
  <c r="AA9"/>
  <c r="AB9"/>
  <c r="AC9"/>
  <c r="AF9"/>
  <c r="AG9"/>
  <c r="AH9"/>
  <c r="AL9"/>
  <c r="AM9"/>
  <c r="AP9"/>
  <c r="AQ9"/>
  <c r="AR9"/>
  <c r="AU9"/>
  <c r="AV9"/>
  <c r="AW9"/>
  <c r="AZ9"/>
  <c r="BA9"/>
  <c r="BB9"/>
  <c r="C10"/>
  <c r="D10"/>
  <c r="G10"/>
  <c r="H10"/>
  <c r="I10"/>
  <c r="L10"/>
  <c r="M10"/>
  <c r="N10"/>
  <c r="Q10"/>
  <c r="R10"/>
  <c r="S10"/>
  <c r="W10"/>
  <c r="X10"/>
  <c r="AA10"/>
  <c r="AB10"/>
  <c r="AC10"/>
  <c r="AF10"/>
  <c r="AG10"/>
  <c r="AH10"/>
  <c r="AL10"/>
  <c r="AM10"/>
  <c r="AQ10"/>
  <c r="AR10"/>
  <c r="AV10"/>
  <c r="AW10"/>
  <c r="BA10"/>
  <c r="BB10"/>
  <c r="C11"/>
  <c r="D11"/>
  <c r="G11"/>
  <c r="H11"/>
  <c r="I11"/>
  <c r="M11"/>
  <c r="N11"/>
  <c r="Q11"/>
  <c r="R11"/>
  <c r="S11"/>
  <c r="W11"/>
  <c r="X11"/>
  <c r="AB11"/>
  <c r="AC11"/>
  <c r="AG11"/>
  <c r="AH11"/>
  <c r="AK11"/>
  <c r="AL11"/>
  <c r="AM11"/>
  <c r="AQ11"/>
  <c r="AR11"/>
  <c r="AU11"/>
  <c r="AV11"/>
  <c r="AW11"/>
  <c r="BA11"/>
  <c r="BB11"/>
  <c r="B12"/>
  <c r="C12"/>
  <c r="D12"/>
  <c r="G12"/>
  <c r="H12"/>
  <c r="I12"/>
  <c r="M12"/>
  <c r="N12"/>
  <c r="Q12"/>
  <c r="R12"/>
  <c r="S12"/>
  <c r="V12"/>
  <c r="W12"/>
  <c r="X12"/>
  <c r="AA12"/>
  <c r="AB12"/>
  <c r="AC12"/>
  <c r="AG12"/>
  <c r="AH12"/>
  <c r="AK12"/>
  <c r="AL12"/>
  <c r="AM12"/>
  <c r="AP12"/>
  <c r="AQ12"/>
  <c r="AR12"/>
  <c r="AV12"/>
  <c r="AW12"/>
  <c r="BA12"/>
  <c r="BB12"/>
  <c r="B13"/>
  <c r="C13"/>
  <c r="D13"/>
  <c r="G13"/>
  <c r="H13"/>
  <c r="I13"/>
  <c r="M13"/>
  <c r="N13"/>
  <c r="R13"/>
  <c r="S13"/>
  <c r="W13"/>
  <c r="X13"/>
  <c r="AA13"/>
  <c r="AB13"/>
  <c r="AC13"/>
  <c r="AG13"/>
  <c r="AH13"/>
  <c r="AK13"/>
  <c r="AL13"/>
  <c r="AM13"/>
  <c r="AQ13"/>
  <c r="AR13"/>
  <c r="AU13"/>
  <c r="AV13"/>
  <c r="AW13"/>
  <c r="BA13"/>
  <c r="BB13"/>
  <c r="C14"/>
  <c r="D14"/>
  <c r="G14"/>
  <c r="H14"/>
  <c r="I14"/>
  <c r="L14"/>
  <c r="M14"/>
  <c r="N14"/>
  <c r="R14"/>
  <c r="S14"/>
  <c r="W14"/>
  <c r="X14"/>
  <c r="AA14"/>
  <c r="AB14"/>
  <c r="AC14"/>
  <c r="AF14"/>
  <c r="AG14"/>
  <c r="AH14"/>
  <c r="AL14"/>
  <c r="AM14"/>
  <c r="AQ14"/>
  <c r="AR14"/>
  <c r="AU14"/>
  <c r="AV14"/>
  <c r="AW14"/>
  <c r="AZ14"/>
  <c r="BA14"/>
  <c r="BB14"/>
  <c r="C15"/>
  <c r="D15"/>
  <c r="H15"/>
  <c r="I15"/>
  <c r="L15"/>
  <c r="M15"/>
  <c r="N15"/>
  <c r="R15"/>
  <c r="S15"/>
  <c r="V15"/>
  <c r="W15"/>
  <c r="X15"/>
  <c r="AB15"/>
  <c r="AC15"/>
  <c r="AF15"/>
  <c r="AG15"/>
  <c r="AH15"/>
  <c r="AL15"/>
  <c r="AM15"/>
  <c r="AQ15"/>
  <c r="AR15"/>
  <c r="AV15"/>
  <c r="AW15"/>
  <c r="AZ15"/>
  <c r="BA15"/>
  <c r="BB15"/>
  <c r="C16"/>
  <c r="D16"/>
  <c r="H16"/>
  <c r="I16"/>
  <c r="M16"/>
  <c r="N16"/>
  <c r="R16"/>
  <c r="S16"/>
  <c r="W16"/>
  <c r="X16"/>
  <c r="AB16"/>
  <c r="AC16"/>
  <c r="AG16"/>
  <c r="AH16"/>
  <c r="AL16"/>
  <c r="AM16"/>
  <c r="AQ16"/>
  <c r="AR16"/>
  <c r="AV16"/>
  <c r="AW16"/>
  <c r="BA16"/>
  <c r="BB16"/>
  <c r="C17"/>
  <c r="D17"/>
  <c r="G17"/>
  <c r="H17"/>
  <c r="I17"/>
  <c r="M17"/>
  <c r="N17"/>
  <c r="Q17"/>
  <c r="R17"/>
  <c r="S17"/>
  <c r="W17"/>
  <c r="X17"/>
  <c r="AA17"/>
  <c r="AB17"/>
  <c r="AC17"/>
  <c r="AG17"/>
  <c r="AH17"/>
  <c r="AL17"/>
  <c r="AM17"/>
  <c r="AQ17"/>
  <c r="AR17"/>
  <c r="AU17"/>
  <c r="AV17"/>
  <c r="AW17"/>
  <c r="BA17"/>
  <c r="BB17"/>
  <c r="C19"/>
  <c r="D19"/>
  <c r="H19"/>
  <c r="I19"/>
  <c r="M19"/>
  <c r="N19"/>
  <c r="R19"/>
  <c r="W19"/>
  <c r="X19"/>
  <c r="AB19"/>
  <c r="AC19"/>
  <c r="AG19"/>
  <c r="AH19"/>
  <c r="AL19"/>
  <c r="AM19"/>
  <c r="AQ19"/>
  <c r="AR19"/>
  <c r="AV19"/>
  <c r="AW19"/>
  <c r="BA19"/>
  <c r="BB19"/>
  <c r="C20"/>
  <c r="D20"/>
  <c r="G20"/>
  <c r="H20"/>
  <c r="I20"/>
  <c r="L20"/>
  <c r="M20"/>
  <c r="N20"/>
  <c r="Q20"/>
  <c r="R20"/>
  <c r="S20"/>
  <c r="W20"/>
  <c r="X20"/>
  <c r="AA20"/>
  <c r="AB20"/>
  <c r="AC20"/>
  <c r="AF20"/>
  <c r="AG20"/>
  <c r="AH20"/>
  <c r="AK20"/>
  <c r="AL20"/>
  <c r="AM20"/>
  <c r="AQ20"/>
  <c r="AR20"/>
  <c r="AU20"/>
  <c r="AV20"/>
  <c r="AW20"/>
  <c r="AZ20"/>
  <c r="BA20"/>
  <c r="BB20"/>
  <c r="B21"/>
  <c r="C21"/>
  <c r="D21"/>
  <c r="H21"/>
  <c r="I21"/>
  <c r="L21"/>
  <c r="M21"/>
  <c r="N21"/>
  <c r="Q21"/>
  <c r="R21"/>
  <c r="S21"/>
  <c r="V21"/>
  <c r="W21"/>
  <c r="X21"/>
  <c r="AB21"/>
  <c r="AC21"/>
  <c r="AF21"/>
  <c r="AG21"/>
  <c r="AH21"/>
  <c r="AK21"/>
  <c r="AL21"/>
  <c r="AM21"/>
  <c r="AP21"/>
  <c r="AQ21"/>
  <c r="AR21"/>
  <c r="AV21"/>
  <c r="AW21"/>
  <c r="AZ21"/>
  <c r="BA21"/>
  <c r="BB21"/>
  <c r="B22"/>
  <c r="C22"/>
  <c r="D22"/>
  <c r="G22"/>
  <c r="H22"/>
  <c r="I22"/>
  <c r="M22"/>
  <c r="N22"/>
  <c r="Q22"/>
  <c r="R22"/>
  <c r="S22"/>
  <c r="V22"/>
  <c r="W22"/>
  <c r="X22"/>
  <c r="AA22"/>
  <c r="AB22"/>
  <c r="AC22"/>
  <c r="AG22"/>
  <c r="AH22"/>
  <c r="AK22"/>
  <c r="AL22"/>
  <c r="AM22"/>
  <c r="AP22"/>
  <c r="AQ22"/>
  <c r="AR22"/>
  <c r="AU22"/>
  <c r="AV22"/>
  <c r="AW22"/>
  <c r="BA22"/>
  <c r="BB22"/>
  <c r="B23"/>
  <c r="C23"/>
  <c r="D23"/>
  <c r="G23"/>
  <c r="H23"/>
  <c r="I23"/>
  <c r="L23"/>
  <c r="M23"/>
  <c r="N23"/>
  <c r="R23"/>
  <c r="S23"/>
  <c r="V23"/>
  <c r="W23"/>
  <c r="X23"/>
  <c r="AA23"/>
  <c r="AB23"/>
  <c r="AC23"/>
  <c r="AF23"/>
  <c r="AG23"/>
  <c r="AH23"/>
  <c r="AL23"/>
  <c r="AM23"/>
  <c r="AP23"/>
  <c r="AQ23"/>
  <c r="AR23"/>
  <c r="AU23"/>
  <c r="AV23"/>
  <c r="AW23"/>
  <c r="AZ23"/>
  <c r="BA23"/>
  <c r="BB23"/>
  <c r="C24"/>
  <c r="D24"/>
  <c r="G24"/>
  <c r="H24"/>
  <c r="I24"/>
  <c r="L24"/>
  <c r="M24"/>
  <c r="N24"/>
  <c r="Q24"/>
  <c r="R24"/>
  <c r="W24"/>
  <c r="X24"/>
  <c r="AA24"/>
  <c r="AB24"/>
  <c r="AC24"/>
  <c r="AF24"/>
  <c r="AG24"/>
  <c r="AH24"/>
  <c r="AK24"/>
  <c r="AL24"/>
  <c r="AM24"/>
  <c r="AQ24"/>
  <c r="AR24"/>
  <c r="AU24"/>
  <c r="AV24"/>
  <c r="AW24"/>
  <c r="AZ24"/>
  <c r="BA24"/>
  <c r="BB24"/>
  <c r="B25"/>
  <c r="C25"/>
  <c r="D25"/>
  <c r="H25"/>
  <c r="I25"/>
  <c r="L25"/>
  <c r="M25"/>
  <c r="N25"/>
  <c r="Q25"/>
  <c r="R25"/>
  <c r="S25"/>
  <c r="V25"/>
  <c r="W25"/>
  <c r="X25"/>
  <c r="AB25"/>
  <c r="AC25"/>
  <c r="AF25"/>
  <c r="AG25"/>
  <c r="AH25"/>
  <c r="AK25"/>
  <c r="AL25"/>
  <c r="AM25"/>
  <c r="AP25"/>
  <c r="AQ25"/>
  <c r="AR25"/>
  <c r="AV25"/>
  <c r="AW25"/>
  <c r="AZ25"/>
  <c r="BA25"/>
  <c r="BB25"/>
  <c r="B26"/>
  <c r="C26"/>
  <c r="D26"/>
  <c r="G26"/>
  <c r="H26"/>
  <c r="I26"/>
  <c r="M26"/>
  <c r="N26"/>
  <c r="Q26"/>
  <c r="R26"/>
  <c r="S26"/>
  <c r="V26"/>
  <c r="W26"/>
  <c r="X26"/>
  <c r="AA26"/>
  <c r="AB26"/>
  <c r="AC26"/>
  <c r="AG26"/>
  <c r="AH26"/>
  <c r="AK26"/>
  <c r="AL26"/>
  <c r="AM26"/>
  <c r="AP26"/>
  <c r="AQ26"/>
  <c r="AR26"/>
  <c r="AU26"/>
  <c r="AV26"/>
  <c r="AW26"/>
  <c r="BA26"/>
  <c r="BB26"/>
  <c r="B27"/>
  <c r="C27"/>
  <c r="D27"/>
  <c r="G27"/>
  <c r="H27"/>
  <c r="I27"/>
  <c r="L27"/>
  <c r="M27"/>
  <c r="N27"/>
  <c r="R27"/>
  <c r="S27"/>
  <c r="V27"/>
  <c r="W27"/>
  <c r="X27"/>
  <c r="AA27"/>
  <c r="AB27"/>
  <c r="AC27"/>
  <c r="AF27"/>
  <c r="AG27"/>
  <c r="AH27"/>
  <c r="AL27"/>
  <c r="AM27"/>
  <c r="AP27"/>
  <c r="AQ27"/>
  <c r="AR27"/>
  <c r="AU27"/>
  <c r="AV27"/>
  <c r="AW27"/>
  <c r="AZ27"/>
  <c r="BA27"/>
  <c r="BB27"/>
  <c r="C28"/>
  <c r="D28"/>
  <c r="G28"/>
  <c r="H28"/>
  <c r="I28"/>
  <c r="L28"/>
  <c r="M28"/>
  <c r="N28"/>
  <c r="Q28"/>
  <c r="R28"/>
  <c r="W28"/>
  <c r="X28"/>
  <c r="AA28"/>
  <c r="AB28"/>
  <c r="AC28"/>
  <c r="AF28"/>
  <c r="AG28"/>
  <c r="AH28"/>
  <c r="AK28"/>
  <c r="AL28"/>
  <c r="AM28"/>
  <c r="AQ28"/>
  <c r="AR28"/>
  <c r="AU28"/>
  <c r="AV28"/>
  <c r="AW28"/>
  <c r="AZ28"/>
  <c r="BA28"/>
  <c r="BB28"/>
  <c r="B29"/>
  <c r="C29"/>
  <c r="D29"/>
  <c r="H29"/>
  <c r="I29"/>
  <c r="L29"/>
  <c r="M29"/>
  <c r="N29"/>
  <c r="Q29"/>
  <c r="R29"/>
  <c r="S29"/>
  <c r="V29"/>
  <c r="W29"/>
  <c r="X29"/>
  <c r="AB29"/>
  <c r="AC29"/>
  <c r="AF29"/>
  <c r="AG29"/>
  <c r="AH29"/>
  <c r="AK29"/>
  <c r="AL29"/>
  <c r="AM29"/>
  <c r="AP29"/>
  <c r="AQ29"/>
  <c r="AR29"/>
  <c r="AV29"/>
  <c r="AW29"/>
  <c r="AZ29"/>
  <c r="BA29"/>
  <c r="BB29"/>
  <c r="B30"/>
  <c r="C30"/>
  <c r="D30"/>
  <c r="G30"/>
  <c r="H30"/>
  <c r="I30"/>
  <c r="M30"/>
  <c r="N30"/>
  <c r="Q30"/>
  <c r="R30"/>
  <c r="S30"/>
  <c r="V30"/>
  <c r="W30"/>
  <c r="X30"/>
  <c r="AA30"/>
  <c r="AB30"/>
  <c r="AC30"/>
  <c r="AG30"/>
  <c r="AH30"/>
  <c r="AK30"/>
  <c r="AL30"/>
  <c r="AM30"/>
  <c r="AP30"/>
  <c r="AQ30"/>
  <c r="AR30"/>
  <c r="AU30"/>
  <c r="AV30"/>
  <c r="AW30"/>
  <c r="BA30"/>
  <c r="BB30"/>
  <c r="B31"/>
  <c r="C31"/>
  <c r="D31"/>
  <c r="G31"/>
  <c r="H31"/>
  <c r="I31"/>
  <c r="L31"/>
  <c r="M31"/>
  <c r="N31"/>
  <c r="R31"/>
  <c r="S31"/>
  <c r="V31"/>
  <c r="W31"/>
  <c r="X31"/>
  <c r="AA31"/>
  <c r="AB31"/>
  <c r="AC31"/>
  <c r="AF31"/>
  <c r="AG31"/>
  <c r="AH31"/>
  <c r="AL31"/>
  <c r="AM31"/>
  <c r="AP31"/>
  <c r="AQ31"/>
  <c r="AR31"/>
  <c r="AU31"/>
  <c r="AV31"/>
  <c r="AW31"/>
  <c r="AZ31"/>
  <c r="BA31"/>
  <c r="BB31"/>
  <c r="C32"/>
  <c r="D32"/>
  <c r="G32"/>
  <c r="H32"/>
  <c r="I32"/>
  <c r="L32"/>
  <c r="M32"/>
  <c r="N32"/>
  <c r="Q32"/>
  <c r="R32"/>
  <c r="W32"/>
  <c r="X32"/>
  <c r="AA32"/>
  <c r="AB32"/>
  <c r="AC32"/>
  <c r="AF32"/>
  <c r="AG32"/>
  <c r="AH32"/>
  <c r="AK32"/>
  <c r="AL32"/>
  <c r="AM32"/>
  <c r="AQ32"/>
  <c r="AR32"/>
  <c r="AU32"/>
  <c r="AV32"/>
  <c r="AW32"/>
  <c r="AZ32"/>
  <c r="BA32"/>
  <c r="BB32"/>
  <c r="B33"/>
  <c r="C33"/>
  <c r="D33"/>
  <c r="H33"/>
  <c r="I33"/>
  <c r="L33"/>
  <c r="M33"/>
  <c r="N33"/>
  <c r="Q33"/>
  <c r="R33"/>
  <c r="S33"/>
  <c r="V33"/>
  <c r="W33"/>
  <c r="X33"/>
  <c r="AB33"/>
  <c r="AC33"/>
  <c r="AF33"/>
  <c r="AG33"/>
  <c r="AH33"/>
  <c r="AK33"/>
  <c r="AL33"/>
  <c r="AM33"/>
  <c r="AP33"/>
  <c r="AQ33"/>
  <c r="AR33"/>
  <c r="AV33"/>
  <c r="AW33"/>
  <c r="AZ33"/>
  <c r="BA33"/>
  <c r="BB33"/>
  <c r="B34"/>
  <c r="C34"/>
  <c r="D34"/>
  <c r="G34"/>
  <c r="H34"/>
  <c r="I34"/>
  <c r="M34"/>
  <c r="N34"/>
  <c r="Q34"/>
  <c r="R34"/>
  <c r="S34"/>
  <c r="V34"/>
  <c r="W34"/>
  <c r="X34"/>
  <c r="AA34"/>
  <c r="AB34"/>
  <c r="AC34"/>
  <c r="AG34"/>
  <c r="AH34"/>
  <c r="AK34"/>
  <c r="AL34"/>
  <c r="AM34"/>
  <c r="AP34"/>
  <c r="AQ34"/>
  <c r="AR34"/>
  <c r="AU34"/>
  <c r="AV34"/>
  <c r="AW34"/>
  <c r="BA34"/>
  <c r="BB34"/>
  <c r="B35"/>
  <c r="C35"/>
  <c r="D35"/>
  <c r="G35"/>
  <c r="H35"/>
  <c r="I35"/>
  <c r="L35"/>
  <c r="M35"/>
  <c r="N35"/>
  <c r="R35"/>
  <c r="S35"/>
  <c r="V35"/>
  <c r="W35"/>
  <c r="X35"/>
  <c r="AA35"/>
  <c r="AB35"/>
  <c r="AC35"/>
  <c r="AF35"/>
  <c r="AG35"/>
  <c r="AH35"/>
  <c r="AL35"/>
  <c r="AM35"/>
  <c r="AP35"/>
  <c r="AQ35"/>
  <c r="AR35"/>
  <c r="AU35"/>
  <c r="AV35"/>
  <c r="AW35"/>
  <c r="AZ35"/>
  <c r="BA35"/>
  <c r="BB35"/>
  <c r="C36"/>
  <c r="D36"/>
  <c r="G36"/>
  <c r="H36"/>
  <c r="I36"/>
  <c r="L36"/>
  <c r="M36"/>
  <c r="N36"/>
  <c r="Q36"/>
  <c r="R36"/>
  <c r="S36"/>
  <c r="W36"/>
  <c r="X36"/>
  <c r="AA36"/>
  <c r="AB36"/>
  <c r="AC36"/>
  <c r="AF36"/>
  <c r="AG36"/>
  <c r="AH36"/>
  <c r="AK36"/>
  <c r="AL36"/>
  <c r="AM36"/>
  <c r="AQ36"/>
  <c r="AR36"/>
  <c r="AU36"/>
  <c r="AV36"/>
  <c r="AW36"/>
  <c r="AZ36"/>
  <c r="BA36"/>
  <c r="BB36"/>
  <c r="B37"/>
  <c r="C37"/>
  <c r="D37"/>
  <c r="H37"/>
  <c r="I37"/>
  <c r="L37"/>
  <c r="M37"/>
  <c r="N37"/>
  <c r="Q37"/>
  <c r="R37"/>
  <c r="S37"/>
  <c r="V37"/>
  <c r="W37"/>
  <c r="X37"/>
  <c r="AB37"/>
  <c r="AC37"/>
  <c r="AF37"/>
  <c r="AG37"/>
  <c r="AH37"/>
  <c r="AK37"/>
  <c r="AL37"/>
  <c r="AM37"/>
  <c r="AP37"/>
  <c r="AQ37"/>
  <c r="AR37"/>
  <c r="AV37"/>
  <c r="AW37"/>
  <c r="AZ37"/>
  <c r="BA37"/>
  <c r="BB37"/>
  <c r="B38"/>
  <c r="C38"/>
  <c r="D38"/>
  <c r="G38"/>
  <c r="H38"/>
  <c r="I38"/>
  <c r="M38"/>
  <c r="N38"/>
  <c r="Q38"/>
  <c r="R38"/>
  <c r="S38"/>
  <c r="V38"/>
  <c r="W38"/>
  <c r="X38"/>
  <c r="AA38"/>
  <c r="AB38"/>
  <c r="AC38"/>
  <c r="AG38"/>
  <c r="AH38"/>
  <c r="AK38"/>
  <c r="AL38"/>
  <c r="AM38"/>
  <c r="AP38"/>
  <c r="AQ38"/>
  <c r="AR38"/>
  <c r="AU38"/>
  <c r="AV38"/>
  <c r="AW38"/>
  <c r="BA38"/>
  <c r="BB38"/>
  <c r="B39"/>
  <c r="C39"/>
  <c r="D39"/>
  <c r="G39"/>
  <c r="H39"/>
  <c r="I39"/>
  <c r="L39"/>
  <c r="M39"/>
  <c r="N39"/>
  <c r="R39"/>
  <c r="S39"/>
  <c r="V39"/>
  <c r="W39"/>
  <c r="X39"/>
  <c r="AA39"/>
  <c r="AB39"/>
  <c r="AC39"/>
  <c r="AF39"/>
  <c r="AG39"/>
  <c r="AH39"/>
  <c r="AL39"/>
  <c r="AM39"/>
  <c r="AP39"/>
  <c r="AQ39"/>
  <c r="AR39"/>
  <c r="AU39"/>
  <c r="AV39"/>
  <c r="AW39"/>
  <c r="AZ39"/>
  <c r="BA39"/>
  <c r="BB39"/>
  <c r="C40"/>
  <c r="D40"/>
  <c r="G40"/>
  <c r="H40"/>
  <c r="I40"/>
  <c r="L40"/>
  <c r="M40"/>
  <c r="N40"/>
  <c r="Q40"/>
  <c r="R40"/>
  <c r="S40"/>
  <c r="W40"/>
  <c r="X40"/>
  <c r="AA40"/>
  <c r="AB40"/>
  <c r="AC40"/>
  <c r="AF40"/>
  <c r="AG40"/>
  <c r="AH40"/>
  <c r="AK40"/>
  <c r="AL40"/>
  <c r="AM40"/>
  <c r="AQ40"/>
  <c r="AR40"/>
  <c r="AU40"/>
  <c r="AV40"/>
  <c r="AW40"/>
  <c r="AZ40"/>
  <c r="BA40"/>
  <c r="BB40"/>
  <c r="B41"/>
  <c r="C41"/>
  <c r="D41"/>
  <c r="H41"/>
  <c r="I41"/>
  <c r="L41"/>
  <c r="M41"/>
  <c r="N41"/>
  <c r="Q41"/>
  <c r="R41"/>
  <c r="S41"/>
  <c r="V41"/>
  <c r="W41"/>
  <c r="X41"/>
  <c r="AB41"/>
  <c r="AC41"/>
  <c r="AF41"/>
  <c r="AG41"/>
  <c r="AH41"/>
  <c r="AK41"/>
  <c r="AL41"/>
  <c r="AM41"/>
  <c r="AP41"/>
  <c r="AQ41"/>
  <c r="AR41"/>
  <c r="AV41"/>
  <c r="AW41"/>
  <c r="AZ41"/>
  <c r="BA41"/>
  <c r="BB41"/>
  <c r="B42"/>
  <c r="C42"/>
  <c r="D42"/>
  <c r="G42"/>
  <c r="H42"/>
  <c r="I42"/>
  <c r="M42"/>
  <c r="N42"/>
  <c r="Q42"/>
  <c r="R42"/>
  <c r="S42"/>
  <c r="V42"/>
  <c r="W42"/>
  <c r="X42"/>
  <c r="AA42"/>
  <c r="AB42"/>
  <c r="AC42"/>
  <c r="AG42"/>
  <c r="AH42"/>
  <c r="AK42"/>
  <c r="AL42"/>
  <c r="AM42"/>
  <c r="AP42"/>
  <c r="AQ42"/>
  <c r="AR42"/>
  <c r="AU42"/>
  <c r="AV42"/>
  <c r="AW42"/>
  <c r="BA42"/>
  <c r="BB42"/>
  <c r="B43"/>
  <c r="C43"/>
  <c r="D43"/>
  <c r="G43"/>
  <c r="H43"/>
  <c r="I43"/>
  <c r="M43"/>
  <c r="N43"/>
  <c r="R43"/>
  <c r="V43"/>
  <c r="W43"/>
  <c r="X43"/>
  <c r="AB43"/>
  <c r="AC43"/>
  <c r="AG43"/>
  <c r="AH43"/>
  <c r="AK43"/>
  <c r="AL43"/>
  <c r="AM43"/>
  <c r="AQ43"/>
  <c r="AR43"/>
  <c r="AV43"/>
  <c r="AW43"/>
  <c r="AZ43"/>
  <c r="BA43"/>
  <c r="BB43"/>
  <c r="C44"/>
  <c r="D44"/>
  <c r="H44"/>
  <c r="I44"/>
  <c r="L44"/>
  <c r="M44"/>
  <c r="N44"/>
  <c r="R44"/>
  <c r="W44"/>
  <c r="X44"/>
  <c r="AB44"/>
  <c r="AC44"/>
  <c r="AG44"/>
  <c r="AH44"/>
  <c r="AL44"/>
  <c r="AM44"/>
  <c r="AQ44"/>
  <c r="AR44"/>
  <c r="AV44"/>
  <c r="AW44"/>
  <c r="AZ44"/>
  <c r="BA44"/>
  <c r="BB44"/>
  <c r="D9" i="33"/>
  <c r="F9"/>
  <c r="L9"/>
  <c r="N9"/>
  <c r="T9"/>
  <c r="V9"/>
  <c r="D10"/>
  <c r="F10"/>
  <c r="H10"/>
  <c r="L10"/>
  <c r="N10"/>
  <c r="T10"/>
  <c r="V10"/>
  <c r="B11"/>
  <c r="F11"/>
  <c r="H11"/>
  <c r="J11"/>
  <c r="N11"/>
  <c r="P11"/>
  <c r="R11"/>
  <c r="V11"/>
  <c r="B12"/>
  <c r="H12"/>
  <c r="J12"/>
  <c r="L12"/>
  <c r="P12"/>
  <c r="R12"/>
  <c r="T12"/>
  <c r="B13"/>
  <c r="D13"/>
  <c r="F13"/>
  <c r="J13"/>
  <c r="L13"/>
  <c r="R13"/>
  <c r="T13"/>
  <c r="V13"/>
  <c r="D14"/>
  <c r="F14"/>
  <c r="H14"/>
  <c r="L14"/>
  <c r="N14"/>
  <c r="P14"/>
  <c r="T14"/>
  <c r="V14"/>
  <c r="F15"/>
  <c r="H15"/>
  <c r="J15"/>
  <c r="N15"/>
  <c r="P15"/>
  <c r="R15"/>
  <c r="V15"/>
  <c r="B17"/>
  <c r="B21" i="173" s="1"/>
  <c r="D17" i="33"/>
  <c r="H17"/>
  <c r="J17"/>
  <c r="P17"/>
  <c r="R17"/>
  <c r="T17"/>
  <c r="B18"/>
  <c r="D18"/>
  <c r="F18"/>
  <c r="J18"/>
  <c r="L18"/>
  <c r="N18"/>
  <c r="R18"/>
  <c r="T18"/>
  <c r="D19"/>
  <c r="F19"/>
  <c r="H19"/>
  <c r="L19"/>
  <c r="N19"/>
  <c r="P19"/>
  <c r="T19"/>
  <c r="V19"/>
  <c r="B20"/>
  <c r="F20"/>
  <c r="H20"/>
  <c r="N20"/>
  <c r="P20"/>
  <c r="R20"/>
  <c r="V20"/>
  <c r="B21"/>
  <c r="D21"/>
  <c r="H21"/>
  <c r="J21"/>
  <c r="L21"/>
  <c r="P21"/>
  <c r="R21"/>
  <c r="B22"/>
  <c r="D22"/>
  <c r="F22"/>
  <c r="J22"/>
  <c r="L22"/>
  <c r="N22"/>
  <c r="R22"/>
  <c r="T22"/>
  <c r="V22"/>
  <c r="D23"/>
  <c r="F23"/>
  <c r="L23"/>
  <c r="N23"/>
  <c r="P23"/>
  <c r="T23"/>
  <c r="V23"/>
  <c r="B24"/>
  <c r="F24"/>
  <c r="H24"/>
  <c r="J24"/>
  <c r="N24"/>
  <c r="P24"/>
  <c r="V24"/>
  <c r="B25"/>
  <c r="D25"/>
  <c r="H25"/>
  <c r="J25"/>
  <c r="L25"/>
  <c r="P25"/>
  <c r="R25"/>
  <c r="T25"/>
  <c r="B26"/>
  <c r="D26"/>
  <c r="J26"/>
  <c r="L26"/>
  <c r="N26"/>
  <c r="R26"/>
  <c r="T26"/>
  <c r="V26"/>
  <c r="D27"/>
  <c r="F27"/>
  <c r="H27"/>
  <c r="L27"/>
  <c r="N27"/>
  <c r="T27"/>
  <c r="V27"/>
  <c r="B28"/>
  <c r="F28"/>
  <c r="H28"/>
  <c r="J28"/>
  <c r="N28"/>
  <c r="P28"/>
  <c r="R28"/>
  <c r="B29"/>
  <c r="D29"/>
  <c r="F29"/>
  <c r="H29"/>
  <c r="J29"/>
  <c r="L29"/>
  <c r="N29"/>
  <c r="R29"/>
  <c r="D30"/>
  <c r="H30"/>
  <c r="L30"/>
  <c r="T30"/>
  <c r="B31"/>
  <c r="F31"/>
  <c r="N31"/>
  <c r="R31"/>
  <c r="V31"/>
  <c r="H32"/>
  <c r="L32"/>
  <c r="P32"/>
  <c r="B33"/>
  <c r="F33"/>
  <c r="J33"/>
  <c r="R33"/>
  <c r="V33"/>
  <c r="D34"/>
  <c r="L34"/>
  <c r="P34"/>
  <c r="T34"/>
  <c r="F35"/>
  <c r="J35"/>
  <c r="N35"/>
  <c r="V35"/>
  <c r="D36"/>
  <c r="H36"/>
  <c r="P36"/>
  <c r="T36"/>
  <c r="B37"/>
  <c r="J37"/>
  <c r="N37"/>
  <c r="R37"/>
  <c r="B38"/>
  <c r="D38"/>
  <c r="J38"/>
  <c r="L38"/>
  <c r="R38"/>
  <c r="T38"/>
  <c r="D39"/>
  <c r="F39"/>
  <c r="L39"/>
  <c r="N39"/>
  <c r="T39"/>
  <c r="V39"/>
  <c r="F40"/>
  <c r="H40"/>
  <c r="N40"/>
  <c r="P40"/>
  <c r="V40"/>
  <c r="B41"/>
  <c r="H41"/>
  <c r="J41"/>
  <c r="P41"/>
  <c r="R41"/>
  <c r="B42"/>
  <c r="D42"/>
  <c r="J42"/>
  <c r="L42"/>
  <c r="R42"/>
  <c r="T42"/>
  <c r="B8" i="29"/>
  <c r="D8"/>
  <c r="I8"/>
  <c r="P8"/>
  <c r="R8"/>
  <c r="W8"/>
  <c r="Y8"/>
  <c r="AD8"/>
  <c r="AF8"/>
  <c r="AK8"/>
  <c r="AR8"/>
  <c r="AT8"/>
  <c r="AY8"/>
  <c r="BA8"/>
  <c r="BF8"/>
  <c r="BH8"/>
  <c r="BM8"/>
  <c r="BT8"/>
  <c r="BV8"/>
  <c r="B9"/>
  <c r="D9"/>
  <c r="I9"/>
  <c r="K9"/>
  <c r="P9"/>
  <c r="W9"/>
  <c r="Y9"/>
  <c r="AD9"/>
  <c r="AF9"/>
  <c r="AK9"/>
  <c r="AM9"/>
  <c r="AR9"/>
  <c r="AY9"/>
  <c r="BA9"/>
  <c r="BF9"/>
  <c r="BH9"/>
  <c r="BM9"/>
  <c r="BO9"/>
  <c r="BT9"/>
  <c r="B10"/>
  <c r="D10"/>
  <c r="I10"/>
  <c r="K10"/>
  <c r="P10"/>
  <c r="R10"/>
  <c r="W10"/>
  <c r="AD10"/>
  <c r="AF10"/>
  <c r="AK10"/>
  <c r="AM10"/>
  <c r="AR10"/>
  <c r="AT10"/>
  <c r="AY10"/>
  <c r="BF10"/>
  <c r="BH10"/>
  <c r="BM10"/>
  <c r="BO10"/>
  <c r="BT10"/>
  <c r="BV10"/>
  <c r="B11"/>
  <c r="I11"/>
  <c r="K11"/>
  <c r="P11"/>
  <c r="R11"/>
  <c r="W11"/>
  <c r="Y11"/>
  <c r="AD11"/>
  <c r="AK11"/>
  <c r="AM11"/>
  <c r="AR11"/>
  <c r="AT11"/>
  <c r="AY11"/>
  <c r="BA11"/>
  <c r="BF11"/>
  <c r="BM11"/>
  <c r="BO11"/>
  <c r="BT11"/>
  <c r="BV11"/>
  <c r="B12"/>
  <c r="D12"/>
  <c r="I12"/>
  <c r="P12"/>
  <c r="R12"/>
  <c r="W12"/>
  <c r="Y12"/>
  <c r="AD12"/>
  <c r="AF12"/>
  <c r="AK12"/>
  <c r="AR12"/>
  <c r="AT12"/>
  <c r="AY12"/>
  <c r="BA12"/>
  <c r="BF12"/>
  <c r="BH12"/>
  <c r="BM12"/>
  <c r="BT12"/>
  <c r="BV12"/>
  <c r="B13"/>
  <c r="D13"/>
  <c r="I13"/>
  <c r="K13"/>
  <c r="P13"/>
  <c r="W13"/>
  <c r="Y13"/>
  <c r="AD13"/>
  <c r="AF13"/>
  <c r="AK13"/>
  <c r="AM13"/>
  <c r="AR13"/>
  <c r="AY13"/>
  <c r="BA13"/>
  <c r="BF13"/>
  <c r="BH13"/>
  <c r="BM13"/>
  <c r="BO13"/>
  <c r="BT13"/>
  <c r="B14"/>
  <c r="D14"/>
  <c r="I14"/>
  <c r="K14"/>
  <c r="P14"/>
  <c r="R14"/>
  <c r="W14"/>
  <c r="AD14"/>
  <c r="AF14"/>
  <c r="AK14"/>
  <c r="AM14"/>
  <c r="AR14"/>
  <c r="AT14"/>
  <c r="AY14"/>
  <c r="BF14"/>
  <c r="BH14"/>
  <c r="BM14"/>
  <c r="BO14"/>
  <c r="BT14"/>
  <c r="BV14"/>
  <c r="B15"/>
  <c r="I15"/>
  <c r="K15"/>
  <c r="P15"/>
  <c r="R15"/>
  <c r="W15"/>
  <c r="Y15"/>
  <c r="AD15"/>
  <c r="AK15"/>
  <c r="AM15"/>
  <c r="AR15"/>
  <c r="AT15"/>
  <c r="AY15"/>
  <c r="BA15"/>
  <c r="BF15"/>
  <c r="BM15"/>
  <c r="BO15"/>
  <c r="BT15"/>
  <c r="BV15"/>
  <c r="B16"/>
  <c r="D16"/>
  <c r="I16"/>
  <c r="P16"/>
  <c r="R16"/>
  <c r="W16"/>
  <c r="Y16"/>
  <c r="AD16"/>
  <c r="AF16"/>
  <c r="AK16"/>
  <c r="AR16"/>
  <c r="AT16"/>
  <c r="AY16"/>
  <c r="BA16"/>
  <c r="BF16"/>
  <c r="BH16"/>
  <c r="BM16"/>
  <c r="BT16"/>
  <c r="BV16"/>
  <c r="B17"/>
  <c r="D17"/>
  <c r="I17"/>
  <c r="K17"/>
  <c r="P17"/>
  <c r="W17"/>
  <c r="Y17"/>
  <c r="AD17"/>
  <c r="AF17"/>
  <c r="AK17"/>
  <c r="AM17"/>
  <c r="AR17"/>
  <c r="AY17"/>
  <c r="BA17"/>
  <c r="BF17"/>
  <c r="BH17"/>
  <c r="BM17"/>
  <c r="BO17"/>
  <c r="BT17"/>
  <c r="B19"/>
  <c r="D19"/>
  <c r="I19"/>
  <c r="K19"/>
  <c r="P19"/>
  <c r="R19"/>
  <c r="W19"/>
  <c r="AD19"/>
  <c r="AF19"/>
  <c r="AK19"/>
  <c r="AM19"/>
  <c r="AR19"/>
  <c r="AT19"/>
  <c r="AY19"/>
  <c r="BF19"/>
  <c r="BH19"/>
  <c r="BM19"/>
  <c r="BO19"/>
  <c r="BT19"/>
  <c r="BV19"/>
  <c r="B20"/>
  <c r="I4" i="171" s="1"/>
  <c r="I20" i="29"/>
  <c r="K20"/>
  <c r="P20"/>
  <c r="R20"/>
  <c r="W20"/>
  <c r="Y20"/>
  <c r="AD20"/>
  <c r="AK20"/>
  <c r="AM20"/>
  <c r="AR20"/>
  <c r="AT20"/>
  <c r="AY20"/>
  <c r="BA20"/>
  <c r="BF20"/>
  <c r="BM20"/>
  <c r="BO20"/>
  <c r="BT20"/>
  <c r="BV20"/>
  <c r="B21"/>
  <c r="I5" i="171" s="1"/>
  <c r="D21" i="29"/>
  <c r="K5" i="171" s="1"/>
  <c r="I21" i="29"/>
  <c r="P21"/>
  <c r="R21"/>
  <c r="W21"/>
  <c r="Y21"/>
  <c r="AD21"/>
  <c r="AF21"/>
  <c r="AK21"/>
  <c r="AR21"/>
  <c r="AT21"/>
  <c r="AY21"/>
  <c r="BA21"/>
  <c r="BF21"/>
  <c r="BH21"/>
  <c r="BM21"/>
  <c r="BT21"/>
  <c r="BV21"/>
  <c r="B22"/>
  <c r="I6" i="171" s="1"/>
  <c r="D22" i="29"/>
  <c r="K6" i="171" s="1"/>
  <c r="I22" i="29"/>
  <c r="K22"/>
  <c r="P22"/>
  <c r="W22"/>
  <c r="Y22"/>
  <c r="AD22"/>
  <c r="AF22"/>
  <c r="AK22"/>
  <c r="AM22"/>
  <c r="AR22"/>
  <c r="AY22"/>
  <c r="BA22"/>
  <c r="BF22"/>
  <c r="BH22"/>
  <c r="BM22"/>
  <c r="BO22"/>
  <c r="BT22"/>
  <c r="B23"/>
  <c r="I7" i="171" s="1"/>
  <c r="D23" i="29"/>
  <c r="K7" i="171" s="1"/>
  <c r="I23" i="29"/>
  <c r="K23"/>
  <c r="P23"/>
  <c r="R23"/>
  <c r="W23"/>
  <c r="AD23"/>
  <c r="AF23"/>
  <c r="AK23"/>
  <c r="AM23"/>
  <c r="AR23"/>
  <c r="AT23"/>
  <c r="AY23"/>
  <c r="BF23"/>
  <c r="BH23"/>
  <c r="BM23"/>
  <c r="BO23"/>
  <c r="BT23"/>
  <c r="BV23"/>
  <c r="B24"/>
  <c r="I8" i="171" s="1"/>
  <c r="I24" i="29"/>
  <c r="K24"/>
  <c r="P24"/>
  <c r="R24"/>
  <c r="W24"/>
  <c r="Y24"/>
  <c r="AD24"/>
  <c r="AK24"/>
  <c r="AM24"/>
  <c r="AR24"/>
  <c r="AT24"/>
  <c r="AY24"/>
  <c r="BA24"/>
  <c r="BF24"/>
  <c r="BM24"/>
  <c r="BO24"/>
  <c r="BT24"/>
  <c r="BV24"/>
  <c r="B25"/>
  <c r="I9" i="171" s="1"/>
  <c r="D25" i="29"/>
  <c r="K9" i="171" s="1"/>
  <c r="I25" i="29"/>
  <c r="P25"/>
  <c r="R25"/>
  <c r="W25"/>
  <c r="Y25"/>
  <c r="AD25"/>
  <c r="AF25"/>
  <c r="AK25"/>
  <c r="AR25"/>
  <c r="AT25"/>
  <c r="AY25"/>
  <c r="BA25"/>
  <c r="BF25"/>
  <c r="BH25"/>
  <c r="BM25"/>
  <c r="BT25"/>
  <c r="BV25"/>
  <c r="B26"/>
  <c r="I10" i="171" s="1"/>
  <c r="D26" i="29"/>
  <c r="K10" i="171" s="1"/>
  <c r="I26" i="29"/>
  <c r="K26"/>
  <c r="P26"/>
  <c r="W26"/>
  <c r="Y26"/>
  <c r="AD26"/>
  <c r="AF26"/>
  <c r="AK26"/>
  <c r="AM26"/>
  <c r="AR26"/>
  <c r="AY26"/>
  <c r="BA26"/>
  <c r="BF26"/>
  <c r="BH26"/>
  <c r="BM26"/>
  <c r="BO26"/>
  <c r="BT26"/>
  <c r="B27"/>
  <c r="I11" i="171" s="1"/>
  <c r="D27" i="29"/>
  <c r="K11" i="171" s="1"/>
  <c r="I27" i="29"/>
  <c r="K27"/>
  <c r="P27"/>
  <c r="R27"/>
  <c r="W27"/>
  <c r="AD27"/>
  <c r="AF27"/>
  <c r="AK27"/>
  <c r="AM27"/>
  <c r="AR27"/>
  <c r="AT27"/>
  <c r="AY27"/>
  <c r="BF27"/>
  <c r="BH27"/>
  <c r="BM27"/>
  <c r="BO27"/>
  <c r="BT27"/>
  <c r="BV27"/>
  <c r="B28"/>
  <c r="I12" i="171" s="1"/>
  <c r="I28" i="29"/>
  <c r="K28"/>
  <c r="L28"/>
  <c r="P28"/>
  <c r="R28"/>
  <c r="S28"/>
  <c r="W28"/>
  <c r="Y28"/>
  <c r="AD28"/>
  <c r="AK28"/>
  <c r="AM28"/>
  <c r="AN28"/>
  <c r="AR28"/>
  <c r="AT28"/>
  <c r="AU28"/>
  <c r="AY28"/>
  <c r="BA28"/>
  <c r="BF28"/>
  <c r="BM28"/>
  <c r="BO28"/>
  <c r="BP28"/>
  <c r="BT28"/>
  <c r="BV28"/>
  <c r="BW28"/>
  <c r="B29"/>
  <c r="I13" i="171" s="1"/>
  <c r="D29" i="29"/>
  <c r="K13" i="171" s="1"/>
  <c r="E29" i="29"/>
  <c r="J13" i="171" s="1"/>
  <c r="I29" i="29"/>
  <c r="P29"/>
  <c r="R29"/>
  <c r="W29"/>
  <c r="Y29"/>
  <c r="Z29"/>
  <c r="AD29"/>
  <c r="AF29"/>
  <c r="AG29"/>
  <c r="AK29"/>
  <c r="AR29"/>
  <c r="AT29"/>
  <c r="AY29"/>
  <c r="BA29"/>
  <c r="BB29"/>
  <c r="BF29"/>
  <c r="BH29"/>
  <c r="BI29"/>
  <c r="BM29"/>
  <c r="BT29"/>
  <c r="BV29"/>
  <c r="B30"/>
  <c r="I14" i="171" s="1"/>
  <c r="D30" i="29"/>
  <c r="K14" i="171" s="1"/>
  <c r="E30" i="29"/>
  <c r="J14" i="171" s="1"/>
  <c r="I30" i="29"/>
  <c r="K30"/>
  <c r="L30"/>
  <c r="P30"/>
  <c r="W30"/>
  <c r="Y30"/>
  <c r="AD30"/>
  <c r="AF30"/>
  <c r="AG30"/>
  <c r="AK30"/>
  <c r="AM30"/>
  <c r="AN30"/>
  <c r="AR30"/>
  <c r="AY30"/>
  <c r="BA30"/>
  <c r="BF30"/>
  <c r="BH30"/>
  <c r="BI30"/>
  <c r="BM30"/>
  <c r="BO30"/>
  <c r="BP30"/>
  <c r="BT30"/>
  <c r="B31"/>
  <c r="I15" i="171" s="1"/>
  <c r="D31" i="29"/>
  <c r="K15" i="171" s="1"/>
  <c r="I31" i="29"/>
  <c r="K31"/>
  <c r="L31"/>
  <c r="P31"/>
  <c r="R31"/>
  <c r="S31"/>
  <c r="W31"/>
  <c r="AD31"/>
  <c r="AF31"/>
  <c r="AK31"/>
  <c r="AM31"/>
  <c r="AN31"/>
  <c r="AR31"/>
  <c r="AT31"/>
  <c r="AU31"/>
  <c r="AY31"/>
  <c r="BF31"/>
  <c r="BH31"/>
  <c r="BM31"/>
  <c r="BO31"/>
  <c r="BP31"/>
  <c r="BT31"/>
  <c r="BV31"/>
  <c r="BW31"/>
  <c r="B32"/>
  <c r="I16" i="171" s="1"/>
  <c r="I32" i="29"/>
  <c r="K32"/>
  <c r="P32"/>
  <c r="R32"/>
  <c r="S32"/>
  <c r="W32"/>
  <c r="Y32"/>
  <c r="Z32"/>
  <c r="AD32"/>
  <c r="AK32"/>
  <c r="AM32"/>
  <c r="AR32"/>
  <c r="AT32"/>
  <c r="AU32"/>
  <c r="AY32"/>
  <c r="BA32"/>
  <c r="BB32"/>
  <c r="BF32"/>
  <c r="BM32"/>
  <c r="BO32"/>
  <c r="BT32"/>
  <c r="BV32"/>
  <c r="BW32"/>
  <c r="B33"/>
  <c r="I17" i="171" s="1"/>
  <c r="D33" i="29"/>
  <c r="K17" i="171" s="1"/>
  <c r="E33" i="29"/>
  <c r="J17" i="171" s="1"/>
  <c r="I33" i="29"/>
  <c r="P33"/>
  <c r="R33"/>
  <c r="W33"/>
  <c r="Y33"/>
  <c r="Z33"/>
  <c r="AD33"/>
  <c r="AF33"/>
  <c r="AG33"/>
  <c r="AK33"/>
  <c r="AR33"/>
  <c r="AT33"/>
  <c r="AY33"/>
  <c r="BA33"/>
  <c r="BB33"/>
  <c r="BF33"/>
  <c r="BH33"/>
  <c r="BI33"/>
  <c r="BM33"/>
  <c r="BT33"/>
  <c r="BV33"/>
  <c r="B34"/>
  <c r="I18" i="171" s="1"/>
  <c r="D34" i="29"/>
  <c r="K18" i="171" s="1"/>
  <c r="E34" i="29"/>
  <c r="J18" i="171" s="1"/>
  <c r="I34" i="29"/>
  <c r="K34"/>
  <c r="L34"/>
  <c r="P34"/>
  <c r="W34"/>
  <c r="Y34"/>
  <c r="AD34"/>
  <c r="AF34"/>
  <c r="AG34"/>
  <c r="AK34"/>
  <c r="AM34"/>
  <c r="AN34"/>
  <c r="AR34"/>
  <c r="AY34"/>
  <c r="BA34"/>
  <c r="BF34"/>
  <c r="BH34"/>
  <c r="BI34"/>
  <c r="BM34"/>
  <c r="BO34"/>
  <c r="BP34"/>
  <c r="BT34"/>
  <c r="B35"/>
  <c r="I19" i="171" s="1"/>
  <c r="D35" i="29"/>
  <c r="K19" i="171" s="1"/>
  <c r="I35" i="29"/>
  <c r="K35"/>
  <c r="L35"/>
  <c r="P35"/>
  <c r="R35"/>
  <c r="S35"/>
  <c r="W35"/>
  <c r="AD35"/>
  <c r="AF35"/>
  <c r="AK35"/>
  <c r="AM35"/>
  <c r="AN35"/>
  <c r="AR35"/>
  <c r="AT35"/>
  <c r="AU35"/>
  <c r="AY35"/>
  <c r="BF35"/>
  <c r="BH35"/>
  <c r="BM35"/>
  <c r="BO35"/>
  <c r="BP35"/>
  <c r="BT35"/>
  <c r="BV35"/>
  <c r="BW35"/>
  <c r="B36"/>
  <c r="I20" i="171" s="1"/>
  <c r="I36" i="29"/>
  <c r="K36"/>
  <c r="P36"/>
  <c r="R36"/>
  <c r="S36"/>
  <c r="W36"/>
  <c r="Y36"/>
  <c r="Z36"/>
  <c r="AD36"/>
  <c r="AK36"/>
  <c r="AM36"/>
  <c r="AR36"/>
  <c r="AT36"/>
  <c r="AU36"/>
  <c r="AY36"/>
  <c r="BA36"/>
  <c r="BB36"/>
  <c r="BF36"/>
  <c r="BM36"/>
  <c r="BO36"/>
  <c r="BT36"/>
  <c r="BV36"/>
  <c r="BW36"/>
  <c r="B37"/>
  <c r="I21" i="171" s="1"/>
  <c r="D37" i="29"/>
  <c r="K21" i="171" s="1"/>
  <c r="E37" i="29"/>
  <c r="J21" i="171" s="1"/>
  <c r="I37" i="29"/>
  <c r="P37"/>
  <c r="R37"/>
  <c r="W37"/>
  <c r="Y37"/>
  <c r="Z37"/>
  <c r="AD37"/>
  <c r="AF37"/>
  <c r="AG37"/>
  <c r="AK37"/>
  <c r="AR37"/>
  <c r="AT37"/>
  <c r="AY37"/>
  <c r="BA37"/>
  <c r="BB37"/>
  <c r="BF37"/>
  <c r="BH37"/>
  <c r="BI37"/>
  <c r="BM37"/>
  <c r="BT37"/>
  <c r="BV37"/>
  <c r="B38"/>
  <c r="I22" i="171" s="1"/>
  <c r="D38" i="29"/>
  <c r="K22" i="171" s="1"/>
  <c r="E38" i="29"/>
  <c r="J22" i="171" s="1"/>
  <c r="I38" i="29"/>
  <c r="K38"/>
  <c r="L38"/>
  <c r="P38"/>
  <c r="W38"/>
  <c r="Y38"/>
  <c r="AD38"/>
  <c r="AF38"/>
  <c r="AG38"/>
  <c r="AK38"/>
  <c r="AM38"/>
  <c r="AN38"/>
  <c r="AR38"/>
  <c r="AY38"/>
  <c r="BA38"/>
  <c r="BF38"/>
  <c r="BH38"/>
  <c r="BI38"/>
  <c r="BM38"/>
  <c r="BO38"/>
  <c r="BP38"/>
  <c r="BT38"/>
  <c r="B39"/>
  <c r="I23" i="171" s="1"/>
  <c r="D39" i="29"/>
  <c r="K23" i="171" s="1"/>
  <c r="I39" i="29"/>
  <c r="K39"/>
  <c r="L39"/>
  <c r="P39"/>
  <c r="R39"/>
  <c r="S39"/>
  <c r="W39"/>
  <c r="AD39"/>
  <c r="AF39"/>
  <c r="AK39"/>
  <c r="AM39"/>
  <c r="AN39"/>
  <c r="AR39"/>
  <c r="AT39"/>
  <c r="AU39"/>
  <c r="AY39"/>
  <c r="BF39"/>
  <c r="BH39"/>
  <c r="BM39"/>
  <c r="BO39"/>
  <c r="BP39"/>
  <c r="BT39"/>
  <c r="BV39"/>
  <c r="BW39"/>
  <c r="B40"/>
  <c r="I24" i="171" s="1"/>
  <c r="I40" i="29"/>
  <c r="K40"/>
  <c r="P40"/>
  <c r="R40"/>
  <c r="S40"/>
  <c r="W40"/>
  <c r="Y40"/>
  <c r="Z40"/>
  <c r="AD40"/>
  <c r="AK40"/>
  <c r="AM40"/>
  <c r="AR40"/>
  <c r="AT40"/>
  <c r="AU40"/>
  <c r="AY40"/>
  <c r="BA40"/>
  <c r="BB40"/>
  <c r="BC40" s="1"/>
  <c r="BF40"/>
  <c r="BM40"/>
  <c r="BO40"/>
  <c r="BT40"/>
  <c r="BV40"/>
  <c r="BW40"/>
  <c r="B41"/>
  <c r="I25" i="171" s="1"/>
  <c r="D41" i="29"/>
  <c r="K25" i="171" s="1"/>
  <c r="E41" i="29"/>
  <c r="I41"/>
  <c r="P41"/>
  <c r="R41"/>
  <c r="W41"/>
  <c r="Y41"/>
  <c r="Z41"/>
  <c r="AD41"/>
  <c r="AF41"/>
  <c r="AG41"/>
  <c r="AH41" s="1"/>
  <c r="AK41"/>
  <c r="AR41"/>
  <c r="AT41"/>
  <c r="AY41"/>
  <c r="BA41"/>
  <c r="BB41"/>
  <c r="BF41"/>
  <c r="BH41"/>
  <c r="BI41"/>
  <c r="BM41"/>
  <c r="BT41"/>
  <c r="BV41"/>
  <c r="B42"/>
  <c r="I26" i="171" s="1"/>
  <c r="D42" i="29"/>
  <c r="K26" i="171" s="1"/>
  <c r="E42" i="29"/>
  <c r="J26" i="171" s="1"/>
  <c r="I42" i="29"/>
  <c r="K42"/>
  <c r="L42"/>
  <c r="M42" s="1"/>
  <c r="P42"/>
  <c r="W42"/>
  <c r="Y42"/>
  <c r="AD42"/>
  <c r="AF42"/>
  <c r="AG42"/>
  <c r="AK42"/>
  <c r="AM42"/>
  <c r="AN42"/>
  <c r="AR42"/>
  <c r="AY42"/>
  <c r="BA42"/>
  <c r="BF42"/>
  <c r="BH42"/>
  <c r="BI42"/>
  <c r="BM42"/>
  <c r="BO42"/>
  <c r="BP42"/>
  <c r="BQ42" s="1"/>
  <c r="BT42"/>
  <c r="B43"/>
  <c r="I27" i="171" s="1"/>
  <c r="D43" i="29"/>
  <c r="K27" i="171" s="1"/>
  <c r="I43" i="29"/>
  <c r="K43"/>
  <c r="L43"/>
  <c r="P43"/>
  <c r="R43"/>
  <c r="S43"/>
  <c r="W43"/>
  <c r="AD43"/>
  <c r="AF43"/>
  <c r="AK43"/>
  <c r="AM43"/>
  <c r="AN43"/>
  <c r="AR43"/>
  <c r="AT43"/>
  <c r="AU43"/>
  <c r="AV43" s="1"/>
  <c r="AY43"/>
  <c r="BF43"/>
  <c r="BH43"/>
  <c r="BM43"/>
  <c r="BO43"/>
  <c r="BP43"/>
  <c r="BT43"/>
  <c r="BV43"/>
  <c r="BW43"/>
  <c r="B44"/>
  <c r="I28" i="171" s="1"/>
  <c r="I44" i="29"/>
  <c r="K44"/>
  <c r="P44"/>
  <c r="R44"/>
  <c r="S44"/>
  <c r="W44"/>
  <c r="Y44"/>
  <c r="Z44"/>
  <c r="AA44" s="1"/>
  <c r="AD44"/>
  <c r="AK44"/>
  <c r="AM44"/>
  <c r="AR44"/>
  <c r="AT44"/>
  <c r="AU44"/>
  <c r="AY44"/>
  <c r="BA44"/>
  <c r="BB44"/>
  <c r="BF44"/>
  <c r="BM44"/>
  <c r="BO44"/>
  <c r="BT44"/>
  <c r="BV44"/>
  <c r="BW44"/>
  <c r="B8" i="19"/>
  <c r="AP8"/>
  <c r="BJ8"/>
  <c r="CD8"/>
  <c r="L9"/>
  <c r="AF9"/>
  <c r="AZ9"/>
  <c r="CN9"/>
  <c r="L10"/>
  <c r="V10"/>
  <c r="AZ10"/>
  <c r="BJ10"/>
  <c r="CN10"/>
  <c r="CX10"/>
  <c r="B11"/>
  <c r="V11"/>
  <c r="AF11"/>
  <c r="AP11"/>
  <c r="BJ11"/>
  <c r="BT11"/>
  <c r="CX11"/>
  <c r="B12"/>
  <c r="AF12"/>
  <c r="AP12"/>
  <c r="AZ12"/>
  <c r="BT12"/>
  <c r="CD12"/>
  <c r="CN12"/>
  <c r="B13"/>
  <c r="L13"/>
  <c r="AP13"/>
  <c r="AZ13"/>
  <c r="CD13"/>
  <c r="CN13"/>
  <c r="CX13"/>
  <c r="V14"/>
  <c r="BJ14"/>
  <c r="CD14"/>
  <c r="CX14"/>
  <c r="AF15"/>
  <c r="AZ15"/>
  <c r="BT15"/>
  <c r="B16"/>
  <c r="V16"/>
  <c r="AP16"/>
  <c r="CD16"/>
  <c r="L17"/>
  <c r="AZ17"/>
  <c r="BT17"/>
  <c r="CN17"/>
  <c r="L19"/>
  <c r="V19"/>
  <c r="AF19"/>
  <c r="AP19"/>
  <c r="AZ19"/>
  <c r="CD19"/>
  <c r="J21" i="132" s="1"/>
  <c r="CN19" i="19"/>
  <c r="CX19"/>
  <c r="L20"/>
  <c r="V20"/>
  <c r="AF20"/>
  <c r="AP20"/>
  <c r="AZ20"/>
  <c r="CD20"/>
  <c r="CN20"/>
  <c r="D21"/>
  <c r="D24" i="133" s="1"/>
  <c r="E21" i="19"/>
  <c r="E24" i="133" s="1"/>
  <c r="L21" i="19"/>
  <c r="V21"/>
  <c r="AF21"/>
  <c r="AP21"/>
  <c r="AZ21"/>
  <c r="BT21"/>
  <c r="CD21"/>
  <c r="CN21"/>
  <c r="D22"/>
  <c r="D25" i="133" s="1"/>
  <c r="E22" i="19"/>
  <c r="E25" i="133" s="1"/>
  <c r="L22" i="19"/>
  <c r="V22"/>
  <c r="AF22"/>
  <c r="AP22"/>
  <c r="AZ22"/>
  <c r="BT22"/>
  <c r="CD22"/>
  <c r="CN22"/>
  <c r="CX22"/>
  <c r="DA22"/>
  <c r="E23"/>
  <c r="E26" i="133" s="1"/>
  <c r="L23" i="19"/>
  <c r="V23"/>
  <c r="Y23"/>
  <c r="AF23"/>
  <c r="AI23"/>
  <c r="AP23"/>
  <c r="AZ23"/>
  <c r="BW23"/>
  <c r="CD23"/>
  <c r="CN23"/>
  <c r="CQ23"/>
  <c r="DA23"/>
  <c r="B24"/>
  <c r="B27" i="133" s="1"/>
  <c r="L24" i="19"/>
  <c r="O24"/>
  <c r="V24"/>
  <c r="AF24"/>
  <c r="AP24"/>
  <c r="AZ24"/>
  <c r="BC24"/>
  <c r="BT24"/>
  <c r="CD24"/>
  <c r="CN24"/>
  <c r="CQ24"/>
  <c r="D25"/>
  <c r="D28" i="133" s="1"/>
  <c r="L25" i="19"/>
  <c r="O25"/>
  <c r="V25"/>
  <c r="AF25"/>
  <c r="AP25"/>
  <c r="AS25"/>
  <c r="AZ25"/>
  <c r="BC25"/>
  <c r="BW25"/>
  <c r="CD25"/>
  <c r="CN25"/>
  <c r="CQ25"/>
  <c r="B26"/>
  <c r="B29" i="133" s="1"/>
  <c r="L26" i="19"/>
  <c r="O26"/>
  <c r="V26"/>
  <c r="AF26"/>
  <c r="AI26"/>
  <c r="AP26"/>
  <c r="AZ26"/>
  <c r="BC26"/>
  <c r="BJ26"/>
  <c r="BW26"/>
  <c r="CD26"/>
  <c r="CN26"/>
  <c r="CQ26"/>
  <c r="E27"/>
  <c r="L27"/>
  <c r="O27"/>
  <c r="V27"/>
  <c r="V66" s="1"/>
  <c r="AF27"/>
  <c r="AF66" s="1"/>
  <c r="AI27"/>
  <c r="AP27"/>
  <c r="AP66" s="1"/>
  <c r="AS27"/>
  <c r="AZ27"/>
  <c r="BM27"/>
  <c r="CN27"/>
  <c r="CQ27"/>
  <c r="CX27"/>
  <c r="CX66" s="1"/>
  <c r="E28"/>
  <c r="E31" i="133" s="1"/>
  <c r="G28" i="19"/>
  <c r="L28"/>
  <c r="V28"/>
  <c r="Y28"/>
  <c r="AA28"/>
  <c r="AF28"/>
  <c r="AP28"/>
  <c r="AU28"/>
  <c r="AZ28"/>
  <c r="BW28"/>
  <c r="BY28"/>
  <c r="CN28"/>
  <c r="CQ28"/>
  <c r="CS28"/>
  <c r="DC28"/>
  <c r="B29"/>
  <c r="B32" i="133" s="1"/>
  <c r="D29" i="19"/>
  <c r="D32" i="133" s="1"/>
  <c r="E29" i="19"/>
  <c r="E32" i="133" s="1"/>
  <c r="L29" i="19"/>
  <c r="Q29"/>
  <c r="V29"/>
  <c r="Y29"/>
  <c r="AF29"/>
  <c r="AI29"/>
  <c r="AP29"/>
  <c r="AU29"/>
  <c r="AZ29"/>
  <c r="BC29"/>
  <c r="BE29"/>
  <c r="BT29"/>
  <c r="BY29"/>
  <c r="CD29"/>
  <c r="CG29"/>
  <c r="CN29"/>
  <c r="CS29"/>
  <c r="CX29"/>
  <c r="B30"/>
  <c r="B33" i="133" s="1"/>
  <c r="E30" i="19"/>
  <c r="E33" i="133" s="1"/>
  <c r="L30" i="19"/>
  <c r="O30"/>
  <c r="Q30"/>
  <c r="V30"/>
  <c r="Y30"/>
  <c r="AF30"/>
  <c r="AI30"/>
  <c r="AK30"/>
  <c r="AP30"/>
  <c r="AU30"/>
  <c r="AZ30"/>
  <c r="BO30"/>
  <c r="BT30"/>
  <c r="BW30"/>
  <c r="CN30"/>
  <c r="CQ30"/>
  <c r="CS30"/>
  <c r="B31"/>
  <c r="B34" i="133" s="1"/>
  <c r="L31" i="19"/>
  <c r="O31"/>
  <c r="Q31"/>
  <c r="V31"/>
  <c r="Y31"/>
  <c r="AF31"/>
  <c r="AK31"/>
  <c r="AP31"/>
  <c r="AS31"/>
  <c r="AZ31"/>
  <c r="BJ31"/>
  <c r="BM31"/>
  <c r="BO31"/>
  <c r="BW31"/>
  <c r="BY31"/>
  <c r="CD31"/>
  <c r="CG31"/>
  <c r="CN31"/>
  <c r="CQ31"/>
  <c r="CS31"/>
  <c r="B32"/>
  <c r="B35" i="133" s="1"/>
  <c r="D32" i="19"/>
  <c r="D35" i="133" s="1"/>
  <c r="G32" i="19"/>
  <c r="L32"/>
  <c r="O32"/>
  <c r="V32"/>
  <c r="Y32"/>
  <c r="AF32"/>
  <c r="AK32"/>
  <c r="AP32"/>
  <c r="AS32"/>
  <c r="AZ32"/>
  <c r="BM32"/>
  <c r="BO32"/>
  <c r="BW32"/>
  <c r="CD32"/>
  <c r="CI32"/>
  <c r="CN32"/>
  <c r="CQ32"/>
  <c r="CS32"/>
  <c r="DC32"/>
  <c r="B33"/>
  <c r="B36" i="133" s="1"/>
  <c r="D33" i="19"/>
  <c r="D36" i="133" s="1"/>
  <c r="L33" i="19"/>
  <c r="O33"/>
  <c r="Q33"/>
  <c r="V33"/>
  <c r="Y33"/>
  <c r="AA33"/>
  <c r="AF33"/>
  <c r="AK33"/>
  <c r="AP33"/>
  <c r="AS33"/>
  <c r="AZ33"/>
  <c r="BJ33"/>
  <c r="BM33"/>
  <c r="BO33"/>
  <c r="CN33"/>
  <c r="CQ33"/>
  <c r="CS33"/>
  <c r="DA33"/>
  <c r="E34"/>
  <c r="E37" i="133" s="1"/>
  <c r="G34" i="19"/>
  <c r="L34"/>
  <c r="O34"/>
  <c r="Q34"/>
  <c r="V34"/>
  <c r="AF34"/>
  <c r="AI34"/>
  <c r="AK34"/>
  <c r="AP34"/>
  <c r="AS34"/>
  <c r="AU34"/>
  <c r="AZ34"/>
  <c r="BO34"/>
  <c r="BT34"/>
  <c r="BW34"/>
  <c r="CD34"/>
  <c r="CI34"/>
  <c r="CN34"/>
  <c r="CQ34"/>
  <c r="DA34"/>
  <c r="G35"/>
  <c r="L35"/>
  <c r="O35"/>
  <c r="V35"/>
  <c r="AA35"/>
  <c r="AF35"/>
  <c r="AK35"/>
  <c r="AP35"/>
  <c r="AS35"/>
  <c r="AZ35"/>
  <c r="BE35"/>
  <c r="BM35"/>
  <c r="BO35"/>
  <c r="BY35"/>
  <c r="CI35"/>
  <c r="CN35"/>
  <c r="CQ35"/>
  <c r="CS35"/>
  <c r="CX35"/>
  <c r="DC35"/>
  <c r="G36"/>
  <c r="L36"/>
  <c r="O36"/>
  <c r="V36"/>
  <c r="AA36"/>
  <c r="AF36"/>
  <c r="AP36"/>
  <c r="AU36"/>
  <c r="AZ36"/>
  <c r="BC36"/>
  <c r="BE36"/>
  <c r="BJ36"/>
  <c r="BY36"/>
  <c r="CI36"/>
  <c r="CN36"/>
  <c r="CQ36"/>
  <c r="DC36"/>
  <c r="D37"/>
  <c r="D40" i="133" s="1"/>
  <c r="E37" i="19"/>
  <c r="E40" i="133" s="1"/>
  <c r="G37" i="19"/>
  <c r="L37"/>
  <c r="Q37"/>
  <c r="V37"/>
  <c r="AA37"/>
  <c r="AF37"/>
  <c r="AI37"/>
  <c r="AP37"/>
  <c r="AZ37"/>
  <c r="BC37"/>
  <c r="BE37"/>
  <c r="BM37"/>
  <c r="BY37"/>
  <c r="CD37"/>
  <c r="CG37"/>
  <c r="CI37"/>
  <c r="CN37"/>
  <c r="DA37"/>
  <c r="DC37"/>
  <c r="D38"/>
  <c r="E38"/>
  <c r="L38"/>
  <c r="O38"/>
  <c r="V38"/>
  <c r="AA38"/>
  <c r="AF38"/>
  <c r="AI38"/>
  <c r="AP38"/>
  <c r="AZ38"/>
  <c r="BM38"/>
  <c r="BO38"/>
  <c r="CD38"/>
  <c r="CI38"/>
  <c r="CN38"/>
  <c r="CQ38"/>
  <c r="DA38"/>
  <c r="DC38"/>
  <c r="E39"/>
  <c r="E42" i="133" s="1"/>
  <c r="L39" i="19"/>
  <c r="O39"/>
  <c r="V39"/>
  <c r="Y39"/>
  <c r="AF39"/>
  <c r="AI39"/>
  <c r="AK39"/>
  <c r="AP39"/>
  <c r="AZ39"/>
  <c r="BC39"/>
  <c r="BE39"/>
  <c r="BM39"/>
  <c r="BT39"/>
  <c r="BY39"/>
  <c r="CN39"/>
  <c r="B40"/>
  <c r="B43" i="133" s="1"/>
  <c r="E40" i="19"/>
  <c r="E43" i="133" s="1"/>
  <c r="G40" i="19"/>
  <c r="L40"/>
  <c r="O40"/>
  <c r="V40"/>
  <c r="AA40"/>
  <c r="AF40"/>
  <c r="AI40"/>
  <c r="AP40"/>
  <c r="AU40"/>
  <c r="AZ40"/>
  <c r="BC40"/>
  <c r="BM40"/>
  <c r="BT40"/>
  <c r="BW40"/>
  <c r="CN40"/>
  <c r="CQ40"/>
  <c r="B41"/>
  <c r="B44" i="133" s="1"/>
  <c r="E41" i="19"/>
  <c r="E44" i="133" s="1"/>
  <c r="L41" i="19"/>
  <c r="Q41"/>
  <c r="V41"/>
  <c r="AF41"/>
  <c r="AI41"/>
  <c r="AK41"/>
  <c r="AP41"/>
  <c r="AZ41"/>
  <c r="BM41"/>
  <c r="BT41"/>
  <c r="BY41"/>
  <c r="CG41"/>
  <c r="CN41"/>
  <c r="CX41"/>
  <c r="E42"/>
  <c r="E45" i="133" s="1"/>
  <c r="G42" i="19"/>
  <c r="L42"/>
  <c r="O42"/>
  <c r="V42"/>
  <c r="AA42"/>
  <c r="AF42"/>
  <c r="AP42"/>
  <c r="AU42"/>
  <c r="AZ42"/>
  <c r="BC42"/>
  <c r="BT42"/>
  <c r="CD42"/>
  <c r="CI42"/>
  <c r="CN42"/>
  <c r="CQ42"/>
  <c r="B43"/>
  <c r="B46" i="133" s="1"/>
  <c r="L43" i="19"/>
  <c r="Q43"/>
  <c r="V43"/>
  <c r="Y43"/>
  <c r="AF43"/>
  <c r="AK43"/>
  <c r="AP43"/>
  <c r="AS43"/>
  <c r="AZ43"/>
  <c r="BE43"/>
  <c r="BJ43"/>
  <c r="BY43"/>
  <c r="CD43"/>
  <c r="CN43"/>
  <c r="CS43"/>
  <c r="DA43"/>
  <c r="E44"/>
  <c r="E47" i="133" s="1"/>
  <c r="G44" i="19"/>
  <c r="O8" i="58"/>
  <c r="Y8"/>
  <c r="AI8"/>
  <c r="BC8"/>
  <c r="BM8"/>
  <c r="BW8"/>
  <c r="CQ8"/>
  <c r="DA8"/>
  <c r="B19"/>
  <c r="G19"/>
  <c r="Q19"/>
  <c r="V19"/>
  <c r="AA19"/>
  <c r="AK19"/>
  <c r="AP19"/>
  <c r="AU19"/>
  <c r="BE19"/>
  <c r="BJ19"/>
  <c r="BO19"/>
  <c r="BY19"/>
  <c r="CD19"/>
  <c r="CI19"/>
  <c r="CS19"/>
  <c r="CX19"/>
  <c r="DC19"/>
  <c r="G20"/>
  <c r="L20"/>
  <c r="Q20"/>
  <c r="AA20"/>
  <c r="AF20"/>
  <c r="AK20"/>
  <c r="AP20"/>
  <c r="AU20"/>
  <c r="BE20"/>
  <c r="BJ20"/>
  <c r="BO20"/>
  <c r="BT20"/>
  <c r="BY20"/>
  <c r="CD20"/>
  <c r="CI20"/>
  <c r="CN20"/>
  <c r="CS20"/>
  <c r="CX20"/>
  <c r="DA20"/>
  <c r="DC20"/>
  <c r="G21"/>
  <c r="L21"/>
  <c r="Q21"/>
  <c r="AA21"/>
  <c r="AF21"/>
  <c r="AK21"/>
  <c r="AU21"/>
  <c r="BE21"/>
  <c r="BJ21"/>
  <c r="BO21"/>
  <c r="BT21"/>
  <c r="BY21"/>
  <c r="CD21"/>
  <c r="CI21"/>
  <c r="CN21"/>
  <c r="CS21"/>
  <c r="CX21"/>
  <c r="DC21"/>
  <c r="E22"/>
  <c r="C24" i="124" s="1"/>
  <c r="G22" i="58"/>
  <c r="L22"/>
  <c r="Q22"/>
  <c r="V22"/>
  <c r="AA22"/>
  <c r="AF22"/>
  <c r="AK22"/>
  <c r="AP22"/>
  <c r="AU22"/>
  <c r="AZ22"/>
  <c r="BE22"/>
  <c r="BJ22"/>
  <c r="BO22"/>
  <c r="BT22"/>
  <c r="BY22"/>
  <c r="CI22"/>
  <c r="CN22"/>
  <c r="CS22"/>
  <c r="CX22"/>
  <c r="DA22"/>
  <c r="DC22"/>
  <c r="G23"/>
  <c r="L23"/>
  <c r="Q23"/>
  <c r="V23"/>
  <c r="AA23"/>
  <c r="AF23"/>
  <c r="AK23"/>
  <c r="AP23"/>
  <c r="AU23"/>
  <c r="AZ23"/>
  <c r="BE23"/>
  <c r="BJ23"/>
  <c r="BO23"/>
  <c r="BT23"/>
  <c r="BY23"/>
  <c r="CI23"/>
  <c r="CN23"/>
  <c r="CS23"/>
  <c r="CX23"/>
  <c r="DA23"/>
  <c r="DC23"/>
  <c r="B24"/>
  <c r="B26" i="124" s="1"/>
  <c r="G24" i="58"/>
  <c r="Q24"/>
  <c r="V24"/>
  <c r="AA24"/>
  <c r="AK24"/>
  <c r="AP24"/>
  <c r="AU24"/>
  <c r="AZ24"/>
  <c r="BC24"/>
  <c r="BE24"/>
  <c r="BO24"/>
  <c r="BW24"/>
  <c r="BY24"/>
  <c r="CI24"/>
  <c r="CN24"/>
  <c r="CS24"/>
  <c r="CX24"/>
  <c r="DC24"/>
  <c r="B25"/>
  <c r="B27" i="124" s="1"/>
  <c r="G25" i="58"/>
  <c r="Q25"/>
  <c r="V25"/>
  <c r="AA25"/>
  <c r="AI25"/>
  <c r="AK25"/>
  <c r="AP25"/>
  <c r="AU25"/>
  <c r="BE25"/>
  <c r="BJ25"/>
  <c r="BO25"/>
  <c r="BW25"/>
  <c r="BY25"/>
  <c r="CI25"/>
  <c r="CN25"/>
  <c r="CS25"/>
  <c r="CX25"/>
  <c r="DC25"/>
  <c r="B26"/>
  <c r="B28" i="124" s="1"/>
  <c r="E26" i="58"/>
  <c r="C28" i="124" s="1"/>
  <c r="G26" i="58"/>
  <c r="Q26"/>
  <c r="V26"/>
  <c r="AA26"/>
  <c r="AK26"/>
  <c r="AP26"/>
  <c r="AU26"/>
  <c r="BC26"/>
  <c r="BE26"/>
  <c r="BJ26"/>
  <c r="BO26"/>
  <c r="BT26"/>
  <c r="BY26"/>
  <c r="CD26"/>
  <c r="CI26"/>
  <c r="CS26"/>
  <c r="DA26"/>
  <c r="DC26"/>
  <c r="G27"/>
  <c r="L27"/>
  <c r="Q27"/>
  <c r="V27"/>
  <c r="AA27"/>
  <c r="AF27"/>
  <c r="AK27"/>
  <c r="AP27"/>
  <c r="AU27"/>
  <c r="BE27"/>
  <c r="BJ27"/>
  <c r="BJ66" s="1"/>
  <c r="BO27"/>
  <c r="BY27"/>
  <c r="CI27"/>
  <c r="CN27"/>
  <c r="CS27"/>
  <c r="DC27"/>
  <c r="B28"/>
  <c r="B30" i="124" s="1"/>
  <c r="G28" i="58"/>
  <c r="L28"/>
  <c r="Q28"/>
  <c r="AA28"/>
  <c r="AF28"/>
  <c r="AK28"/>
  <c r="AU28"/>
  <c r="AZ28"/>
  <c r="BE28"/>
  <c r="BO28"/>
  <c r="BW28"/>
  <c r="BY28"/>
  <c r="CI28"/>
  <c r="CN28"/>
  <c r="CS28"/>
  <c r="CX28"/>
  <c r="DA28"/>
  <c r="DC28"/>
  <c r="E29"/>
  <c r="C31" i="124" s="1"/>
  <c r="G29" i="58"/>
  <c r="L29"/>
  <c r="Q29"/>
  <c r="V29"/>
  <c r="AA29"/>
  <c r="AF29"/>
  <c r="AK29"/>
  <c r="AP29"/>
  <c r="AU29"/>
  <c r="AZ29"/>
  <c r="BE29"/>
  <c r="BJ29"/>
  <c r="BO29"/>
  <c r="BW29"/>
  <c r="BY29"/>
  <c r="CI29"/>
  <c r="CN29"/>
  <c r="CS29"/>
  <c r="CX29"/>
  <c r="DC29"/>
  <c r="B30"/>
  <c r="B32" i="124" s="1"/>
  <c r="E30" i="58"/>
  <c r="C32" i="124" s="1"/>
  <c r="G30" i="58"/>
  <c r="Q30"/>
  <c r="V30"/>
  <c r="AA30"/>
  <c r="AK30"/>
  <c r="AP30"/>
  <c r="AU30"/>
  <c r="AZ30"/>
  <c r="BE30"/>
  <c r="BJ30"/>
  <c r="BO30"/>
  <c r="BT30"/>
  <c r="BY30"/>
  <c r="CD30"/>
  <c r="CG30"/>
  <c r="CI30"/>
  <c r="CQ30"/>
  <c r="CS30"/>
  <c r="DC30"/>
  <c r="B31"/>
  <c r="B33" i="124" s="1"/>
  <c r="G31" i="58"/>
  <c r="Q31"/>
  <c r="V31"/>
  <c r="AA31"/>
  <c r="AK31"/>
  <c r="AP31"/>
  <c r="AU31"/>
  <c r="BE31"/>
  <c r="BJ31"/>
  <c r="BO31"/>
  <c r="BT31"/>
  <c r="BY31"/>
  <c r="CI31"/>
  <c r="CN31"/>
  <c r="CS31"/>
  <c r="DC31"/>
  <c r="B32"/>
  <c r="B34" i="124" s="1"/>
  <c r="G32" i="58"/>
  <c r="Q32"/>
  <c r="V32"/>
  <c r="AA32"/>
  <c r="AK32"/>
  <c r="AP32"/>
  <c r="AU32"/>
  <c r="BE32"/>
  <c r="BJ32"/>
  <c r="BO32"/>
  <c r="BY32"/>
  <c r="CD32"/>
  <c r="CI32"/>
  <c r="CN32"/>
  <c r="CS32"/>
  <c r="CX32"/>
  <c r="DC32"/>
  <c r="G33"/>
  <c r="L33"/>
  <c r="Q33"/>
  <c r="AA33"/>
  <c r="AF33"/>
  <c r="AK33"/>
  <c r="AU33"/>
  <c r="AZ33"/>
  <c r="BE33"/>
  <c r="BJ33"/>
  <c r="BO33"/>
  <c r="BT33"/>
  <c r="BY33"/>
  <c r="CI33"/>
  <c r="CN33"/>
  <c r="CS33"/>
  <c r="CX33"/>
  <c r="DC33"/>
  <c r="B34"/>
  <c r="B36" i="124" s="1"/>
  <c r="G34" i="58"/>
  <c r="L34"/>
  <c r="Q34"/>
  <c r="V34"/>
  <c r="AA34"/>
  <c r="AF34"/>
  <c r="AK34"/>
  <c r="AP34"/>
  <c r="AR34"/>
  <c r="AU34"/>
  <c r="AZ34"/>
  <c r="BE34"/>
  <c r="BJ34"/>
  <c r="BO34"/>
  <c r="BT34"/>
  <c r="BY34"/>
  <c r="CD34"/>
  <c r="CI34"/>
  <c r="CN34"/>
  <c r="CS34"/>
  <c r="DC34"/>
  <c r="B35"/>
  <c r="B37" i="124" s="1"/>
  <c r="G35" i="58"/>
  <c r="L35"/>
  <c r="Q35"/>
  <c r="V35"/>
  <c r="AA35"/>
  <c r="AF35"/>
  <c r="AK35"/>
  <c r="AP35"/>
  <c r="AU35"/>
  <c r="BE35"/>
  <c r="BJ35"/>
  <c r="BO35"/>
  <c r="BY35"/>
  <c r="CD35"/>
  <c r="CI35"/>
  <c r="CN35"/>
  <c r="CS35"/>
  <c r="DC35"/>
  <c r="G36"/>
  <c r="L36"/>
  <c r="Q36"/>
  <c r="AA36"/>
  <c r="AF36"/>
  <c r="AK36"/>
  <c r="AU36"/>
  <c r="BE36"/>
  <c r="BJ36"/>
  <c r="BO36"/>
  <c r="BT36"/>
  <c r="BY36"/>
  <c r="CI36"/>
  <c r="CN36"/>
  <c r="CS36"/>
  <c r="CX36"/>
  <c r="DC36"/>
  <c r="B37"/>
  <c r="B39" i="124" s="1"/>
  <c r="G37" i="58"/>
  <c r="Q37"/>
  <c r="V37"/>
  <c r="AA37"/>
  <c r="AH37"/>
  <c r="AK37"/>
  <c r="AP37"/>
  <c r="AU37"/>
  <c r="AZ37"/>
  <c r="BE37"/>
  <c r="BJ37"/>
  <c r="BO37"/>
  <c r="BY37"/>
  <c r="CI37"/>
  <c r="CN37"/>
  <c r="CS37"/>
  <c r="CX37"/>
  <c r="DC37"/>
  <c r="G38"/>
  <c r="L38"/>
  <c r="Q38"/>
  <c r="X38"/>
  <c r="AA38"/>
  <c r="AF38"/>
  <c r="AK38"/>
  <c r="AP38"/>
  <c r="AU38"/>
  <c r="AZ38"/>
  <c r="BE38"/>
  <c r="BJ38"/>
  <c r="BO38"/>
  <c r="BT38"/>
  <c r="BY38"/>
  <c r="CD38"/>
  <c r="CI38"/>
  <c r="CS38"/>
  <c r="DC38"/>
  <c r="B39"/>
  <c r="B41" i="124" s="1"/>
  <c r="G39" i="58"/>
  <c r="L39"/>
  <c r="Q39"/>
  <c r="V39"/>
  <c r="AA39"/>
  <c r="AK39"/>
  <c r="AP39"/>
  <c r="AU39"/>
  <c r="BE39"/>
  <c r="BJ39"/>
  <c r="BO39"/>
  <c r="BY39"/>
  <c r="CI39"/>
  <c r="CS39"/>
  <c r="CX39"/>
  <c r="DC39"/>
  <c r="B40"/>
  <c r="B42" i="124" s="1"/>
  <c r="G40" i="58"/>
  <c r="L40"/>
  <c r="Q40"/>
  <c r="V40"/>
  <c r="AA40"/>
  <c r="AF40"/>
  <c r="AK40"/>
  <c r="AU40"/>
  <c r="AZ40"/>
  <c r="BE40"/>
  <c r="BO40"/>
  <c r="BT40"/>
  <c r="BY40"/>
  <c r="CI40"/>
  <c r="CN40"/>
  <c r="CS40"/>
  <c r="CX40"/>
  <c r="DC40"/>
  <c r="B41"/>
  <c r="B43" i="124" s="1"/>
  <c r="G41" i="58"/>
  <c r="L41"/>
  <c r="Q41"/>
  <c r="V41"/>
  <c r="AA41"/>
  <c r="AK41"/>
  <c r="AP41"/>
  <c r="AU41"/>
  <c r="AZ41"/>
  <c r="BE41"/>
  <c r="BJ41"/>
  <c r="BO41"/>
  <c r="BT41"/>
  <c r="BY41"/>
  <c r="CI41"/>
  <c r="CN41"/>
  <c r="CS41"/>
  <c r="CX41"/>
  <c r="DC41"/>
  <c r="G42"/>
  <c r="L42"/>
  <c r="Q42"/>
  <c r="AA42"/>
  <c r="AK42"/>
  <c r="AP42"/>
  <c r="AU42"/>
  <c r="AZ42"/>
  <c r="BE42"/>
  <c r="BJ42"/>
  <c r="BO42"/>
  <c r="BT42"/>
  <c r="BY42"/>
  <c r="CD42"/>
  <c r="CI42"/>
  <c r="CS42"/>
  <c r="DC42"/>
  <c r="B43"/>
  <c r="B45" i="124" s="1"/>
  <c r="D43" i="58"/>
  <c r="D45" i="124" s="1"/>
  <c r="G43" i="58"/>
  <c r="L43"/>
  <c r="Q43"/>
  <c r="V43"/>
  <c r="AA43"/>
  <c r="AK43"/>
  <c r="AP43"/>
  <c r="AR43"/>
  <c r="AU43"/>
  <c r="BE43"/>
  <c r="BO43"/>
  <c r="BT43"/>
  <c r="BY43"/>
  <c r="CD43"/>
  <c r="CF43"/>
  <c r="CI43"/>
  <c r="CN43"/>
  <c r="CS43"/>
  <c r="DC43"/>
  <c r="D44"/>
  <c r="D46" i="124" s="1"/>
  <c r="G44" i="58"/>
  <c r="N44"/>
  <c r="Q44"/>
  <c r="X44"/>
  <c r="AA44"/>
  <c r="AF44"/>
  <c r="AH44"/>
  <c r="AK44"/>
  <c r="AR44"/>
  <c r="AU44"/>
  <c r="BB44"/>
  <c r="BE44"/>
  <c r="BL44"/>
  <c r="BO44"/>
  <c r="BT44"/>
  <c r="BY44"/>
  <c r="CI44"/>
  <c r="CN44"/>
  <c r="CS44"/>
  <c r="CX44"/>
  <c r="DC44"/>
  <c r="U11" i="18"/>
  <c r="V11" s="1"/>
  <c r="AE10"/>
  <c r="AC10" s="1"/>
  <c r="CD45" i="2"/>
  <c r="CA45" s="1"/>
  <c r="AR42" i="37" s="1"/>
  <c r="AT45" i="2"/>
  <c r="CM44"/>
  <c r="CL44" s="1"/>
  <c r="AX41" i="37" s="1"/>
  <c r="CD44" i="2"/>
  <c r="CC44" s="1"/>
  <c r="AS41" i="37" s="1"/>
  <c r="BC44" i="2"/>
  <c r="BB44" s="1"/>
  <c r="AD41" i="37" s="1"/>
  <c r="AT44" i="2"/>
  <c r="AO44" s="1"/>
  <c r="W41" i="37" s="1"/>
  <c r="J44" i="2"/>
  <c r="CV43"/>
  <c r="CS43" s="1"/>
  <c r="BB40" i="37" s="1"/>
  <c r="CD43" i="2"/>
  <c r="CC43" s="1"/>
  <c r="AS40" i="37" s="1"/>
  <c r="BL43" i="2"/>
  <c r="AT43"/>
  <c r="AS43" s="1"/>
  <c r="Y40" i="37" s="1"/>
  <c r="AB43" i="2"/>
  <c r="J43"/>
  <c r="I43" s="1"/>
  <c r="E40" i="37" s="1"/>
  <c r="CV42" i="2"/>
  <c r="CQ42" s="1"/>
  <c r="BA39" i="37" s="1"/>
  <c r="CM42" i="2"/>
  <c r="CL42" s="1"/>
  <c r="AX39" i="37" s="1"/>
  <c r="BC42" i="2"/>
  <c r="AT42"/>
  <c r="J42"/>
  <c r="G42" s="1"/>
  <c r="D39" i="37" s="1"/>
  <c r="CV41" i="2"/>
  <c r="CU41" s="1"/>
  <c r="BC38" i="37" s="1"/>
  <c r="BL41" i="2"/>
  <c r="BK41" s="1"/>
  <c r="AI38" i="37" s="1"/>
  <c r="BC41" i="2"/>
  <c r="AX41" s="1"/>
  <c r="AB38" i="37" s="1"/>
  <c r="AT41" i="2"/>
  <c r="AS41" s="1"/>
  <c r="Y38" i="37" s="1"/>
  <c r="AB41" i="2"/>
  <c r="AA41" s="1"/>
  <c r="O38" i="37" s="1"/>
  <c r="S41" i="2"/>
  <c r="P41" s="1"/>
  <c r="I38" i="37" s="1"/>
  <c r="J41" i="2"/>
  <c r="I41" s="1"/>
  <c r="E38" i="37" s="1"/>
  <c r="CM40" i="2"/>
  <c r="CL40" s="1"/>
  <c r="AX37" i="37" s="1"/>
  <c r="BU40" i="2"/>
  <c r="BT40" s="1"/>
  <c r="AN37" i="37" s="1"/>
  <c r="BC40" i="2"/>
  <c r="AT40"/>
  <c r="AS40" s="1"/>
  <c r="Y37" i="37" s="1"/>
  <c r="AK40" i="2"/>
  <c r="AJ40" s="1"/>
  <c r="T37" i="37" s="1"/>
  <c r="J40" i="2"/>
  <c r="I40" s="1"/>
  <c r="E37" i="37" s="1"/>
  <c r="CV39" i="2"/>
  <c r="CO39" s="1"/>
  <c r="AZ36" i="37" s="1"/>
  <c r="CD39" i="2"/>
  <c r="CC39" s="1"/>
  <c r="AS36" i="37" s="1"/>
  <c r="BL39" i="2"/>
  <c r="AT39"/>
  <c r="AS39" s="1"/>
  <c r="Y36" i="37" s="1"/>
  <c r="AK39" i="2"/>
  <c r="AJ39" s="1"/>
  <c r="T36" i="37" s="1"/>
  <c r="AB39" i="2"/>
  <c r="W39" s="1"/>
  <c r="M36" i="37" s="1"/>
  <c r="J39" i="2"/>
  <c r="I39" s="1"/>
  <c r="E36" i="37" s="1"/>
  <c r="CV38" i="2"/>
  <c r="CU38" s="1"/>
  <c r="BC35" i="37" s="1"/>
  <c r="CM38" i="2"/>
  <c r="BU38"/>
  <c r="BT38" s="1"/>
  <c r="AN35" i="37" s="1"/>
  <c r="BC38" i="2"/>
  <c r="BB38" s="1"/>
  <c r="AD35" i="37" s="1"/>
  <c r="AT38" i="2"/>
  <c r="AK38"/>
  <c r="AJ38" s="1"/>
  <c r="T35" i="37" s="1"/>
  <c r="CV37" i="2"/>
  <c r="BL37"/>
  <c r="BK37" s="1"/>
  <c r="AI34" i="37" s="1"/>
  <c r="AK37" i="2"/>
  <c r="AJ37" s="1"/>
  <c r="T34" i="37" s="1"/>
  <c r="AB37" i="2"/>
  <c r="J37"/>
  <c r="I37" s="1"/>
  <c r="E34" i="37" s="1"/>
  <c r="CV36" i="2"/>
  <c r="CU36" s="1"/>
  <c r="BC33" i="37" s="1"/>
  <c r="CM36" i="2"/>
  <c r="CL36" s="1"/>
  <c r="AX33" i="37" s="1"/>
  <c r="BU36" i="2"/>
  <c r="BT36" s="1"/>
  <c r="AN33" i="37" s="1"/>
  <c r="BL36" i="2"/>
  <c r="BC36"/>
  <c r="AK36"/>
  <c r="AJ36" s="1"/>
  <c r="T33" i="37" s="1"/>
  <c r="CV35" i="2"/>
  <c r="BL35"/>
  <c r="BG35" s="1"/>
  <c r="AG32" i="37" s="1"/>
  <c r="BC35" i="2"/>
  <c r="AT35"/>
  <c r="AS35" s="1"/>
  <c r="Y32" i="37" s="1"/>
  <c r="S35" i="2"/>
  <c r="R35" s="1"/>
  <c r="J32" i="37" s="1"/>
  <c r="J35" i="2"/>
  <c r="I35" s="1"/>
  <c r="E32" i="37" s="1"/>
  <c r="CM34" i="2"/>
  <c r="BU34"/>
  <c r="BT34" s="1"/>
  <c r="AN31" i="37" s="1"/>
  <c r="BL34" i="2"/>
  <c r="BK34" s="1"/>
  <c r="AI31" i="37" s="1"/>
  <c r="BC34" i="2"/>
  <c r="BB34" s="1"/>
  <c r="AD31" i="37" s="1"/>
  <c r="AK34" i="2"/>
  <c r="CV33"/>
  <c r="CU33" s="1"/>
  <c r="BC30" i="37" s="1"/>
  <c r="CM33" i="2"/>
  <c r="BU33"/>
  <c r="BT33" s="1"/>
  <c r="AN30" i="37" s="1"/>
  <c r="BL33" i="2"/>
  <c r="BK33" s="1"/>
  <c r="AI30" i="37" s="1"/>
  <c r="AT33" i="2"/>
  <c r="AK33"/>
  <c r="AD33" s="1"/>
  <c r="Q30" i="37" s="1"/>
  <c r="AB33" i="2"/>
  <c r="AA33" s="1"/>
  <c r="O30" i="37" s="1"/>
  <c r="J33" i="2"/>
  <c r="I33" s="1"/>
  <c r="E30" i="37" s="1"/>
  <c r="CV32" i="2"/>
  <c r="CM32"/>
  <c r="CL32" s="1"/>
  <c r="AX29" i="37" s="1"/>
  <c r="BU32" i="2"/>
  <c r="BP32" s="1"/>
  <c r="AL29" i="37" s="1"/>
  <c r="BC32" i="2"/>
  <c r="BB32" s="1"/>
  <c r="AD29" i="37" s="1"/>
  <c r="AK32" i="2"/>
  <c r="AJ32" s="1"/>
  <c r="T29" i="37" s="1"/>
  <c r="I42" i="2"/>
  <c r="E39" i="37" s="1"/>
  <c r="R41" i="2"/>
  <c r="J38" i="37" s="1"/>
  <c r="AA39" i="2"/>
  <c r="O36" i="37" s="1"/>
  <c r="BK35" i="2"/>
  <c r="AI32" i="37" s="1"/>
  <c r="CL34" i="2"/>
  <c r="AX31" i="37" s="1"/>
  <c r="J32" i="2"/>
  <c r="G32" s="1"/>
  <c r="D29" i="37" s="1"/>
  <c r="CV31" i="2"/>
  <c r="CU31" s="1"/>
  <c r="BC28" i="37" s="1"/>
  <c r="BL31" i="2"/>
  <c r="BC31"/>
  <c r="AX31" s="1"/>
  <c r="AB28" i="37" s="1"/>
  <c r="AT31" i="2"/>
  <c r="AS31" s="1"/>
  <c r="Y28" i="37" s="1"/>
  <c r="J31" i="2"/>
  <c r="CM30"/>
  <c r="CL30" s="1"/>
  <c r="AX27" i="37" s="1"/>
  <c r="BU30" i="2"/>
  <c r="BC30"/>
  <c r="BB30" s="1"/>
  <c r="AD27" i="37" s="1"/>
  <c r="AK30" i="2"/>
  <c r="AB30"/>
  <c r="AA30" s="1"/>
  <c r="O27" i="37" s="1"/>
  <c r="CV29" i="2"/>
  <c r="CU29" s="1"/>
  <c r="BC26" i="37" s="1"/>
  <c r="CM29" i="2"/>
  <c r="CL29" s="1"/>
  <c r="AX26" i="37" s="1"/>
  <c r="BU29" i="2"/>
  <c r="BP29" s="1"/>
  <c r="AL26" i="37" s="1"/>
  <c r="BL29" i="2"/>
  <c r="BK29" s="1"/>
  <c r="AI26" i="37" s="1"/>
  <c r="AT29" i="2"/>
  <c r="AK29"/>
  <c r="AF29" s="1"/>
  <c r="R26" i="37" s="1"/>
  <c r="AB29" i="2"/>
  <c r="AA29" s="1"/>
  <c r="O26" i="37" s="1"/>
  <c r="J29" i="2"/>
  <c r="CM28"/>
  <c r="CL28" s="1"/>
  <c r="AX25" i="37" s="1"/>
  <c r="BU28" i="2"/>
  <c r="BT28" s="1"/>
  <c r="AN25" i="37" s="1"/>
  <c r="BL28" i="2"/>
  <c r="BC28"/>
  <c r="BB28" s="1"/>
  <c r="AD25" i="37" s="1"/>
  <c r="AK28" i="2"/>
  <c r="J28"/>
  <c r="I28" s="1"/>
  <c r="E25" i="37" s="1"/>
  <c r="CV27" i="2"/>
  <c r="CU27" s="1"/>
  <c r="BC24" i="37" s="1"/>
  <c r="BL27" i="2"/>
  <c r="BK27" s="1"/>
  <c r="AI24" i="37" s="1"/>
  <c r="AT27" i="2"/>
  <c r="AS27" s="1"/>
  <c r="Y24" i="37" s="1"/>
  <c r="AK27" i="2"/>
  <c r="AJ27" s="1"/>
  <c r="T24" i="37" s="1"/>
  <c r="J27" i="2"/>
  <c r="I27" s="1"/>
  <c r="E24" i="37" s="1"/>
  <c r="CM26" i="2"/>
  <c r="AK26"/>
  <c r="AJ26" s="1"/>
  <c r="T23" i="37" s="1"/>
  <c r="S26" i="2"/>
  <c r="R26" s="1"/>
  <c r="J23" i="37" s="1"/>
  <c r="CV25" i="2"/>
  <c r="CM25"/>
  <c r="CL25" s="1"/>
  <c r="AX22" i="37" s="1"/>
  <c r="CD25" i="2"/>
  <c r="CC25" s="1"/>
  <c r="AS22" i="37" s="1"/>
  <c r="BL25" i="2"/>
  <c r="BC25"/>
  <c r="BB25" s="1"/>
  <c r="AD22" i="37" s="1"/>
  <c r="AT25" i="2"/>
  <c r="AS25" s="1"/>
  <c r="Y22" i="37" s="1"/>
  <c r="AB25" i="2"/>
  <c r="AA25" s="1"/>
  <c r="O22" i="37" s="1"/>
  <c r="J25" i="2"/>
  <c r="I25" s="1"/>
  <c r="E22" i="37" s="1"/>
  <c r="CM24" i="2"/>
  <c r="CL24" s="1"/>
  <c r="AX21" i="37" s="1"/>
  <c r="CD24" i="2"/>
  <c r="CC24" s="1"/>
  <c r="AS21" i="37" s="1"/>
  <c r="BU24" i="2"/>
  <c r="BT24" s="1"/>
  <c r="AN21" i="37" s="1"/>
  <c r="BC24" i="2"/>
  <c r="BB24" s="1"/>
  <c r="AD21" i="37" s="1"/>
  <c r="AT24" i="2"/>
  <c r="AK24"/>
  <c r="AJ24" s="1"/>
  <c r="T21" i="37" s="1"/>
  <c r="S24" i="2"/>
  <c r="R24" s="1"/>
  <c r="J21" i="37" s="1"/>
  <c r="CV23" i="2"/>
  <c r="CD23"/>
  <c r="CC23" s="1"/>
  <c r="AS20" i="37" s="1"/>
  <c r="BU23" i="2"/>
  <c r="BT23" s="1"/>
  <c r="AN20" i="37" s="1"/>
  <c r="BL23" i="2"/>
  <c r="BK23" s="1"/>
  <c r="AI20" i="37" s="1"/>
  <c r="AT23" i="2"/>
  <c r="AS23" s="1"/>
  <c r="Y20" i="37" s="1"/>
  <c r="AK23" i="2"/>
  <c r="AJ23" s="1"/>
  <c r="T20" i="37" s="1"/>
  <c r="J23" i="2"/>
  <c r="I23" s="1"/>
  <c r="E20" i="37" s="1"/>
  <c r="CM22" i="2"/>
  <c r="CL22" s="1"/>
  <c r="AX19" i="37" s="1"/>
  <c r="CD22" i="2"/>
  <c r="BY22" s="1"/>
  <c r="AQ19" i="37" s="1"/>
  <c r="BU22" i="2"/>
  <c r="BT22" s="1"/>
  <c r="AN19" i="37" s="1"/>
  <c r="BC22" i="2"/>
  <c r="BB22" s="1"/>
  <c r="AD19" i="37" s="1"/>
  <c r="AK22" i="2"/>
  <c r="AJ22" s="1"/>
  <c r="T19" i="37" s="1"/>
  <c r="S22" i="2"/>
  <c r="R22" s="1"/>
  <c r="J19" i="37" s="1"/>
  <c r="CV21" i="2"/>
  <c r="CD21"/>
  <c r="CC21" s="1"/>
  <c r="AS18" i="37" s="1"/>
  <c r="BL21" i="2"/>
  <c r="BK21" s="1"/>
  <c r="AI18" i="37" s="1"/>
  <c r="BC21" i="2"/>
  <c r="BB21" s="1"/>
  <c r="AD18" i="37" s="1"/>
  <c r="AT21" i="2"/>
  <c r="AS21" s="1"/>
  <c r="Y18" i="37" s="1"/>
  <c r="AB21" i="2"/>
  <c r="J21"/>
  <c r="CM20"/>
  <c r="CL20" s="1"/>
  <c r="AX17" i="37" s="1"/>
  <c r="BU20" i="2"/>
  <c r="BT20" s="1"/>
  <c r="AN17" i="37" s="1"/>
  <c r="BC20" i="2"/>
  <c r="BB20" s="1"/>
  <c r="AD17" i="37" s="1"/>
  <c r="AT20" i="2"/>
  <c r="AS20" s="1"/>
  <c r="Y17" i="37" s="1"/>
  <c r="AK20" i="2"/>
  <c r="S20"/>
  <c r="R20" s="1"/>
  <c r="J17" i="37" s="1"/>
  <c r="J20" i="2"/>
  <c r="I20" s="1"/>
  <c r="E17" i="37" s="1"/>
  <c r="CM17" i="2"/>
  <c r="BU17"/>
  <c r="BT17" s="1"/>
  <c r="AN14" i="37" s="1"/>
  <c r="BL17" i="2"/>
  <c r="BK17" s="1"/>
  <c r="AI14" i="37" s="1"/>
  <c r="BC17" i="2"/>
  <c r="AK17"/>
  <c r="AJ17" s="1"/>
  <c r="T14" i="37" s="1"/>
  <c r="J17" i="2"/>
  <c r="CV16"/>
  <c r="CQ16" s="1"/>
  <c r="BA13" i="37" s="1"/>
  <c r="CD16" i="2"/>
  <c r="BY16" s="1"/>
  <c r="AQ13" i="37" s="1"/>
  <c r="BL16" i="2"/>
  <c r="BG16" s="1"/>
  <c r="AG13" i="37" s="1"/>
  <c r="AT16" i="2"/>
  <c r="AO16" s="1"/>
  <c r="W13" i="37" s="1"/>
  <c r="AK16" i="2"/>
  <c r="AB16"/>
  <c r="W16" s="1"/>
  <c r="M13" i="37" s="1"/>
  <c r="J16" i="2"/>
  <c r="CV15"/>
  <c r="CS15" s="1"/>
  <c r="BB12" i="37" s="1"/>
  <c r="CM15" i="2"/>
  <c r="CH15" s="1"/>
  <c r="AV12" i="37" s="1"/>
  <c r="BU15" i="2"/>
  <c r="BP15" s="1"/>
  <c r="AL12" i="37" s="1"/>
  <c r="BL15" i="2"/>
  <c r="BG15" s="1"/>
  <c r="AG12" i="37" s="1"/>
  <c r="BC15" i="2"/>
  <c r="AX15" s="1"/>
  <c r="AB12" i="37" s="1"/>
  <c r="AK15" i="2"/>
  <c r="CV14"/>
  <c r="CD14"/>
  <c r="BY14" s="1"/>
  <c r="AQ11" i="37" s="1"/>
  <c r="BU14" i="2"/>
  <c r="BL14"/>
  <c r="BG14" s="1"/>
  <c r="AG11" i="37" s="1"/>
  <c r="AT14" i="2"/>
  <c r="AO14" s="1"/>
  <c r="W11" i="37" s="1"/>
  <c r="AK14" i="2"/>
  <c r="AJ14" s="1"/>
  <c r="T11" i="37" s="1"/>
  <c r="J14" i="2"/>
  <c r="E14" s="1"/>
  <c r="C11" i="37" s="1"/>
  <c r="CM13" i="2"/>
  <c r="CH13" s="1"/>
  <c r="AV10" i="37" s="1"/>
  <c r="BU13" i="2"/>
  <c r="BP13" s="1"/>
  <c r="AL10" i="37" s="1"/>
  <c r="BL13" i="2"/>
  <c r="BK13" s="1"/>
  <c r="AI10" i="37" s="1"/>
  <c r="BC13" i="2"/>
  <c r="AV13" s="1"/>
  <c r="AA10" i="37" s="1"/>
  <c r="AK13" i="2"/>
  <c r="AF13" s="1"/>
  <c r="R10" i="37" s="1"/>
  <c r="AB13" i="2"/>
  <c r="AA13" s="1"/>
  <c r="O10" i="37" s="1"/>
  <c r="J13" i="2"/>
  <c r="G13" s="1"/>
  <c r="D10" i="37" s="1"/>
  <c r="CV12" i="2"/>
  <c r="CQ12" s="1"/>
  <c r="BA9" i="37" s="1"/>
  <c r="CD12" i="2"/>
  <c r="BY12" s="1"/>
  <c r="AQ9" i="37" s="1"/>
  <c r="BU12" i="2"/>
  <c r="BP12" s="1"/>
  <c r="AL9" i="37" s="1"/>
  <c r="BL12" i="2"/>
  <c r="BG12" s="1"/>
  <c r="AG9" i="37" s="1"/>
  <c r="AT12" i="2"/>
  <c r="AK12"/>
  <c r="AH12" s="1"/>
  <c r="S9" i="37" s="1"/>
  <c r="AB12" i="2"/>
  <c r="W12" s="1"/>
  <c r="M9" i="37" s="1"/>
  <c r="J12" i="2"/>
  <c r="C12" s="1"/>
  <c r="B9" i="37" s="1"/>
  <c r="CM11" i="2"/>
  <c r="CH11" s="1"/>
  <c r="AV8" i="37" s="1"/>
  <c r="BU11" i="2"/>
  <c r="BP11" s="1"/>
  <c r="AL8" i="37" s="1"/>
  <c r="BL11" i="2"/>
  <c r="BI11" s="1"/>
  <c r="AH8" i="37" s="1"/>
  <c r="BC11" i="2"/>
  <c r="AX11" s="1"/>
  <c r="AB8" i="37" s="1"/>
  <c r="AK11" i="2"/>
  <c r="AF11" s="1"/>
  <c r="R8" i="37" s="1"/>
  <c r="J11" i="2"/>
  <c r="I11" s="1"/>
  <c r="E8" i="37" s="1"/>
  <c r="CV10" i="2"/>
  <c r="CQ10" s="1"/>
  <c r="BA7" i="37" s="1"/>
  <c r="CD10" i="2"/>
  <c r="BY10" s="1"/>
  <c r="AQ7" i="37" s="1"/>
  <c r="BU10" i="2"/>
  <c r="BT10" s="1"/>
  <c r="AN7" i="37" s="1"/>
  <c r="BL10" i="2"/>
  <c r="BG10" s="1"/>
  <c r="AG7" i="37" s="1"/>
  <c r="AT10" i="2"/>
  <c r="AO10" s="1"/>
  <c r="W7" i="37" s="1"/>
  <c r="J10" i="2"/>
  <c r="E10" s="1"/>
  <c r="C7" i="37" s="1"/>
  <c r="CV9" i="2"/>
  <c r="CM9"/>
  <c r="CH9" s="1"/>
  <c r="AV6" i="37" s="1"/>
  <c r="BU9" i="2"/>
  <c r="BP9" s="1"/>
  <c r="AL6" i="37" s="1"/>
  <c r="BL9" i="2"/>
  <c r="BK9" s="1"/>
  <c r="AI6" i="37" s="1"/>
  <c r="BC9" i="2"/>
  <c r="AX9" s="1"/>
  <c r="AB6" i="37" s="1"/>
  <c r="AK9" i="2"/>
  <c r="AF9" s="1"/>
  <c r="R6" i="37" s="1"/>
  <c r="J9" i="2"/>
  <c r="E9" s="1"/>
  <c r="C6" i="37" s="1"/>
  <c r="CV8" i="2"/>
  <c r="CQ8" s="1"/>
  <c r="BA5" i="37" s="1"/>
  <c r="CD8" i="2"/>
  <c r="BY8" s="1"/>
  <c r="AQ5" i="37" s="1"/>
  <c r="BL8" i="2"/>
  <c r="BG8" s="1"/>
  <c r="AG5" i="37" s="1"/>
  <c r="AT8" i="2"/>
  <c r="AK8"/>
  <c r="AF8" s="1"/>
  <c r="R5" i="37" s="1"/>
  <c r="AB8" i="2"/>
  <c r="W8" s="1"/>
  <c r="M5" i="37" s="1"/>
  <c r="J8" i="2"/>
  <c r="E8" s="1"/>
  <c r="C5" i="37" s="1"/>
  <c r="E12" i="2"/>
  <c r="C9" i="37" s="1"/>
  <c r="AX13" i="2"/>
  <c r="AB10" i="37" s="1"/>
  <c r="CQ14" i="2"/>
  <c r="BA11" i="37" s="1"/>
  <c r="AF17" i="2"/>
  <c r="R14" i="37" s="1"/>
  <c r="BG17" i="2"/>
  <c r="AG14" i="37" s="1"/>
  <c r="BP17" i="2"/>
  <c r="AL14" i="37" s="1"/>
  <c r="G20" i="2"/>
  <c r="D17" i="37" s="1"/>
  <c r="P20" i="2"/>
  <c r="I17" i="37" s="1"/>
  <c r="AO21" i="2"/>
  <c r="W18" i="37" s="1"/>
  <c r="BI21" i="2"/>
  <c r="AH18" i="37" s="1"/>
  <c r="CA21" i="2"/>
  <c r="AR18" i="37" s="1"/>
  <c r="AQ23" i="2"/>
  <c r="X20" i="37" s="1"/>
  <c r="BY23" i="2"/>
  <c r="AQ20" i="37" s="1"/>
  <c r="AQ25" i="2"/>
  <c r="X22" i="37" s="1"/>
  <c r="BY25" i="2"/>
  <c r="AQ22" i="37" s="1"/>
  <c r="AH26" i="2"/>
  <c r="S23" i="37" s="1"/>
  <c r="G27" i="2"/>
  <c r="D24" i="37" s="1"/>
  <c r="CS27" i="2"/>
  <c r="BB24" i="37" s="1"/>
  <c r="AF28" i="2"/>
  <c r="R25" i="37" s="1"/>
  <c r="AZ28" i="2"/>
  <c r="AC25" i="37" s="1"/>
  <c r="BP28" i="2"/>
  <c r="AL25" i="37" s="1"/>
  <c r="CH28" i="2"/>
  <c r="AV25" i="37" s="1"/>
  <c r="BG29" i="2"/>
  <c r="AG26" i="37" s="1"/>
  <c r="AX30" i="2"/>
  <c r="AB27" i="37" s="1"/>
  <c r="AZ30" i="2"/>
  <c r="AC27" i="37" s="1"/>
  <c r="CH30" i="2"/>
  <c r="AV27" i="37" s="1"/>
  <c r="AO31" i="2"/>
  <c r="W28" i="37" s="1"/>
  <c r="CS32" i="2"/>
  <c r="BB29" i="37" s="1"/>
  <c r="E33" i="2"/>
  <c r="C30" i="37" s="1"/>
  <c r="BR33" i="2"/>
  <c r="AM30" i="37" s="1"/>
  <c r="CQ33" i="2"/>
  <c r="BA30" i="37" s="1"/>
  <c r="BR34" i="2"/>
  <c r="AM31" i="37" s="1"/>
  <c r="CH34" i="2"/>
  <c r="AV31" i="37" s="1"/>
  <c r="CJ34" i="2"/>
  <c r="AW31" i="37" s="1"/>
  <c r="G35" i="2"/>
  <c r="D32" i="37" s="1"/>
  <c r="AQ35" i="2"/>
  <c r="X32" i="37" s="1"/>
  <c r="AX35" i="2"/>
  <c r="AB32" i="37" s="1"/>
  <c r="AH36" i="2"/>
  <c r="S33" i="37" s="1"/>
  <c r="CS36" i="2"/>
  <c r="BB33" i="37" s="1"/>
  <c r="E37" i="2"/>
  <c r="C34" i="37" s="1"/>
  <c r="BG37" i="2"/>
  <c r="AG34" i="37" s="1"/>
  <c r="AF38" i="2"/>
  <c r="R35" i="37" s="1"/>
  <c r="AZ38" i="2"/>
  <c r="AC35" i="37" s="1"/>
  <c r="BP38" i="2"/>
  <c r="AL35" i="37" s="1"/>
  <c r="CJ38" i="2"/>
  <c r="AW35" i="37" s="1"/>
  <c r="E39" i="2"/>
  <c r="C36" i="37" s="1"/>
  <c r="G39" i="2"/>
  <c r="D36" i="37" s="1"/>
  <c r="Y39" i="2"/>
  <c r="N36" i="37" s="1"/>
  <c r="AF39" i="2"/>
  <c r="R36" i="37" s="1"/>
  <c r="AO39" i="2"/>
  <c r="W36" i="37" s="1"/>
  <c r="AQ39" i="2"/>
  <c r="X36" i="37" s="1"/>
  <c r="BI39" i="2"/>
  <c r="AH36" i="37" s="1"/>
  <c r="CA39" i="2"/>
  <c r="AR36" i="37" s="1"/>
  <c r="AQ40" i="2"/>
  <c r="X37" i="37" s="1"/>
  <c r="AQ41" i="2"/>
  <c r="X38" i="37" s="1"/>
  <c r="AZ41" i="2"/>
  <c r="AC38" i="37" s="1"/>
  <c r="CQ41" i="2"/>
  <c r="BA38" i="37" s="1"/>
  <c r="E42" i="2"/>
  <c r="C39" i="37" s="1"/>
  <c r="CJ42" i="2"/>
  <c r="AW39" i="37" s="1"/>
  <c r="CS42" i="2"/>
  <c r="BB39" i="37" s="1"/>
  <c r="E43" i="2"/>
  <c r="C40" i="37" s="1"/>
  <c r="G43" i="2"/>
  <c r="D40" i="37" s="1"/>
  <c r="W43" i="2"/>
  <c r="M40" i="37" s="1"/>
  <c r="AO43" i="2"/>
  <c r="W40" i="37" s="1"/>
  <c r="AQ43" i="2"/>
  <c r="X40" i="37" s="1"/>
  <c r="BG43" i="2"/>
  <c r="AG40" i="37" s="1"/>
  <c r="BY43" i="2"/>
  <c r="AQ40" i="37" s="1"/>
  <c r="CQ43" i="2"/>
  <c r="BA40" i="37" s="1"/>
  <c r="AQ44" i="2"/>
  <c r="X41" i="37" s="1"/>
  <c r="AZ44" i="2"/>
  <c r="AC41" i="37" s="1"/>
  <c r="CA44" i="2"/>
  <c r="AR41" i="37" s="1"/>
  <c r="AO45" i="2"/>
  <c r="W42" i="37" s="1"/>
  <c r="BY45" i="2"/>
  <c r="AQ42" i="37" s="1"/>
  <c r="S10" i="18"/>
  <c r="T10" s="1"/>
  <c r="U8" i="2"/>
  <c r="L5" i="37" s="1"/>
  <c r="BE8" i="2"/>
  <c r="AF5" i="37" s="1"/>
  <c r="CO8" i="2"/>
  <c r="AZ5" i="37" s="1"/>
  <c r="BE9" i="2"/>
  <c r="AF6" i="37" s="1"/>
  <c r="AV11" i="2"/>
  <c r="AA8" i="37" s="1"/>
  <c r="U12" i="2"/>
  <c r="L9" i="37" s="1"/>
  <c r="BE12" i="2"/>
  <c r="AF9" i="37" s="1"/>
  <c r="CO12" i="2"/>
  <c r="AZ9" i="37" s="1"/>
  <c r="BW13" i="2"/>
  <c r="AP10" i="37" s="1"/>
  <c r="AM14" i="2"/>
  <c r="V11" i="37" s="1"/>
  <c r="AV14" i="2"/>
  <c r="AA11" i="37" s="1"/>
  <c r="BE14" i="2"/>
  <c r="AF11" i="37" s="1"/>
  <c r="BW14" i="2"/>
  <c r="AP11" i="37" s="1"/>
  <c r="CF14" i="2"/>
  <c r="AU11" i="37" s="1"/>
  <c r="CO14" i="2"/>
  <c r="AZ11" i="37" s="1"/>
  <c r="AV15" i="2"/>
  <c r="AA12" i="37" s="1"/>
  <c r="CF15" i="2"/>
  <c r="AU12" i="37" s="1"/>
  <c r="U16" i="2"/>
  <c r="L13" i="37" s="1"/>
  <c r="BE16" i="2"/>
  <c r="AF13" i="37" s="1"/>
  <c r="BW16" i="2"/>
  <c r="AP13" i="37" s="1"/>
  <c r="CO16" i="2"/>
  <c r="AZ13" i="37" s="1"/>
  <c r="AD17" i="2"/>
  <c r="Q14" i="37" s="1"/>
  <c r="BN17" i="2"/>
  <c r="AK14" i="37" s="1"/>
  <c r="AM21" i="2"/>
  <c r="V18" i="37" s="1"/>
  <c r="BE21" i="2"/>
  <c r="AF18" i="37" s="1"/>
  <c r="BW21" i="2"/>
  <c r="AP18" i="37" s="1"/>
  <c r="AM25" i="2"/>
  <c r="V22" i="37" s="1"/>
  <c r="CF26" i="2"/>
  <c r="AU23" i="37" s="1"/>
  <c r="C27" i="2"/>
  <c r="B24" i="37" s="1"/>
  <c r="CO27" i="2"/>
  <c r="AZ24" i="37" s="1"/>
  <c r="AV28" i="2"/>
  <c r="AA25" i="37" s="1"/>
  <c r="U29" i="2"/>
  <c r="L26" i="37" s="1"/>
  <c r="AV30" i="2"/>
  <c r="AA27" i="37" s="1"/>
  <c r="CF30" i="2"/>
  <c r="AU27" i="37" s="1"/>
  <c r="AV31" i="2"/>
  <c r="AA28" i="37" s="1"/>
  <c r="U33" i="2"/>
  <c r="L30" i="37" s="1"/>
  <c r="BE33" i="2"/>
  <c r="AF30" i="37" s="1"/>
  <c r="BN33" i="2"/>
  <c r="AK30" i="37" s="1"/>
  <c r="CF33" i="2"/>
  <c r="AU30" i="37" s="1"/>
  <c r="CO33" i="2"/>
  <c r="AZ30" i="37" s="1"/>
  <c r="AD34" i="2"/>
  <c r="Q31" i="37" s="1"/>
  <c r="AV34" i="2"/>
  <c r="AA31" i="37" s="1"/>
  <c r="BN34" i="2"/>
  <c r="AK31" i="37" s="1"/>
  <c r="CF34" i="2"/>
  <c r="AU31" i="37" s="1"/>
  <c r="C35" i="2"/>
  <c r="B32" i="37" s="1"/>
  <c r="BE36" i="2"/>
  <c r="AF33" i="37" s="1"/>
  <c r="BE37" i="2"/>
  <c r="AF34" i="37" s="1"/>
  <c r="AV38" i="2"/>
  <c r="AA35" i="37" s="1"/>
  <c r="C39" i="2"/>
  <c r="B36" i="37" s="1"/>
  <c r="U39" i="2"/>
  <c r="L36" i="37" s="1"/>
  <c r="AM39" i="2"/>
  <c r="V36" i="37" s="1"/>
  <c r="AD40" i="2"/>
  <c r="Q37" i="37" s="1"/>
  <c r="AM40" i="2"/>
  <c r="V37" i="37" s="1"/>
  <c r="BN40" i="2"/>
  <c r="AK37" i="37" s="1"/>
  <c r="L41" i="2"/>
  <c r="G38" i="37" s="1"/>
  <c r="CO41" i="2"/>
  <c r="AZ38" i="37" s="1"/>
  <c r="CF42" i="2"/>
  <c r="AU39" i="37" s="1"/>
  <c r="C43" i="2"/>
  <c r="B40" i="37" s="1"/>
  <c r="AM43" i="2"/>
  <c r="V40" i="37" s="1"/>
  <c r="BE43" i="2"/>
  <c r="AF40" i="37" s="1"/>
  <c r="BW43" i="2"/>
  <c r="AP40" i="37" s="1"/>
  <c r="AM44" i="2"/>
  <c r="V41" i="37" s="1"/>
  <c r="AM45" i="2"/>
  <c r="V42" i="37" s="1"/>
  <c r="CC45" i="2"/>
  <c r="E47" i="71"/>
  <c r="E47" i="72"/>
  <c r="E47" i="75"/>
  <c r="E47" i="76"/>
  <c r="E47" i="77"/>
  <c r="E47" i="79"/>
  <c r="E47" i="80"/>
  <c r="E41" i="79"/>
  <c r="E41" i="77"/>
  <c r="E35"/>
  <c r="E34"/>
  <c r="E41" i="76"/>
  <c r="E41" i="75"/>
  <c r="E34"/>
  <c r="E34" i="74"/>
  <c r="E41" i="73"/>
  <c r="E35"/>
  <c r="E34"/>
  <c r="E41" i="72"/>
  <c r="E41" i="71"/>
  <c r="E35"/>
  <c r="E34"/>
  <c r="AD14" i="3"/>
  <c r="AD13" s="1"/>
  <c r="N14"/>
  <c r="J14"/>
  <c r="J13" s="1"/>
  <c r="L13" s="1"/>
  <c r="M13" s="1"/>
  <c r="C7" i="72"/>
  <c r="J9" i="6"/>
  <c r="K9" s="1"/>
  <c r="AS9" i="58" s="1"/>
  <c r="K19" i="6"/>
  <c r="C7" i="74"/>
  <c r="C6" s="1"/>
  <c r="C5" s="1"/>
  <c r="C7" i="75"/>
  <c r="C6" s="1"/>
  <c r="C5" s="1"/>
  <c r="C7" i="76"/>
  <c r="C7" i="77"/>
  <c r="S19" i="6"/>
  <c r="C7" i="78"/>
  <c r="C6" s="1"/>
  <c r="C5" s="1"/>
  <c r="BM15" i="7"/>
  <c r="BM14" s="1"/>
  <c r="BM13" s="1"/>
  <c r="BM12" s="1"/>
  <c r="BM11" s="1"/>
  <c r="BM10" s="1"/>
  <c r="BM9" s="1"/>
  <c r="BM8" s="1"/>
  <c r="BF15"/>
  <c r="BF14" s="1"/>
  <c r="BF13" s="1"/>
  <c r="BF12" s="1"/>
  <c r="BF11" s="1"/>
  <c r="BF10" s="1"/>
  <c r="BF9" s="1"/>
  <c r="BF8" s="1"/>
  <c r="AK15"/>
  <c r="AK14" s="1"/>
  <c r="AK13" s="1"/>
  <c r="AD15"/>
  <c r="AD14" s="1"/>
  <c r="AD13" s="1"/>
  <c r="AD12" s="1"/>
  <c r="AD11" s="1"/>
  <c r="AD10" s="1"/>
  <c r="AD9" s="1"/>
  <c r="AD8" s="1"/>
  <c r="I15"/>
  <c r="I14" s="1"/>
  <c r="I13" s="1"/>
  <c r="B15"/>
  <c r="B14" s="1"/>
  <c r="B13" s="1"/>
  <c r="B12" s="1"/>
  <c r="B11" s="1"/>
  <c r="B10" s="1"/>
  <c r="B9" s="1"/>
  <c r="B8" s="1"/>
  <c r="AS45" i="15"/>
  <c r="AO45"/>
  <c r="AK45"/>
  <c r="AG45"/>
  <c r="AC45"/>
  <c r="Y45"/>
  <c r="U45"/>
  <c r="M17"/>
  <c r="O16" i="10"/>
  <c r="I17" i="15"/>
  <c r="E17"/>
  <c r="F17" s="1"/>
  <c r="G17" s="1"/>
  <c r="D17" i="19" s="1"/>
  <c r="C16" i="10"/>
  <c r="B10" i="14"/>
  <c r="B9" s="1"/>
  <c r="B8" s="1"/>
  <c r="BE16" i="10"/>
  <c r="AY16"/>
  <c r="AG16"/>
  <c r="AA16"/>
  <c r="U16"/>
  <c r="Q16" i="15" s="1"/>
  <c r="AK20" i="16"/>
  <c r="AL21"/>
  <c r="AM21" s="1"/>
  <c r="AN21" s="1"/>
  <c r="AH21"/>
  <c r="AI21" s="1"/>
  <c r="AJ21" s="1"/>
  <c r="U20"/>
  <c r="V21"/>
  <c r="W21" s="1"/>
  <c r="X21" s="1"/>
  <c r="J54" i="69"/>
  <c r="GA18" i="18" s="1"/>
  <c r="I49" i="69"/>
  <c r="H49"/>
  <c r="G49"/>
  <c r="F49"/>
  <c r="I44"/>
  <c r="G44"/>
  <c r="F44"/>
  <c r="J39"/>
  <c r="F39"/>
  <c r="I29"/>
  <c r="H29"/>
  <c r="G29"/>
  <c r="F29"/>
  <c r="I24"/>
  <c r="G24"/>
  <c r="F24"/>
  <c r="J19"/>
  <c r="F19"/>
  <c r="F14"/>
  <c r="AM38" i="18" s="1"/>
  <c r="I9" i="69"/>
  <c r="H9"/>
  <c r="G9"/>
  <c r="F9"/>
  <c r="I4"/>
  <c r="L23" i="26"/>
  <c r="K23"/>
  <c r="H23"/>
  <c r="H22" s="1"/>
  <c r="H22" i="28" s="1"/>
  <c r="G23" i="26"/>
  <c r="D23"/>
  <c r="D22" s="1"/>
  <c r="C23"/>
  <c r="K5" i="27"/>
  <c r="K4" s="1"/>
  <c r="J5"/>
  <c r="J4" s="1"/>
  <c r="G5"/>
  <c r="F5"/>
  <c r="F4" s="1"/>
  <c r="C5"/>
  <c r="C4" s="1"/>
  <c r="L6" i="31"/>
  <c r="K6"/>
  <c r="I6"/>
  <c r="I6" i="32" s="1"/>
  <c r="P8" i="33" s="1"/>
  <c r="H6" i="31"/>
  <c r="G6"/>
  <c r="D6"/>
  <c r="D5" s="1"/>
  <c r="D5" i="32" s="1"/>
  <c r="F7" i="33" s="1"/>
  <c r="C6" i="31"/>
  <c r="S34" i="70"/>
  <c r="S41"/>
  <c r="C6" i="32"/>
  <c r="D8" i="33" s="1"/>
  <c r="C5" i="31"/>
  <c r="C4" s="1"/>
  <c r="C4" i="32" s="1"/>
  <c r="D6" i="33" s="1"/>
  <c r="G6" i="32"/>
  <c r="L8" i="33" s="1"/>
  <c r="G5" i="31"/>
  <c r="G4" s="1"/>
  <c r="G4" i="32" s="1"/>
  <c r="L6" i="33" s="1"/>
  <c r="K6" i="32"/>
  <c r="T8" i="33" s="1"/>
  <c r="K5" i="31"/>
  <c r="G4" i="27"/>
  <c r="L4"/>
  <c r="D23" i="28"/>
  <c r="H23"/>
  <c r="L23"/>
  <c r="L22" i="26"/>
  <c r="L22" i="28" s="1"/>
  <c r="Z14" i="18"/>
  <c r="Z15"/>
  <c r="Z23"/>
  <c r="Z24"/>
  <c r="Z28"/>
  <c r="Z32"/>
  <c r="Z36"/>
  <c r="Z39"/>
  <c r="Z44"/>
  <c r="AB12"/>
  <c r="AB13"/>
  <c r="AB14"/>
  <c r="AB15"/>
  <c r="AB16"/>
  <c r="AB18"/>
  <c r="AB19"/>
  <c r="AB20"/>
  <c r="AB21"/>
  <c r="AB22"/>
  <c r="AB23"/>
  <c r="AB24"/>
  <c r="AB25"/>
  <c r="AB26"/>
  <c r="AB27"/>
  <c r="AB28"/>
  <c r="AB29"/>
  <c r="AB30"/>
  <c r="AB31"/>
  <c r="AB32"/>
  <c r="AB33"/>
  <c r="AB34"/>
  <c r="AB35"/>
  <c r="AB36"/>
  <c r="AB37"/>
  <c r="AB38"/>
  <c r="AB39"/>
  <c r="AB40"/>
  <c r="AB41"/>
  <c r="AB42"/>
  <c r="AB43"/>
  <c r="AB44"/>
  <c r="AD13"/>
  <c r="AD14"/>
  <c r="AD18"/>
  <c r="AD19"/>
  <c r="AD22"/>
  <c r="AD23"/>
  <c r="AD26"/>
  <c r="AD27"/>
  <c r="AD30"/>
  <c r="AD31"/>
  <c r="AD34"/>
  <c r="AD35"/>
  <c r="AD38"/>
  <c r="AD39"/>
  <c r="AD42"/>
  <c r="AD43"/>
  <c r="AM22"/>
  <c r="AM31"/>
  <c r="AM43"/>
  <c r="BD12"/>
  <c r="BD16"/>
  <c r="BD20"/>
  <c r="BD25"/>
  <c r="BD28"/>
  <c r="BD29"/>
  <c r="BD36"/>
  <c r="BD37"/>
  <c r="BD41"/>
  <c r="BL12"/>
  <c r="BL15"/>
  <c r="BL16"/>
  <c r="BL20"/>
  <c r="BL21"/>
  <c r="BL24"/>
  <c r="BL25"/>
  <c r="BL28"/>
  <c r="BL29"/>
  <c r="BL32"/>
  <c r="BL33"/>
  <c r="BL36"/>
  <c r="BL37"/>
  <c r="BL40"/>
  <c r="BL41"/>
  <c r="BL44"/>
  <c r="BU12"/>
  <c r="BU13"/>
  <c r="BU14"/>
  <c r="BU15"/>
  <c r="BU16"/>
  <c r="BU18"/>
  <c r="BU19"/>
  <c r="BU20"/>
  <c r="BU21"/>
  <c r="BU22"/>
  <c r="BU23"/>
  <c r="BU24"/>
  <c r="BU25"/>
  <c r="BU26"/>
  <c r="BU27"/>
  <c r="BU28"/>
  <c r="BU29"/>
  <c r="BU30"/>
  <c r="BU31"/>
  <c r="BU32"/>
  <c r="BU33"/>
  <c r="BU34"/>
  <c r="BU35"/>
  <c r="BU36"/>
  <c r="BU37"/>
  <c r="BU38"/>
  <c r="BU39"/>
  <c r="BU40"/>
  <c r="BU41"/>
  <c r="BU42"/>
  <c r="BU43"/>
  <c r="BU44"/>
  <c r="BW27"/>
  <c r="BW28"/>
  <c r="BW29"/>
  <c r="BW30"/>
  <c r="BW31"/>
  <c r="BW32"/>
  <c r="BW33"/>
  <c r="BW34"/>
  <c r="BW35"/>
  <c r="BW36"/>
  <c r="BW37"/>
  <c r="BW38"/>
  <c r="BW39"/>
  <c r="BW40"/>
  <c r="BW41"/>
  <c r="BW42"/>
  <c r="BW43"/>
  <c r="BW44"/>
  <c r="CA12"/>
  <c r="CA13"/>
  <c r="CA16"/>
  <c r="CA18"/>
  <c r="CA21"/>
  <c r="CA22"/>
  <c r="CA25"/>
  <c r="CA26"/>
  <c r="CA29"/>
  <c r="CA30"/>
  <c r="CA33"/>
  <c r="CA34"/>
  <c r="CA37"/>
  <c r="CA38"/>
  <c r="CA41"/>
  <c r="CA42"/>
  <c r="CC18"/>
  <c r="CC30"/>
  <c r="CC41"/>
  <c r="CL12"/>
  <c r="CL13"/>
  <c r="CL14"/>
  <c r="CL15"/>
  <c r="CL16"/>
  <c r="CL18"/>
  <c r="CL19"/>
  <c r="CL20"/>
  <c r="CL21"/>
  <c r="CL22"/>
  <c r="CL23"/>
  <c r="CL24"/>
  <c r="CL25"/>
  <c r="CL26"/>
  <c r="CL27"/>
  <c r="CL28"/>
  <c r="CL29"/>
  <c r="CL30"/>
  <c r="CL31"/>
  <c r="CL32"/>
  <c r="CL33"/>
  <c r="CL34"/>
  <c r="CL35"/>
  <c r="CL36"/>
  <c r="CL37"/>
  <c r="CL38"/>
  <c r="CL39"/>
  <c r="CL40"/>
  <c r="CL41"/>
  <c r="CL42"/>
  <c r="CL43"/>
  <c r="CL44"/>
  <c r="CN28"/>
  <c r="CN32"/>
  <c r="CN36"/>
  <c r="CN39"/>
  <c r="CN44"/>
  <c r="CP14"/>
  <c r="CP23"/>
  <c r="CP24"/>
  <c r="CP32"/>
  <c r="CP36"/>
  <c r="CP44"/>
  <c r="CR12"/>
  <c r="CR13"/>
  <c r="CR14"/>
  <c r="CR15"/>
  <c r="CR16"/>
  <c r="CR18"/>
  <c r="CR19"/>
  <c r="CR20"/>
  <c r="CR21"/>
  <c r="CR22"/>
  <c r="CR23"/>
  <c r="CR24"/>
  <c r="CR25"/>
  <c r="CR26"/>
  <c r="CR27"/>
  <c r="CR28"/>
  <c r="CR29"/>
  <c r="CR30"/>
  <c r="CR31"/>
  <c r="CR32"/>
  <c r="CR33"/>
  <c r="CR34"/>
  <c r="CR35"/>
  <c r="CR36"/>
  <c r="CR37"/>
  <c r="CR38"/>
  <c r="CR39"/>
  <c r="CR40"/>
  <c r="CR41"/>
  <c r="CR42"/>
  <c r="CR43"/>
  <c r="CR44"/>
  <c r="CT13"/>
  <c r="CT14"/>
  <c r="CT18"/>
  <c r="CT19"/>
  <c r="CT22"/>
  <c r="CT23"/>
  <c r="CT26"/>
  <c r="CT27"/>
  <c r="CT30"/>
  <c r="CT31"/>
  <c r="CT34"/>
  <c r="CT35"/>
  <c r="CT38"/>
  <c r="CT39"/>
  <c r="CT42"/>
  <c r="CT43"/>
  <c r="DT13"/>
  <c r="DT14"/>
  <c r="DT18"/>
  <c r="DT19"/>
  <c r="DT22"/>
  <c r="DT23"/>
  <c r="DT26"/>
  <c r="DT27"/>
  <c r="DT30"/>
  <c r="DT31"/>
  <c r="DT34"/>
  <c r="DT35"/>
  <c r="DT38"/>
  <c r="DT39"/>
  <c r="DT42"/>
  <c r="DT43"/>
  <c r="EB14"/>
  <c r="EB15"/>
  <c r="EB20"/>
  <c r="EB24"/>
  <c r="EB28"/>
  <c r="EB31"/>
  <c r="EB36"/>
  <c r="EB39"/>
  <c r="EB40"/>
  <c r="EK12"/>
  <c r="EK13"/>
  <c r="EK14"/>
  <c r="EK15"/>
  <c r="EK16"/>
  <c r="EK18"/>
  <c r="EK19"/>
  <c r="EK20"/>
  <c r="EK21"/>
  <c r="EK22"/>
  <c r="EK23"/>
  <c r="EK24"/>
  <c r="EK25"/>
  <c r="EK26"/>
  <c r="EK27"/>
  <c r="EK28"/>
  <c r="EK29"/>
  <c r="EK30"/>
  <c r="EK31"/>
  <c r="EK32"/>
  <c r="EK33"/>
  <c r="EK34"/>
  <c r="EK35"/>
  <c r="EK36"/>
  <c r="EK37"/>
  <c r="EK38"/>
  <c r="EK39"/>
  <c r="EK40"/>
  <c r="EK41"/>
  <c r="EK42"/>
  <c r="EK43"/>
  <c r="EK44"/>
  <c r="EM27"/>
  <c r="EM28"/>
  <c r="EM29"/>
  <c r="EM30"/>
  <c r="EM31"/>
  <c r="EM32"/>
  <c r="EM33"/>
  <c r="EM34"/>
  <c r="EM35"/>
  <c r="EM36"/>
  <c r="EM37"/>
  <c r="EM38"/>
  <c r="EM39"/>
  <c r="EM40"/>
  <c r="EM41"/>
  <c r="EM42"/>
  <c r="EM43"/>
  <c r="EM44"/>
  <c r="EQ15"/>
  <c r="EQ19"/>
  <c r="EQ23"/>
  <c r="EQ24"/>
  <c r="EQ31"/>
  <c r="EQ32"/>
  <c r="EQ35"/>
  <c r="EQ40"/>
  <c r="EQ43"/>
  <c r="ES19"/>
  <c r="ES31"/>
  <c r="ES40"/>
  <c r="FB12"/>
  <c r="FB13"/>
  <c r="FB14"/>
  <c r="FB15"/>
  <c r="FB16"/>
  <c r="FB18"/>
  <c r="FB19"/>
  <c r="FB20"/>
  <c r="FB21"/>
  <c r="FB22"/>
  <c r="FB23"/>
  <c r="FB24"/>
  <c r="FB25"/>
  <c r="FB26"/>
  <c r="FB27"/>
  <c r="FB28"/>
  <c r="FB29"/>
  <c r="FB30"/>
  <c r="FB31"/>
  <c r="FB32"/>
  <c r="FB33"/>
  <c r="FB34"/>
  <c r="FB35"/>
  <c r="FB36"/>
  <c r="FB37"/>
  <c r="FB38"/>
  <c r="FB39"/>
  <c r="FB40"/>
  <c r="FB41"/>
  <c r="FB42"/>
  <c r="FB43"/>
  <c r="FB44"/>
  <c r="FD28"/>
  <c r="FD29"/>
  <c r="FD32"/>
  <c r="FD33"/>
  <c r="FD36"/>
  <c r="FD37"/>
  <c r="FD40"/>
  <c r="FD41"/>
  <c r="FD44"/>
  <c r="FF12"/>
  <c r="FF15"/>
  <c r="FF20"/>
  <c r="FF21"/>
  <c r="FF24"/>
  <c r="FF28"/>
  <c r="FF29"/>
  <c r="FF32"/>
  <c r="FF36"/>
  <c r="FF37"/>
  <c r="FF40"/>
  <c r="FF44"/>
  <c r="FH12"/>
  <c r="FH13"/>
  <c r="FH14"/>
  <c r="FH15"/>
  <c r="FH16"/>
  <c r="FH18"/>
  <c r="FH19"/>
  <c r="FH20"/>
  <c r="FH21"/>
  <c r="FH22"/>
  <c r="FH23"/>
  <c r="FH24"/>
  <c r="FH25"/>
  <c r="FH26"/>
  <c r="FH27"/>
  <c r="FH28"/>
  <c r="FH29"/>
  <c r="FH30"/>
  <c r="FH31"/>
  <c r="FH32"/>
  <c r="FH33"/>
  <c r="FH34"/>
  <c r="FH35"/>
  <c r="FH36"/>
  <c r="FH37"/>
  <c r="FH38"/>
  <c r="FH39"/>
  <c r="FH40"/>
  <c r="FH41"/>
  <c r="FH42"/>
  <c r="FH43"/>
  <c r="FH44"/>
  <c r="FJ14"/>
  <c r="FJ15"/>
  <c r="FJ19"/>
  <c r="FJ20"/>
  <c r="FJ23"/>
  <c r="FJ24"/>
  <c r="FJ27"/>
  <c r="FJ28"/>
  <c r="FJ31"/>
  <c r="FJ32"/>
  <c r="FJ35"/>
  <c r="FJ36"/>
  <c r="FJ39"/>
  <c r="FJ40"/>
  <c r="FJ43"/>
  <c r="FJ44"/>
  <c r="GA34"/>
  <c r="U19" i="16"/>
  <c r="V20"/>
  <c r="W20"/>
  <c r="X20" s="1"/>
  <c r="AG19"/>
  <c r="AH19" s="1"/>
  <c r="AI19" s="1"/>
  <c r="AJ19" s="1"/>
  <c r="J5" i="220" s="1"/>
  <c r="AK19" i="16"/>
  <c r="AK50" s="1"/>
  <c r="AL20"/>
  <c r="AM20" s="1"/>
  <c r="AN20" s="1"/>
  <c r="U15" i="10"/>
  <c r="V16"/>
  <c r="Y16" i="15"/>
  <c r="AG15" i="10"/>
  <c r="AH16"/>
  <c r="AO16" i="15"/>
  <c r="BE15" i="10"/>
  <c r="BF16"/>
  <c r="D16"/>
  <c r="M16" i="15"/>
  <c r="D45" i="16"/>
  <c r="AH45" i="58"/>
  <c r="CP45"/>
  <c r="C6" i="77"/>
  <c r="C6" i="76"/>
  <c r="J10" i="6"/>
  <c r="J11" s="1"/>
  <c r="C6" i="72"/>
  <c r="N13" i="3"/>
  <c r="P13" s="1"/>
  <c r="Q13" s="1"/>
  <c r="P14"/>
  <c r="Q14" s="1"/>
  <c r="AP13"/>
  <c r="AR13" s="1"/>
  <c r="AS13" s="1"/>
  <c r="N12"/>
  <c r="N11" s="1"/>
  <c r="N10" s="1"/>
  <c r="C5" i="72"/>
  <c r="C5" i="76"/>
  <c r="C5" i="77"/>
  <c r="AO15" i="15"/>
  <c r="BE14" i="10"/>
  <c r="BF15"/>
  <c r="Y15" i="15"/>
  <c r="AG14" i="10"/>
  <c r="Y14" i="15" s="1"/>
  <c r="AH15" i="10"/>
  <c r="V15"/>
  <c r="AK17" i="16"/>
  <c r="AL19"/>
  <c r="AL50" s="1"/>
  <c r="AG17"/>
  <c r="U17"/>
  <c r="V19"/>
  <c r="H21" i="26"/>
  <c r="D22" i="28"/>
  <c r="D21" i="26"/>
  <c r="K5" i="32"/>
  <c r="T7" i="33" s="1"/>
  <c r="K4" i="31"/>
  <c r="K4" i="32" s="1"/>
  <c r="T6" i="33" s="1"/>
  <c r="G5" i="32"/>
  <c r="L7" i="33" s="1"/>
  <c r="D4" i="31"/>
  <c r="D4" i="32" s="1"/>
  <c r="F6" i="33" s="1"/>
  <c r="W19" i="16"/>
  <c r="U16"/>
  <c r="V17"/>
  <c r="W17" s="1"/>
  <c r="X17" s="1"/>
  <c r="BC17" i="19" s="1"/>
  <c r="AM19" i="16"/>
  <c r="AK16"/>
  <c r="AL17"/>
  <c r="AM17" s="1"/>
  <c r="AN17" s="1"/>
  <c r="CQ17" i="19" s="1"/>
  <c r="AG13" i="10"/>
  <c r="L36" i="41"/>
  <c r="K36"/>
  <c r="J36"/>
  <c r="I36"/>
  <c r="H36"/>
  <c r="G36"/>
  <c r="F36"/>
  <c r="E36"/>
  <c r="D36"/>
  <c r="C36"/>
  <c r="AR43" i="21"/>
  <c r="L31" i="232" s="1"/>
  <c r="AJ43" i="21"/>
  <c r="J31" i="232" s="1"/>
  <c r="AB43" i="21"/>
  <c r="H31" i="232" s="1"/>
  <c r="T43" i="21"/>
  <c r="F31" i="232" s="1"/>
  <c r="L43" i="21"/>
  <c r="D31" i="232" s="1"/>
  <c r="D43" i="21"/>
  <c r="B31" i="232" s="1"/>
  <c r="F26" i="6"/>
  <c r="G26" s="1"/>
  <c r="Y26" i="58" s="1"/>
  <c r="L23" i="72"/>
  <c r="D12" i="215" s="1"/>
  <c r="F20" i="6"/>
  <c r="G20" s="1"/>
  <c r="Y20" i="58" s="1"/>
  <c r="BC44" i="29" l="1"/>
  <c r="BX43"/>
  <c r="T43"/>
  <c r="AO42"/>
  <c r="BJ41"/>
  <c r="F23" i="80"/>
  <c r="CS52" i="58"/>
  <c r="BO52"/>
  <c r="AU52"/>
  <c r="C39" i="220"/>
  <c r="K44" i="233"/>
  <c r="C44"/>
  <c r="J44"/>
  <c r="K44" i="220"/>
  <c r="F6" i="74"/>
  <c r="F19" i="76"/>
  <c r="D47" i="77"/>
  <c r="F25"/>
  <c r="BL44" i="2"/>
  <c r="BE44" s="1"/>
  <c r="AF41" i="37" s="1"/>
  <c r="CM43" i="2"/>
  <c r="CL43" s="1"/>
  <c r="AX40" i="37" s="1"/>
  <c r="BC43" i="2"/>
  <c r="S43"/>
  <c r="N43" s="1"/>
  <c r="H40" i="37" s="1"/>
  <c r="BL42" i="2"/>
  <c r="AB42"/>
  <c r="CM41"/>
  <c r="BU41"/>
  <c r="BN41" s="1"/>
  <c r="AK38" i="37" s="1"/>
  <c r="CV40" i="2"/>
  <c r="CD40"/>
  <c r="BU39"/>
  <c r="BC39"/>
  <c r="BB39" s="1"/>
  <c r="AD36" i="37" s="1"/>
  <c r="S39" i="2"/>
  <c r="R39" s="1"/>
  <c r="J36" i="37" s="1"/>
  <c r="BL38" i="2"/>
  <c r="AB38"/>
  <c r="AA38" s="1"/>
  <c r="O35" i="37" s="1"/>
  <c r="J38" i="2"/>
  <c r="S37"/>
  <c r="CD36"/>
  <c r="CC36" s="1"/>
  <c r="AS33" i="37" s="1"/>
  <c r="AT36" i="2"/>
  <c r="J36"/>
  <c r="C36" s="1"/>
  <c r="B33" i="37" s="1"/>
  <c r="CM35" i="2"/>
  <c r="AK35"/>
  <c r="AB34"/>
  <c r="AA34" s="1"/>
  <c r="O31" i="37" s="1"/>
  <c r="S33" i="2"/>
  <c r="CD32"/>
  <c r="BL32"/>
  <c r="BE32" s="1"/>
  <c r="AF29" i="37" s="1"/>
  <c r="AT32" i="2"/>
  <c r="CM31"/>
  <c r="BU31"/>
  <c r="BT31" s="1"/>
  <c r="AN28" i="37" s="1"/>
  <c r="AK31" i="2"/>
  <c r="S31"/>
  <c r="AT30"/>
  <c r="J30"/>
  <c r="C30" s="1"/>
  <c r="B27" i="37" s="1"/>
  <c r="S29" i="2"/>
  <c r="R29" s="1"/>
  <c r="J26" i="37" s="1"/>
  <c r="CV28" i="2"/>
  <c r="CD28"/>
  <c r="CC28" s="1"/>
  <c r="AS25" i="37" s="1"/>
  <c r="AT28" i="2"/>
  <c r="AS28" s="1"/>
  <c r="Y25" i="37" s="1"/>
  <c r="CM27" i="2"/>
  <c r="BU27"/>
  <c r="BT27" s="1"/>
  <c r="AN24" i="37" s="1"/>
  <c r="S27" i="2"/>
  <c r="CV26"/>
  <c r="J26"/>
  <c r="E26" s="1"/>
  <c r="C23" i="37" s="1"/>
  <c r="BU25" i="2"/>
  <c r="BP25" s="1"/>
  <c r="AL22" i="37" s="1"/>
  <c r="AK25" i="2"/>
  <c r="BL24"/>
  <c r="AB24"/>
  <c r="W24" s="1"/>
  <c r="M21" i="37" s="1"/>
  <c r="BN23" i="2"/>
  <c r="AK20" i="37" s="1"/>
  <c r="BC23" i="2"/>
  <c r="AV23" s="1"/>
  <c r="AA20" i="37" s="1"/>
  <c r="BL22" i="2"/>
  <c r="AT22"/>
  <c r="AM22" s="1"/>
  <c r="V19" i="37" s="1"/>
  <c r="J22" i="2"/>
  <c r="E22" s="1"/>
  <c r="C19" i="37" s="1"/>
  <c r="CM21" i="2"/>
  <c r="CL21" s="1"/>
  <c r="AX18" i="37" s="1"/>
  <c r="BU21" i="2"/>
  <c r="BP21" s="1"/>
  <c r="AL18" i="37" s="1"/>
  <c r="AK21" i="2"/>
  <c r="AF21" s="1"/>
  <c r="R18" i="37" s="1"/>
  <c r="BL20" i="2"/>
  <c r="AM20"/>
  <c r="V17" i="37" s="1"/>
  <c r="AB20" i="2"/>
  <c r="AB17"/>
  <c r="AA17" s="1"/>
  <c r="O14" i="37" s="1"/>
  <c r="CM16" i="2"/>
  <c r="BC16"/>
  <c r="S16"/>
  <c r="R16" s="1"/>
  <c r="J13" i="37" s="1"/>
  <c r="CD15" i="2"/>
  <c r="CC15" s="1"/>
  <c r="AS12" i="37" s="1"/>
  <c r="AT15" i="2"/>
  <c r="BE13"/>
  <c r="AF10" i="37" s="1"/>
  <c r="S10" i="2"/>
  <c r="P10" s="1"/>
  <c r="I7" i="37" s="1"/>
  <c r="CD9" i="2"/>
  <c r="CM8"/>
  <c r="CL8" s="1"/>
  <c r="AX5" i="37" s="1"/>
  <c r="BU8" i="2"/>
  <c r="BR8" s="1"/>
  <c r="AM5" i="37" s="1"/>
  <c r="BC8" i="2"/>
  <c r="BB8" s="1"/>
  <c r="AD5" i="37" s="1"/>
  <c r="S8" i="2"/>
  <c r="R8" s="1"/>
  <c r="J5" i="37" s="1"/>
  <c r="D12" i="220"/>
  <c r="Y26" i="19"/>
  <c r="G16" i="210"/>
  <c r="BE30" i="19"/>
  <c r="DZ13" i="18"/>
  <c r="DZ18"/>
  <c r="DZ22"/>
  <c r="DZ26"/>
  <c r="DZ30"/>
  <c r="DZ34"/>
  <c r="DZ38"/>
  <c r="DZ42"/>
  <c r="DZ12"/>
  <c r="DZ16"/>
  <c r="DZ21"/>
  <c r="DZ25"/>
  <c r="DZ29"/>
  <c r="DZ33"/>
  <c r="DZ37"/>
  <c r="DZ41"/>
  <c r="DZ19"/>
  <c r="DZ27"/>
  <c r="DZ35"/>
  <c r="DZ43"/>
  <c r="DZ23"/>
  <c r="DZ32"/>
  <c r="DZ44"/>
  <c r="DZ20"/>
  <c r="DZ31"/>
  <c r="DZ15"/>
  <c r="DZ39"/>
  <c r="DZ24"/>
  <c r="DZ40"/>
  <c r="DZ28"/>
  <c r="DZ14"/>
  <c r="DZ36"/>
  <c r="DK12"/>
  <c r="DK16"/>
  <c r="DK21"/>
  <c r="DK25"/>
  <c r="DK29"/>
  <c r="DK33"/>
  <c r="DK37"/>
  <c r="DK41"/>
  <c r="DK15"/>
  <c r="DK20"/>
  <c r="DK24"/>
  <c r="DK28"/>
  <c r="DK32"/>
  <c r="DK36"/>
  <c r="DK40"/>
  <c r="DK44"/>
  <c r="DK13"/>
  <c r="DK22"/>
  <c r="DK30"/>
  <c r="DK38"/>
  <c r="DK19"/>
  <c r="DK31"/>
  <c r="DK42"/>
  <c r="DK18"/>
  <c r="DK27"/>
  <c r="DK35"/>
  <c r="DK23"/>
  <c r="DK39"/>
  <c r="DK14"/>
  <c r="DK26"/>
  <c r="DK34"/>
  <c r="DK43"/>
  <c r="BJ14"/>
  <c r="BJ19"/>
  <c r="BJ23"/>
  <c r="BJ27"/>
  <c r="BJ31"/>
  <c r="BJ35"/>
  <c r="BJ39"/>
  <c r="BJ43"/>
  <c r="BJ13"/>
  <c r="BJ18"/>
  <c r="BJ22"/>
  <c r="BJ26"/>
  <c r="BJ30"/>
  <c r="BJ34"/>
  <c r="BJ38"/>
  <c r="BJ42"/>
  <c r="BJ20"/>
  <c r="BJ28"/>
  <c r="BJ36"/>
  <c r="BJ44"/>
  <c r="BJ12"/>
  <c r="BJ24"/>
  <c r="BJ33"/>
  <c r="BJ21"/>
  <c r="BJ41"/>
  <c r="BJ29"/>
  <c r="BJ25"/>
  <c r="BJ32"/>
  <c r="BJ16"/>
  <c r="BJ40"/>
  <c r="BJ15"/>
  <c r="BJ37"/>
  <c r="CG34" i="19"/>
  <c r="J20" i="220"/>
  <c r="J11"/>
  <c r="CG25" i="19"/>
  <c r="O25" i="64"/>
  <c r="P25" s="1"/>
  <c r="Q25" s="1"/>
  <c r="E13" i="227"/>
  <c r="F21" i="219"/>
  <c r="AR35" i="19"/>
  <c r="L11" i="219"/>
  <c r="CZ25" i="19"/>
  <c r="J9" i="219"/>
  <c r="CF23" i="19"/>
  <c r="L26" i="220"/>
  <c r="DA40" i="19"/>
  <c r="L22" i="220"/>
  <c r="DA36" i="19"/>
  <c r="G17" i="220"/>
  <c r="BC31" i="19"/>
  <c r="H12" i="220"/>
  <c r="BM26" i="19"/>
  <c r="I20" i="210"/>
  <c r="BY34" i="19"/>
  <c r="D26" i="220"/>
  <c r="Y40" i="19"/>
  <c r="L12" i="220"/>
  <c r="DA26" i="19"/>
  <c r="BJ50"/>
  <c r="H21" i="132"/>
  <c r="L21" i="219"/>
  <c r="CZ35" i="19"/>
  <c r="I25" i="220"/>
  <c r="BW39" i="19"/>
  <c r="J12" i="220"/>
  <c r="CG26" i="19"/>
  <c r="D17" i="210"/>
  <c r="AA31" i="19"/>
  <c r="E14" i="210"/>
  <c r="AK28" i="19"/>
  <c r="J11" i="219"/>
  <c r="CF25" i="19"/>
  <c r="G21" i="220"/>
  <c r="BC35" i="19"/>
  <c r="D13" i="220"/>
  <c r="Y27" i="19"/>
  <c r="F12" i="220"/>
  <c r="AS26" i="19"/>
  <c r="T31" i="15"/>
  <c r="V31" s="1"/>
  <c r="W31" s="1"/>
  <c r="AU27" i="29"/>
  <c r="AV27" s="1"/>
  <c r="H13" i="224"/>
  <c r="K22" i="26"/>
  <c r="K23" i="28"/>
  <c r="AY15" i="10"/>
  <c r="AK16" i="15"/>
  <c r="AZ16" i="10"/>
  <c r="CU9" i="2"/>
  <c r="BC6" i="37" s="1"/>
  <c r="CQ9" i="2"/>
  <c r="BA6" i="37" s="1"/>
  <c r="BT14" i="2"/>
  <c r="AN11" i="37" s="1"/>
  <c r="BR14" i="2"/>
  <c r="AM11" i="37" s="1"/>
  <c r="CU23" i="2"/>
  <c r="BC20" i="37" s="1"/>
  <c r="CS23" i="2"/>
  <c r="BB20" i="37" s="1"/>
  <c r="AQ33" i="2"/>
  <c r="X30" i="37" s="1"/>
  <c r="AS33" i="2"/>
  <c r="Y30" i="37" s="1"/>
  <c r="AO33" i="2"/>
  <c r="W30" i="37" s="1"/>
  <c r="AM33" i="2"/>
  <c r="V30" i="37" s="1"/>
  <c r="BJ50" i="58"/>
  <c r="BJ65"/>
  <c r="F41" i="29"/>
  <c r="J25" i="171"/>
  <c r="BV50" i="29"/>
  <c r="L23" i="176"/>
  <c r="I42" i="5"/>
  <c r="B28" i="212"/>
  <c r="O30" i="5"/>
  <c r="E16" i="212"/>
  <c r="M29" i="5"/>
  <c r="D15" i="212"/>
  <c r="B13"/>
  <c r="B27" i="58"/>
  <c r="I27" i="5"/>
  <c r="S25"/>
  <c r="G11" i="212"/>
  <c r="K25" i="5"/>
  <c r="C11" i="212"/>
  <c r="L25" i="58"/>
  <c r="D9" i="73"/>
  <c r="C8"/>
  <c r="C7" s="1"/>
  <c r="C6" s="1"/>
  <c r="C5" s="1"/>
  <c r="R9" i="6"/>
  <c r="S9" s="1"/>
  <c r="CG9" i="58" s="1"/>
  <c r="U19" i="6"/>
  <c r="CQ19" i="58" s="1"/>
  <c r="T9" i="6"/>
  <c r="G5" i="79"/>
  <c r="F6"/>
  <c r="G6" s="1"/>
  <c r="F7"/>
  <c r="G7" s="1"/>
  <c r="AM25" i="64"/>
  <c r="AN25" s="1"/>
  <c r="AO25" s="1"/>
  <c r="K13" i="227"/>
  <c r="AI25" i="64"/>
  <c r="AJ25" s="1"/>
  <c r="AK25" s="1"/>
  <c r="J13" i="227"/>
  <c r="C22" i="210"/>
  <c r="Q36" i="19"/>
  <c r="D20" i="210"/>
  <c r="AA34" i="19"/>
  <c r="J34" i="12"/>
  <c r="F34"/>
  <c r="BV30" i="19"/>
  <c r="I16" i="219"/>
  <c r="L15"/>
  <c r="CZ29" i="19"/>
  <c r="E54" i="69"/>
  <c r="H54"/>
  <c r="I54"/>
  <c r="G54"/>
  <c r="FU46" i="18" s="1"/>
  <c r="EY11"/>
  <c r="FI11"/>
  <c r="FG11"/>
  <c r="FH11" s="1"/>
  <c r="FE11"/>
  <c r="FF11" s="1"/>
  <c r="FK10"/>
  <c r="S11"/>
  <c r="T11" s="1"/>
  <c r="AC11"/>
  <c r="AD11" s="1"/>
  <c r="AA11"/>
  <c r="AB11" s="1"/>
  <c r="BW42" i="19"/>
  <c r="I28" i="220"/>
  <c r="AI42" i="19"/>
  <c r="E28" i="220"/>
  <c r="F27"/>
  <c r="AS41" i="19"/>
  <c r="E17" i="220"/>
  <c r="AI31" i="19"/>
  <c r="I15" i="220"/>
  <c r="BW29" i="19"/>
  <c r="C15" i="220"/>
  <c r="O29" i="19"/>
  <c r="E14" i="220"/>
  <c r="AI28" i="19"/>
  <c r="H11" i="220"/>
  <c r="BM25" i="19"/>
  <c r="B11" i="220"/>
  <c r="E25" i="19"/>
  <c r="E28" i="133" s="1"/>
  <c r="CG23" i="19"/>
  <c r="J9" i="220"/>
  <c r="Q21" i="16"/>
  <c r="R22"/>
  <c r="S22" s="1"/>
  <c r="T22" s="1"/>
  <c r="F20"/>
  <c r="G20" s="1"/>
  <c r="H20" s="1"/>
  <c r="E19"/>
  <c r="I30" i="232"/>
  <c r="I10" i="41"/>
  <c r="E43" i="232"/>
  <c r="E38"/>
  <c r="J42"/>
  <c r="J37"/>
  <c r="F42"/>
  <c r="F37"/>
  <c r="H36"/>
  <c r="H41"/>
  <c r="BO45" i="29"/>
  <c r="BQ45" s="1"/>
  <c r="K31" i="223"/>
  <c r="K45" i="29"/>
  <c r="M45" s="1"/>
  <c r="C31" i="223"/>
  <c r="F30"/>
  <c r="F19" i="41"/>
  <c r="AF44" i="29"/>
  <c r="I29" i="223"/>
  <c r="BA43" i="29"/>
  <c r="L28" i="223"/>
  <c r="BV42" i="29"/>
  <c r="D28" i="223"/>
  <c r="R42" i="29"/>
  <c r="G27" i="223"/>
  <c r="AM41" i="29"/>
  <c r="J26" i="223"/>
  <c r="BH40" i="29"/>
  <c r="B26" i="223"/>
  <c r="D40" i="29"/>
  <c r="K24" i="171" s="1"/>
  <c r="E25" i="223"/>
  <c r="Y39" i="29"/>
  <c r="H24" i="223"/>
  <c r="AT38" i="29"/>
  <c r="K23" i="223"/>
  <c r="BO37" i="29"/>
  <c r="C23" i="223"/>
  <c r="K37" i="29"/>
  <c r="F22" i="223"/>
  <c r="AF36" i="29"/>
  <c r="I21" i="223"/>
  <c r="BA35" i="29"/>
  <c r="H20" i="223"/>
  <c r="AT34" i="29"/>
  <c r="K19" i="223"/>
  <c r="BO33" i="29"/>
  <c r="C19" i="223"/>
  <c r="K33" i="29"/>
  <c r="F18" i="223"/>
  <c r="AF32" i="29"/>
  <c r="I17" i="223"/>
  <c r="BA31" i="29"/>
  <c r="H16" i="223"/>
  <c r="AT30" i="29"/>
  <c r="K15" i="223"/>
  <c r="BO29" i="29"/>
  <c r="C15" i="223"/>
  <c r="K29" i="29"/>
  <c r="F14" i="223"/>
  <c r="AF28" i="29"/>
  <c r="I13" i="223"/>
  <c r="I43" s="1"/>
  <c r="BA27" i="29"/>
  <c r="L12" i="223"/>
  <c r="BV26" i="29"/>
  <c r="D12" i="223"/>
  <c r="R26" i="29"/>
  <c r="K11" i="223"/>
  <c r="BO25" i="29"/>
  <c r="C11" i="223"/>
  <c r="K25" i="29"/>
  <c r="F10" i="223"/>
  <c r="AF24" i="29"/>
  <c r="I9" i="223"/>
  <c r="BA23" i="29"/>
  <c r="L8" i="223"/>
  <c r="BV22" i="29"/>
  <c r="D8" i="223"/>
  <c r="R22" i="29"/>
  <c r="G7" i="223"/>
  <c r="AM21" i="29"/>
  <c r="J6" i="223"/>
  <c r="BH20" i="29"/>
  <c r="B6" i="223"/>
  <c r="D20" i="29"/>
  <c r="K4" i="171" s="1"/>
  <c r="M50" i="23"/>
  <c r="E5" i="223"/>
  <c r="Y19" i="29"/>
  <c r="G29" i="233"/>
  <c r="AA43" i="35"/>
  <c r="AD43" s="1"/>
  <c r="E35" i="78"/>
  <c r="S36"/>
  <c r="S37" i="75"/>
  <c r="E36"/>
  <c r="D28" i="212"/>
  <c r="V42" i="58"/>
  <c r="E28" i="212"/>
  <c r="O42" i="5"/>
  <c r="G29" i="212"/>
  <c r="S43" i="5"/>
  <c r="AZ43" i="58"/>
  <c r="G21" i="212"/>
  <c r="AZ35" i="58"/>
  <c r="S35" i="5"/>
  <c r="H25" i="212"/>
  <c r="U39" i="5"/>
  <c r="H21" i="212"/>
  <c r="U35" i="5"/>
  <c r="J26" i="212"/>
  <c r="Y40" i="5"/>
  <c r="CD40" i="58"/>
  <c r="J18" i="212"/>
  <c r="Y32" i="5"/>
  <c r="K24" i="212"/>
  <c r="AA38" i="5"/>
  <c r="CN38" i="58"/>
  <c r="K16" i="212"/>
  <c r="CN30" i="58"/>
  <c r="AA30" i="5"/>
  <c r="L28" i="212"/>
  <c r="CX42" i="58"/>
  <c r="AC42" i="5"/>
  <c r="L24" i="212"/>
  <c r="CX38" i="58"/>
  <c r="L16" i="212"/>
  <c r="CX30" i="58"/>
  <c r="L12" i="212"/>
  <c r="AC26" i="5"/>
  <c r="CZ46" i="58"/>
  <c r="L32" i="213"/>
  <c r="H20" i="26"/>
  <c r="H21" i="28"/>
  <c r="AO14" i="15"/>
  <c r="BE13" i="10"/>
  <c r="S27" i="29"/>
  <c r="T27" s="1"/>
  <c r="D13" i="224"/>
  <c r="S35" i="70"/>
  <c r="D34"/>
  <c r="AU26" i="29"/>
  <c r="H12" i="224"/>
  <c r="AF16" i="2"/>
  <c r="R13" i="37" s="1"/>
  <c r="AH16" i="2"/>
  <c r="S13" i="37" s="1"/>
  <c r="CU21" i="2"/>
  <c r="BC18" i="37" s="1"/>
  <c r="CQ21" i="2"/>
  <c r="BA18" i="37" s="1"/>
  <c r="CO21" i="2"/>
  <c r="AZ18" i="37" s="1"/>
  <c r="AS24" i="2"/>
  <c r="Y21" i="37" s="1"/>
  <c r="AQ24" i="2"/>
  <c r="X21" i="37" s="1"/>
  <c r="CU25" i="2"/>
  <c r="BC22" i="37" s="1"/>
  <c r="CS25" i="2"/>
  <c r="BB22" i="37" s="1"/>
  <c r="I31" i="2"/>
  <c r="E28" i="37" s="1"/>
  <c r="C31" i="2"/>
  <c r="B28" i="37" s="1"/>
  <c r="CL33" i="2"/>
  <c r="AX30" i="37" s="1"/>
  <c r="CH33" i="2"/>
  <c r="AV30" i="37" s="1"/>
  <c r="BB40" i="2"/>
  <c r="AD37" i="37" s="1"/>
  <c r="AX40" i="2"/>
  <c r="AB37" i="37" s="1"/>
  <c r="BB42" i="2"/>
  <c r="AD39" i="37" s="1"/>
  <c r="AZ42" i="2"/>
  <c r="AC39" i="37" s="1"/>
  <c r="L50" i="19"/>
  <c r="C21" i="132"/>
  <c r="L56" i="19"/>
  <c r="BM50" i="29"/>
  <c r="K21" i="169"/>
  <c r="AF50" i="29"/>
  <c r="F23" i="176"/>
  <c r="BA50" i="35"/>
  <c r="L21" i="179"/>
  <c r="BA53" i="35"/>
  <c r="AQ50"/>
  <c r="J21" i="179"/>
  <c r="W50" i="35"/>
  <c r="F21" i="179"/>
  <c r="Q40" i="5"/>
  <c r="F26" i="212"/>
  <c r="AP40" i="58"/>
  <c r="I40" i="5"/>
  <c r="B26" i="212"/>
  <c r="K37" i="5"/>
  <c r="C23" i="212"/>
  <c r="L37" i="58"/>
  <c r="Q33" i="5"/>
  <c r="F19" i="212"/>
  <c r="AP33" i="58"/>
  <c r="I33" i="5"/>
  <c r="B19" i="212"/>
  <c r="B33" i="58"/>
  <c r="B35" i="124" s="1"/>
  <c r="W26" i="5"/>
  <c r="I12" i="212"/>
  <c r="O26" i="5"/>
  <c r="E12" i="212"/>
  <c r="AF26" i="58"/>
  <c r="M21" i="5"/>
  <c r="D7" i="212"/>
  <c r="V21" i="58"/>
  <c r="G16" i="75"/>
  <c r="L37" i="215"/>
  <c r="L42"/>
  <c r="K6" i="70"/>
  <c r="B9" i="6"/>
  <c r="C9" s="1"/>
  <c r="E9" i="58" s="1"/>
  <c r="G31" i="213"/>
  <c r="BB45" i="58"/>
  <c r="K27" i="213"/>
  <c r="CP41" i="58"/>
  <c r="BB41"/>
  <c r="G27" i="213"/>
  <c r="C27"/>
  <c r="N41" i="58"/>
  <c r="CF40"/>
  <c r="J26" i="213"/>
  <c r="F26"/>
  <c r="AR40" i="58"/>
  <c r="D40"/>
  <c r="D42" i="124" s="1"/>
  <c r="B26" i="213"/>
  <c r="CP39" i="58"/>
  <c r="K25" i="213"/>
  <c r="G25"/>
  <c r="BB39" i="58"/>
  <c r="BL38"/>
  <c r="H24" i="213"/>
  <c r="CP37" i="58"/>
  <c r="K23" i="213"/>
  <c r="N37" i="58"/>
  <c r="C23" i="213"/>
  <c r="CF36" i="58"/>
  <c r="J22" i="213"/>
  <c r="X36" i="58"/>
  <c r="D22" i="213"/>
  <c r="BB35" i="58"/>
  <c r="G21" i="213"/>
  <c r="C21"/>
  <c r="N35" i="58"/>
  <c r="CZ34"/>
  <c r="L20" i="213"/>
  <c r="H20"/>
  <c r="BL34" i="58"/>
  <c r="L28" i="217"/>
  <c r="CX42" i="19"/>
  <c r="H27" i="217"/>
  <c r="BJ41" i="19"/>
  <c r="H26" i="217"/>
  <c r="BJ40" i="19"/>
  <c r="H25" i="217"/>
  <c r="BJ39" i="19"/>
  <c r="H24" i="217"/>
  <c r="BJ38" i="19"/>
  <c r="H23" i="217"/>
  <c r="BJ37" i="19"/>
  <c r="H21" i="217"/>
  <c r="BJ35" i="19"/>
  <c r="L19" i="217"/>
  <c r="CX33" i="19"/>
  <c r="L18" i="217"/>
  <c r="CX32" i="19"/>
  <c r="L16" i="217"/>
  <c r="CX30" i="19"/>
  <c r="L14" i="217"/>
  <c r="CX28" i="19"/>
  <c r="L11" i="217"/>
  <c r="CX25" i="19"/>
  <c r="L10" i="217"/>
  <c r="CX24" i="19"/>
  <c r="L9" i="217"/>
  <c r="CX23" i="19"/>
  <c r="H9" i="217"/>
  <c r="BJ23" i="19"/>
  <c r="H8" i="217"/>
  <c r="BJ22" i="19"/>
  <c r="H7" i="217"/>
  <c r="BJ21" i="19"/>
  <c r="S25" i="64"/>
  <c r="T25" s="1"/>
  <c r="U25" s="1"/>
  <c r="F13" i="227"/>
  <c r="G17" i="210"/>
  <c r="BE31" i="19"/>
  <c r="L16" i="210"/>
  <c r="DC30" i="19"/>
  <c r="H15" i="210"/>
  <c r="BO29" i="19"/>
  <c r="B15" i="210"/>
  <c r="G29" i="19"/>
  <c r="AR30"/>
  <c r="F16" i="219"/>
  <c r="CF28" i="19"/>
  <c r="J14" i="219"/>
  <c r="CZ26" i="19"/>
  <c r="L12" i="219"/>
  <c r="BL26" i="19"/>
  <c r="H12" i="219"/>
  <c r="AH24" i="19"/>
  <c r="E10" i="219"/>
  <c r="D27" i="220"/>
  <c r="Y41" i="19"/>
  <c r="F26" i="220"/>
  <c r="AS40" i="19"/>
  <c r="G24" i="220"/>
  <c r="BC38" i="19"/>
  <c r="D24" i="220"/>
  <c r="Y38" i="19"/>
  <c r="F23" i="220"/>
  <c r="AS37" i="19"/>
  <c r="BM36"/>
  <c r="H22" i="220"/>
  <c r="L21"/>
  <c r="DA35" i="19"/>
  <c r="J22" i="16"/>
  <c r="K22" s="1"/>
  <c r="L22" s="1"/>
  <c r="I21"/>
  <c r="J38" i="232"/>
  <c r="J43"/>
  <c r="B38"/>
  <c r="B43"/>
  <c r="CC40" i="2"/>
  <c r="AS37" i="37" s="1"/>
  <c r="CA40" i="2"/>
  <c r="AR37" i="37" s="1"/>
  <c r="I36" i="2"/>
  <c r="E33" i="37" s="1"/>
  <c r="G36" i="2"/>
  <c r="D33" i="37" s="1"/>
  <c r="BK32" i="2"/>
  <c r="AI29" i="37" s="1"/>
  <c r="BI32" i="2"/>
  <c r="AH29" i="37" s="1"/>
  <c r="N31" i="2"/>
  <c r="H28" i="37" s="1"/>
  <c r="P31" i="2"/>
  <c r="I28" i="37" s="1"/>
  <c r="AO22" i="2"/>
  <c r="W19" i="37" s="1"/>
  <c r="AQ22" i="2"/>
  <c r="X19" i="37" s="1"/>
  <c r="E34" i="72"/>
  <c r="S35"/>
  <c r="L16"/>
  <c r="D5" i="215" s="1"/>
  <c r="F19" i="6"/>
  <c r="L24" i="78"/>
  <c r="J13" i="215" s="1"/>
  <c r="R27" i="6"/>
  <c r="S27" s="1"/>
  <c r="CG27" i="58" s="1"/>
  <c r="P26" i="6"/>
  <c r="Q26" s="1"/>
  <c r="BW26" i="58" s="1"/>
  <c r="L23" i="77"/>
  <c r="I12" i="215" s="1"/>
  <c r="C34" i="214"/>
  <c r="C47" i="4"/>
  <c r="C46"/>
  <c r="Q48" i="58"/>
  <c r="Q52" s="1"/>
  <c r="L5" i="31"/>
  <c r="L6" i="32"/>
  <c r="V8" i="33" s="1"/>
  <c r="G23" i="28"/>
  <c r="G22" i="26"/>
  <c r="Z13" i="18"/>
  <c r="AF13" s="1"/>
  <c r="AH13" s="1"/>
  <c r="AI13" s="1"/>
  <c r="P14" i="19" s="1"/>
  <c r="Z18" i="18"/>
  <c r="Z22"/>
  <c r="Z26"/>
  <c r="Z30"/>
  <c r="Z34"/>
  <c r="Z38"/>
  <c r="Z42"/>
  <c r="Z12"/>
  <c r="Z16"/>
  <c r="Z21"/>
  <c r="Z25"/>
  <c r="Z29"/>
  <c r="Z33"/>
  <c r="Z37"/>
  <c r="Z41"/>
  <c r="Z19"/>
  <c r="Z27"/>
  <c r="Z35"/>
  <c r="Z43"/>
  <c r="EB13"/>
  <c r="EB18"/>
  <c r="EB22"/>
  <c r="EB26"/>
  <c r="EB30"/>
  <c r="EB34"/>
  <c r="EB38"/>
  <c r="EB42"/>
  <c r="EB12"/>
  <c r="EB16"/>
  <c r="EB21"/>
  <c r="EB25"/>
  <c r="EB29"/>
  <c r="EB33"/>
  <c r="EB37"/>
  <c r="EB41"/>
  <c r="EB19"/>
  <c r="EB27"/>
  <c r="EB35"/>
  <c r="EB43"/>
  <c r="AA15" i="10"/>
  <c r="U16" i="15"/>
  <c r="AB16" i="10"/>
  <c r="AO8" i="2"/>
  <c r="W5" i="37" s="1"/>
  <c r="AM8" i="2"/>
  <c r="V5" i="37" s="1"/>
  <c r="BB17" i="2"/>
  <c r="AD14" i="37" s="1"/>
  <c r="AX17" i="2"/>
  <c r="AB14" i="37" s="1"/>
  <c r="AV17" i="2"/>
  <c r="AA14" i="37" s="1"/>
  <c r="AA21" i="2"/>
  <c r="O18" i="37" s="1"/>
  <c r="Y21" i="2"/>
  <c r="N18" i="37" s="1"/>
  <c r="CL26" i="2"/>
  <c r="AX23" i="37" s="1"/>
  <c r="CH26" i="2"/>
  <c r="AV23" i="37" s="1"/>
  <c r="I29" i="2"/>
  <c r="E26" i="37" s="1"/>
  <c r="G29" i="2"/>
  <c r="D26" i="37" s="1"/>
  <c r="CU37" i="2"/>
  <c r="BC34" i="37" s="1"/>
  <c r="CQ37" i="2"/>
  <c r="BA34" i="37" s="1"/>
  <c r="CO37" i="2"/>
  <c r="AZ34" i="37" s="1"/>
  <c r="L67" i="58"/>
  <c r="L68"/>
  <c r="CX50"/>
  <c r="CX56"/>
  <c r="CX65"/>
  <c r="V50"/>
  <c r="V65"/>
  <c r="V67" i="19"/>
  <c r="V68"/>
  <c r="D41" i="133"/>
  <c r="D68" i="19"/>
  <c r="V50"/>
  <c r="D21" i="132"/>
  <c r="BB50" i="35"/>
  <c r="L21" i="177"/>
  <c r="BB53" i="35"/>
  <c r="AR50"/>
  <c r="J21" i="177"/>
  <c r="AR53" i="35"/>
  <c r="AH50"/>
  <c r="H21" i="177"/>
  <c r="X50" i="35"/>
  <c r="F21" i="177"/>
  <c r="M50" i="35"/>
  <c r="D21" i="179"/>
  <c r="C50" i="35"/>
  <c r="B21" i="179"/>
  <c r="I43" i="5"/>
  <c r="B29" i="212"/>
  <c r="W39" i="5"/>
  <c r="I25" i="212"/>
  <c r="BT39" i="58"/>
  <c r="Q36" i="5"/>
  <c r="F22" i="212"/>
  <c r="AP36" i="58"/>
  <c r="M36" i="5"/>
  <c r="D22" i="212"/>
  <c r="V36" i="58"/>
  <c r="I36" i="5"/>
  <c r="B22" i="212"/>
  <c r="B36" i="58"/>
  <c r="B38" i="124" s="1"/>
  <c r="I18" i="212"/>
  <c r="BT32" i="58"/>
  <c r="W32" i="5"/>
  <c r="G17" i="212"/>
  <c r="S31" i="5"/>
  <c r="AZ31" i="58"/>
  <c r="O31" i="5"/>
  <c r="E17" i="212"/>
  <c r="AF31" i="58"/>
  <c r="K31" i="5"/>
  <c r="C17" i="212"/>
  <c r="L31" i="58"/>
  <c r="S27" i="5"/>
  <c r="G13" i="212"/>
  <c r="G43" s="1"/>
  <c r="AZ27" i="58"/>
  <c r="O27" i="5"/>
  <c r="E13" i="212"/>
  <c r="K27" i="5"/>
  <c r="C13" i="212"/>
  <c r="I10"/>
  <c r="W24" i="5"/>
  <c r="BT24" i="58"/>
  <c r="Q23" i="5"/>
  <c r="F9" i="212"/>
  <c r="M23" i="5"/>
  <c r="D9" i="212"/>
  <c r="I23" i="5"/>
  <c r="B9" i="212"/>
  <c r="B23" i="58"/>
  <c r="B25" i="124" s="1"/>
  <c r="F6" i="212"/>
  <c r="Q20" i="5"/>
  <c r="M20"/>
  <c r="D6" i="212"/>
  <c r="V20" i="58"/>
  <c r="I20" i="5"/>
  <c r="B6" i="212"/>
  <c r="B20" i="58"/>
  <c r="B22" i="124" s="1"/>
  <c r="K5" i="212"/>
  <c r="CN19" i="58"/>
  <c r="I5" i="212"/>
  <c r="BT19" i="58"/>
  <c r="G5" i="212"/>
  <c r="AZ19" i="58"/>
  <c r="E5" i="212"/>
  <c r="AF19" i="58"/>
  <c r="C5" i="212"/>
  <c r="L19" i="58"/>
  <c r="AK44" i="3"/>
  <c r="J30" i="211"/>
  <c r="U44" i="3"/>
  <c r="F30" i="211"/>
  <c r="AG43" i="3"/>
  <c r="I29" i="211"/>
  <c r="Q43" i="3"/>
  <c r="E29" i="211"/>
  <c r="AS42" i="3"/>
  <c r="L28" i="211"/>
  <c r="AC42" i="3"/>
  <c r="H28" i="211"/>
  <c r="M42" i="3"/>
  <c r="D28" i="211"/>
  <c r="AO41" i="3"/>
  <c r="K27" i="211"/>
  <c r="Y41" i="3"/>
  <c r="G27" i="211"/>
  <c r="I41" i="3"/>
  <c r="C27" i="211"/>
  <c r="AK40" i="3"/>
  <c r="J26" i="211"/>
  <c r="U40" i="3"/>
  <c r="F26" i="211"/>
  <c r="E40" i="3"/>
  <c r="B26" i="211"/>
  <c r="AG39" i="3"/>
  <c r="I25" i="211"/>
  <c r="Q39" i="3"/>
  <c r="E25" i="211"/>
  <c r="AS38" i="3"/>
  <c r="L24" i="211"/>
  <c r="AC38" i="3"/>
  <c r="H24" i="211"/>
  <c r="M38" i="3"/>
  <c r="D24" i="211"/>
  <c r="AO37" i="3"/>
  <c r="K23" i="211"/>
  <c r="Y37" i="3"/>
  <c r="G23" i="211"/>
  <c r="I37" i="3"/>
  <c r="C23" i="211"/>
  <c r="AK36" i="3"/>
  <c r="J22" i="211"/>
  <c r="U36" i="3"/>
  <c r="F22" i="211"/>
  <c r="E36" i="3"/>
  <c r="B22" i="211"/>
  <c r="AG35" i="3"/>
  <c r="I21" i="211"/>
  <c r="Q35" i="3"/>
  <c r="E21" i="211"/>
  <c r="AS34" i="3"/>
  <c r="L20" i="211"/>
  <c r="AC34" i="3"/>
  <c r="H20" i="211"/>
  <c r="M34" i="3"/>
  <c r="D20" i="211"/>
  <c r="AO33" i="3"/>
  <c r="K19" i="211"/>
  <c r="Y33" i="3"/>
  <c r="G19" i="211"/>
  <c r="I33" i="3"/>
  <c r="C19" i="211"/>
  <c r="AK32" i="3"/>
  <c r="J18" i="211"/>
  <c r="U32" i="3"/>
  <c r="F18" i="211"/>
  <c r="E32" i="3"/>
  <c r="B18" i="211"/>
  <c r="AG31" i="3"/>
  <c r="I17" i="211"/>
  <c r="Q31" i="3"/>
  <c r="E17" i="211"/>
  <c r="AS30" i="3"/>
  <c r="L16" i="211"/>
  <c r="AC30" i="3"/>
  <c r="H16" i="211"/>
  <c r="M30" i="3"/>
  <c r="D16" i="211"/>
  <c r="AO29" i="3"/>
  <c r="K15" i="211"/>
  <c r="Y29" i="3"/>
  <c r="G15" i="211"/>
  <c r="I29" i="3"/>
  <c r="C15" i="211"/>
  <c r="AK28" i="3"/>
  <c r="J14" i="211"/>
  <c r="U28" i="3"/>
  <c r="F14" i="211"/>
  <c r="E28" i="3"/>
  <c r="B14" i="211"/>
  <c r="AG27" i="3"/>
  <c r="I13" i="211"/>
  <c r="Q27" i="3"/>
  <c r="E13" i="211"/>
  <c r="AS26" i="3"/>
  <c r="L12" i="211"/>
  <c r="AC26" i="3"/>
  <c r="H12" i="211"/>
  <c r="M26" i="3"/>
  <c r="D12" i="211"/>
  <c r="AO25" i="3"/>
  <c r="K11" i="211"/>
  <c r="Y25" i="3"/>
  <c r="G11" i="211"/>
  <c r="I25" i="3"/>
  <c r="C11" i="211"/>
  <c r="AK24" i="3"/>
  <c r="J10" i="211"/>
  <c r="U24" i="3"/>
  <c r="F10" i="211"/>
  <c r="E24" i="3"/>
  <c r="B10" i="211"/>
  <c r="AG23" i="3"/>
  <c r="I9" i="211"/>
  <c r="Q23" i="3"/>
  <c r="E9" i="211"/>
  <c r="AS22" i="3"/>
  <c r="L8" i="211"/>
  <c r="AC22" i="3"/>
  <c r="H8" i="211"/>
  <c r="M22" i="3"/>
  <c r="D8" i="211"/>
  <c r="AO21" i="3"/>
  <c r="K7" i="211"/>
  <c r="Y21" i="3"/>
  <c r="G7" i="211"/>
  <c r="I21" i="3"/>
  <c r="C7" i="211"/>
  <c r="AK20" i="3"/>
  <c r="J6" i="211"/>
  <c r="U20" i="3"/>
  <c r="F6" i="211"/>
  <c r="E20" i="3"/>
  <c r="B6" i="211"/>
  <c r="J10" i="4"/>
  <c r="F10"/>
  <c r="B10"/>
  <c r="F34" i="5"/>
  <c r="H34" s="1"/>
  <c r="C35"/>
  <c r="I22" i="71"/>
  <c r="H23"/>
  <c r="M19" i="6"/>
  <c r="BC19" i="58" s="1"/>
  <c r="L9" i="6"/>
  <c r="H42" i="215"/>
  <c r="H37"/>
  <c r="I42"/>
  <c r="I37"/>
  <c r="F7" i="70"/>
  <c r="E8"/>
  <c r="F8" s="1"/>
  <c r="I31" i="213"/>
  <c r="BV45" i="58"/>
  <c r="K30" i="213"/>
  <c r="CP44" i="58"/>
  <c r="B30" i="217"/>
  <c r="B44" i="19"/>
  <c r="B47" i="133" s="1"/>
  <c r="I29" i="217"/>
  <c r="BT43" i="19"/>
  <c r="B28" i="217"/>
  <c r="B42" i="19"/>
  <c r="B45" i="133" s="1"/>
  <c r="B25" i="217"/>
  <c r="B39" i="19"/>
  <c r="B42" i="133" s="1"/>
  <c r="I24" i="217"/>
  <c r="BT38" i="19"/>
  <c r="B24" i="217"/>
  <c r="B38" i="19"/>
  <c r="I23" i="217"/>
  <c r="BT37" i="19"/>
  <c r="B23" i="217"/>
  <c r="B37" i="19"/>
  <c r="B40" i="133" s="1"/>
  <c r="I22" i="217"/>
  <c r="BT36" i="19"/>
  <c r="B22" i="217"/>
  <c r="B36" i="19"/>
  <c r="B39" i="133" s="1"/>
  <c r="I21" i="217"/>
  <c r="BT35" i="19"/>
  <c r="B21" i="217"/>
  <c r="B35" i="19"/>
  <c r="B38" i="133" s="1"/>
  <c r="B20" i="217"/>
  <c r="B34" i="19"/>
  <c r="B37" i="133" s="1"/>
  <c r="I19" i="217"/>
  <c r="BT33" i="19"/>
  <c r="I18" i="217"/>
  <c r="BT32" i="19"/>
  <c r="I17" i="217"/>
  <c r="BT31" i="19"/>
  <c r="I14" i="217"/>
  <c r="BT28" i="19"/>
  <c r="B14" i="217"/>
  <c r="B28" i="19"/>
  <c r="B31" i="133" s="1"/>
  <c r="I13" i="217"/>
  <c r="BT27" i="19"/>
  <c r="B13" i="217"/>
  <c r="B27" i="19"/>
  <c r="I12" i="217"/>
  <c r="BT26" i="19"/>
  <c r="I11" i="217"/>
  <c r="BT25" i="19"/>
  <c r="B11" i="217"/>
  <c r="B25" i="19"/>
  <c r="B28" i="133" s="1"/>
  <c r="I9" i="217"/>
  <c r="BT23" i="19"/>
  <c r="B9" i="217"/>
  <c r="B23" i="19"/>
  <c r="B26" i="133" s="1"/>
  <c r="B8" i="217"/>
  <c r="B22" i="19"/>
  <c r="B25" i="133" s="1"/>
  <c r="B7" i="217"/>
  <c r="B21" i="19"/>
  <c r="B24" i="133" s="1"/>
  <c r="I6" i="217"/>
  <c r="BT20" i="19"/>
  <c r="B6" i="217"/>
  <c r="B20" i="19"/>
  <c r="B23" i="133" s="1"/>
  <c r="Y50" i="9"/>
  <c r="I5" i="217"/>
  <c r="BT19" i="19"/>
  <c r="D50" i="9"/>
  <c r="B5" i="217"/>
  <c r="B19" i="19"/>
  <c r="AS17" i="15"/>
  <c r="BK16" i="10"/>
  <c r="AG17" i="15"/>
  <c r="AS16" i="10"/>
  <c r="D17"/>
  <c r="C17" i="16"/>
  <c r="D17" s="1"/>
  <c r="E17" i="19" s="1"/>
  <c r="AE25" i="64"/>
  <c r="AF25" s="1"/>
  <c r="AG25" s="1"/>
  <c r="I13" i="227"/>
  <c r="W25" i="64"/>
  <c r="X25" s="1"/>
  <c r="Y25" s="1"/>
  <c r="G13" i="227"/>
  <c r="K25" i="64"/>
  <c r="L25" s="1"/>
  <c r="M25" s="1"/>
  <c r="D13" i="227"/>
  <c r="F23" i="210"/>
  <c r="AU37" i="19"/>
  <c r="K22" i="210"/>
  <c r="CS36" i="19"/>
  <c r="H22" i="210"/>
  <c r="BO36" i="19"/>
  <c r="F21" i="210"/>
  <c r="AU35" i="19"/>
  <c r="C21" i="210"/>
  <c r="Q35" i="19"/>
  <c r="K20" i="210"/>
  <c r="CS34" i="19"/>
  <c r="I18" i="210"/>
  <c r="BY32" i="19"/>
  <c r="B17" i="210"/>
  <c r="G31" i="19"/>
  <c r="J16" i="210"/>
  <c r="CI30" i="19"/>
  <c r="D16" i="210"/>
  <c r="AA30" i="19"/>
  <c r="L15" i="210"/>
  <c r="DC29" i="19"/>
  <c r="G14" i="210"/>
  <c r="BE28" i="19"/>
  <c r="D41"/>
  <c r="D44" i="133" s="1"/>
  <c r="B27" i="219"/>
  <c r="BE42" i="13"/>
  <c r="BF41"/>
  <c r="CF24" i="19"/>
  <c r="J10" i="219"/>
  <c r="AR24" i="19"/>
  <c r="F10" i="219"/>
  <c r="J7"/>
  <c r="CF21" i="19"/>
  <c r="CF20"/>
  <c r="J6" i="219"/>
  <c r="AR20" i="19"/>
  <c r="F6" i="219"/>
  <c r="Z10" i="13"/>
  <c r="AA11"/>
  <c r="H31" i="14"/>
  <c r="K31"/>
  <c r="I31"/>
  <c r="Q31"/>
  <c r="AR31" i="15" s="1"/>
  <c r="AT31" s="1"/>
  <c r="AU31" s="1"/>
  <c r="M31" i="14"/>
  <c r="H27"/>
  <c r="K27"/>
  <c r="I27"/>
  <c r="L27" i="15" s="1"/>
  <c r="N27" s="1"/>
  <c r="O27" s="1"/>
  <c r="Q27" i="14"/>
  <c r="AR27" i="15" s="1"/>
  <c r="AT27" s="1"/>
  <c r="AU27" s="1"/>
  <c r="O27" i="14"/>
  <c r="AJ27" i="15" s="1"/>
  <c r="AL27" s="1"/>
  <c r="AM27" s="1"/>
  <c r="J26" i="220"/>
  <c r="CG40" i="19"/>
  <c r="L25" i="220"/>
  <c r="DA39" i="19"/>
  <c r="F25" i="220"/>
  <c r="AS39" i="19"/>
  <c r="D23" i="220"/>
  <c r="Y37" i="19"/>
  <c r="I22" i="220"/>
  <c r="BW36" i="19"/>
  <c r="E22" i="220"/>
  <c r="AI36" i="19"/>
  <c r="B22" i="220"/>
  <c r="E36" i="19"/>
  <c r="E39" i="133" s="1"/>
  <c r="CG35" i="19"/>
  <c r="J21" i="220"/>
  <c r="D21"/>
  <c r="Y35" i="19"/>
  <c r="E19" i="220"/>
  <c r="AI33" i="19"/>
  <c r="B19" i="220"/>
  <c r="E33" i="19"/>
  <c r="E36" i="133" s="1"/>
  <c r="CG32" i="19"/>
  <c r="J18" i="220"/>
  <c r="G18"/>
  <c r="BC32" i="19"/>
  <c r="L17" i="220"/>
  <c r="DA31" i="19"/>
  <c r="L14" i="220"/>
  <c r="DA28" i="19"/>
  <c r="L13" i="220"/>
  <c r="L38" s="1"/>
  <c r="DA27" i="19"/>
  <c r="I13" i="220"/>
  <c r="BW27" i="19"/>
  <c r="L11" i="220"/>
  <c r="DA25" i="19"/>
  <c r="I10" i="220"/>
  <c r="BW24" i="19"/>
  <c r="F10" i="220"/>
  <c r="AS24" i="19"/>
  <c r="AO20" i="16"/>
  <c r="AP21"/>
  <c r="AQ21" s="1"/>
  <c r="AR21" s="1"/>
  <c r="G8" i="220"/>
  <c r="BC22" i="19"/>
  <c r="N22" i="16"/>
  <c r="O22" s="1"/>
  <c r="P22" s="1"/>
  <c r="M21"/>
  <c r="ES32" i="18"/>
  <c r="ES23"/>
  <c r="CC42"/>
  <c r="CC33"/>
  <c r="AM23"/>
  <c r="H24" i="69"/>
  <c r="F54"/>
  <c r="Y10" i="18"/>
  <c r="Z10" s="1"/>
  <c r="Y11"/>
  <c r="FA11"/>
  <c r="FB11" s="1"/>
  <c r="B14" i="6"/>
  <c r="C14" s="1"/>
  <c r="E14" i="58" s="1"/>
  <c r="F35" i="15"/>
  <c r="G35" s="1"/>
  <c r="F27"/>
  <c r="G27" s="1"/>
  <c r="AL35"/>
  <c r="AM35" s="1"/>
  <c r="T34"/>
  <c r="V34" s="1"/>
  <c r="W34" s="1"/>
  <c r="AJ31"/>
  <c r="AL31" s="1"/>
  <c r="AM31" s="1"/>
  <c r="AR21"/>
  <c r="AT21" s="1"/>
  <c r="AU21" s="1"/>
  <c r="T19" i="72"/>
  <c r="S21" s="1"/>
  <c r="F27" s="1"/>
  <c r="BW12" i="2"/>
  <c r="AP9" i="37" s="1"/>
  <c r="N41" i="2"/>
  <c r="H38" i="37" s="1"/>
  <c r="W34" i="2"/>
  <c r="M31" i="37" s="1"/>
  <c r="BV39" i="58"/>
  <c r="BB37"/>
  <c r="CP35"/>
  <c r="AF66"/>
  <c r="L66"/>
  <c r="CX26"/>
  <c r="AZ25"/>
  <c r="CX43" i="19"/>
  <c r="BC41"/>
  <c r="BO37"/>
  <c r="CX34"/>
  <c r="BJ34"/>
  <c r="AU33"/>
  <c r="CX31"/>
  <c r="AU31"/>
  <c r="BJ29"/>
  <c r="BJ28"/>
  <c r="CX26"/>
  <c r="AI25"/>
  <c r="CX21"/>
  <c r="CX20"/>
  <c r="F10" i="41"/>
  <c r="F11" s="1"/>
  <c r="AC30" i="5"/>
  <c r="AR14" i="3"/>
  <c r="AS14" s="1"/>
  <c r="AB14"/>
  <c r="AC14" s="1"/>
  <c r="L14"/>
  <c r="M14" s="1"/>
  <c r="D19" i="6"/>
  <c r="J25"/>
  <c r="K25" s="1"/>
  <c r="AS25" i="58" s="1"/>
  <c r="D9" i="74"/>
  <c r="L20" i="6"/>
  <c r="M20" s="1"/>
  <c r="BC20" i="58" s="1"/>
  <c r="P22" i="6"/>
  <c r="Q22" s="1"/>
  <c r="BW22" i="58" s="1"/>
  <c r="L18" i="80"/>
  <c r="L7" i="215" s="1"/>
  <c r="AB33" i="15"/>
  <c r="AD33" s="1"/>
  <c r="AE33" s="1"/>
  <c r="N33"/>
  <c r="O33" s="1"/>
  <c r="AP32"/>
  <c r="AQ32" s="1"/>
  <c r="X32"/>
  <c r="Z32" s="1"/>
  <c r="AA32" s="1"/>
  <c r="H32"/>
  <c r="J32" s="1"/>
  <c r="K32" s="1"/>
  <c r="L29"/>
  <c r="N29" s="1"/>
  <c r="O29" s="1"/>
  <c r="AN28"/>
  <c r="AP28" s="1"/>
  <c r="AQ28" s="1"/>
  <c r="T27"/>
  <c r="V27" s="1"/>
  <c r="W27" s="1"/>
  <c r="AH26"/>
  <c r="AI26" s="1"/>
  <c r="R26"/>
  <c r="S26" s="1"/>
  <c r="G12" i="13"/>
  <c r="O41" i="14"/>
  <c r="G39"/>
  <c r="G37"/>
  <c r="J37" s="1"/>
  <c r="P37" i="15" s="1"/>
  <c r="R37" s="1"/>
  <c r="S37" s="1"/>
  <c r="BC20" i="19"/>
  <c r="G6" i="220"/>
  <c r="BW26" i="29"/>
  <c r="L12" i="224"/>
  <c r="C23" i="28"/>
  <c r="C22" i="26"/>
  <c r="AM12" i="18"/>
  <c r="AM16"/>
  <c r="AM21"/>
  <c r="AM25"/>
  <c r="AM29"/>
  <c r="AM33"/>
  <c r="AM37"/>
  <c r="AM41"/>
  <c r="AM15"/>
  <c r="AM20"/>
  <c r="AM24"/>
  <c r="AM28"/>
  <c r="AM32"/>
  <c r="AM36"/>
  <c r="AM40"/>
  <c r="AM44"/>
  <c r="AM18"/>
  <c r="AM26"/>
  <c r="AM34"/>
  <c r="AM42"/>
  <c r="GA16"/>
  <c r="GA24"/>
  <c r="GA32"/>
  <c r="GA40"/>
  <c r="GA14"/>
  <c r="GA22"/>
  <c r="GA30"/>
  <c r="GA38"/>
  <c r="GA12"/>
  <c r="GA28"/>
  <c r="GA44"/>
  <c r="E17" i="2"/>
  <c r="C14" i="37" s="1"/>
  <c r="G17" i="2"/>
  <c r="D14" i="37" s="1"/>
  <c r="I32" i="2"/>
  <c r="E29" i="37" s="1"/>
  <c r="E32" i="2"/>
  <c r="C29" i="37" s="1"/>
  <c r="CU32" i="2"/>
  <c r="BC29" i="37" s="1"/>
  <c r="CQ32" i="2"/>
  <c r="BA29" i="37" s="1"/>
  <c r="AS38" i="2"/>
  <c r="Y35" i="37" s="1"/>
  <c r="AQ38" i="2"/>
  <c r="X35" i="37" s="1"/>
  <c r="CU43" i="2"/>
  <c r="BC40" i="37" s="1"/>
  <c r="CO43" i="2"/>
  <c r="AZ40" i="37" s="1"/>
  <c r="AP67" i="58"/>
  <c r="AP68"/>
  <c r="AF67" i="19"/>
  <c r="AF68"/>
  <c r="BH50" i="29"/>
  <c r="J23" i="176"/>
  <c r="T48" i="33"/>
  <c r="K21" i="173"/>
  <c r="K30" i="5"/>
  <c r="C16" i="212"/>
  <c r="L30" i="58"/>
  <c r="Q29" i="5"/>
  <c r="F15" i="212"/>
  <c r="I29" i="5"/>
  <c r="B15" i="212"/>
  <c r="B29" i="58"/>
  <c r="B31" i="124" s="1"/>
  <c r="W25" i="5"/>
  <c r="I11" i="212"/>
  <c r="BT25" i="58"/>
  <c r="O25" i="5"/>
  <c r="E11" i="212"/>
  <c r="AF25" i="58"/>
  <c r="F6" i="72"/>
  <c r="G6" s="1"/>
  <c r="I23" i="74"/>
  <c r="H24"/>
  <c r="I24" s="1"/>
  <c r="J27" i="6" s="1"/>
  <c r="K27" s="1"/>
  <c r="AS27" i="58" s="1"/>
  <c r="I18" i="75"/>
  <c r="H19"/>
  <c r="I19" s="1"/>
  <c r="L22" i="6" s="1"/>
  <c r="M22" s="1"/>
  <c r="BC22" i="58" s="1"/>
  <c r="G5" i="78"/>
  <c r="F6"/>
  <c r="G6" s="1"/>
  <c r="P47" i="70"/>
  <c r="G28" i="79" s="1"/>
  <c r="P46" i="70"/>
  <c r="AA25" i="64"/>
  <c r="AB25" s="1"/>
  <c r="AC25" s="1"/>
  <c r="H13" i="227"/>
  <c r="G20" i="210"/>
  <c r="BE34" i="19"/>
  <c r="L19" i="210"/>
  <c r="DC33" i="19"/>
  <c r="G18" i="210"/>
  <c r="BE32" i="19"/>
  <c r="L17" i="210"/>
  <c r="DC31" i="19"/>
  <c r="B26" i="219"/>
  <c r="D40" i="19"/>
  <c r="D43" i="133" s="1"/>
  <c r="AX42" i="13"/>
  <c r="BA41"/>
  <c r="AH30" i="19"/>
  <c r="E16" i="219"/>
  <c r="H38" i="14"/>
  <c r="O38"/>
  <c r="H23"/>
  <c r="H23" i="15" s="1"/>
  <c r="J23" s="1"/>
  <c r="K23" s="1"/>
  <c r="K23" i="14"/>
  <c r="T23" i="15" s="1"/>
  <c r="V23" s="1"/>
  <c r="W23" s="1"/>
  <c r="I23" i="14"/>
  <c r="Q23"/>
  <c r="AR23" i="15" s="1"/>
  <c r="AT23" s="1"/>
  <c r="AU23" s="1"/>
  <c r="M23" i="14"/>
  <c r="ES13" i="18"/>
  <c r="ES18"/>
  <c r="ES22"/>
  <c r="ES26"/>
  <c r="ES30"/>
  <c r="ES34"/>
  <c r="ES38"/>
  <c r="ES42"/>
  <c r="ES12"/>
  <c r="ES16"/>
  <c r="ES21"/>
  <c r="ES25"/>
  <c r="ES29"/>
  <c r="ES33"/>
  <c r="ES37"/>
  <c r="ES41"/>
  <c r="ES20"/>
  <c r="ES28"/>
  <c r="ES36"/>
  <c r="ES44"/>
  <c r="E34" i="69"/>
  <c r="H34"/>
  <c r="I34"/>
  <c r="CC15" i="18"/>
  <c r="CC20"/>
  <c r="CC24"/>
  <c r="CC28"/>
  <c r="CC32"/>
  <c r="CC36"/>
  <c r="CC40"/>
  <c r="CC44"/>
  <c r="CC14"/>
  <c r="CC19"/>
  <c r="CC23"/>
  <c r="CC27"/>
  <c r="CC31"/>
  <c r="CC35"/>
  <c r="CC39"/>
  <c r="CC43"/>
  <c r="CC12"/>
  <c r="CC21"/>
  <c r="CC29"/>
  <c r="CC37"/>
  <c r="E14" i="69"/>
  <c r="AK47" i="18" s="1"/>
  <c r="H14" i="69"/>
  <c r="I14"/>
  <c r="G14"/>
  <c r="CO11" i="18"/>
  <c r="CP11" s="1"/>
  <c r="CU10"/>
  <c r="CK11"/>
  <c r="CI11"/>
  <c r="CJ11" s="1"/>
  <c r="CG43" i="19"/>
  <c r="J29" i="220"/>
  <c r="B29"/>
  <c r="E43" i="19"/>
  <c r="E46" i="133" s="1"/>
  <c r="L27" i="220"/>
  <c r="DA41" i="19"/>
  <c r="I27" i="220"/>
  <c r="BW41" i="19"/>
  <c r="C27" i="220"/>
  <c r="O41" i="19"/>
  <c r="G19" i="220"/>
  <c r="BC33" i="19"/>
  <c r="B17" i="220"/>
  <c r="E31" i="19"/>
  <c r="E34" i="133" s="1"/>
  <c r="L15" i="220"/>
  <c r="DA29" i="19"/>
  <c r="J10" i="220"/>
  <c r="CG24" i="19"/>
  <c r="B10" i="220"/>
  <c r="E24" i="19"/>
  <c r="E27" i="133" s="1"/>
  <c r="AS23" i="19"/>
  <c r="F9" i="220"/>
  <c r="D30" i="232"/>
  <c r="D10" i="41"/>
  <c r="D11" s="1"/>
  <c r="D12" s="1"/>
  <c r="D13" s="1"/>
  <c r="D42" s="1"/>
  <c r="I38" i="232"/>
  <c r="I43"/>
  <c r="B42"/>
  <c r="B37"/>
  <c r="L41"/>
  <c r="L36"/>
  <c r="D41"/>
  <c r="D36"/>
  <c r="AM45" i="29"/>
  <c r="AO45" s="1"/>
  <c r="G31" i="223"/>
  <c r="J30"/>
  <c r="J19" i="41"/>
  <c r="BH44" i="29"/>
  <c r="B30" i="223"/>
  <c r="B19" i="41"/>
  <c r="D44" i="29"/>
  <c r="K28" i="171" s="1"/>
  <c r="E29" i="223"/>
  <c r="Y43" i="29"/>
  <c r="H28" i="223"/>
  <c r="AT42" i="29"/>
  <c r="K27" i="223"/>
  <c r="BO41" i="29"/>
  <c r="C27" i="223"/>
  <c r="K41" i="29"/>
  <c r="F26" i="223"/>
  <c r="AF40" i="29"/>
  <c r="I25" i="223"/>
  <c r="BA39" i="29"/>
  <c r="L24" i="223"/>
  <c r="BV38" i="29"/>
  <c r="D24" i="223"/>
  <c r="R38" i="29"/>
  <c r="G23" i="223"/>
  <c r="AM37" i="29"/>
  <c r="J22" i="223"/>
  <c r="BH36" i="29"/>
  <c r="B22" i="223"/>
  <c r="D36" i="29"/>
  <c r="K20" i="171" s="1"/>
  <c r="E21" i="223"/>
  <c r="Y35" i="29"/>
  <c r="L20" i="223"/>
  <c r="BV34" i="29"/>
  <c r="D20" i="223"/>
  <c r="R34" i="29"/>
  <c r="G19" i="223"/>
  <c r="AM33" i="29"/>
  <c r="J18" i="223"/>
  <c r="BH32" i="29"/>
  <c r="B18" i="223"/>
  <c r="D32" i="29"/>
  <c r="K16" i="171" s="1"/>
  <c r="E17" i="223"/>
  <c r="Y31" i="29"/>
  <c r="L16" i="223"/>
  <c r="BV30" i="29"/>
  <c r="D16" i="223"/>
  <c r="R30" i="29"/>
  <c r="G15" i="223"/>
  <c r="AM29" i="29"/>
  <c r="J14" i="223"/>
  <c r="BH28" i="29"/>
  <c r="B14" i="223"/>
  <c r="D28" i="29"/>
  <c r="K12" i="171" s="1"/>
  <c r="E13" i="223"/>
  <c r="Y27" i="29"/>
  <c r="H12" i="223"/>
  <c r="AT26" i="29"/>
  <c r="G11" i="223"/>
  <c r="AM25" i="29"/>
  <c r="J10" i="223"/>
  <c r="BH24" i="29"/>
  <c r="B10" i="223"/>
  <c r="D24" i="29"/>
  <c r="K8" i="171" s="1"/>
  <c r="E9" i="223"/>
  <c r="Y23" i="29"/>
  <c r="H8" i="223"/>
  <c r="AT22" i="29"/>
  <c r="K7" i="223"/>
  <c r="BO21" i="29"/>
  <c r="C7" i="223"/>
  <c r="K21" i="29"/>
  <c r="F6" i="223"/>
  <c r="AF20" i="29"/>
  <c r="Y50" i="23"/>
  <c r="I5" i="223"/>
  <c r="BA19" i="29"/>
  <c r="J30" i="233"/>
  <c r="AP44" i="35"/>
  <c r="J31" i="41"/>
  <c r="K29" i="233"/>
  <c r="AU43" i="35"/>
  <c r="S37" i="73"/>
  <c r="E36"/>
  <c r="E27" i="212"/>
  <c r="AF41" i="58"/>
  <c r="O41" i="5"/>
  <c r="F30" i="212"/>
  <c r="Q44" i="5"/>
  <c r="AP44" i="58"/>
  <c r="G25" i="212"/>
  <c r="AZ39" i="58"/>
  <c r="H29" i="212"/>
  <c r="BJ43" i="58"/>
  <c r="H13" i="212"/>
  <c r="U27" i="5"/>
  <c r="J30" i="212"/>
  <c r="Y44" i="5"/>
  <c r="J22" i="212"/>
  <c r="CD36" i="58"/>
  <c r="J14" i="212"/>
  <c r="Y28" i="5"/>
  <c r="CD28" i="58"/>
  <c r="K28" i="212"/>
  <c r="AA42" i="5"/>
  <c r="K20" i="212"/>
  <c r="AA34" i="5"/>
  <c r="K12" i="212"/>
  <c r="CN26" i="58"/>
  <c r="L20" i="212"/>
  <c r="AC34" i="5"/>
  <c r="BL46" i="58"/>
  <c r="BL68" s="1"/>
  <c r="H32" i="213"/>
  <c r="D20" i="26"/>
  <c r="D21" i="28"/>
  <c r="H5" i="31"/>
  <c r="H6" i="32"/>
  <c r="N8" i="33" s="1"/>
  <c r="CP13" i="18"/>
  <c r="CP18"/>
  <c r="CP22"/>
  <c r="CP26"/>
  <c r="CP30"/>
  <c r="CP34"/>
  <c r="CP38"/>
  <c r="CP42"/>
  <c r="CP12"/>
  <c r="CP16"/>
  <c r="CP21"/>
  <c r="CP25"/>
  <c r="CP29"/>
  <c r="CP33"/>
  <c r="CP37"/>
  <c r="CP41"/>
  <c r="CP19"/>
  <c r="CP27"/>
  <c r="CP35"/>
  <c r="CP43"/>
  <c r="E16" i="15"/>
  <c r="F16" s="1"/>
  <c r="G16" s="1"/>
  <c r="D16" i="19" s="1"/>
  <c r="C16" i="16"/>
  <c r="D16" s="1"/>
  <c r="E16" i="19" s="1"/>
  <c r="C15" i="10"/>
  <c r="AF15" i="2"/>
  <c r="R12" i="37" s="1"/>
  <c r="AD15" i="2"/>
  <c r="Q12" i="37" s="1"/>
  <c r="BG28" i="2"/>
  <c r="AG25" i="37" s="1"/>
  <c r="BI28" i="2"/>
  <c r="AH25" i="37" s="1"/>
  <c r="AJ30" i="2"/>
  <c r="T27" i="37" s="1"/>
  <c r="AH30" i="2"/>
  <c r="S27" i="37" s="1"/>
  <c r="AJ33" i="2"/>
  <c r="T30" i="37" s="1"/>
  <c r="AF33" i="2"/>
  <c r="R30" i="37" s="1"/>
  <c r="CU35" i="2"/>
  <c r="BC32" i="37" s="1"/>
  <c r="CS35" i="2"/>
  <c r="BB32" i="37" s="1"/>
  <c r="CL38" i="2"/>
  <c r="AX35" i="37" s="1"/>
  <c r="CH38" i="2"/>
  <c r="AV35" i="37" s="1"/>
  <c r="CF38" i="2"/>
  <c r="AU35" i="37" s="1"/>
  <c r="CU39" i="2"/>
  <c r="BC36" i="37" s="1"/>
  <c r="CS39" i="2"/>
  <c r="BB36" i="37" s="1"/>
  <c r="CQ39" i="2"/>
  <c r="BA36" i="37" s="1"/>
  <c r="AA43" i="2"/>
  <c r="O40" i="37" s="1"/>
  <c r="U43" i="2"/>
  <c r="L40" i="37" s="1"/>
  <c r="CX50" i="19"/>
  <c r="L21" i="132"/>
  <c r="AZ50" i="19"/>
  <c r="G21" i="132"/>
  <c r="AT50" i="29"/>
  <c r="H23" i="176"/>
  <c r="J48" i="33"/>
  <c r="F21" i="173"/>
  <c r="AG50" i="35"/>
  <c r="H21" i="179"/>
  <c r="M40" i="5"/>
  <c r="D26" i="212"/>
  <c r="W37" i="5"/>
  <c r="I23" i="212"/>
  <c r="BT37" i="58"/>
  <c r="O37" i="5"/>
  <c r="E23" i="212"/>
  <c r="AF37" i="58"/>
  <c r="M33" i="5"/>
  <c r="D19" i="212"/>
  <c r="V33" i="58"/>
  <c r="W28" i="5"/>
  <c r="I14" i="212"/>
  <c r="W27" i="5"/>
  <c r="I13" i="212"/>
  <c r="S26" i="5"/>
  <c r="G12" i="212"/>
  <c r="AZ26" i="58"/>
  <c r="K26" i="5"/>
  <c r="C12" i="212"/>
  <c r="L26" i="58"/>
  <c r="F7" i="212"/>
  <c r="AP21" i="58"/>
  <c r="Q21" i="5"/>
  <c r="O19" i="6"/>
  <c r="N9"/>
  <c r="O9" s="1"/>
  <c r="BM9" i="58" s="1"/>
  <c r="I30" i="213"/>
  <c r="BV44" i="58"/>
  <c r="AH41"/>
  <c r="E27" i="213"/>
  <c r="BL40" i="58"/>
  <c r="H26" i="213"/>
  <c r="D26"/>
  <c r="X40" i="58"/>
  <c r="AH39"/>
  <c r="E25" i="213"/>
  <c r="N39" i="58"/>
  <c r="C25" i="213"/>
  <c r="J24"/>
  <c r="CF38" i="58"/>
  <c r="AR38"/>
  <c r="F24" i="213"/>
  <c r="B24"/>
  <c r="D38" i="58"/>
  <c r="BV37"/>
  <c r="I23" i="213"/>
  <c r="CZ36" i="58"/>
  <c r="L22" i="213"/>
  <c r="H22"/>
  <c r="BL36" i="58"/>
  <c r="AR36"/>
  <c r="F22" i="213"/>
  <c r="B22"/>
  <c r="D36" i="58"/>
  <c r="D38" i="124" s="1"/>
  <c r="BV35" i="58"/>
  <c r="I21" i="213"/>
  <c r="E21"/>
  <c r="AH35" i="58"/>
  <c r="CF34"/>
  <c r="J20" i="213"/>
  <c r="H28" i="217"/>
  <c r="BJ42" i="19"/>
  <c r="L25" i="217"/>
  <c r="CX39" i="19"/>
  <c r="L24" i="217"/>
  <c r="CX38" i="19"/>
  <c r="L23" i="217"/>
  <c r="CX37" i="19"/>
  <c r="L22" i="217"/>
  <c r="CX36" i="19"/>
  <c r="H18" i="217"/>
  <c r="BJ32" i="19"/>
  <c r="H16" i="217"/>
  <c r="BJ30" i="19"/>
  <c r="H13" i="217"/>
  <c r="BJ27" i="19"/>
  <c r="BJ66" s="1"/>
  <c r="H10" i="217"/>
  <c r="BJ24" i="19"/>
  <c r="AH50" i="9"/>
  <c r="L5" i="217"/>
  <c r="V50" i="9"/>
  <c r="H5" i="217"/>
  <c r="AC17" i="15"/>
  <c r="AM16" i="10"/>
  <c r="CI31" i="19"/>
  <c r="J17" i="210"/>
  <c r="I16"/>
  <c r="BY30" i="19"/>
  <c r="CI28"/>
  <c r="J14" i="210"/>
  <c r="CF34" i="19"/>
  <c r="J20" i="219"/>
  <c r="J19"/>
  <c r="CF33" i="19"/>
  <c r="CF30"/>
  <c r="J16" i="219"/>
  <c r="CF29" i="19"/>
  <c r="J15" i="219"/>
  <c r="AR28" i="19"/>
  <c r="F14" i="219"/>
  <c r="X26" i="19"/>
  <c r="D12" i="219"/>
  <c r="CG38" i="19"/>
  <c r="J24" i="220"/>
  <c r="I23"/>
  <c r="BW37" i="19"/>
  <c r="C23" i="220"/>
  <c r="O37" i="19"/>
  <c r="D22" i="220"/>
  <c r="Y36" i="19"/>
  <c r="I21" i="220"/>
  <c r="BW35" i="19"/>
  <c r="B6" i="220"/>
  <c r="E20" i="19"/>
  <c r="E23" i="133" s="1"/>
  <c r="F43" i="232"/>
  <c r="F38"/>
  <c r="BT39" i="2"/>
  <c r="AN36" i="37" s="1"/>
  <c r="BR39" i="2"/>
  <c r="AM36" i="37" s="1"/>
  <c r="S37" i="77"/>
  <c r="E36"/>
  <c r="E29" i="41"/>
  <c r="S44" i="35"/>
  <c r="B27" i="6"/>
  <c r="C27" s="1"/>
  <c r="E27" i="58" s="1"/>
  <c r="C29" i="124" s="1"/>
  <c r="K23" i="70"/>
  <c r="B13" i="215" s="1"/>
  <c r="Y13" i="15"/>
  <c r="AG12" i="10"/>
  <c r="AL16" i="16"/>
  <c r="AM16" s="1"/>
  <c r="AN16" s="1"/>
  <c r="CQ16" i="19" s="1"/>
  <c r="AK15" i="16"/>
  <c r="AH17"/>
  <c r="AI17" s="1"/>
  <c r="AJ17" s="1"/>
  <c r="CG17" i="19" s="1"/>
  <c r="AG16" i="16"/>
  <c r="U14" i="10"/>
  <c r="Q15" i="15"/>
  <c r="BD14" i="18"/>
  <c r="BD19"/>
  <c r="BD23"/>
  <c r="BD27"/>
  <c r="BD31"/>
  <c r="BD35"/>
  <c r="BD39"/>
  <c r="BD43"/>
  <c r="BD13"/>
  <c r="BD18"/>
  <c r="BD22"/>
  <c r="BD26"/>
  <c r="BD30"/>
  <c r="BD34"/>
  <c r="BD38"/>
  <c r="BD42"/>
  <c r="BD15"/>
  <c r="BD24"/>
  <c r="BD32"/>
  <c r="BD40"/>
  <c r="CN30"/>
  <c r="CN34"/>
  <c r="CN38"/>
  <c r="CN42"/>
  <c r="CN29"/>
  <c r="CN33"/>
  <c r="CN37"/>
  <c r="CN41"/>
  <c r="CN27"/>
  <c r="CN35"/>
  <c r="CN43"/>
  <c r="EQ14"/>
  <c r="EQ18"/>
  <c r="EQ22"/>
  <c r="EQ26"/>
  <c r="EQ30"/>
  <c r="EQ34"/>
  <c r="EQ38"/>
  <c r="EQ42"/>
  <c r="EQ13"/>
  <c r="EQ17"/>
  <c r="EQ21"/>
  <c r="EQ25"/>
  <c r="EQ29"/>
  <c r="EQ33"/>
  <c r="EQ37"/>
  <c r="EQ41"/>
  <c r="EQ12"/>
  <c r="EQ20"/>
  <c r="EQ28"/>
  <c r="EQ36"/>
  <c r="EQ44"/>
  <c r="AF13" i="3"/>
  <c r="AG13" s="1"/>
  <c r="AD12"/>
  <c r="AD11" s="1"/>
  <c r="BK31" i="2"/>
  <c r="AI28" i="37" s="1"/>
  <c r="BI31" i="2"/>
  <c r="AH28" i="37" s="1"/>
  <c r="BK36" i="2"/>
  <c r="AI33" i="37" s="1"/>
  <c r="BI36" i="2"/>
  <c r="AH33" i="37" s="1"/>
  <c r="AS42" i="2"/>
  <c r="Y39" i="37" s="1"/>
  <c r="AQ42" i="2"/>
  <c r="X39" i="37" s="1"/>
  <c r="AQ45" i="2"/>
  <c r="X42" i="37" s="1"/>
  <c r="AS45" i="2"/>
  <c r="Y42" i="37" s="1"/>
  <c r="FF14" i="18"/>
  <c r="FF19"/>
  <c r="FF23"/>
  <c r="FF27"/>
  <c r="FF31"/>
  <c r="FF35"/>
  <c r="FF39"/>
  <c r="FF43"/>
  <c r="FF13"/>
  <c r="FF18"/>
  <c r="FF22"/>
  <c r="FF26"/>
  <c r="FF30"/>
  <c r="FF34"/>
  <c r="FF38"/>
  <c r="FF42"/>
  <c r="FF16"/>
  <c r="FF25"/>
  <c r="FF33"/>
  <c r="FF41"/>
  <c r="CG21" i="19"/>
  <c r="J7" i="220"/>
  <c r="E16" i="2"/>
  <c r="C13" i="37" s="1"/>
  <c r="C16" i="2"/>
  <c r="B13" i="37" s="1"/>
  <c r="CL17" i="2"/>
  <c r="AX14" i="37" s="1"/>
  <c r="CH17" i="2"/>
  <c r="AV14" i="37" s="1"/>
  <c r="CF17" i="2"/>
  <c r="AU14" i="37" s="1"/>
  <c r="I21" i="2"/>
  <c r="E18" i="37" s="1"/>
  <c r="G21" i="2"/>
  <c r="D18" i="37" s="1"/>
  <c r="AJ28" i="2"/>
  <c r="T25" i="37" s="1"/>
  <c r="AD28" i="2"/>
  <c r="Q25" i="37" s="1"/>
  <c r="BT30" i="2"/>
  <c r="AN27" i="37" s="1"/>
  <c r="BR30" i="2"/>
  <c r="AM27" i="37" s="1"/>
  <c r="BP30" i="2"/>
  <c r="AL27" i="37" s="1"/>
  <c r="BN30" i="2"/>
  <c r="AK27" i="37" s="1"/>
  <c r="AJ34" i="2"/>
  <c r="T31" i="37" s="1"/>
  <c r="AF34" i="2"/>
  <c r="R31" i="37" s="1"/>
  <c r="BB35" i="2"/>
  <c r="AD32" i="37" s="1"/>
  <c r="AZ35" i="2"/>
  <c r="AC32" i="37" s="1"/>
  <c r="BB36" i="2"/>
  <c r="AD33" i="37" s="1"/>
  <c r="AZ36" i="2"/>
  <c r="AC33" i="37" s="1"/>
  <c r="BK39" i="2"/>
  <c r="AI36" i="37" s="1"/>
  <c r="BE39" i="2"/>
  <c r="AF36" i="37" s="1"/>
  <c r="BG39" i="2"/>
  <c r="AG36" i="37" s="1"/>
  <c r="BK43" i="2"/>
  <c r="AI40" i="37" s="1"/>
  <c r="BI43" i="2"/>
  <c r="AH40" i="37" s="1"/>
  <c r="G44" i="2"/>
  <c r="D41" i="37" s="1"/>
  <c r="I44" i="2"/>
  <c r="E41" i="37" s="1"/>
  <c r="CD50" i="58"/>
  <c r="CD65"/>
  <c r="B22" i="122"/>
  <c r="B21" i="124"/>
  <c r="H30" s="1"/>
  <c r="B65" i="58"/>
  <c r="B50"/>
  <c r="AZ67" i="19"/>
  <c r="AZ68"/>
  <c r="E30" i="133"/>
  <c r="W50" i="29"/>
  <c r="E21" i="169"/>
  <c r="I50" i="29"/>
  <c r="C21" i="169"/>
  <c r="R48" i="33"/>
  <c r="J21" i="173"/>
  <c r="D48" i="33"/>
  <c r="C21" i="173"/>
  <c r="N50" i="35"/>
  <c r="D21" i="177"/>
  <c r="D50" i="35"/>
  <c r="B21" i="177"/>
  <c r="K44" i="5"/>
  <c r="C30" i="212"/>
  <c r="L44" i="58"/>
  <c r="O39" i="5"/>
  <c r="E25" i="212"/>
  <c r="AF39" i="58"/>
  <c r="K39" i="5"/>
  <c r="C25" i="212"/>
  <c r="W35" i="5"/>
  <c r="I21" i="212"/>
  <c r="BT35" i="58"/>
  <c r="Q34" i="5"/>
  <c r="F20" i="212"/>
  <c r="M34" i="5"/>
  <c r="D20" i="212"/>
  <c r="I34" i="5"/>
  <c r="B20" i="212"/>
  <c r="D8"/>
  <c r="M22" i="5"/>
  <c r="I22"/>
  <c r="B8" i="212"/>
  <c r="B22" i="58"/>
  <c r="B24" i="124" s="1"/>
  <c r="H24" s="1"/>
  <c r="AA21" i="5"/>
  <c r="K7" i="212"/>
  <c r="W21" i="5"/>
  <c r="I7" i="212"/>
  <c r="S21" i="5"/>
  <c r="G7" i="212"/>
  <c r="AZ21" i="58"/>
  <c r="AZ50" i="1"/>
  <c r="BA17"/>
  <c r="AO44" i="3"/>
  <c r="K30" i="211"/>
  <c r="Y44" i="3"/>
  <c r="G30" i="211"/>
  <c r="I44" i="3"/>
  <c r="C30" i="211"/>
  <c r="AK43" i="3"/>
  <c r="J29" i="211"/>
  <c r="U43" i="3"/>
  <c r="F29" i="211"/>
  <c r="E43" i="3"/>
  <c r="B29" i="211"/>
  <c r="AG42" i="3"/>
  <c r="I28" i="211"/>
  <c r="Q42" i="3"/>
  <c r="E28" i="211"/>
  <c r="AS41" i="3"/>
  <c r="L27" i="211"/>
  <c r="AC41" i="3"/>
  <c r="H27" i="211"/>
  <c r="M41" i="3"/>
  <c r="D27" i="211"/>
  <c r="AO40" i="3"/>
  <c r="K26" i="211"/>
  <c r="Y40" i="3"/>
  <c r="G26" i="211"/>
  <c r="I40" i="3"/>
  <c r="C26" i="211"/>
  <c r="AK39" i="3"/>
  <c r="J25" i="211"/>
  <c r="U39" i="3"/>
  <c r="F25" i="211"/>
  <c r="E39" i="3"/>
  <c r="B25" i="211"/>
  <c r="AG38" i="3"/>
  <c r="I24" i="211"/>
  <c r="Q38" i="3"/>
  <c r="E24" i="211"/>
  <c r="AS37" i="3"/>
  <c r="L23" i="211"/>
  <c r="AC37" i="3"/>
  <c r="H23" i="211"/>
  <c r="M37" i="3"/>
  <c r="D23" i="211"/>
  <c r="AO36" i="3"/>
  <c r="K22" i="211"/>
  <c r="Y36" i="3"/>
  <c r="G22" i="211"/>
  <c r="I36" i="3"/>
  <c r="C22" i="211"/>
  <c r="AK35" i="3"/>
  <c r="J21" i="211"/>
  <c r="U35" i="3"/>
  <c r="F21" i="211"/>
  <c r="E35" i="3"/>
  <c r="B21" i="211"/>
  <c r="AG34" i="3"/>
  <c r="I20" i="211"/>
  <c r="Q34" i="3"/>
  <c r="E20" i="211"/>
  <c r="AS33" i="3"/>
  <c r="L19" i="211"/>
  <c r="AC33" i="3"/>
  <c r="H19" i="211"/>
  <c r="M33" i="3"/>
  <c r="D19" i="211"/>
  <c r="AO32" i="3"/>
  <c r="K18" i="211"/>
  <c r="Y32" i="3"/>
  <c r="G18" i="211"/>
  <c r="I32" i="3"/>
  <c r="C18" i="211"/>
  <c r="AK31" i="3"/>
  <c r="J17" i="211"/>
  <c r="U31" i="3"/>
  <c r="F17" i="211"/>
  <c r="E31" i="3"/>
  <c r="B17" i="211"/>
  <c r="AG30" i="3"/>
  <c r="I16" i="211"/>
  <c r="Q30" i="3"/>
  <c r="E16" i="211"/>
  <c r="AS29" i="3"/>
  <c r="L15" i="211"/>
  <c r="AC29" i="3"/>
  <c r="H15" i="211"/>
  <c r="M29" i="3"/>
  <c r="D15" i="211"/>
  <c r="AO28" i="3"/>
  <c r="K14" i="211"/>
  <c r="Y28" i="3"/>
  <c r="G14" i="211"/>
  <c r="I28" i="3"/>
  <c r="C14" i="211"/>
  <c r="AK27" i="3"/>
  <c r="J13" i="211"/>
  <c r="U27" i="3"/>
  <c r="F13" i="211"/>
  <c r="E27" i="3"/>
  <c r="B13" i="211"/>
  <c r="AG26" i="3"/>
  <c r="I12" i="211"/>
  <c r="Q26" i="3"/>
  <c r="E12" i="211"/>
  <c r="AS25" i="3"/>
  <c r="L11" i="211"/>
  <c r="AC25" i="3"/>
  <c r="H11" i="211"/>
  <c r="M25" i="3"/>
  <c r="D11" i="211"/>
  <c r="AO24" i="3"/>
  <c r="K10" i="211"/>
  <c r="Y24" i="3"/>
  <c r="G10" i="211"/>
  <c r="I24" i="3"/>
  <c r="C10" i="211"/>
  <c r="AK23" i="3"/>
  <c r="J9" i="211"/>
  <c r="U23" i="3"/>
  <c r="F9" i="211"/>
  <c r="E23" i="3"/>
  <c r="B9" i="211"/>
  <c r="AG22" i="3"/>
  <c r="I8" i="211"/>
  <c r="Q22" i="3"/>
  <c r="E8" i="211"/>
  <c r="AS21" i="3"/>
  <c r="L7" i="211"/>
  <c r="AC21" i="3"/>
  <c r="H7" i="211"/>
  <c r="M21" i="3"/>
  <c r="D7" i="211"/>
  <c r="AO20" i="3"/>
  <c r="K6" i="211"/>
  <c r="Y20" i="3"/>
  <c r="G6" i="211"/>
  <c r="I20" i="3"/>
  <c r="C6" i="211"/>
  <c r="K8" i="4"/>
  <c r="G10"/>
  <c r="C8"/>
  <c r="F33" i="5"/>
  <c r="E34"/>
  <c r="E35" s="1"/>
  <c r="E36" s="1"/>
  <c r="E37" s="1"/>
  <c r="E38" s="1"/>
  <c r="E39" s="1"/>
  <c r="E40" s="1"/>
  <c r="E41" s="1"/>
  <c r="E42" s="1"/>
  <c r="E43" s="1"/>
  <c r="E44" s="1"/>
  <c r="E45" s="1"/>
  <c r="I17" i="73"/>
  <c r="H20" i="6" s="1"/>
  <c r="I20" s="1"/>
  <c r="AI20" i="58" s="1"/>
  <c r="H18" i="73"/>
  <c r="W19" i="6"/>
  <c r="DA19" i="58" s="1"/>
  <c r="V9" i="6"/>
  <c r="G25" i="64"/>
  <c r="H25" s="1"/>
  <c r="I25" s="1"/>
  <c r="C13" i="227"/>
  <c r="L28" i="210"/>
  <c r="DC42" i="19"/>
  <c r="H28" i="210"/>
  <c r="BO42" i="19"/>
  <c r="K27" i="210"/>
  <c r="CS41" i="19"/>
  <c r="G27" i="210"/>
  <c r="BE41" i="19"/>
  <c r="CS40"/>
  <c r="K26" i="210"/>
  <c r="BE40" i="19"/>
  <c r="G26" i="210"/>
  <c r="Q40" i="19"/>
  <c r="C26" i="210"/>
  <c r="CI39" i="19"/>
  <c r="J25" i="210"/>
  <c r="AU39" i="19"/>
  <c r="F25" i="210"/>
  <c r="B25"/>
  <c r="G39" i="19"/>
  <c r="F24" i="210"/>
  <c r="AU38" i="19"/>
  <c r="B24" i="210"/>
  <c r="G38" i="19"/>
  <c r="E22" i="210"/>
  <c r="AK36" i="19"/>
  <c r="L20" i="210"/>
  <c r="DC34" i="19"/>
  <c r="J15" i="210"/>
  <c r="CI29" i="19"/>
  <c r="H14" i="210"/>
  <c r="BO28" i="19"/>
  <c r="D45"/>
  <c r="D48" i="133" s="1"/>
  <c r="B31" i="219"/>
  <c r="H38" i="15"/>
  <c r="J38" s="1"/>
  <c r="K38" s="1"/>
  <c r="C35" i="12"/>
  <c r="CP22" i="19"/>
  <c r="K8" i="219"/>
  <c r="BB22" i="19"/>
  <c r="G8" i="219"/>
  <c r="N22" i="19"/>
  <c r="C8" i="219"/>
  <c r="H36" i="14"/>
  <c r="H36" i="15" s="1"/>
  <c r="J36" s="1"/>
  <c r="K36" s="1"/>
  <c r="I36" i="14"/>
  <c r="Q36"/>
  <c r="O36"/>
  <c r="M36"/>
  <c r="AB36" i="15" s="1"/>
  <c r="AD36" s="1"/>
  <c r="AE36" s="1"/>
  <c r="H34" i="14"/>
  <c r="N34"/>
  <c r="M34"/>
  <c r="AB34" i="15" s="1"/>
  <c r="AD34" s="1"/>
  <c r="AE34" s="1"/>
  <c r="Q34" i="14"/>
  <c r="P34"/>
  <c r="F19" i="219"/>
  <c r="AR33" i="19"/>
  <c r="L43" i="220"/>
  <c r="L44"/>
  <c r="L39"/>
  <c r="E21"/>
  <c r="AI35" i="19"/>
  <c r="B21" i="220"/>
  <c r="E35" i="19"/>
  <c r="E38" i="133" s="1"/>
  <c r="G20" i="220"/>
  <c r="BC34" i="19"/>
  <c r="D20" i="220"/>
  <c r="Y34" i="19"/>
  <c r="I19" i="220"/>
  <c r="BW33" i="19"/>
  <c r="E18" i="220"/>
  <c r="AI32" i="19"/>
  <c r="B18" i="220"/>
  <c r="E32" i="19"/>
  <c r="E35" i="133" s="1"/>
  <c r="L16" i="220"/>
  <c r="DA30" i="19"/>
  <c r="F16" i="220"/>
  <c r="AS30" i="19"/>
  <c r="K15" i="220"/>
  <c r="CQ29" i="19"/>
  <c r="H15" i="220"/>
  <c r="BM29" i="19"/>
  <c r="J14" i="220"/>
  <c r="CG28" i="19"/>
  <c r="G14" i="220"/>
  <c r="BC28" i="19"/>
  <c r="CG27"/>
  <c r="J13" i="220"/>
  <c r="G13"/>
  <c r="BC27" i="19"/>
  <c r="B12" i="220"/>
  <c r="E26" i="19"/>
  <c r="E29" i="133" s="1"/>
  <c r="D11" i="220"/>
  <c r="Y25" i="19"/>
  <c r="L10" i="220"/>
  <c r="DA24" i="19"/>
  <c r="D10" i="220"/>
  <c r="Y24" i="19"/>
  <c r="CG20"/>
  <c r="J6" i="220"/>
  <c r="Z22" i="16"/>
  <c r="AA22" s="1"/>
  <c r="AB22" s="1"/>
  <c r="Y21"/>
  <c r="B44" i="35"/>
  <c r="B30" i="233"/>
  <c r="AP43" i="35"/>
  <c r="AS43" s="1"/>
  <c r="J29" i="233"/>
  <c r="AE43" i="2"/>
  <c r="AE44" s="1"/>
  <c r="AK42"/>
  <c r="AF42" s="1"/>
  <c r="R39" i="37" s="1"/>
  <c r="S37" i="71"/>
  <c r="E36"/>
  <c r="H42" i="124"/>
  <c r="H39"/>
  <c r="H36"/>
  <c r="AF34" i="15"/>
  <c r="AH34" s="1"/>
  <c r="AI34" s="1"/>
  <c r="GA36" i="18"/>
  <c r="ES43"/>
  <c r="CC22"/>
  <c r="AM35"/>
  <c r="AM13"/>
  <c r="CQ11"/>
  <c r="H45" i="124"/>
  <c r="H32"/>
  <c r="CN66" i="58"/>
  <c r="AS29" i="19"/>
  <c r="AI24"/>
  <c r="AA26" i="5"/>
  <c r="F31" i="15"/>
  <c r="G31" s="1"/>
  <c r="F23"/>
  <c r="G23" s="1"/>
  <c r="K38" i="14"/>
  <c r="BE34" i="2"/>
  <c r="AF31" i="37" s="1"/>
  <c r="L21" i="26"/>
  <c r="GA42" i="18"/>
  <c r="GA20"/>
  <c r="ES24"/>
  <c r="ES14"/>
  <c r="CP39"/>
  <c r="CP28"/>
  <c r="CP15"/>
  <c r="CC25"/>
  <c r="CC13"/>
  <c r="AM27"/>
  <c r="AM14"/>
  <c r="G34" i="69"/>
  <c r="AV40" i="2"/>
  <c r="AA37" i="37" s="1"/>
  <c r="BE17" i="2"/>
  <c r="AF14" i="37" s="1"/>
  <c r="Y43" i="2"/>
  <c r="N40" i="37" s="1"/>
  <c r="AH37" i="2"/>
  <c r="S34" i="37" s="1"/>
  <c r="AH33" i="2"/>
  <c r="S30" i="37" s="1"/>
  <c r="AH32" i="2"/>
  <c r="S29" i="37" s="1"/>
  <c r="W17" i="2"/>
  <c r="M14" i="37" s="1"/>
  <c r="AF42" i="58"/>
  <c r="L22" i="72"/>
  <c r="D11" i="215" s="1"/>
  <c r="C5" i="32"/>
  <c r="D7" i="33" s="1"/>
  <c r="K10" i="6"/>
  <c r="AS10" i="58" s="1"/>
  <c r="GA26" i="18"/>
  <c r="ES39"/>
  <c r="ES27"/>
  <c r="ES15"/>
  <c r="EQ39"/>
  <c r="EQ27"/>
  <c r="EQ16"/>
  <c r="EB44"/>
  <c r="EB32"/>
  <c r="EB23"/>
  <c r="CP40"/>
  <c r="CP31"/>
  <c r="CP20"/>
  <c r="CN40"/>
  <c r="CN31"/>
  <c r="CC38"/>
  <c r="CC26"/>
  <c r="CC16"/>
  <c r="BD44"/>
  <c r="BD33"/>
  <c r="BD21"/>
  <c r="AM39"/>
  <c r="AM30"/>
  <c r="AM19"/>
  <c r="Z40"/>
  <c r="Z31"/>
  <c r="Z20"/>
  <c r="I5" i="31"/>
  <c r="J14" i="69"/>
  <c r="F34"/>
  <c r="H44"/>
  <c r="F21" i="16"/>
  <c r="G21" s="1"/>
  <c r="H21" s="1"/>
  <c r="E35" i="75"/>
  <c r="C40" i="2"/>
  <c r="B37" i="37" s="1"/>
  <c r="AD37" i="2"/>
  <c r="Q34" i="37" s="1"/>
  <c r="U34" i="2"/>
  <c r="L31" i="37" s="1"/>
  <c r="CO25" i="2"/>
  <c r="AZ22" i="37" s="1"/>
  <c r="AM24" i="2"/>
  <c r="V21" i="37" s="1"/>
  <c r="AM16" i="2"/>
  <c r="V13" i="37" s="1"/>
  <c r="BW8" i="2"/>
  <c r="AP5" i="37" s="1"/>
  <c r="AO40" i="2"/>
  <c r="W37" i="37" s="1"/>
  <c r="CH36" i="2"/>
  <c r="AV33" i="37" s="1"/>
  <c r="E35" i="2"/>
  <c r="C32" i="37" s="1"/>
  <c r="BI34" i="2"/>
  <c r="AH31" i="37" s="1"/>
  <c r="BP33" i="2"/>
  <c r="AL30" i="37" s="1"/>
  <c r="BG32" i="2"/>
  <c r="AG29" i="37" s="1"/>
  <c r="G31" i="2"/>
  <c r="D28" i="37" s="1"/>
  <c r="CJ29" i="2"/>
  <c r="AW26" i="37" s="1"/>
  <c r="CD44" i="58"/>
  <c r="BV41"/>
  <c r="CZ40"/>
  <c r="CZ38"/>
  <c r="AF30"/>
  <c r="BT28"/>
  <c r="CD24"/>
  <c r="CX40" i="19"/>
  <c r="CQ39"/>
  <c r="AR36"/>
  <c r="CZ33"/>
  <c r="BY33"/>
  <c r="AA32"/>
  <c r="CG30"/>
  <c r="BC30"/>
  <c r="AK29"/>
  <c r="BM28"/>
  <c r="BJ25"/>
  <c r="BJ20"/>
  <c r="V44" i="35"/>
  <c r="BT45" i="58"/>
  <c r="U43" i="5"/>
  <c r="S39"/>
  <c r="AC38"/>
  <c r="AF14" i="3"/>
  <c r="AG14" s="1"/>
  <c r="F22" i="71"/>
  <c r="G22" s="1"/>
  <c r="L27" i="72"/>
  <c r="D16" i="215" s="1"/>
  <c r="L27" i="74"/>
  <c r="F16" i="215" s="1"/>
  <c r="F7" i="78"/>
  <c r="G7" s="1"/>
  <c r="L34" i="12"/>
  <c r="L35" s="1"/>
  <c r="L36" s="1"/>
  <c r="AJ36" i="15"/>
  <c r="AL36" s="1"/>
  <c r="AM36" s="1"/>
  <c r="AB23"/>
  <c r="AD23" s="1"/>
  <c r="AE23" s="1"/>
  <c r="L23"/>
  <c r="N23" s="1"/>
  <c r="O23" s="1"/>
  <c r="E42" i="14"/>
  <c r="G40"/>
  <c r="J40" s="1"/>
  <c r="P40" i="15" s="1"/>
  <c r="R40" s="1"/>
  <c r="S40" s="1"/>
  <c r="O31" i="14"/>
  <c r="M27"/>
  <c r="G42" i="232"/>
  <c r="G37"/>
  <c r="I36"/>
  <c r="I41"/>
  <c r="E24" i="28"/>
  <c r="E23" i="26"/>
  <c r="F30" i="224"/>
  <c r="AG44" i="29"/>
  <c r="F20" i="41"/>
  <c r="I29" i="224"/>
  <c r="BB43" i="29"/>
  <c r="L28" i="224"/>
  <c r="BW42" i="29"/>
  <c r="H28" i="224"/>
  <c r="AU42" i="29"/>
  <c r="K27" i="224"/>
  <c r="BP41" i="29"/>
  <c r="C27" i="224"/>
  <c r="L41" i="29"/>
  <c r="F26" i="224"/>
  <c r="AG40" i="29"/>
  <c r="I25" i="224"/>
  <c r="BB39" i="29"/>
  <c r="L24" i="224"/>
  <c r="BW38" i="29"/>
  <c r="D24" i="224"/>
  <c r="S38" i="29"/>
  <c r="G23" i="224"/>
  <c r="AN37" i="29"/>
  <c r="J22" i="224"/>
  <c r="BI36" i="29"/>
  <c r="B22" i="224"/>
  <c r="E36" i="29"/>
  <c r="J20" i="171" s="1"/>
  <c r="E21" i="224"/>
  <c r="Z35" i="29"/>
  <c r="H20" i="224"/>
  <c r="AU34" i="29"/>
  <c r="K19" i="224"/>
  <c r="BP33" i="29"/>
  <c r="BQ33" s="1"/>
  <c r="C19" i="224"/>
  <c r="L33" i="29"/>
  <c r="B18" i="224"/>
  <c r="E32" i="29"/>
  <c r="J16" i="171" s="1"/>
  <c r="E17" i="224"/>
  <c r="Z31" i="29"/>
  <c r="H16" i="224"/>
  <c r="AU30" i="29"/>
  <c r="K15" i="224"/>
  <c r="BP29" i="29"/>
  <c r="C15" i="224"/>
  <c r="L29" i="29"/>
  <c r="M29" s="1"/>
  <c r="J43" i="33"/>
  <c r="F31" i="226"/>
  <c r="L30"/>
  <c r="L25" i="41"/>
  <c r="L26" s="1"/>
  <c r="L27" s="1"/>
  <c r="V42" i="33"/>
  <c r="D30" i="226"/>
  <c r="D25" i="41"/>
  <c r="D26" s="1"/>
  <c r="D27" s="1"/>
  <c r="F42" i="33"/>
  <c r="G29" i="226"/>
  <c r="L41" i="33"/>
  <c r="F28" i="226"/>
  <c r="J40" i="33"/>
  <c r="I27" i="226"/>
  <c r="P39" i="33"/>
  <c r="E27" i="226"/>
  <c r="H39" i="33"/>
  <c r="H26" i="226"/>
  <c r="N38" i="33"/>
  <c r="T37"/>
  <c r="K25" i="226"/>
  <c r="D37" i="33"/>
  <c r="C25" i="226"/>
  <c r="B36" i="33"/>
  <c r="B24" i="226"/>
  <c r="B52" i="32"/>
  <c r="B53"/>
  <c r="H35" i="33"/>
  <c r="E23" i="226"/>
  <c r="N34" i="33"/>
  <c r="H22" i="226"/>
  <c r="T33" i="33"/>
  <c r="K21" i="226"/>
  <c r="D33" i="33"/>
  <c r="C21" i="226"/>
  <c r="B32" i="33"/>
  <c r="B20" i="226"/>
  <c r="H31" i="33"/>
  <c r="E19" i="226"/>
  <c r="N30" i="33"/>
  <c r="H18" i="226"/>
  <c r="G46" i="32"/>
  <c r="G5" i="226"/>
  <c r="G48" i="32"/>
  <c r="H29" i="233"/>
  <c r="AF43" i="35"/>
  <c r="D28" i="233"/>
  <c r="L42" i="35"/>
  <c r="O42" s="1"/>
  <c r="G27" i="233"/>
  <c r="AA41" i="35"/>
  <c r="J26" i="233"/>
  <c r="AP40" i="35"/>
  <c r="AS40" s="1"/>
  <c r="B26" i="233"/>
  <c r="B40" i="35"/>
  <c r="E25" i="233"/>
  <c r="Q39" i="35"/>
  <c r="T39" s="1"/>
  <c r="H24" i="233"/>
  <c r="AF38" i="35"/>
  <c r="K23" i="233"/>
  <c r="AU37" i="35"/>
  <c r="AX37" s="1"/>
  <c r="C23" i="233"/>
  <c r="G37" i="35"/>
  <c r="F22" i="233"/>
  <c r="V36" i="35"/>
  <c r="Y36" s="1"/>
  <c r="I21" i="233"/>
  <c r="AK35" i="35"/>
  <c r="L20" i="233"/>
  <c r="AZ34" i="35"/>
  <c r="BC34" s="1"/>
  <c r="D20" i="233"/>
  <c r="L34" i="35"/>
  <c r="G19" i="233"/>
  <c r="AA33" i="35"/>
  <c r="AD33" s="1"/>
  <c r="J18" i="233"/>
  <c r="AP32" i="35"/>
  <c r="B18" i="233"/>
  <c r="B32" i="35"/>
  <c r="E32" s="1"/>
  <c r="E17" i="233"/>
  <c r="Q31" i="35"/>
  <c r="H16" i="233"/>
  <c r="AF30" i="35"/>
  <c r="AI30" s="1"/>
  <c r="K15" i="233"/>
  <c r="AU29" i="35"/>
  <c r="C15" i="233"/>
  <c r="G29" i="35"/>
  <c r="J29" s="1"/>
  <c r="B14" i="233"/>
  <c r="B28" i="35"/>
  <c r="I13" i="233"/>
  <c r="AK27" i="35"/>
  <c r="AN27" s="1"/>
  <c r="L12" i="233"/>
  <c r="AZ26" i="35"/>
  <c r="D12" i="233"/>
  <c r="L26" i="35"/>
  <c r="O26" s="1"/>
  <c r="C11" i="233"/>
  <c r="G25" i="35"/>
  <c r="F10" i="233"/>
  <c r="V24" i="35"/>
  <c r="I9" i="233"/>
  <c r="AK23" i="35"/>
  <c r="L8" i="233"/>
  <c r="AZ22" i="35"/>
  <c r="K7" i="233"/>
  <c r="AU21" i="35"/>
  <c r="J6" i="233"/>
  <c r="AP20" i="35"/>
  <c r="K42" i="232"/>
  <c r="K37"/>
  <c r="C42"/>
  <c r="C37"/>
  <c r="E36"/>
  <c r="E41"/>
  <c r="I24" i="28"/>
  <c r="I23" i="26"/>
  <c r="J30" i="224"/>
  <c r="BI44" i="29"/>
  <c r="J20" i="41"/>
  <c r="B30" i="224"/>
  <c r="E44" i="29"/>
  <c r="J28" i="171" s="1"/>
  <c r="B20" i="41"/>
  <c r="E29" i="224"/>
  <c r="Z43" i="29"/>
  <c r="AA43" s="1"/>
  <c r="D28" i="224"/>
  <c r="S42" i="29"/>
  <c r="G27" i="224"/>
  <c r="AN41" i="29"/>
  <c r="J26" i="224"/>
  <c r="BI40" i="29"/>
  <c r="B26" i="224"/>
  <c r="E40" i="29"/>
  <c r="J24" i="171" s="1"/>
  <c r="E25" i="224"/>
  <c r="Z39" i="29"/>
  <c r="H24" i="224"/>
  <c r="AU38" i="29"/>
  <c r="AV38" s="1"/>
  <c r="K23" i="224"/>
  <c r="BP37" i="29"/>
  <c r="C23" i="224"/>
  <c r="L37" i="29"/>
  <c r="M37" s="1"/>
  <c r="F22" i="224"/>
  <c r="AG36" i="29"/>
  <c r="I21" i="224"/>
  <c r="BB35" i="29"/>
  <c r="L20" i="224"/>
  <c r="BW34" i="29"/>
  <c r="D20" i="224"/>
  <c r="S34" i="29"/>
  <c r="G19" i="224"/>
  <c r="AN33" i="29"/>
  <c r="J18" i="224"/>
  <c r="BI32" i="29"/>
  <c r="F18" i="224"/>
  <c r="AG32" i="29"/>
  <c r="I17" i="224"/>
  <c r="BB31" i="29"/>
  <c r="L16" i="224"/>
  <c r="BW30" i="29"/>
  <c r="D16" i="224"/>
  <c r="S30" i="29"/>
  <c r="G15" i="224"/>
  <c r="AN29" i="29"/>
  <c r="R43" i="33"/>
  <c r="J31" i="226"/>
  <c r="H30"/>
  <c r="H25" i="41"/>
  <c r="H26" s="1"/>
  <c r="H27" s="1"/>
  <c r="N42" i="33"/>
  <c r="K29" i="226"/>
  <c r="T41" i="33"/>
  <c r="C29" i="226"/>
  <c r="D41" i="33"/>
  <c r="J28" i="226"/>
  <c r="R40" i="33"/>
  <c r="B28" i="226"/>
  <c r="B40" i="33"/>
  <c r="L26" i="226"/>
  <c r="V38" i="33"/>
  <c r="D26" i="226"/>
  <c r="F38" i="33"/>
  <c r="L37"/>
  <c r="G25" i="226"/>
  <c r="R36" i="33"/>
  <c r="J24" i="226"/>
  <c r="J36" i="33"/>
  <c r="F24" i="226"/>
  <c r="P35" i="33"/>
  <c r="I23" i="226"/>
  <c r="V34" i="33"/>
  <c r="L22" i="226"/>
  <c r="F34" i="33"/>
  <c r="D22" i="226"/>
  <c r="L33" i="33"/>
  <c r="G21" i="226"/>
  <c r="R32" i="33"/>
  <c r="J20" i="226"/>
  <c r="J32" i="33"/>
  <c r="F20" i="226"/>
  <c r="P31" i="33"/>
  <c r="I19" i="226"/>
  <c r="V30" i="33"/>
  <c r="L18" i="226"/>
  <c r="F30" i="33"/>
  <c r="D18" i="226"/>
  <c r="T29" i="33"/>
  <c r="K17" i="226"/>
  <c r="G42"/>
  <c r="G37"/>
  <c r="K46" i="32"/>
  <c r="K5" i="226"/>
  <c r="K42" s="1"/>
  <c r="K48" i="32"/>
  <c r="C46"/>
  <c r="C5" i="226"/>
  <c r="C37" s="1"/>
  <c r="C48" i="32"/>
  <c r="D29" i="233"/>
  <c r="L43" i="35"/>
  <c r="L28" i="233"/>
  <c r="AZ42" i="35"/>
  <c r="H28" i="233"/>
  <c r="AF42" i="35"/>
  <c r="K27" i="233"/>
  <c r="AU41" i="35"/>
  <c r="AX41" s="1"/>
  <c r="C27" i="233"/>
  <c r="G41" i="35"/>
  <c r="F26" i="233"/>
  <c r="V40" i="35"/>
  <c r="Y40" s="1"/>
  <c r="I25" i="233"/>
  <c r="AK39" i="35"/>
  <c r="L24" i="233"/>
  <c r="AZ38" i="35"/>
  <c r="D24" i="233"/>
  <c r="L38" i="35"/>
  <c r="G23" i="233"/>
  <c r="AA37" i="35"/>
  <c r="J22" i="233"/>
  <c r="AP36" i="35"/>
  <c r="B22" i="233"/>
  <c r="B36" i="35"/>
  <c r="E21" i="233"/>
  <c r="Q35" i="35"/>
  <c r="H20" i="233"/>
  <c r="AF34" i="35"/>
  <c r="K19" i="233"/>
  <c r="AU33" i="35"/>
  <c r="C19" i="233"/>
  <c r="G33" i="35"/>
  <c r="F18" i="233"/>
  <c r="V32" i="35"/>
  <c r="I17" i="233"/>
  <c r="AK31" i="35"/>
  <c r="L16" i="233"/>
  <c r="AZ30" i="35"/>
  <c r="D16" i="233"/>
  <c r="L30" i="35"/>
  <c r="G15" i="233"/>
  <c r="AA29" i="35"/>
  <c r="J14" i="233"/>
  <c r="AP28" i="35"/>
  <c r="F14" i="233"/>
  <c r="V28" i="35"/>
  <c r="E13" i="233"/>
  <c r="Q27" i="35"/>
  <c r="H12" i="233"/>
  <c r="AF26" i="35"/>
  <c r="K11" i="233"/>
  <c r="AU25" i="35"/>
  <c r="G11" i="233"/>
  <c r="AA25" i="35"/>
  <c r="J10" i="233"/>
  <c r="AP24" i="35"/>
  <c r="AS24" s="1"/>
  <c r="B10" i="233"/>
  <c r="B24" i="35"/>
  <c r="E9" i="233"/>
  <c r="Q23" i="35"/>
  <c r="T23" s="1"/>
  <c r="H8" i="233"/>
  <c r="AF22" i="35"/>
  <c r="D8" i="233"/>
  <c r="L22" i="35"/>
  <c r="G7" i="233"/>
  <c r="AA21" i="35"/>
  <c r="C7" i="233"/>
  <c r="G21" i="35"/>
  <c r="J21" s="1"/>
  <c r="F6" i="233"/>
  <c r="V20" i="35"/>
  <c r="B6" i="233"/>
  <c r="B20" i="35"/>
  <c r="CV44" i="2"/>
  <c r="BK44"/>
  <c r="AI41" i="37" s="1"/>
  <c r="BI44" i="2"/>
  <c r="AH41" i="37" s="1"/>
  <c r="AB44" i="2"/>
  <c r="AA44" s="1"/>
  <c r="O41" i="37" s="1"/>
  <c r="AA42" i="2"/>
  <c r="O39" i="37" s="1"/>
  <c r="Y42" i="2"/>
  <c r="N39" i="37" s="1"/>
  <c r="CL41" i="2"/>
  <c r="AX38" i="37" s="1"/>
  <c r="CJ41" i="2"/>
  <c r="AW38" i="37" s="1"/>
  <c r="BP41" i="2"/>
  <c r="AL38" i="37" s="1"/>
  <c r="BR41" i="2"/>
  <c r="AM38" i="37" s="1"/>
  <c r="AK41" i="2"/>
  <c r="CS40"/>
  <c r="BB37" i="37" s="1"/>
  <c r="CQ40" i="2"/>
  <c r="BA37" i="37" s="1"/>
  <c r="BL40" i="2"/>
  <c r="AB40"/>
  <c r="U40" s="1"/>
  <c r="L37" i="37" s="1"/>
  <c r="CM39" i="2"/>
  <c r="CF39" s="1"/>
  <c r="AU36" i="37" s="1"/>
  <c r="CM37" i="2"/>
  <c r="R37"/>
  <c r="J34" i="37" s="1"/>
  <c r="P37" i="2"/>
  <c r="I34" i="37" s="1"/>
  <c r="BU35" i="2"/>
  <c r="BN35" s="1"/>
  <c r="AK32" i="37" s="1"/>
  <c r="AJ35" i="2"/>
  <c r="T32" i="37" s="1"/>
  <c r="AH35" i="2"/>
  <c r="S32" i="37" s="1"/>
  <c r="AF35" i="2"/>
  <c r="R32" i="37" s="1"/>
  <c r="CO34" i="2"/>
  <c r="AZ31" i="37" s="1"/>
  <c r="CV34" i="2"/>
  <c r="CU34" s="1"/>
  <c r="BC31" i="37" s="1"/>
  <c r="AT34" i="2"/>
  <c r="AM34" s="1"/>
  <c r="V31" i="37" s="1"/>
  <c r="J34" i="2"/>
  <c r="C34" s="1"/>
  <c r="B31" i="37" s="1"/>
  <c r="BC33" i="2"/>
  <c r="AV33" s="1"/>
  <c r="AA30" i="37" s="1"/>
  <c r="R33" i="2"/>
  <c r="J30" i="37" s="1"/>
  <c r="P33" i="2"/>
  <c r="I30" i="37" s="1"/>
  <c r="CC32" i="2"/>
  <c r="AS29" i="37" s="1"/>
  <c r="BY32" i="2"/>
  <c r="AQ29" i="37" s="1"/>
  <c r="AS32" i="2"/>
  <c r="Y29" i="37" s="1"/>
  <c r="AQ32" i="2"/>
  <c r="X29" i="37" s="1"/>
  <c r="AO32" i="2"/>
  <c r="W29" i="37" s="1"/>
  <c r="CH31" i="2"/>
  <c r="AV28" i="37" s="1"/>
  <c r="CJ31" i="2"/>
  <c r="AW28" i="37" s="1"/>
  <c r="AJ31" i="2"/>
  <c r="T28" i="37" s="1"/>
  <c r="AH31" i="2"/>
  <c r="S28" i="37" s="1"/>
  <c r="CV30" i="2"/>
  <c r="CU30" s="1"/>
  <c r="BC27" i="37" s="1"/>
  <c r="E30" i="2"/>
  <c r="C27" i="37" s="1"/>
  <c r="G30" i="2"/>
  <c r="D27" i="37" s="1"/>
  <c r="BC29" i="2"/>
  <c r="BB29" s="1"/>
  <c r="AD26" i="37" s="1"/>
  <c r="CH27" i="2"/>
  <c r="AV24" i="37" s="1"/>
  <c r="CJ27" i="2"/>
  <c r="AW24" i="37" s="1"/>
  <c r="BC27" i="2"/>
  <c r="AV27" s="1"/>
  <c r="AA24" i="37" s="1"/>
  <c r="CU26" i="2"/>
  <c r="BC23" i="37" s="1"/>
  <c r="CS26" i="2"/>
  <c r="BB23" i="37" s="1"/>
  <c r="CV24" i="2"/>
  <c r="CO24" s="1"/>
  <c r="AZ21" i="37" s="1"/>
  <c r="CM23" i="2"/>
  <c r="AX23"/>
  <c r="AB20" i="37" s="1"/>
  <c r="AZ23" i="2"/>
  <c r="AC20" i="37" s="1"/>
  <c r="CV22" i="2"/>
  <c r="CO22" s="1"/>
  <c r="AZ19" i="37" s="1"/>
  <c r="CV20" i="2"/>
  <c r="CO20" s="1"/>
  <c r="AZ17" i="37" s="1"/>
  <c r="W20" i="2"/>
  <c r="M17" i="37" s="1"/>
  <c r="Y20" i="2"/>
  <c r="N17" i="37" s="1"/>
  <c r="CD17" i="2"/>
  <c r="AT17"/>
  <c r="CA13"/>
  <c r="AR10" i="37" s="1"/>
  <c r="BY13" i="2"/>
  <c r="AQ10" i="37" s="1"/>
  <c r="AT13" i="2"/>
  <c r="AO13" s="1"/>
  <c r="W10" i="37" s="1"/>
  <c r="BY9" i="2"/>
  <c r="AQ6" i="37" s="1"/>
  <c r="CA9" i="2"/>
  <c r="AR6" i="37" s="1"/>
  <c r="AT9" i="2"/>
  <c r="AQ9" s="1"/>
  <c r="X6" i="37" s="1"/>
  <c r="BO43" i="2"/>
  <c r="BU42"/>
  <c r="S35" i="79"/>
  <c r="E34"/>
  <c r="E34" i="76"/>
  <c r="S35"/>
  <c r="S36" i="74"/>
  <c r="E35"/>
  <c r="G36" i="214"/>
  <c r="G41"/>
  <c r="V16" i="16"/>
  <c r="W16" s="1"/>
  <c r="X16" s="1"/>
  <c r="BC16" i="19" s="1"/>
  <c r="U15" i="16"/>
  <c r="S26" i="29"/>
  <c r="T26" s="1"/>
  <c r="D12" i="224"/>
  <c r="E45" i="19"/>
  <c r="E48" i="133" s="1"/>
  <c r="B31" i="220"/>
  <c r="CQ20" i="19"/>
  <c r="K6" i="220"/>
  <c r="BW27" i="29"/>
  <c r="BX27" s="1"/>
  <c r="L13" i="224"/>
  <c r="BL14" i="18"/>
  <c r="BL19"/>
  <c r="BL23"/>
  <c r="BL27"/>
  <c r="BL31"/>
  <c r="BL35"/>
  <c r="BL39"/>
  <c r="BL43"/>
  <c r="BL13"/>
  <c r="BL18"/>
  <c r="BL22"/>
  <c r="BL26"/>
  <c r="BL30"/>
  <c r="BL34"/>
  <c r="BL38"/>
  <c r="BL42"/>
  <c r="CA15"/>
  <c r="CA20"/>
  <c r="CA24"/>
  <c r="CA28"/>
  <c r="CA32"/>
  <c r="CA36"/>
  <c r="CA40"/>
  <c r="CA44"/>
  <c r="CA14"/>
  <c r="CA19"/>
  <c r="CA23"/>
  <c r="CA27"/>
  <c r="CA31"/>
  <c r="CA35"/>
  <c r="CA39"/>
  <c r="CA43"/>
  <c r="DT12"/>
  <c r="DT16"/>
  <c r="DT21"/>
  <c r="DT25"/>
  <c r="DT29"/>
  <c r="DT33"/>
  <c r="DT37"/>
  <c r="DT41"/>
  <c r="DT15"/>
  <c r="DT20"/>
  <c r="DT24"/>
  <c r="DT28"/>
  <c r="DT32"/>
  <c r="DT36"/>
  <c r="DT40"/>
  <c r="DT44"/>
  <c r="FD27"/>
  <c r="FD31"/>
  <c r="FD35"/>
  <c r="FD39"/>
  <c r="FD43"/>
  <c r="FD30"/>
  <c r="FD34"/>
  <c r="FD38"/>
  <c r="FD42"/>
  <c r="P16" i="10"/>
  <c r="O15"/>
  <c r="AO12" i="2"/>
  <c r="W9" i="37" s="1"/>
  <c r="AM12" i="2"/>
  <c r="V9" i="37" s="1"/>
  <c r="AJ20" i="2"/>
  <c r="T17" i="37" s="1"/>
  <c r="AF20" i="2"/>
  <c r="R17" i="37" s="1"/>
  <c r="BK25" i="2"/>
  <c r="AI22" i="37" s="1"/>
  <c r="BE25" i="2"/>
  <c r="AF22" i="37" s="1"/>
  <c r="BG25" i="2"/>
  <c r="AG22" i="37" s="1"/>
  <c r="AS29" i="2"/>
  <c r="Y26" i="37" s="1"/>
  <c r="AQ29" i="2"/>
  <c r="X26" i="37" s="1"/>
  <c r="AA37" i="2"/>
  <c r="O34" i="37" s="1"/>
  <c r="U37" i="2"/>
  <c r="L34" i="37" s="1"/>
  <c r="BT67" i="58"/>
  <c r="BT68"/>
  <c r="AP50"/>
  <c r="AP56"/>
  <c r="AP65"/>
  <c r="E67" i="19"/>
  <c r="E41" i="133"/>
  <c r="E68" i="19"/>
  <c r="CN50"/>
  <c r="K21" i="132"/>
  <c r="AY50" i="29"/>
  <c r="I21" i="169"/>
  <c r="AK50" i="29"/>
  <c r="G21" i="169"/>
  <c r="R50" i="29"/>
  <c r="D23" i="176"/>
  <c r="D50" i="29"/>
  <c r="K3" i="171"/>
  <c r="B23" i="176"/>
  <c r="W41" i="5"/>
  <c r="I27" i="212"/>
  <c r="K41" i="5"/>
  <c r="C27" i="212"/>
  <c r="Q38" i="5"/>
  <c r="F24" i="212"/>
  <c r="M38" i="5"/>
  <c r="D24" i="212"/>
  <c r="V38" i="58"/>
  <c r="I38" i="5"/>
  <c r="B24" i="212"/>
  <c r="B38" i="58"/>
  <c r="O35" i="5"/>
  <c r="E21" i="212"/>
  <c r="K35" i="5"/>
  <c r="C21" i="212"/>
  <c r="S32" i="5"/>
  <c r="G18" i="212"/>
  <c r="AZ32" i="58"/>
  <c r="O32" i="5"/>
  <c r="E18" i="212"/>
  <c r="AF32" i="58"/>
  <c r="K32" i="5"/>
  <c r="C18" i="212"/>
  <c r="L32" i="58"/>
  <c r="W29" i="5"/>
  <c r="I15" i="212"/>
  <c r="BT29" i="58"/>
  <c r="Q28" i="5"/>
  <c r="F14" i="212"/>
  <c r="AP28" i="58"/>
  <c r="M28" i="5"/>
  <c r="D14" i="212"/>
  <c r="V28" i="58"/>
  <c r="I28" i="5"/>
  <c r="B14" i="212"/>
  <c r="S24" i="5"/>
  <c r="G10" i="212"/>
  <c r="O24" i="5"/>
  <c r="E10" i="212"/>
  <c r="AF24" i="58"/>
  <c r="K24" i="5"/>
  <c r="C10" i="212"/>
  <c r="L24" i="58"/>
  <c r="Y23" i="5"/>
  <c r="J9" i="212"/>
  <c r="CD23" i="58"/>
  <c r="Y22" i="5"/>
  <c r="J8" i="212"/>
  <c r="CD22" i="58"/>
  <c r="U22" i="5"/>
  <c r="H8" i="212"/>
  <c r="Q22" i="5"/>
  <c r="F8" i="212"/>
  <c r="I21" i="5"/>
  <c r="B7" i="212"/>
  <c r="B21" i="58"/>
  <c r="B23" i="124" s="1"/>
  <c r="H23" s="1"/>
  <c r="AA20" i="5"/>
  <c r="K6" i="212"/>
  <c r="W20" i="5"/>
  <c r="I6" i="212"/>
  <c r="S20" i="5"/>
  <c r="G6" i="212"/>
  <c r="AZ20" i="58"/>
  <c r="J20" i="6"/>
  <c r="K20" s="1"/>
  <c r="AS20" i="58" s="1"/>
  <c r="L17" i="74"/>
  <c r="F6" i="215" s="1"/>
  <c r="U17" i="15"/>
  <c r="AB17" i="10"/>
  <c r="J17"/>
  <c r="I16"/>
  <c r="AQ25" i="64"/>
  <c r="AR25" s="1"/>
  <c r="AS25" s="1"/>
  <c r="L13" i="227"/>
  <c r="K30" i="210"/>
  <c r="CS44" i="19"/>
  <c r="CI43"/>
  <c r="J29" i="210"/>
  <c r="AU43" i="19"/>
  <c r="F29" i="210"/>
  <c r="G43" i="19"/>
  <c r="B29" i="210"/>
  <c r="BY42" i="19"/>
  <c r="I28" i="210"/>
  <c r="AK42" i="19"/>
  <c r="E28" i="210"/>
  <c r="DC41" i="19"/>
  <c r="L27" i="210"/>
  <c r="BO41" i="19"/>
  <c r="H27" i="210"/>
  <c r="AA41" i="19"/>
  <c r="D27" i="210"/>
  <c r="L26"/>
  <c r="DC40" i="19"/>
  <c r="H26" i="210"/>
  <c r="BO40" i="19"/>
  <c r="K25" i="210"/>
  <c r="CS39" i="19"/>
  <c r="C25" i="210"/>
  <c r="Q39" i="19"/>
  <c r="CS38"/>
  <c r="K24" i="210"/>
  <c r="BE38" i="19"/>
  <c r="G24" i="210"/>
  <c r="Q38" i="19"/>
  <c r="C24" i="210"/>
  <c r="K23"/>
  <c r="CS37" i="19"/>
  <c r="E23" i="210"/>
  <c r="AK37" i="19"/>
  <c r="J19" i="210"/>
  <c r="CI33" i="19"/>
  <c r="G19" i="210"/>
  <c r="BE33" i="19"/>
  <c r="F18" i="210"/>
  <c r="AU32" i="19"/>
  <c r="C18" i="210"/>
  <c r="Q32" i="19"/>
  <c r="B16" i="210"/>
  <c r="G30" i="19"/>
  <c r="D15" i="210"/>
  <c r="AA29" i="19"/>
  <c r="C14" i="210"/>
  <c r="Q28" i="19"/>
  <c r="B28" i="219"/>
  <c r="D42" i="19"/>
  <c r="D45" i="133" s="1"/>
  <c r="B39" i="219"/>
  <c r="B44"/>
  <c r="B22"/>
  <c r="D36" i="19"/>
  <c r="D39" i="133" s="1"/>
  <c r="B14" i="219"/>
  <c r="D28" i="19"/>
  <c r="D31" i="133" s="1"/>
  <c r="B10" i="219"/>
  <c r="D24" i="19"/>
  <c r="D27" i="133" s="1"/>
  <c r="D20" i="19"/>
  <c r="D23" i="133" s="1"/>
  <c r="B6" i="219"/>
  <c r="X32" i="19"/>
  <c r="D18" i="219"/>
  <c r="H29" i="14"/>
  <c r="H29" i="15" s="1"/>
  <c r="J29" s="1"/>
  <c r="K29" s="1"/>
  <c r="M29" i="14"/>
  <c r="K29"/>
  <c r="T29" i="15" s="1"/>
  <c r="V29" s="1"/>
  <c r="W29" s="1"/>
  <c r="H21" i="14"/>
  <c r="M21"/>
  <c r="AB21" i="15" s="1"/>
  <c r="AD21" s="1"/>
  <c r="AE21" s="1"/>
  <c r="K21" i="14"/>
  <c r="T21" i="15" s="1"/>
  <c r="V21" s="1"/>
  <c r="W21" s="1"/>
  <c r="FJ13" i="18"/>
  <c r="FJ18"/>
  <c r="FJ22"/>
  <c r="FJ26"/>
  <c r="FJ30"/>
  <c r="FJ34"/>
  <c r="FJ38"/>
  <c r="FJ42"/>
  <c r="FJ12"/>
  <c r="FJ16"/>
  <c r="FJ21"/>
  <c r="FJ25"/>
  <c r="FJ29"/>
  <c r="FJ33"/>
  <c r="FJ37"/>
  <c r="FJ41"/>
  <c r="E39" i="69"/>
  <c r="G39"/>
  <c r="H39"/>
  <c r="CT12" i="18"/>
  <c r="CT16"/>
  <c r="CT21"/>
  <c r="CT25"/>
  <c r="CT29"/>
  <c r="CT33"/>
  <c r="CT37"/>
  <c r="CT41"/>
  <c r="CT15"/>
  <c r="CT20"/>
  <c r="CT24"/>
  <c r="CT28"/>
  <c r="CT32"/>
  <c r="CT36"/>
  <c r="CT40"/>
  <c r="CT44"/>
  <c r="E19" i="69"/>
  <c r="BB16" i="18" s="1"/>
  <c r="G19" i="69"/>
  <c r="H19"/>
  <c r="AD12" i="18"/>
  <c r="AD16"/>
  <c r="AD21"/>
  <c r="AD25"/>
  <c r="AD29"/>
  <c r="AD33"/>
  <c r="AD37"/>
  <c r="AD41"/>
  <c r="AD15"/>
  <c r="AF15" s="1"/>
  <c r="AH15" s="1"/>
  <c r="AI15" s="1"/>
  <c r="P16" i="19" s="1"/>
  <c r="AD20" i="18"/>
  <c r="AD24"/>
  <c r="AD28"/>
  <c r="AD32"/>
  <c r="AD36"/>
  <c r="AD40"/>
  <c r="AD44"/>
  <c r="E4" i="69"/>
  <c r="C47" i="18" s="1"/>
  <c r="J4" i="69"/>
  <c r="M47" i="18" s="1"/>
  <c r="F4" i="69"/>
  <c r="G4"/>
  <c r="H29" i="220"/>
  <c r="BM43" i="19"/>
  <c r="DA42"/>
  <c r="L28" i="220"/>
  <c r="BM42" i="19"/>
  <c r="H28" i="220"/>
  <c r="Y42" i="19"/>
  <c r="D28" i="220"/>
  <c r="K27"/>
  <c r="CQ41" i="19"/>
  <c r="I24" i="220"/>
  <c r="BW38" i="19"/>
  <c r="F24" i="220"/>
  <c r="AS38" i="19"/>
  <c r="K23" i="220"/>
  <c r="CQ37" i="19"/>
  <c r="H20" i="220"/>
  <c r="BM34" i="19"/>
  <c r="CG33"/>
  <c r="J19" i="220"/>
  <c r="L18"/>
  <c r="DA32" i="19"/>
  <c r="F14" i="220"/>
  <c r="AS28" i="19"/>
  <c r="C14" i="220"/>
  <c r="O28" i="19"/>
  <c r="H10" i="220"/>
  <c r="BM24" i="19"/>
  <c r="G9" i="220"/>
  <c r="BC23" i="19"/>
  <c r="C9" i="220"/>
  <c r="O23" i="19"/>
  <c r="AD22" i="16"/>
  <c r="AE22" s="1"/>
  <c r="AF22" s="1"/>
  <c r="AC21"/>
  <c r="N48" i="33"/>
  <c r="H21" i="173"/>
  <c r="L30" i="233"/>
  <c r="L31" i="41"/>
  <c r="H30" i="233"/>
  <c r="AF44" i="35"/>
  <c r="D30" i="233"/>
  <c r="D31" i="41"/>
  <c r="CP46" i="2"/>
  <c r="CV45"/>
  <c r="BF45"/>
  <c r="BG44"/>
  <c r="AG41" i="37" s="1"/>
  <c r="V45" i="2"/>
  <c r="W44"/>
  <c r="M41" i="37" s="1"/>
  <c r="E34" i="214"/>
  <c r="E46" i="4"/>
  <c r="AK48" i="58"/>
  <c r="AK52" s="1"/>
  <c r="G68" i="19"/>
  <c r="AV41" i="2"/>
  <c r="AA38" i="37" s="1"/>
  <c r="CO36" i="2"/>
  <c r="AZ33" i="37" s="1"/>
  <c r="AV35" i="2"/>
  <c r="AA32" i="37" s="1"/>
  <c r="CO32" i="2"/>
  <c r="AZ29" i="37" s="1"/>
  <c r="C32" i="2"/>
  <c r="B29" i="37" s="1"/>
  <c r="CF29" i="2"/>
  <c r="AU26" i="37" s="1"/>
  <c r="AV25" i="2"/>
  <c r="AA22" i="37" s="1"/>
  <c r="BW24" i="2"/>
  <c r="AP21" i="37" s="1"/>
  <c r="BW22" i="2"/>
  <c r="AP19" i="37" s="1"/>
  <c r="C17" i="2"/>
  <c r="B14" i="37" s="1"/>
  <c r="AD16" i="2"/>
  <c r="Q13" i="37" s="1"/>
  <c r="BE15" i="2"/>
  <c r="AF12" i="37" s="1"/>
  <c r="BN14" i="2"/>
  <c r="AK11" i="37" s="1"/>
  <c r="AD14" i="2"/>
  <c r="Q11" i="37" s="1"/>
  <c r="U13" i="2"/>
  <c r="L10" i="37" s="1"/>
  <c r="CO9" i="2"/>
  <c r="AZ6" i="37" s="1"/>
  <c r="E6" i="31"/>
  <c r="CO40" i="2"/>
  <c r="AZ37" i="37" s="1"/>
  <c r="AD35" i="2"/>
  <c r="Q32" i="37" s="1"/>
  <c r="AM32" i="2"/>
  <c r="V29" i="37" s="1"/>
  <c r="BN27" i="2"/>
  <c r="AK24" i="37" s="1"/>
  <c r="U17" i="2"/>
  <c r="L14" i="37" s="1"/>
  <c r="Y38" i="2"/>
  <c r="N35" i="37" s="1"/>
  <c r="AQ15" i="2"/>
  <c r="X12" i="37" s="1"/>
  <c r="AB9" i="2"/>
  <c r="AK10"/>
  <c r="AJ10" s="1"/>
  <c r="T7" i="37" s="1"/>
  <c r="CV13" i="2"/>
  <c r="CU13" s="1"/>
  <c r="BC10" i="37" s="1"/>
  <c r="J15" i="2"/>
  <c r="I15" s="1"/>
  <c r="E12" i="37" s="1"/>
  <c r="BU16" i="2"/>
  <c r="BR16" s="1"/>
  <c r="AM13" i="37" s="1"/>
  <c r="CD20" i="2"/>
  <c r="J24"/>
  <c r="I24" s="1"/>
  <c r="E21" i="37" s="1"/>
  <c r="BL30" i="2"/>
  <c r="BK30" s="1"/>
  <c r="AI27" i="37" s="1"/>
  <c r="H33" i="124"/>
  <c r="P27" i="33"/>
  <c r="F26"/>
  <c r="R24"/>
  <c r="H23"/>
  <c r="T21"/>
  <c r="J20"/>
  <c r="V18"/>
  <c r="L17"/>
  <c r="L36" i="15"/>
  <c r="N36" s="1"/>
  <c r="O36" s="1"/>
  <c r="AR32"/>
  <c r="AT32" s="1"/>
  <c r="AU32" s="1"/>
  <c r="AB32"/>
  <c r="AD32" s="1"/>
  <c r="AE32" s="1"/>
  <c r="AB27"/>
  <c r="AD27" s="1"/>
  <c r="AE27" s="1"/>
  <c r="AR22"/>
  <c r="AT22" s="1"/>
  <c r="AU22" s="1"/>
  <c r="AB22"/>
  <c r="AD22" s="1"/>
  <c r="AE22" s="1"/>
  <c r="L22"/>
  <c r="N22" s="1"/>
  <c r="O22" s="1"/>
  <c r="CU44" i="2"/>
  <c r="BC41" i="37" s="1"/>
  <c r="AS44" i="2"/>
  <c r="Y41" i="37" s="1"/>
  <c r="BT41" i="2"/>
  <c r="AN38" i="37" s="1"/>
  <c r="BB41" i="2"/>
  <c r="AD38" i="37" s="1"/>
  <c r="CU40" i="2"/>
  <c r="BC37" i="37" s="1"/>
  <c r="R31" i="2"/>
  <c r="J28" i="37" s="1"/>
  <c r="I30" i="2"/>
  <c r="E27" i="37" s="1"/>
  <c r="CL23" i="2"/>
  <c r="AX20" i="37" s="1"/>
  <c r="CC22" i="2"/>
  <c r="AS19" i="37" s="1"/>
  <c r="BB14" i="2"/>
  <c r="AD11" i="37" s="1"/>
  <c r="G52" i="58"/>
  <c r="R45" i="29"/>
  <c r="T45" s="1"/>
  <c r="D31" i="223"/>
  <c r="I38"/>
  <c r="I39"/>
  <c r="I44"/>
  <c r="AB50" i="23"/>
  <c r="J5" i="223"/>
  <c r="J42" s="1"/>
  <c r="D50" i="23"/>
  <c r="B5" i="223"/>
  <c r="E39" i="224"/>
  <c r="E44"/>
  <c r="G43" i="226"/>
  <c r="G38"/>
  <c r="G39"/>
  <c r="G44"/>
  <c r="L46" i="32"/>
  <c r="L5" i="226"/>
  <c r="L42" s="1"/>
  <c r="L48" i="32"/>
  <c r="D46"/>
  <c r="D5" i="226"/>
  <c r="D48" i="32"/>
  <c r="I38" i="233"/>
  <c r="I43"/>
  <c r="CD33" i="58"/>
  <c r="J19" i="212"/>
  <c r="Y25" i="5"/>
  <c r="J11" i="212"/>
  <c r="J22" i="180"/>
  <c r="AS48" i="35"/>
  <c r="B44" i="210"/>
  <c r="E44" i="220"/>
  <c r="E39"/>
  <c r="C22" i="180"/>
  <c r="J48" i="35"/>
  <c r="CD68" i="58"/>
  <c r="BJ67"/>
  <c r="BJ68"/>
  <c r="AF67"/>
  <c r="AF68"/>
  <c r="CN67" i="19"/>
  <c r="CN68"/>
  <c r="AP67"/>
  <c r="AP68"/>
  <c r="AF50"/>
  <c r="E21" i="132"/>
  <c r="BO50" i="29"/>
  <c r="K23" i="176"/>
  <c r="AM50" i="29"/>
  <c r="G23" i="176"/>
  <c r="K50" i="29"/>
  <c r="C23" i="176"/>
  <c r="AV50" i="35"/>
  <c r="K21" i="179"/>
  <c r="AL50" i="35"/>
  <c r="I21" i="179"/>
  <c r="AL53" i="35"/>
  <c r="AB50"/>
  <c r="G21" i="179"/>
  <c r="R50" i="35"/>
  <c r="E21" i="179"/>
  <c r="H50" i="35"/>
  <c r="C21" i="179"/>
  <c r="K43" i="5"/>
  <c r="C29" i="212"/>
  <c r="W42" i="5"/>
  <c r="I28" i="212"/>
  <c r="K42" i="5"/>
  <c r="C28" i="212"/>
  <c r="M39" i="5"/>
  <c r="D25" i="212"/>
  <c r="I39" i="5"/>
  <c r="B25" i="212"/>
  <c r="W38" i="5"/>
  <c r="I24" i="212"/>
  <c r="O38" i="5"/>
  <c r="E24" i="212"/>
  <c r="K38" i="5"/>
  <c r="C24" i="212"/>
  <c r="O36" i="5"/>
  <c r="E22" i="212"/>
  <c r="K36" i="5"/>
  <c r="C22" i="212"/>
  <c r="Q35" i="5"/>
  <c r="F21" i="212"/>
  <c r="M35" i="5"/>
  <c r="D21" i="212"/>
  <c r="I35" i="5"/>
  <c r="B21" i="212"/>
  <c r="W34" i="5"/>
  <c r="I20" i="212"/>
  <c r="O34" i="5"/>
  <c r="E20" i="212"/>
  <c r="K34" i="5"/>
  <c r="C20" i="212"/>
  <c r="Q32" i="5"/>
  <c r="F18" i="212"/>
  <c r="M32" i="5"/>
  <c r="D18" i="212"/>
  <c r="I32" i="5"/>
  <c r="B18" i="212"/>
  <c r="W31" i="5"/>
  <c r="I17" i="212"/>
  <c r="W30" i="5"/>
  <c r="I16" i="212"/>
  <c r="S30" i="5"/>
  <c r="G16" i="212"/>
  <c r="K29" i="5"/>
  <c r="C15" i="212"/>
  <c r="K28" i="5"/>
  <c r="C14" i="212"/>
  <c r="F37"/>
  <c r="F42"/>
  <c r="M27" i="5"/>
  <c r="D13" i="212"/>
  <c r="Q25" i="5"/>
  <c r="F11" i="212"/>
  <c r="M25" i="5"/>
  <c r="D11" i="212"/>
  <c r="I25" i="5"/>
  <c r="B11" i="212"/>
  <c r="AA24" i="5"/>
  <c r="K10" i="212"/>
  <c r="O23" i="5"/>
  <c r="E9" i="212"/>
  <c r="K23" i="5"/>
  <c r="C9" i="212"/>
  <c r="AC22" i="5"/>
  <c r="L8" i="212"/>
  <c r="K22" i="5"/>
  <c r="C8" i="212"/>
  <c r="AC21" i="5"/>
  <c r="L7" i="212"/>
  <c r="Y21" i="5"/>
  <c r="J7" i="212"/>
  <c r="U21" i="5"/>
  <c r="H7" i="212"/>
  <c r="AC20" i="5"/>
  <c r="L6" i="212"/>
  <c r="Y20" i="5"/>
  <c r="J6" i="212"/>
  <c r="U20" i="5"/>
  <c r="H6" i="212"/>
  <c r="H36"/>
  <c r="H41"/>
  <c r="F36"/>
  <c r="F41"/>
  <c r="D36"/>
  <c r="D41"/>
  <c r="B36"/>
  <c r="B41"/>
  <c r="AS44" i="3"/>
  <c r="L30" i="211"/>
  <c r="AC44" i="3"/>
  <c r="H30" i="211"/>
  <c r="M44" i="3"/>
  <c r="D30" i="211"/>
  <c r="AO43" i="3"/>
  <c r="K29" i="211"/>
  <c r="Y43" i="3"/>
  <c r="G29" i="211"/>
  <c r="I43" i="3"/>
  <c r="C29" i="211"/>
  <c r="AK42" i="3"/>
  <c r="J28" i="211"/>
  <c r="U42" i="3"/>
  <c r="F28" i="211"/>
  <c r="AG41" i="3"/>
  <c r="I27" i="211"/>
  <c r="Q41" i="3"/>
  <c r="E27" i="211"/>
  <c r="AS40" i="3"/>
  <c r="L26" i="211"/>
  <c r="AC40" i="3"/>
  <c r="H26" i="211"/>
  <c r="M40" i="3"/>
  <c r="D26" i="211"/>
  <c r="AO39" i="3"/>
  <c r="K25" i="211"/>
  <c r="Y39" i="3"/>
  <c r="G25" i="211"/>
  <c r="I39" i="3"/>
  <c r="C25" i="211"/>
  <c r="AK38" i="3"/>
  <c r="J24" i="211"/>
  <c r="U38" i="3"/>
  <c r="F24" i="211"/>
  <c r="E38" i="3"/>
  <c r="B24" i="211"/>
  <c r="AG37" i="3"/>
  <c r="I23" i="211"/>
  <c r="Q37" i="3"/>
  <c r="E23" i="211"/>
  <c r="AS36" i="3"/>
  <c r="L22" i="211"/>
  <c r="AC36" i="3"/>
  <c r="H22" i="211"/>
  <c r="M36" i="3"/>
  <c r="D22" i="211"/>
  <c r="AO35" i="3"/>
  <c r="K21" i="211"/>
  <c r="Y35" i="3"/>
  <c r="G21" i="211"/>
  <c r="I35" i="3"/>
  <c r="C21" i="211"/>
  <c r="AK34" i="3"/>
  <c r="J20" i="211"/>
  <c r="U34" i="3"/>
  <c r="F20" i="211"/>
  <c r="E34" i="3"/>
  <c r="B20" i="211"/>
  <c r="AG33" i="3"/>
  <c r="I19" i="211"/>
  <c r="Q33" i="3"/>
  <c r="E19" i="211"/>
  <c r="AS32" i="3"/>
  <c r="L18" i="211"/>
  <c r="AC32" i="3"/>
  <c r="H18" i="211"/>
  <c r="M32" i="3"/>
  <c r="D18" i="211"/>
  <c r="AO31" i="3"/>
  <c r="K17" i="211"/>
  <c r="Y31" i="3"/>
  <c r="G17" i="211"/>
  <c r="I31" i="3"/>
  <c r="C17" i="211"/>
  <c r="AK30" i="3"/>
  <c r="J16" i="211"/>
  <c r="U30" i="3"/>
  <c r="F16" i="211"/>
  <c r="E30" i="3"/>
  <c r="B16" i="211"/>
  <c r="AG29" i="3"/>
  <c r="I15" i="211"/>
  <c r="Q29" i="3"/>
  <c r="E15" i="211"/>
  <c r="AS28" i="3"/>
  <c r="L14" i="211"/>
  <c r="AC28" i="3"/>
  <c r="H14" i="211"/>
  <c r="M28" i="3"/>
  <c r="D14" i="211"/>
  <c r="AO27" i="3"/>
  <c r="K13" i="211"/>
  <c r="Y27" i="3"/>
  <c r="G13" i="211"/>
  <c r="I27" i="3"/>
  <c r="C13" i="211"/>
  <c r="AK26" i="3"/>
  <c r="J12" i="211"/>
  <c r="U26" i="3"/>
  <c r="F12" i="211"/>
  <c r="E26" i="3"/>
  <c r="B12" i="211"/>
  <c r="AG25" i="3"/>
  <c r="I11" i="211"/>
  <c r="Q25" i="3"/>
  <c r="E11" i="211"/>
  <c r="AS24" i="3"/>
  <c r="L10" i="211"/>
  <c r="AC24" i="3"/>
  <c r="H10" i="211"/>
  <c r="M24" i="3"/>
  <c r="D10" i="211"/>
  <c r="AO23" i="3"/>
  <c r="K9" i="211"/>
  <c r="Y23" i="3"/>
  <c r="G9" i="211"/>
  <c r="I23" i="3"/>
  <c r="C9" i="211"/>
  <c r="AK22" i="3"/>
  <c r="J8" i="211"/>
  <c r="U22" i="3"/>
  <c r="F8" i="211"/>
  <c r="E22" i="3"/>
  <c r="B8" i="211"/>
  <c r="AG21" i="3"/>
  <c r="I7" i="211"/>
  <c r="Q21" i="3"/>
  <c r="E7" i="211"/>
  <c r="AS20" i="3"/>
  <c r="L6" i="211"/>
  <c r="AC20" i="3"/>
  <c r="H6" i="211"/>
  <c r="M20" i="3"/>
  <c r="D6" i="211"/>
  <c r="CD41" i="19"/>
  <c r="J27" i="217"/>
  <c r="CD40" i="19"/>
  <c r="J26" i="217"/>
  <c r="CD39" i="19"/>
  <c r="J25" i="217"/>
  <c r="F43"/>
  <c r="F38"/>
  <c r="F39"/>
  <c r="F44"/>
  <c r="CD36" i="19"/>
  <c r="J22" i="217"/>
  <c r="CD35" i="19"/>
  <c r="J21" i="217"/>
  <c r="CD33" i="19"/>
  <c r="J19" i="217"/>
  <c r="CD30" i="19"/>
  <c r="J16" i="217"/>
  <c r="CD28" i="19"/>
  <c r="J14" i="217"/>
  <c r="CD27" i="19"/>
  <c r="CD66" s="1"/>
  <c r="J13" i="217"/>
  <c r="P50" i="9"/>
  <c r="F5" i="217"/>
  <c r="F37" s="1"/>
  <c r="G45" i="19"/>
  <c r="B31" i="210"/>
  <c r="BY40" i="19"/>
  <c r="I26" i="210"/>
  <c r="AK40" i="19"/>
  <c r="E26" i="210"/>
  <c r="DC39" i="19"/>
  <c r="L25" i="210"/>
  <c r="BO39" i="19"/>
  <c r="H25" i="210"/>
  <c r="AA39" i="19"/>
  <c r="D25" i="210"/>
  <c r="G33" i="19"/>
  <c r="B19" i="210"/>
  <c r="CP30" i="19"/>
  <c r="K16" i="219"/>
  <c r="BB30" i="19"/>
  <c r="G16" i="219"/>
  <c r="N30" i="19"/>
  <c r="C16" i="219"/>
  <c r="CZ28" i="19"/>
  <c r="L14" i="219"/>
  <c r="BL28" i="19"/>
  <c r="H14" i="219"/>
  <c r="CF26" i="19"/>
  <c r="J12" i="219"/>
  <c r="AR26" i="19"/>
  <c r="F12" i="219"/>
  <c r="CG42" i="19"/>
  <c r="J28" i="220"/>
  <c r="AS42" i="19"/>
  <c r="F28" i="220"/>
  <c r="CG39" i="19"/>
  <c r="J25" i="220"/>
  <c r="E43"/>
  <c r="E38"/>
  <c r="B38"/>
  <c r="B43"/>
  <c r="B44"/>
  <c r="B39"/>
  <c r="CG36" i="19"/>
  <c r="J22" i="220"/>
  <c r="AS36" i="19"/>
  <c r="F22" i="220"/>
  <c r="BM30" i="19"/>
  <c r="H16" i="220"/>
  <c r="BM23" i="19"/>
  <c r="H9" i="220"/>
  <c r="K43" i="232"/>
  <c r="K38"/>
  <c r="G43"/>
  <c r="G38"/>
  <c r="C43"/>
  <c r="C38"/>
  <c r="L37"/>
  <c r="L42"/>
  <c r="H42"/>
  <c r="H37"/>
  <c r="D37"/>
  <c r="D42"/>
  <c r="J41"/>
  <c r="J36"/>
  <c r="F41"/>
  <c r="F36"/>
  <c r="B36"/>
  <c r="B41"/>
  <c r="BA45" i="29"/>
  <c r="BC45" s="1"/>
  <c r="I31" i="223"/>
  <c r="Y45" i="29"/>
  <c r="AA45" s="1"/>
  <c r="E31" i="223"/>
  <c r="J38"/>
  <c r="J43"/>
  <c r="J39"/>
  <c r="J44"/>
  <c r="F43"/>
  <c r="F38"/>
  <c r="F39"/>
  <c r="F44"/>
  <c r="B38"/>
  <c r="B43"/>
  <c r="B39"/>
  <c r="B44"/>
  <c r="G42"/>
  <c r="AE50" i="23"/>
  <c r="K5" i="223"/>
  <c r="S50" i="23"/>
  <c r="G5" i="223"/>
  <c r="G37" s="1"/>
  <c r="G50" i="23"/>
  <c r="C5" i="223"/>
  <c r="C37" s="1"/>
  <c r="J44" i="224"/>
  <c r="J39"/>
  <c r="F39"/>
  <c r="F44"/>
  <c r="B39"/>
  <c r="B44"/>
  <c r="V43" i="33"/>
  <c r="L31" i="226"/>
  <c r="N43" i="33"/>
  <c r="H31" i="226"/>
  <c r="F43" i="33"/>
  <c r="D31" i="226"/>
  <c r="P37" i="33"/>
  <c r="I25" i="226"/>
  <c r="H37" i="33"/>
  <c r="E25" i="226"/>
  <c r="V36" i="33"/>
  <c r="L24" i="226"/>
  <c r="N36" i="33"/>
  <c r="H24" i="226"/>
  <c r="F36" i="33"/>
  <c r="D24" i="226"/>
  <c r="T35" i="33"/>
  <c r="K23" i="226"/>
  <c r="L35" i="33"/>
  <c r="G23" i="226"/>
  <c r="D35" i="33"/>
  <c r="C23" i="226"/>
  <c r="R34" i="33"/>
  <c r="J22" i="226"/>
  <c r="J34" i="33"/>
  <c r="F22" i="226"/>
  <c r="B34" i="33"/>
  <c r="B22" i="226"/>
  <c r="P33" i="33"/>
  <c r="I21" i="226"/>
  <c r="H33" i="33"/>
  <c r="E21" i="226"/>
  <c r="V32" i="33"/>
  <c r="L20" i="226"/>
  <c r="N32" i="33"/>
  <c r="H20" i="226"/>
  <c r="F32" i="33"/>
  <c r="D20" i="226"/>
  <c r="T31" i="33"/>
  <c r="K19" i="226"/>
  <c r="L31" i="33"/>
  <c r="G19" i="226"/>
  <c r="D31" i="33"/>
  <c r="C19" i="226"/>
  <c r="R30" i="33"/>
  <c r="J18" i="226"/>
  <c r="J30" i="33"/>
  <c r="F18" i="226"/>
  <c r="B30" i="33"/>
  <c r="B18" i="226"/>
  <c r="P29" i="33"/>
  <c r="I17" i="226"/>
  <c r="V28" i="33"/>
  <c r="L16" i="226"/>
  <c r="E37"/>
  <c r="I46" i="32"/>
  <c r="I5" i="226"/>
  <c r="I48" i="32"/>
  <c r="E46"/>
  <c r="E5" i="226"/>
  <c r="E42" s="1"/>
  <c r="E48" i="32"/>
  <c r="J38" i="233"/>
  <c r="J43"/>
  <c r="F43"/>
  <c r="F38"/>
  <c r="B38"/>
  <c r="B43"/>
  <c r="B45" i="19"/>
  <c r="B48" i="133" s="1"/>
  <c r="B31" i="217"/>
  <c r="J44" i="212"/>
  <c r="J39"/>
  <c r="X46" i="58"/>
  <c r="X68" s="1"/>
  <c r="D32" i="213"/>
  <c r="B41" i="214"/>
  <c r="B36"/>
  <c r="B23" i="26"/>
  <c r="F23"/>
  <c r="J23"/>
  <c r="E41" i="74"/>
  <c r="BJ44" i="58"/>
  <c r="V44"/>
  <c r="H41" i="124"/>
  <c r="AZ36" i="58"/>
  <c r="H37" i="124"/>
  <c r="BJ28" i="58"/>
  <c r="CX27"/>
  <c r="CX66" s="1"/>
  <c r="CN66" i="19"/>
  <c r="L66"/>
  <c r="BP44" i="29"/>
  <c r="BQ44" s="1"/>
  <c r="AN44"/>
  <c r="AO44" s="1"/>
  <c r="L44"/>
  <c r="M44" s="1"/>
  <c r="BI43"/>
  <c r="BJ43" s="1"/>
  <c r="AG43"/>
  <c r="AH43" s="1"/>
  <c r="E43"/>
  <c r="BB42"/>
  <c r="BC42" s="1"/>
  <c r="Z42"/>
  <c r="AA42" s="1"/>
  <c r="BW41"/>
  <c r="BX41" s="1"/>
  <c r="AU41"/>
  <c r="AV41" s="1"/>
  <c r="S41"/>
  <c r="T41" s="1"/>
  <c r="BP40"/>
  <c r="BQ40" s="1"/>
  <c r="AN40"/>
  <c r="AO40" s="1"/>
  <c r="L40"/>
  <c r="BI39"/>
  <c r="BJ39" s="1"/>
  <c r="AG39"/>
  <c r="AH39" s="1"/>
  <c r="E39"/>
  <c r="J23" i="171" s="1"/>
  <c r="BB38" i="29"/>
  <c r="Z38"/>
  <c r="BW37"/>
  <c r="BX37" s="1"/>
  <c r="AU37"/>
  <c r="S37"/>
  <c r="BP36"/>
  <c r="BQ36" s="1"/>
  <c r="AN36"/>
  <c r="L36"/>
  <c r="BI35"/>
  <c r="AG35"/>
  <c r="AH35" s="1"/>
  <c r="E35"/>
  <c r="J19" i="171" s="1"/>
  <c r="BB34" i="29"/>
  <c r="Z34"/>
  <c r="BW33"/>
  <c r="BX33" s="1"/>
  <c r="AU33"/>
  <c r="S33"/>
  <c r="BP32"/>
  <c r="AN32"/>
  <c r="AO32" s="1"/>
  <c r="L32"/>
  <c r="BI31"/>
  <c r="AG31"/>
  <c r="E31"/>
  <c r="J15" i="171" s="1"/>
  <c r="BB30" i="29"/>
  <c r="Z30"/>
  <c r="BW29"/>
  <c r="AU29"/>
  <c r="AV29" s="1"/>
  <c r="S29"/>
  <c r="T28" i="33"/>
  <c r="L28"/>
  <c r="D28"/>
  <c r="R27"/>
  <c r="J27"/>
  <c r="B27"/>
  <c r="P26"/>
  <c r="H26"/>
  <c r="V25"/>
  <c r="N25"/>
  <c r="F25"/>
  <c r="T24"/>
  <c r="L24"/>
  <c r="D24"/>
  <c r="R23"/>
  <c r="J23"/>
  <c r="B23"/>
  <c r="P22"/>
  <c r="H22"/>
  <c r="V21"/>
  <c r="N21"/>
  <c r="F21"/>
  <c r="T20"/>
  <c r="L20"/>
  <c r="D20"/>
  <c r="R19"/>
  <c r="J19"/>
  <c r="B19"/>
  <c r="P18"/>
  <c r="H18"/>
  <c r="V17"/>
  <c r="F17"/>
  <c r="L30" i="41"/>
  <c r="H30"/>
  <c r="D30"/>
  <c r="O43" i="5"/>
  <c r="S36"/>
  <c r="AC35"/>
  <c r="Y33"/>
  <c r="U32"/>
  <c r="AA31"/>
  <c r="U28"/>
  <c r="AC27"/>
  <c r="H19" i="6"/>
  <c r="F17" i="75"/>
  <c r="P19" i="6"/>
  <c r="F26" i="70"/>
  <c r="F27" s="1"/>
  <c r="H27" s="1"/>
  <c r="K24"/>
  <c r="B14" i="215" s="1"/>
  <c r="N45" i="7"/>
  <c r="O45" s="1"/>
  <c r="BY41"/>
  <c r="BZ41" s="1"/>
  <c r="BK41"/>
  <c r="BL41" s="1"/>
  <c r="AW41"/>
  <c r="AX41" s="1"/>
  <c r="AI41"/>
  <c r="AJ41" s="1"/>
  <c r="U41"/>
  <c r="V41" s="1"/>
  <c r="G41"/>
  <c r="H41" s="1"/>
  <c r="BR40"/>
  <c r="BS40" s="1"/>
  <c r="BD40"/>
  <c r="BE40" s="1"/>
  <c r="AP40"/>
  <c r="AQ40" s="1"/>
  <c r="AB40"/>
  <c r="AC40" s="1"/>
  <c r="N40"/>
  <c r="O40" s="1"/>
  <c r="BY39"/>
  <c r="BZ39" s="1"/>
  <c r="BK39"/>
  <c r="BL39" s="1"/>
  <c r="AW39"/>
  <c r="AX39" s="1"/>
  <c r="AI39"/>
  <c r="AJ39" s="1"/>
  <c r="U39"/>
  <c r="V39" s="1"/>
  <c r="G39"/>
  <c r="H39" s="1"/>
  <c r="BR38"/>
  <c r="BS38" s="1"/>
  <c r="BD38"/>
  <c r="BE38" s="1"/>
  <c r="AP38"/>
  <c r="AQ38" s="1"/>
  <c r="AB38"/>
  <c r="AC38" s="1"/>
  <c r="N38"/>
  <c r="O38" s="1"/>
  <c r="BY37"/>
  <c r="BZ37" s="1"/>
  <c r="BK37"/>
  <c r="BL37" s="1"/>
  <c r="AW37"/>
  <c r="AX37" s="1"/>
  <c r="AI37"/>
  <c r="AJ37" s="1"/>
  <c r="U37"/>
  <c r="V37" s="1"/>
  <c r="G37"/>
  <c r="H37" s="1"/>
  <c r="BR36"/>
  <c r="BS36" s="1"/>
  <c r="BD36"/>
  <c r="BE36" s="1"/>
  <c r="AP36"/>
  <c r="AQ36" s="1"/>
  <c r="AB36"/>
  <c r="AC36" s="1"/>
  <c r="N36"/>
  <c r="O36" s="1"/>
  <c r="BY35"/>
  <c r="BZ35" s="1"/>
  <c r="BK35"/>
  <c r="BL35" s="1"/>
  <c r="AW35"/>
  <c r="AX35" s="1"/>
  <c r="AI35"/>
  <c r="AJ35" s="1"/>
  <c r="U35"/>
  <c r="V35" s="1"/>
  <c r="G35"/>
  <c r="H35" s="1"/>
  <c r="BR34"/>
  <c r="BS34" s="1"/>
  <c r="BD34"/>
  <c r="BE34" s="1"/>
  <c r="AP34"/>
  <c r="AQ34" s="1"/>
  <c r="F43" i="15"/>
  <c r="G43" s="1"/>
  <c r="F39"/>
  <c r="G39" s="1"/>
  <c r="L35"/>
  <c r="N35" s="1"/>
  <c r="O35" s="1"/>
  <c r="AN34"/>
  <c r="AP34" s="1"/>
  <c r="AQ34" s="1"/>
  <c r="AF32"/>
  <c r="AH32" s="1"/>
  <c r="AI32" s="1"/>
  <c r="P32"/>
  <c r="R32" s="1"/>
  <c r="S32" s="1"/>
  <c r="L31"/>
  <c r="N31" s="1"/>
  <c r="O31" s="1"/>
  <c r="AB29"/>
  <c r="AD29" s="1"/>
  <c r="AE29" s="1"/>
  <c r="AD25"/>
  <c r="AE25" s="1"/>
  <c r="AN24"/>
  <c r="AP24" s="1"/>
  <c r="AQ24" s="1"/>
  <c r="X24"/>
  <c r="Z24" s="1"/>
  <c r="AA24" s="1"/>
  <c r="H24"/>
  <c r="J24" s="1"/>
  <c r="K24" s="1"/>
  <c r="AF22"/>
  <c r="AH22" s="1"/>
  <c r="AI22" s="1"/>
  <c r="P22"/>
  <c r="R22" s="1"/>
  <c r="S22" s="1"/>
  <c r="L21"/>
  <c r="N21" s="1"/>
  <c r="O21" s="1"/>
  <c r="AJ17"/>
  <c r="AL17" s="1"/>
  <c r="AM17" s="1"/>
  <c r="CF17" i="19" s="1"/>
  <c r="M35" i="14"/>
  <c r="N32"/>
  <c r="P28"/>
  <c r="L28"/>
  <c r="X28" i="15" s="1"/>
  <c r="Z28" s="1"/>
  <c r="AA28" s="1"/>
  <c r="N24" i="14"/>
  <c r="AF24" i="15" s="1"/>
  <c r="AH24" s="1"/>
  <c r="AI24" s="1"/>
  <c r="S35" i="80"/>
  <c r="E41"/>
  <c r="S42" i="78"/>
  <c r="S43" s="1"/>
  <c r="DC52" i="58"/>
  <c r="CI52"/>
  <c r="BE52"/>
  <c r="AA52"/>
  <c r="B44" i="233"/>
  <c r="I44"/>
  <c r="F39"/>
  <c r="BV45" i="29"/>
  <c r="BX45" s="1"/>
  <c r="L31" i="223"/>
  <c r="AT45" i="29"/>
  <c r="AV45" s="1"/>
  <c r="H31" i="223"/>
  <c r="E43"/>
  <c r="E38"/>
  <c r="E39"/>
  <c r="E44"/>
  <c r="F42"/>
  <c r="P50" i="23"/>
  <c r="F5" i="223"/>
  <c r="F37" s="1"/>
  <c r="I44" i="224"/>
  <c r="I39"/>
  <c r="T43" i="33"/>
  <c r="K31" i="226"/>
  <c r="L43" i="33"/>
  <c r="G31" i="226"/>
  <c r="D43" i="33"/>
  <c r="C31" i="226"/>
  <c r="K43"/>
  <c r="K38"/>
  <c r="K39"/>
  <c r="K44"/>
  <c r="C43"/>
  <c r="C38"/>
  <c r="C44"/>
  <c r="C39"/>
  <c r="D37"/>
  <c r="D42"/>
  <c r="H46" i="32"/>
  <c r="H5" i="226"/>
  <c r="H42" s="1"/>
  <c r="H48" i="32"/>
  <c r="E43" i="233"/>
  <c r="Y37" i="5"/>
  <c r="J23" i="212"/>
  <c r="Y29" i="5"/>
  <c r="J15" i="212"/>
  <c r="L42"/>
  <c r="L37"/>
  <c r="AR46" i="58"/>
  <c r="AR68" s="1"/>
  <c r="F32" i="213"/>
  <c r="L22" i="180"/>
  <c r="BC48" i="35"/>
  <c r="F22" i="180"/>
  <c r="Y48" i="35"/>
  <c r="D22" i="180"/>
  <c r="O48" i="35"/>
  <c r="G22" i="180"/>
  <c r="AD48" i="35"/>
  <c r="BC21" i="19"/>
  <c r="G7" i="220"/>
  <c r="CQ21" i="19"/>
  <c r="K7" i="220"/>
  <c r="AZ67" i="58"/>
  <c r="AZ68"/>
  <c r="L67" i="19"/>
  <c r="L68"/>
  <c r="AP50"/>
  <c r="F21" i="132"/>
  <c r="BT50" i="29"/>
  <c r="L21" i="169"/>
  <c r="BF50" i="29"/>
  <c r="J21" i="169"/>
  <c r="AR50" i="29"/>
  <c r="H21" i="169"/>
  <c r="AD50" i="29"/>
  <c r="F21" i="169"/>
  <c r="P50" i="29"/>
  <c r="D21" i="169"/>
  <c r="I3" i="171"/>
  <c r="B21" i="169"/>
  <c r="P48" i="33"/>
  <c r="I21" i="173"/>
  <c r="H48" i="33"/>
  <c r="E21" i="173"/>
  <c r="AW50" i="35"/>
  <c r="K21" i="177"/>
  <c r="AM50" i="35"/>
  <c r="I21" i="177"/>
  <c r="AC50" i="35"/>
  <c r="G21" i="177"/>
  <c r="I50" i="35"/>
  <c r="C21" i="177"/>
  <c r="Q41" i="5"/>
  <c r="F27" i="212"/>
  <c r="M41" i="5"/>
  <c r="D27" i="212"/>
  <c r="I41" i="5"/>
  <c r="B27" i="212"/>
  <c r="W40" i="5"/>
  <c r="I26" i="212"/>
  <c r="O40" i="5"/>
  <c r="E26" i="212"/>
  <c r="K40" i="5"/>
  <c r="C26" i="212"/>
  <c r="Q37" i="5"/>
  <c r="F23" i="212"/>
  <c r="M37" i="5"/>
  <c r="D23" i="212"/>
  <c r="I37" i="5"/>
  <c r="B23" i="212"/>
  <c r="S33" i="5"/>
  <c r="G19" i="212"/>
  <c r="O33" i="5"/>
  <c r="E19" i="212"/>
  <c r="K33" i="5"/>
  <c r="C19" i="212"/>
  <c r="Q31" i="5"/>
  <c r="F17" i="212"/>
  <c r="M31" i="5"/>
  <c r="D17" i="212"/>
  <c r="M30" i="5"/>
  <c r="D16" i="212"/>
  <c r="I30" i="5"/>
  <c r="B16" i="212"/>
  <c r="Q26" i="5"/>
  <c r="F12" i="212"/>
  <c r="M26" i="5"/>
  <c r="D12" i="212"/>
  <c r="I26" i="5"/>
  <c r="B12" i="212"/>
  <c r="AA25" i="5"/>
  <c r="K11" i="212"/>
  <c r="Q24" i="5"/>
  <c r="F10" i="212"/>
  <c r="M24" i="5"/>
  <c r="D10" i="212"/>
  <c r="I24" i="5"/>
  <c r="B10" i="212"/>
  <c r="AA23" i="5"/>
  <c r="K9" i="212"/>
  <c r="W23" i="5"/>
  <c r="I9" i="212"/>
  <c r="W22" i="5"/>
  <c r="I8" i="212"/>
  <c r="S22" i="5"/>
  <c r="G8" i="212"/>
  <c r="O22" i="5"/>
  <c r="E8" i="212"/>
  <c r="O21" i="5"/>
  <c r="E7" i="212"/>
  <c r="O20" i="5"/>
  <c r="E6" i="212"/>
  <c r="K20" i="5"/>
  <c r="C6" i="212"/>
  <c r="L36"/>
  <c r="L41"/>
  <c r="BC50" i="1"/>
  <c r="J5" i="212"/>
  <c r="AG44" i="3"/>
  <c r="I30" i="211"/>
  <c r="Q44" i="3"/>
  <c r="E30" i="211"/>
  <c r="AS43" i="3"/>
  <c r="L29" i="211"/>
  <c r="AC43" i="3"/>
  <c r="H29" i="211"/>
  <c r="M43" i="3"/>
  <c r="D29" i="211"/>
  <c r="AO42" i="3"/>
  <c r="K28" i="211"/>
  <c r="Y42" i="3"/>
  <c r="G28" i="211"/>
  <c r="AK41" i="3"/>
  <c r="J27" i="211"/>
  <c r="U41" i="3"/>
  <c r="F27" i="211"/>
  <c r="AG40" i="3"/>
  <c r="I26" i="211"/>
  <c r="Q40" i="3"/>
  <c r="E26" i="211"/>
  <c r="AS39" i="3"/>
  <c r="L25" i="211"/>
  <c r="AC39" i="3"/>
  <c r="H25" i="211"/>
  <c r="M39" i="3"/>
  <c r="D25" i="211"/>
  <c r="AO38" i="3"/>
  <c r="K24" i="211"/>
  <c r="Y38" i="3"/>
  <c r="G24" i="211"/>
  <c r="I38" i="3"/>
  <c r="C24" i="211"/>
  <c r="AK37" i="3"/>
  <c r="J23" i="211"/>
  <c r="U37" i="3"/>
  <c r="F23" i="211"/>
  <c r="E37" i="3"/>
  <c r="B23" i="211"/>
  <c r="AG36" i="3"/>
  <c r="I22" i="211"/>
  <c r="Q36" i="3"/>
  <c r="E22" i="211"/>
  <c r="AS35" i="3"/>
  <c r="L21" i="211"/>
  <c r="AC35" i="3"/>
  <c r="H21" i="211"/>
  <c r="M35" i="3"/>
  <c r="D21" i="211"/>
  <c r="AO34" i="3"/>
  <c r="K20" i="211"/>
  <c r="Y34" i="3"/>
  <c r="G20" i="211"/>
  <c r="I34" i="3"/>
  <c r="C20" i="211"/>
  <c r="AK33" i="3"/>
  <c r="J19" i="211"/>
  <c r="U33" i="3"/>
  <c r="F19" i="211"/>
  <c r="E33" i="3"/>
  <c r="B19" i="211"/>
  <c r="AG32" i="3"/>
  <c r="I18" i="211"/>
  <c r="Q32" i="3"/>
  <c r="E18" i="211"/>
  <c r="AS31" i="3"/>
  <c r="L17" i="211"/>
  <c r="AC31" i="3"/>
  <c r="H17" i="211"/>
  <c r="M31" i="3"/>
  <c r="D17" i="211"/>
  <c r="AO30" i="3"/>
  <c r="K16" i="211"/>
  <c r="Y30" i="3"/>
  <c r="G16" i="211"/>
  <c r="I30" i="3"/>
  <c r="C16" i="211"/>
  <c r="AK29" i="3"/>
  <c r="J15" i="211"/>
  <c r="U29" i="3"/>
  <c r="F15" i="211"/>
  <c r="E29" i="3"/>
  <c r="B15" i="211"/>
  <c r="AG28" i="3"/>
  <c r="I14" i="211"/>
  <c r="Q28" i="3"/>
  <c r="E14" i="211"/>
  <c r="AS27" i="3"/>
  <c r="L13" i="211"/>
  <c r="AC27" i="3"/>
  <c r="H13" i="211"/>
  <c r="M27" i="3"/>
  <c r="D13" i="211"/>
  <c r="AO26" i="3"/>
  <c r="K12" i="211"/>
  <c r="Y26" i="3"/>
  <c r="G12" i="211"/>
  <c r="I26" i="3"/>
  <c r="C12" i="211"/>
  <c r="AK25" i="3"/>
  <c r="J11" i="211"/>
  <c r="U25" i="3"/>
  <c r="F11" i="211"/>
  <c r="E25" i="3"/>
  <c r="B11" i="211"/>
  <c r="AG24" i="3"/>
  <c r="I10" i="211"/>
  <c r="Q24" i="3"/>
  <c r="E10" i="211"/>
  <c r="AS23" i="3"/>
  <c r="L9" i="211"/>
  <c r="AC23" i="3"/>
  <c r="H9" i="211"/>
  <c r="M23" i="3"/>
  <c r="D9" i="211"/>
  <c r="AO22" i="3"/>
  <c r="K8" i="211"/>
  <c r="Y22" i="3"/>
  <c r="G8" i="211"/>
  <c r="I22" i="3"/>
  <c r="C8" i="211"/>
  <c r="AK21" i="3"/>
  <c r="J7" i="211"/>
  <c r="U21" i="3"/>
  <c r="F7" i="211"/>
  <c r="E21" i="3"/>
  <c r="B7" i="211"/>
  <c r="AG20" i="3"/>
  <c r="I6" i="211"/>
  <c r="Q20" i="3"/>
  <c r="E6" i="211"/>
  <c r="K42" i="215"/>
  <c r="K37"/>
  <c r="D42" i="58"/>
  <c r="D44" i="124" s="1"/>
  <c r="B28" i="213"/>
  <c r="K43" i="217"/>
  <c r="K38"/>
  <c r="K39"/>
  <c r="K44"/>
  <c r="G43"/>
  <c r="G38"/>
  <c r="G39"/>
  <c r="G44"/>
  <c r="AE50" i="9"/>
  <c r="K5" i="217"/>
  <c r="K42" s="1"/>
  <c r="S50" i="9"/>
  <c r="G5" i="217"/>
  <c r="CS45" i="19"/>
  <c r="K31" i="210"/>
  <c r="DC43" i="19"/>
  <c r="L29" i="210"/>
  <c r="BO43" i="19"/>
  <c r="H29" i="210"/>
  <c r="AA43" i="19"/>
  <c r="D29" i="210"/>
  <c r="CS42" i="19"/>
  <c r="K28" i="210"/>
  <c r="BE42" i="19"/>
  <c r="G28" i="210"/>
  <c r="Q42" i="19"/>
  <c r="C28" i="210"/>
  <c r="CI41" i="19"/>
  <c r="J27" i="210"/>
  <c r="AU41" i="19"/>
  <c r="F27" i="210"/>
  <c r="G41" i="19"/>
  <c r="B27" i="210"/>
  <c r="CI40" i="19"/>
  <c r="J26" i="210"/>
  <c r="BY38" i="19"/>
  <c r="I24" i="210"/>
  <c r="AK38" i="19"/>
  <c r="E24" i="210"/>
  <c r="B24" i="64"/>
  <c r="B13" i="227"/>
  <c r="I11" i="161"/>
  <c r="D34" i="19"/>
  <c r="D37" i="133" s="1"/>
  <c r="B20" i="219"/>
  <c r="D30" i="19"/>
  <c r="D33" i="133" s="1"/>
  <c r="B16" i="219"/>
  <c r="D26" i="19"/>
  <c r="D29" i="133" s="1"/>
  <c r="B12" i="219"/>
  <c r="CP26" i="19"/>
  <c r="K12" i="219"/>
  <c r="BB26" i="19"/>
  <c r="G12" i="219"/>
  <c r="N26" i="19"/>
  <c r="C12" i="219"/>
  <c r="CF22" i="19"/>
  <c r="J8" i="219"/>
  <c r="AR22" i="19"/>
  <c r="F8" i="219"/>
  <c r="CZ20" i="19"/>
  <c r="L6" i="219"/>
  <c r="X20" i="19"/>
  <c r="D6" i="219"/>
  <c r="K43" i="220"/>
  <c r="K38"/>
  <c r="H43"/>
  <c r="H38"/>
  <c r="C43"/>
  <c r="C38"/>
  <c r="L43" i="232"/>
  <c r="L38"/>
  <c r="H43"/>
  <c r="H38"/>
  <c r="D43"/>
  <c r="D38"/>
  <c r="I42"/>
  <c r="I37"/>
  <c r="E37"/>
  <c r="E42"/>
  <c r="K41"/>
  <c r="K36"/>
  <c r="G36"/>
  <c r="G41"/>
  <c r="C36"/>
  <c r="C41"/>
  <c r="BH45" i="29"/>
  <c r="BJ45" s="1"/>
  <c r="J31" i="223"/>
  <c r="AF45" i="29"/>
  <c r="AH45" s="1"/>
  <c r="F31" i="223"/>
  <c r="D45" i="29"/>
  <c r="B31" i="223"/>
  <c r="K43"/>
  <c r="K38"/>
  <c r="K39"/>
  <c r="K44"/>
  <c r="G43"/>
  <c r="G38"/>
  <c r="G44"/>
  <c r="G39"/>
  <c r="C43"/>
  <c r="C38"/>
  <c r="C44"/>
  <c r="C39"/>
  <c r="AH50" i="23"/>
  <c r="L5" i="223"/>
  <c r="V50" i="23"/>
  <c r="H5" i="223"/>
  <c r="H37" s="1"/>
  <c r="J50" i="23"/>
  <c r="D5" i="223"/>
  <c r="K39" i="224"/>
  <c r="K44"/>
  <c r="G39"/>
  <c r="G44"/>
  <c r="C44"/>
  <c r="C39"/>
  <c r="I38" i="226"/>
  <c r="I43"/>
  <c r="I44"/>
  <c r="I39"/>
  <c r="E43"/>
  <c r="E38"/>
  <c r="E44"/>
  <c r="E39"/>
  <c r="B13"/>
  <c r="B51" i="32"/>
  <c r="J46"/>
  <c r="J5" i="226"/>
  <c r="J48" i="32"/>
  <c r="F46"/>
  <c r="F5" i="226"/>
  <c r="F37" s="1"/>
  <c r="F48" i="32"/>
  <c r="B5" i="226"/>
  <c r="B46" i="32"/>
  <c r="Q43" i="35"/>
  <c r="E29" i="233"/>
  <c r="K43"/>
  <c r="K38"/>
  <c r="G43"/>
  <c r="G38"/>
  <c r="C43"/>
  <c r="C38"/>
  <c r="G38" i="212"/>
  <c r="G44"/>
  <c r="G39"/>
  <c r="H43"/>
  <c r="H38"/>
  <c r="H44"/>
  <c r="H39"/>
  <c r="Y43" i="5"/>
  <c r="J29" i="212"/>
  <c r="CD39" i="58"/>
  <c r="J25" i="212"/>
  <c r="CD31" i="58"/>
  <c r="J17" i="212"/>
  <c r="Y27" i="5"/>
  <c r="J13" i="212"/>
  <c r="CF46" i="58"/>
  <c r="CF68" s="1"/>
  <c r="J32" i="213"/>
  <c r="E22" i="180"/>
  <c r="T48" i="35"/>
  <c r="H22" i="180"/>
  <c r="AI48" i="35"/>
  <c r="B22" i="180"/>
  <c r="E48" i="35"/>
  <c r="I22" i="180"/>
  <c r="AN48" i="35"/>
  <c r="K22" i="180"/>
  <c r="AX48" i="35"/>
  <c r="K41" i="214"/>
  <c r="K36"/>
  <c r="I34"/>
  <c r="I46" i="4"/>
  <c r="BY48" i="58"/>
  <c r="BY52" s="1"/>
  <c r="B6" i="31"/>
  <c r="B5" s="1"/>
  <c r="F6"/>
  <c r="F5" s="1"/>
  <c r="J6"/>
  <c r="J5" s="1"/>
  <c r="CH42" i="2"/>
  <c r="AV39" i="37" s="1"/>
  <c r="AZ44" i="58"/>
  <c r="CX43"/>
  <c r="AF43"/>
  <c r="CD41"/>
  <c r="H43" i="124"/>
  <c r="BJ40" i="58"/>
  <c r="CN39"/>
  <c r="CX35"/>
  <c r="CX31"/>
  <c r="AP66"/>
  <c r="V66"/>
  <c r="H28" i="124"/>
  <c r="BJ24" i="58"/>
  <c r="H26" i="124"/>
  <c r="AZ66" i="19"/>
  <c r="BI28" i="29"/>
  <c r="AG28"/>
  <c r="E28"/>
  <c r="J12" i="171" s="1"/>
  <c r="P42" i="33"/>
  <c r="H42"/>
  <c r="V41"/>
  <c r="N41"/>
  <c r="F41"/>
  <c r="T40"/>
  <c r="L40"/>
  <c r="D40"/>
  <c r="R39"/>
  <c r="J39"/>
  <c r="B39"/>
  <c r="P38"/>
  <c r="H38"/>
  <c r="V37"/>
  <c r="F37"/>
  <c r="L36"/>
  <c r="R35"/>
  <c r="B35"/>
  <c r="H34"/>
  <c r="N33"/>
  <c r="T32"/>
  <c r="D32"/>
  <c r="J31"/>
  <c r="P30"/>
  <c r="V29"/>
  <c r="S19" i="35"/>
  <c r="K20" i="41"/>
  <c r="K21" s="1"/>
  <c r="G20"/>
  <c r="C20"/>
  <c r="L11"/>
  <c r="H11"/>
  <c r="H12" s="1"/>
  <c r="H13" s="1"/>
  <c r="H42" s="1"/>
  <c r="U44" i="5"/>
  <c r="M44"/>
  <c r="AC43"/>
  <c r="Y41"/>
  <c r="S40"/>
  <c r="AC39"/>
  <c r="Q39"/>
  <c r="W36"/>
  <c r="I31"/>
  <c r="O29"/>
  <c r="O28"/>
  <c r="Q27"/>
  <c r="U24"/>
  <c r="AR15" i="3"/>
  <c r="AS15" s="1"/>
  <c r="AB15"/>
  <c r="AC15" s="1"/>
  <c r="L15"/>
  <c r="M15" s="1"/>
  <c r="AF12"/>
  <c r="AG12" s="1"/>
  <c r="P12"/>
  <c r="Q12" s="1"/>
  <c r="F6" i="71"/>
  <c r="L23" i="75"/>
  <c r="G12" i="215" s="1"/>
  <c r="F44" i="15"/>
  <c r="G44" s="1"/>
  <c r="AB35"/>
  <c r="AD35" s="1"/>
  <c r="AE35" s="1"/>
  <c r="AR34"/>
  <c r="AT34" s="1"/>
  <c r="AU34" s="1"/>
  <c r="AL32"/>
  <c r="AM32" s="1"/>
  <c r="V32"/>
  <c r="W32" s="1"/>
  <c r="AB31"/>
  <c r="AD31" s="1"/>
  <c r="AE31" s="1"/>
  <c r="AR30"/>
  <c r="AT30" s="1"/>
  <c r="AU30" s="1"/>
  <c r="AB30"/>
  <c r="AD30" s="1"/>
  <c r="AE30" s="1"/>
  <c r="L30"/>
  <c r="N30" s="1"/>
  <c r="O30" s="1"/>
  <c r="AF28"/>
  <c r="AH28" s="1"/>
  <c r="AI28" s="1"/>
  <c r="P28"/>
  <c r="R28" s="1"/>
  <c r="S28" s="1"/>
  <c r="AR24"/>
  <c r="AT24" s="1"/>
  <c r="AU24" s="1"/>
  <c r="AB24"/>
  <c r="AD24" s="1"/>
  <c r="AE24" s="1"/>
  <c r="L24"/>
  <c r="N24" s="1"/>
  <c r="O24" s="1"/>
  <c r="AB20"/>
  <c r="AD20" s="1"/>
  <c r="AE20" s="1"/>
  <c r="AJ16"/>
  <c r="AL16" s="1"/>
  <c r="AM16" s="1"/>
  <c r="CF16" i="19" s="1"/>
  <c r="EC11" i="18"/>
  <c r="BM11"/>
  <c r="BM10" s="1"/>
  <c r="B39" i="233"/>
  <c r="I39"/>
  <c r="F44"/>
  <c r="E39"/>
  <c r="G44"/>
  <c r="P48" i="21"/>
  <c r="P56"/>
  <c r="P57" s="1"/>
  <c r="AJ48"/>
  <c r="AJ56"/>
  <c r="AJ57" s="1"/>
  <c r="AN48"/>
  <c r="AN56"/>
  <c r="AN57" s="1"/>
  <c r="X48"/>
  <c r="X56"/>
  <c r="X57" s="1"/>
  <c r="H48"/>
  <c r="H56"/>
  <c r="H57" s="1"/>
  <c r="AF48"/>
  <c r="AF56"/>
  <c r="AF57" s="1"/>
  <c r="T48"/>
  <c r="T56"/>
  <c r="T57" s="1"/>
  <c r="AR48"/>
  <c r="AR56"/>
  <c r="AR57" s="1"/>
  <c r="AB48"/>
  <c r="AB56"/>
  <c r="AB57" s="1"/>
  <c r="L48"/>
  <c r="L56"/>
  <c r="L57" s="1"/>
  <c r="P11" i="3"/>
  <c r="Q11" s="1"/>
  <c r="AD10"/>
  <c r="AD9" s="1"/>
  <c r="AF11"/>
  <c r="AG11" s="1"/>
  <c r="Z12"/>
  <c r="AP12"/>
  <c r="J12"/>
  <c r="D48" i="21"/>
  <c r="CD48" i="2"/>
  <c r="E47" i="18"/>
  <c r="E46"/>
  <c r="G47"/>
  <c r="G46"/>
  <c r="I47"/>
  <c r="I46"/>
  <c r="K47"/>
  <c r="K46"/>
  <c r="M46"/>
  <c r="V47"/>
  <c r="V46"/>
  <c r="X47"/>
  <c r="X46"/>
  <c r="Z47"/>
  <c r="Z49" s="1"/>
  <c r="Z46"/>
  <c r="AB47"/>
  <c r="AB49" s="1"/>
  <c r="AB46"/>
  <c r="AD47"/>
  <c r="AD49" s="1"/>
  <c r="AD46"/>
  <c r="AM47"/>
  <c r="AM46"/>
  <c r="AQ47"/>
  <c r="AQ46"/>
  <c r="AS47"/>
  <c r="AS46"/>
  <c r="AU46"/>
  <c r="BD47"/>
  <c r="BD49" s="1"/>
  <c r="BD46"/>
  <c r="BF47"/>
  <c r="BF46"/>
  <c r="BH47"/>
  <c r="BH46"/>
  <c r="BJ47"/>
  <c r="BJ46"/>
  <c r="BL47"/>
  <c r="BL49" s="1"/>
  <c r="BL46"/>
  <c r="BU47"/>
  <c r="BU49" s="1"/>
  <c r="BU46"/>
  <c r="BW47"/>
  <c r="BW49" s="1"/>
  <c r="BW46"/>
  <c r="BY47"/>
  <c r="BY46"/>
  <c r="CA47"/>
  <c r="CA49" s="1"/>
  <c r="CA46"/>
  <c r="CC47"/>
  <c r="CC49" s="1"/>
  <c r="CC46"/>
  <c r="CL47"/>
  <c r="CL49" s="1"/>
  <c r="CL46"/>
  <c r="CN47"/>
  <c r="CN49" s="1"/>
  <c r="CN46"/>
  <c r="CP47"/>
  <c r="CP49" s="1"/>
  <c r="CP46"/>
  <c r="CR47"/>
  <c r="CR49" s="1"/>
  <c r="CR46"/>
  <c r="CT47"/>
  <c r="CT49" s="1"/>
  <c r="CT46"/>
  <c r="DC46"/>
  <c r="DE47"/>
  <c r="DE46"/>
  <c r="DG47"/>
  <c r="DG46"/>
  <c r="DK47"/>
  <c r="DK49" s="1"/>
  <c r="DK46"/>
  <c r="DT47"/>
  <c r="DT49" s="1"/>
  <c r="DT46"/>
  <c r="DV47"/>
  <c r="DV46"/>
  <c r="DZ47"/>
  <c r="DZ46"/>
  <c r="EB47"/>
  <c r="EB49" s="1"/>
  <c r="EB46"/>
  <c r="EK47"/>
  <c r="EK49" s="1"/>
  <c r="EK46"/>
  <c r="EM47"/>
  <c r="EM49" s="1"/>
  <c r="EM46"/>
  <c r="EO47"/>
  <c r="EO46"/>
  <c r="EQ47"/>
  <c r="EQ49" s="1"/>
  <c r="EQ46"/>
  <c r="ES47"/>
  <c r="ES49" s="1"/>
  <c r="ES46"/>
  <c r="FB47"/>
  <c r="FB49" s="1"/>
  <c r="FB46"/>
  <c r="FD47"/>
  <c r="FD49" s="1"/>
  <c r="FD46"/>
  <c r="FF47"/>
  <c r="FF49" s="1"/>
  <c r="FF46"/>
  <c r="FH47"/>
  <c r="FH49" s="1"/>
  <c r="FH46"/>
  <c r="FJ47"/>
  <c r="FJ49" s="1"/>
  <c r="FJ46"/>
  <c r="FS47"/>
  <c r="FS46"/>
  <c r="FU47"/>
  <c r="FW13"/>
  <c r="FW47"/>
  <c r="FW46"/>
  <c r="GA13"/>
  <c r="GA47"/>
  <c r="GA49" s="1"/>
  <c r="GA46"/>
  <c r="CG19" i="58"/>
  <c r="BM19"/>
  <c r="AS19"/>
  <c r="D59" i="29"/>
  <c r="D58"/>
  <c r="B50"/>
  <c r="B48" i="33"/>
  <c r="AC19" i="5"/>
  <c r="AC50" s="1"/>
  <c r="BO50" i="1"/>
  <c r="AA19" i="5"/>
  <c r="AA50" s="1"/>
  <c r="BI50" i="1"/>
  <c r="BG17"/>
  <c r="BF50"/>
  <c r="W19" i="5"/>
  <c r="W50" s="1"/>
  <c r="AW50" i="1"/>
  <c r="U19" i="5"/>
  <c r="U50" s="1"/>
  <c r="AQ50" i="1"/>
  <c r="AO17"/>
  <c r="AO16" s="1"/>
  <c r="AN50"/>
  <c r="S19" i="5"/>
  <c r="S50" s="1"/>
  <c r="AK50" i="1"/>
  <c r="Q19" i="5"/>
  <c r="Q50" s="1"/>
  <c r="AE50" i="1"/>
  <c r="O19" i="5"/>
  <c r="O50" s="1"/>
  <c r="Y50" i="1"/>
  <c r="M19" i="5"/>
  <c r="M50" s="1"/>
  <c r="S50" i="1"/>
  <c r="K19" i="5"/>
  <c r="K50" s="1"/>
  <c r="M50" i="1"/>
  <c r="I19" i="5"/>
  <c r="I50" s="1"/>
  <c r="G50" i="1"/>
  <c r="AS17" i="7"/>
  <c r="AS50"/>
  <c r="AE17"/>
  <c r="AE50"/>
  <c r="Q17"/>
  <c r="Q50"/>
  <c r="FQ47" i="18"/>
  <c r="FQ46"/>
  <c r="EZ47"/>
  <c r="EZ46"/>
  <c r="EI47"/>
  <c r="EI46"/>
  <c r="EU46" s="1"/>
  <c r="EW46" s="1"/>
  <c r="EX46" s="1"/>
  <c r="DR47"/>
  <c r="DR46"/>
  <c r="DA47"/>
  <c r="DA46"/>
  <c r="CJ47"/>
  <c r="CJ46"/>
  <c r="BS47"/>
  <c r="BS46"/>
  <c r="CE46" s="1"/>
  <c r="CG46" s="1"/>
  <c r="CH46" s="1"/>
  <c r="BB47"/>
  <c r="AK46"/>
  <c r="T47"/>
  <c r="T46"/>
  <c r="C46"/>
  <c r="O46" s="1"/>
  <c r="Q46" s="1"/>
  <c r="R46" s="1"/>
  <c r="AR44" i="21"/>
  <c r="L32" i="232" s="1"/>
  <c r="AN44" i="21"/>
  <c r="K32" i="232" s="1"/>
  <c r="AJ44" i="21"/>
  <c r="J32" i="232" s="1"/>
  <c r="AF44" i="21"/>
  <c r="I32" i="232" s="1"/>
  <c r="T44" i="21"/>
  <c r="F32" i="232" s="1"/>
  <c r="L44" i="21"/>
  <c r="D32" i="232" s="1"/>
  <c r="D45" i="35"/>
  <c r="H45" i="34"/>
  <c r="C46" i="35"/>
  <c r="CG47" i="2"/>
  <c r="CG48" s="1"/>
  <c r="CG50" s="1"/>
  <c r="CM46"/>
  <c r="CH46"/>
  <c r="AV43" i="37" s="1"/>
  <c r="AW47" i="2"/>
  <c r="AW48" s="1"/>
  <c r="AW50" s="1"/>
  <c r="BC46"/>
  <c r="AX46" s="1"/>
  <c r="AB43" i="37" s="1"/>
  <c r="M47" i="2"/>
  <c r="M48" s="1"/>
  <c r="M50" s="1"/>
  <c r="S46"/>
  <c r="N46" s="1"/>
  <c r="H43" i="37" s="1"/>
  <c r="CP47" i="2"/>
  <c r="CP48" s="1"/>
  <c r="CP50" s="1"/>
  <c r="CV46"/>
  <c r="CQ46"/>
  <c r="BA43" i="37" s="1"/>
  <c r="AN47" i="2"/>
  <c r="AN48" s="1"/>
  <c r="AN50" s="1"/>
  <c r="AT46"/>
  <c r="AO46" s="1"/>
  <c r="W43" i="37" s="1"/>
  <c r="E42" i="71"/>
  <c r="S43"/>
  <c r="S44" i="80"/>
  <c r="E43"/>
  <c r="E42" i="79"/>
  <c r="S43"/>
  <c r="E42" i="78"/>
  <c r="E42" i="77"/>
  <c r="S43"/>
  <c r="E42" i="76"/>
  <c r="S43"/>
  <c r="E42" i="75"/>
  <c r="S43"/>
  <c r="E42" i="74"/>
  <c r="S43"/>
  <c r="E42" i="73"/>
  <c r="S43"/>
  <c r="E42" i="72"/>
  <c r="S43"/>
  <c r="H46" i="35"/>
  <c r="I45"/>
  <c r="M46"/>
  <c r="N45"/>
  <c r="AC45" i="34"/>
  <c r="S46" i="35" s="1"/>
  <c r="R46"/>
  <c r="W46"/>
  <c r="AQ44" i="34"/>
  <c r="AC45" i="35"/>
  <c r="AH45"/>
  <c r="AM45"/>
  <c r="BL44" i="34"/>
  <c r="AR45" i="35"/>
  <c r="AV46"/>
  <c r="AR48" i="16"/>
  <c r="L34" i="220" s="1"/>
  <c r="AM50" i="16"/>
  <c r="AN48"/>
  <c r="K34" i="220" s="1"/>
  <c r="H48" i="16"/>
  <c r="C34" i="220" s="1"/>
  <c r="O48" i="16"/>
  <c r="CR11" i="18"/>
  <c r="CL11"/>
  <c r="AU17" i="1"/>
  <c r="AI17"/>
  <c r="D41" i="70"/>
  <c r="S42"/>
  <c r="N43" i="7"/>
  <c r="O43" s="1"/>
  <c r="C29" i="213" s="1"/>
  <c r="N42" i="7"/>
  <c r="O42" s="1"/>
  <c r="C28" i="213" s="1"/>
  <c r="F30" i="29"/>
  <c r="CD42" i="2"/>
  <c r="CD41"/>
  <c r="BW41" s="1"/>
  <c r="AP38" i="37" s="1"/>
  <c r="CD38" i="2"/>
  <c r="BW38" s="1"/>
  <c r="AP35" i="37" s="1"/>
  <c r="CD35" i="2"/>
  <c r="CD34"/>
  <c r="CD33"/>
  <c r="BY33" s="1"/>
  <c r="AQ30" i="37" s="1"/>
  <c r="CD31" i="2"/>
  <c r="CD30"/>
  <c r="CD29"/>
  <c r="CU45"/>
  <c r="BC42" i="37" s="1"/>
  <c r="AV42" i="2"/>
  <c r="AA39" i="37" s="1"/>
  <c r="C42" i="2"/>
  <c r="B39" i="37" s="1"/>
  <c r="CF41" i="2"/>
  <c r="AU38" i="37" s="1"/>
  <c r="BE41" i="2"/>
  <c r="AF38" i="37" s="1"/>
  <c r="AM41" i="2"/>
  <c r="V38" i="37" s="1"/>
  <c r="U41" i="2"/>
  <c r="L38" i="37" s="1"/>
  <c r="C41" i="2"/>
  <c r="B38" i="37" s="1"/>
  <c r="CF40" i="2"/>
  <c r="AU37" i="37" s="1"/>
  <c r="BN39" i="2"/>
  <c r="AK36" i="37" s="1"/>
  <c r="AV39" i="2"/>
  <c r="AA36" i="37" s="1"/>
  <c r="AD39" i="2"/>
  <c r="Q36" i="37" s="1"/>
  <c r="BN38" i="2"/>
  <c r="AK35" i="37" s="1"/>
  <c r="AD38" i="2"/>
  <c r="Q35" i="37" s="1"/>
  <c r="BW36" i="2"/>
  <c r="AP33" i="37" s="1"/>
  <c r="AM36" i="2"/>
  <c r="V33" i="37" s="1"/>
  <c r="CF35" i="2"/>
  <c r="AU32" i="37" s="1"/>
  <c r="BN31" i="2"/>
  <c r="AK28" i="37" s="1"/>
  <c r="AD31" i="2"/>
  <c r="Q28" i="37" s="1"/>
  <c r="BN29" i="2"/>
  <c r="AK26" i="37" s="1"/>
  <c r="BE28" i="2"/>
  <c r="AF25" i="37" s="1"/>
  <c r="CF27" i="2"/>
  <c r="AU24" i="37" s="1"/>
  <c r="BE27" i="2"/>
  <c r="AF24" i="37" s="1"/>
  <c r="AM27" i="2"/>
  <c r="V24" i="37" s="1"/>
  <c r="CO26" i="2"/>
  <c r="AZ23" i="37" s="1"/>
  <c r="AD26" i="2"/>
  <c r="Q23" i="37" s="1"/>
  <c r="C23" i="2"/>
  <c r="B20" i="37" s="1"/>
  <c r="CF22" i="2"/>
  <c r="AU19" i="37" s="1"/>
  <c r="BN22" i="2"/>
  <c r="AK19" i="37" s="1"/>
  <c r="BW11" i="2"/>
  <c r="AP8" i="37" s="1"/>
  <c r="BN10" i="2"/>
  <c r="AK7" i="37" s="1"/>
  <c r="CJ44" i="2"/>
  <c r="AW41" i="37" s="1"/>
  <c r="CJ43" i="2"/>
  <c r="AW40" i="37" s="1"/>
  <c r="BR42" i="2"/>
  <c r="AM39" i="37" s="1"/>
  <c r="AX42" i="2"/>
  <c r="AB39" i="37" s="1"/>
  <c r="CH41" i="2"/>
  <c r="AV38" i="37" s="1"/>
  <c r="BI41" i="2"/>
  <c r="AH38" i="37" s="1"/>
  <c r="Y41" i="2"/>
  <c r="N38" i="37" s="1"/>
  <c r="E41" i="2"/>
  <c r="C38" i="37" s="1"/>
  <c r="BP40" i="2"/>
  <c r="AL37" i="37" s="1"/>
  <c r="AF40" i="2"/>
  <c r="R37" i="37" s="1"/>
  <c r="G40" i="2"/>
  <c r="D37" i="37" s="1"/>
  <c r="AX39" i="2"/>
  <c r="AB36" i="37" s="1"/>
  <c r="BR38" i="2"/>
  <c r="AM35" i="37" s="1"/>
  <c r="AX38" i="2"/>
  <c r="AB35" i="37" s="1"/>
  <c r="AH38" i="2"/>
  <c r="S35" i="37" s="1"/>
  <c r="E38" i="2"/>
  <c r="C35" i="37" s="1"/>
  <c r="AF37" i="2"/>
  <c r="R34" i="37" s="1"/>
  <c r="CQ36" i="2"/>
  <c r="BA33" i="37" s="1"/>
  <c r="BY36" i="2"/>
  <c r="AQ33" i="37" s="1"/>
  <c r="BG36" i="2"/>
  <c r="AG33" i="37" s="1"/>
  <c r="AQ36" i="2"/>
  <c r="X33" i="37" s="1"/>
  <c r="E36" i="2"/>
  <c r="C33" i="37" s="1"/>
  <c r="CJ35" i="2"/>
  <c r="AW32" i="37" s="1"/>
  <c r="BI35" i="2"/>
  <c r="AH32" i="37" s="1"/>
  <c r="CS34" i="2"/>
  <c r="BB31" i="37" s="1"/>
  <c r="BP34" i="2"/>
  <c r="AL31" i="37" s="1"/>
  <c r="AZ34" i="2"/>
  <c r="AC31" i="37" s="1"/>
  <c r="AH34" i="2"/>
  <c r="S31" i="37" s="1"/>
  <c r="E34" i="2"/>
  <c r="C31" i="37" s="1"/>
  <c r="CJ33" i="2"/>
  <c r="AW30" i="37" s="1"/>
  <c r="BG33" i="2"/>
  <c r="AG30" i="37" s="1"/>
  <c r="CH32" i="2"/>
  <c r="AV29" i="37" s="1"/>
  <c r="AZ32" i="2"/>
  <c r="AC29" i="37" s="1"/>
  <c r="CS31" i="2"/>
  <c r="BB28" i="37" s="1"/>
  <c r="BR31" i="2"/>
  <c r="AM28" i="37" s="1"/>
  <c r="E31" i="2"/>
  <c r="C28" i="37" s="1"/>
  <c r="CQ29" i="2"/>
  <c r="BA26" i="37" s="1"/>
  <c r="BR29" i="2"/>
  <c r="AM26" i="37" s="1"/>
  <c r="AH29" i="2"/>
  <c r="S26" i="37" s="1"/>
  <c r="CS28" i="2"/>
  <c r="BB25" i="37" s="1"/>
  <c r="BG27" i="2"/>
  <c r="AG24" i="37" s="1"/>
  <c r="AQ27" i="2"/>
  <c r="X24" i="37" s="1"/>
  <c r="G26" i="2"/>
  <c r="D23" i="37" s="1"/>
  <c r="CJ25" i="2"/>
  <c r="AW22" i="37" s="1"/>
  <c r="G25" i="2"/>
  <c r="D22" i="37" s="1"/>
  <c r="CH24" i="2"/>
  <c r="AV21" i="37" s="1"/>
  <c r="AF24" i="2"/>
  <c r="R21" i="37" s="1"/>
  <c r="G23" i="2"/>
  <c r="D20" i="37" s="1"/>
  <c r="CH22" i="2"/>
  <c r="AV19" i="37" s="1"/>
  <c r="CJ20" i="2"/>
  <c r="AW17" i="37" s="1"/>
  <c r="BY15" i="2"/>
  <c r="AQ12" i="37" s="1"/>
  <c r="AZ12" i="2"/>
  <c r="AC9" i="37" s="1"/>
  <c r="BG11" i="2"/>
  <c r="AG8" i="37" s="1"/>
  <c r="AH8" i="2"/>
  <c r="S5" i="37" s="1"/>
  <c r="CU11" i="2"/>
  <c r="BC8" i="37" s="1"/>
  <c r="CU15" i="2"/>
  <c r="BC12" i="37" s="1"/>
  <c r="AJ21" i="2"/>
  <c r="T18" i="37" s="1"/>
  <c r="BT25" i="2"/>
  <c r="AN22" i="37" s="1"/>
  <c r="BK28" i="2"/>
  <c r="AI25" i="37" s="1"/>
  <c r="CU42" i="2"/>
  <c r="BC39" i="37" s="1"/>
  <c r="AA40" i="29"/>
  <c r="M40"/>
  <c r="BX39"/>
  <c r="AV39"/>
  <c r="T39"/>
  <c r="F39"/>
  <c r="BC38"/>
  <c r="AO38"/>
  <c r="AA38"/>
  <c r="M38"/>
  <c r="AE9" i="18"/>
  <c r="U9" s="1"/>
  <c r="U10"/>
  <c r="CU9"/>
  <c r="CK9" s="1"/>
  <c r="CL9" s="1"/>
  <c r="CK10"/>
  <c r="CD46" i="2"/>
  <c r="AX45" i="34"/>
  <c r="AG46" i="35"/>
  <c r="BE45" i="34"/>
  <c r="AL46" i="35"/>
  <c r="AM28" i="2"/>
  <c r="V25" i="37" s="1"/>
  <c r="C28" i="2"/>
  <c r="B25" i="37" s="1"/>
  <c r="AV22" i="2"/>
  <c r="AA19" i="37" s="1"/>
  <c r="AD22" i="2"/>
  <c r="Q19" i="37" s="1"/>
  <c r="AV21" i="2"/>
  <c r="AA18" i="37" s="1"/>
  <c r="AD21" i="2"/>
  <c r="Q18" i="37" s="1"/>
  <c r="C11" i="2"/>
  <c r="B8" i="37" s="1"/>
  <c r="CH40" i="2"/>
  <c r="AV37" i="37" s="1"/>
  <c r="CS38" i="2"/>
  <c r="BB35" i="37" s="1"/>
  <c r="AX34" i="2"/>
  <c r="AB31" i="37" s="1"/>
  <c r="AZ31" i="2"/>
  <c r="AC28" i="37" s="1"/>
  <c r="CJ30" i="2"/>
  <c r="AW27" i="37" s="1"/>
  <c r="AQ30" i="2"/>
  <c r="X27" i="37" s="1"/>
  <c r="AQ28" i="2"/>
  <c r="X25" i="37" s="1"/>
  <c r="G28" i="2"/>
  <c r="D25" i="37" s="1"/>
  <c r="AZ24" i="2"/>
  <c r="AC21" i="37" s="1"/>
  <c r="BG23" i="2"/>
  <c r="AG20" i="37" s="1"/>
  <c r="AZ22" i="2"/>
  <c r="AC19" i="37" s="1"/>
  <c r="AF22" i="2"/>
  <c r="R19" i="37" s="1"/>
  <c r="AZ21" i="2"/>
  <c r="AC18" i="37" s="1"/>
  <c r="AH21" i="2"/>
  <c r="S18" i="37" s="1"/>
  <c r="AX20" i="2"/>
  <c r="AB17" i="37" s="1"/>
  <c r="AF14" i="2"/>
  <c r="R11" i="37" s="1"/>
  <c r="AJ29" i="2"/>
  <c r="T26" i="37" s="1"/>
  <c r="AS30" i="2"/>
  <c r="Y27" i="37" s="1"/>
  <c r="BB31" i="2"/>
  <c r="AD28" i="37" s="1"/>
  <c r="L34" i="14"/>
  <c r="X34" i="15" s="1"/>
  <c r="Z34" s="1"/>
  <c r="AA34" s="1"/>
  <c r="I34" i="14"/>
  <c r="I28"/>
  <c r="L28" i="15" s="1"/>
  <c r="N28" s="1"/>
  <c r="O28" s="1"/>
  <c r="K25" i="14"/>
  <c r="T25" i="15" s="1"/>
  <c r="V25" s="1"/>
  <c r="W25" s="1"/>
  <c r="L34"/>
  <c r="N34" s="1"/>
  <c r="O34" s="1"/>
  <c r="FK9" i="18"/>
  <c r="FA9" s="1"/>
  <c r="H44" i="21"/>
  <c r="C32" i="232" s="1"/>
  <c r="D44" i="21"/>
  <c r="B32" i="232" s="1"/>
  <c r="BZ44" i="34"/>
  <c r="J34" i="14"/>
  <c r="P34" i="15" s="1"/>
  <c r="R34" s="1"/>
  <c r="S34" s="1"/>
  <c r="I25" i="14"/>
  <c r="BU17" i="7"/>
  <c r="BG17"/>
  <c r="AB44" i="21"/>
  <c r="H32" i="232" s="1"/>
  <c r="X44" i="21"/>
  <c r="G32" i="232" s="1"/>
  <c r="P44" i="21"/>
  <c r="E32" i="232" s="1"/>
  <c r="BB45" i="35"/>
  <c r="AW45"/>
  <c r="BS44" i="34"/>
  <c r="H34" i="15"/>
  <c r="J34" s="1"/>
  <c r="K34" s="1"/>
  <c r="H28"/>
  <c r="J28" s="1"/>
  <c r="K28" s="1"/>
  <c r="L25"/>
  <c r="N25" s="1"/>
  <c r="O25" s="1"/>
  <c r="GA43" i="18"/>
  <c r="GA41"/>
  <c r="GA39"/>
  <c r="GA37"/>
  <c r="GA35"/>
  <c r="GA33"/>
  <c r="GA31"/>
  <c r="GA29"/>
  <c r="GA27"/>
  <c r="GA25"/>
  <c r="GA23"/>
  <c r="GA21"/>
  <c r="GA19"/>
  <c r="GA17"/>
  <c r="GA15"/>
  <c r="FW44"/>
  <c r="FW42"/>
  <c r="FW40"/>
  <c r="FW38"/>
  <c r="FW36"/>
  <c r="FW34"/>
  <c r="FW32"/>
  <c r="FW30"/>
  <c r="FW28"/>
  <c r="FW26"/>
  <c r="FW24"/>
  <c r="FW22"/>
  <c r="FW20"/>
  <c r="FW18"/>
  <c r="FW15"/>
  <c r="AN19" i="3"/>
  <c r="K5" i="211" s="1"/>
  <c r="AF19" i="3"/>
  <c r="I5" i="211" s="1"/>
  <c r="X19" i="3"/>
  <c r="G5" i="211" s="1"/>
  <c r="P19" i="3"/>
  <c r="E5" i="211" s="1"/>
  <c r="H19" i="3"/>
  <c r="C5" i="211" s="1"/>
  <c r="BC42" i="35"/>
  <c r="AS42"/>
  <c r="AI42"/>
  <c r="Y42"/>
  <c r="E42"/>
  <c r="AN41"/>
  <c r="AD41"/>
  <c r="T41"/>
  <c r="J41"/>
  <c r="BC40"/>
  <c r="AI40"/>
  <c r="O40"/>
  <c r="E40"/>
  <c r="AX39"/>
  <c r="AN39"/>
  <c r="AD39"/>
  <c r="AR19" i="3"/>
  <c r="L5" i="211" s="1"/>
  <c r="AJ19" i="3"/>
  <c r="J5" i="211" s="1"/>
  <c r="AB19" i="3"/>
  <c r="H5" i="211" s="1"/>
  <c r="T19" i="3"/>
  <c r="D19"/>
  <c r="B5" i="211" s="1"/>
  <c r="E43" i="35"/>
  <c r="AX42"/>
  <c r="AN42"/>
  <c r="AD42"/>
  <c r="T42"/>
  <c r="J42"/>
  <c r="BC41"/>
  <c r="AS41"/>
  <c r="AI41"/>
  <c r="Y41"/>
  <c r="O41"/>
  <c r="E41"/>
  <c r="AX40"/>
  <c r="AN40"/>
  <c r="AD40"/>
  <c r="T40"/>
  <c r="J40"/>
  <c r="BC39"/>
  <c r="AS39"/>
  <c r="AI39"/>
  <c r="Y39"/>
  <c r="O39"/>
  <c r="CD27" i="2"/>
  <c r="CC27" s="1"/>
  <c r="AS24" i="37" s="1"/>
  <c r="FS45" i="18"/>
  <c r="FW45"/>
  <c r="GA45"/>
  <c r="FB45"/>
  <c r="FF45"/>
  <c r="FJ45"/>
  <c r="FD45"/>
  <c r="FH45"/>
  <c r="EM45"/>
  <c r="EQ45"/>
  <c r="EK45"/>
  <c r="EO45"/>
  <c r="ES45"/>
  <c r="DT45"/>
  <c r="EB45"/>
  <c r="DV45"/>
  <c r="DZ45"/>
  <c r="DE45"/>
  <c r="DI45"/>
  <c r="DC45"/>
  <c r="DG45"/>
  <c r="DK45"/>
  <c r="CL45"/>
  <c r="CP45"/>
  <c r="CT45"/>
  <c r="CN45"/>
  <c r="CR45"/>
  <c r="BW45"/>
  <c r="CA45"/>
  <c r="BU45"/>
  <c r="BY45"/>
  <c r="CC45"/>
  <c r="BD45"/>
  <c r="BH45"/>
  <c r="BL45"/>
  <c r="BF45"/>
  <c r="BJ45"/>
  <c r="AO45"/>
  <c r="AS45"/>
  <c r="AM45"/>
  <c r="AQ45"/>
  <c r="AU45"/>
  <c r="V45"/>
  <c r="Z45"/>
  <c r="AD45"/>
  <c r="AD10"/>
  <c r="X45"/>
  <c r="AB45"/>
  <c r="G45"/>
  <c r="K45"/>
  <c r="E45"/>
  <c r="I45"/>
  <c r="M45"/>
  <c r="K41" i="14"/>
  <c r="Q38"/>
  <c r="AR38" i="15" s="1"/>
  <c r="AT38" s="1"/>
  <c r="AU38" s="1"/>
  <c r="M38" i="14"/>
  <c r="AB38" i="15" s="1"/>
  <c r="AD38" s="1"/>
  <c r="AE38" s="1"/>
  <c r="I38" i="14"/>
  <c r="L38" i="15" s="1"/>
  <c r="N38" s="1"/>
  <c r="O38" s="1"/>
  <c r="Q41" i="14"/>
  <c r="M41"/>
  <c r="I41"/>
  <c r="L41" i="15" s="1"/>
  <c r="N41" s="1"/>
  <c r="O41" s="1"/>
  <c r="I39" i="14"/>
  <c r="L39" i="15" s="1"/>
  <c r="N39" s="1"/>
  <c r="O39" s="1"/>
  <c r="BA42" i="13"/>
  <c r="AX43"/>
  <c r="V41"/>
  <c r="BF42"/>
  <c r="BE43"/>
  <c r="AU41"/>
  <c r="AS42"/>
  <c r="AA41"/>
  <c r="Z42"/>
  <c r="AQ42" i="64"/>
  <c r="AR42" s="1"/>
  <c r="AS42" s="1"/>
  <c r="AI42"/>
  <c r="AJ42" s="1"/>
  <c r="AK42" s="1"/>
  <c r="AE42"/>
  <c r="AF42" s="1"/>
  <c r="AG42" s="1"/>
  <c r="AA42"/>
  <c r="AB42" s="1"/>
  <c r="AC42" s="1"/>
  <c r="W42"/>
  <c r="X42" s="1"/>
  <c r="Y42" s="1"/>
  <c r="S42"/>
  <c r="T42" s="1"/>
  <c r="U42" s="1"/>
  <c r="O42"/>
  <c r="P42" s="1"/>
  <c r="Q42" s="1"/>
  <c r="K42"/>
  <c r="L42" s="1"/>
  <c r="M42" s="1"/>
  <c r="G42"/>
  <c r="H42" s="1"/>
  <c r="I42" s="1"/>
  <c r="F6" i="73"/>
  <c r="S44" i="2"/>
  <c r="L44" s="1"/>
  <c r="G41" i="37" s="1"/>
  <c r="S42" i="2"/>
  <c r="S25"/>
  <c r="Y19" i="5"/>
  <c r="Y50" s="1"/>
  <c r="BW45" i="2"/>
  <c r="AP42" i="37" s="1"/>
  <c r="BW44" i="2"/>
  <c r="AP41" i="37" s="1"/>
  <c r="BW40" i="2"/>
  <c r="AP37" i="37" s="1"/>
  <c r="BW39" i="2"/>
  <c r="AP36" i="37" s="1"/>
  <c r="BW32" i="2"/>
  <c r="AP29" i="37" s="1"/>
  <c r="BW28" i="2"/>
  <c r="AP25" i="37" s="1"/>
  <c r="CC42" i="2"/>
  <c r="AS39" i="37" s="1"/>
  <c r="CA42" i="2"/>
  <c r="AR39" i="37" s="1"/>
  <c r="CC38" i="2"/>
  <c r="AS35" i="37" s="1"/>
  <c r="CA38" i="2"/>
  <c r="AR35" i="37" s="1"/>
  <c r="CC35" i="2"/>
  <c r="AS32" i="37" s="1"/>
  <c r="CA35" i="2"/>
  <c r="AR32" i="37" s="1"/>
  <c r="CC34" i="2"/>
  <c r="AS31" i="37" s="1"/>
  <c r="CA34" i="2"/>
  <c r="AR31" i="37" s="1"/>
  <c r="CC31" i="2"/>
  <c r="AS28" i="37" s="1"/>
  <c r="BY31" i="2"/>
  <c r="AQ28" i="37" s="1"/>
  <c r="BY30" i="2"/>
  <c r="AQ27" i="37" s="1"/>
  <c r="CA30" i="2"/>
  <c r="AR27" i="37" s="1"/>
  <c r="BW30" i="2"/>
  <c r="AP27" i="37" s="1"/>
  <c r="CC29" i="2"/>
  <c r="AS26" i="37" s="1"/>
  <c r="CA29" i="2"/>
  <c r="AR26" i="37" s="1"/>
  <c r="BY27" i="2"/>
  <c r="AQ24" i="37" s="1"/>
  <c r="BW34" i="2"/>
  <c r="AP31" i="37" s="1"/>
  <c r="BW25" i="2"/>
  <c r="AP22" i="37" s="1"/>
  <c r="BY44" i="2"/>
  <c r="AQ41" i="37" s="1"/>
  <c r="CA43" i="2"/>
  <c r="AR40" i="37" s="1"/>
  <c r="BY40" i="2"/>
  <c r="AQ37" i="37" s="1"/>
  <c r="BY39" i="2"/>
  <c r="AQ36" i="37" s="1"/>
  <c r="CA36" i="2"/>
  <c r="AR33" i="37" s="1"/>
  <c r="CA32" i="2"/>
  <c r="AR29" i="37" s="1"/>
  <c r="CA28" i="2"/>
  <c r="AR25" i="37" s="1"/>
  <c r="CD37" i="58"/>
  <c r="CD29"/>
  <c r="CD27"/>
  <c r="CD66" s="1"/>
  <c r="CD25"/>
  <c r="BP10" i="2"/>
  <c r="AL7" i="37" s="1"/>
  <c r="G9" i="2"/>
  <c r="D6" i="37" s="1"/>
  <c r="C21" i="41"/>
  <c r="AB34" i="7"/>
  <c r="AC34" s="1"/>
  <c r="U34"/>
  <c r="V34" s="1"/>
  <c r="N34"/>
  <c r="O34" s="1"/>
  <c r="G34"/>
  <c r="H34" s="1"/>
  <c r="BY33"/>
  <c r="BZ33" s="1"/>
  <c r="BR33"/>
  <c r="BS33" s="1"/>
  <c r="BK33"/>
  <c r="BL33" s="1"/>
  <c r="BD33"/>
  <c r="BE33" s="1"/>
  <c r="AW33"/>
  <c r="AX33" s="1"/>
  <c r="AP33"/>
  <c r="AQ33" s="1"/>
  <c r="AI33"/>
  <c r="AJ33" s="1"/>
  <c r="AB33"/>
  <c r="AC33" s="1"/>
  <c r="U33"/>
  <c r="V33" s="1"/>
  <c r="N33"/>
  <c r="O33" s="1"/>
  <c r="G33"/>
  <c r="H33" s="1"/>
  <c r="BY32"/>
  <c r="BZ32" s="1"/>
  <c r="BR32"/>
  <c r="BS32" s="1"/>
  <c r="BK32"/>
  <c r="BL32" s="1"/>
  <c r="BD32"/>
  <c r="BE32" s="1"/>
  <c r="AW32"/>
  <c r="AX32" s="1"/>
  <c r="AP32"/>
  <c r="AQ32" s="1"/>
  <c r="AI32"/>
  <c r="AJ32" s="1"/>
  <c r="AB32"/>
  <c r="AC32" s="1"/>
  <c r="U32"/>
  <c r="V32" s="1"/>
  <c r="N32"/>
  <c r="O32" s="1"/>
  <c r="G32"/>
  <c r="H32" s="1"/>
  <c r="BY31"/>
  <c r="BZ31" s="1"/>
  <c r="BR31"/>
  <c r="BS31" s="1"/>
  <c r="BK31"/>
  <c r="BL31" s="1"/>
  <c r="BD31"/>
  <c r="BE31" s="1"/>
  <c r="AW31"/>
  <c r="AX31" s="1"/>
  <c r="AP31"/>
  <c r="AQ31" s="1"/>
  <c r="AI31"/>
  <c r="AJ31" s="1"/>
  <c r="AB31"/>
  <c r="AC31" s="1"/>
  <c r="U31"/>
  <c r="V31" s="1"/>
  <c r="N31"/>
  <c r="O31" s="1"/>
  <c r="G31"/>
  <c r="H31" s="1"/>
  <c r="BY30"/>
  <c r="BZ30" s="1"/>
  <c r="BR30"/>
  <c r="BS30" s="1"/>
  <c r="BK30"/>
  <c r="BL30" s="1"/>
  <c r="BD30"/>
  <c r="BE30" s="1"/>
  <c r="AW30"/>
  <c r="AX30" s="1"/>
  <c r="AP30"/>
  <c r="AQ30" s="1"/>
  <c r="AI30"/>
  <c r="AJ30" s="1"/>
  <c r="AB30"/>
  <c r="AC30" s="1"/>
  <c r="U30"/>
  <c r="V30" s="1"/>
  <c r="N30"/>
  <c r="O30" s="1"/>
  <c r="G30"/>
  <c r="H30" s="1"/>
  <c r="BY29"/>
  <c r="BZ29" s="1"/>
  <c r="BR29"/>
  <c r="BS29" s="1"/>
  <c r="BK29"/>
  <c r="BL29" s="1"/>
  <c r="BD29"/>
  <c r="BE29" s="1"/>
  <c r="AW29"/>
  <c r="AX29" s="1"/>
  <c r="AP29"/>
  <c r="AQ29" s="1"/>
  <c r="AI29"/>
  <c r="AJ29" s="1"/>
  <c r="AB29"/>
  <c r="AC29" s="1"/>
  <c r="U29"/>
  <c r="V29" s="1"/>
  <c r="N29"/>
  <c r="O29" s="1"/>
  <c r="G29"/>
  <c r="H29" s="1"/>
  <c r="BY28"/>
  <c r="BZ28" s="1"/>
  <c r="BR28"/>
  <c r="BS28" s="1"/>
  <c r="BK28"/>
  <c r="BL28" s="1"/>
  <c r="BD28"/>
  <c r="BE28" s="1"/>
  <c r="AW28"/>
  <c r="AX28" s="1"/>
  <c r="AP28"/>
  <c r="AQ28" s="1"/>
  <c r="AI28"/>
  <c r="AJ28" s="1"/>
  <c r="AB28"/>
  <c r="AC28" s="1"/>
  <c r="U28"/>
  <c r="V28" s="1"/>
  <c r="N28"/>
  <c r="O28" s="1"/>
  <c r="G28"/>
  <c r="H28" s="1"/>
  <c r="BY27"/>
  <c r="BZ27" s="1"/>
  <c r="BR27"/>
  <c r="BS27" s="1"/>
  <c r="BK27"/>
  <c r="BL27" s="1"/>
  <c r="BD27"/>
  <c r="BE27" s="1"/>
  <c r="AW27"/>
  <c r="AX27" s="1"/>
  <c r="AP27"/>
  <c r="AQ27" s="1"/>
  <c r="AI27"/>
  <c r="AJ27" s="1"/>
  <c r="AB27"/>
  <c r="AC27" s="1"/>
  <c r="U27"/>
  <c r="V27" s="1"/>
  <c r="N27"/>
  <c r="O27" s="1"/>
  <c r="G27"/>
  <c r="H27" s="1"/>
  <c r="BY26"/>
  <c r="BZ26" s="1"/>
  <c r="BR26"/>
  <c r="BS26" s="1"/>
  <c r="BK26"/>
  <c r="BL26" s="1"/>
  <c r="BD26"/>
  <c r="BE26" s="1"/>
  <c r="AW26"/>
  <c r="AX26" s="1"/>
  <c r="AP26"/>
  <c r="AQ26" s="1"/>
  <c r="AI26"/>
  <c r="AJ26" s="1"/>
  <c r="AB26"/>
  <c r="AC26" s="1"/>
  <c r="U26"/>
  <c r="V26" s="1"/>
  <c r="N26"/>
  <c r="O26" s="1"/>
  <c r="G26"/>
  <c r="H26" s="1"/>
  <c r="BY25"/>
  <c r="BZ25" s="1"/>
  <c r="BR25"/>
  <c r="BS25" s="1"/>
  <c r="BK25"/>
  <c r="BL25" s="1"/>
  <c r="BD25"/>
  <c r="BE25" s="1"/>
  <c r="AW25"/>
  <c r="AX25" s="1"/>
  <c r="AP25"/>
  <c r="AQ25" s="1"/>
  <c r="AI25"/>
  <c r="AJ25" s="1"/>
  <c r="AB25"/>
  <c r="AC25" s="1"/>
  <c r="U25"/>
  <c r="V25" s="1"/>
  <c r="N25"/>
  <c r="O25" s="1"/>
  <c r="G25"/>
  <c r="H25" s="1"/>
  <c r="BY24"/>
  <c r="BZ24" s="1"/>
  <c r="BR24"/>
  <c r="BS24" s="1"/>
  <c r="BK24"/>
  <c r="BL24" s="1"/>
  <c r="BD24"/>
  <c r="BE24" s="1"/>
  <c r="AW24"/>
  <c r="AX24" s="1"/>
  <c r="AP24"/>
  <c r="AQ24" s="1"/>
  <c r="AI24"/>
  <c r="AJ24" s="1"/>
  <c r="AB24"/>
  <c r="AC24" s="1"/>
  <c r="U24"/>
  <c r="V24" s="1"/>
  <c r="N24"/>
  <c r="O24" s="1"/>
  <c r="G24"/>
  <c r="H24" s="1"/>
  <c r="BY23"/>
  <c r="BZ23" s="1"/>
  <c r="BR23"/>
  <c r="BS23" s="1"/>
  <c r="BK23"/>
  <c r="BL23" s="1"/>
  <c r="BD23"/>
  <c r="BE23" s="1"/>
  <c r="AW23"/>
  <c r="AX23" s="1"/>
  <c r="AP23"/>
  <c r="AQ23" s="1"/>
  <c r="AI23"/>
  <c r="AJ23" s="1"/>
  <c r="AB23"/>
  <c r="AC23" s="1"/>
  <c r="U23"/>
  <c r="V23" s="1"/>
  <c r="N23"/>
  <c r="O23" s="1"/>
  <c r="G23"/>
  <c r="H23" s="1"/>
  <c r="BY22"/>
  <c r="BZ22" s="1"/>
  <c r="BR22"/>
  <c r="BS22" s="1"/>
  <c r="BK22"/>
  <c r="BL22" s="1"/>
  <c r="BN17"/>
  <c r="AZ17"/>
  <c r="AL17"/>
  <c r="AP17" s="1"/>
  <c r="AQ17" s="1"/>
  <c r="BB17" i="58" s="1"/>
  <c r="X17" i="7"/>
  <c r="BR42"/>
  <c r="BS42" s="1"/>
  <c r="BD42"/>
  <c r="BE42" s="1"/>
  <c r="AF16" i="18"/>
  <c r="AH16" s="1"/>
  <c r="AI16" s="1"/>
  <c r="P17" i="19" s="1"/>
  <c r="AF14" i="18"/>
  <c r="AH14" s="1"/>
  <c r="AI14" s="1"/>
  <c r="P15" i="19" s="1"/>
  <c r="K26" i="41"/>
  <c r="K27" s="1"/>
  <c r="I26"/>
  <c r="I27" s="1"/>
  <c r="G26"/>
  <c r="G27" s="1"/>
  <c r="E26"/>
  <c r="E27" s="1"/>
  <c r="I21"/>
  <c r="G21"/>
  <c r="E21"/>
  <c r="F6" i="75"/>
  <c r="G6" s="1"/>
  <c r="F22" i="73"/>
  <c r="G22" s="1"/>
  <c r="G27"/>
  <c r="G28" s="1"/>
  <c r="CO45" i="2"/>
  <c r="AZ42" i="37" s="1"/>
  <c r="CF44" i="2"/>
  <c r="AU41" i="37" s="1"/>
  <c r="AV44" i="2"/>
  <c r="AA41" i="37" s="1"/>
  <c r="C44" i="2"/>
  <c r="B41" i="37" s="1"/>
  <c r="CF43" i="2"/>
  <c r="AU40" i="37" s="1"/>
  <c r="AV43" i="2"/>
  <c r="AA40" i="37" s="1"/>
  <c r="L43" i="2"/>
  <c r="G40" i="37" s="1"/>
  <c r="CO42" i="2"/>
  <c r="AZ39" i="37" s="1"/>
  <c r="BW42" i="2"/>
  <c r="AP39" i="37" s="1"/>
  <c r="BE42" i="2"/>
  <c r="AF39" i="37" s="1"/>
  <c r="AM42" i="2"/>
  <c r="V39" i="37" s="1"/>
  <c r="CO38" i="2"/>
  <c r="AZ35" i="37" s="1"/>
  <c r="BE38" i="2"/>
  <c r="AF35" i="37" s="1"/>
  <c r="AM38" i="2"/>
  <c r="V35" i="37" s="1"/>
  <c r="C37" i="2"/>
  <c r="B34" i="37" s="1"/>
  <c r="CF36" i="2"/>
  <c r="AU33" i="37" s="1"/>
  <c r="BN36" i="2"/>
  <c r="AK33" i="37" s="1"/>
  <c r="AV36" i="2"/>
  <c r="AA33" i="37" s="1"/>
  <c r="AD36" i="2"/>
  <c r="Q33" i="37" s="1"/>
  <c r="CO35" i="2"/>
  <c r="AZ32" i="37" s="1"/>
  <c r="BW35" i="2"/>
  <c r="AP32" i="37" s="1"/>
  <c r="BE35" i="2"/>
  <c r="AF32" i="37" s="1"/>
  <c r="AM35" i="2"/>
  <c r="V32" i="37" s="1"/>
  <c r="C33" i="2"/>
  <c r="B30" i="37" s="1"/>
  <c r="CF32" i="2"/>
  <c r="AU29" i="37" s="1"/>
  <c r="BN32" i="2"/>
  <c r="AK29" i="37" s="1"/>
  <c r="AV32" i="2"/>
  <c r="AA29" i="37" s="1"/>
  <c r="AD32" i="2"/>
  <c r="Q29" i="37" s="1"/>
  <c r="CO31" i="2"/>
  <c r="AZ28" i="37" s="1"/>
  <c r="BW31" i="2"/>
  <c r="AP28" i="37" s="1"/>
  <c r="BE31" i="2"/>
  <c r="AF28" i="37" s="1"/>
  <c r="AM31" i="2"/>
  <c r="V28" i="37" s="1"/>
  <c r="U30" i="2"/>
  <c r="L27" i="37" s="1"/>
  <c r="CO29" i="2"/>
  <c r="AZ26" i="37" s="1"/>
  <c r="BW29" i="2"/>
  <c r="AP26" i="37" s="1"/>
  <c r="BE29" i="2"/>
  <c r="AF26" i="37" s="1"/>
  <c r="AM29" i="2"/>
  <c r="V26" i="37" s="1"/>
  <c r="C29" i="2"/>
  <c r="B26" i="37" s="1"/>
  <c r="CF28" i="2"/>
  <c r="AU25" i="37" s="1"/>
  <c r="C26" i="2"/>
  <c r="B23" i="37" s="1"/>
  <c r="CF25" i="2"/>
  <c r="AU22" i="37" s="1"/>
  <c r="C25" i="2"/>
  <c r="B22" i="37" s="1"/>
  <c r="CF24" i="2"/>
  <c r="AU21" i="37" s="1"/>
  <c r="BN24" i="2"/>
  <c r="AK21" i="37" s="1"/>
  <c r="AV24" i="2"/>
  <c r="AA21" i="37" s="1"/>
  <c r="AD24" i="2"/>
  <c r="Q21" i="37" s="1"/>
  <c r="CO23" i="2"/>
  <c r="AZ20" i="37" s="1"/>
  <c r="BW23" i="2"/>
  <c r="AP20" i="37" s="1"/>
  <c r="BE23" i="2"/>
  <c r="AF20" i="37" s="1"/>
  <c r="AM23" i="2"/>
  <c r="V20" i="37" s="1"/>
  <c r="C22" i="2"/>
  <c r="B19" i="37" s="1"/>
  <c r="CF21" i="2"/>
  <c r="AU18" i="37" s="1"/>
  <c r="C21" i="2"/>
  <c r="B18" i="37" s="1"/>
  <c r="CF20" i="2"/>
  <c r="AU17" i="37" s="1"/>
  <c r="BN20" i="2"/>
  <c r="AK17" i="37" s="1"/>
  <c r="AV20" i="2"/>
  <c r="AA17" i="37" s="1"/>
  <c r="AD20" i="2"/>
  <c r="Q17" i="37" s="1"/>
  <c r="CO15" i="2"/>
  <c r="AZ12" i="37" s="1"/>
  <c r="BW15" i="2"/>
  <c r="AP12" i="37" s="1"/>
  <c r="C14" i="2"/>
  <c r="B11" i="37" s="1"/>
  <c r="CF13" i="2"/>
  <c r="AU10" i="37" s="1"/>
  <c r="BN13" i="2"/>
  <c r="AK10" i="37" s="1"/>
  <c r="AD13" i="2"/>
  <c r="Q10" i="37" s="1"/>
  <c r="C13" i="2"/>
  <c r="B10" i="37" s="1"/>
  <c r="CF12" i="2"/>
  <c r="AU9" i="37" s="1"/>
  <c r="BN12" i="2"/>
  <c r="AK9" i="37" s="1"/>
  <c r="AV12" i="2"/>
  <c r="AA9" i="37" s="1"/>
  <c r="AD12" i="2"/>
  <c r="Q9" i="37" s="1"/>
  <c r="CO11" i="2"/>
  <c r="AZ8" i="37" s="1"/>
  <c r="BE11" i="2"/>
  <c r="AF8" i="37" s="1"/>
  <c r="AM11" i="2"/>
  <c r="V8" i="37" s="1"/>
  <c r="CF10" i="2"/>
  <c r="AU7" i="37" s="1"/>
  <c r="AV10" i="2"/>
  <c r="AA7" i="37" s="1"/>
  <c r="C10" i="2"/>
  <c r="B7" i="37" s="1"/>
  <c r="CF9" i="2"/>
  <c r="AU6" i="37" s="1"/>
  <c r="BN9" i="2"/>
  <c r="AK6" i="37" s="1"/>
  <c r="AV9" i="2"/>
  <c r="AA6" i="37" s="1"/>
  <c r="AD9" i="2"/>
  <c r="Q6" i="37" s="1"/>
  <c r="C9" i="2"/>
  <c r="B6" i="37" s="1"/>
  <c r="CF8" i="2"/>
  <c r="AU5" i="37" s="1"/>
  <c r="BN8" i="2"/>
  <c r="AK5" i="37" s="1"/>
  <c r="AV8" i="2"/>
  <c r="AA5" i="37" s="1"/>
  <c r="AD8" i="2"/>
  <c r="Q5" i="37" s="1"/>
  <c r="CH44" i="2"/>
  <c r="AV41" i="37" s="1"/>
  <c r="AX44" i="2"/>
  <c r="AB41" i="37" s="1"/>
  <c r="CH43" i="2"/>
  <c r="AV40" i="37" s="1"/>
  <c r="AZ43" i="2"/>
  <c r="AC40" i="37" s="1"/>
  <c r="P43" i="2"/>
  <c r="I40" i="37" s="1"/>
  <c r="BY42" i="2"/>
  <c r="AQ39" i="37" s="1"/>
  <c r="BG42" i="2"/>
  <c r="AG39" i="37" s="1"/>
  <c r="AO42" i="2"/>
  <c r="W39" i="37" s="1"/>
  <c r="CS41" i="2"/>
  <c r="BB38" i="37" s="1"/>
  <c r="BG41" i="2"/>
  <c r="AG38" i="37" s="1"/>
  <c r="AO41" i="2"/>
  <c r="W38" i="37" s="1"/>
  <c r="W41" i="2"/>
  <c r="M38" i="37" s="1"/>
  <c r="G41" i="2"/>
  <c r="D38" i="37" s="1"/>
  <c r="CJ40" i="2"/>
  <c r="AW37" i="37" s="1"/>
  <c r="BR40" i="2"/>
  <c r="AM37" i="37" s="1"/>
  <c r="AZ40" i="2"/>
  <c r="AC37" i="37" s="1"/>
  <c r="AH40" i="2"/>
  <c r="S37" i="37" s="1"/>
  <c r="E40" i="2"/>
  <c r="C37" i="37" s="1"/>
  <c r="CH39" i="2"/>
  <c r="AV36" i="37" s="1"/>
  <c r="AZ39" i="2"/>
  <c r="AC36" i="37" s="1"/>
  <c r="AH39" i="2"/>
  <c r="S36" i="37" s="1"/>
  <c r="P39" i="2"/>
  <c r="I36" i="37" s="1"/>
  <c r="CQ38" i="2"/>
  <c r="BA35" i="37" s="1"/>
  <c r="BY38" i="2"/>
  <c r="AQ35" i="37" s="1"/>
  <c r="BG38" i="2"/>
  <c r="AG35" i="37" s="1"/>
  <c r="AO38" i="2"/>
  <c r="W35" i="37" s="1"/>
  <c r="CS37" i="2"/>
  <c r="BB34" i="37" s="1"/>
  <c r="BI37" i="2"/>
  <c r="AH34" i="37" s="1"/>
  <c r="W37" i="2"/>
  <c r="M34" i="37" s="1"/>
  <c r="G37" i="2"/>
  <c r="D34" i="37" s="1"/>
  <c r="CJ36" i="2"/>
  <c r="AW33" i="37" s="1"/>
  <c r="BR36" i="2"/>
  <c r="AM33" i="37" s="1"/>
  <c r="AX36" i="2"/>
  <c r="AB33" i="37" s="1"/>
  <c r="AF36" i="2"/>
  <c r="R33" i="37" s="1"/>
  <c r="CQ35" i="2"/>
  <c r="BA32" i="37" s="1"/>
  <c r="BY35" i="2"/>
  <c r="AQ32" i="37" s="1"/>
  <c r="AO35" i="2"/>
  <c r="W32" i="37" s="1"/>
  <c r="CQ34" i="2"/>
  <c r="BA31" i="37" s="1"/>
  <c r="BY34" i="2"/>
  <c r="AQ31" i="37" s="1"/>
  <c r="BG34" i="2"/>
  <c r="AG31" i="37" s="1"/>
  <c r="AO34" i="2"/>
  <c r="W31" i="37" s="1"/>
  <c r="CS33" i="2"/>
  <c r="BB30" i="37" s="1"/>
  <c r="CA33" i="2"/>
  <c r="AR30" i="37" s="1"/>
  <c r="BI33" i="2"/>
  <c r="AH30" i="37" s="1"/>
  <c r="W33" i="2"/>
  <c r="M30" i="37" s="1"/>
  <c r="G33" i="2"/>
  <c r="D30" i="37" s="1"/>
  <c r="CJ32" i="2"/>
  <c r="AW29" i="37" s="1"/>
  <c r="BR32" i="2"/>
  <c r="AM29" i="37" s="1"/>
  <c r="AX32" i="2"/>
  <c r="AB29" i="37" s="1"/>
  <c r="AF32" i="2"/>
  <c r="R29" i="37" s="1"/>
  <c r="CQ31" i="2"/>
  <c r="BA28" i="37" s="1"/>
  <c r="CA31" i="2"/>
  <c r="AR28" i="37" s="1"/>
  <c r="BG31" i="2"/>
  <c r="AG28" i="37" s="1"/>
  <c r="AQ31" i="2"/>
  <c r="X28" i="37" s="1"/>
  <c r="CS30" i="2"/>
  <c r="BB27" i="37" s="1"/>
  <c r="CS29" i="2"/>
  <c r="BB26" i="37" s="1"/>
  <c r="BY29" i="2"/>
  <c r="AQ26" i="37" s="1"/>
  <c r="BI29" i="2"/>
  <c r="AH26" i="37" s="1"/>
  <c r="AO29" i="2"/>
  <c r="W26" i="37" s="1"/>
  <c r="W29" i="2"/>
  <c r="M26" i="37" s="1"/>
  <c r="E29" i="2"/>
  <c r="C26" i="37" s="1"/>
  <c r="CJ28" i="2"/>
  <c r="AW25" i="37" s="1"/>
  <c r="AX28" i="2"/>
  <c r="AB25" i="37" s="1"/>
  <c r="AH28" i="2"/>
  <c r="S25" i="37" s="1"/>
  <c r="CQ27" i="2"/>
  <c r="BA24" i="37" s="1"/>
  <c r="CA27" i="2"/>
  <c r="AR24" i="37" s="1"/>
  <c r="BI27" i="2"/>
  <c r="AH24" i="37" s="1"/>
  <c r="AO27" i="2"/>
  <c r="W24" i="37" s="1"/>
  <c r="AF26" i="2"/>
  <c r="R23" i="37" s="1"/>
  <c r="AZ25" i="2"/>
  <c r="AC22" i="37" s="1"/>
  <c r="AH25" i="2"/>
  <c r="S22" i="37" s="1"/>
  <c r="E25" i="2"/>
  <c r="C22" i="37" s="1"/>
  <c r="CJ24" i="2"/>
  <c r="AW21" i="37" s="1"/>
  <c r="BP24" i="2"/>
  <c r="AL21" i="37" s="1"/>
  <c r="AX24" i="2"/>
  <c r="AB21" i="37" s="1"/>
  <c r="AH24" i="2"/>
  <c r="S21" i="37" s="1"/>
  <c r="P24" i="2"/>
  <c r="I21" i="37" s="1"/>
  <c r="CQ23" i="2"/>
  <c r="BA20" i="37" s="1"/>
  <c r="CA23" i="2"/>
  <c r="AR20" i="37" s="1"/>
  <c r="BI23" i="2"/>
  <c r="AH20" i="37" s="1"/>
  <c r="AO23" i="2"/>
  <c r="W20" i="37" s="1"/>
  <c r="E23" i="2"/>
  <c r="C20" i="37" s="1"/>
  <c r="CJ22" i="2"/>
  <c r="AW19" i="37" s="1"/>
  <c r="BR22" i="2"/>
  <c r="AM19" i="37" s="1"/>
  <c r="AX22" i="2"/>
  <c r="AB19" i="37" s="1"/>
  <c r="AH22" i="2"/>
  <c r="S19" i="37" s="1"/>
  <c r="G22" i="2"/>
  <c r="D19" i="37" s="1"/>
  <c r="CJ21" i="2"/>
  <c r="AW18" i="37" s="1"/>
  <c r="E21" i="2"/>
  <c r="C18" i="37" s="1"/>
  <c r="CH20" i="2"/>
  <c r="AV17" i="37" s="1"/>
  <c r="BP20" i="2"/>
  <c r="AL17" i="37" s="1"/>
  <c r="AZ20" i="2"/>
  <c r="AC17" i="37" s="1"/>
  <c r="AH20" i="2"/>
  <c r="S17" i="37" s="1"/>
  <c r="CJ16" i="2"/>
  <c r="AW13" i="37" s="1"/>
  <c r="AX16" i="2"/>
  <c r="AB13" i="37" s="1"/>
  <c r="CQ15" i="2"/>
  <c r="BA12" i="37" s="1"/>
  <c r="BI15" i="2"/>
  <c r="AH12" i="37" s="1"/>
  <c r="E15" i="2"/>
  <c r="C12" i="37" s="1"/>
  <c r="CJ14" i="2"/>
  <c r="AW11" i="37" s="1"/>
  <c r="AX14" i="2"/>
  <c r="AB11" i="37" s="1"/>
  <c r="E13" i="2"/>
  <c r="C10" i="37" s="1"/>
  <c r="N12" i="2"/>
  <c r="H9" i="37" s="1"/>
  <c r="CS11" i="2"/>
  <c r="BB8" i="37" s="1"/>
  <c r="G11" i="2"/>
  <c r="D8" i="37" s="1"/>
  <c r="AZ10" i="2"/>
  <c r="AC7" i="37" s="1"/>
  <c r="BP8" i="2"/>
  <c r="AL5" i="37" s="1"/>
  <c r="AJ8" i="2"/>
  <c r="T5" i="37" s="1"/>
  <c r="CL10" i="2"/>
  <c r="AX7" i="37" s="1"/>
  <c r="BT12" i="2"/>
  <c r="AN9" i="37" s="1"/>
  <c r="BK15" i="2"/>
  <c r="AI12" i="37" s="1"/>
  <c r="AJ16" i="2"/>
  <c r="T13" i="37" s="1"/>
  <c r="I17" i="2"/>
  <c r="E14" i="37" s="1"/>
  <c r="I22" i="2"/>
  <c r="E19" i="37" s="1"/>
  <c r="AJ25" i="2"/>
  <c r="T22" i="37" s="1"/>
  <c r="I26" i="2"/>
  <c r="E23" i="37" s="1"/>
  <c r="CC30" i="2"/>
  <c r="AS27" i="37" s="1"/>
  <c r="CQ9" i="18"/>
  <c r="CR9" s="1"/>
  <c r="CI9"/>
  <c r="FG10"/>
  <c r="FH10" s="1"/>
  <c r="CQ10"/>
  <c r="CR10" s="1"/>
  <c r="CL10"/>
  <c r="AA10"/>
  <c r="V10"/>
  <c r="E40" i="12"/>
  <c r="C25" i="64"/>
  <c r="D25" s="1"/>
  <c r="E25" s="1"/>
  <c r="B39" i="5"/>
  <c r="AQ17" i="1"/>
  <c r="E17"/>
  <c r="BJ37" i="29"/>
  <c r="AV37"/>
  <c r="AH37"/>
  <c r="T37"/>
  <c r="F37"/>
  <c r="E46" i="5"/>
  <c r="E47" s="1"/>
  <c r="E48" s="1"/>
  <c r="E50" s="1"/>
  <c r="X16" i="3"/>
  <c r="Y16" s="1"/>
  <c r="AE8" i="18"/>
  <c r="AC8" s="1"/>
  <c r="AD8" s="1"/>
  <c r="V9"/>
  <c r="AA9"/>
  <c r="AB9" s="1"/>
  <c r="S9"/>
  <c r="T9" s="1"/>
  <c r="Y9"/>
  <c r="Z9" s="1"/>
  <c r="AC9"/>
  <c r="AD9" s="1"/>
  <c r="FB9"/>
  <c r="FI9"/>
  <c r="FJ9" s="1"/>
  <c r="V44" i="19"/>
  <c r="CF11" i="2"/>
  <c r="AU8" i="37" s="1"/>
  <c r="CO10" i="2"/>
  <c r="AZ7" i="37" s="1"/>
  <c r="BW10" i="2"/>
  <c r="AP7" i="37" s="1"/>
  <c r="BE10" i="2"/>
  <c r="AF7" i="37" s="1"/>
  <c r="AM10" i="2"/>
  <c r="V7" i="37" s="1"/>
  <c r="C8" i="2"/>
  <c r="B5" i="37" s="1"/>
  <c r="BR27" i="2"/>
  <c r="AM24" i="37" s="1"/>
  <c r="E27" i="2"/>
  <c r="C24" i="37" s="1"/>
  <c r="CJ26" i="2"/>
  <c r="AW23" i="37" s="1"/>
  <c r="CQ25" i="2"/>
  <c r="BA22" i="37" s="1"/>
  <c r="CA25" i="2"/>
  <c r="AR22" i="37" s="1"/>
  <c r="BI25" i="2"/>
  <c r="AH22" i="37" s="1"/>
  <c r="AO25" i="2"/>
  <c r="W22" i="37" s="1"/>
  <c r="Y25" i="2"/>
  <c r="N22" i="37" s="1"/>
  <c r="CA24" i="2"/>
  <c r="AR21" i="37" s="1"/>
  <c r="BI24" i="2"/>
  <c r="AH21" i="37" s="1"/>
  <c r="Y24" i="2"/>
  <c r="N21" i="37" s="1"/>
  <c r="G24" i="2"/>
  <c r="D21" i="37" s="1"/>
  <c r="BR23" i="2"/>
  <c r="AM20" i="37" s="1"/>
  <c r="AH23" i="2"/>
  <c r="S20" i="37" s="1"/>
  <c r="CA22" i="2"/>
  <c r="AR19" i="37" s="1"/>
  <c r="BI22" i="2"/>
  <c r="AH19" i="37" s="1"/>
  <c r="N22" i="2"/>
  <c r="H19" i="37" s="1"/>
  <c r="CS21" i="2"/>
  <c r="BB18" i="37" s="1"/>
  <c r="BY21" i="2"/>
  <c r="AQ18" i="37" s="1"/>
  <c r="BG21" i="2"/>
  <c r="AG18" i="37" s="1"/>
  <c r="AQ21" i="2"/>
  <c r="X18" i="37" s="1"/>
  <c r="AQ20" i="2"/>
  <c r="X17" i="37" s="1"/>
  <c r="CS13" i="2"/>
  <c r="BB10" i="37" s="1"/>
  <c r="BG13" i="2"/>
  <c r="AG10" i="37" s="1"/>
  <c r="AQ13" i="2"/>
  <c r="X10" i="37" s="1"/>
  <c r="N10" i="2"/>
  <c r="H7" i="37" s="1"/>
  <c r="BI9" i="2"/>
  <c r="AH6" i="37" s="1"/>
  <c r="AS9" i="2"/>
  <c r="Y6" i="37" s="1"/>
  <c r="R10" i="2"/>
  <c r="J7" i="37" s="1"/>
  <c r="CC13" i="2"/>
  <c r="AS10" i="37" s="1"/>
  <c r="BK20" i="2"/>
  <c r="AI17" i="37" s="1"/>
  <c r="AS22" i="2"/>
  <c r="Y19" i="37" s="1"/>
  <c r="BB23" i="2"/>
  <c r="AD20" i="37" s="1"/>
  <c r="BK24" i="2"/>
  <c r="AI21" i="37" s="1"/>
  <c r="CL27" i="2"/>
  <c r="AX24" i="37" s="1"/>
  <c r="CU28" i="2"/>
  <c r="BC25" i="37" s="1"/>
  <c r="BT29" i="2"/>
  <c r="AN26" i="37" s="1"/>
  <c r="BT32" i="2"/>
  <c r="AN29" i="37" s="1"/>
  <c r="CX44" i="19"/>
  <c r="AB44" i="9"/>
  <c r="J30" i="217" s="1"/>
  <c r="S36" i="2"/>
  <c r="N36" s="1"/>
  <c r="H33" i="37" s="1"/>
  <c r="S34" i="2"/>
  <c r="R34" s="1"/>
  <c r="J31" i="37" s="1"/>
  <c r="S32" i="2"/>
  <c r="P32" s="1"/>
  <c r="I29" i="37" s="1"/>
  <c r="BP18" i="34"/>
  <c r="BB18"/>
  <c r="AN18"/>
  <c r="Z18"/>
  <c r="L18"/>
  <c r="BW18"/>
  <c r="BI18"/>
  <c r="AU18"/>
  <c r="AG18"/>
  <c r="S18"/>
  <c r="E18"/>
  <c r="D6" i="32"/>
  <c r="F8" i="33" s="1"/>
  <c r="K17" i="14"/>
  <c r="T17" i="15" s="1"/>
  <c r="G11" i="13"/>
  <c r="D10"/>
  <c r="AH17" i="10"/>
  <c r="AZ17"/>
  <c r="AT17"/>
  <c r="N19" i="7"/>
  <c r="N50" s="1"/>
  <c r="K11" i="6"/>
  <c r="AS11" i="58" s="1"/>
  <c r="J12" i="6"/>
  <c r="K12" s="1"/>
  <c r="AS12" i="58" s="1"/>
  <c r="V14" i="3"/>
  <c r="X15"/>
  <c r="Y15" s="1"/>
  <c r="T16"/>
  <c r="U16" s="1"/>
  <c r="H16"/>
  <c r="I16" s="1"/>
  <c r="W17" i="1"/>
  <c r="K17"/>
  <c r="AE7" i="18"/>
  <c r="S8"/>
  <c r="T8" s="1"/>
  <c r="U8"/>
  <c r="V8" s="1"/>
  <c r="AA8"/>
  <c r="D44" i="3"/>
  <c r="D42"/>
  <c r="D19" i="16"/>
  <c r="CS46" i="19"/>
  <c r="CH12" i="2"/>
  <c r="AV9" i="37" s="1"/>
  <c r="BR12" i="2"/>
  <c r="AM9" i="37" s="1"/>
  <c r="AF12" i="2"/>
  <c r="R9" i="37" s="1"/>
  <c r="CA11" i="2"/>
  <c r="AR8" i="37" s="1"/>
  <c r="AO11" i="2"/>
  <c r="W8" i="37" s="1"/>
  <c r="CH10" i="2"/>
  <c r="AV7" i="37" s="1"/>
  <c r="AH10" i="2"/>
  <c r="S7" i="37" s="1"/>
  <c r="CJ8" i="2"/>
  <c r="AW5" i="37" s="1"/>
  <c r="AX8" i="2"/>
  <c r="AB5" i="37" s="1"/>
  <c r="P8" i="2"/>
  <c r="I5" i="37" s="1"/>
  <c r="BT8" i="2"/>
  <c r="AN5" i="37" s="1"/>
  <c r="BB10" i="2"/>
  <c r="AD7" i="37" s="1"/>
  <c r="BK11" i="2"/>
  <c r="AI8" i="37" s="1"/>
  <c r="AJ12" i="2"/>
  <c r="T9" i="37" s="1"/>
  <c r="CL14" i="2"/>
  <c r="AX11" i="37" s="1"/>
  <c r="F17" i="71"/>
  <c r="F22" i="74"/>
  <c r="G22" s="1"/>
  <c r="F22" i="75"/>
  <c r="G22" s="1"/>
  <c r="CG19" i="19"/>
  <c r="AN19" i="16"/>
  <c r="K5" i="220" s="1"/>
  <c r="K37" s="1"/>
  <c r="X19" i="16"/>
  <c r="G5" i="220" s="1"/>
  <c r="H42" i="3"/>
  <c r="D41"/>
  <c r="L19"/>
  <c r="D19" i="15"/>
  <c r="D50" s="1"/>
  <c r="B19" i="2"/>
  <c r="B50" s="1"/>
  <c r="L21" i="41"/>
  <c r="J21"/>
  <c r="H21"/>
  <c r="D21"/>
  <c r="B21"/>
  <c r="B22" s="1"/>
  <c r="C37"/>
  <c r="C38" s="1"/>
  <c r="G37"/>
  <c r="G38" s="1"/>
  <c r="K37"/>
  <c r="K38" s="1"/>
  <c r="E37"/>
  <c r="E38" s="1"/>
  <c r="I37"/>
  <c r="I38" s="1"/>
  <c r="D37"/>
  <c r="D38" s="1"/>
  <c r="F37"/>
  <c r="F38" s="1"/>
  <c r="H37"/>
  <c r="H38" s="1"/>
  <c r="J37"/>
  <c r="J38" s="1"/>
  <c r="L37"/>
  <c r="L38" s="1"/>
  <c r="CM45" i="2"/>
  <c r="CJ45" s="1"/>
  <c r="AW42" i="37" s="1"/>
  <c r="BC45" i="2"/>
  <c r="AZ45" s="1"/>
  <c r="AC42" i="37" s="1"/>
  <c r="D45" i="2"/>
  <c r="E44"/>
  <c r="C41" i="37" s="1"/>
  <c r="S45" i="2"/>
  <c r="N45" s="1"/>
  <c r="H42" i="37" s="1"/>
  <c r="S40" i="2"/>
  <c r="S23"/>
  <c r="N23" s="1"/>
  <c r="H20" i="37" s="1"/>
  <c r="S21" i="2"/>
  <c r="L21" s="1"/>
  <c r="G18" i="37" s="1"/>
  <c r="C20" i="2"/>
  <c r="B17" i="37" s="1"/>
  <c r="S17" i="2"/>
  <c r="S15"/>
  <c r="N15" s="1"/>
  <c r="H12" i="37" s="1"/>
  <c r="S13" i="2"/>
  <c r="P13" s="1"/>
  <c r="I10" i="37" s="1"/>
  <c r="S11" i="2"/>
  <c r="N11" s="1"/>
  <c r="H8" i="37" s="1"/>
  <c r="S9" i="2"/>
  <c r="X45" i="35"/>
  <c r="E30" i="41"/>
  <c r="K30"/>
  <c r="I30"/>
  <c r="G30"/>
  <c r="C30"/>
  <c r="E11"/>
  <c r="I11"/>
  <c r="AS44" i="35"/>
  <c r="Y44"/>
  <c r="BC43"/>
  <c r="AI43"/>
  <c r="Y43"/>
  <c r="O43"/>
  <c r="BC44"/>
  <c r="AI44"/>
  <c r="O44"/>
  <c r="AX43"/>
  <c r="AN43"/>
  <c r="T43"/>
  <c r="J43"/>
  <c r="E44"/>
  <c r="O12" i="18"/>
  <c r="FQ45"/>
  <c r="FQ12"/>
  <c r="FQ14"/>
  <c r="FQ16"/>
  <c r="FQ19"/>
  <c r="FQ21"/>
  <c r="FQ23"/>
  <c r="FQ25"/>
  <c r="FQ27"/>
  <c r="FQ29"/>
  <c r="FQ31"/>
  <c r="FQ33"/>
  <c r="FQ35"/>
  <c r="FQ37"/>
  <c r="FQ39"/>
  <c r="FQ41"/>
  <c r="FQ43"/>
  <c r="FQ13"/>
  <c r="FQ15"/>
  <c r="FQ18"/>
  <c r="FQ20"/>
  <c r="FQ22"/>
  <c r="FQ24"/>
  <c r="FQ26"/>
  <c r="FQ28"/>
  <c r="FQ30"/>
  <c r="FQ32"/>
  <c r="FQ34"/>
  <c r="FQ36"/>
  <c r="FQ38"/>
  <c r="FQ40"/>
  <c r="FQ42"/>
  <c r="FQ44"/>
  <c r="EI45"/>
  <c r="EI12"/>
  <c r="EI14"/>
  <c r="EI16"/>
  <c r="EI19"/>
  <c r="EI21"/>
  <c r="EI23"/>
  <c r="EI25"/>
  <c r="EI27"/>
  <c r="EI29"/>
  <c r="EI31"/>
  <c r="EI33"/>
  <c r="EI35"/>
  <c r="EI37"/>
  <c r="EI39"/>
  <c r="EI41"/>
  <c r="EI43"/>
  <c r="EI13"/>
  <c r="EI15"/>
  <c r="EI18"/>
  <c r="EI20"/>
  <c r="EI22"/>
  <c r="EI24"/>
  <c r="EI26"/>
  <c r="EI28"/>
  <c r="EI30"/>
  <c r="EI32"/>
  <c r="EI34"/>
  <c r="EI36"/>
  <c r="EI38"/>
  <c r="EI40"/>
  <c r="EI42"/>
  <c r="EI44"/>
  <c r="DA45"/>
  <c r="DA12"/>
  <c r="DA14"/>
  <c r="DA16"/>
  <c r="DA19"/>
  <c r="DA21"/>
  <c r="DA23"/>
  <c r="DA25"/>
  <c r="DA27"/>
  <c r="DA29"/>
  <c r="DA31"/>
  <c r="DA33"/>
  <c r="DA35"/>
  <c r="DA37"/>
  <c r="DA39"/>
  <c r="DA41"/>
  <c r="DA43"/>
  <c r="DA13"/>
  <c r="DA15"/>
  <c r="DA18"/>
  <c r="DA20"/>
  <c r="DA22"/>
  <c r="DA24"/>
  <c r="DA26"/>
  <c r="DA28"/>
  <c r="DA30"/>
  <c r="DA32"/>
  <c r="DA34"/>
  <c r="DA36"/>
  <c r="DA38"/>
  <c r="DA40"/>
  <c r="DA42"/>
  <c r="DA44"/>
  <c r="BS45"/>
  <c r="BS12"/>
  <c r="BS14"/>
  <c r="BS16"/>
  <c r="BS19"/>
  <c r="BS21"/>
  <c r="BS23"/>
  <c r="BS25"/>
  <c r="BS27"/>
  <c r="BS29"/>
  <c r="BS31"/>
  <c r="BS33"/>
  <c r="BS35"/>
  <c r="BS37"/>
  <c r="BS39"/>
  <c r="BS41"/>
  <c r="BS43"/>
  <c r="BS13"/>
  <c r="BS15"/>
  <c r="BS18"/>
  <c r="BS20"/>
  <c r="BS22"/>
  <c r="BS24"/>
  <c r="BS26"/>
  <c r="BS28"/>
  <c r="BS30"/>
  <c r="BS32"/>
  <c r="BS34"/>
  <c r="BS36"/>
  <c r="BS38"/>
  <c r="BS40"/>
  <c r="BS42"/>
  <c r="BS44"/>
  <c r="AK45"/>
  <c r="AK12"/>
  <c r="AK19"/>
  <c r="AK21"/>
  <c r="AK27"/>
  <c r="AK29"/>
  <c r="AK35"/>
  <c r="AK37"/>
  <c r="AK43"/>
  <c r="AK13"/>
  <c r="AK20"/>
  <c r="AK22"/>
  <c r="AK28"/>
  <c r="AK30"/>
  <c r="AK36"/>
  <c r="AK38"/>
  <c r="AK44"/>
  <c r="EZ45"/>
  <c r="EZ12"/>
  <c r="FL12" s="1"/>
  <c r="FN12" s="1"/>
  <c r="FO12" s="1"/>
  <c r="CR13" i="19" s="1"/>
  <c r="EZ14" i="18"/>
  <c r="EZ16"/>
  <c r="FL16" s="1"/>
  <c r="FN16" s="1"/>
  <c r="FO16" s="1"/>
  <c r="CR17" i="19" s="1"/>
  <c r="EZ19" i="18"/>
  <c r="FL19" s="1"/>
  <c r="FN19" s="1"/>
  <c r="FO19" s="1"/>
  <c r="EZ21"/>
  <c r="EZ23"/>
  <c r="FL23" s="1"/>
  <c r="FN23" s="1"/>
  <c r="FO23" s="1"/>
  <c r="EZ25"/>
  <c r="FL25" s="1"/>
  <c r="FN25" s="1"/>
  <c r="FO25" s="1"/>
  <c r="EZ27"/>
  <c r="FL27" s="1"/>
  <c r="FN27" s="1"/>
  <c r="FO27" s="1"/>
  <c r="EZ29"/>
  <c r="FL29" s="1"/>
  <c r="FN29" s="1"/>
  <c r="FO29" s="1"/>
  <c r="EZ31"/>
  <c r="EZ33"/>
  <c r="FL33" s="1"/>
  <c r="FN33" s="1"/>
  <c r="FO33" s="1"/>
  <c r="EZ35"/>
  <c r="FL35" s="1"/>
  <c r="FN35" s="1"/>
  <c r="FO35" s="1"/>
  <c r="EZ37"/>
  <c r="EZ39"/>
  <c r="EZ41"/>
  <c r="FL41" s="1"/>
  <c r="FN41" s="1"/>
  <c r="FO41" s="1"/>
  <c r="EZ43"/>
  <c r="FL43" s="1"/>
  <c r="FN43" s="1"/>
  <c r="FO43" s="1"/>
  <c r="EZ13"/>
  <c r="EZ15"/>
  <c r="FL15" s="1"/>
  <c r="FN15" s="1"/>
  <c r="FO15" s="1"/>
  <c r="CR16" i="19" s="1"/>
  <c r="EZ18" i="18"/>
  <c r="EZ20"/>
  <c r="FL20" s="1"/>
  <c r="FN20" s="1"/>
  <c r="FO20" s="1"/>
  <c r="EZ22"/>
  <c r="EZ24"/>
  <c r="FL24" s="1"/>
  <c r="FN24" s="1"/>
  <c r="FO24" s="1"/>
  <c r="EZ26"/>
  <c r="FL26" s="1"/>
  <c r="FN26" s="1"/>
  <c r="FO26" s="1"/>
  <c r="EZ28"/>
  <c r="FL28" s="1"/>
  <c r="FN28" s="1"/>
  <c r="FO28" s="1"/>
  <c r="EZ30"/>
  <c r="EZ32"/>
  <c r="FL32" s="1"/>
  <c r="FN32" s="1"/>
  <c r="FO32" s="1"/>
  <c r="EZ34"/>
  <c r="FL34" s="1"/>
  <c r="FN34" s="1"/>
  <c r="FO34" s="1"/>
  <c r="EZ36"/>
  <c r="FL36" s="1"/>
  <c r="FN36" s="1"/>
  <c r="FO36" s="1"/>
  <c r="EZ38"/>
  <c r="EZ40"/>
  <c r="FL40" s="1"/>
  <c r="FN40" s="1"/>
  <c r="FO40" s="1"/>
  <c r="EZ42"/>
  <c r="FL42" s="1"/>
  <c r="FN42" s="1"/>
  <c r="FO42" s="1"/>
  <c r="EZ44"/>
  <c r="FL44" s="1"/>
  <c r="FN44" s="1"/>
  <c r="FO44" s="1"/>
  <c r="DR45"/>
  <c r="DR12"/>
  <c r="DR14"/>
  <c r="DR16"/>
  <c r="DR19"/>
  <c r="DR21"/>
  <c r="DR23"/>
  <c r="DR25"/>
  <c r="DR27"/>
  <c r="DR29"/>
  <c r="DR31"/>
  <c r="DR33"/>
  <c r="DR35"/>
  <c r="DR37"/>
  <c r="DR39"/>
  <c r="DR41"/>
  <c r="DR43"/>
  <c r="DR13"/>
  <c r="DR15"/>
  <c r="DR18"/>
  <c r="DR20"/>
  <c r="DR22"/>
  <c r="DR24"/>
  <c r="DR26"/>
  <c r="DR28"/>
  <c r="DR30"/>
  <c r="DR32"/>
  <c r="DR34"/>
  <c r="DR36"/>
  <c r="DR38"/>
  <c r="DR40"/>
  <c r="DR42"/>
  <c r="DR44"/>
  <c r="CJ45"/>
  <c r="CJ12"/>
  <c r="CV12" s="1"/>
  <c r="CX12" s="1"/>
  <c r="CY12" s="1"/>
  <c r="BD13" i="19" s="1"/>
  <c r="CJ14" i="18"/>
  <c r="CV14" s="1"/>
  <c r="CX14" s="1"/>
  <c r="CY14" s="1"/>
  <c r="BD15" i="19" s="1"/>
  <c r="CJ16" i="18"/>
  <c r="CV16" s="1"/>
  <c r="CX16" s="1"/>
  <c r="CY16" s="1"/>
  <c r="BD17" i="19" s="1"/>
  <c r="CJ19" i="18"/>
  <c r="CV19" s="1"/>
  <c r="CX19" s="1"/>
  <c r="CY19" s="1"/>
  <c r="CJ21"/>
  <c r="CV21" s="1"/>
  <c r="CX21" s="1"/>
  <c r="CY21" s="1"/>
  <c r="CJ23"/>
  <c r="CV23" s="1"/>
  <c r="CX23" s="1"/>
  <c r="CY23" s="1"/>
  <c r="CJ25"/>
  <c r="CJ27"/>
  <c r="CV27" s="1"/>
  <c r="CX27" s="1"/>
  <c r="CY27" s="1"/>
  <c r="CJ29"/>
  <c r="CV29" s="1"/>
  <c r="CX29" s="1"/>
  <c r="CY29" s="1"/>
  <c r="CJ31"/>
  <c r="CV31" s="1"/>
  <c r="CX31" s="1"/>
  <c r="CY31" s="1"/>
  <c r="CJ33"/>
  <c r="CV33" s="1"/>
  <c r="CX33" s="1"/>
  <c r="CY33" s="1"/>
  <c r="CJ35"/>
  <c r="CJ37"/>
  <c r="CV37" s="1"/>
  <c r="CX37" s="1"/>
  <c r="CY37" s="1"/>
  <c r="CJ39"/>
  <c r="CV39" s="1"/>
  <c r="CX39" s="1"/>
  <c r="CY39" s="1"/>
  <c r="CJ41"/>
  <c r="CJ43"/>
  <c r="CJ13"/>
  <c r="CV13" s="1"/>
  <c r="CX13" s="1"/>
  <c r="CY13" s="1"/>
  <c r="BD14" i="19" s="1"/>
  <c r="CJ15" i="18"/>
  <c r="CV15" s="1"/>
  <c r="CX15" s="1"/>
  <c r="CY15" s="1"/>
  <c r="BD16" i="19" s="1"/>
  <c r="CJ18" i="18"/>
  <c r="CJ20"/>
  <c r="CJ22"/>
  <c r="CV22" s="1"/>
  <c r="CX22" s="1"/>
  <c r="CY22" s="1"/>
  <c r="CJ24"/>
  <c r="CV24" s="1"/>
  <c r="CX24" s="1"/>
  <c r="CY24" s="1"/>
  <c r="CJ26"/>
  <c r="CJ28"/>
  <c r="CJ30"/>
  <c r="CV30" s="1"/>
  <c r="CX30" s="1"/>
  <c r="CY30" s="1"/>
  <c r="CJ32"/>
  <c r="CV32" s="1"/>
  <c r="CX32" s="1"/>
  <c r="CY32" s="1"/>
  <c r="CJ34"/>
  <c r="CV34" s="1"/>
  <c r="CX34" s="1"/>
  <c r="CY34" s="1"/>
  <c r="CJ36"/>
  <c r="CV36" s="1"/>
  <c r="CX36" s="1"/>
  <c r="CY36" s="1"/>
  <c r="CJ38"/>
  <c r="CV38" s="1"/>
  <c r="CX38" s="1"/>
  <c r="CY38" s="1"/>
  <c r="CJ40"/>
  <c r="CV40" s="1"/>
  <c r="CX40" s="1"/>
  <c r="CY40" s="1"/>
  <c r="CJ42"/>
  <c r="CJ44"/>
  <c r="BB45"/>
  <c r="BB12"/>
  <c r="BB19"/>
  <c r="BB21"/>
  <c r="BB27"/>
  <c r="BB29"/>
  <c r="BB35"/>
  <c r="BB37"/>
  <c r="BB43"/>
  <c r="BB13"/>
  <c r="BB20"/>
  <c r="BB22"/>
  <c r="BB28"/>
  <c r="BB30"/>
  <c r="BB36"/>
  <c r="BB38"/>
  <c r="BB44"/>
  <c r="T44"/>
  <c r="T45"/>
  <c r="AB10"/>
  <c r="CJ9"/>
  <c r="AB8"/>
  <c r="Z11"/>
  <c r="CT11"/>
  <c r="FJ11"/>
  <c r="EZ11"/>
  <c r="C19" i="6"/>
  <c r="D9" i="80"/>
  <c r="D9" i="72"/>
  <c r="D9" i="78"/>
  <c r="D9" i="76"/>
  <c r="D9" i="75"/>
  <c r="H19" i="74"/>
  <c r="I19" s="1"/>
  <c r="J22" i="6" s="1"/>
  <c r="K22" s="1"/>
  <c r="AS22" i="58" s="1"/>
  <c r="L18" i="74"/>
  <c r="F7" i="215" s="1"/>
  <c r="D9" i="71"/>
  <c r="H18"/>
  <c r="L17"/>
  <c r="C6" i="215" s="1"/>
  <c r="B16" i="6"/>
  <c r="C16" s="1"/>
  <c r="E16" i="58" s="1"/>
  <c r="B12" i="6"/>
  <c r="C12" s="1"/>
  <c r="E12" i="58" s="1"/>
  <c r="B10" i="6"/>
  <c r="C10" s="1"/>
  <c r="E10" i="58" s="1"/>
  <c r="G16" i="71"/>
  <c r="F23" i="79"/>
  <c r="G23" s="1"/>
  <c r="D9" i="77"/>
  <c r="D9" i="79"/>
  <c r="B17" i="6"/>
  <c r="C17" s="1"/>
  <c r="E17" i="58" s="1"/>
  <c r="B15" i="6"/>
  <c r="C15" s="1"/>
  <c r="E15" i="58" s="1"/>
  <c r="B13" i="6"/>
  <c r="C13" s="1"/>
  <c r="E13" i="58" s="1"/>
  <c r="F7" i="75"/>
  <c r="F23" i="74"/>
  <c r="G23" s="1"/>
  <c r="F23" i="71"/>
  <c r="G23" s="1"/>
  <c r="G27"/>
  <c r="F17" i="72"/>
  <c r="G17" s="1"/>
  <c r="F17" i="73"/>
  <c r="G17" s="1"/>
  <c r="G27" i="74"/>
  <c r="G28" s="1"/>
  <c r="F17"/>
  <c r="G16"/>
  <c r="F23" i="78"/>
  <c r="G23" s="1"/>
  <c r="G6" i="71"/>
  <c r="F7"/>
  <c r="F23" i="73"/>
  <c r="G6" i="74"/>
  <c r="F7"/>
  <c r="G27" i="75"/>
  <c r="F18" i="77"/>
  <c r="E23" i="70"/>
  <c r="G16" i="73"/>
  <c r="E9" i="70"/>
  <c r="H33" i="5"/>
  <c r="H27"/>
  <c r="H24"/>
  <c r="H23"/>
  <c r="H16"/>
  <c r="F16" i="58" s="1"/>
  <c r="H14" i="5"/>
  <c r="F14" i="58" s="1"/>
  <c r="H13" i="5"/>
  <c r="F13" i="58" s="1"/>
  <c r="S30" i="2"/>
  <c r="R30" s="1"/>
  <c r="J27" i="37" s="1"/>
  <c r="S28" i="2"/>
  <c r="L28" s="1"/>
  <c r="G25" i="37" s="1"/>
  <c r="R43" i="2"/>
  <c r="J40" i="37" s="1"/>
  <c r="S38" i="2"/>
  <c r="R38" s="1"/>
  <c r="J35" i="37" s="1"/>
  <c r="AT37" i="2"/>
  <c r="AQ37" s="1"/>
  <c r="X34" i="37" s="1"/>
  <c r="CT19" i="2"/>
  <c r="CT50" s="1"/>
  <c r="CV17"/>
  <c r="CO17" s="1"/>
  <c r="AZ14" i="37" s="1"/>
  <c r="CK19" i="2"/>
  <c r="CK50" s="1"/>
  <c r="CB19"/>
  <c r="CB50" s="1"/>
  <c r="BS19"/>
  <c r="BS50" s="1"/>
  <c r="BJ19"/>
  <c r="BJ50" s="1"/>
  <c r="BA19"/>
  <c r="BA50" s="1"/>
  <c r="AS37"/>
  <c r="Y34" i="37" s="1"/>
  <c r="AR19" i="2"/>
  <c r="AR50" s="1"/>
  <c r="AO9"/>
  <c r="W6" i="37" s="1"/>
  <c r="AS13" i="2"/>
  <c r="Y10" i="37" s="1"/>
  <c r="AI19" i="2"/>
  <c r="AI50" s="1"/>
  <c r="AD30"/>
  <c r="Q27" i="37" s="1"/>
  <c r="AD29" i="2"/>
  <c r="Q26" i="37" s="1"/>
  <c r="AD27" i="2"/>
  <c r="Q24" i="37" s="1"/>
  <c r="AD23" i="2"/>
  <c r="Q20" i="37" s="1"/>
  <c r="AD11" i="2"/>
  <c r="Q8" i="37" s="1"/>
  <c r="AF30" i="2"/>
  <c r="R27" i="37" s="1"/>
  <c r="AH27" i="2"/>
  <c r="S24" i="37" s="1"/>
  <c r="Z19" i="2"/>
  <c r="Z50" s="1"/>
  <c r="AB36"/>
  <c r="AA36" s="1"/>
  <c r="O33" i="37" s="1"/>
  <c r="AB35" i="2"/>
  <c r="AA35" s="1"/>
  <c r="O32" i="37" s="1"/>
  <c r="AB32" i="2"/>
  <c r="U32" s="1"/>
  <c r="L29" i="37" s="1"/>
  <c r="AB31" i="2"/>
  <c r="AA31" s="1"/>
  <c r="O28" i="37" s="1"/>
  <c r="AB28" i="2"/>
  <c r="W28" s="1"/>
  <c r="M25" i="37" s="1"/>
  <c r="AB27" i="2"/>
  <c r="AA27" s="1"/>
  <c r="O24" i="37" s="1"/>
  <c r="AB26" i="2"/>
  <c r="Y26" s="1"/>
  <c r="N23" i="37" s="1"/>
  <c r="AB23" i="2"/>
  <c r="AA23" s="1"/>
  <c r="O20" i="37" s="1"/>
  <c r="AB22" i="2"/>
  <c r="Y22" s="1"/>
  <c r="N19" i="37" s="1"/>
  <c r="AB15" i="2"/>
  <c r="AA15" s="1"/>
  <c r="O12" i="37" s="1"/>
  <c r="AB14" i="2"/>
  <c r="U14" s="1"/>
  <c r="L11" i="37" s="1"/>
  <c r="AB11" i="2"/>
  <c r="W11" s="1"/>
  <c r="M8" i="37" s="1"/>
  <c r="AB10" i="2"/>
  <c r="W10" s="1"/>
  <c r="M7" i="37" s="1"/>
  <c r="R44" i="2"/>
  <c r="J41" i="37" s="1"/>
  <c r="P44" i="2"/>
  <c r="I41" i="37" s="1"/>
  <c r="R42" i="2"/>
  <c r="J39" i="37" s="1"/>
  <c r="P42" i="2"/>
  <c r="I39" i="37" s="1"/>
  <c r="R40" i="2"/>
  <c r="J37" i="37" s="1"/>
  <c r="P40" i="2"/>
  <c r="I37" i="37" s="1"/>
  <c r="P38" i="2"/>
  <c r="I35" i="37" s="1"/>
  <c r="Q19" i="2"/>
  <c r="Q50" s="1"/>
  <c r="L39"/>
  <c r="G36" i="37" s="1"/>
  <c r="N39" i="2"/>
  <c r="H36" i="37" s="1"/>
  <c r="P35" i="2"/>
  <c r="I32" i="37" s="1"/>
  <c r="N26" i="2"/>
  <c r="H23" i="37" s="1"/>
  <c r="L37" i="2"/>
  <c r="G34" i="37" s="1"/>
  <c r="L35" i="2"/>
  <c r="G32" i="37" s="1"/>
  <c r="L33" i="2"/>
  <c r="G30" i="37" s="1"/>
  <c r="L31" i="2"/>
  <c r="G28" i="37" s="1"/>
  <c r="L29" i="2"/>
  <c r="G26" i="37" s="1"/>
  <c r="L27" i="2"/>
  <c r="G24" i="37" s="1"/>
  <c r="L26" i="2"/>
  <c r="G23" i="37" s="1"/>
  <c r="U25" i="2"/>
  <c r="L22" i="37" s="1"/>
  <c r="U24" i="2"/>
  <c r="L21" i="37" s="1"/>
  <c r="L24" i="2"/>
  <c r="G21" i="37" s="1"/>
  <c r="L22" i="2"/>
  <c r="G19" i="37" s="1"/>
  <c r="U21" i="2"/>
  <c r="L18" i="37" s="1"/>
  <c r="U20" i="2"/>
  <c r="L17" i="37" s="1"/>
  <c r="L20" i="2"/>
  <c r="G17" i="37" s="1"/>
  <c r="L16" i="2"/>
  <c r="G13" i="37" s="1"/>
  <c r="L14" i="2"/>
  <c r="G11" i="37" s="1"/>
  <c r="L12" i="2"/>
  <c r="G9" i="37" s="1"/>
  <c r="L10" i="2"/>
  <c r="G7" i="37" s="1"/>
  <c r="L8" i="2"/>
  <c r="G5" i="37" s="1"/>
  <c r="H19" i="2"/>
  <c r="H50" s="1"/>
  <c r="I9"/>
  <c r="E6" i="37" s="1"/>
  <c r="I13" i="2"/>
  <c r="E10" i="37" s="1"/>
  <c r="CN19" i="2"/>
  <c r="CN50" s="1"/>
  <c r="CE19"/>
  <c r="CE50" s="1"/>
  <c r="BV19"/>
  <c r="BV50" s="1"/>
  <c r="BM19"/>
  <c r="BM50" s="1"/>
  <c r="BN28"/>
  <c r="AK25" i="37" s="1"/>
  <c r="BN25" i="2"/>
  <c r="AK22" i="37" s="1"/>
  <c r="BN21" i="2"/>
  <c r="AK18" i="37" s="1"/>
  <c r="BN15" i="2"/>
  <c r="AK12" i="37" s="1"/>
  <c r="BN11" i="2"/>
  <c r="AK8" i="37" s="1"/>
  <c r="BP39" i="2"/>
  <c r="AL36" i="37" s="1"/>
  <c r="BP36" i="2"/>
  <c r="AL33" i="37" s="1"/>
  <c r="BR28" i="2"/>
  <c r="AM25" i="37" s="1"/>
  <c r="BR25" i="2"/>
  <c r="AM22" i="37" s="1"/>
  <c r="BR24" i="2"/>
  <c r="AM21" i="37" s="1"/>
  <c r="BP22" i="2"/>
  <c r="AL19" i="37" s="1"/>
  <c r="BR21" i="2"/>
  <c r="AM18" i="37" s="1"/>
  <c r="BR20" i="2"/>
  <c r="AM17" i="37" s="1"/>
  <c r="BT21" i="2"/>
  <c r="AN18" i="37" s="1"/>
  <c r="BU37" i="2"/>
  <c r="BP37" s="1"/>
  <c r="AL34" i="37" s="1"/>
  <c r="BD19" i="2"/>
  <c r="BD50" s="1"/>
  <c r="AU19"/>
  <c r="AU50" s="1"/>
  <c r="AL19"/>
  <c r="AL50" s="1"/>
  <c r="AC19"/>
  <c r="AC50" s="1"/>
  <c r="W35"/>
  <c r="M32" i="37" s="1"/>
  <c r="Y32" i="2"/>
  <c r="N29" i="37" s="1"/>
  <c r="W32" i="2"/>
  <c r="M29" i="37" s="1"/>
  <c r="U28" i="2"/>
  <c r="L25" i="37" s="1"/>
  <c r="Y28" i="2"/>
  <c r="N25" i="37" s="1"/>
  <c r="Y27" i="2"/>
  <c r="N24" i="37" s="1"/>
  <c r="AA26" i="2"/>
  <c r="O23" i="37" s="1"/>
  <c r="AA22" i="2"/>
  <c r="O19" i="37" s="1"/>
  <c r="Y15" i="2"/>
  <c r="N12" i="37" s="1"/>
  <c r="U42" i="2"/>
  <c r="L39" i="37" s="1"/>
  <c r="U38" i="2"/>
  <c r="L35" i="37" s="1"/>
  <c r="U26" i="2"/>
  <c r="L23" i="37" s="1"/>
  <c r="Y44" i="2"/>
  <c r="N41" i="37" s="1"/>
  <c r="W42" i="2"/>
  <c r="M39" i="37" s="1"/>
  <c r="Y40" i="2"/>
  <c r="N37" i="37" s="1"/>
  <c r="W38" i="2"/>
  <c r="M35" i="37" s="1"/>
  <c r="Y37" i="2"/>
  <c r="N34" i="37" s="1"/>
  <c r="Y34" i="2"/>
  <c r="N31" i="37" s="1"/>
  <c r="Y33" i="2"/>
  <c r="N30" i="37" s="1"/>
  <c r="Y30" i="2"/>
  <c r="N27" i="37" s="1"/>
  <c r="Y29" i="2"/>
  <c r="N26" i="37" s="1"/>
  <c r="W25" i="2"/>
  <c r="M22" i="37" s="1"/>
  <c r="W21" i="2"/>
  <c r="M18" i="37" s="1"/>
  <c r="Y13" i="2"/>
  <c r="N10" i="37" s="1"/>
  <c r="AA20" i="2"/>
  <c r="O17" i="37" s="1"/>
  <c r="AA24" i="2"/>
  <c r="O21" i="37" s="1"/>
  <c r="T19" i="2"/>
  <c r="T50" s="1"/>
  <c r="R36"/>
  <c r="J33" i="37" s="1"/>
  <c r="P36" i="2"/>
  <c r="I33" i="37" s="1"/>
  <c r="N34" i="2"/>
  <c r="H31" i="37" s="1"/>
  <c r="N32" i="2"/>
  <c r="H29" i="37" s="1"/>
  <c r="P28" i="2"/>
  <c r="I25" i="37" s="1"/>
  <c r="R25" i="2"/>
  <c r="J22" i="37" s="1"/>
  <c r="P25" i="2"/>
  <c r="I22" i="37" s="1"/>
  <c r="L25" i="2"/>
  <c r="G22" i="37" s="1"/>
  <c r="L23" i="2"/>
  <c r="G20" i="37" s="1"/>
  <c r="R23" i="2"/>
  <c r="J20" i="37" s="1"/>
  <c r="P21" i="2"/>
  <c r="I18" i="37" s="1"/>
  <c r="R17" i="2"/>
  <c r="J14" i="37" s="1"/>
  <c r="N17" i="2"/>
  <c r="H14" i="37" s="1"/>
  <c r="L17" i="2"/>
  <c r="G14" i="37" s="1"/>
  <c r="L15" i="2"/>
  <c r="G12" i="37" s="1"/>
  <c r="N9" i="2"/>
  <c r="H6" i="37" s="1"/>
  <c r="L9" i="2"/>
  <c r="G6" i="37" s="1"/>
  <c r="L42" i="2"/>
  <c r="G39" i="37" s="1"/>
  <c r="L40" i="2"/>
  <c r="G37" i="37" s="1"/>
  <c r="N44" i="2"/>
  <c r="H41" i="37" s="1"/>
  <c r="N42" i="2"/>
  <c r="H39" i="37" s="1"/>
  <c r="N40" i="2"/>
  <c r="H37" i="37" s="1"/>
  <c r="N37" i="2"/>
  <c r="H34" i="37" s="1"/>
  <c r="N35" i="2"/>
  <c r="H32" i="37" s="1"/>
  <c r="N33" i="2"/>
  <c r="H30" i="37" s="1"/>
  <c r="P29" i="2"/>
  <c r="I26" i="37" s="1"/>
  <c r="P26" i="2"/>
  <c r="I23" i="37" s="1"/>
  <c r="N24" i="2"/>
  <c r="H21" i="37" s="1"/>
  <c r="P22" i="2"/>
  <c r="I19" i="37" s="1"/>
  <c r="N20" i="2"/>
  <c r="H17" i="37" s="1"/>
  <c r="P16" i="2"/>
  <c r="I13" i="37" s="1"/>
  <c r="P14" i="2"/>
  <c r="I11" i="37" s="1"/>
  <c r="R14" i="2"/>
  <c r="J11" i="37" s="1"/>
  <c r="R27" i="2"/>
  <c r="J24" i="37" s="1"/>
  <c r="K19" i="2"/>
  <c r="K50" s="1"/>
  <c r="AT26"/>
  <c r="CD37"/>
  <c r="BP31"/>
  <c r="AL28" i="37" s="1"/>
  <c r="AF31" i="2"/>
  <c r="R28" i="37" s="1"/>
  <c r="W30" i="2"/>
  <c r="M27" i="37" s="1"/>
  <c r="CH29" i="2"/>
  <c r="AV26" i="37" s="1"/>
  <c r="N29" i="2"/>
  <c r="H26" i="37" s="1"/>
  <c r="BY28" i="2"/>
  <c r="AQ25" i="37" s="1"/>
  <c r="AO28" i="2"/>
  <c r="W25" i="37" s="1"/>
  <c r="E28" i="2"/>
  <c r="C25" i="37" s="1"/>
  <c r="BP27" i="2"/>
  <c r="AL24" i="37" s="1"/>
  <c r="AF27" i="2"/>
  <c r="R24" i="37" s="1"/>
  <c r="CQ26" i="2"/>
  <c r="BA23" i="37" s="1"/>
  <c r="CH25" i="2"/>
  <c r="AV22" i="37" s="1"/>
  <c r="AX25" i="2"/>
  <c r="AB22" i="37" s="1"/>
  <c r="N25" i="2"/>
  <c r="H22" i="37" s="1"/>
  <c r="BY24" i="2"/>
  <c r="AQ21" i="37" s="1"/>
  <c r="AO24" i="2"/>
  <c r="W21" i="37" s="1"/>
  <c r="E24" i="2"/>
  <c r="C21" i="37" s="1"/>
  <c r="BP23" i="2"/>
  <c r="AL20" i="37" s="1"/>
  <c r="AF23" i="2"/>
  <c r="R20" i="37" s="1"/>
  <c r="CQ22" i="2"/>
  <c r="BA19" i="37" s="1"/>
  <c r="BG22" i="2"/>
  <c r="AG19" i="37" s="1"/>
  <c r="CH21" i="2"/>
  <c r="AV18" i="37" s="1"/>
  <c r="AX21" i="2"/>
  <c r="AB18" i="37" s="1"/>
  <c r="BY20" i="2"/>
  <c r="AQ17" i="37" s="1"/>
  <c r="AO20" i="2"/>
  <c r="W17" i="37" s="1"/>
  <c r="E20" i="2"/>
  <c r="C17" i="37" s="1"/>
  <c r="CU17" i="2"/>
  <c r="BC14" i="37" s="1"/>
  <c r="AS17" i="2"/>
  <c r="Y14" i="37" s="1"/>
  <c r="K31" i="41"/>
  <c r="AU44" i="35"/>
  <c r="AX44" s="1"/>
  <c r="I31" i="41"/>
  <c r="AK44" i="35"/>
  <c r="AN44" s="1"/>
  <c r="AA44"/>
  <c r="AD44" s="1"/>
  <c r="G31" i="41"/>
  <c r="E31"/>
  <c r="Q44" i="35"/>
  <c r="T44" s="1"/>
  <c r="G44"/>
  <c r="J44" s="1"/>
  <c r="C31" i="41"/>
  <c r="B31"/>
  <c r="C26"/>
  <c r="C27" s="1"/>
  <c r="BX38" i="29"/>
  <c r="BJ38"/>
  <c r="AH38"/>
  <c r="F38"/>
  <c r="BX36"/>
  <c r="AV36"/>
  <c r="AH36"/>
  <c r="T36"/>
  <c r="F36"/>
  <c r="BQ35"/>
  <c r="BC35"/>
  <c r="AO35"/>
  <c r="M35"/>
  <c r="BX34"/>
  <c r="BJ34"/>
  <c r="AH34"/>
  <c r="T34"/>
  <c r="F34"/>
  <c r="BC33"/>
  <c r="AO33"/>
  <c r="AA33"/>
  <c r="BX32"/>
  <c r="BJ32"/>
  <c r="AV32"/>
  <c r="AH32"/>
  <c r="T32"/>
  <c r="F32"/>
  <c r="BQ31"/>
  <c r="AO31"/>
  <c r="AA31"/>
  <c r="M31"/>
  <c r="BX30"/>
  <c r="BJ30"/>
  <c r="AV30"/>
  <c r="AH30"/>
  <c r="BC29"/>
  <c r="AO29"/>
  <c r="AA29"/>
  <c r="BX28"/>
  <c r="AV28"/>
  <c r="T28"/>
  <c r="F28"/>
  <c r="AN43" i="21"/>
  <c r="K31" i="232" s="1"/>
  <c r="AF43" i="21"/>
  <c r="I31" i="232" s="1"/>
  <c r="X43" i="21"/>
  <c r="G31" i="232" s="1"/>
  <c r="P43" i="21"/>
  <c r="E31" i="232" s="1"/>
  <c r="H43" i="21"/>
  <c r="C31" i="232" s="1"/>
  <c r="J12" i="41"/>
  <c r="J13" s="1"/>
  <c r="J42" s="1"/>
  <c r="F12"/>
  <c r="F13" s="1"/>
  <c r="F42" s="1"/>
  <c r="B12"/>
  <c r="B13" s="1"/>
  <c r="B42" s="1"/>
  <c r="I9"/>
  <c r="E9"/>
  <c r="O8" i="18"/>
  <c r="Q8" s="1"/>
  <c r="R8" s="1"/>
  <c r="F9" i="19" s="1"/>
  <c r="O11" i="18"/>
  <c r="Q7"/>
  <c r="R7" s="1"/>
  <c r="F8" i="19" s="1"/>
  <c r="O14" i="18"/>
  <c r="GB11"/>
  <c r="O16"/>
  <c r="Q16" s="1"/>
  <c r="R16" s="1"/>
  <c r="F17" i="19" s="1"/>
  <c r="O15" i="18"/>
  <c r="O13"/>
  <c r="Q13" s="1"/>
  <c r="R13" s="1"/>
  <c r="F14" i="19" s="1"/>
  <c r="Q11" i="18"/>
  <c r="R11" s="1"/>
  <c r="F12" i="19" s="1"/>
  <c r="O10" i="18"/>
  <c r="O9"/>
  <c r="Q9" s="1"/>
  <c r="R9" s="1"/>
  <c r="F10" i="19" s="1"/>
  <c r="O19" i="14"/>
  <c r="Q17"/>
  <c r="AR17" i="15" s="1"/>
  <c r="AT17" s="1"/>
  <c r="AU17" s="1"/>
  <c r="CZ17" i="19" s="1"/>
  <c r="M17" i="14"/>
  <c r="AB17" i="15" s="1"/>
  <c r="I17" i="14"/>
  <c r="L17" i="15" s="1"/>
  <c r="N17" s="1"/>
  <c r="O17" s="1"/>
  <c r="X17" i="19" s="1"/>
  <c r="BF11" i="13"/>
  <c r="BE10"/>
  <c r="BA19"/>
  <c r="AA12"/>
  <c r="V12"/>
  <c r="H17" i="15"/>
  <c r="J17" s="1"/>
  <c r="K17" s="1"/>
  <c r="N17" i="19" s="1"/>
  <c r="AJ19" i="15"/>
  <c r="D9"/>
  <c r="D10"/>
  <c r="D8"/>
  <c r="H19" i="14"/>
  <c r="T19" i="15"/>
  <c r="G15" i="14"/>
  <c r="M15" s="1"/>
  <c r="AB15" i="15" s="1"/>
  <c r="P17" i="14"/>
  <c r="AN17" i="15" s="1"/>
  <c r="AP17" s="1"/>
  <c r="AQ17" s="1"/>
  <c r="CP17" i="19" s="1"/>
  <c r="N17" i="14"/>
  <c r="AF17" i="15" s="1"/>
  <c r="L17" i="14"/>
  <c r="X17" i="15" s="1"/>
  <c r="Z17" s="1"/>
  <c r="AA17" s="1"/>
  <c r="BB17" i="19" s="1"/>
  <c r="J17" i="14"/>
  <c r="P17" i="15" s="1"/>
  <c r="R17" s="1"/>
  <c r="S17" s="1"/>
  <c r="AH17" i="19" s="1"/>
  <c r="AH17" i="15"/>
  <c r="AI17" s="1"/>
  <c r="BV17" i="19" s="1"/>
  <c r="C13" i="14"/>
  <c r="G14"/>
  <c r="H20" i="15"/>
  <c r="J20" s="1"/>
  <c r="K20" s="1"/>
  <c r="P20" i="14"/>
  <c r="AN20" i="15" s="1"/>
  <c r="AP20" s="1"/>
  <c r="AQ20" s="1"/>
  <c r="N20" i="14"/>
  <c r="AF20" i="15" s="1"/>
  <c r="AH20" s="1"/>
  <c r="AI20" s="1"/>
  <c r="L20" i="14"/>
  <c r="X20" i="15" s="1"/>
  <c r="Z20" s="1"/>
  <c r="AA20" s="1"/>
  <c r="J20" i="14"/>
  <c r="P20" i="15" s="1"/>
  <c r="R20" s="1"/>
  <c r="S20" s="1"/>
  <c r="Q19" i="14"/>
  <c r="M19"/>
  <c r="I19"/>
  <c r="V16" i="15"/>
  <c r="W16" s="1"/>
  <c r="AR16" i="19" s="1"/>
  <c r="H36" i="12"/>
  <c r="V11" i="13"/>
  <c r="U10"/>
  <c r="N16" i="15"/>
  <c r="O16" s="1"/>
  <c r="X16" i="19" s="1"/>
  <c r="AR36" i="15"/>
  <c r="AT36" s="1"/>
  <c r="AU36" s="1"/>
  <c r="H35"/>
  <c r="J35" s="1"/>
  <c r="K35" s="1"/>
  <c r="H31"/>
  <c r="J31" s="1"/>
  <c r="K31" s="1"/>
  <c r="H27"/>
  <c r="J27" s="1"/>
  <c r="K27" s="1"/>
  <c r="H33"/>
  <c r="J33" s="1"/>
  <c r="K33" s="1"/>
  <c r="H25"/>
  <c r="J25" s="1"/>
  <c r="K25" s="1"/>
  <c r="H21"/>
  <c r="J21" s="1"/>
  <c r="K21" s="1"/>
  <c r="H16"/>
  <c r="L37" i="12"/>
  <c r="H37"/>
  <c r="C24" i="64"/>
  <c r="D24" s="1"/>
  <c r="E24" s="1"/>
  <c r="F24"/>
  <c r="J24"/>
  <c r="R24"/>
  <c r="AD24"/>
  <c r="AL24"/>
  <c r="AP24"/>
  <c r="B23"/>
  <c r="N24"/>
  <c r="V24"/>
  <c r="Z24"/>
  <c r="AH24"/>
  <c r="BD13" i="10"/>
  <c r="BF14"/>
  <c r="AR13"/>
  <c r="AF13"/>
  <c r="AH14"/>
  <c r="T13"/>
  <c r="V14"/>
  <c r="H13"/>
  <c r="BJ13"/>
  <c r="AX13"/>
  <c r="AL13"/>
  <c r="Z13"/>
  <c r="N13"/>
  <c r="BL17"/>
  <c r="AN17"/>
  <c r="CP43" i="58"/>
  <c r="BB43"/>
  <c r="N43"/>
  <c r="BK42" i="7"/>
  <c r="BL42" s="1"/>
  <c r="BV43" i="58"/>
  <c r="AH43"/>
  <c r="BY42" i="7"/>
  <c r="BZ42" s="1"/>
  <c r="AW42"/>
  <c r="AX42" s="1"/>
  <c r="AP42"/>
  <c r="AQ42" s="1"/>
  <c r="AI42"/>
  <c r="AJ42" s="1"/>
  <c r="AB42"/>
  <c r="AC42" s="1"/>
  <c r="U42"/>
  <c r="V42" s="1"/>
  <c r="W11"/>
  <c r="AK12"/>
  <c r="I12"/>
  <c r="BN16"/>
  <c r="BR17"/>
  <c r="BS17" s="1"/>
  <c r="CP17" i="58" s="1"/>
  <c r="AZ16" i="7"/>
  <c r="BD17"/>
  <c r="BE17" s="1"/>
  <c r="BV17" i="58" s="1"/>
  <c r="X16" i="7"/>
  <c r="AB17"/>
  <c r="AC17" s="1"/>
  <c r="AH17" i="58" s="1"/>
  <c r="AY10" i="7"/>
  <c r="O19"/>
  <c r="BD22"/>
  <c r="BE22" s="1"/>
  <c r="AW22"/>
  <c r="AX22" s="1"/>
  <c r="AP22"/>
  <c r="AQ22" s="1"/>
  <c r="AI22"/>
  <c r="AJ22" s="1"/>
  <c r="AB22"/>
  <c r="AC22" s="1"/>
  <c r="U22"/>
  <c r="V22" s="1"/>
  <c r="N22"/>
  <c r="O22" s="1"/>
  <c r="G22"/>
  <c r="H22" s="1"/>
  <c r="BY21"/>
  <c r="BZ21" s="1"/>
  <c r="BR21"/>
  <c r="BS21" s="1"/>
  <c r="BK21"/>
  <c r="BL21" s="1"/>
  <c r="BD21"/>
  <c r="BE21" s="1"/>
  <c r="AW21"/>
  <c r="AX21" s="1"/>
  <c r="AP21"/>
  <c r="AQ21" s="1"/>
  <c r="AI21"/>
  <c r="AJ21" s="1"/>
  <c r="AB21"/>
  <c r="AC21" s="1"/>
  <c r="U21"/>
  <c r="V21" s="1"/>
  <c r="N21"/>
  <c r="O21" s="1"/>
  <c r="G21"/>
  <c r="H21" s="1"/>
  <c r="BY20"/>
  <c r="BZ20" s="1"/>
  <c r="BR20"/>
  <c r="BS20" s="1"/>
  <c r="BK20"/>
  <c r="BL20" s="1"/>
  <c r="BD20"/>
  <c r="BE20" s="1"/>
  <c r="AW20"/>
  <c r="AX20" s="1"/>
  <c r="AP20"/>
  <c r="AQ20" s="1"/>
  <c r="AI20"/>
  <c r="AJ20" s="1"/>
  <c r="AB20"/>
  <c r="AC20" s="1"/>
  <c r="U20"/>
  <c r="V20" s="1"/>
  <c r="N20"/>
  <c r="O20" s="1"/>
  <c r="G20"/>
  <c r="H20" s="1"/>
  <c r="BR19"/>
  <c r="BR50" s="1"/>
  <c r="BD19"/>
  <c r="BD50" s="1"/>
  <c r="AP19"/>
  <c r="AP50" s="1"/>
  <c r="AB19"/>
  <c r="AB50" s="1"/>
  <c r="J17"/>
  <c r="C17"/>
  <c r="AL90"/>
  <c r="AH90"/>
  <c r="AD90"/>
  <c r="D45" i="58"/>
  <c r="D47" i="124" s="1"/>
  <c r="C7" i="70"/>
  <c r="D8" i="72"/>
  <c r="D8" i="74"/>
  <c r="D8" i="75"/>
  <c r="D8" i="76"/>
  <c r="D8" i="77"/>
  <c r="D8" i="78"/>
  <c r="D8" i="79"/>
  <c r="D8" i="80"/>
  <c r="D8" i="71"/>
  <c r="J23" i="5"/>
  <c r="Z23" s="1"/>
  <c r="H12"/>
  <c r="F12" i="58" s="1"/>
  <c r="H15" i="3"/>
  <c r="I15" s="1"/>
  <c r="F14"/>
  <c r="AR16"/>
  <c r="AS16" s="1"/>
  <c r="AN16"/>
  <c r="AO16" s="1"/>
  <c r="AJ16"/>
  <c r="AK16" s="1"/>
  <c r="D16"/>
  <c r="E16" s="1"/>
  <c r="R14"/>
  <c r="T15"/>
  <c r="U15" s="1"/>
  <c r="AL14"/>
  <c r="AN15"/>
  <c r="AO15" s="1"/>
  <c r="AH14"/>
  <c r="AJ15"/>
  <c r="AK15" s="1"/>
  <c r="B14"/>
  <c r="D15"/>
  <c r="E15" s="1"/>
  <c r="AF16"/>
  <c r="AG16" s="1"/>
  <c r="AB16"/>
  <c r="AC16" s="1"/>
  <c r="P16"/>
  <c r="Q16" s="1"/>
  <c r="L16"/>
  <c r="M16" s="1"/>
  <c r="BU26" i="2"/>
  <c r="BL26"/>
  <c r="BE26" s="1"/>
  <c r="AF23" i="37" s="1"/>
  <c r="BC26" i="2"/>
  <c r="AV26" s="1"/>
  <c r="AA23" i="37" s="1"/>
  <c r="BC37" i="2"/>
  <c r="J27" i="5"/>
  <c r="N23"/>
  <c r="BI17" i="2"/>
  <c r="AH14" i="37" s="1"/>
  <c r="Y17" i="2"/>
  <c r="N14" i="37" s="1"/>
  <c r="CH16" i="2"/>
  <c r="AV13" i="37" s="1"/>
  <c r="AZ16" i="2"/>
  <c r="AC13" i="37" s="1"/>
  <c r="N16" i="2"/>
  <c r="H13" i="37" s="1"/>
  <c r="CA15" i="2"/>
  <c r="AR12" i="37" s="1"/>
  <c r="AO15" i="2"/>
  <c r="W12" i="37" s="1"/>
  <c r="BP14" i="2"/>
  <c r="AL11" i="37" s="1"/>
  <c r="AH14" i="2"/>
  <c r="S11" i="37" s="1"/>
  <c r="CQ13" i="2"/>
  <c r="BA10" i="37" s="1"/>
  <c r="BI13" i="2"/>
  <c r="AH10" i="37" s="1"/>
  <c r="W13" i="2"/>
  <c r="M10" i="37" s="1"/>
  <c r="CJ12" i="2"/>
  <c r="AW9" i="37" s="1"/>
  <c r="AX12" i="2"/>
  <c r="AB9" i="37" s="1"/>
  <c r="P12" i="2"/>
  <c r="I9" i="37" s="1"/>
  <c r="BY11" i="2"/>
  <c r="AQ8" i="37" s="1"/>
  <c r="AQ11" i="2"/>
  <c r="X8" i="37" s="1"/>
  <c r="E11" i="2"/>
  <c r="C8" i="37" s="1"/>
  <c r="BR10" i="2"/>
  <c r="AM7" i="37" s="1"/>
  <c r="AF10" i="2"/>
  <c r="R7" i="37" s="1"/>
  <c r="CS9" i="2"/>
  <c r="BB6" i="37" s="1"/>
  <c r="BG9" i="2"/>
  <c r="AG6" i="37" s="1"/>
  <c r="CH8" i="2"/>
  <c r="AV5" i="37" s="1"/>
  <c r="AZ8" i="2"/>
  <c r="AC5" i="37" s="1"/>
  <c r="N8" i="2"/>
  <c r="H5" i="37" s="1"/>
  <c r="BM17" i="1"/>
  <c r="AC17"/>
  <c r="Q17"/>
  <c r="H29" i="5"/>
  <c r="H25"/>
  <c r="B44" i="58"/>
  <c r="B46" i="124" s="1"/>
  <c r="H46" s="1"/>
  <c r="B42" i="58"/>
  <c r="B44" i="124" s="1"/>
  <c r="H44" s="1"/>
  <c r="CD26" i="2"/>
  <c r="CC26" s="1"/>
  <c r="AS23" i="37" s="1"/>
  <c r="CJ17" i="2"/>
  <c r="AW14" i="37" s="1"/>
  <c r="BR17" i="2"/>
  <c r="AM14" i="37" s="1"/>
  <c r="AZ17" i="2"/>
  <c r="AC14" i="37" s="1"/>
  <c r="AH17" i="2"/>
  <c r="S14" i="37" s="1"/>
  <c r="P17" i="2"/>
  <c r="I14" i="37" s="1"/>
  <c r="H28" i="5"/>
  <c r="H19"/>
  <c r="B5" i="216" s="1"/>
  <c r="H8" i="5"/>
  <c r="F8" i="58" s="1"/>
  <c r="I8" i="2"/>
  <c r="E5" i="37" s="1"/>
  <c r="G8" i="2"/>
  <c r="D5" i="37" s="1"/>
  <c r="AA8" i="2"/>
  <c r="O5" i="37" s="1"/>
  <c r="Y8" i="2"/>
  <c r="N5" i="37" s="1"/>
  <c r="AS8" i="2"/>
  <c r="Y5" i="37" s="1"/>
  <c r="AQ8" i="2"/>
  <c r="X5" i="37" s="1"/>
  <c r="BK8" i="2"/>
  <c r="AI5" i="37" s="1"/>
  <c r="BI8" i="2"/>
  <c r="AH5" i="37" s="1"/>
  <c r="CC8" i="2"/>
  <c r="AS5" i="37" s="1"/>
  <c r="CA8" i="2"/>
  <c r="AR5" i="37" s="1"/>
  <c r="CU8" i="2"/>
  <c r="BC5" i="37" s="1"/>
  <c r="CS8" i="2"/>
  <c r="BB5" i="37" s="1"/>
  <c r="R9" i="2"/>
  <c r="J6" i="37" s="1"/>
  <c r="P9" i="2"/>
  <c r="I6" i="37" s="1"/>
  <c r="AJ9" i="2"/>
  <c r="T6" i="37" s="1"/>
  <c r="AH9" i="2"/>
  <c r="S6" i="37" s="1"/>
  <c r="BB9" i="2"/>
  <c r="AD6" i="37" s="1"/>
  <c r="AZ9" i="2"/>
  <c r="AC6" i="37" s="1"/>
  <c r="BT9" i="2"/>
  <c r="AN6" i="37" s="1"/>
  <c r="BR9" i="2"/>
  <c r="AM6" i="37" s="1"/>
  <c r="CL9" i="2"/>
  <c r="AX6" i="37" s="1"/>
  <c r="CJ9" i="2"/>
  <c r="AW6" i="37" s="1"/>
  <c r="I10" i="2"/>
  <c r="E7" i="37" s="1"/>
  <c r="G10" i="2"/>
  <c r="D7" i="37" s="1"/>
  <c r="Y10" i="2"/>
  <c r="N7" i="37" s="1"/>
  <c r="AS10" i="2"/>
  <c r="Y7" i="37" s="1"/>
  <c r="AQ10" i="2"/>
  <c r="X7" i="37" s="1"/>
  <c r="BK10" i="2"/>
  <c r="AI7" i="37" s="1"/>
  <c r="BI10" i="2"/>
  <c r="AH7" i="37" s="1"/>
  <c r="CC10" i="2"/>
  <c r="AS7" i="37" s="1"/>
  <c r="CA10" i="2"/>
  <c r="AR7" i="37" s="1"/>
  <c r="CU10" i="2"/>
  <c r="BC7" i="37" s="1"/>
  <c r="CS10" i="2"/>
  <c r="BB7" i="37" s="1"/>
  <c r="P11" i="2"/>
  <c r="I8" i="37" s="1"/>
  <c r="AJ11" i="2"/>
  <c r="T8" i="37" s="1"/>
  <c r="AH11" i="2"/>
  <c r="S8" i="37" s="1"/>
  <c r="BB11" i="2"/>
  <c r="AD8" i="37" s="1"/>
  <c r="AZ11" i="2"/>
  <c r="AC8" i="37" s="1"/>
  <c r="BT11" i="2"/>
  <c r="AN8" i="37" s="1"/>
  <c r="BR11" i="2"/>
  <c r="AM8" i="37" s="1"/>
  <c r="CL11" i="2"/>
  <c r="AX8" i="37" s="1"/>
  <c r="CJ11" i="2"/>
  <c r="AW8" i="37" s="1"/>
  <c r="I12" i="2"/>
  <c r="E9" i="37" s="1"/>
  <c r="G12" i="2"/>
  <c r="D9" i="37" s="1"/>
  <c r="AA12" i="2"/>
  <c r="O9" i="37" s="1"/>
  <c r="Y12" i="2"/>
  <c r="N9" i="37" s="1"/>
  <c r="AS12" i="2"/>
  <c r="Y9" i="37" s="1"/>
  <c r="AQ12" i="2"/>
  <c r="X9" i="37" s="1"/>
  <c r="BK12" i="2"/>
  <c r="AI9" i="37" s="1"/>
  <c r="BI12" i="2"/>
  <c r="AH9" i="37" s="1"/>
  <c r="CC12" i="2"/>
  <c r="AS9" i="37" s="1"/>
  <c r="CA12" i="2"/>
  <c r="AR9" i="37" s="1"/>
  <c r="CU12" i="2"/>
  <c r="BC9" i="37" s="1"/>
  <c r="CS12" i="2"/>
  <c r="BB9" i="37" s="1"/>
  <c r="AJ13" i="2"/>
  <c r="T10" i="37" s="1"/>
  <c r="AH13" i="2"/>
  <c r="S10" i="37" s="1"/>
  <c r="BB13" i="2"/>
  <c r="AD10" i="37" s="1"/>
  <c r="AZ13" i="2"/>
  <c r="AC10" i="37" s="1"/>
  <c r="BT13" i="2"/>
  <c r="AN10" i="37" s="1"/>
  <c r="BR13" i="2"/>
  <c r="AM10" i="37" s="1"/>
  <c r="CL13" i="2"/>
  <c r="AX10" i="37" s="1"/>
  <c r="CJ13" i="2"/>
  <c r="AW10" i="37" s="1"/>
  <c r="I14" i="2"/>
  <c r="E11" i="37" s="1"/>
  <c r="G14" i="2"/>
  <c r="D11" i="37" s="1"/>
  <c r="Y14" i="2"/>
  <c r="N11" i="37" s="1"/>
  <c r="AS14" i="2"/>
  <c r="Y11" i="37" s="1"/>
  <c r="AQ14" i="2"/>
  <c r="X11" i="37" s="1"/>
  <c r="BK14" i="2"/>
  <c r="AI11" i="37" s="1"/>
  <c r="BI14" i="2"/>
  <c r="AH11" i="37" s="1"/>
  <c r="CC14" i="2"/>
  <c r="AS11" i="37" s="1"/>
  <c r="CA14" i="2"/>
  <c r="AR11" i="37" s="1"/>
  <c r="CU14" i="2"/>
  <c r="BC11" i="37" s="1"/>
  <c r="CS14" i="2"/>
  <c r="BB11" i="37" s="1"/>
  <c r="R15" i="2"/>
  <c r="J12" i="37" s="1"/>
  <c r="AJ15" i="2"/>
  <c r="T12" i="37" s="1"/>
  <c r="AH15" i="2"/>
  <c r="S12" i="37" s="1"/>
  <c r="BB15" i="2"/>
  <c r="AD12" i="37" s="1"/>
  <c r="AZ15" i="2"/>
  <c r="AC12" i="37" s="1"/>
  <c r="BT15" i="2"/>
  <c r="AN12" i="37" s="1"/>
  <c r="BR15" i="2"/>
  <c r="AM12" i="37" s="1"/>
  <c r="CL15" i="2"/>
  <c r="AX12" i="37" s="1"/>
  <c r="CJ15" i="2"/>
  <c r="AW12" i="37" s="1"/>
  <c r="I16" i="2"/>
  <c r="E13" i="37" s="1"/>
  <c r="G16" i="2"/>
  <c r="D13" i="37" s="1"/>
  <c r="AA16" i="2"/>
  <c r="O13" i="37" s="1"/>
  <c r="Y16" i="2"/>
  <c r="N13" i="37" s="1"/>
  <c r="AS16" i="2"/>
  <c r="Y13" i="37" s="1"/>
  <c r="AQ16" i="2"/>
  <c r="X13" i="37" s="1"/>
  <c r="BK16" i="2"/>
  <c r="AI13" i="37" s="1"/>
  <c r="BI16" i="2"/>
  <c r="AH13" i="37" s="1"/>
  <c r="CC16" i="2"/>
  <c r="AS13" i="37" s="1"/>
  <c r="CA16" i="2"/>
  <c r="AR13" i="37" s="1"/>
  <c r="CU16" i="2"/>
  <c r="BC13" i="37" s="1"/>
  <c r="CS16" i="2"/>
  <c r="BB13" i="37" s="1"/>
  <c r="BJ44" i="19"/>
  <c r="L27" i="5"/>
  <c r="P23"/>
  <c r="H31"/>
  <c r="B17" i="216" s="1"/>
  <c r="H30" i="5"/>
  <c r="H26"/>
  <c r="H21"/>
  <c r="B7" i="216" s="1"/>
  <c r="H20" i="5"/>
  <c r="H15"/>
  <c r="F15" i="58" s="1"/>
  <c r="H10" i="5"/>
  <c r="F10" i="58" s="1"/>
  <c r="H9" i="5"/>
  <c r="F9" i="58" s="1"/>
  <c r="Q15" i="18"/>
  <c r="R15" s="1"/>
  <c r="F16" i="19" s="1"/>
  <c r="ET11" i="18"/>
  <c r="DL11"/>
  <c r="CD11"/>
  <c r="AV11"/>
  <c r="AF10" i="3"/>
  <c r="AG10" s="1"/>
  <c r="N9"/>
  <c r="P10"/>
  <c r="Q10" s="1"/>
  <c r="J6" i="32"/>
  <c r="R8" i="33" s="1"/>
  <c r="F6" i="32"/>
  <c r="J8" i="33" s="1"/>
  <c r="G29" i="18"/>
  <c r="G31"/>
  <c r="G33"/>
  <c r="G35"/>
  <c r="G37"/>
  <c r="G39"/>
  <c r="G41"/>
  <c r="G43"/>
  <c r="G27"/>
  <c r="G28"/>
  <c r="G30"/>
  <c r="G32"/>
  <c r="G34"/>
  <c r="G36"/>
  <c r="G38"/>
  <c r="G40"/>
  <c r="G42"/>
  <c r="G44"/>
  <c r="K20"/>
  <c r="K22"/>
  <c r="K24"/>
  <c r="K26"/>
  <c r="K28"/>
  <c r="K30"/>
  <c r="K32"/>
  <c r="K34"/>
  <c r="K36"/>
  <c r="K38"/>
  <c r="K40"/>
  <c r="K42"/>
  <c r="K44"/>
  <c r="K19"/>
  <c r="K21"/>
  <c r="K23"/>
  <c r="K25"/>
  <c r="K27"/>
  <c r="K29"/>
  <c r="K31"/>
  <c r="K33"/>
  <c r="K35"/>
  <c r="K37"/>
  <c r="K39"/>
  <c r="K41"/>
  <c r="K43"/>
  <c r="K18"/>
  <c r="V19"/>
  <c r="V21"/>
  <c r="V23"/>
  <c r="V25"/>
  <c r="V27"/>
  <c r="V29"/>
  <c r="V31"/>
  <c r="V33"/>
  <c r="V35"/>
  <c r="V37"/>
  <c r="V39"/>
  <c r="V41"/>
  <c r="V43"/>
  <c r="V18"/>
  <c r="V20"/>
  <c r="V22"/>
  <c r="V24"/>
  <c r="V26"/>
  <c r="V28"/>
  <c r="V30"/>
  <c r="V32"/>
  <c r="V34"/>
  <c r="V36"/>
  <c r="V38"/>
  <c r="V40"/>
  <c r="V42"/>
  <c r="V44"/>
  <c r="DC45" i="58"/>
  <c r="CI45"/>
  <c r="BO45"/>
  <c r="AU45"/>
  <c r="AA45"/>
  <c r="G45"/>
  <c r="BX44" i="29"/>
  <c r="AV44"/>
  <c r="AH44"/>
  <c r="T44"/>
  <c r="BQ43"/>
  <c r="BC43"/>
  <c r="AO43"/>
  <c r="M43"/>
  <c r="BX42"/>
  <c r="BJ42"/>
  <c r="AH42"/>
  <c r="T42"/>
  <c r="F42"/>
  <c r="BQ41"/>
  <c r="BC41"/>
  <c r="AO41"/>
  <c r="AA41"/>
  <c r="BX40"/>
  <c r="BJ40"/>
  <c r="AV40"/>
  <c r="AH40"/>
  <c r="T40"/>
  <c r="F40"/>
  <c r="BQ39"/>
  <c r="AO39"/>
  <c r="AA39"/>
  <c r="M39"/>
  <c r="BC37"/>
  <c r="AO37"/>
  <c r="AA37"/>
  <c r="J39" i="35"/>
  <c r="BC38"/>
  <c r="AS38"/>
  <c r="AI38"/>
  <c r="Y38"/>
  <c r="O38"/>
  <c r="E38"/>
  <c r="AN37"/>
  <c r="AD37"/>
  <c r="T37"/>
  <c r="J37"/>
  <c r="BC36"/>
  <c r="AS36"/>
  <c r="AI36"/>
  <c r="O36"/>
  <c r="E36"/>
  <c r="AX35"/>
  <c r="AN35"/>
  <c r="AD35"/>
  <c r="T35"/>
  <c r="J35"/>
  <c r="AS34"/>
  <c r="AI34"/>
  <c r="Y34"/>
  <c r="O34"/>
  <c r="E34"/>
  <c r="AX33"/>
  <c r="AN33"/>
  <c r="T33"/>
  <c r="J33"/>
  <c r="BC32"/>
  <c r="AS32"/>
  <c r="AI32"/>
  <c r="Y32"/>
  <c r="O32"/>
  <c r="AX31"/>
  <c r="AN31"/>
  <c r="AD31"/>
  <c r="T31"/>
  <c r="J31"/>
  <c r="BC30"/>
  <c r="AS30"/>
  <c r="Y30"/>
  <c r="O30"/>
  <c r="E30"/>
  <c r="AX29"/>
  <c r="AN29"/>
  <c r="AD29"/>
  <c r="T29"/>
  <c r="BC28"/>
  <c r="AS28"/>
  <c r="AI28"/>
  <c r="Y28"/>
  <c r="O28"/>
  <c r="E28"/>
  <c r="AX27"/>
  <c r="AD27"/>
  <c r="T27"/>
  <c r="J27"/>
  <c r="BC26"/>
  <c r="AS26"/>
  <c r="AI26"/>
  <c r="Y26"/>
  <c r="E26"/>
  <c r="AX25"/>
  <c r="AN25"/>
  <c r="AD25"/>
  <c r="T25"/>
  <c r="J25"/>
  <c r="BC24"/>
  <c r="AI24"/>
  <c r="Y24"/>
  <c r="O24"/>
  <c r="E24"/>
  <c r="AX23"/>
  <c r="AN23"/>
  <c r="AD23"/>
  <c r="J23"/>
  <c r="BC22"/>
  <c r="AS22"/>
  <c r="AI22"/>
  <c r="Y22"/>
  <c r="O22"/>
  <c r="E22"/>
  <c r="AX21"/>
  <c r="AN21"/>
  <c r="AD21"/>
  <c r="T21"/>
  <c r="BC20"/>
  <c r="AS20"/>
  <c r="AI20"/>
  <c r="Y20"/>
  <c r="O20"/>
  <c r="E20"/>
  <c r="BC17"/>
  <c r="AS17"/>
  <c r="AI17"/>
  <c r="Y17"/>
  <c r="O17"/>
  <c r="E17"/>
  <c r="AX16"/>
  <c r="AN16"/>
  <c r="AD16"/>
  <c r="T16"/>
  <c r="J16"/>
  <c r="BC15"/>
  <c r="AS15"/>
  <c r="AI15"/>
  <c r="Y15"/>
  <c r="O15"/>
  <c r="E15"/>
  <c r="AX14"/>
  <c r="AN14"/>
  <c r="AD14"/>
  <c r="T14"/>
  <c r="J14"/>
  <c r="BC13"/>
  <c r="AS13"/>
  <c r="AI13"/>
  <c r="Y13"/>
  <c r="O13"/>
  <c r="E13"/>
  <c r="AX12"/>
  <c r="AN12"/>
  <c r="AD12"/>
  <c r="T12"/>
  <c r="J12"/>
  <c r="BC11"/>
  <c r="AS11"/>
  <c r="AI11"/>
  <c r="Y11"/>
  <c r="O11"/>
  <c r="E11"/>
  <c r="AX10"/>
  <c r="AN10"/>
  <c r="AD10"/>
  <c r="T10"/>
  <c r="J10"/>
  <c r="BC9"/>
  <c r="AS9"/>
  <c r="AI9"/>
  <c r="Y9"/>
  <c r="E20" i="18"/>
  <c r="E22"/>
  <c r="E24"/>
  <c r="E26"/>
  <c r="E28"/>
  <c r="E30"/>
  <c r="E32"/>
  <c r="E34"/>
  <c r="E36"/>
  <c r="E38"/>
  <c r="E40"/>
  <c r="E42"/>
  <c r="E44"/>
  <c r="E19"/>
  <c r="E21"/>
  <c r="E23"/>
  <c r="E25"/>
  <c r="E27"/>
  <c r="E29"/>
  <c r="E31"/>
  <c r="E33"/>
  <c r="E35"/>
  <c r="E37"/>
  <c r="E39"/>
  <c r="E41"/>
  <c r="E43"/>
  <c r="E18"/>
  <c r="I19"/>
  <c r="I21"/>
  <c r="I23"/>
  <c r="I25"/>
  <c r="I27"/>
  <c r="I29"/>
  <c r="I31"/>
  <c r="I33"/>
  <c r="I35"/>
  <c r="I37"/>
  <c r="I39"/>
  <c r="I41"/>
  <c r="I43"/>
  <c r="I18"/>
  <c r="I20"/>
  <c r="I22"/>
  <c r="I24"/>
  <c r="I26"/>
  <c r="I28"/>
  <c r="I30"/>
  <c r="I32"/>
  <c r="I34"/>
  <c r="I36"/>
  <c r="I38"/>
  <c r="I40"/>
  <c r="I42"/>
  <c r="I44"/>
  <c r="M19"/>
  <c r="M25"/>
  <c r="M27"/>
  <c r="M33"/>
  <c r="M35"/>
  <c r="M41"/>
  <c r="M43"/>
  <c r="M22"/>
  <c r="M24"/>
  <c r="M30"/>
  <c r="M32"/>
  <c r="M38"/>
  <c r="M40"/>
  <c r="X28"/>
  <c r="X30"/>
  <c r="X32"/>
  <c r="X34"/>
  <c r="X36"/>
  <c r="X38"/>
  <c r="X40"/>
  <c r="X42"/>
  <c r="X44"/>
  <c r="X29"/>
  <c r="X31"/>
  <c r="X33"/>
  <c r="X35"/>
  <c r="X37"/>
  <c r="X39"/>
  <c r="X41"/>
  <c r="X43"/>
  <c r="X27"/>
  <c r="CX45" i="58"/>
  <c r="AC45" i="5"/>
  <c r="CD45" i="58"/>
  <c r="Y45" i="5"/>
  <c r="BJ45" i="58"/>
  <c r="U45" i="5"/>
  <c r="AP45" i="58"/>
  <c r="Q45" i="5"/>
  <c r="V45" i="58"/>
  <c r="M45" i="5"/>
  <c r="B45" i="58"/>
  <c r="B47" i="124" s="1"/>
  <c r="H47" s="1"/>
  <c r="I45" i="5"/>
  <c r="G28" i="78"/>
  <c r="F28" s="1"/>
  <c r="H28" s="1"/>
  <c r="I28" s="1"/>
  <c r="BQ38" i="29"/>
  <c r="BC36"/>
  <c r="AO36"/>
  <c r="AA36"/>
  <c r="M36"/>
  <c r="BX35"/>
  <c r="BJ35"/>
  <c r="AV35"/>
  <c r="T35"/>
  <c r="F35"/>
  <c r="BQ34"/>
  <c r="BC34"/>
  <c r="AO34"/>
  <c r="AA34"/>
  <c r="M34"/>
  <c r="BJ33"/>
  <c r="AV33"/>
  <c r="AH33"/>
  <c r="T33"/>
  <c r="F33"/>
  <c r="BQ32"/>
  <c r="BC32"/>
  <c r="AA32"/>
  <c r="M32"/>
  <c r="BX31"/>
  <c r="BJ31"/>
  <c r="AV31"/>
  <c r="AH31"/>
  <c r="T31"/>
  <c r="BQ30"/>
  <c r="BC30"/>
  <c r="AO30"/>
  <c r="AA30"/>
  <c r="M30"/>
  <c r="BX29"/>
  <c r="BJ29"/>
  <c r="AH29"/>
  <c r="T29"/>
  <c r="F29"/>
  <c r="BQ28"/>
  <c r="AO28"/>
  <c r="M28"/>
  <c r="E39" i="35"/>
  <c r="AX38"/>
  <c r="AN38"/>
  <c r="AD38"/>
  <c r="T38"/>
  <c r="J38"/>
  <c r="BC37"/>
  <c r="AS37"/>
  <c r="AI37"/>
  <c r="Y37"/>
  <c r="O37"/>
  <c r="E37"/>
  <c r="AX36"/>
  <c r="AN36"/>
  <c r="AD36"/>
  <c r="T36"/>
  <c r="J36"/>
  <c r="BC35"/>
  <c r="AS35"/>
  <c r="AI35"/>
  <c r="Y35"/>
  <c r="O35"/>
  <c r="E35"/>
  <c r="AX34"/>
  <c r="AN34"/>
  <c r="AD34"/>
  <c r="T34"/>
  <c r="J34"/>
  <c r="BC33"/>
  <c r="AS33"/>
  <c r="AI33"/>
  <c r="Y33"/>
  <c r="O33"/>
  <c r="E33"/>
  <c r="AX32"/>
  <c r="AN32"/>
  <c r="AD32"/>
  <c r="T32"/>
  <c r="J32"/>
  <c r="BC31"/>
  <c r="AS31"/>
  <c r="AI31"/>
  <c r="Y31"/>
  <c r="O31"/>
  <c r="E31"/>
  <c r="AX30"/>
  <c r="AN30"/>
  <c r="AD30"/>
  <c r="T30"/>
  <c r="J30"/>
  <c r="BC29"/>
  <c r="AS29"/>
  <c r="AI29"/>
  <c r="Y29"/>
  <c r="O29"/>
  <c r="E29"/>
  <c r="AX28"/>
  <c r="AN28"/>
  <c r="AD28"/>
  <c r="T28"/>
  <c r="J28"/>
  <c r="BC27"/>
  <c r="AS27"/>
  <c r="AI27"/>
  <c r="Y27"/>
  <c r="O27"/>
  <c r="E27"/>
  <c r="AX26"/>
  <c r="AN26"/>
  <c r="AD26"/>
  <c r="T26"/>
  <c r="J26"/>
  <c r="BC25"/>
  <c r="AS25"/>
  <c r="AI25"/>
  <c r="Y25"/>
  <c r="O25"/>
  <c r="E25"/>
  <c r="AX24"/>
  <c r="AN24"/>
  <c r="AD24"/>
  <c r="T24"/>
  <c r="J24"/>
  <c r="BC23"/>
  <c r="AS23"/>
  <c r="AI23"/>
  <c r="Y23"/>
  <c r="O23"/>
  <c r="E23"/>
  <c r="AX22"/>
  <c r="AN22"/>
  <c r="AD22"/>
  <c r="T22"/>
  <c r="J22"/>
  <c r="BC21"/>
  <c r="AS21"/>
  <c r="AI21"/>
  <c r="Y21"/>
  <c r="O21"/>
  <c r="E21"/>
  <c r="AX20"/>
  <c r="AN20"/>
  <c r="AD20"/>
  <c r="T20"/>
  <c r="J20"/>
  <c r="AX17"/>
  <c r="AN17"/>
  <c r="AD17"/>
  <c r="T17"/>
  <c r="J17"/>
  <c r="BC16"/>
  <c r="AS16"/>
  <c r="AI16"/>
  <c r="Y16"/>
  <c r="O16"/>
  <c r="E16"/>
  <c r="AX15"/>
  <c r="AN15"/>
  <c r="AD15"/>
  <c r="T15"/>
  <c r="J15"/>
  <c r="BC14"/>
  <c r="AS14"/>
  <c r="AI14"/>
  <c r="Y14"/>
  <c r="O14"/>
  <c r="E14"/>
  <c r="AX13"/>
  <c r="AN13"/>
  <c r="AD13"/>
  <c r="T13"/>
  <c r="J13"/>
  <c r="BC12"/>
  <c r="AS12"/>
  <c r="AI12"/>
  <c r="Y12"/>
  <c r="O12"/>
  <c r="E12"/>
  <c r="AX11"/>
  <c r="AN11"/>
  <c r="AD11"/>
  <c r="T11"/>
  <c r="J11"/>
  <c r="BC10"/>
  <c r="AS10"/>
  <c r="AI10"/>
  <c r="Y10"/>
  <c r="O10"/>
  <c r="E10"/>
  <c r="AX9"/>
  <c r="AN9"/>
  <c r="AD9"/>
  <c r="T9"/>
  <c r="J9"/>
  <c r="BC8"/>
  <c r="O9"/>
  <c r="E9"/>
  <c r="AX8"/>
  <c r="AN8"/>
  <c r="AD8"/>
  <c r="T8"/>
  <c r="J8"/>
  <c r="L12" i="41"/>
  <c r="L13" s="1"/>
  <c r="L42" s="1"/>
  <c r="AA45" i="5"/>
  <c r="W45"/>
  <c r="S45"/>
  <c r="O45"/>
  <c r="K45"/>
  <c r="H32"/>
  <c r="B18" i="216" s="1"/>
  <c r="H11" i="5"/>
  <c r="H23" i="73"/>
  <c r="L22"/>
  <c r="E11" i="215" s="1"/>
  <c r="L17" i="73"/>
  <c r="E6" i="215" s="1"/>
  <c r="G28" i="75"/>
  <c r="G29" s="1"/>
  <c r="G28" i="76"/>
  <c r="G29" s="1"/>
  <c r="F6"/>
  <c r="F6" i="77"/>
  <c r="D47" i="79"/>
  <c r="F7" i="80"/>
  <c r="AM90" i="7"/>
  <c r="AK90"/>
  <c r="AI90"/>
  <c r="AG90"/>
  <c r="AE90"/>
  <c r="AC90"/>
  <c r="AS8" i="35"/>
  <c r="AI8"/>
  <c r="Y8"/>
  <c r="O8"/>
  <c r="E8"/>
  <c r="H22" i="5"/>
  <c r="B8" i="216" s="1"/>
  <c r="H17" i="5"/>
  <c r="H24" i="72"/>
  <c r="H18"/>
  <c r="H25" i="74"/>
  <c r="L24"/>
  <c r="F13" i="215" s="1"/>
  <c r="H20" i="74"/>
  <c r="I20" s="1"/>
  <c r="L19"/>
  <c r="F8" i="215" s="1"/>
  <c r="H25" i="75"/>
  <c r="L24"/>
  <c r="G13" i="215" s="1"/>
  <c r="H20" i="75"/>
  <c r="I20" s="1"/>
  <c r="L19"/>
  <c r="G8" i="215" s="1"/>
  <c r="BY19" i="7"/>
  <c r="BY50" s="1"/>
  <c r="BK19"/>
  <c r="BK50" s="1"/>
  <c r="AW19"/>
  <c r="AW50" s="1"/>
  <c r="AI19"/>
  <c r="AI50" s="1"/>
  <c r="U19"/>
  <c r="U50" s="1"/>
  <c r="G19"/>
  <c r="G50" s="1"/>
  <c r="CN44" i="19"/>
  <c r="BT44"/>
  <c r="P41" i="14"/>
  <c r="N41"/>
  <c r="AF41" i="15" s="1"/>
  <c r="AH41" s="1"/>
  <c r="AI41" s="1"/>
  <c r="L41" i="14"/>
  <c r="X41" i="15" s="1"/>
  <c r="Z41" s="1"/>
  <c r="AA41" s="1"/>
  <c r="J41" i="14"/>
  <c r="P41" i="15" s="1"/>
  <c r="R41" s="1"/>
  <c r="S41" s="1"/>
  <c r="N40" i="14"/>
  <c r="AF40" i="15" s="1"/>
  <c r="AH40" s="1"/>
  <c r="AI40" s="1"/>
  <c r="N39" i="14"/>
  <c r="AF39" i="15" s="1"/>
  <c r="AH39" s="1"/>
  <c r="AI39" s="1"/>
  <c r="P38" i="14"/>
  <c r="AN38" i="15" s="1"/>
  <c r="AP38" s="1"/>
  <c r="AQ38" s="1"/>
  <c r="N38" i="14"/>
  <c r="AF38" i="15" s="1"/>
  <c r="AH38" s="1"/>
  <c r="AI38" s="1"/>
  <c r="L38" i="14"/>
  <c r="X38" i="15" s="1"/>
  <c r="Z38" s="1"/>
  <c r="AA38" s="1"/>
  <c r="J38" i="14"/>
  <c r="P38" i="15" s="1"/>
  <c r="R38" s="1"/>
  <c r="S38" s="1"/>
  <c r="N37" i="14"/>
  <c r="AF37" i="15" s="1"/>
  <c r="AH37" s="1"/>
  <c r="AI37" s="1"/>
  <c r="L37" i="14"/>
  <c r="X37" i="15" s="1"/>
  <c r="Z37" s="1"/>
  <c r="AA37" s="1"/>
  <c r="P36" i="14"/>
  <c r="AN36" i="15" s="1"/>
  <c r="AP36" s="1"/>
  <c r="AQ36" s="1"/>
  <c r="N36" i="14"/>
  <c r="AF36" i="15" s="1"/>
  <c r="AH36" s="1"/>
  <c r="AI36" s="1"/>
  <c r="L36" i="14"/>
  <c r="X36" i="15" s="1"/>
  <c r="Z36" s="1"/>
  <c r="AA36" s="1"/>
  <c r="J36" i="14"/>
  <c r="P36" i="15" s="1"/>
  <c r="R36" s="1"/>
  <c r="S36" s="1"/>
  <c r="P35" i="14"/>
  <c r="AN35" i="15" s="1"/>
  <c r="AP35" s="1"/>
  <c r="AQ35" s="1"/>
  <c r="N35" i="14"/>
  <c r="AF35" i="15" s="1"/>
  <c r="AH35" s="1"/>
  <c r="AI35" s="1"/>
  <c r="L35" i="14"/>
  <c r="X35" i="15" s="1"/>
  <c r="Z35" s="1"/>
  <c r="AA35" s="1"/>
  <c r="J35" i="14"/>
  <c r="P35" i="15" s="1"/>
  <c r="R35" s="1"/>
  <c r="S35" s="1"/>
  <c r="P33" i="14"/>
  <c r="AN33" i="15" s="1"/>
  <c r="AP33" s="1"/>
  <c r="AQ33" s="1"/>
  <c r="N33" i="14"/>
  <c r="AF33" i="15" s="1"/>
  <c r="AH33" s="1"/>
  <c r="AI33" s="1"/>
  <c r="L33" i="14"/>
  <c r="X33" i="15" s="1"/>
  <c r="Z33" s="1"/>
  <c r="AA33" s="1"/>
  <c r="J33" i="14"/>
  <c r="P33" i="15" s="1"/>
  <c r="R33" s="1"/>
  <c r="S33" s="1"/>
  <c r="P31" i="14"/>
  <c r="AN31" i="15" s="1"/>
  <c r="AP31" s="1"/>
  <c r="AQ31" s="1"/>
  <c r="N31" i="14"/>
  <c r="AF31" i="15" s="1"/>
  <c r="AH31" s="1"/>
  <c r="AI31" s="1"/>
  <c r="L31" i="14"/>
  <c r="X31" i="15" s="1"/>
  <c r="Z31" s="1"/>
  <c r="AA31" s="1"/>
  <c r="J31" i="14"/>
  <c r="P31" i="15" s="1"/>
  <c r="R31" s="1"/>
  <c r="S31" s="1"/>
  <c r="P29" i="14"/>
  <c r="AN29" i="15" s="1"/>
  <c r="AP29" s="1"/>
  <c r="AQ29" s="1"/>
  <c r="N29" i="14"/>
  <c r="AF29" i="15" s="1"/>
  <c r="AH29" s="1"/>
  <c r="AI29" s="1"/>
  <c r="L29" i="14"/>
  <c r="X29" i="15" s="1"/>
  <c r="Z29" s="1"/>
  <c r="AA29" s="1"/>
  <c r="J29" i="14"/>
  <c r="P29" i="15" s="1"/>
  <c r="R29" s="1"/>
  <c r="S29" s="1"/>
  <c r="P27" i="14"/>
  <c r="AN27" i="15" s="1"/>
  <c r="AP27" s="1"/>
  <c r="AQ27" s="1"/>
  <c r="N27" i="14"/>
  <c r="AF27" i="15" s="1"/>
  <c r="AH27" s="1"/>
  <c r="AI27" s="1"/>
  <c r="L27" i="14"/>
  <c r="X27" i="15" s="1"/>
  <c r="Z27" s="1"/>
  <c r="AA27" s="1"/>
  <c r="J27" i="14"/>
  <c r="P27" i="15" s="1"/>
  <c r="R27" s="1"/>
  <c r="S27" s="1"/>
  <c r="P25" i="14"/>
  <c r="AN25" i="15" s="1"/>
  <c r="AP25" s="1"/>
  <c r="AQ25" s="1"/>
  <c r="N25" i="14"/>
  <c r="AF25" i="15" s="1"/>
  <c r="AH25" s="1"/>
  <c r="AI25" s="1"/>
  <c r="L25" i="14"/>
  <c r="X25" i="15" s="1"/>
  <c r="Z25" s="1"/>
  <c r="AA25" s="1"/>
  <c r="J25" i="14"/>
  <c r="P25" i="15" s="1"/>
  <c r="R25" s="1"/>
  <c r="S25" s="1"/>
  <c r="P23" i="14"/>
  <c r="AN23" i="15" s="1"/>
  <c r="AP23" s="1"/>
  <c r="AQ23" s="1"/>
  <c r="N23" i="14"/>
  <c r="AF23" i="15" s="1"/>
  <c r="AH23" s="1"/>
  <c r="AI23" s="1"/>
  <c r="L23" i="14"/>
  <c r="X23" i="15" s="1"/>
  <c r="Z23" s="1"/>
  <c r="AA23" s="1"/>
  <c r="J23" i="14"/>
  <c r="P23" i="15" s="1"/>
  <c r="R23" s="1"/>
  <c r="S23" s="1"/>
  <c r="P21" i="14"/>
  <c r="AN21" i="15" s="1"/>
  <c r="AP21" s="1"/>
  <c r="AQ21" s="1"/>
  <c r="N21" i="14"/>
  <c r="AF21" i="15" s="1"/>
  <c r="AH21" s="1"/>
  <c r="AI21" s="1"/>
  <c r="L21" i="14"/>
  <c r="X21" i="15" s="1"/>
  <c r="Z21" s="1"/>
  <c r="AA21" s="1"/>
  <c r="J21" i="14"/>
  <c r="P21" i="15" s="1"/>
  <c r="R21" s="1"/>
  <c r="S21" s="1"/>
  <c r="P19" i="14"/>
  <c r="N19"/>
  <c r="L19"/>
  <c r="J19"/>
  <c r="P16"/>
  <c r="AN16" i="15" s="1"/>
  <c r="AP16" s="1"/>
  <c r="AQ16" s="1"/>
  <c r="CP16" i="19" s="1"/>
  <c r="N16" i="14"/>
  <c r="AF16" i="15" s="1"/>
  <c r="L16" i="14"/>
  <c r="X16" i="15" s="1"/>
  <c r="Z16" s="1"/>
  <c r="AA16" s="1"/>
  <c r="BB16" i="19" s="1"/>
  <c r="J16" i="14"/>
  <c r="P16" i="15" s="1"/>
  <c r="R16" s="1"/>
  <c r="S16" s="1"/>
  <c r="AH16" i="19" s="1"/>
  <c r="AZ44"/>
  <c r="AF44"/>
  <c r="L44"/>
  <c r="K41" i="12"/>
  <c r="K42" s="1"/>
  <c r="I41"/>
  <c r="G41"/>
  <c r="T20" i="18"/>
  <c r="AF20" s="1"/>
  <c r="AH20" s="1"/>
  <c r="AI20" s="1"/>
  <c r="T22"/>
  <c r="AF22" s="1"/>
  <c r="AH22" s="1"/>
  <c r="AI22" s="1"/>
  <c r="T24"/>
  <c r="T26"/>
  <c r="AF26" s="1"/>
  <c r="AH26" s="1"/>
  <c r="AI26" s="1"/>
  <c r="T28"/>
  <c r="T30"/>
  <c r="T32"/>
  <c r="T34"/>
  <c r="AF34" s="1"/>
  <c r="AH34" s="1"/>
  <c r="AI34" s="1"/>
  <c r="T36"/>
  <c r="T38"/>
  <c r="T40"/>
  <c r="T42"/>
  <c r="AF42" s="1"/>
  <c r="AH42" s="1"/>
  <c r="AI42" s="1"/>
  <c r="T19"/>
  <c r="T21"/>
  <c r="T23"/>
  <c r="AF23" s="1"/>
  <c r="AH23" s="1"/>
  <c r="AI23" s="1"/>
  <c r="T25"/>
  <c r="AF25" s="1"/>
  <c r="AH25" s="1"/>
  <c r="AI25" s="1"/>
  <c r="T27"/>
  <c r="T29"/>
  <c r="T31"/>
  <c r="T33"/>
  <c r="AF33" s="1"/>
  <c r="AH33" s="1"/>
  <c r="AI33" s="1"/>
  <c r="T35"/>
  <c r="T37"/>
  <c r="T39"/>
  <c r="AF39" s="1"/>
  <c r="AH39" s="1"/>
  <c r="AI39" s="1"/>
  <c r="T41"/>
  <c r="AF41" s="1"/>
  <c r="AH41" s="1"/>
  <c r="AI41" s="1"/>
  <c r="T43"/>
  <c r="T18"/>
  <c r="C22"/>
  <c r="O22" s="1"/>
  <c r="Q22" s="1"/>
  <c r="R22" s="1"/>
  <c r="C30"/>
  <c r="O30" s="1"/>
  <c r="Q30" s="1"/>
  <c r="R30" s="1"/>
  <c r="C38"/>
  <c r="O38" s="1"/>
  <c r="Q38" s="1"/>
  <c r="R38" s="1"/>
  <c r="C18"/>
  <c r="C27"/>
  <c r="O27" s="1"/>
  <c r="Q27" s="1"/>
  <c r="R27" s="1"/>
  <c r="C35"/>
  <c r="O35" s="1"/>
  <c r="Q35" s="1"/>
  <c r="R35" s="1"/>
  <c r="C43"/>
  <c r="O43" s="1"/>
  <c r="Q43" s="1"/>
  <c r="R43" s="1"/>
  <c r="AK45" i="35"/>
  <c r="Q45"/>
  <c r="Q14" i="18"/>
  <c r="R14" s="1"/>
  <c r="F15" i="19" s="1"/>
  <c r="Q10" i="18"/>
  <c r="R10" s="1"/>
  <c r="F11" i="19" s="1"/>
  <c r="P43" i="33"/>
  <c r="H43"/>
  <c r="AU45" i="35"/>
  <c r="AA45"/>
  <c r="G45"/>
  <c r="Q12" i="18"/>
  <c r="R12" s="1"/>
  <c r="F13" i="19" s="1"/>
  <c r="AL22" i="16"/>
  <c r="AM22" s="1"/>
  <c r="AN22" s="1"/>
  <c r="AH22"/>
  <c r="AI22" s="1"/>
  <c r="AJ22" s="1"/>
  <c r="F22"/>
  <c r="G22" s="1"/>
  <c r="H22" s="1"/>
  <c r="C45" i="35"/>
  <c r="H44" i="34"/>
  <c r="H45" i="35"/>
  <c r="O44" i="34"/>
  <c r="M45" i="35"/>
  <c r="V44" i="34"/>
  <c r="R45" i="35"/>
  <c r="AC44" i="34"/>
  <c r="W45" i="35"/>
  <c r="AJ44" i="34"/>
  <c r="AB45" i="35"/>
  <c r="AG45"/>
  <c r="AX44" i="34"/>
  <c r="AL45" i="35"/>
  <c r="BE44" i="34"/>
  <c r="AQ45" i="35"/>
  <c r="BA45"/>
  <c r="AV45"/>
  <c r="AS42" i="37"/>
  <c r="J13" i="6"/>
  <c r="I12" i="41"/>
  <c r="I13" s="1"/>
  <c r="I42" s="1"/>
  <c r="F28" i="73"/>
  <c r="H28" s="1"/>
  <c r="I28" s="1"/>
  <c r="G29"/>
  <c r="F28" i="75"/>
  <c r="H28" s="1"/>
  <c r="I28" s="1"/>
  <c r="F28" i="76"/>
  <c r="H28" s="1"/>
  <c r="I28" s="1"/>
  <c r="K11" i="41"/>
  <c r="G11"/>
  <c r="C11"/>
  <c r="K9"/>
  <c r="G9"/>
  <c r="C9"/>
  <c r="G21" i="71"/>
  <c r="G16" i="72"/>
  <c r="G21" i="73"/>
  <c r="G21" i="74"/>
  <c r="G21" i="75"/>
  <c r="BM9" i="18" l="1"/>
  <c r="BC9" s="1"/>
  <c r="BI10"/>
  <c r="BJ10" s="1"/>
  <c r="BG10"/>
  <c r="BH10" s="1"/>
  <c r="AS15" i="2"/>
  <c r="Y12" i="37" s="1"/>
  <c r="AM15" i="2"/>
  <c r="V12" i="37" s="1"/>
  <c r="CL16" i="2"/>
  <c r="AX13" i="37" s="1"/>
  <c r="CF16" i="2"/>
  <c r="AU13" i="37" s="1"/>
  <c r="BG20" i="2"/>
  <c r="AG17" i="37" s="1"/>
  <c r="BE20" i="2"/>
  <c r="AF17" i="37" s="1"/>
  <c r="BI20" i="2"/>
  <c r="AH17" i="37" s="1"/>
  <c r="BK22" i="2"/>
  <c r="AI19" i="37" s="1"/>
  <c r="BE22" i="2"/>
  <c r="AF19" i="37" s="1"/>
  <c r="BG24" i="2"/>
  <c r="AG21" i="37" s="1"/>
  <c r="BE24" i="2"/>
  <c r="AF21" i="37" s="1"/>
  <c r="CQ28" i="2"/>
  <c r="BA25" i="37" s="1"/>
  <c r="CO28" i="2"/>
  <c r="AZ25" i="37" s="1"/>
  <c r="CL35" i="2"/>
  <c r="AX32" i="37" s="1"/>
  <c r="CH35" i="2"/>
  <c r="AV32" i="37" s="1"/>
  <c r="AS36" i="2"/>
  <c r="Y33" i="37" s="1"/>
  <c r="AO36" i="2"/>
  <c r="W33" i="37" s="1"/>
  <c r="BK42" i="2"/>
  <c r="AI39" i="37" s="1"/>
  <c r="BI42" i="2"/>
  <c r="AH39" i="37" s="1"/>
  <c r="BB43" i="2"/>
  <c r="AD40" i="37" s="1"/>
  <c r="AX43" i="2"/>
  <c r="AB40" i="37" s="1"/>
  <c r="E12" i="41"/>
  <c r="E13" s="1"/>
  <c r="E42" s="1"/>
  <c r="AF9" i="18"/>
  <c r="AH9" s="1"/>
  <c r="AI9" s="1"/>
  <c r="P10" i="19" s="1"/>
  <c r="C22" i="41"/>
  <c r="H42" i="223"/>
  <c r="CD67" i="58"/>
  <c r="AD10" i="2"/>
  <c r="Q7" i="37" s="1"/>
  <c r="CO13" i="2"/>
  <c r="AZ10" i="37" s="1"/>
  <c r="C24" i="2"/>
  <c r="B21" i="37" s="1"/>
  <c r="N10" i="6"/>
  <c r="O10" s="1"/>
  <c r="BM10" i="58" s="1"/>
  <c r="BJ44" i="29"/>
  <c r="H34" i="124"/>
  <c r="H22"/>
  <c r="H25"/>
  <c r="T27" i="5"/>
  <c r="AF12" i="18"/>
  <c r="AH12" s="1"/>
  <c r="AI12" s="1"/>
  <c r="P13" i="19" s="1"/>
  <c r="H35" i="124"/>
  <c r="CZ68" i="58"/>
  <c r="AH28" i="29"/>
  <c r="BQ29"/>
  <c r="BC31"/>
  <c r="M33"/>
  <c r="AV34"/>
  <c r="BQ37"/>
  <c r="F8" i="79"/>
  <c r="G8" s="1"/>
  <c r="CC9" i="2"/>
  <c r="AS6" i="37" s="1"/>
  <c r="BW9" i="2"/>
  <c r="AP6" i="37" s="1"/>
  <c r="BB16" i="2"/>
  <c r="AD13" i="37" s="1"/>
  <c r="AV16" i="2"/>
  <c r="AA13" i="37" s="1"/>
  <c r="AF25" i="2"/>
  <c r="R22" i="37" s="1"/>
  <c r="AD25" i="2"/>
  <c r="Q22" i="37" s="1"/>
  <c r="N27" i="2"/>
  <c r="H24" i="37" s="1"/>
  <c r="P27" i="2"/>
  <c r="I24" i="37" s="1"/>
  <c r="AO30" i="2"/>
  <c r="W27" i="37" s="1"/>
  <c r="AM30" i="2"/>
  <c r="V27" i="37" s="1"/>
  <c r="CL31" i="2"/>
  <c r="AX28" i="37" s="1"/>
  <c r="CF31" i="2"/>
  <c r="AU28" i="37" s="1"/>
  <c r="I38" i="2"/>
  <c r="E35" i="37" s="1"/>
  <c r="G38" i="2"/>
  <c r="D35" i="37" s="1"/>
  <c r="C38" i="2"/>
  <c r="B35" i="37" s="1"/>
  <c r="BK38" i="2"/>
  <c r="AI35" i="37" s="1"/>
  <c r="BI38" i="2"/>
  <c r="AH35" i="37" s="1"/>
  <c r="G25" i="77"/>
  <c r="F26"/>
  <c r="G26" s="1"/>
  <c r="G19" i="76"/>
  <c r="F20"/>
  <c r="G20" s="1"/>
  <c r="G23" i="80"/>
  <c r="F24"/>
  <c r="T46" i="35"/>
  <c r="K42" i="220"/>
  <c r="CD67" i="19"/>
  <c r="BN16" i="2"/>
  <c r="AK13" i="37" s="1"/>
  <c r="AM9" i="2"/>
  <c r="V6" i="37" s="1"/>
  <c r="AM13" i="2"/>
  <c r="V10" i="37" s="1"/>
  <c r="BJ28" i="29"/>
  <c r="T30"/>
  <c r="AA35"/>
  <c r="BJ36"/>
  <c r="T38"/>
  <c r="BC39"/>
  <c r="M41"/>
  <c r="AV42"/>
  <c r="F8" i="78"/>
  <c r="G8" s="1"/>
  <c r="H31" i="124"/>
  <c r="F21" i="41"/>
  <c r="BV24" i="19"/>
  <c r="I10" i="219"/>
  <c r="N29" i="19"/>
  <c r="C15" i="219"/>
  <c r="F34" i="58"/>
  <c r="E36" i="124" s="1"/>
  <c r="B20" i="216"/>
  <c r="G29" i="74"/>
  <c r="F28"/>
  <c r="H28" s="1"/>
  <c r="I28" s="1"/>
  <c r="AH34" i="19"/>
  <c r="E20" i="219"/>
  <c r="F7"/>
  <c r="AR21" i="19"/>
  <c r="N23"/>
  <c r="C9" i="219"/>
  <c r="F28" i="79"/>
  <c r="H28" s="1"/>
  <c r="I28" s="1"/>
  <c r="G29"/>
  <c r="BD27" i="58"/>
  <c r="G13" i="216"/>
  <c r="BL21" i="19"/>
  <c r="H7" i="219"/>
  <c r="BL36" i="19"/>
  <c r="H22" i="219"/>
  <c r="AH37" i="19"/>
  <c r="E23" i="219"/>
  <c r="BB28" i="19"/>
  <c r="G14" i="219"/>
  <c r="AH40" i="19"/>
  <c r="E26" i="219"/>
  <c r="BL34" i="19"/>
  <c r="H20" i="219"/>
  <c r="G27" i="72"/>
  <c r="G28" s="1"/>
  <c r="F22"/>
  <c r="G22" s="1"/>
  <c r="X27" i="19"/>
  <c r="D13" i="219"/>
  <c r="L17"/>
  <c r="CZ31" i="19"/>
  <c r="O22"/>
  <c r="C8" i="220"/>
  <c r="F36" i="19"/>
  <c r="F39" i="133" s="1"/>
  <c r="B22" i="221"/>
  <c r="F39" i="19"/>
  <c r="F42" i="133" s="1"/>
  <c r="B25" i="221"/>
  <c r="F31" i="19"/>
  <c r="F34" i="133" s="1"/>
  <c r="B17" i="221"/>
  <c r="P42" i="19"/>
  <c r="C28" i="221"/>
  <c r="P43" i="19"/>
  <c r="C29" i="221"/>
  <c r="P27" i="19"/>
  <c r="C13" i="221"/>
  <c r="BV23" i="19"/>
  <c r="I9" i="219"/>
  <c r="BV27" i="19"/>
  <c r="I13" i="219"/>
  <c r="BV31" i="19"/>
  <c r="I17" i="219"/>
  <c r="BV35" i="19"/>
  <c r="I21" i="219"/>
  <c r="BV36" i="19"/>
  <c r="I22" i="219"/>
  <c r="BV38" i="19"/>
  <c r="I24" i="219"/>
  <c r="BV41" i="19"/>
  <c r="I27" i="219"/>
  <c r="P27" i="58"/>
  <c r="C13" i="216"/>
  <c r="F29" i="58"/>
  <c r="E31" i="124" s="1"/>
  <c r="B15" i="216"/>
  <c r="Z23" i="58"/>
  <c r="D9" i="216"/>
  <c r="CH23" i="58"/>
  <c r="J9" i="216"/>
  <c r="BB20" i="58"/>
  <c r="G6" i="213"/>
  <c r="X21" i="58"/>
  <c r="D7" i="213"/>
  <c r="CZ21" i="58"/>
  <c r="L7" i="213"/>
  <c r="BV22" i="58"/>
  <c r="I8" i="213"/>
  <c r="AH42" i="58"/>
  <c r="E28" i="213"/>
  <c r="AM24" i="64"/>
  <c r="AN24" s="1"/>
  <c r="AO24" s="1"/>
  <c r="K12" i="227"/>
  <c r="N21" i="19"/>
  <c r="C7" i="219"/>
  <c r="BB20" i="19"/>
  <c r="G6" i="219"/>
  <c r="BD31" i="19"/>
  <c r="G17" i="221"/>
  <c r="BD30" i="19"/>
  <c r="G16" i="221"/>
  <c r="BD22" i="19"/>
  <c r="G8" i="221"/>
  <c r="CR35" i="19"/>
  <c r="K21" i="221"/>
  <c r="CR34" i="19"/>
  <c r="K20" i="221"/>
  <c r="CR26" i="19"/>
  <c r="K12" i="221"/>
  <c r="BI49" i="34"/>
  <c r="J5" i="233"/>
  <c r="CP22" i="58"/>
  <c r="K8" i="213"/>
  <c r="BL23" i="58"/>
  <c r="H9" i="213"/>
  <c r="AH24" i="58"/>
  <c r="E10" i="213"/>
  <c r="D25" i="58"/>
  <c r="D27" i="124" s="1"/>
  <c r="B11" i="213"/>
  <c r="CF25" i="58"/>
  <c r="J11" i="213"/>
  <c r="BB26" i="58"/>
  <c r="G12" i="213"/>
  <c r="X27" i="58"/>
  <c r="D13" i="213"/>
  <c r="CZ27" i="58"/>
  <c r="L13" i="213"/>
  <c r="BV28" i="58"/>
  <c r="I14" i="213"/>
  <c r="AR29" i="58"/>
  <c r="F15" i="213"/>
  <c r="N30" i="58"/>
  <c r="C16" i="213"/>
  <c r="CP30" i="58"/>
  <c r="K16" i="213"/>
  <c r="BL31" i="58"/>
  <c r="H17" i="213"/>
  <c r="AH32" i="58"/>
  <c r="E18" i="213"/>
  <c r="D33" i="58"/>
  <c r="D35" i="124" s="1"/>
  <c r="B19" i="213"/>
  <c r="CF33" i="58"/>
  <c r="J19" i="213"/>
  <c r="AK44" i="19"/>
  <c r="E30" i="210"/>
  <c r="X39" i="19"/>
  <c r="D25" i="219"/>
  <c r="H41" i="211"/>
  <c r="H36"/>
  <c r="C36"/>
  <c r="C41"/>
  <c r="AR25" i="19"/>
  <c r="F11" i="219"/>
  <c r="I44" i="232"/>
  <c r="I39"/>
  <c r="F47" i="19"/>
  <c r="F50" i="133" s="1"/>
  <c r="B33" i="221"/>
  <c r="CH47" i="19"/>
  <c r="J33" i="221"/>
  <c r="CZ24" i="19"/>
  <c r="L10" i="219"/>
  <c r="BL35" i="19"/>
  <c r="H21" i="219"/>
  <c r="J37" i="212"/>
  <c r="J42"/>
  <c r="J41" i="226"/>
  <c r="J36"/>
  <c r="D36" i="223"/>
  <c r="D41"/>
  <c r="L41"/>
  <c r="L36"/>
  <c r="G41" i="217"/>
  <c r="G36"/>
  <c r="BL29" i="19"/>
  <c r="H15" i="219"/>
  <c r="BB34" i="58"/>
  <c r="G20" i="213"/>
  <c r="CZ35" i="58"/>
  <c r="L21" i="213"/>
  <c r="AR37" i="58"/>
  <c r="F23" i="213"/>
  <c r="CP38" i="58"/>
  <c r="K24" i="213"/>
  <c r="AH40" i="58"/>
  <c r="E26" i="213"/>
  <c r="CF41" i="58"/>
  <c r="J27" i="213"/>
  <c r="D44"/>
  <c r="D39"/>
  <c r="I36" i="226"/>
  <c r="I41"/>
  <c r="K36" i="223"/>
  <c r="K41"/>
  <c r="J42" i="217"/>
  <c r="J37"/>
  <c r="G42" i="211"/>
  <c r="G37"/>
  <c r="I43" i="212"/>
  <c r="I38"/>
  <c r="I44"/>
  <c r="I39"/>
  <c r="B41" i="223"/>
  <c r="B36"/>
  <c r="CZ32" i="19"/>
  <c r="L18" i="219"/>
  <c r="BF46" i="2"/>
  <c r="BL45"/>
  <c r="DX14" i="18"/>
  <c r="ED14" s="1"/>
  <c r="EF14" s="1"/>
  <c r="EG14" s="1"/>
  <c r="BX15" i="19" s="1"/>
  <c r="DX19" i="18"/>
  <c r="DX23"/>
  <c r="DX27"/>
  <c r="DX31"/>
  <c r="DX35"/>
  <c r="DX39"/>
  <c r="DX43"/>
  <c r="DX13"/>
  <c r="DX18"/>
  <c r="DX22"/>
  <c r="DX26"/>
  <c r="ED26" s="1"/>
  <c r="EF26" s="1"/>
  <c r="EG26" s="1"/>
  <c r="DX30"/>
  <c r="DX34"/>
  <c r="DX38"/>
  <c r="DX42"/>
  <c r="DX20"/>
  <c r="DX28"/>
  <c r="DX36"/>
  <c r="DX44"/>
  <c r="DX12"/>
  <c r="DX24"/>
  <c r="DX33"/>
  <c r="DX21"/>
  <c r="ED21" s="1"/>
  <c r="EF21" s="1"/>
  <c r="EG21" s="1"/>
  <c r="DX32"/>
  <c r="DX29"/>
  <c r="DX15"/>
  <c r="DX37"/>
  <c r="DX41"/>
  <c r="DX16"/>
  <c r="DX40"/>
  <c r="DX25"/>
  <c r="ED25" s="1"/>
  <c r="EF25" s="1"/>
  <c r="EG25" s="1"/>
  <c r="L13" i="210"/>
  <c r="DC27" i="19"/>
  <c r="BO44" i="2"/>
  <c r="BU43"/>
  <c r="CL37"/>
  <c r="AX34" i="37" s="1"/>
  <c r="CH37" i="2"/>
  <c r="AV34" i="37" s="1"/>
  <c r="I23" i="28"/>
  <c r="I22" i="26"/>
  <c r="E23" i="28"/>
  <c r="E22" i="26"/>
  <c r="J22" i="219"/>
  <c r="CF36" i="19"/>
  <c r="AU14" i="18"/>
  <c r="AU19"/>
  <c r="AU23"/>
  <c r="AU27"/>
  <c r="AU31"/>
  <c r="AU35"/>
  <c r="AU39"/>
  <c r="AU43"/>
  <c r="AU13"/>
  <c r="AU18"/>
  <c r="AU22"/>
  <c r="AU26"/>
  <c r="AU30"/>
  <c r="AU34"/>
  <c r="AU38"/>
  <c r="AU42"/>
  <c r="AU15"/>
  <c r="AU24"/>
  <c r="AU32"/>
  <c r="AU40"/>
  <c r="AU21"/>
  <c r="AU33"/>
  <c r="AU44"/>
  <c r="AU20"/>
  <c r="AU41"/>
  <c r="AU28"/>
  <c r="AU37"/>
  <c r="AU25"/>
  <c r="AU29"/>
  <c r="AU16"/>
  <c r="AU12"/>
  <c r="AU36"/>
  <c r="C43" i="227"/>
  <c r="C38"/>
  <c r="B42" i="211"/>
  <c r="B37"/>
  <c r="I38"/>
  <c r="I43"/>
  <c r="I44"/>
  <c r="I39"/>
  <c r="S38" i="77"/>
  <c r="E37"/>
  <c r="H42" i="217"/>
  <c r="H37"/>
  <c r="B44" i="213"/>
  <c r="B39"/>
  <c r="E15" i="15"/>
  <c r="F15" s="1"/>
  <c r="G15" s="1"/>
  <c r="D15" i="19" s="1"/>
  <c r="C15" i="16"/>
  <c r="D15" s="1"/>
  <c r="E15" i="19" s="1"/>
  <c r="D15" i="10"/>
  <c r="C14"/>
  <c r="AO27" i="18"/>
  <c r="AO31"/>
  <c r="AO35"/>
  <c r="AO39"/>
  <c r="AO43"/>
  <c r="AO30"/>
  <c r="AO34"/>
  <c r="AO38"/>
  <c r="AO42"/>
  <c r="AO32"/>
  <c r="AO40"/>
  <c r="AO33"/>
  <c r="AO44"/>
  <c r="AO29"/>
  <c r="AO41"/>
  <c r="AO37"/>
  <c r="AO36"/>
  <c r="AO28"/>
  <c r="DI12"/>
  <c r="DI16"/>
  <c r="DI21"/>
  <c r="DI25"/>
  <c r="DI29"/>
  <c r="DI33"/>
  <c r="DI37"/>
  <c r="DI41"/>
  <c r="DI15"/>
  <c r="DI20"/>
  <c r="DI24"/>
  <c r="DI28"/>
  <c r="DI32"/>
  <c r="DI36"/>
  <c r="DI40"/>
  <c r="DI44"/>
  <c r="DI13"/>
  <c r="DI22"/>
  <c r="DI30"/>
  <c r="DI38"/>
  <c r="DI19"/>
  <c r="DI31"/>
  <c r="DI42"/>
  <c r="DI18"/>
  <c r="DI27"/>
  <c r="DI14"/>
  <c r="DI35"/>
  <c r="DI34"/>
  <c r="DI39"/>
  <c r="DI26"/>
  <c r="DI23"/>
  <c r="DI43"/>
  <c r="L21" i="6"/>
  <c r="M21" s="1"/>
  <c r="BC21" i="58" s="1"/>
  <c r="L18" i="75"/>
  <c r="G7" i="215" s="1"/>
  <c r="H39" i="14"/>
  <c r="O39"/>
  <c r="K39"/>
  <c r="BV26" i="19"/>
  <c r="I12" i="219"/>
  <c r="X33" i="19"/>
  <c r="D19" i="219"/>
  <c r="B21"/>
  <c r="D35" i="19"/>
  <c r="D38" i="133" s="1"/>
  <c r="AG16" i="15"/>
  <c r="AH16" s="1"/>
  <c r="AI16" s="1"/>
  <c r="BV16" i="19" s="1"/>
  <c r="AT16" i="10"/>
  <c r="AS15"/>
  <c r="I41" i="217"/>
  <c r="I36"/>
  <c r="B66" i="19"/>
  <c r="B30" i="133"/>
  <c r="BT50" i="58"/>
  <c r="BT65"/>
  <c r="G21" i="26"/>
  <c r="G22" i="28"/>
  <c r="S36" i="70"/>
  <c r="D35"/>
  <c r="S38" i="75"/>
  <c r="E37"/>
  <c r="FY14" i="18"/>
  <c r="FY19"/>
  <c r="FY23"/>
  <c r="FY27"/>
  <c r="FY31"/>
  <c r="FY35"/>
  <c r="FY39"/>
  <c r="FY43"/>
  <c r="FY13"/>
  <c r="FY18"/>
  <c r="FY22"/>
  <c r="FY26"/>
  <c r="FY30"/>
  <c r="FY34"/>
  <c r="FY38"/>
  <c r="FY42"/>
  <c r="FY12"/>
  <c r="FY21"/>
  <c r="FY29"/>
  <c r="FY37"/>
  <c r="FY20"/>
  <c r="FY32"/>
  <c r="FY41"/>
  <c r="FY16"/>
  <c r="FY40"/>
  <c r="FY15"/>
  <c r="FY36"/>
  <c r="FY33"/>
  <c r="FY28"/>
  <c r="FY25"/>
  <c r="FY24"/>
  <c r="FY44"/>
  <c r="B37" i="212"/>
  <c r="B42"/>
  <c r="E13" i="210"/>
  <c r="AK27" i="19"/>
  <c r="P21"/>
  <c r="C7" i="221"/>
  <c r="BB21" i="19"/>
  <c r="G7" i="219"/>
  <c r="BB25" i="19"/>
  <c r="G11" i="219"/>
  <c r="BB29" i="19"/>
  <c r="G15" i="219"/>
  <c r="BB33" i="19"/>
  <c r="G19" i="219"/>
  <c r="BB36" i="19"/>
  <c r="G22" i="219"/>
  <c r="BB38" i="19"/>
  <c r="G24" i="219"/>
  <c r="F25" i="58"/>
  <c r="E27" i="124" s="1"/>
  <c r="B11" i="216"/>
  <c r="AR20" i="58"/>
  <c r="F6" i="213"/>
  <c r="N21" i="58"/>
  <c r="C7" i="213"/>
  <c r="CP21" i="58"/>
  <c r="K7" i="213"/>
  <c r="BL22" i="58"/>
  <c r="H8" i="213"/>
  <c r="X42" i="58"/>
  <c r="D28" i="213"/>
  <c r="CF42" i="58"/>
  <c r="J28" i="213"/>
  <c r="AQ24" i="64"/>
  <c r="AR24" s="1"/>
  <c r="AS24" s="1"/>
  <c r="L12" i="227"/>
  <c r="N31" i="19"/>
  <c r="C17" i="219"/>
  <c r="AH20" i="19"/>
  <c r="E6" i="219"/>
  <c r="BD41" i="19"/>
  <c r="G27" i="221"/>
  <c r="BD25" i="19"/>
  <c r="G11" i="221"/>
  <c r="BD40" i="19"/>
  <c r="G26" i="221"/>
  <c r="BD24" i="19"/>
  <c r="G10" i="221"/>
  <c r="CR45" i="19"/>
  <c r="K31" i="221"/>
  <c r="CR21" i="19"/>
  <c r="K7" i="221"/>
  <c r="CR36" i="19"/>
  <c r="K22" i="221"/>
  <c r="CR28" i="19"/>
  <c r="K14" i="221"/>
  <c r="N23" i="58"/>
  <c r="C9" i="213"/>
  <c r="CP23" i="58"/>
  <c r="K9" i="213"/>
  <c r="BL24" i="58"/>
  <c r="H10" i="213"/>
  <c r="AH25" i="58"/>
  <c r="E11" i="213"/>
  <c r="D26" i="58"/>
  <c r="D28" i="124" s="1"/>
  <c r="B12" i="213"/>
  <c r="CF26" i="58"/>
  <c r="J12" i="213"/>
  <c r="BB27" i="58"/>
  <c r="G13" i="213"/>
  <c r="X28" i="58"/>
  <c r="D14" i="213"/>
  <c r="CZ28" i="58"/>
  <c r="L14" i="213"/>
  <c r="BV29" i="58"/>
  <c r="I15" i="213"/>
  <c r="AR30" i="58"/>
  <c r="F16" i="213"/>
  <c r="N31" i="58"/>
  <c r="C17" i="213"/>
  <c r="CP31" i="58"/>
  <c r="K17" i="213"/>
  <c r="BL32" i="58"/>
  <c r="H18" i="213"/>
  <c r="AH33" i="58"/>
  <c r="E19" i="213"/>
  <c r="D34" i="58"/>
  <c r="D36" i="124" s="1"/>
  <c r="B20" i="213"/>
  <c r="BO44" i="19"/>
  <c r="H30" i="210"/>
  <c r="X41" i="19"/>
  <c r="D27" i="219"/>
  <c r="X25" i="19"/>
  <c r="D11" i="219"/>
  <c r="C44" i="232"/>
  <c r="C39"/>
  <c r="F39"/>
  <c r="F44"/>
  <c r="BL24" i="19"/>
  <c r="H10" i="219"/>
  <c r="BL31" i="19"/>
  <c r="H17" i="219"/>
  <c r="B30"/>
  <c r="D44" i="19"/>
  <c r="D47" i="133" s="1"/>
  <c r="B5" i="32"/>
  <c r="B7" i="33" s="1"/>
  <c r="B4" i="31"/>
  <c r="B4" i="32" s="1"/>
  <c r="B6" i="33" s="1"/>
  <c r="B42" i="226"/>
  <c r="B37"/>
  <c r="BL25" i="19"/>
  <c r="H11" i="219"/>
  <c r="B29"/>
  <c r="D43" i="19"/>
  <c r="D46" i="133" s="1"/>
  <c r="CF35" i="58"/>
  <c r="J21" i="213"/>
  <c r="X37" i="58"/>
  <c r="D23" i="213"/>
  <c r="BV38" i="58"/>
  <c r="I24" i="213"/>
  <c r="N40" i="58"/>
  <c r="C26" i="213"/>
  <c r="BL41" i="58"/>
  <c r="H27" i="213"/>
  <c r="I19" i="6"/>
  <c r="AI19" i="58" s="1"/>
  <c r="H9" i="6"/>
  <c r="X22" i="19"/>
  <c r="D8" i="219"/>
  <c r="AA9" i="2"/>
  <c r="O6" i="37" s="1"/>
  <c r="W9" i="2"/>
  <c r="M6" i="37" s="1"/>
  <c r="AD21" i="16"/>
  <c r="AE21" s="1"/>
  <c r="AF21" s="1"/>
  <c r="AC20"/>
  <c r="K39" i="210"/>
  <c r="K44"/>
  <c r="B67" i="58"/>
  <c r="B40" i="124"/>
  <c r="H40" s="1"/>
  <c r="B68" i="58"/>
  <c r="BT42" i="2"/>
  <c r="AN39" i="37" s="1"/>
  <c r="BN42" i="2"/>
  <c r="AK39" i="37" s="1"/>
  <c r="AX27" i="2"/>
  <c r="AB24" i="37" s="1"/>
  <c r="AZ27" i="2"/>
  <c r="AC24" i="37" s="1"/>
  <c r="BB27" i="2"/>
  <c r="AD24" i="37" s="1"/>
  <c r="B38" i="226"/>
  <c r="B43"/>
  <c r="B44"/>
  <c r="B39"/>
  <c r="BL23" i="19"/>
  <c r="H9" i="219"/>
  <c r="B17"/>
  <c r="D31" i="19"/>
  <c r="D34" i="133" s="1"/>
  <c r="S38" i="71"/>
  <c r="E37"/>
  <c r="N36" i="19"/>
  <c r="C22" i="219"/>
  <c r="G9" i="4"/>
  <c r="AL15" i="16"/>
  <c r="AM15" s="1"/>
  <c r="AN15" s="1"/>
  <c r="CQ15" i="19" s="1"/>
  <c r="AK14" i="16"/>
  <c r="AN16" i="10"/>
  <c r="AC16" i="15"/>
  <c r="AD16" s="1"/>
  <c r="AE16" s="1"/>
  <c r="BL16" i="19" s="1"/>
  <c r="AM15" i="10"/>
  <c r="L36" i="217"/>
  <c r="L41"/>
  <c r="D40" i="124"/>
  <c r="D68" i="58"/>
  <c r="H44" i="213"/>
  <c r="H39"/>
  <c r="L43" i="223"/>
  <c r="L38"/>
  <c r="L39"/>
  <c r="L44"/>
  <c r="AH26" i="19"/>
  <c r="E12" i="219"/>
  <c r="B13"/>
  <c r="D27" i="19"/>
  <c r="E8" i="220"/>
  <c r="AI22" i="19"/>
  <c r="L13" i="219"/>
  <c r="CZ27" i="19"/>
  <c r="G13" i="210"/>
  <c r="BE27" i="19"/>
  <c r="I38" i="217"/>
  <c r="I43"/>
  <c r="I39"/>
  <c r="I44"/>
  <c r="F9" i="4"/>
  <c r="C36" i="212"/>
  <c r="C41"/>
  <c r="K36"/>
  <c r="K41"/>
  <c r="L4" i="31"/>
  <c r="L4" i="32" s="1"/>
  <c r="V6" i="33" s="1"/>
  <c r="L5" i="32"/>
  <c r="V7" i="33" s="1"/>
  <c r="C41" i="214"/>
  <c r="C36"/>
  <c r="K38" i="212"/>
  <c r="K43"/>
  <c r="K39"/>
  <c r="K44"/>
  <c r="E50" i="16"/>
  <c r="F19"/>
  <c r="E17"/>
  <c r="T38" i="15"/>
  <c r="V38" s="1"/>
  <c r="W38" s="1"/>
  <c r="F35" i="12"/>
  <c r="T10" i="6"/>
  <c r="U9"/>
  <c r="CQ9" i="58" s="1"/>
  <c r="K21" i="26"/>
  <c r="K22" i="28"/>
  <c r="BC10" i="18"/>
  <c r="BD10" s="1"/>
  <c r="BA10"/>
  <c r="BB10" s="1"/>
  <c r="BK10"/>
  <c r="BL10" s="1"/>
  <c r="BN10" s="1"/>
  <c r="BP10" s="1"/>
  <c r="BQ10" s="1"/>
  <c r="AJ11" i="19" s="1"/>
  <c r="E43" i="227"/>
  <c r="E38"/>
  <c r="CQ22" i="19"/>
  <c r="K8" i="220"/>
  <c r="P23" i="19"/>
  <c r="C9" i="221"/>
  <c r="AH21" i="19"/>
  <c r="E7" i="219"/>
  <c r="AH23" i="19"/>
  <c r="E9" i="219"/>
  <c r="AH25" i="19"/>
  <c r="E11" i="219"/>
  <c r="AH27" i="19"/>
  <c r="E13" i="219"/>
  <c r="AH29" i="19"/>
  <c r="E15" i="219"/>
  <c r="AH31" i="19"/>
  <c r="E17" i="219"/>
  <c r="AH33" i="19"/>
  <c r="E19" i="219"/>
  <c r="AH35" i="19"/>
  <c r="E21" i="219"/>
  <c r="AH36" i="19"/>
  <c r="E22" i="219"/>
  <c r="AH38" i="19"/>
  <c r="E24" i="219"/>
  <c r="AH41" i="19"/>
  <c r="E27" i="219"/>
  <c r="F30" i="58"/>
  <c r="E32" i="124" s="1"/>
  <c r="B16" i="216"/>
  <c r="AH20" i="58"/>
  <c r="E6" i="213"/>
  <c r="BV20" i="58"/>
  <c r="I6" i="213"/>
  <c r="D21" i="58"/>
  <c r="D23" i="124" s="1"/>
  <c r="B7" i="213"/>
  <c r="AR21" i="58"/>
  <c r="F7" i="213"/>
  <c r="CF21" i="58"/>
  <c r="J7" i="213"/>
  <c r="N22" i="58"/>
  <c r="C8" i="213"/>
  <c r="BB22" i="58"/>
  <c r="G8" i="213"/>
  <c r="BB42" i="58"/>
  <c r="G28" i="213"/>
  <c r="AI24" i="64"/>
  <c r="AJ24" s="1"/>
  <c r="AK24" s="1"/>
  <c r="J12" i="227"/>
  <c r="B11"/>
  <c r="I9" i="161"/>
  <c r="S24" i="64"/>
  <c r="T24" s="1"/>
  <c r="U24" s="1"/>
  <c r="F12" i="227"/>
  <c r="N27" i="19"/>
  <c r="C13" i="219"/>
  <c r="CP20" i="19"/>
  <c r="K6" i="219"/>
  <c r="F27" i="58"/>
  <c r="E29" i="124" s="1"/>
  <c r="B13" i="216"/>
  <c r="BD35" i="19"/>
  <c r="G21" i="221"/>
  <c r="BD34" i="19"/>
  <c r="G20" i="221"/>
  <c r="CR30" i="19"/>
  <c r="K16" i="221"/>
  <c r="I42" i="3"/>
  <c r="C28" i="211"/>
  <c r="E44" i="3"/>
  <c r="B30" i="211"/>
  <c r="AG49" i="34"/>
  <c r="F5" i="233"/>
  <c r="L49" i="34"/>
  <c r="C5" i="233"/>
  <c r="BP49" i="34"/>
  <c r="K5" i="233"/>
  <c r="G27" i="19"/>
  <c r="B13" i="210"/>
  <c r="B43" s="1"/>
  <c r="CP42" i="58"/>
  <c r="K28" i="213"/>
  <c r="D23" i="58"/>
  <c r="D25" i="124" s="1"/>
  <c r="B9" i="213"/>
  <c r="AR23" i="58"/>
  <c r="F9" i="213"/>
  <c r="CF23" i="58"/>
  <c r="J9" i="213"/>
  <c r="N24" i="58"/>
  <c r="C10" i="213"/>
  <c r="BB24" i="58"/>
  <c r="G10" i="213"/>
  <c r="CP24" i="58"/>
  <c r="K10" i="213"/>
  <c r="X25" i="58"/>
  <c r="D11" i="213"/>
  <c r="BL25" i="58"/>
  <c r="H11" i="213"/>
  <c r="CZ25" i="58"/>
  <c r="L11" i="213"/>
  <c r="AH26" i="58"/>
  <c r="E12" i="213"/>
  <c r="BV26" i="58"/>
  <c r="I12" i="213"/>
  <c r="D27" i="58"/>
  <c r="B13" i="213"/>
  <c r="B43" s="1"/>
  <c r="AR27" i="58"/>
  <c r="F13" i="213"/>
  <c r="CF27" i="58"/>
  <c r="J13" i="213"/>
  <c r="N28" i="58"/>
  <c r="C14" i="213"/>
  <c r="BB28" i="58"/>
  <c r="G14" i="213"/>
  <c r="CP28" i="58"/>
  <c r="K14" i="213"/>
  <c r="X29" i="58"/>
  <c r="D15" i="213"/>
  <c r="BL29" i="58"/>
  <c r="H15" i="213"/>
  <c r="CZ29" i="58"/>
  <c r="L15" i="213"/>
  <c r="AH30" i="58"/>
  <c r="E16" i="213"/>
  <c r="BV30" i="58"/>
  <c r="I16" i="213"/>
  <c r="D31" i="58"/>
  <c r="D33" i="124" s="1"/>
  <c r="B17" i="213"/>
  <c r="AR31" i="58"/>
  <c r="F17" i="213"/>
  <c r="CF31" i="58"/>
  <c r="J17" i="213"/>
  <c r="N32" i="58"/>
  <c r="C18" i="213"/>
  <c r="BB32" i="58"/>
  <c r="G18" i="213"/>
  <c r="CP32" i="58"/>
  <c r="K18" i="213"/>
  <c r="X33" i="58"/>
  <c r="D19" i="213"/>
  <c r="BL33" i="58"/>
  <c r="H19" i="213"/>
  <c r="CZ33" i="58"/>
  <c r="L19" i="213"/>
  <c r="AH34" i="58"/>
  <c r="E20" i="213"/>
  <c r="Q44" i="19"/>
  <c r="C30" i="210"/>
  <c r="BE44" i="19"/>
  <c r="G30" i="210"/>
  <c r="DC44" i="19"/>
  <c r="L30" i="210"/>
  <c r="X38" i="19"/>
  <c r="D24" i="219"/>
  <c r="B36" i="211"/>
  <c r="B41"/>
  <c r="L36"/>
  <c r="L41"/>
  <c r="G36"/>
  <c r="G41"/>
  <c r="E44" i="232"/>
  <c r="E39"/>
  <c r="B44"/>
  <c r="B39"/>
  <c r="X34" i="19"/>
  <c r="D20" i="219"/>
  <c r="K41" i="220"/>
  <c r="K36"/>
  <c r="D44" i="232"/>
  <c r="D39"/>
  <c r="K44"/>
  <c r="K39"/>
  <c r="DY11" i="18"/>
  <c r="DZ11" s="1"/>
  <c r="DW11"/>
  <c r="DX11" s="1"/>
  <c r="DS11"/>
  <c r="DT11" s="1"/>
  <c r="DQ11"/>
  <c r="DR11" s="1"/>
  <c r="EA11"/>
  <c r="EB11" s="1"/>
  <c r="X24" i="19"/>
  <c r="D10" i="219"/>
  <c r="AH28" i="19"/>
  <c r="E14" i="219"/>
  <c r="CZ30" i="19"/>
  <c r="L16" i="219"/>
  <c r="F5" i="32"/>
  <c r="J7" i="33" s="1"/>
  <c r="F4" i="31"/>
  <c r="F4" i="32" s="1"/>
  <c r="J6" i="33" s="1"/>
  <c r="J44" i="213"/>
  <c r="J39"/>
  <c r="H41" i="223"/>
  <c r="H36"/>
  <c r="E43" i="210"/>
  <c r="E38"/>
  <c r="K41" i="217"/>
  <c r="K36"/>
  <c r="L37" i="211"/>
  <c r="L42"/>
  <c r="C43"/>
  <c r="C38"/>
  <c r="C44"/>
  <c r="C39"/>
  <c r="K43"/>
  <c r="K38"/>
  <c r="K39"/>
  <c r="K44"/>
  <c r="H41" i="226"/>
  <c r="H36"/>
  <c r="F36" i="223"/>
  <c r="F41"/>
  <c r="E35" i="80"/>
  <c r="S36"/>
  <c r="AH22" i="19"/>
  <c r="E8" i="219"/>
  <c r="CP24" i="19"/>
  <c r="K10" i="219"/>
  <c r="AH32" i="19"/>
  <c r="E18" i="219"/>
  <c r="B25"/>
  <c r="D39" i="19"/>
  <c r="D42" i="133" s="1"/>
  <c r="K20" i="213"/>
  <c r="CP34" i="58"/>
  <c r="H21" i="213"/>
  <c r="BL35" i="58"/>
  <c r="E22" i="213"/>
  <c r="AH36" i="58"/>
  <c r="B23" i="213"/>
  <c r="D37" i="58"/>
  <c r="D39" i="124" s="1"/>
  <c r="J23" i="213"/>
  <c r="CF37" i="58"/>
  <c r="G24" i="213"/>
  <c r="BB38" i="58"/>
  <c r="D25" i="213"/>
  <c r="X39" i="58"/>
  <c r="L25" i="213"/>
  <c r="CZ39" i="58"/>
  <c r="I26" i="213"/>
  <c r="BV40" i="58"/>
  <c r="F27" i="213"/>
  <c r="AR41" i="58"/>
  <c r="C31" i="213"/>
  <c r="N45" i="58"/>
  <c r="G17" i="75"/>
  <c r="F18"/>
  <c r="F22" i="26"/>
  <c r="F23" i="28"/>
  <c r="H43" i="226"/>
  <c r="H38"/>
  <c r="H39"/>
  <c r="H44"/>
  <c r="G36" i="223"/>
  <c r="G41"/>
  <c r="C42" i="211"/>
  <c r="C37"/>
  <c r="K42"/>
  <c r="K37"/>
  <c r="B38"/>
  <c r="B43"/>
  <c r="B44"/>
  <c r="B39"/>
  <c r="J38"/>
  <c r="J43"/>
  <c r="J39"/>
  <c r="J44"/>
  <c r="E43" i="212"/>
  <c r="E38"/>
  <c r="E44"/>
  <c r="E39"/>
  <c r="J41" i="223"/>
  <c r="J36"/>
  <c r="BL27" i="19"/>
  <c r="H13" i="219"/>
  <c r="CC20" i="2"/>
  <c r="AS17" i="37" s="1"/>
  <c r="CA20" i="2"/>
  <c r="AR17" i="37" s="1"/>
  <c r="V46" i="2"/>
  <c r="AB45"/>
  <c r="I38" i="220"/>
  <c r="I43"/>
  <c r="BF27" i="18"/>
  <c r="BF31"/>
  <c r="BF35"/>
  <c r="BF39"/>
  <c r="BF43"/>
  <c r="BF30"/>
  <c r="BF34"/>
  <c r="BF38"/>
  <c r="BF42"/>
  <c r="BF28"/>
  <c r="BF36"/>
  <c r="BF44"/>
  <c r="BF33"/>
  <c r="BF41"/>
  <c r="BF29"/>
  <c r="BF40"/>
  <c r="BF32"/>
  <c r="BF37"/>
  <c r="F15" i="219"/>
  <c r="AR29" i="19"/>
  <c r="V67" i="58"/>
  <c r="V68"/>
  <c r="S36" i="76"/>
  <c r="E35"/>
  <c r="AO17" i="2"/>
  <c r="W14" i="37" s="1"/>
  <c r="AQ17" i="2"/>
  <c r="X14" i="37" s="1"/>
  <c r="CH23" i="2"/>
  <c r="AV20" i="37" s="1"/>
  <c r="CJ23" i="2"/>
  <c r="AW20" i="37" s="1"/>
  <c r="I34" i="2"/>
  <c r="E31" i="37" s="1"/>
  <c r="G34" i="2"/>
  <c r="D31" i="37" s="1"/>
  <c r="BK40" i="2"/>
  <c r="AI37" i="37" s="1"/>
  <c r="BG40" i="2"/>
  <c r="AG37" i="37" s="1"/>
  <c r="BI40" i="2"/>
  <c r="AH37" i="37" s="1"/>
  <c r="AH41" i="2"/>
  <c r="S38" i="37" s="1"/>
  <c r="AJ41" i="2"/>
  <c r="T38" i="37" s="1"/>
  <c r="AF41" i="2"/>
  <c r="R38" i="37" s="1"/>
  <c r="CS44" i="2"/>
  <c r="BB41" i="37" s="1"/>
  <c r="CQ44" i="2"/>
  <c r="BA41" i="37" s="1"/>
  <c r="D43" i="233"/>
  <c r="D38"/>
  <c r="D39"/>
  <c r="D44"/>
  <c r="L43" i="224"/>
  <c r="L38"/>
  <c r="L44"/>
  <c r="L39"/>
  <c r="X23" i="19"/>
  <c r="D9" i="219"/>
  <c r="EO14" i="18"/>
  <c r="EU14" s="1"/>
  <c r="EW14" s="1"/>
  <c r="EX14" s="1"/>
  <c r="CH15" i="19" s="1"/>
  <c r="EO19" i="18"/>
  <c r="EO23"/>
  <c r="EO27"/>
  <c r="EU27" s="1"/>
  <c r="EW27" s="1"/>
  <c r="EX27" s="1"/>
  <c r="EO31"/>
  <c r="EO35"/>
  <c r="EO39"/>
  <c r="EO43"/>
  <c r="EO13"/>
  <c r="EU13" s="1"/>
  <c r="EW13" s="1"/>
  <c r="EX13" s="1"/>
  <c r="CH14" i="19" s="1"/>
  <c r="EO18" i="18"/>
  <c r="EO22"/>
  <c r="EO26"/>
  <c r="EO30"/>
  <c r="EO34"/>
  <c r="EO38"/>
  <c r="EO42"/>
  <c r="EU42" s="1"/>
  <c r="EW42" s="1"/>
  <c r="EX42" s="1"/>
  <c r="EO12"/>
  <c r="EU12" s="1"/>
  <c r="EW12" s="1"/>
  <c r="EX12" s="1"/>
  <c r="CH13" i="19" s="1"/>
  <c r="EO21" i="18"/>
  <c r="EO29"/>
  <c r="EO37"/>
  <c r="EU37" s="1"/>
  <c r="EW37" s="1"/>
  <c r="EX37" s="1"/>
  <c r="EO16"/>
  <c r="EU16" s="1"/>
  <c r="EW16" s="1"/>
  <c r="EX16" s="1"/>
  <c r="CH17" i="19" s="1"/>
  <c r="EO28" i="18"/>
  <c r="EO40"/>
  <c r="EO15"/>
  <c r="EU15" s="1"/>
  <c r="EW15" s="1"/>
  <c r="EX15" s="1"/>
  <c r="CH16" i="19" s="1"/>
  <c r="EO25" i="18"/>
  <c r="EU25" s="1"/>
  <c r="EW25" s="1"/>
  <c r="EX25" s="1"/>
  <c r="EO24"/>
  <c r="EO33"/>
  <c r="EO32"/>
  <c r="EU32" s="1"/>
  <c r="EW32" s="1"/>
  <c r="EX32" s="1"/>
  <c r="EO36"/>
  <c r="EU36" s="1"/>
  <c r="EW36" s="1"/>
  <c r="EX36" s="1"/>
  <c r="EO44"/>
  <c r="EO20"/>
  <c r="EO41"/>
  <c r="EU41" s="1"/>
  <c r="EW41" s="1"/>
  <c r="EX41" s="1"/>
  <c r="DE29"/>
  <c r="DE33"/>
  <c r="DE37"/>
  <c r="DE41"/>
  <c r="DE28"/>
  <c r="DE32"/>
  <c r="DE36"/>
  <c r="DE40"/>
  <c r="DE44"/>
  <c r="DE30"/>
  <c r="DE38"/>
  <c r="DE31"/>
  <c r="DE42"/>
  <c r="DE27"/>
  <c r="DE39"/>
  <c r="DE35"/>
  <c r="DE43"/>
  <c r="DE34"/>
  <c r="L20" i="26"/>
  <c r="L21" i="28"/>
  <c r="B9" i="219"/>
  <c r="D23" i="19"/>
  <c r="D26" i="133" s="1"/>
  <c r="Z21" i="16"/>
  <c r="AA21" s="1"/>
  <c r="AB21" s="1"/>
  <c r="Y20"/>
  <c r="H39" i="15"/>
  <c r="J39" s="1"/>
  <c r="K39" s="1"/>
  <c r="C36" i="12"/>
  <c r="G67" i="19"/>
  <c r="W9" i="6"/>
  <c r="DA9" i="58" s="1"/>
  <c r="V10" i="6"/>
  <c r="E43" i="211"/>
  <c r="E38"/>
  <c r="E44"/>
  <c r="E39"/>
  <c r="L43" i="217"/>
  <c r="L38"/>
  <c r="L44"/>
  <c r="L39"/>
  <c r="D20" i="28"/>
  <c r="D19" i="26"/>
  <c r="CS10" i="18"/>
  <c r="CT10" s="1"/>
  <c r="CO10"/>
  <c r="CP10" s="1"/>
  <c r="CI10"/>
  <c r="CJ10" s="1"/>
  <c r="CV10" s="1"/>
  <c r="CX10" s="1"/>
  <c r="CY10" s="1"/>
  <c r="BD11" i="19" s="1"/>
  <c r="AQ14" i="18"/>
  <c r="AQ19"/>
  <c r="AQ23"/>
  <c r="AQ27"/>
  <c r="AQ31"/>
  <c r="AQ35"/>
  <c r="AQ39"/>
  <c r="AQ43"/>
  <c r="AQ13"/>
  <c r="AQ18"/>
  <c r="AQ22"/>
  <c r="AQ26"/>
  <c r="AQ30"/>
  <c r="AQ34"/>
  <c r="AQ38"/>
  <c r="AQ42"/>
  <c r="AQ15"/>
  <c r="AQ24"/>
  <c r="AQ32"/>
  <c r="AQ40"/>
  <c r="AQ21"/>
  <c r="AQ33"/>
  <c r="AQ44"/>
  <c r="AQ20"/>
  <c r="AQ41"/>
  <c r="AQ28"/>
  <c r="AQ25"/>
  <c r="AQ29"/>
  <c r="AQ16"/>
  <c r="AQ37"/>
  <c r="AQ12"/>
  <c r="AQ36"/>
  <c r="F9" i="219"/>
  <c r="AR23" i="19"/>
  <c r="J26" i="6"/>
  <c r="K26" s="1"/>
  <c r="AS26" i="58" s="1"/>
  <c r="L23" i="74"/>
  <c r="F12" i="215" s="1"/>
  <c r="BB32" i="19"/>
  <c r="G18" i="219"/>
  <c r="CF35" i="19"/>
  <c r="J21" i="219"/>
  <c r="BY15" i="18"/>
  <c r="BY20"/>
  <c r="BY24"/>
  <c r="CE24" s="1"/>
  <c r="CG24" s="1"/>
  <c r="CH24" s="1"/>
  <c r="BY28"/>
  <c r="CE28" s="1"/>
  <c r="CG28" s="1"/>
  <c r="CH28" s="1"/>
  <c r="BY32"/>
  <c r="BY36"/>
  <c r="BY40"/>
  <c r="CE40" s="1"/>
  <c r="CG40" s="1"/>
  <c r="CH40" s="1"/>
  <c r="BY44"/>
  <c r="BY14"/>
  <c r="BY19"/>
  <c r="BY23"/>
  <c r="CE23" s="1"/>
  <c r="CG23" s="1"/>
  <c r="CH23" s="1"/>
  <c r="BY27"/>
  <c r="CE27" s="1"/>
  <c r="CG27" s="1"/>
  <c r="CH27" s="1"/>
  <c r="BY31"/>
  <c r="BY35"/>
  <c r="BY39"/>
  <c r="BY43"/>
  <c r="BY12"/>
  <c r="BY21"/>
  <c r="BY29"/>
  <c r="CE29" s="1"/>
  <c r="CG29" s="1"/>
  <c r="CH29" s="1"/>
  <c r="BY37"/>
  <c r="BY16"/>
  <c r="BY26"/>
  <c r="BY38"/>
  <c r="BY13"/>
  <c r="CE13" s="1"/>
  <c r="CG13" s="1"/>
  <c r="CH13" s="1"/>
  <c r="AT14" i="19" s="1"/>
  <c r="BY25" i="18"/>
  <c r="BY33"/>
  <c r="BY30"/>
  <c r="CE30" s="1"/>
  <c r="CG30" s="1"/>
  <c r="CH30" s="1"/>
  <c r="BY41"/>
  <c r="CE41" s="1"/>
  <c r="CG41" s="1"/>
  <c r="CH41" s="1"/>
  <c r="BY34"/>
  <c r="BY22"/>
  <c r="BY42"/>
  <c r="BY18"/>
  <c r="BY49" s="1"/>
  <c r="M20" i="16"/>
  <c r="N21"/>
  <c r="O21" s="1"/>
  <c r="P21" s="1"/>
  <c r="DA21" i="19"/>
  <c r="L7" i="220"/>
  <c r="J13" i="219"/>
  <c r="CF27" i="19"/>
  <c r="G38" i="227"/>
  <c r="G43"/>
  <c r="BL16" i="10"/>
  <c r="AS16" i="15"/>
  <c r="AT16" s="1"/>
  <c r="AU16" s="1"/>
  <c r="CZ16" i="19" s="1"/>
  <c r="BK15" i="10"/>
  <c r="BT67" i="19"/>
  <c r="BT68"/>
  <c r="L10" i="6"/>
  <c r="M9"/>
  <c r="BC9" i="58" s="1"/>
  <c r="C36" i="5"/>
  <c r="F35"/>
  <c r="H35" s="1"/>
  <c r="E37" i="211"/>
  <c r="E42"/>
  <c r="D43"/>
  <c r="D38"/>
  <c r="D44"/>
  <c r="D39"/>
  <c r="L43"/>
  <c r="L38"/>
  <c r="L44"/>
  <c r="L39"/>
  <c r="L50" i="58"/>
  <c r="L56"/>
  <c r="L65"/>
  <c r="AZ50"/>
  <c r="AZ65"/>
  <c r="CN50"/>
  <c r="CN65"/>
  <c r="C42" i="212"/>
  <c r="C37"/>
  <c r="S36" i="72"/>
  <c r="E35"/>
  <c r="J21" i="16"/>
  <c r="K21" s="1"/>
  <c r="L21" s="1"/>
  <c r="I20"/>
  <c r="H20" i="28"/>
  <c r="H19" i="26"/>
  <c r="L43" i="212"/>
  <c r="L38"/>
  <c r="L44"/>
  <c r="L39"/>
  <c r="E36" i="223"/>
  <c r="E41"/>
  <c r="R21" i="16"/>
  <c r="S21" s="1"/>
  <c r="T21" s="1"/>
  <c r="Q20"/>
  <c r="FA10" i="18"/>
  <c r="FB10" s="1"/>
  <c r="FE10"/>
  <c r="FF10" s="1"/>
  <c r="EY10"/>
  <c r="EZ10" s="1"/>
  <c r="FL10" s="1"/>
  <c r="FN10" s="1"/>
  <c r="FO10" s="1"/>
  <c r="CR11" i="19" s="1"/>
  <c r="FI10" i="18"/>
  <c r="FJ10" s="1"/>
  <c r="K13" i="210"/>
  <c r="K43" s="1"/>
  <c r="CS27" i="19"/>
  <c r="BP27" i="29"/>
  <c r="BQ27" s="1"/>
  <c r="K13" i="224"/>
  <c r="ED15" i="18"/>
  <c r="EF15" s="1"/>
  <c r="EG15" s="1"/>
  <c r="BX16" i="19" s="1"/>
  <c r="ED23" i="18"/>
  <c r="EF23" s="1"/>
  <c r="EG23" s="1"/>
  <c r="CE38"/>
  <c r="CG38" s="1"/>
  <c r="CH38" s="1"/>
  <c r="CE12"/>
  <c r="CG12" s="1"/>
  <c r="CH12" s="1"/>
  <c r="AT13" i="19" s="1"/>
  <c r="EU34" i="18"/>
  <c r="EW34" s="1"/>
  <c r="EX34" s="1"/>
  <c r="EU33"/>
  <c r="EW33" s="1"/>
  <c r="EX33" s="1"/>
  <c r="J43" i="217"/>
  <c r="BE30" i="2"/>
  <c r="AF27" i="37" s="1"/>
  <c r="C42" i="226"/>
  <c r="BT66" i="58"/>
  <c r="G29" i="78"/>
  <c r="C37" i="18"/>
  <c r="C21"/>
  <c r="C32"/>
  <c r="O32" s="1"/>
  <c r="Q32" s="1"/>
  <c r="R32" s="1"/>
  <c r="C24"/>
  <c r="O24" s="1"/>
  <c r="Q24" s="1"/>
  <c r="R24" s="1"/>
  <c r="AF27"/>
  <c r="AH27" s="1"/>
  <c r="AI27" s="1"/>
  <c r="L39" i="14"/>
  <c r="X39" i="15" s="1"/>
  <c r="Z39" s="1"/>
  <c r="AA39" s="1"/>
  <c r="L40" i="14"/>
  <c r="X40" i="15" s="1"/>
  <c r="Z40" s="1"/>
  <c r="AA40" s="1"/>
  <c r="AD27" i="5"/>
  <c r="AD17" i="15"/>
  <c r="AE17" s="1"/>
  <c r="BL17" i="19" s="1"/>
  <c r="AX29" i="2"/>
  <c r="AB26" i="37" s="1"/>
  <c r="P34" i="2"/>
  <c r="I31" i="37" s="1"/>
  <c r="CE32" i="18"/>
  <c r="CG32" s="1"/>
  <c r="CH32" s="1"/>
  <c r="CE15"/>
  <c r="CG15" s="1"/>
  <c r="CH15" s="1"/>
  <c r="AT16" i="19" s="1"/>
  <c r="CE31" i="18"/>
  <c r="CG31" s="1"/>
  <c r="CH31" s="1"/>
  <c r="CE14"/>
  <c r="CG14" s="1"/>
  <c r="CH14" s="1"/>
  <c r="AT15" i="19" s="1"/>
  <c r="EU20" i="18"/>
  <c r="EW20" s="1"/>
  <c r="EX20" s="1"/>
  <c r="EU35"/>
  <c r="EW35" s="1"/>
  <c r="EX35" s="1"/>
  <c r="FG9"/>
  <c r="FH9" s="1"/>
  <c r="BI30" i="2"/>
  <c r="AH27" i="37" s="1"/>
  <c r="C45" i="18"/>
  <c r="O45" s="1"/>
  <c r="Q45" s="1"/>
  <c r="DX47"/>
  <c r="DX49" s="1"/>
  <c r="DI47"/>
  <c r="DI49" s="1"/>
  <c r="L37" i="223"/>
  <c r="K42"/>
  <c r="CF67" i="58"/>
  <c r="BX26" i="29"/>
  <c r="C39" i="18"/>
  <c r="C31"/>
  <c r="C23"/>
  <c r="C42"/>
  <c r="C34"/>
  <c r="C26"/>
  <c r="AF37"/>
  <c r="AH37" s="1"/>
  <c r="AI37" s="1"/>
  <c r="AF29"/>
  <c r="AH29" s="1"/>
  <c r="AI29" s="1"/>
  <c r="AF21"/>
  <c r="AH21" s="1"/>
  <c r="AI21" s="1"/>
  <c r="AF38"/>
  <c r="AH38" s="1"/>
  <c r="AI38" s="1"/>
  <c r="AF30"/>
  <c r="AH30" s="1"/>
  <c r="AI30" s="1"/>
  <c r="J39" i="14"/>
  <c r="P39" i="15" s="1"/>
  <c r="R39" s="1"/>
  <c r="S39" s="1"/>
  <c r="G28" i="80"/>
  <c r="F31" i="29"/>
  <c r="M42" i="18"/>
  <c r="M34"/>
  <c r="M26"/>
  <c r="M18"/>
  <c r="M37"/>
  <c r="M29"/>
  <c r="M21"/>
  <c r="L23" i="5"/>
  <c r="F44" i="29"/>
  <c r="B6" i="32"/>
  <c r="B8" i="33" s="1"/>
  <c r="X23" i="5"/>
  <c r="AB27"/>
  <c r="R13" i="2"/>
  <c r="J10" i="37" s="1"/>
  <c r="AD23" i="5"/>
  <c r="D8" i="73"/>
  <c r="AL16" i="7"/>
  <c r="N42" i="58"/>
  <c r="L15" i="14"/>
  <c r="X15" i="15" s="1"/>
  <c r="Z15" s="1"/>
  <c r="AA15" s="1"/>
  <c r="BB15" i="19" s="1"/>
  <c r="F19" i="15"/>
  <c r="F50" s="1"/>
  <c r="L32" i="41"/>
  <c r="L33" s="1"/>
  <c r="L34" s="1"/>
  <c r="N21" i="2"/>
  <c r="H18" i="37" s="1"/>
  <c r="BG30" i="2"/>
  <c r="AG27" i="37" s="1"/>
  <c r="L13" i="2"/>
  <c r="G10" i="37" s="1"/>
  <c r="R21" i="2"/>
  <c r="J18" i="37" s="1"/>
  <c r="N30" i="2"/>
  <c r="H27" i="37" s="1"/>
  <c r="L34" i="2"/>
  <c r="G31" i="37" s="1"/>
  <c r="Y11" i="2"/>
  <c r="N8" i="37" s="1"/>
  <c r="Y36" i="2"/>
  <c r="N33" i="37" s="1"/>
  <c r="P45" i="2"/>
  <c r="I42" i="37" s="1"/>
  <c r="G28" i="71"/>
  <c r="BB40" i="18"/>
  <c r="BB32"/>
  <c r="BB24"/>
  <c r="BB15"/>
  <c r="BB39"/>
  <c r="BB31"/>
  <c r="BB23"/>
  <c r="BB14"/>
  <c r="CV42"/>
  <c r="CX42" s="1"/>
  <c r="CY42" s="1"/>
  <c r="CV26"/>
  <c r="CX26" s="1"/>
  <c r="CY26" s="1"/>
  <c r="CV41"/>
  <c r="CX41" s="1"/>
  <c r="CY41" s="1"/>
  <c r="CV25"/>
  <c r="CX25" s="1"/>
  <c r="CY25" s="1"/>
  <c r="ED20"/>
  <c r="EF20" s="1"/>
  <c r="EG20" s="1"/>
  <c r="ED19"/>
  <c r="EF19" s="1"/>
  <c r="EG19" s="1"/>
  <c r="FL38"/>
  <c r="FN38" s="1"/>
  <c r="FO38" s="1"/>
  <c r="FL30"/>
  <c r="FN30" s="1"/>
  <c r="FO30" s="1"/>
  <c r="FL22"/>
  <c r="FN22" s="1"/>
  <c r="FO22" s="1"/>
  <c r="FL13"/>
  <c r="FN13" s="1"/>
  <c r="FO13" s="1"/>
  <c r="CR14" i="19" s="1"/>
  <c r="FL37" i="18"/>
  <c r="FN37" s="1"/>
  <c r="FO37" s="1"/>
  <c r="FL21"/>
  <c r="FN21" s="1"/>
  <c r="FO21" s="1"/>
  <c r="AK40"/>
  <c r="AK32"/>
  <c r="AK24"/>
  <c r="AK15"/>
  <c r="AK39"/>
  <c r="AK31"/>
  <c r="AK23"/>
  <c r="AK14"/>
  <c r="CE42"/>
  <c r="CG42" s="1"/>
  <c r="CH42" s="1"/>
  <c r="CE34"/>
  <c r="CG34" s="1"/>
  <c r="CH34" s="1"/>
  <c r="CE26"/>
  <c r="CG26" s="1"/>
  <c r="CH26" s="1"/>
  <c r="CE33"/>
  <c r="CG33" s="1"/>
  <c r="CH33" s="1"/>
  <c r="CE25"/>
  <c r="CG25" s="1"/>
  <c r="CH25" s="1"/>
  <c r="CE16"/>
  <c r="CG16" s="1"/>
  <c r="CH16" s="1"/>
  <c r="AT17" i="19" s="1"/>
  <c r="EU38" i="18"/>
  <c r="EW38" s="1"/>
  <c r="EX38" s="1"/>
  <c r="EU30"/>
  <c r="EW30" s="1"/>
  <c r="EX30" s="1"/>
  <c r="EU22"/>
  <c r="EW22" s="1"/>
  <c r="EX22" s="1"/>
  <c r="EU29"/>
  <c r="EW29" s="1"/>
  <c r="EX29" s="1"/>
  <c r="EU21"/>
  <c r="EW21" s="1"/>
  <c r="EX21" s="1"/>
  <c r="Y8"/>
  <c r="Z8" s="1"/>
  <c r="EY9"/>
  <c r="EZ9" s="1"/>
  <c r="CO9"/>
  <c r="CP9" s="1"/>
  <c r="CA41" i="2"/>
  <c r="AR38" i="37" s="1"/>
  <c r="BW33" i="2"/>
  <c r="AP30" i="37" s="1"/>
  <c r="CC33" i="2"/>
  <c r="AS30" i="37" s="1"/>
  <c r="BY41" i="2"/>
  <c r="AQ38" i="37" s="1"/>
  <c r="Q39" i="14"/>
  <c r="AR39" i="15" s="1"/>
  <c r="AT39" s="1"/>
  <c r="AU39" s="1"/>
  <c r="DX45" i="18"/>
  <c r="FU45"/>
  <c r="AZ29" i="2"/>
  <c r="AC26" i="37" s="1"/>
  <c r="AF46" i="18"/>
  <c r="AH46" s="1"/>
  <c r="AI46" s="1"/>
  <c r="BB46"/>
  <c r="BN46" s="1"/>
  <c r="BP46" s="1"/>
  <c r="BQ46" s="1"/>
  <c r="CV46"/>
  <c r="CX46" s="1"/>
  <c r="CY46" s="1"/>
  <c r="FL46"/>
  <c r="FN46" s="1"/>
  <c r="FO46" s="1"/>
  <c r="FY47"/>
  <c r="DX46"/>
  <c r="ED46" s="1"/>
  <c r="EF46" s="1"/>
  <c r="EG46" s="1"/>
  <c r="DI46"/>
  <c r="DM46" s="1"/>
  <c r="DO46" s="1"/>
  <c r="DP46" s="1"/>
  <c r="AO46"/>
  <c r="AW46" s="1"/>
  <c r="AY46" s="1"/>
  <c r="AZ46" s="1"/>
  <c r="J37" i="226"/>
  <c r="D42" i="223"/>
  <c r="L42"/>
  <c r="K37" i="217"/>
  <c r="K42" i="212"/>
  <c r="K37" i="223"/>
  <c r="B39" i="210"/>
  <c r="H37" i="226"/>
  <c r="J37" i="223"/>
  <c r="U9" i="2"/>
  <c r="L6" i="37" s="1"/>
  <c r="BW20" i="2"/>
  <c r="AP17" i="37" s="1"/>
  <c r="BP42" i="2"/>
  <c r="AL39" i="37" s="1"/>
  <c r="F7" i="72"/>
  <c r="AR67" i="58"/>
  <c r="AK43" i="2"/>
  <c r="EC10" i="18"/>
  <c r="BT66" i="19"/>
  <c r="AZ66" i="58"/>
  <c r="L42" i="217"/>
  <c r="AV26" i="29"/>
  <c r="F44" i="19"/>
  <c r="F47" i="133" s="1"/>
  <c r="B30" i="221"/>
  <c r="F28" i="19"/>
  <c r="F31" i="133" s="1"/>
  <c r="B14" i="221"/>
  <c r="F23" i="19"/>
  <c r="F26" i="133" s="1"/>
  <c r="B9" i="221"/>
  <c r="P34" i="19"/>
  <c r="C20" i="221"/>
  <c r="P26" i="19"/>
  <c r="C12" i="221"/>
  <c r="P35" i="19"/>
  <c r="C21" i="221"/>
  <c r="BV21" i="19"/>
  <c r="I7" i="219"/>
  <c r="BV25" i="19"/>
  <c r="I11" i="219"/>
  <c r="BV29" i="19"/>
  <c r="I15" i="219"/>
  <c r="BV33" i="19"/>
  <c r="I19" i="219"/>
  <c r="BV37" i="19"/>
  <c r="I23" i="219"/>
  <c r="BV39" i="19"/>
  <c r="I25" i="219"/>
  <c r="BV40" i="19"/>
  <c r="I26" i="219"/>
  <c r="AJ23" i="58"/>
  <c r="E9" i="216"/>
  <c r="N20" i="58"/>
  <c r="C6" i="213"/>
  <c r="CP20" i="58"/>
  <c r="K6" i="213"/>
  <c r="BL21" i="58"/>
  <c r="H7" i="213"/>
  <c r="AH22" i="58"/>
  <c r="E8" i="213"/>
  <c r="CZ42" i="58"/>
  <c r="L28" i="213"/>
  <c r="W24" i="64"/>
  <c r="X24" s="1"/>
  <c r="Y24" s="1"/>
  <c r="G12" i="227"/>
  <c r="G24" i="64"/>
  <c r="H24" s="1"/>
  <c r="I24" s="1"/>
  <c r="C12" i="227"/>
  <c r="N35" i="19"/>
  <c r="C21" i="219"/>
  <c r="F23" i="58"/>
  <c r="E25" i="124" s="1"/>
  <c r="B9" i="216"/>
  <c r="BD39" i="19"/>
  <c r="G25" i="221"/>
  <c r="BD23" i="19"/>
  <c r="G9" i="221"/>
  <c r="BD38" i="19"/>
  <c r="G24" i="221"/>
  <c r="CR43" i="19"/>
  <c r="K29" i="221"/>
  <c r="CR27" i="19"/>
  <c r="K13" i="221"/>
  <c r="CR42" i="19"/>
  <c r="K28" i="221"/>
  <c r="L50" i="3"/>
  <c r="D5" i="211"/>
  <c r="D50" i="16"/>
  <c r="B5" i="220"/>
  <c r="E49" i="34"/>
  <c r="B5" i="233"/>
  <c r="AN49" i="34"/>
  <c r="G5" i="233"/>
  <c r="X23" i="58"/>
  <c r="D9" i="213"/>
  <c r="CZ23" i="58"/>
  <c r="L9" i="213"/>
  <c r="BV24" i="58"/>
  <c r="I10" i="213"/>
  <c r="AR25" i="58"/>
  <c r="F11" i="213"/>
  <c r="N26" i="58"/>
  <c r="C12" i="213"/>
  <c r="CP26" i="58"/>
  <c r="K12" i="213"/>
  <c r="BL27" i="58"/>
  <c r="H13" i="213"/>
  <c r="H38" s="1"/>
  <c r="AH28" i="58"/>
  <c r="E14" i="213"/>
  <c r="D29" i="58"/>
  <c r="D31" i="124" s="1"/>
  <c r="B15" i="213"/>
  <c r="CF29" i="58"/>
  <c r="J15" i="213"/>
  <c r="BB30" i="58"/>
  <c r="G16" i="213"/>
  <c r="X31" i="58"/>
  <c r="D17" i="213"/>
  <c r="CZ31" i="58"/>
  <c r="L17" i="213"/>
  <c r="BV32" i="58"/>
  <c r="I18" i="213"/>
  <c r="AR33" i="58"/>
  <c r="F19" i="213"/>
  <c r="N34" i="58"/>
  <c r="C20" i="213"/>
  <c r="BY44" i="19"/>
  <c r="I30" i="210"/>
  <c r="CZ38" i="19"/>
  <c r="L24" i="219"/>
  <c r="K36" i="211"/>
  <c r="K41"/>
  <c r="N28" i="19"/>
  <c r="C14" i="219"/>
  <c r="H44" i="232"/>
  <c r="H39"/>
  <c r="AT47" i="19"/>
  <c r="F33" i="221"/>
  <c r="CA48" i="2"/>
  <c r="BL20" i="19"/>
  <c r="H6" i="219"/>
  <c r="X30" i="19"/>
  <c r="D16" i="219"/>
  <c r="AR32" i="19"/>
  <c r="F18" i="219"/>
  <c r="B43" i="227"/>
  <c r="B38"/>
  <c r="H42" i="211"/>
  <c r="H37"/>
  <c r="G43"/>
  <c r="G38"/>
  <c r="G44"/>
  <c r="G39"/>
  <c r="J36" i="212"/>
  <c r="J41"/>
  <c r="N24" i="19"/>
  <c r="C10" i="219"/>
  <c r="CP34" i="19"/>
  <c r="K20" i="219"/>
  <c r="X35" i="58"/>
  <c r="D21" i="213"/>
  <c r="BV36" i="58"/>
  <c r="I22" i="213"/>
  <c r="N38" i="58"/>
  <c r="C24" i="213"/>
  <c r="BL39" i="58"/>
  <c r="H25" i="213"/>
  <c r="D41" i="58"/>
  <c r="D43" i="124" s="1"/>
  <c r="B27" i="213"/>
  <c r="V48" i="33"/>
  <c r="L21" i="173"/>
  <c r="D43" i="226"/>
  <c r="D38"/>
  <c r="D39"/>
  <c r="D44"/>
  <c r="L43"/>
  <c r="L38"/>
  <c r="L44"/>
  <c r="L39"/>
  <c r="C41" i="223"/>
  <c r="C36"/>
  <c r="F36" i="217"/>
  <c r="F41"/>
  <c r="F43" i="211"/>
  <c r="F38"/>
  <c r="F44"/>
  <c r="F39"/>
  <c r="D42" i="212"/>
  <c r="D37"/>
  <c r="C38"/>
  <c r="C43"/>
  <c r="C39"/>
  <c r="C44"/>
  <c r="L41" i="226"/>
  <c r="L36"/>
  <c r="BL22" i="19"/>
  <c r="H8" i="219"/>
  <c r="L48" i="33"/>
  <c r="G21" i="173"/>
  <c r="E41" i="214"/>
  <c r="E36"/>
  <c r="I8" i="220"/>
  <c r="BW22" i="19"/>
  <c r="F43" i="220"/>
  <c r="F38"/>
  <c r="B38" i="212"/>
  <c r="B43"/>
  <c r="B39"/>
  <c r="B44"/>
  <c r="V15" i="16"/>
  <c r="W15" s="1"/>
  <c r="X15" s="1"/>
  <c r="BC15" i="19" s="1"/>
  <c r="U14" i="16"/>
  <c r="BY17" i="2"/>
  <c r="AQ14" i="37" s="1"/>
  <c r="CA17" i="2"/>
  <c r="AR14" i="37" s="1"/>
  <c r="CC17" i="2"/>
  <c r="AS14" i="37" s="1"/>
  <c r="BT35" i="2"/>
  <c r="AN32" i="37" s="1"/>
  <c r="BP35" i="2"/>
  <c r="AL32" i="37" s="1"/>
  <c r="BR35" i="2"/>
  <c r="AM32" i="37" s="1"/>
  <c r="AA40" i="2"/>
  <c r="O37" i="37" s="1"/>
  <c r="W40" i="2"/>
  <c r="M37" i="37" s="1"/>
  <c r="L43" i="233"/>
  <c r="L38"/>
  <c r="L39"/>
  <c r="L44"/>
  <c r="C41" i="226"/>
  <c r="C36"/>
  <c r="D43" i="224"/>
  <c r="D38"/>
  <c r="D39"/>
  <c r="D44"/>
  <c r="H40" i="14"/>
  <c r="M40"/>
  <c r="AB40" i="15" s="1"/>
  <c r="AD40" s="1"/>
  <c r="AE40" s="1"/>
  <c r="K40" i="14"/>
  <c r="Q40"/>
  <c r="O40"/>
  <c r="I40"/>
  <c r="L40" i="15" s="1"/>
  <c r="N40" s="1"/>
  <c r="O40" s="1"/>
  <c r="AJ42" i="2"/>
  <c r="T39" i="37" s="1"/>
  <c r="AD42" i="2"/>
  <c r="Q39" i="37" s="1"/>
  <c r="J42" i="220"/>
  <c r="J37"/>
  <c r="I18" i="73"/>
  <c r="H19"/>
  <c r="J42" i="211"/>
  <c r="J37"/>
  <c r="BC17" i="1"/>
  <c r="BA16"/>
  <c r="Q14" i="15"/>
  <c r="U13" i="10"/>
  <c r="J38" i="213"/>
  <c r="H5" i="32"/>
  <c r="N7" i="33" s="1"/>
  <c r="H4" i="31"/>
  <c r="H4" i="32" s="1"/>
  <c r="N6" i="33" s="1"/>
  <c r="I41" i="223"/>
  <c r="I36"/>
  <c r="L9" i="219"/>
  <c r="CZ23" i="19"/>
  <c r="H43" i="227"/>
  <c r="H38"/>
  <c r="C21" i="26"/>
  <c r="C22" i="28"/>
  <c r="X29" i="19"/>
  <c r="D15" i="219"/>
  <c r="J17"/>
  <c r="CF31" i="19"/>
  <c r="D43" i="227"/>
  <c r="D38"/>
  <c r="I43"/>
  <c r="I38"/>
  <c r="B50" i="19"/>
  <c r="B22" i="133"/>
  <c r="C22" i="134"/>
  <c r="B21" i="132"/>
  <c r="B56" i="19"/>
  <c r="B67"/>
  <c r="B41" i="133"/>
  <c r="B68" i="19"/>
  <c r="I23" i="71"/>
  <c r="H24"/>
  <c r="I42" i="211"/>
  <c r="I37"/>
  <c r="H43"/>
  <c r="H38"/>
  <c r="H44"/>
  <c r="H39"/>
  <c r="AF50" i="58"/>
  <c r="AF65"/>
  <c r="E37" i="212"/>
  <c r="E42"/>
  <c r="G19" i="6"/>
  <c r="Y19" i="58" s="1"/>
  <c r="F9" i="6"/>
  <c r="G9" s="1"/>
  <c r="Y9" i="58" s="1"/>
  <c r="F43" i="227"/>
  <c r="F38"/>
  <c r="BJ67" i="19"/>
  <c r="BJ68"/>
  <c r="H43" i="213"/>
  <c r="O20" i="19"/>
  <c r="C6" i="220"/>
  <c r="J13" i="210"/>
  <c r="CI27" i="19"/>
  <c r="BB23"/>
  <c r="G9" i="219"/>
  <c r="BB27" i="19"/>
  <c r="G13" i="219"/>
  <c r="BB31" i="19"/>
  <c r="G17" i="219"/>
  <c r="BB35" i="19"/>
  <c r="G21" i="219"/>
  <c r="BB37" i="19"/>
  <c r="G23" i="219"/>
  <c r="BB41" i="19"/>
  <c r="G27" i="219"/>
  <c r="F20" i="58"/>
  <c r="E22" i="124" s="1"/>
  <c r="B6" i="216"/>
  <c r="D20" i="58"/>
  <c r="D22" i="124" s="1"/>
  <c r="B6" i="213"/>
  <c r="CF20" i="58"/>
  <c r="J6" i="213"/>
  <c r="BB21" i="58"/>
  <c r="G7" i="213"/>
  <c r="X22" i="58"/>
  <c r="D8" i="213"/>
  <c r="BL42" i="58"/>
  <c r="H28" i="213"/>
  <c r="AA24" i="64"/>
  <c r="AB24" s="1"/>
  <c r="AC24" s="1"/>
  <c r="H12" i="227"/>
  <c r="K24" i="64"/>
  <c r="L24" s="1"/>
  <c r="M24" s="1"/>
  <c r="D12" i="227"/>
  <c r="N33" i="19"/>
  <c r="C19" i="219"/>
  <c r="N20" i="19"/>
  <c r="C6" i="219"/>
  <c r="F33" i="58"/>
  <c r="E35" i="124" s="1"/>
  <c r="B19" i="216"/>
  <c r="BD33" i="19"/>
  <c r="G19" i="221"/>
  <c r="BD32" i="19"/>
  <c r="G18" i="221"/>
  <c r="CR37" i="19"/>
  <c r="K23" i="221"/>
  <c r="CR29" i="19"/>
  <c r="K15" i="221"/>
  <c r="CR44" i="19"/>
  <c r="K30" i="221"/>
  <c r="CR20" i="19"/>
  <c r="K6" i="221"/>
  <c r="AU49" i="34"/>
  <c r="H5" i="233"/>
  <c r="Z49" i="34"/>
  <c r="E5" i="233"/>
  <c r="E42" s="1"/>
  <c r="CF22" i="58"/>
  <c r="J8" i="213"/>
  <c r="BB23" i="58"/>
  <c r="G9" i="213"/>
  <c r="X24" i="58"/>
  <c r="D10" i="213"/>
  <c r="CZ24" i="58"/>
  <c r="L10" i="213"/>
  <c r="BV25" i="58"/>
  <c r="I11" i="213"/>
  <c r="AR26" i="58"/>
  <c r="F12" i="213"/>
  <c r="N27" i="58"/>
  <c r="C13" i="213"/>
  <c r="CP27" i="58"/>
  <c r="K13" i="213"/>
  <c r="BL28" i="58"/>
  <c r="H14" i="213"/>
  <c r="AH29" i="58"/>
  <c r="E15" i="213"/>
  <c r="D30" i="58"/>
  <c r="D32" i="124" s="1"/>
  <c r="B16" i="213"/>
  <c r="CF30" i="58"/>
  <c r="J16" i="213"/>
  <c r="BB31" i="58"/>
  <c r="G17" i="213"/>
  <c r="X32" i="58"/>
  <c r="D18" i="213"/>
  <c r="CZ32" i="58"/>
  <c r="L18" i="213"/>
  <c r="BV33" i="58"/>
  <c r="I19" i="213"/>
  <c r="AA44" i="19"/>
  <c r="D30" i="210"/>
  <c r="BL38" i="19"/>
  <c r="H24" i="219"/>
  <c r="T50" i="3"/>
  <c r="F5" i="211"/>
  <c r="F37" s="1"/>
  <c r="I36"/>
  <c r="I41"/>
  <c r="G39" i="232"/>
  <c r="G44"/>
  <c r="BB34" i="19"/>
  <c r="G20" i="219"/>
  <c r="L44" i="232"/>
  <c r="L39"/>
  <c r="BV28" i="19"/>
  <c r="I14" i="219"/>
  <c r="CZ34" i="19"/>
  <c r="L20" i="219"/>
  <c r="B36" i="226"/>
  <c r="B41"/>
  <c r="BV22" i="19"/>
  <c r="I8" i="219"/>
  <c r="BV32" i="19"/>
  <c r="I18" i="219"/>
  <c r="D35" i="58"/>
  <c r="D37" i="124" s="1"/>
  <c r="B21" i="213"/>
  <c r="BB36" i="58"/>
  <c r="G22" i="213"/>
  <c r="CZ37" i="58"/>
  <c r="L23" i="213"/>
  <c r="AR39" i="58"/>
  <c r="F25" i="213"/>
  <c r="CP40" i="58"/>
  <c r="K26" i="213"/>
  <c r="F48" i="33"/>
  <c r="D21" i="173"/>
  <c r="B22" i="26"/>
  <c r="B23" i="28"/>
  <c r="BL32" i="19"/>
  <c r="H18" i="219"/>
  <c r="E5" i="31"/>
  <c r="E6" i="32"/>
  <c r="H8" i="33" s="1"/>
  <c r="L38" i="227"/>
  <c r="L43"/>
  <c r="D43" i="212"/>
  <c r="D38"/>
  <c r="D44"/>
  <c r="D39"/>
  <c r="CQ20" i="2"/>
  <c r="BA17" i="37" s="1"/>
  <c r="CU20" i="2"/>
  <c r="BC17" i="37" s="1"/>
  <c r="CQ24" i="2"/>
  <c r="BA21" i="37" s="1"/>
  <c r="CU24" i="2"/>
  <c r="BC21" i="37" s="1"/>
  <c r="CS24" i="2"/>
  <c r="BB21" i="37" s="1"/>
  <c r="K36" i="226"/>
  <c r="K41"/>
  <c r="F43"/>
  <c r="F38"/>
  <c r="F44"/>
  <c r="F39"/>
  <c r="H43" i="233"/>
  <c r="H38"/>
  <c r="H39"/>
  <c r="H44"/>
  <c r="DC15" i="18"/>
  <c r="DC19"/>
  <c r="DC23"/>
  <c r="DC27"/>
  <c r="DM27" s="1"/>
  <c r="DO27" s="1"/>
  <c r="DP27" s="1"/>
  <c r="DC31"/>
  <c r="DC35"/>
  <c r="DC39"/>
  <c r="DC43"/>
  <c r="DC14"/>
  <c r="DM14" s="1"/>
  <c r="DO14" s="1"/>
  <c r="DP14" s="1"/>
  <c r="BN15" i="19" s="1"/>
  <c r="DC18" i="18"/>
  <c r="DC22"/>
  <c r="DC26"/>
  <c r="DC30"/>
  <c r="DC34"/>
  <c r="DC38"/>
  <c r="DC42"/>
  <c r="DC16"/>
  <c r="DC24"/>
  <c r="DC32"/>
  <c r="DC40"/>
  <c r="DC17"/>
  <c r="DC28"/>
  <c r="DC37"/>
  <c r="DC13"/>
  <c r="DC25"/>
  <c r="DC12"/>
  <c r="DC33"/>
  <c r="DC20"/>
  <c r="DC41"/>
  <c r="DC36"/>
  <c r="DC21"/>
  <c r="DC44"/>
  <c r="DC29"/>
  <c r="BV34" i="19"/>
  <c r="I20" i="219"/>
  <c r="H8" i="220"/>
  <c r="BM22" i="19"/>
  <c r="G42" i="220"/>
  <c r="G37"/>
  <c r="N38" i="19"/>
  <c r="C24" i="219"/>
  <c r="B42" i="215"/>
  <c r="B37"/>
  <c r="J38" i="220"/>
  <c r="J43"/>
  <c r="BA50" i="29"/>
  <c r="I23" i="176"/>
  <c r="H37" i="14"/>
  <c r="H37" i="15" s="1"/>
  <c r="J37" s="1"/>
  <c r="K37" s="1"/>
  <c r="K37" i="14"/>
  <c r="T37" i="15" s="1"/>
  <c r="V37" s="1"/>
  <c r="W37" s="1"/>
  <c r="I37" i="14"/>
  <c r="L37" i="15" s="1"/>
  <c r="N37" s="1"/>
  <c r="O37" s="1"/>
  <c r="Q37" i="14"/>
  <c r="AR37" i="15" s="1"/>
  <c r="AT37" s="1"/>
  <c r="AU37" s="1"/>
  <c r="O37" i="14"/>
  <c r="AJ37" i="15" s="1"/>
  <c r="AL37" s="1"/>
  <c r="AM37" s="1"/>
  <c r="M37" i="14"/>
  <c r="AB37" i="15" s="1"/>
  <c r="AD37" s="1"/>
  <c r="AE37" s="1"/>
  <c r="CP28" i="19"/>
  <c r="K14" i="219"/>
  <c r="CP32" i="19"/>
  <c r="K18" i="219"/>
  <c r="E19" i="6"/>
  <c r="O19" i="58" s="1"/>
  <c r="D9" i="6"/>
  <c r="E9" s="1"/>
  <c r="O9" i="58" s="1"/>
  <c r="L7" i="219"/>
  <c r="CZ21" i="19"/>
  <c r="AP20" i="16"/>
  <c r="AQ20" s="1"/>
  <c r="AR20" s="1"/>
  <c r="AO19"/>
  <c r="BT50" i="19"/>
  <c r="I21" i="132"/>
  <c r="BT56" i="19"/>
  <c r="I42" i="217"/>
  <c r="I37"/>
  <c r="G36" i="212"/>
  <c r="G41"/>
  <c r="G42"/>
  <c r="G37"/>
  <c r="U15" i="15"/>
  <c r="AA14" i="10"/>
  <c r="AB15"/>
  <c r="J42" i="215"/>
  <c r="J37"/>
  <c r="D8" i="220"/>
  <c r="Y22" i="19"/>
  <c r="D43" i="220"/>
  <c r="D38"/>
  <c r="AO13" i="15"/>
  <c r="BE12" i="10"/>
  <c r="L44" i="213"/>
  <c r="L39"/>
  <c r="I42" i="223"/>
  <c r="I37"/>
  <c r="H43"/>
  <c r="H38"/>
  <c r="H44"/>
  <c r="H39"/>
  <c r="FU27" i="18"/>
  <c r="FU31"/>
  <c r="FU35"/>
  <c r="FU39"/>
  <c r="FU43"/>
  <c r="FU30"/>
  <c r="FU34"/>
  <c r="FU38"/>
  <c r="FU42"/>
  <c r="FU29"/>
  <c r="FU37"/>
  <c r="FU36"/>
  <c r="FU33"/>
  <c r="FU32"/>
  <c r="FU40"/>
  <c r="FU44"/>
  <c r="FU41"/>
  <c r="FU28"/>
  <c r="FU49" s="1"/>
  <c r="J43" i="227"/>
  <c r="J38"/>
  <c r="B66" i="58"/>
  <c r="B29" i="124"/>
  <c r="H29" s="1"/>
  <c r="F17" i="219"/>
  <c r="AR31" i="19"/>
  <c r="CG22"/>
  <c r="J8" i="220"/>
  <c r="P40" i="19"/>
  <c r="C26" i="221"/>
  <c r="P24" i="19"/>
  <c r="C10" i="221"/>
  <c r="CP21" i="19"/>
  <c r="K7" i="219"/>
  <c r="CP23" i="19"/>
  <c r="K9" i="219"/>
  <c r="CP25" i="19"/>
  <c r="K11" i="219"/>
  <c r="CP27" i="19"/>
  <c r="K13" i="219"/>
  <c r="CP29" i="19"/>
  <c r="K15" i="219"/>
  <c r="CP31" i="19"/>
  <c r="K17" i="219"/>
  <c r="CP33" i="19"/>
  <c r="K19" i="219"/>
  <c r="CP35" i="19"/>
  <c r="K21" i="219"/>
  <c r="CP36" i="19"/>
  <c r="K22" i="219"/>
  <c r="CP38" i="19"/>
  <c r="CP67" s="1"/>
  <c r="K24" i="219"/>
  <c r="G42" i="215"/>
  <c r="G37"/>
  <c r="F42"/>
  <c r="F37"/>
  <c r="F26" i="58"/>
  <c r="E28" i="124" s="1"/>
  <c r="B12" i="216"/>
  <c r="F28" i="58"/>
  <c r="E30" i="124" s="1"/>
  <c r="B14" i="216"/>
  <c r="X20" i="58"/>
  <c r="D6" i="213"/>
  <c r="BL20" i="58"/>
  <c r="H6" i="213"/>
  <c r="CZ20" i="58"/>
  <c r="L6" i="213"/>
  <c r="AH21" i="58"/>
  <c r="E7" i="213"/>
  <c r="BV21" i="58"/>
  <c r="I7" i="213"/>
  <c r="D22" i="58"/>
  <c r="D24" i="124" s="1"/>
  <c r="B8" i="213"/>
  <c r="AR22" i="58"/>
  <c r="F8" i="213"/>
  <c r="O50" i="7"/>
  <c r="C5" i="213"/>
  <c r="AR42" i="58"/>
  <c r="F28" i="213"/>
  <c r="O24" i="64"/>
  <c r="P24" s="1"/>
  <c r="Q24" s="1"/>
  <c r="E12" i="227"/>
  <c r="AE24" i="64"/>
  <c r="AF24" s="1"/>
  <c r="AG24" s="1"/>
  <c r="I12" i="227"/>
  <c r="G26" i="19"/>
  <c r="B12" i="210"/>
  <c r="N25" i="19"/>
  <c r="C11" i="219"/>
  <c r="CZ36" i="19"/>
  <c r="L22" i="219"/>
  <c r="BV20" i="19"/>
  <c r="I6" i="219"/>
  <c r="F24" i="58"/>
  <c r="E26" i="124" s="1"/>
  <c r="B10" i="216"/>
  <c r="BD37" i="19"/>
  <c r="G23" i="221"/>
  <c r="BD28" i="19"/>
  <c r="G14" i="221"/>
  <c r="BD20" i="19"/>
  <c r="G6" i="221"/>
  <c r="CR41" i="19"/>
  <c r="K27" i="221"/>
  <c r="CR33" i="19"/>
  <c r="K19" i="221"/>
  <c r="CR25" i="19"/>
  <c r="K11" i="221"/>
  <c r="CR24" i="19"/>
  <c r="K10" i="221"/>
  <c r="E41" i="3"/>
  <c r="B27" i="211"/>
  <c r="E42" i="3"/>
  <c r="B28" i="211"/>
  <c r="S49" i="34"/>
  <c r="D5" i="233"/>
  <c r="BW49" i="34"/>
  <c r="L5" i="233"/>
  <c r="BB49" i="34"/>
  <c r="I5" i="233"/>
  <c r="BV42" i="58"/>
  <c r="I28" i="213"/>
  <c r="CZ22" i="58"/>
  <c r="L8" i="213"/>
  <c r="AH23" i="58"/>
  <c r="E9" i="213"/>
  <c r="BV23" i="58"/>
  <c r="I9" i="213"/>
  <c r="D24" i="58"/>
  <c r="D26" i="124" s="1"/>
  <c r="B10" i="213"/>
  <c r="AR24" i="58"/>
  <c r="F10" i="213"/>
  <c r="CF24" i="58"/>
  <c r="J10" i="213"/>
  <c r="N25" i="58"/>
  <c r="C11" i="213"/>
  <c r="BB25" i="58"/>
  <c r="G11" i="213"/>
  <c r="CP25" i="58"/>
  <c r="K11" i="213"/>
  <c r="X26" i="58"/>
  <c r="D12" i="213"/>
  <c r="BL26" i="58"/>
  <c r="H12" i="213"/>
  <c r="CZ26" i="58"/>
  <c r="L12" i="213"/>
  <c r="AH27" i="58"/>
  <c r="E13" i="213"/>
  <c r="BV27" i="58"/>
  <c r="I13" i="213"/>
  <c r="D28" i="58"/>
  <c r="D30" i="124" s="1"/>
  <c r="B14" i="213"/>
  <c r="AR28" i="58"/>
  <c r="F14" i="213"/>
  <c r="CF28" i="58"/>
  <c r="J14" i="213"/>
  <c r="N29" i="58"/>
  <c r="C15" i="213"/>
  <c r="BB29" i="58"/>
  <c r="G15" i="213"/>
  <c r="CP29" i="58"/>
  <c r="K15" i="213"/>
  <c r="X30" i="58"/>
  <c r="D16" i="213"/>
  <c r="BL30" i="58"/>
  <c r="H16" i="213"/>
  <c r="CZ30" i="58"/>
  <c r="L16" i="213"/>
  <c r="AH31" i="58"/>
  <c r="E17" i="213"/>
  <c r="BV31" i="58"/>
  <c r="I17" i="213"/>
  <c r="D32" i="58"/>
  <c r="D34" i="124" s="1"/>
  <c r="B18" i="213"/>
  <c r="AR32" i="58"/>
  <c r="F18" i="213"/>
  <c r="CF32" i="58"/>
  <c r="J18" i="213"/>
  <c r="N33" i="58"/>
  <c r="C19" i="213"/>
  <c r="BB33" i="58"/>
  <c r="G19" i="213"/>
  <c r="CP33" i="58"/>
  <c r="K19" i="213"/>
  <c r="X34" i="58"/>
  <c r="D20" i="213"/>
  <c r="AU44" i="19"/>
  <c r="F30" i="210"/>
  <c r="CI44" i="19"/>
  <c r="J30" i="210"/>
  <c r="J36" i="211"/>
  <c r="J41"/>
  <c r="E36"/>
  <c r="E41"/>
  <c r="N34" i="19"/>
  <c r="C20" i="219"/>
  <c r="X28" i="19"/>
  <c r="D14" i="219"/>
  <c r="J44" i="232"/>
  <c r="J39"/>
  <c r="BC11" i="18"/>
  <c r="BD11" s="1"/>
  <c r="BA11"/>
  <c r="BB11" s="1"/>
  <c r="BK11"/>
  <c r="BL11" s="1"/>
  <c r="BI11"/>
  <c r="BJ11" s="1"/>
  <c r="BG11"/>
  <c r="BH11" s="1"/>
  <c r="BL30" i="19"/>
  <c r="H16" i="219"/>
  <c r="CF32" i="19"/>
  <c r="J18" i="219"/>
  <c r="S50" i="35"/>
  <c r="E21" i="177"/>
  <c r="S53" i="35"/>
  <c r="J5" i="32"/>
  <c r="R7" i="33" s="1"/>
  <c r="J4" i="31"/>
  <c r="J4" i="32" s="1"/>
  <c r="R6" i="33" s="1"/>
  <c r="I41" i="214"/>
  <c r="I36"/>
  <c r="F41" i="226"/>
  <c r="F36"/>
  <c r="F45" i="29"/>
  <c r="K29" i="171"/>
  <c r="B12" i="227"/>
  <c r="I10" i="161"/>
  <c r="F39" i="213"/>
  <c r="F44"/>
  <c r="X21" i="19"/>
  <c r="D7" i="219"/>
  <c r="BB24" i="19"/>
  <c r="G10" i="219"/>
  <c r="X31" i="19"/>
  <c r="D17" i="219"/>
  <c r="X35" i="19"/>
  <c r="D21" i="219"/>
  <c r="I20" i="213"/>
  <c r="BV34" i="58"/>
  <c r="F21" i="213"/>
  <c r="AR35" i="58"/>
  <c r="C22" i="213"/>
  <c r="N36" i="58"/>
  <c r="K22" i="213"/>
  <c r="CP36" i="58"/>
  <c r="H23" i="213"/>
  <c r="BL37" i="58"/>
  <c r="E24" i="213"/>
  <c r="AH38" i="58"/>
  <c r="B25" i="213"/>
  <c r="D39" i="58"/>
  <c r="D41" i="124" s="1"/>
  <c r="CF39" i="58"/>
  <c r="J25" i="213"/>
  <c r="G26"/>
  <c r="BB40" i="58"/>
  <c r="D27" i="213"/>
  <c r="X41" i="58"/>
  <c r="L27" i="213"/>
  <c r="CZ41" i="58"/>
  <c r="P9" i="6"/>
  <c r="Q19"/>
  <c r="BW19" i="58" s="1"/>
  <c r="F43" i="29"/>
  <c r="J27" i="171"/>
  <c r="J23" i="28"/>
  <c r="J22" i="26"/>
  <c r="E36" i="226"/>
  <c r="E41"/>
  <c r="D41"/>
  <c r="D36"/>
  <c r="CZ22" i="19"/>
  <c r="L8" i="219"/>
  <c r="D22"/>
  <c r="X36" i="19"/>
  <c r="CQ45" i="2"/>
  <c r="BA42" i="37" s="1"/>
  <c r="CS45" i="2"/>
  <c r="BB42" i="37" s="1"/>
  <c r="BH14" i="18"/>
  <c r="BH19"/>
  <c r="BH23"/>
  <c r="BH27"/>
  <c r="BH31"/>
  <c r="BH35"/>
  <c r="BH39"/>
  <c r="BH43"/>
  <c r="BN43" s="1"/>
  <c r="BP43" s="1"/>
  <c r="BQ43" s="1"/>
  <c r="BH13"/>
  <c r="BH18"/>
  <c r="BH49" s="1"/>
  <c r="BH22"/>
  <c r="BN22" s="1"/>
  <c r="BP22" s="1"/>
  <c r="BQ22" s="1"/>
  <c r="BH26"/>
  <c r="BH30"/>
  <c r="BH34"/>
  <c r="BH38"/>
  <c r="BN38" s="1"/>
  <c r="BP38" s="1"/>
  <c r="BQ38" s="1"/>
  <c r="BH42"/>
  <c r="BH20"/>
  <c r="BH28"/>
  <c r="BN28" s="1"/>
  <c r="BP28" s="1"/>
  <c r="BQ28" s="1"/>
  <c r="BH36"/>
  <c r="BN36" s="1"/>
  <c r="BP36" s="1"/>
  <c r="BQ36" s="1"/>
  <c r="BH44"/>
  <c r="BH12"/>
  <c r="BH24"/>
  <c r="BH33"/>
  <c r="BH21"/>
  <c r="BN21" s="1"/>
  <c r="BP21" s="1"/>
  <c r="BQ21" s="1"/>
  <c r="BH41"/>
  <c r="BH29"/>
  <c r="BH40"/>
  <c r="BH15"/>
  <c r="BH37"/>
  <c r="BN37" s="1"/>
  <c r="BP37" s="1"/>
  <c r="BQ37" s="1"/>
  <c r="BH32"/>
  <c r="BH16"/>
  <c r="BN16" s="1"/>
  <c r="BP16" s="1"/>
  <c r="BQ16" s="1"/>
  <c r="AJ17" i="19" s="1"/>
  <c r="BH25" i="18"/>
  <c r="DV27"/>
  <c r="ED27" s="1"/>
  <c r="EF27" s="1"/>
  <c r="EG27" s="1"/>
  <c r="DV31"/>
  <c r="ED31" s="1"/>
  <c r="EF31" s="1"/>
  <c r="EG31" s="1"/>
  <c r="DV35"/>
  <c r="ED35" s="1"/>
  <c r="EF35" s="1"/>
  <c r="EG35" s="1"/>
  <c r="DV39"/>
  <c r="ED39" s="1"/>
  <c r="EF39" s="1"/>
  <c r="EG39" s="1"/>
  <c r="DV43"/>
  <c r="ED43" s="1"/>
  <c r="EF43" s="1"/>
  <c r="EG43" s="1"/>
  <c r="DV30"/>
  <c r="DV34"/>
  <c r="ED34" s="1"/>
  <c r="EF34" s="1"/>
  <c r="EG34" s="1"/>
  <c r="DV38"/>
  <c r="DV42"/>
  <c r="ED42" s="1"/>
  <c r="EF42" s="1"/>
  <c r="EG42" s="1"/>
  <c r="DV28"/>
  <c r="ED28" s="1"/>
  <c r="EF28" s="1"/>
  <c r="EG28" s="1"/>
  <c r="DV36"/>
  <c r="ED36" s="1"/>
  <c r="EF36" s="1"/>
  <c r="EG36" s="1"/>
  <c r="DV44"/>
  <c r="ED44" s="1"/>
  <c r="EF44" s="1"/>
  <c r="EG44" s="1"/>
  <c r="DV33"/>
  <c r="DV41"/>
  <c r="ED41" s="1"/>
  <c r="EF41" s="1"/>
  <c r="EG41" s="1"/>
  <c r="DV29"/>
  <c r="ED29" s="1"/>
  <c r="EF29" s="1"/>
  <c r="EG29" s="1"/>
  <c r="DV37"/>
  <c r="DV32"/>
  <c r="ED32" s="1"/>
  <c r="EF32" s="1"/>
  <c r="EG32" s="1"/>
  <c r="DV40"/>
  <c r="G43" i="210"/>
  <c r="G38"/>
  <c r="I15" i="10"/>
  <c r="I16" i="15"/>
  <c r="J16" s="1"/>
  <c r="K16" s="1"/>
  <c r="N16" i="19" s="1"/>
  <c r="J16" i="10"/>
  <c r="F43" i="212"/>
  <c r="F38"/>
  <c r="F39"/>
  <c r="F44"/>
  <c r="P15" i="10"/>
  <c r="O14"/>
  <c r="M15" i="15"/>
  <c r="S37" i="74"/>
  <c r="E36"/>
  <c r="S36" i="79"/>
  <c r="E35"/>
  <c r="CU22" i="2"/>
  <c r="BC19" i="37" s="1"/>
  <c r="CS22" i="2"/>
  <c r="BB19" i="37" s="1"/>
  <c r="BB33" i="2"/>
  <c r="AD30" i="37" s="1"/>
  <c r="AZ33" i="2"/>
  <c r="AC30" i="37" s="1"/>
  <c r="AX33" i="2"/>
  <c r="AB30" i="37" s="1"/>
  <c r="AS34" i="2"/>
  <c r="Y31" i="37" s="1"/>
  <c r="AQ34" i="2"/>
  <c r="X31" i="37" s="1"/>
  <c r="CL39" i="2"/>
  <c r="AX36" i="37" s="1"/>
  <c r="CJ39" i="2"/>
  <c r="AW36" i="37" s="1"/>
  <c r="J38" i="226"/>
  <c r="J43"/>
  <c r="J39"/>
  <c r="J44"/>
  <c r="H43" i="224"/>
  <c r="H38"/>
  <c r="H44"/>
  <c r="H39"/>
  <c r="I14"/>
  <c r="BB28" i="29"/>
  <c r="BC28" s="1"/>
  <c r="I42" i="233"/>
  <c r="I37"/>
  <c r="G41" i="226"/>
  <c r="G36"/>
  <c r="E14" i="224"/>
  <c r="Z28" i="29"/>
  <c r="AA28" s="1"/>
  <c r="E43" i="14"/>
  <c r="G42"/>
  <c r="O21" i="19"/>
  <c r="C7" i="220"/>
  <c r="I4" i="31"/>
  <c r="I4" i="32" s="1"/>
  <c r="P6" i="33" s="1"/>
  <c r="I5" i="32"/>
  <c r="P7" i="33" s="1"/>
  <c r="AE45" i="2"/>
  <c r="AK44"/>
  <c r="C13" i="210"/>
  <c r="C43" s="1"/>
  <c r="Q27" i="19"/>
  <c r="C7" i="4"/>
  <c r="K7"/>
  <c r="H21" i="124"/>
  <c r="H48"/>
  <c r="H50"/>
  <c r="AH16" i="16"/>
  <c r="AI16" s="1"/>
  <c r="AJ16" s="1"/>
  <c r="CG16" i="19" s="1"/>
  <c r="AG15" i="16"/>
  <c r="AG11" i="10"/>
  <c r="Y12" i="15"/>
  <c r="H41" i="217"/>
  <c r="H36"/>
  <c r="CX67" i="19"/>
  <c r="CX68"/>
  <c r="F43" i="213"/>
  <c r="F38"/>
  <c r="I42" i="212"/>
  <c r="I37"/>
  <c r="S25" i="29"/>
  <c r="T25" s="1"/>
  <c r="D11" i="224"/>
  <c r="H42" i="212"/>
  <c r="H37"/>
  <c r="S38" i="73"/>
  <c r="E37"/>
  <c r="E37" i="223"/>
  <c r="E42"/>
  <c r="D43"/>
  <c r="D38"/>
  <c r="D39"/>
  <c r="D44"/>
  <c r="AS14" i="18"/>
  <c r="AS19"/>
  <c r="AW19" s="1"/>
  <c r="AY19" s="1"/>
  <c r="AZ19" s="1"/>
  <c r="AS23"/>
  <c r="AS27"/>
  <c r="AS31"/>
  <c r="AS35"/>
  <c r="AS39"/>
  <c r="AS43"/>
  <c r="AS13"/>
  <c r="AW13" s="1"/>
  <c r="AY13" s="1"/>
  <c r="AZ13" s="1"/>
  <c r="Z14" i="19" s="1"/>
  <c r="AS18" i="18"/>
  <c r="AS49" s="1"/>
  <c r="AS22"/>
  <c r="AS26"/>
  <c r="AS30"/>
  <c r="AW30" s="1"/>
  <c r="AY30" s="1"/>
  <c r="AZ30" s="1"/>
  <c r="AS34"/>
  <c r="AS38"/>
  <c r="AS42"/>
  <c r="AS15"/>
  <c r="AS24"/>
  <c r="AS32"/>
  <c r="AS40"/>
  <c r="AS21"/>
  <c r="AW21" s="1"/>
  <c r="AY21" s="1"/>
  <c r="AZ21" s="1"/>
  <c r="AS33"/>
  <c r="AS44"/>
  <c r="AW44" s="1"/>
  <c r="AY44" s="1"/>
  <c r="AZ44" s="1"/>
  <c r="AS20"/>
  <c r="AS41"/>
  <c r="AS16"/>
  <c r="AS37"/>
  <c r="AS12"/>
  <c r="AS36"/>
  <c r="AS29"/>
  <c r="AS28"/>
  <c r="AS25"/>
  <c r="DG12"/>
  <c r="DG16"/>
  <c r="DG21"/>
  <c r="DG25"/>
  <c r="DG29"/>
  <c r="DM29" s="1"/>
  <c r="DO29" s="1"/>
  <c r="DP29" s="1"/>
  <c r="DG33"/>
  <c r="DG37"/>
  <c r="DG41"/>
  <c r="DG15"/>
  <c r="DG20"/>
  <c r="DG24"/>
  <c r="DG28"/>
  <c r="DG32"/>
  <c r="DG36"/>
  <c r="DG40"/>
  <c r="DG44"/>
  <c r="DG13"/>
  <c r="DM13" s="1"/>
  <c r="DO13" s="1"/>
  <c r="DP13" s="1"/>
  <c r="BN14" i="19" s="1"/>
  <c r="DG22" i="18"/>
  <c r="DG30"/>
  <c r="DG38"/>
  <c r="DG19"/>
  <c r="DG31"/>
  <c r="DG42"/>
  <c r="DG27"/>
  <c r="DG26"/>
  <c r="DM26" s="1"/>
  <c r="DO26" s="1"/>
  <c r="DP26" s="1"/>
  <c r="DG34"/>
  <c r="DG43"/>
  <c r="DG18"/>
  <c r="DG39"/>
  <c r="DM39" s="1"/>
  <c r="DO39" s="1"/>
  <c r="DP39" s="1"/>
  <c r="DG14"/>
  <c r="DG35"/>
  <c r="DG23"/>
  <c r="H13" i="210"/>
  <c r="BO27" i="19"/>
  <c r="L27" i="29"/>
  <c r="M27" s="1"/>
  <c r="C13" i="224"/>
  <c r="F13" i="219"/>
  <c r="AR27" i="19"/>
  <c r="N32"/>
  <c r="C18" i="219"/>
  <c r="BL33" i="19"/>
  <c r="H19" i="219"/>
  <c r="AR34" i="19"/>
  <c r="F20" i="219"/>
  <c r="FS12" i="18"/>
  <c r="FS16"/>
  <c r="FS21"/>
  <c r="FS25"/>
  <c r="FS29"/>
  <c r="FS33"/>
  <c r="FS37"/>
  <c r="FS41"/>
  <c r="FS15"/>
  <c r="GC15" s="1"/>
  <c r="GE15" s="1"/>
  <c r="GF15" s="1"/>
  <c r="DB16" i="19" s="1"/>
  <c r="FS20" i="18"/>
  <c r="GC20" s="1"/>
  <c r="GE20" s="1"/>
  <c r="GF20" s="1"/>
  <c r="FS24"/>
  <c r="GC24" s="1"/>
  <c r="GE24" s="1"/>
  <c r="GF24" s="1"/>
  <c r="FS28"/>
  <c r="FS32"/>
  <c r="GC32" s="1"/>
  <c r="GE32" s="1"/>
  <c r="GF32" s="1"/>
  <c r="FS36"/>
  <c r="FS40"/>
  <c r="GC40" s="1"/>
  <c r="GE40" s="1"/>
  <c r="GF40" s="1"/>
  <c r="FS44"/>
  <c r="FS14"/>
  <c r="FS23"/>
  <c r="FS31"/>
  <c r="FS39"/>
  <c r="FS22"/>
  <c r="GC22" s="1"/>
  <c r="GE22" s="1"/>
  <c r="GF22" s="1"/>
  <c r="FS34"/>
  <c r="FS43"/>
  <c r="FS30"/>
  <c r="GC30" s="1"/>
  <c r="GE30" s="1"/>
  <c r="GF30" s="1"/>
  <c r="FS27"/>
  <c r="FS13"/>
  <c r="GC13" s="1"/>
  <c r="GE13" s="1"/>
  <c r="GF13" s="1"/>
  <c r="DB14" i="19" s="1"/>
  <c r="FS35" i="18"/>
  <c r="FS19"/>
  <c r="FS42"/>
  <c r="FS18"/>
  <c r="GC18" s="1"/>
  <c r="FS38"/>
  <c r="FS26"/>
  <c r="AA10" i="13"/>
  <c r="Z9"/>
  <c r="D13" i="210"/>
  <c r="AA27" i="19"/>
  <c r="I13" i="210"/>
  <c r="I43" s="1"/>
  <c r="BY27" i="19"/>
  <c r="B41" i="217"/>
  <c r="B36"/>
  <c r="B42"/>
  <c r="B37"/>
  <c r="B38"/>
  <c r="B43"/>
  <c r="B44"/>
  <c r="B39"/>
  <c r="D25" i="6"/>
  <c r="E25" s="1"/>
  <c r="O25" i="58" s="1"/>
  <c r="L22" i="71"/>
  <c r="C11" i="215" s="1"/>
  <c r="B9" i="4"/>
  <c r="J9"/>
  <c r="E36" i="212"/>
  <c r="E41"/>
  <c r="I41"/>
  <c r="I36"/>
  <c r="AN27" i="29"/>
  <c r="AO27" s="1"/>
  <c r="G13" i="224"/>
  <c r="G43" i="220"/>
  <c r="G38"/>
  <c r="F13" i="210"/>
  <c r="F43" s="1"/>
  <c r="AU27" i="19"/>
  <c r="H43" i="217"/>
  <c r="H38"/>
  <c r="H39"/>
  <c r="H44"/>
  <c r="AU25" i="29"/>
  <c r="AV25" s="1"/>
  <c r="H11" i="224"/>
  <c r="CX67" i="58"/>
  <c r="CX68"/>
  <c r="CN67"/>
  <c r="CN68"/>
  <c r="E36" i="78"/>
  <c r="S37"/>
  <c r="Y50" i="29"/>
  <c r="E23" i="176"/>
  <c r="F8" i="220"/>
  <c r="AS22" i="19"/>
  <c r="FW16" i="18"/>
  <c r="FW25"/>
  <c r="FW33"/>
  <c r="FW41"/>
  <c r="FW14"/>
  <c r="FW23"/>
  <c r="FW31"/>
  <c r="GC31" s="1"/>
  <c r="GE31" s="1"/>
  <c r="GF31" s="1"/>
  <c r="FW39"/>
  <c r="FW12"/>
  <c r="FW29"/>
  <c r="FW19"/>
  <c r="FW37"/>
  <c r="FW35"/>
  <c r="FW27"/>
  <c r="FW43"/>
  <c r="GC43" s="1"/>
  <c r="GE43" s="1"/>
  <c r="GF43" s="1"/>
  <c r="FW21"/>
  <c r="AJ38" i="15"/>
  <c r="AL38" s="1"/>
  <c r="AM38" s="1"/>
  <c r="J35" i="12"/>
  <c r="K43" i="227"/>
  <c r="K38"/>
  <c r="AK15" i="15"/>
  <c r="AY14" i="10"/>
  <c r="AZ15"/>
  <c r="AF10" i="18"/>
  <c r="AH10" s="1"/>
  <c r="AI10" s="1"/>
  <c r="P11" i="19" s="1"/>
  <c r="BN20" i="18"/>
  <c r="BP20" s="1"/>
  <c r="BQ20" s="1"/>
  <c r="BN35"/>
  <c r="BP35" s="1"/>
  <c r="BQ35" s="1"/>
  <c r="BN19"/>
  <c r="BP19" s="1"/>
  <c r="BQ19" s="1"/>
  <c r="ED40"/>
  <c r="EF40" s="1"/>
  <c r="EG40" s="1"/>
  <c r="ED24"/>
  <c r="EF24" s="1"/>
  <c r="EG24" s="1"/>
  <c r="AW36"/>
  <c r="AY36" s="1"/>
  <c r="AZ36" s="1"/>
  <c r="CE22"/>
  <c r="CG22" s="1"/>
  <c r="CH22" s="1"/>
  <c r="CE37"/>
  <c r="CG37" s="1"/>
  <c r="CH37" s="1"/>
  <c r="CE21"/>
  <c r="CG21" s="1"/>
  <c r="CH21" s="1"/>
  <c r="DM24"/>
  <c r="DO24" s="1"/>
  <c r="DP24" s="1"/>
  <c r="EU26"/>
  <c r="EW26" s="1"/>
  <c r="EX26" s="1"/>
  <c r="GC28"/>
  <c r="GE28" s="1"/>
  <c r="GF28" s="1"/>
  <c r="G37" i="217"/>
  <c r="J43" i="212"/>
  <c r="I37" i="226"/>
  <c r="B37" i="223"/>
  <c r="J31" i="133"/>
  <c r="C19" i="18"/>
  <c r="O19" s="1"/>
  <c r="Q19" s="1"/>
  <c r="R19" s="1"/>
  <c r="C29"/>
  <c r="O29" s="1"/>
  <c r="Q29" s="1"/>
  <c r="R29" s="1"/>
  <c r="C40"/>
  <c r="O40" s="1"/>
  <c r="Q40" s="1"/>
  <c r="R40" s="1"/>
  <c r="AF43"/>
  <c r="AH43" s="1"/>
  <c r="AI43" s="1"/>
  <c r="AF35"/>
  <c r="AH35" s="1"/>
  <c r="AI35" s="1"/>
  <c r="AF19"/>
  <c r="AH19" s="1"/>
  <c r="AI19" s="1"/>
  <c r="AF36"/>
  <c r="AH36" s="1"/>
  <c r="AI36" s="1"/>
  <c r="AF28"/>
  <c r="AH28" s="1"/>
  <c r="AI28" s="1"/>
  <c r="F9" i="78"/>
  <c r="AB23" i="5"/>
  <c r="P15" i="14"/>
  <c r="AN15" i="15" s="1"/>
  <c r="AP15" s="1"/>
  <c r="AQ15" s="1"/>
  <c r="CP15" i="19" s="1"/>
  <c r="I15" i="14"/>
  <c r="L15" i="15" s="1"/>
  <c r="N15" s="1"/>
  <c r="O15" s="1"/>
  <c r="X15" i="19" s="1"/>
  <c r="CQ30" i="2"/>
  <c r="BA27" i="37" s="1"/>
  <c r="N13" i="2"/>
  <c r="H10" i="37" s="1"/>
  <c r="P30" i="2"/>
  <c r="I27" i="37" s="1"/>
  <c r="BN30" i="18"/>
  <c r="BP30" s="1"/>
  <c r="BQ30" s="1"/>
  <c r="BN13"/>
  <c r="BP13" s="1"/>
  <c r="BQ13" s="1"/>
  <c r="AJ14" i="19" s="1"/>
  <c r="BN29" i="18"/>
  <c r="BP29" s="1"/>
  <c r="BQ29" s="1"/>
  <c r="BN12"/>
  <c r="BP12" s="1"/>
  <c r="BQ12" s="1"/>
  <c r="AJ13" i="19" s="1"/>
  <c r="ED33" i="18"/>
  <c r="EF33" s="1"/>
  <c r="EG33" s="1"/>
  <c r="ED16"/>
  <c r="EF16" s="1"/>
  <c r="EG16" s="1"/>
  <c r="BX17" i="19" s="1"/>
  <c r="AW37" i="18"/>
  <c r="AY37" s="1"/>
  <c r="AZ37" s="1"/>
  <c r="CE39"/>
  <c r="CG39" s="1"/>
  <c r="CH39" s="1"/>
  <c r="DM41"/>
  <c r="DO41" s="1"/>
  <c r="DP41" s="1"/>
  <c r="EU44"/>
  <c r="EW44" s="1"/>
  <c r="EX44" s="1"/>
  <c r="EU28"/>
  <c r="EW28" s="1"/>
  <c r="EX28" s="1"/>
  <c r="EU43"/>
  <c r="EW43" s="1"/>
  <c r="EX43" s="1"/>
  <c r="EU19"/>
  <c r="EW19" s="1"/>
  <c r="EX19" s="1"/>
  <c r="GC37"/>
  <c r="GE37" s="1"/>
  <c r="GF37" s="1"/>
  <c r="CC41" i="2"/>
  <c r="AS38" i="37" s="1"/>
  <c r="AH42" i="2"/>
  <c r="S39" i="37" s="1"/>
  <c r="DE49" i="18"/>
  <c r="AO47"/>
  <c r="BY48" i="2"/>
  <c r="J42" i="226"/>
  <c r="D37" i="223"/>
  <c r="E38" i="233"/>
  <c r="L37" i="226"/>
  <c r="C42" i="223"/>
  <c r="F42" i="217"/>
  <c r="BW17" i="2"/>
  <c r="AP14" i="37" s="1"/>
  <c r="AV29" i="2"/>
  <c r="AA26" i="37" s="1"/>
  <c r="CO30" i="2"/>
  <c r="AZ27" i="37" s="1"/>
  <c r="CF37" i="2"/>
  <c r="AU34" i="37" s="1"/>
  <c r="L37" i="217"/>
  <c r="C56" i="33"/>
  <c r="C41" i="18"/>
  <c r="O41" s="1"/>
  <c r="Q41" s="1"/>
  <c r="R41" s="1"/>
  <c r="C33"/>
  <c r="O33" s="1"/>
  <c r="Q33" s="1"/>
  <c r="R33" s="1"/>
  <c r="C25"/>
  <c r="O25" s="1"/>
  <c r="Q25" s="1"/>
  <c r="R25" s="1"/>
  <c r="C44"/>
  <c r="C36"/>
  <c r="C28"/>
  <c r="C20"/>
  <c r="AF31"/>
  <c r="AH31" s="1"/>
  <c r="AI31" s="1"/>
  <c r="AF40"/>
  <c r="AH40" s="1"/>
  <c r="AI40" s="1"/>
  <c r="AF32"/>
  <c r="AH32" s="1"/>
  <c r="AI32" s="1"/>
  <c r="AF24"/>
  <c r="AH24" s="1"/>
  <c r="AI24" s="1"/>
  <c r="P37" i="14"/>
  <c r="AN37" i="15" s="1"/>
  <c r="AP37" s="1"/>
  <c r="AQ37" s="1"/>
  <c r="P39" i="14"/>
  <c r="AN39" i="15" s="1"/>
  <c r="AP39" s="1"/>
  <c r="AQ39" s="1"/>
  <c r="P40" i="14"/>
  <c r="AN40" i="15" s="1"/>
  <c r="AP40" s="1"/>
  <c r="AQ40" s="1"/>
  <c r="AN41"/>
  <c r="AP41" s="1"/>
  <c r="AQ41" s="1"/>
  <c r="F9" i="79"/>
  <c r="G28" i="77"/>
  <c r="M44" i="18"/>
  <c r="M36"/>
  <c r="M28"/>
  <c r="M20"/>
  <c r="M39"/>
  <c r="M31"/>
  <c r="M23"/>
  <c r="T23" i="5"/>
  <c r="BT37" i="2"/>
  <c r="AN34" i="37" s="1"/>
  <c r="Y9" i="2"/>
  <c r="N6" i="37" s="1"/>
  <c r="G15" i="2"/>
  <c r="D12" i="37" s="1"/>
  <c r="BI9" i="18"/>
  <c r="BJ9" s="1"/>
  <c r="V23" i="5"/>
  <c r="J33"/>
  <c r="W22" i="2"/>
  <c r="M19" i="37" s="1"/>
  <c r="L11" i="2"/>
  <c r="G8" i="37" s="1"/>
  <c r="R28" i="2"/>
  <c r="J25" i="37" s="1"/>
  <c r="R32" i="2"/>
  <c r="J29" i="37" s="1"/>
  <c r="W31" i="2"/>
  <c r="M28" i="37" s="1"/>
  <c r="W36" i="2"/>
  <c r="M33" i="37" s="1"/>
  <c r="BP43" i="2"/>
  <c r="AL40" i="37" s="1"/>
  <c r="R45" i="2"/>
  <c r="J42" i="37" s="1"/>
  <c r="F24" i="79"/>
  <c r="F23" i="75"/>
  <c r="G23" s="1"/>
  <c r="BB42" i="18"/>
  <c r="BN42" s="1"/>
  <c r="BP42" s="1"/>
  <c r="BQ42" s="1"/>
  <c r="BB34"/>
  <c r="BN34" s="1"/>
  <c r="BP34" s="1"/>
  <c r="BQ34" s="1"/>
  <c r="BB26"/>
  <c r="BB18"/>
  <c r="BB49" s="1"/>
  <c r="BB41"/>
  <c r="BN41" s="1"/>
  <c r="BP41" s="1"/>
  <c r="BQ41" s="1"/>
  <c r="BB33"/>
  <c r="BB25"/>
  <c r="CV44"/>
  <c r="CX44" s="1"/>
  <c r="CY44" s="1"/>
  <c r="CV28"/>
  <c r="CX28" s="1"/>
  <c r="CY28" s="1"/>
  <c r="CV20"/>
  <c r="CX20" s="1"/>
  <c r="CY20" s="1"/>
  <c r="CV43"/>
  <c r="CX43" s="1"/>
  <c r="CY43" s="1"/>
  <c r="CV35"/>
  <c r="CX35" s="1"/>
  <c r="CY35" s="1"/>
  <c r="ED38"/>
  <c r="EF38" s="1"/>
  <c r="EG38" s="1"/>
  <c r="ED22"/>
  <c r="EF22" s="1"/>
  <c r="EG22" s="1"/>
  <c r="ED13"/>
  <c r="EF13" s="1"/>
  <c r="EG13" s="1"/>
  <c r="BX14" i="19" s="1"/>
  <c r="ED12" i="18"/>
  <c r="EF12" s="1"/>
  <c r="EG12" s="1"/>
  <c r="BX13" i="19" s="1"/>
  <c r="FL39" i="18"/>
  <c r="FN39" s="1"/>
  <c r="FO39" s="1"/>
  <c r="FL31"/>
  <c r="FN31" s="1"/>
  <c r="FO31" s="1"/>
  <c r="FL14"/>
  <c r="FN14" s="1"/>
  <c r="FO14" s="1"/>
  <c r="CR15" i="19" s="1"/>
  <c r="AK42" i="18"/>
  <c r="AW42" s="1"/>
  <c r="AY42" s="1"/>
  <c r="AZ42" s="1"/>
  <c r="AK34"/>
  <c r="AW34" s="1"/>
  <c r="AY34" s="1"/>
  <c r="AZ34" s="1"/>
  <c r="AK26"/>
  <c r="AK18"/>
  <c r="AK41"/>
  <c r="AW41" s="1"/>
  <c r="AY41" s="1"/>
  <c r="AZ41" s="1"/>
  <c r="AK33"/>
  <c r="AW33" s="1"/>
  <c r="AY33" s="1"/>
  <c r="AZ33" s="1"/>
  <c r="AK25"/>
  <c r="AK16"/>
  <c r="CE44"/>
  <c r="CG44" s="1"/>
  <c r="CH44" s="1"/>
  <c r="CE36"/>
  <c r="CG36" s="1"/>
  <c r="CH36" s="1"/>
  <c r="CE20"/>
  <c r="CG20" s="1"/>
  <c r="CH20" s="1"/>
  <c r="CE43"/>
  <c r="CG43" s="1"/>
  <c r="CH43" s="1"/>
  <c r="CE35"/>
  <c r="CG35" s="1"/>
  <c r="CH35" s="1"/>
  <c r="CE19"/>
  <c r="CG19" s="1"/>
  <c r="CH19" s="1"/>
  <c r="DM38"/>
  <c r="DO38" s="1"/>
  <c r="DP38" s="1"/>
  <c r="DM30"/>
  <c r="DO30" s="1"/>
  <c r="DP30" s="1"/>
  <c r="DM37"/>
  <c r="DO37" s="1"/>
  <c r="DP37" s="1"/>
  <c r="EU40"/>
  <c r="EW40" s="1"/>
  <c r="EX40" s="1"/>
  <c r="EU24"/>
  <c r="EW24" s="1"/>
  <c r="EX24" s="1"/>
  <c r="EU39"/>
  <c r="EW39" s="1"/>
  <c r="EX39" s="1"/>
  <c r="EU31"/>
  <c r="EW31" s="1"/>
  <c r="EX31" s="1"/>
  <c r="EU23"/>
  <c r="EW23" s="1"/>
  <c r="EX23" s="1"/>
  <c r="GC42"/>
  <c r="GE42" s="1"/>
  <c r="GF42" s="1"/>
  <c r="GC26"/>
  <c r="GE26" s="1"/>
  <c r="GF26" s="1"/>
  <c r="GC33"/>
  <c r="GE33" s="1"/>
  <c r="GF33" s="1"/>
  <c r="V17" i="15"/>
  <c r="W17" s="1"/>
  <c r="AR17" i="19" s="1"/>
  <c r="CS20" i="2"/>
  <c r="BB17" i="37" s="1"/>
  <c r="FE9" i="18"/>
  <c r="FF9" s="1"/>
  <c r="FK8"/>
  <c r="CS9"/>
  <c r="CT9" s="1"/>
  <c r="CU8"/>
  <c r="N11" i="6"/>
  <c r="BW27" i="2"/>
  <c r="AP24" i="37" s="1"/>
  <c r="M39" i="14"/>
  <c r="AB39" i="15" s="1"/>
  <c r="AD39" s="1"/>
  <c r="AE39" s="1"/>
  <c r="FY45" i="18"/>
  <c r="BP16" i="2"/>
  <c r="AL13" i="37" s="1"/>
  <c r="CJ37" i="2"/>
  <c r="AW34" i="37" s="1"/>
  <c r="FY46" i="18"/>
  <c r="GC46" s="1"/>
  <c r="GE46" s="1"/>
  <c r="GF46" s="1"/>
  <c r="FS49"/>
  <c r="EO49"/>
  <c r="DZ49"/>
  <c r="DV49"/>
  <c r="DG49"/>
  <c r="DC47"/>
  <c r="BJ49"/>
  <c r="BF49"/>
  <c r="AU47"/>
  <c r="AU49" s="1"/>
  <c r="AQ49"/>
  <c r="AM49"/>
  <c r="F42" i="226"/>
  <c r="G42" i="217"/>
  <c r="K37" i="212"/>
  <c r="J38"/>
  <c r="I42" i="226"/>
  <c r="J38" i="217"/>
  <c r="B42" i="223"/>
  <c r="BT16" i="2"/>
  <c r="AN13" i="37" s="1"/>
  <c r="C15" i="2"/>
  <c r="B12" i="37" s="1"/>
  <c r="AM17" i="2"/>
  <c r="V14" i="37" s="1"/>
  <c r="CF23" i="2"/>
  <c r="AU20" i="37" s="1"/>
  <c r="BE40" i="2"/>
  <c r="AF37" i="37" s="1"/>
  <c r="AD41" i="2"/>
  <c r="Q38" i="37" s="1"/>
  <c r="U44" i="2"/>
  <c r="L41" i="37" s="1"/>
  <c r="CO44" i="2"/>
  <c r="AZ41" i="37" s="1"/>
  <c r="K37" i="226"/>
  <c r="AR40" i="15"/>
  <c r="AT40" s="1"/>
  <c r="AU40" s="1"/>
  <c r="CZ67" i="58"/>
  <c r="H27" i="124"/>
  <c r="H38"/>
  <c r="BL67" i="58"/>
  <c r="R10" i="6"/>
  <c r="AP11" i="3"/>
  <c r="AR12"/>
  <c r="AS12" s="1"/>
  <c r="D50"/>
  <c r="AS19"/>
  <c r="AS50" s="1"/>
  <c r="AR50"/>
  <c r="Y19"/>
  <c r="Y50" s="1"/>
  <c r="X50"/>
  <c r="J11"/>
  <c r="L12"/>
  <c r="M12" s="1"/>
  <c r="AC19"/>
  <c r="AC50" s="1"/>
  <c r="AB50"/>
  <c r="I19"/>
  <c r="I50" s="1"/>
  <c r="H50"/>
  <c r="AO19"/>
  <c r="AO50" s="1"/>
  <c r="AN50"/>
  <c r="Z11"/>
  <c r="AB12"/>
  <c r="AC12" s="1"/>
  <c r="AG19"/>
  <c r="AG50" s="1"/>
  <c r="AF50"/>
  <c r="AK19"/>
  <c r="AK50" s="1"/>
  <c r="AJ50"/>
  <c r="Q19"/>
  <c r="Q50" s="1"/>
  <c r="P50"/>
  <c r="U19"/>
  <c r="U50" s="1"/>
  <c r="F49" i="34"/>
  <c r="H47"/>
  <c r="H49" s="1"/>
  <c r="AT48" i="2"/>
  <c r="AO48" s="1"/>
  <c r="CV48"/>
  <c r="CQ48" s="1"/>
  <c r="S48"/>
  <c r="BC48"/>
  <c r="CM48"/>
  <c r="CC48"/>
  <c r="BW48"/>
  <c r="X46" i="35"/>
  <c r="AK17" i="1"/>
  <c r="AI16"/>
  <c r="AW17"/>
  <c r="AU16"/>
  <c r="P48" i="16"/>
  <c r="E34" i="220" s="1"/>
  <c r="O48" i="19"/>
  <c r="CQ48"/>
  <c r="AN50" i="16"/>
  <c r="DA48" i="19"/>
  <c r="AR46" i="35"/>
  <c r="BL45" i="34"/>
  <c r="AQ46" i="35"/>
  <c r="AS46" s="1"/>
  <c r="AM46"/>
  <c r="AH46"/>
  <c r="AC46"/>
  <c r="AQ45" i="34"/>
  <c r="AB46" i="35"/>
  <c r="N46"/>
  <c r="I46"/>
  <c r="J46" s="1"/>
  <c r="S44" i="72"/>
  <c r="E43"/>
  <c r="E43" i="73"/>
  <c r="S44"/>
  <c r="E43" i="74"/>
  <c r="S44"/>
  <c r="E43" i="75"/>
  <c r="S44"/>
  <c r="E43" i="76"/>
  <c r="S44"/>
  <c r="E43" i="77"/>
  <c r="S44"/>
  <c r="E43" i="78"/>
  <c r="S44"/>
  <c r="E43" i="79"/>
  <c r="S44"/>
  <c r="S45" i="80"/>
  <c r="E44"/>
  <c r="S44" i="71"/>
  <c r="E43"/>
  <c r="AS46" i="2"/>
  <c r="Y43" i="37" s="1"/>
  <c r="AM46" i="2"/>
  <c r="V43" i="37" s="1"/>
  <c r="CO46" i="2"/>
  <c r="AZ43" i="37" s="1"/>
  <c r="CU46" i="2"/>
  <c r="BC43" i="37" s="1"/>
  <c r="L46" i="2"/>
  <c r="G43" i="37" s="1"/>
  <c r="R46" i="2"/>
  <c r="J43" i="37" s="1"/>
  <c r="AV46" i="2"/>
  <c r="AA43" i="37" s="1"/>
  <c r="BB46" i="2"/>
  <c r="AD43" i="37" s="1"/>
  <c r="CL46" i="2"/>
  <c r="AX43" i="37" s="1"/>
  <c r="CF46" i="2"/>
  <c r="AU43" i="37" s="1"/>
  <c r="D46" i="35"/>
  <c r="L45" i="21"/>
  <c r="D33" i="232" s="1"/>
  <c r="T45" i="21"/>
  <c r="F33" i="232" s="1"/>
  <c r="AF45" i="21"/>
  <c r="I33" i="232" s="1"/>
  <c r="AJ45" i="21"/>
  <c r="J33" i="232" s="1"/>
  <c r="AN45" i="21"/>
  <c r="K33" i="232" s="1"/>
  <c r="AR45" i="21"/>
  <c r="L33" i="232" s="1"/>
  <c r="O47" i="18"/>
  <c r="C49"/>
  <c r="AF47"/>
  <c r="T49"/>
  <c r="AW47"/>
  <c r="AK49"/>
  <c r="BN47"/>
  <c r="CE47"/>
  <c r="BS49"/>
  <c r="CV47"/>
  <c r="CJ49"/>
  <c r="DM47"/>
  <c r="DA49"/>
  <c r="DR49"/>
  <c r="ED47"/>
  <c r="EI49"/>
  <c r="EU47"/>
  <c r="EZ49"/>
  <c r="FL47"/>
  <c r="FQ49"/>
  <c r="GC47"/>
  <c r="U17" i="7"/>
  <c r="V17" s="1"/>
  <c r="X17" i="58" s="1"/>
  <c r="Q16" i="7"/>
  <c r="AI17"/>
  <c r="AJ17" s="1"/>
  <c r="AR17" i="58" s="1"/>
  <c r="AE16" i="7"/>
  <c r="AW17"/>
  <c r="AX17" s="1"/>
  <c r="BL17" i="58" s="1"/>
  <c r="AS16" i="7"/>
  <c r="BI17" i="1"/>
  <c r="BG16"/>
  <c r="Y46" i="35"/>
  <c r="AJ45" i="34"/>
  <c r="O46" i="35"/>
  <c r="V45" i="34"/>
  <c r="O45"/>
  <c r="P46" i="2"/>
  <c r="I43" i="37" s="1"/>
  <c r="AZ46" i="2"/>
  <c r="AC43" i="37" s="1"/>
  <c r="CJ46" i="2"/>
  <c r="AW43" i="37" s="1"/>
  <c r="AQ46" i="2"/>
  <c r="X43" i="37" s="1"/>
  <c r="CS46" i="2"/>
  <c r="BB43" i="37" s="1"/>
  <c r="E46" i="35"/>
  <c r="C55" i="33"/>
  <c r="C57" s="1"/>
  <c r="C58" s="1"/>
  <c r="C59" s="1"/>
  <c r="FW49" i="18"/>
  <c r="X49"/>
  <c r="V49"/>
  <c r="M49"/>
  <c r="K49"/>
  <c r="I49"/>
  <c r="G49"/>
  <c r="E49"/>
  <c r="S43" i="70"/>
  <c r="D42"/>
  <c r="K43" i="12"/>
  <c r="K44" s="1"/>
  <c r="CV11" i="18"/>
  <c r="CX11" s="1"/>
  <c r="CY11" s="1"/>
  <c r="BD12" i="19" s="1"/>
  <c r="AD33" i="5"/>
  <c r="W26" i="2"/>
  <c r="M23" i="37" s="1"/>
  <c r="U22" i="2"/>
  <c r="L19" i="37" s="1"/>
  <c r="U10" i="2"/>
  <c r="L7" i="37" s="1"/>
  <c r="W14" i="2"/>
  <c r="M11" i="37" s="1"/>
  <c r="AA28" i="2"/>
  <c r="O25" i="37" s="1"/>
  <c r="AA32" i="2"/>
  <c r="O29" i="37" s="1"/>
  <c r="U36" i="2"/>
  <c r="L33" i="37" s="1"/>
  <c r="BS45" i="34"/>
  <c r="AW46" i="35"/>
  <c r="P45" i="21"/>
  <c r="E33" i="232" s="1"/>
  <c r="X45" i="21"/>
  <c r="G33" i="232" s="1"/>
  <c r="AB45" i="21"/>
  <c r="H33" i="232" s="1"/>
  <c r="D45" i="21"/>
  <c r="B33" i="232" s="1"/>
  <c r="H45" i="21"/>
  <c r="C33" i="232" s="1"/>
  <c r="AI46" i="35"/>
  <c r="BY46" i="2"/>
  <c r="AQ43" i="37" s="1"/>
  <c r="CC46" i="2"/>
  <c r="AS43" i="37" s="1"/>
  <c r="BW46" i="2"/>
  <c r="AP43" i="37" s="1"/>
  <c r="CA46" i="2"/>
  <c r="AR43" i="37" s="1"/>
  <c r="BB46" i="35"/>
  <c r="BZ45" i="34"/>
  <c r="BA46" i="35"/>
  <c r="AN46"/>
  <c r="BK17" i="7"/>
  <c r="BL17" s="1"/>
  <c r="CF17" i="58" s="1"/>
  <c r="BG16" i="7"/>
  <c r="BY17"/>
  <c r="BZ17" s="1"/>
  <c r="CZ17" i="58" s="1"/>
  <c r="BU16" i="7"/>
  <c r="F19" i="58"/>
  <c r="E19" i="3"/>
  <c r="Z43" i="13"/>
  <c r="AA42"/>
  <c r="AU42"/>
  <c r="AS43"/>
  <c r="BE44"/>
  <c r="BF43"/>
  <c r="V42"/>
  <c r="AX44"/>
  <c r="BA43"/>
  <c r="AQ43" i="64"/>
  <c r="AR43" s="1"/>
  <c r="AS43" s="1"/>
  <c r="AI43"/>
  <c r="AJ43" s="1"/>
  <c r="AK43" s="1"/>
  <c r="AE43"/>
  <c r="AF43" s="1"/>
  <c r="AG43" s="1"/>
  <c r="AA43"/>
  <c r="AB43" s="1"/>
  <c r="AC43" s="1"/>
  <c r="W43"/>
  <c r="X43" s="1"/>
  <c r="Y43" s="1"/>
  <c r="S43"/>
  <c r="T43" s="1"/>
  <c r="U43" s="1"/>
  <c r="O43"/>
  <c r="P43" s="1"/>
  <c r="Q43" s="1"/>
  <c r="K43"/>
  <c r="L43" s="1"/>
  <c r="M43" s="1"/>
  <c r="G43"/>
  <c r="H43" s="1"/>
  <c r="I43" s="1"/>
  <c r="ED18" i="18"/>
  <c r="AW18"/>
  <c r="FL11"/>
  <c r="FN11" s="1"/>
  <c r="FO11" s="1"/>
  <c r="CR12" i="19" s="1"/>
  <c r="AF11" i="18"/>
  <c r="AH11" s="1"/>
  <c r="AI11" s="1"/>
  <c r="P12" i="19" s="1"/>
  <c r="O18" i="18"/>
  <c r="AF18"/>
  <c r="CV18"/>
  <c r="FL18"/>
  <c r="EU18"/>
  <c r="G6" i="73"/>
  <c r="F7"/>
  <c r="E41" i="12"/>
  <c r="O11" i="6"/>
  <c r="BM11" i="58" s="1"/>
  <c r="N12" i="6"/>
  <c r="CV9" i="18"/>
  <c r="CX9" s="1"/>
  <c r="CY9" s="1"/>
  <c r="BD10" i="19" s="1"/>
  <c r="V45"/>
  <c r="T33" i="5"/>
  <c r="P15" i="2"/>
  <c r="I12" i="37" s="1"/>
  <c r="R11" i="2"/>
  <c r="J8" i="37" s="1"/>
  <c r="BR37" i="2"/>
  <c r="AM34" i="37" s="1"/>
  <c r="CS17" i="2"/>
  <c r="BB14" i="37" s="1"/>
  <c r="V33" i="5"/>
  <c r="CQ17" i="2"/>
  <c r="BA14" i="37" s="1"/>
  <c r="N38" i="2"/>
  <c r="H35" i="37" s="1"/>
  <c r="L38" i="2"/>
  <c r="G35" i="37" s="1"/>
  <c r="L45" i="2"/>
  <c r="G42" i="37" s="1"/>
  <c r="P23" i="2"/>
  <c r="I20" i="37" s="1"/>
  <c r="N28" i="2"/>
  <c r="H25" i="37" s="1"/>
  <c r="L32" i="2"/>
  <c r="G29" i="37" s="1"/>
  <c r="L36" i="2"/>
  <c r="G33" i="37" s="1"/>
  <c r="AA11" i="2"/>
  <c r="O8" i="37" s="1"/>
  <c r="W15" i="2"/>
  <c r="M12" i="37" s="1"/>
  <c r="W23" i="2"/>
  <c r="M20" i="37" s="1"/>
  <c r="W27" i="2"/>
  <c r="M24" i="37" s="1"/>
  <c r="Y31" i="2"/>
  <c r="N28" i="37" s="1"/>
  <c r="Y35" i="2"/>
  <c r="N32" i="37" s="1"/>
  <c r="AF8" i="18"/>
  <c r="AH8" s="1"/>
  <c r="AI8" s="1"/>
  <c r="P9" i="19" s="1"/>
  <c r="E42" i="12"/>
  <c r="I42"/>
  <c r="G42"/>
  <c r="B40" i="5"/>
  <c r="BJ17" i="58"/>
  <c r="U17" i="5"/>
  <c r="G17" i="1"/>
  <c r="E16"/>
  <c r="AO15"/>
  <c r="AQ16"/>
  <c r="AF45" i="19"/>
  <c r="R23" i="5"/>
  <c r="L30" i="2"/>
  <c r="G27" i="37" s="1"/>
  <c r="U23" i="2"/>
  <c r="L20" i="37" s="1"/>
  <c r="U11" i="2"/>
  <c r="L8" i="37" s="1"/>
  <c r="U15" i="2"/>
  <c r="L12" i="37" s="1"/>
  <c r="Y23" i="2"/>
  <c r="N20" i="37" s="1"/>
  <c r="U27" i="2"/>
  <c r="L24" i="37" s="1"/>
  <c r="U31" i="2"/>
  <c r="L28" i="37" s="1"/>
  <c r="U35" i="2"/>
  <c r="L32" i="37" s="1"/>
  <c r="AM37" i="2"/>
  <c r="V34" i="37" s="1"/>
  <c r="AP44" i="19"/>
  <c r="AB45" i="9"/>
  <c r="CD44" i="19"/>
  <c r="B19" i="35"/>
  <c r="L19"/>
  <c r="V19"/>
  <c r="AF19"/>
  <c r="AP19"/>
  <c r="AZ19"/>
  <c r="G19"/>
  <c r="Q19"/>
  <c r="AA19"/>
  <c r="AK19"/>
  <c r="AU19"/>
  <c r="D9" i="13"/>
  <c r="G10"/>
  <c r="X14" i="3"/>
  <c r="Y14" s="1"/>
  <c r="V13"/>
  <c r="M17" i="1"/>
  <c r="K16"/>
  <c r="Y17"/>
  <c r="W16"/>
  <c r="BD9" i="18"/>
  <c r="BM8"/>
  <c r="BA9"/>
  <c r="BB9" s="1"/>
  <c r="BK9"/>
  <c r="BL9" s="1"/>
  <c r="BN9" s="1"/>
  <c r="BP9" s="1"/>
  <c r="BQ9" s="1"/>
  <c r="AJ10" i="19" s="1"/>
  <c r="BG9" i="18"/>
  <c r="BH9" s="1"/>
  <c r="G12" i="41"/>
  <c r="G13" s="1"/>
  <c r="G42" s="1"/>
  <c r="AO37" i="2"/>
  <c r="W34" i="37" s="1"/>
  <c r="F22" i="41"/>
  <c r="J22"/>
  <c r="K22"/>
  <c r="E22"/>
  <c r="N19" i="58"/>
  <c r="V19" i="15"/>
  <c r="AL19"/>
  <c r="M19" i="3"/>
  <c r="M50" s="1"/>
  <c r="BC19" i="19"/>
  <c r="CQ19"/>
  <c r="G17" i="71"/>
  <c r="F18"/>
  <c r="E19" i="19"/>
  <c r="U7" i="18"/>
  <c r="V7" s="1"/>
  <c r="AA7"/>
  <c r="AB7" s="1"/>
  <c r="S7"/>
  <c r="T7" s="1"/>
  <c r="Y7"/>
  <c r="Z7" s="1"/>
  <c r="AC7"/>
  <c r="AD7" s="1"/>
  <c r="D22" i="41"/>
  <c r="H22"/>
  <c r="L22"/>
  <c r="G22"/>
  <c r="I22"/>
  <c r="D46" i="2"/>
  <c r="J45"/>
  <c r="AX45"/>
  <c r="AB42" i="37" s="1"/>
  <c r="BB45" i="2"/>
  <c r="AD42" i="37" s="1"/>
  <c r="AV45" i="2"/>
  <c r="AA42" i="37" s="1"/>
  <c r="CH45" i="2"/>
  <c r="AV42" i="37" s="1"/>
  <c r="CL45" i="2"/>
  <c r="AX42" i="37" s="1"/>
  <c r="CF45" i="2"/>
  <c r="AU42" i="37" s="1"/>
  <c r="C12" i="41"/>
  <c r="C13" s="1"/>
  <c r="C42" s="1"/>
  <c r="K12"/>
  <c r="K13" s="1"/>
  <c r="K42" s="1"/>
  <c r="J45" i="35"/>
  <c r="AF45" i="18"/>
  <c r="BN45"/>
  <c r="ED45"/>
  <c r="AW45"/>
  <c r="DM45"/>
  <c r="CV45"/>
  <c r="FL45"/>
  <c r="CE45"/>
  <c r="EU45"/>
  <c r="L45" i="19"/>
  <c r="AZ45"/>
  <c r="CN45"/>
  <c r="BT45"/>
  <c r="BJ45"/>
  <c r="CX45"/>
  <c r="E19" i="58"/>
  <c r="I18" i="71"/>
  <c r="H19"/>
  <c r="G17" i="74"/>
  <c r="F18"/>
  <c r="G7" i="75"/>
  <c r="F8"/>
  <c r="F18" i="72"/>
  <c r="F24" i="74"/>
  <c r="F24" i="78"/>
  <c r="F25" s="1"/>
  <c r="F18" i="73"/>
  <c r="F24" i="75"/>
  <c r="F24" i="71"/>
  <c r="G24" i="79"/>
  <c r="F25"/>
  <c r="G24" i="78"/>
  <c r="F23" i="70"/>
  <c r="E24"/>
  <c r="G18" i="77"/>
  <c r="F19"/>
  <c r="G7" i="74"/>
  <c r="F8"/>
  <c r="G23" i="73"/>
  <c r="F24"/>
  <c r="G7" i="71"/>
  <c r="F8"/>
  <c r="F9" i="70"/>
  <c r="E10"/>
  <c r="J29" i="5"/>
  <c r="X29" s="1"/>
  <c r="P27"/>
  <c r="X27"/>
  <c r="P33"/>
  <c r="X33"/>
  <c r="R33"/>
  <c r="J24"/>
  <c r="AA14" i="2"/>
  <c r="O11" i="37" s="1"/>
  <c r="AA10" i="2"/>
  <c r="O7" i="37" s="1"/>
  <c r="BN37" i="2"/>
  <c r="AK34" i="37" s="1"/>
  <c r="J19" i="2"/>
  <c r="CV19"/>
  <c r="CM19"/>
  <c r="CD19"/>
  <c r="CD50" s="1"/>
  <c r="BU19"/>
  <c r="BL19"/>
  <c r="BC19"/>
  <c r="AT19"/>
  <c r="AK19"/>
  <c r="AB19"/>
  <c r="S19"/>
  <c r="BY37"/>
  <c r="AQ34" i="37" s="1"/>
  <c r="BW37" i="2"/>
  <c r="AP34" i="37" s="1"/>
  <c r="CA37" i="2"/>
  <c r="AR34" i="37" s="1"/>
  <c r="AO26" i="2"/>
  <c r="W23" i="37" s="1"/>
  <c r="AQ26" i="2"/>
  <c r="X23" i="37" s="1"/>
  <c r="AM26" i="2"/>
  <c r="V23" i="37" s="1"/>
  <c r="CC37" i="2"/>
  <c r="AS34" i="37" s="1"/>
  <c r="AS26" i="2"/>
  <c r="Y23" i="37" s="1"/>
  <c r="BW44" i="34"/>
  <c r="L31" i="233" s="1"/>
  <c r="BI44" i="34"/>
  <c r="J31" i="233" s="1"/>
  <c r="AU44" i="34"/>
  <c r="H31" i="233" s="1"/>
  <c r="AG44" i="34"/>
  <c r="F31" i="233" s="1"/>
  <c r="S44" i="34"/>
  <c r="D31" i="233" s="1"/>
  <c r="E44" i="34"/>
  <c r="B31" i="233" s="1"/>
  <c r="D32" i="41"/>
  <c r="D33" s="1"/>
  <c r="D34" s="1"/>
  <c r="H32"/>
  <c r="H33" s="1"/>
  <c r="H34" s="1"/>
  <c r="B32"/>
  <c r="B33" s="1"/>
  <c r="B34" s="1"/>
  <c r="C32"/>
  <c r="C33" s="1"/>
  <c r="C34" s="1"/>
  <c r="G32"/>
  <c r="G33" s="1"/>
  <c r="G34" s="1"/>
  <c r="K32"/>
  <c r="K33" s="1"/>
  <c r="K34" s="1"/>
  <c r="E32"/>
  <c r="E33" s="1"/>
  <c r="E34" s="1"/>
  <c r="I32"/>
  <c r="I33" s="1"/>
  <c r="I34" s="1"/>
  <c r="F32"/>
  <c r="F33" s="1"/>
  <c r="F34" s="1"/>
  <c r="J32"/>
  <c r="J33" s="1"/>
  <c r="J34" s="1"/>
  <c r="FR11" i="18"/>
  <c r="FS11" s="1"/>
  <c r="FX11"/>
  <c r="FY11" s="1"/>
  <c r="GB10"/>
  <c r="FR10" s="1"/>
  <c r="FP11"/>
  <c r="FQ11" s="1"/>
  <c r="FV11"/>
  <c r="FW11" s="1"/>
  <c r="FZ11"/>
  <c r="GA11" s="1"/>
  <c r="H19" i="15"/>
  <c r="BF10" i="13"/>
  <c r="BE9"/>
  <c r="G19" i="15"/>
  <c r="J15" i="14"/>
  <c r="P15" i="15" s="1"/>
  <c r="R15" s="1"/>
  <c r="S15" s="1"/>
  <c r="AH15" i="19" s="1"/>
  <c r="N15" i="14"/>
  <c r="AF15" i="15" s="1"/>
  <c r="X19"/>
  <c r="AN19"/>
  <c r="H15" i="14"/>
  <c r="H15" i="15" s="1"/>
  <c r="O15" i="14"/>
  <c r="AJ15" i="15" s="1"/>
  <c r="K15" i="14"/>
  <c r="T15" i="15" s="1"/>
  <c r="V15" s="1"/>
  <c r="W15" s="1"/>
  <c r="AR15" i="19" s="1"/>
  <c r="Q15" i="14"/>
  <c r="AR15" i="15" s="1"/>
  <c r="P19"/>
  <c r="AF19"/>
  <c r="AB19"/>
  <c r="C12" i="14"/>
  <c r="G13"/>
  <c r="L19" i="15"/>
  <c r="AR19"/>
  <c r="H14" i="14"/>
  <c r="H14" i="15" s="1"/>
  <c r="J14" i="14"/>
  <c r="P14" i="15" s="1"/>
  <c r="R14" s="1"/>
  <c r="S14" s="1"/>
  <c r="AH14" i="19" s="1"/>
  <c r="L14" i="14"/>
  <c r="X14" i="15" s="1"/>
  <c r="Z14" s="1"/>
  <c r="AA14" s="1"/>
  <c r="BB14" i="19" s="1"/>
  <c r="N14" i="14"/>
  <c r="AF14" i="15" s="1"/>
  <c r="P14" i="14"/>
  <c r="AN14" i="15" s="1"/>
  <c r="AP14" s="1"/>
  <c r="AQ14" s="1"/>
  <c r="CP14" i="19" s="1"/>
  <c r="I14" i="14"/>
  <c r="L14" i="15" s="1"/>
  <c r="K14" i="14"/>
  <c r="T14" i="15" s="1"/>
  <c r="M14" i="14"/>
  <c r="AB14" i="15" s="1"/>
  <c r="O14" i="14"/>
  <c r="AJ14" i="15" s="1"/>
  <c r="Q14" i="14"/>
  <c r="AR14" i="15" s="1"/>
  <c r="U9" i="13"/>
  <c r="V10"/>
  <c r="AB41" i="15"/>
  <c r="AD41" s="1"/>
  <c r="AE41" s="1"/>
  <c r="H38" i="12"/>
  <c r="AR41" i="15"/>
  <c r="AT41" s="1"/>
  <c r="AU41" s="1"/>
  <c r="L38" i="12"/>
  <c r="B22" i="64"/>
  <c r="F23"/>
  <c r="J23"/>
  <c r="R23"/>
  <c r="V23"/>
  <c r="Z23"/>
  <c r="AH23"/>
  <c r="AP23"/>
  <c r="C23"/>
  <c r="D23" s="1"/>
  <c r="E23" s="1"/>
  <c r="N23"/>
  <c r="AD23"/>
  <c r="AL23"/>
  <c r="N12" i="10"/>
  <c r="Z12"/>
  <c r="AL12"/>
  <c r="AX12"/>
  <c r="BJ12"/>
  <c r="H12"/>
  <c r="T12"/>
  <c r="AF12"/>
  <c r="AH13"/>
  <c r="AR12"/>
  <c r="BD12"/>
  <c r="BF13"/>
  <c r="X45" i="58"/>
  <c r="BL45"/>
  <c r="CZ45"/>
  <c r="C16" i="7"/>
  <c r="G17"/>
  <c r="H17" s="1"/>
  <c r="D17" i="58" s="1"/>
  <c r="AC19" i="7"/>
  <c r="BE19"/>
  <c r="AY9"/>
  <c r="X15"/>
  <c r="AB16"/>
  <c r="AC16" s="1"/>
  <c r="AH16" i="58" s="1"/>
  <c r="AL15" i="7"/>
  <c r="AP16"/>
  <c r="AQ16" s="1"/>
  <c r="BB16" i="58" s="1"/>
  <c r="AZ15" i="7"/>
  <c r="BD16"/>
  <c r="BE16" s="1"/>
  <c r="BV16" i="58" s="1"/>
  <c r="BN15" i="7"/>
  <c r="BR16"/>
  <c r="BS16" s="1"/>
  <c r="CP16" i="58" s="1"/>
  <c r="I11" i="7"/>
  <c r="W10"/>
  <c r="AR45" i="58"/>
  <c r="CF45"/>
  <c r="J16" i="7"/>
  <c r="N17"/>
  <c r="O17" s="1"/>
  <c r="N17" i="58" s="1"/>
  <c r="AQ19" i="7"/>
  <c r="BS19"/>
  <c r="AK11"/>
  <c r="C6" i="70"/>
  <c r="D7" i="79"/>
  <c r="D7" i="77"/>
  <c r="D7" i="75"/>
  <c r="D7" i="73"/>
  <c r="D7" i="71"/>
  <c r="D7" i="80"/>
  <c r="D7" i="78"/>
  <c r="D7" i="76"/>
  <c r="D7" i="74"/>
  <c r="D7" i="72"/>
  <c r="H14" i="3"/>
  <c r="I14" s="1"/>
  <c r="F13"/>
  <c r="B13"/>
  <c r="D14"/>
  <c r="E14" s="1"/>
  <c r="AH13"/>
  <c r="AJ14"/>
  <c r="AK14" s="1"/>
  <c r="AL13"/>
  <c r="AN14"/>
  <c r="AO14" s="1"/>
  <c r="R13"/>
  <c r="T14"/>
  <c r="U14" s="1"/>
  <c r="BT26" i="2"/>
  <c r="AN23" i="37" s="1"/>
  <c r="BP26" i="2"/>
  <c r="AL23" i="37" s="1"/>
  <c r="BR26" i="2"/>
  <c r="AM23" i="37" s="1"/>
  <c r="BN26" i="2"/>
  <c r="AK23" i="37" s="1"/>
  <c r="BI26" i="2"/>
  <c r="AH23" i="37" s="1"/>
  <c r="BK26" i="2"/>
  <c r="AI23" i="37" s="1"/>
  <c r="BG26" i="2"/>
  <c r="AG23" i="37" s="1"/>
  <c r="BB37" i="2"/>
  <c r="AD34" i="37" s="1"/>
  <c r="AZ37" i="2"/>
  <c r="AC34" i="37" s="1"/>
  <c r="AX37" i="2"/>
  <c r="AB34" i="37" s="1"/>
  <c r="BB26" i="2"/>
  <c r="AD23" i="37" s="1"/>
  <c r="AZ26" i="2"/>
  <c r="AC23" i="37" s="1"/>
  <c r="AX26" i="2"/>
  <c r="AB23" i="37" s="1"/>
  <c r="AV37" i="2"/>
  <c r="AA34" i="37" s="1"/>
  <c r="R27" i="5"/>
  <c r="Z27"/>
  <c r="N27"/>
  <c r="V27"/>
  <c r="AC16" i="1"/>
  <c r="AE17"/>
  <c r="Q16"/>
  <c r="S17"/>
  <c r="BM16"/>
  <c r="BO17"/>
  <c r="AD29" i="5"/>
  <c r="J28"/>
  <c r="R28" s="1"/>
  <c r="J25"/>
  <c r="R25" s="1"/>
  <c r="N29"/>
  <c r="T29"/>
  <c r="Z28"/>
  <c r="J34"/>
  <c r="BY26" i="2"/>
  <c r="AQ23" i="37" s="1"/>
  <c r="CA26" i="2"/>
  <c r="AR23" i="37" s="1"/>
  <c r="BW26" i="2"/>
  <c r="AP23" i="37" s="1"/>
  <c r="J19" i="5"/>
  <c r="V29"/>
  <c r="L29"/>
  <c r="AB29"/>
  <c r="V28"/>
  <c r="BR11" i="18"/>
  <c r="BS11" s="1"/>
  <c r="BT11"/>
  <c r="BU11" s="1"/>
  <c r="BZ11"/>
  <c r="CA11" s="1"/>
  <c r="CD10"/>
  <c r="BT10" s="1"/>
  <c r="BX11"/>
  <c r="BY11" s="1"/>
  <c r="CB11"/>
  <c r="CC11" s="1"/>
  <c r="EH11"/>
  <c r="EI11" s="1"/>
  <c r="EJ11"/>
  <c r="EK11" s="1"/>
  <c r="EP11"/>
  <c r="EQ11" s="1"/>
  <c r="ET10"/>
  <c r="EJ10" s="1"/>
  <c r="EN11"/>
  <c r="EO11" s="1"/>
  <c r="ER11"/>
  <c r="ES11" s="1"/>
  <c r="J31" i="5"/>
  <c r="F31" i="58"/>
  <c r="E33" i="124" s="1"/>
  <c r="J20" i="5"/>
  <c r="AB25"/>
  <c r="AJ11" i="18"/>
  <c r="AK11" s="1"/>
  <c r="AL11"/>
  <c r="AM11" s="1"/>
  <c r="AR11"/>
  <c r="AS11" s="1"/>
  <c r="AV10"/>
  <c r="AL10" s="1"/>
  <c r="AP11"/>
  <c r="AQ11" s="1"/>
  <c r="AT11"/>
  <c r="AU11" s="1"/>
  <c r="CZ11"/>
  <c r="DA11" s="1"/>
  <c r="DB11"/>
  <c r="DC11" s="1"/>
  <c r="DH11"/>
  <c r="DI11" s="1"/>
  <c r="DL10"/>
  <c r="DB10" s="1"/>
  <c r="DF11"/>
  <c r="DG11" s="1"/>
  <c r="DJ11"/>
  <c r="DK11" s="1"/>
  <c r="J21" i="5"/>
  <c r="F21" i="58"/>
  <c r="E23" i="124" s="1"/>
  <c r="R19" i="5"/>
  <c r="F5" i="216" s="1"/>
  <c r="V25" i="5"/>
  <c r="R29"/>
  <c r="Z29"/>
  <c r="J26"/>
  <c r="P29"/>
  <c r="J30"/>
  <c r="S45" i="35"/>
  <c r="F43" i="16"/>
  <c r="G43" s="1"/>
  <c r="H43" s="1"/>
  <c r="V43"/>
  <c r="W43" s="1"/>
  <c r="X43" s="1"/>
  <c r="AL43"/>
  <c r="AM43" s="1"/>
  <c r="AN43" s="1"/>
  <c r="CG44" i="19"/>
  <c r="V19" i="7"/>
  <c r="AX19"/>
  <c r="BZ19"/>
  <c r="I18" i="72"/>
  <c r="H19"/>
  <c r="J22" i="5"/>
  <c r="F22" i="58"/>
  <c r="E24" i="124" s="1"/>
  <c r="K27" i="70"/>
  <c r="B17" i="215" s="1"/>
  <c r="B31" i="6"/>
  <c r="C31" s="1"/>
  <c r="E31" i="58" s="1"/>
  <c r="C33" i="124" s="1"/>
  <c r="G6" i="76"/>
  <c r="F7"/>
  <c r="I23" i="73"/>
  <c r="H24"/>
  <c r="F11" i="58"/>
  <c r="T31" i="6"/>
  <c r="U31" s="1"/>
  <c r="CQ31" i="58" s="1"/>
  <c r="L28" i="79"/>
  <c r="K17" i="215" s="1"/>
  <c r="AD45" i="35"/>
  <c r="AX45"/>
  <c r="AI43" i="19"/>
  <c r="AD43" i="16"/>
  <c r="AE43" s="1"/>
  <c r="AF43" s="1"/>
  <c r="Y44" i="19"/>
  <c r="BM44"/>
  <c r="DA44"/>
  <c r="AF44" i="18"/>
  <c r="H19" i="7"/>
  <c r="AJ19"/>
  <c r="BL19"/>
  <c r="L20" i="75"/>
  <c r="G9" i="215" s="1"/>
  <c r="L23" i="6"/>
  <c r="M23" s="1"/>
  <c r="BC23" i="58" s="1"/>
  <c r="I25" i="75"/>
  <c r="H26"/>
  <c r="I26" s="1"/>
  <c r="L20" i="74"/>
  <c r="F9" i="215" s="1"/>
  <c r="J23" i="6"/>
  <c r="K23" s="1"/>
  <c r="AS23" i="58" s="1"/>
  <c r="I25" i="74"/>
  <c r="H26"/>
  <c r="I26" s="1"/>
  <c r="I24" i="72"/>
  <c r="H25"/>
  <c r="F17" i="58"/>
  <c r="G7" i="80"/>
  <c r="F8"/>
  <c r="G6" i="77"/>
  <c r="F7"/>
  <c r="J32" i="5"/>
  <c r="F32" i="58"/>
  <c r="E34" i="124" s="1"/>
  <c r="R31" i="6"/>
  <c r="S31" s="1"/>
  <c r="CG31" i="58" s="1"/>
  <c r="L28" i="78"/>
  <c r="J17" i="215" s="1"/>
  <c r="E27" i="70"/>
  <c r="G27" s="1"/>
  <c r="F28"/>
  <c r="N8" i="3"/>
  <c r="P8" s="1"/>
  <c r="Q8" s="1"/>
  <c r="P9"/>
  <c r="Q9" s="1"/>
  <c r="AD8"/>
  <c r="AF8" s="1"/>
  <c r="AG8" s="1"/>
  <c r="AF9"/>
  <c r="AG9" s="1"/>
  <c r="T45" i="35"/>
  <c r="AN45"/>
  <c r="F29" i="79"/>
  <c r="H29" s="1"/>
  <c r="I29" s="1"/>
  <c r="G30"/>
  <c r="F29" i="78"/>
  <c r="H29" s="1"/>
  <c r="I29" s="1"/>
  <c r="G30"/>
  <c r="N31" i="6"/>
  <c r="O31" s="1"/>
  <c r="BM31" i="58" s="1"/>
  <c r="L28" i="76"/>
  <c r="H17" i="215" s="1"/>
  <c r="L31" i="6"/>
  <c r="M31" s="1"/>
  <c r="BC31" i="58" s="1"/>
  <c r="L28" i="75"/>
  <c r="G17" i="215" s="1"/>
  <c r="J31" i="6"/>
  <c r="K31" s="1"/>
  <c r="AS31" i="58" s="1"/>
  <c r="L28" i="74"/>
  <c r="F17" i="215" s="1"/>
  <c r="H31" i="6"/>
  <c r="I31" s="1"/>
  <c r="AI31" i="58" s="1"/>
  <c r="L28" i="73"/>
  <c r="E17" i="215" s="1"/>
  <c r="D60" i="29"/>
  <c r="D61" s="1"/>
  <c r="D62" s="1"/>
  <c r="F29" i="76"/>
  <c r="H29" s="1"/>
  <c r="I29" s="1"/>
  <c r="G30"/>
  <c r="F29" i="75"/>
  <c r="H29" s="1"/>
  <c r="I29" s="1"/>
  <c r="G30"/>
  <c r="F29" i="74"/>
  <c r="H29" s="1"/>
  <c r="I29" s="1"/>
  <c r="G30"/>
  <c r="F29" i="73"/>
  <c r="H29" s="1"/>
  <c r="I29" s="1"/>
  <c r="G30"/>
  <c r="K13" i="6"/>
  <c r="AS13" i="58" s="1"/>
  <c r="J14" i="6"/>
  <c r="G24" i="80" l="1"/>
  <c r="F25"/>
  <c r="X28" i="5"/>
  <c r="O44" i="18"/>
  <c r="GC35"/>
  <c r="GE35" s="1"/>
  <c r="GF35" s="1"/>
  <c r="GC27"/>
  <c r="GE27" s="1"/>
  <c r="GF27" s="1"/>
  <c r="GC14"/>
  <c r="GE14" s="1"/>
  <c r="GF14" s="1"/>
  <c r="DB15" i="19" s="1"/>
  <c r="GC29" i="18"/>
  <c r="GE29" s="1"/>
  <c r="GF29" s="1"/>
  <c r="GC12"/>
  <c r="GE12" s="1"/>
  <c r="GF12" s="1"/>
  <c r="DB13" i="19" s="1"/>
  <c r="BN11" i="18"/>
  <c r="BP11" s="1"/>
  <c r="BQ11" s="1"/>
  <c r="AJ12" i="19" s="1"/>
  <c r="GC44" i="18"/>
  <c r="GE44" s="1"/>
  <c r="GF44" s="1"/>
  <c r="GC36"/>
  <c r="GE36" s="1"/>
  <c r="GF36" s="1"/>
  <c r="GC38"/>
  <c r="GE38" s="1"/>
  <c r="GF38" s="1"/>
  <c r="D10" i="6"/>
  <c r="DM44" i="18"/>
  <c r="DO44" s="1"/>
  <c r="DP44" s="1"/>
  <c r="DM36"/>
  <c r="DO36" s="1"/>
  <c r="DP36" s="1"/>
  <c r="DM20"/>
  <c r="DO20" s="1"/>
  <c r="DP20" s="1"/>
  <c r="DM12"/>
  <c r="DO12" s="1"/>
  <c r="DP12" s="1"/>
  <c r="BN13" i="19" s="1"/>
  <c r="DM28" i="18"/>
  <c r="DO28" s="1"/>
  <c r="DP28" s="1"/>
  <c r="DM34"/>
  <c r="DO34" s="1"/>
  <c r="DP34" s="1"/>
  <c r="DM18"/>
  <c r="DM43"/>
  <c r="DO43" s="1"/>
  <c r="DP43" s="1"/>
  <c r="DM35"/>
  <c r="DO35" s="1"/>
  <c r="DP35" s="1"/>
  <c r="DM19"/>
  <c r="DO19" s="1"/>
  <c r="DP19" s="1"/>
  <c r="N66" i="58"/>
  <c r="GC45" i="18"/>
  <c r="FL9"/>
  <c r="FN9" s="1"/>
  <c r="FO9" s="1"/>
  <c r="CR10" i="19" s="1"/>
  <c r="AW39" i="18"/>
  <c r="AY39" s="1"/>
  <c r="AZ39" s="1"/>
  <c r="AW40"/>
  <c r="AY40" s="1"/>
  <c r="AZ40" s="1"/>
  <c r="BN24"/>
  <c r="BP24" s="1"/>
  <c r="BQ24" s="1"/>
  <c r="AW12"/>
  <c r="AY12" s="1"/>
  <c r="AZ12" s="1"/>
  <c r="Z13" i="19" s="1"/>
  <c r="AW38" i="18"/>
  <c r="AY38" s="1"/>
  <c r="AZ38" s="1"/>
  <c r="AW22"/>
  <c r="AY22" s="1"/>
  <c r="AZ22" s="1"/>
  <c r="DM40"/>
  <c r="DO40" s="1"/>
  <c r="DP40" s="1"/>
  <c r="BN44"/>
  <c r="BP44" s="1"/>
  <c r="BQ44" s="1"/>
  <c r="B38" i="210"/>
  <c r="GC25" i="18"/>
  <c r="GE25" s="1"/>
  <c r="GF25" s="1"/>
  <c r="GC21"/>
  <c r="GE21" s="1"/>
  <c r="GF21" s="1"/>
  <c r="GC34"/>
  <c r="GE34" s="1"/>
  <c r="GF34" s="1"/>
  <c r="DM25"/>
  <c r="DO25" s="1"/>
  <c r="DP25" s="1"/>
  <c r="AW28"/>
  <c r="AY28" s="1"/>
  <c r="AZ28" s="1"/>
  <c r="AW29"/>
  <c r="AY29" s="1"/>
  <c r="AZ29" s="1"/>
  <c r="ED30"/>
  <c r="EF30" s="1"/>
  <c r="EG30" s="1"/>
  <c r="O36"/>
  <c r="Q36" s="1"/>
  <c r="R36" s="1"/>
  <c r="GC19"/>
  <c r="GE19" s="1"/>
  <c r="GF19" s="1"/>
  <c r="GC39"/>
  <c r="GE39" s="1"/>
  <c r="GF39" s="1"/>
  <c r="GC23"/>
  <c r="GE23" s="1"/>
  <c r="GF23" s="1"/>
  <c r="GC16"/>
  <c r="GE16" s="1"/>
  <c r="GF16" s="1"/>
  <c r="DB17" i="19" s="1"/>
  <c r="GC41" i="18"/>
  <c r="GE41" s="1"/>
  <c r="GF41" s="1"/>
  <c r="DM21"/>
  <c r="DO21" s="1"/>
  <c r="DP21" s="1"/>
  <c r="DM33"/>
  <c r="DO33" s="1"/>
  <c r="DP33" s="1"/>
  <c r="DM32"/>
  <c r="DO32" s="1"/>
  <c r="DP32" s="1"/>
  <c r="DM16"/>
  <c r="DO16" s="1"/>
  <c r="DP16" s="1"/>
  <c r="BN17" i="19" s="1"/>
  <c r="DM22" i="18"/>
  <c r="DO22" s="1"/>
  <c r="DP22" s="1"/>
  <c r="DM31"/>
  <c r="DO31" s="1"/>
  <c r="DP31" s="1"/>
  <c r="DM23"/>
  <c r="DO23" s="1"/>
  <c r="DP23" s="1"/>
  <c r="DM15"/>
  <c r="DO15" s="1"/>
  <c r="DP15" s="1"/>
  <c r="BN16" i="19" s="1"/>
  <c r="BN14" i="18"/>
  <c r="BP14" s="1"/>
  <c r="BQ14" s="1"/>
  <c r="AJ15" i="19" s="1"/>
  <c r="O26" i="18"/>
  <c r="Q26" s="1"/>
  <c r="R26" s="1"/>
  <c r="O21"/>
  <c r="Q21" s="1"/>
  <c r="R21" s="1"/>
  <c r="AW43"/>
  <c r="AY43" s="1"/>
  <c r="AZ43" s="1"/>
  <c r="AW27"/>
  <c r="AY27" s="1"/>
  <c r="AZ27" s="1"/>
  <c r="DM42"/>
  <c r="DO42" s="1"/>
  <c r="DP42" s="1"/>
  <c r="BN27"/>
  <c r="BP27" s="1"/>
  <c r="BQ27" s="1"/>
  <c r="AW35"/>
  <c r="AY35" s="1"/>
  <c r="AZ35" s="1"/>
  <c r="AW20"/>
  <c r="AY20" s="1"/>
  <c r="AZ20" s="1"/>
  <c r="ED37"/>
  <c r="EF37" s="1"/>
  <c r="EG37" s="1"/>
  <c r="F23" i="72"/>
  <c r="G23" s="1"/>
  <c r="DB23" i="19"/>
  <c r="L9" i="221"/>
  <c r="DB33" i="19"/>
  <c r="L19" i="221"/>
  <c r="DB30" i="19"/>
  <c r="L16" i="221"/>
  <c r="BN40" i="19"/>
  <c r="H26" i="221"/>
  <c r="Z22" i="19"/>
  <c r="D8" i="221"/>
  <c r="Z31" i="19"/>
  <c r="D17" i="221"/>
  <c r="BX45" i="19"/>
  <c r="I31" i="221"/>
  <c r="AJ22" i="19"/>
  <c r="E8" i="221"/>
  <c r="DB45" i="19"/>
  <c r="L31" i="221"/>
  <c r="DB37" i="19"/>
  <c r="L23" i="221"/>
  <c r="BN21" i="19"/>
  <c r="H7" i="221"/>
  <c r="CH42" i="19"/>
  <c r="J28" i="221"/>
  <c r="CH33" i="19"/>
  <c r="J19" i="221"/>
  <c r="CH38" i="19"/>
  <c r="J24" i="221"/>
  <c r="CH28" i="19"/>
  <c r="J14" i="221"/>
  <c r="DB26" i="19"/>
  <c r="L12" i="221"/>
  <c r="DB35" i="19"/>
  <c r="L21" i="221"/>
  <c r="BN26" i="19"/>
  <c r="H12" i="221"/>
  <c r="Z30" i="19"/>
  <c r="D16" i="221"/>
  <c r="BX31" i="19"/>
  <c r="I17" i="221"/>
  <c r="DB47" i="19"/>
  <c r="L33" i="221"/>
  <c r="BX33" i="19"/>
  <c r="I19" i="221"/>
  <c r="BX44" i="19"/>
  <c r="I30" i="221"/>
  <c r="BN32" i="19"/>
  <c r="H18" i="221"/>
  <c r="BL40" i="19"/>
  <c r="H26" i="219"/>
  <c r="BN43" i="19"/>
  <c r="H29" i="221"/>
  <c r="CH37" i="19"/>
  <c r="J23" i="221"/>
  <c r="CH26" i="19"/>
  <c r="J12" i="221"/>
  <c r="AJ28" i="19"/>
  <c r="E14" i="221"/>
  <c r="Z36" i="19"/>
  <c r="D22" i="221"/>
  <c r="DB44" i="19"/>
  <c r="L30" i="221"/>
  <c r="DB32" i="19"/>
  <c r="L18" i="221"/>
  <c r="DB36" i="19"/>
  <c r="L22" i="221"/>
  <c r="DB41" i="19"/>
  <c r="L27" i="221"/>
  <c r="BX42" i="19"/>
  <c r="I28" i="221"/>
  <c r="BN37" i="19"/>
  <c r="H23" i="221"/>
  <c r="BN29" i="19"/>
  <c r="H15" i="221"/>
  <c r="BN35" i="19"/>
  <c r="H21" i="221"/>
  <c r="BN36" i="19"/>
  <c r="H22" i="221"/>
  <c r="BN20" i="19"/>
  <c r="H6" i="221"/>
  <c r="AT31" i="19"/>
  <c r="F17" i="221"/>
  <c r="AT30" i="19"/>
  <c r="F16" i="221"/>
  <c r="AT24" i="19"/>
  <c r="F10" i="221"/>
  <c r="AT41" i="19"/>
  <c r="F27" i="221"/>
  <c r="AT25" i="19"/>
  <c r="F11" i="221"/>
  <c r="Z39" i="19"/>
  <c r="D25" i="221"/>
  <c r="Z23" i="19"/>
  <c r="D9" i="221"/>
  <c r="DB28" i="19"/>
  <c r="L14" i="221"/>
  <c r="BN27" i="19"/>
  <c r="H13" i="221"/>
  <c r="BN30" i="19"/>
  <c r="H16" i="221"/>
  <c r="BX40" i="19"/>
  <c r="I26" i="221"/>
  <c r="AJ44" i="19"/>
  <c r="E30" i="221"/>
  <c r="DB39" i="19"/>
  <c r="L25" i="221"/>
  <c r="BN45" i="19"/>
  <c r="H31" i="221"/>
  <c r="BN44" i="19"/>
  <c r="H30" i="221"/>
  <c r="BN47" i="19"/>
  <c r="H33" i="221"/>
  <c r="BN41" i="19"/>
  <c r="H27" i="221"/>
  <c r="CH43" i="19"/>
  <c r="J29" i="221"/>
  <c r="AJ45" i="19"/>
  <c r="E31" i="221"/>
  <c r="DB22" i="19"/>
  <c r="L8" i="221"/>
  <c r="Z29" i="19"/>
  <c r="D15" i="221"/>
  <c r="W45" i="37"/>
  <c r="DB24" i="19"/>
  <c r="L10" i="221"/>
  <c r="DB21" i="19"/>
  <c r="L7" i="221"/>
  <c r="Z20" i="19"/>
  <c r="D6" i="221"/>
  <c r="AJ38" i="19"/>
  <c r="E24" i="221"/>
  <c r="DB42" i="19"/>
  <c r="L28" i="221"/>
  <c r="DB20" i="19"/>
  <c r="L6" i="221"/>
  <c r="DB31" i="19"/>
  <c r="L17" i="221"/>
  <c r="DB40" i="19"/>
  <c r="L26" i="221"/>
  <c r="BX30" i="19"/>
  <c r="I16" i="221"/>
  <c r="BX37" i="19"/>
  <c r="I23" i="221"/>
  <c r="BX35" i="19"/>
  <c r="I21" i="221"/>
  <c r="BX36" i="19"/>
  <c r="I22" i="221"/>
  <c r="AJ37" i="19"/>
  <c r="E23" i="221"/>
  <c r="AJ39" i="19"/>
  <c r="E25" i="221"/>
  <c r="AJ23" i="19"/>
  <c r="E9" i="221"/>
  <c r="BN22" i="19"/>
  <c r="H8" i="221"/>
  <c r="BN34" i="19"/>
  <c r="H20" i="221"/>
  <c r="BN33" i="19"/>
  <c r="H19" i="221"/>
  <c r="BN23" i="19"/>
  <c r="H9" i="221"/>
  <c r="BN24" i="19"/>
  <c r="H10" i="221"/>
  <c r="BX47" i="19"/>
  <c r="I33" i="221"/>
  <c r="AT42" i="19"/>
  <c r="F28" i="221"/>
  <c r="AT28" i="19"/>
  <c r="F14" i="221"/>
  <c r="AT29" i="19"/>
  <c r="F15" i="221"/>
  <c r="Z44" i="19"/>
  <c r="D30" i="221"/>
  <c r="Z28" i="19"/>
  <c r="D14" i="221"/>
  <c r="Z21" i="19"/>
  <c r="D7" i="221"/>
  <c r="BX26" i="19"/>
  <c r="I12" i="221"/>
  <c r="BX38" i="19"/>
  <c r="I24" i="221"/>
  <c r="BX22" i="19"/>
  <c r="I8" i="221"/>
  <c r="BX27" i="19"/>
  <c r="I13" i="221"/>
  <c r="AJ50" i="7"/>
  <c r="F5" i="213"/>
  <c r="CQ43" i="19"/>
  <c r="K29" i="220"/>
  <c r="BN25" i="58"/>
  <c r="H11" i="216"/>
  <c r="CR25" i="58"/>
  <c r="K11" i="216"/>
  <c r="BD29" i="58"/>
  <c r="G15" i="216"/>
  <c r="G25" i="19"/>
  <c r="B11" i="210"/>
  <c r="B10" i="227"/>
  <c r="I8" i="161"/>
  <c r="G50" i="15"/>
  <c r="B5" i="219"/>
  <c r="BX27" i="58"/>
  <c r="I13" i="216"/>
  <c r="AZ50" i="35"/>
  <c r="L21" i="180"/>
  <c r="AA45" i="19"/>
  <c r="D31" i="210"/>
  <c r="CJ48" i="2"/>
  <c r="CM50"/>
  <c r="BA45" i="37"/>
  <c r="S10" i="6"/>
  <c r="CG10" i="58" s="1"/>
  <c r="R11" i="6"/>
  <c r="CH40" i="19"/>
  <c r="J26" i="221"/>
  <c r="BN38" i="19"/>
  <c r="H24" i="221"/>
  <c r="BN39" i="19"/>
  <c r="H25" i="221"/>
  <c r="Z42" i="19"/>
  <c r="D28" i="221"/>
  <c r="BD36" i="19"/>
  <c r="G22" i="221"/>
  <c r="DB38" i="19"/>
  <c r="L24" i="221"/>
  <c r="BN42" i="19"/>
  <c r="H28" i="221"/>
  <c r="Z38" i="19"/>
  <c r="D24" i="221"/>
  <c r="BX34" i="19"/>
  <c r="I20" i="221"/>
  <c r="F20" i="19"/>
  <c r="F23" i="133" s="1"/>
  <c r="B6" i="221"/>
  <c r="CH27" i="19"/>
  <c r="J13" i="221"/>
  <c r="AT23" i="19"/>
  <c r="F9" i="221"/>
  <c r="D38" i="210"/>
  <c r="D43"/>
  <c r="S39" i="73"/>
  <c r="E39" s="1"/>
  <c r="E38"/>
  <c r="AJ44" i="2"/>
  <c r="T41" i="37" s="1"/>
  <c r="AD44" i="2"/>
  <c r="Q41" i="37" s="1"/>
  <c r="AF44" i="2"/>
  <c r="R41" i="37" s="1"/>
  <c r="AH44" i="2"/>
  <c r="S41" i="37" s="1"/>
  <c r="L37" i="233"/>
  <c r="L41"/>
  <c r="L36"/>
  <c r="L42"/>
  <c r="E4" i="31"/>
  <c r="E4" i="32" s="1"/>
  <c r="H6" i="33" s="1"/>
  <c r="E5" i="32"/>
  <c r="H7" i="33" s="1"/>
  <c r="J38" i="210"/>
  <c r="J43"/>
  <c r="I24" i="71"/>
  <c r="H25"/>
  <c r="J22" i="133"/>
  <c r="J51"/>
  <c r="J49"/>
  <c r="J43"/>
  <c r="J33"/>
  <c r="J29"/>
  <c r="J32"/>
  <c r="J35"/>
  <c r="J46"/>
  <c r="J36"/>
  <c r="J44"/>
  <c r="J27"/>
  <c r="J34"/>
  <c r="D36" i="211"/>
  <c r="D41"/>
  <c r="CH30" i="19"/>
  <c r="J16" i="221"/>
  <c r="AT34" i="19"/>
  <c r="F20" i="221"/>
  <c r="Z40" i="19"/>
  <c r="D26" i="221"/>
  <c r="CR23" i="19"/>
  <c r="K9" i="221"/>
  <c r="BX29" i="19"/>
  <c r="I15" i="221"/>
  <c r="AJ25" i="19"/>
  <c r="E11" i="221"/>
  <c r="P31" i="19"/>
  <c r="C17" i="221"/>
  <c r="CH21" i="19"/>
  <c r="J7" i="221"/>
  <c r="BX43" i="19"/>
  <c r="I29" i="221"/>
  <c r="BB39" i="19"/>
  <c r="G25" i="219"/>
  <c r="AT39" i="19"/>
  <c r="F25" i="221"/>
  <c r="AU24" i="29"/>
  <c r="AV24" s="1"/>
  <c r="H10" i="224"/>
  <c r="F35" i="58"/>
  <c r="E37" i="124" s="1"/>
  <c r="B21" i="216"/>
  <c r="J35" i="5"/>
  <c r="Z20" i="16"/>
  <c r="AA20" s="1"/>
  <c r="AB20" s="1"/>
  <c r="Y19"/>
  <c r="K20" i="26"/>
  <c r="K21" i="28"/>
  <c r="AC19" i="16"/>
  <c r="AD20"/>
  <c r="AE20" s="1"/>
  <c r="AF20" s="1"/>
  <c r="I38" i="213"/>
  <c r="I43"/>
  <c r="I39"/>
  <c r="I44"/>
  <c r="I21" i="26"/>
  <c r="I22" i="28"/>
  <c r="BG45" i="2"/>
  <c r="AG42" i="37" s="1"/>
  <c r="BK45" i="2"/>
  <c r="AI42" i="37" s="1"/>
  <c r="BI45" i="2"/>
  <c r="AH42" i="37" s="1"/>
  <c r="BE45" i="2"/>
  <c r="AF42" i="37" s="1"/>
  <c r="BL50" i="7"/>
  <c r="J5" i="213"/>
  <c r="BZ50" i="7"/>
  <c r="L5" i="213"/>
  <c r="AJ29" i="58"/>
  <c r="E15" i="216"/>
  <c r="CH28" i="58"/>
  <c r="J14" i="216"/>
  <c r="BN27" i="58"/>
  <c r="H13" i="216"/>
  <c r="O23" i="64"/>
  <c r="P23" s="1"/>
  <c r="Q23" s="1"/>
  <c r="E11" i="227"/>
  <c r="G23" i="64"/>
  <c r="H23" s="1"/>
  <c r="I23" s="1"/>
  <c r="C11" i="227"/>
  <c r="B23" i="122"/>
  <c r="C21" i="124"/>
  <c r="G50" i="35"/>
  <c r="C21" i="180"/>
  <c r="G53" i="35"/>
  <c r="P48" i="2"/>
  <c r="S50"/>
  <c r="CI8" i="18"/>
  <c r="CJ8" s="1"/>
  <c r="CQ8"/>
  <c r="CR8" s="1"/>
  <c r="CS8"/>
  <c r="CT8" s="1"/>
  <c r="CO8"/>
  <c r="CP8" s="1"/>
  <c r="CU7"/>
  <c r="CK8"/>
  <c r="CL8" s="1"/>
  <c r="AT36" i="19"/>
  <c r="F22" i="221"/>
  <c r="Z34" i="19"/>
  <c r="D20" i="221"/>
  <c r="CR40" i="19"/>
  <c r="K26" i="221"/>
  <c r="BD29" i="19"/>
  <c r="G15" i="221"/>
  <c r="AJ43" i="19"/>
  <c r="E29" i="221"/>
  <c r="BD23" i="58"/>
  <c r="G9" i="216"/>
  <c r="F28" i="77"/>
  <c r="H28" s="1"/>
  <c r="I28" s="1"/>
  <c r="G29"/>
  <c r="P41" i="19"/>
  <c r="C27" i="221"/>
  <c r="F42" i="19"/>
  <c r="F45" i="133" s="1"/>
  <c r="B28" i="221"/>
  <c r="AJ30" i="19"/>
  <c r="E16" i="221"/>
  <c r="CR23" i="58"/>
  <c r="K9" i="216"/>
  <c r="P20" i="19"/>
  <c r="C6" i="221"/>
  <c r="AT38" i="19"/>
  <c r="F24" i="221"/>
  <c r="E37" i="78"/>
  <c r="S38"/>
  <c r="C6" i="4"/>
  <c r="E44" i="14"/>
  <c r="G43"/>
  <c r="DA20" i="19"/>
  <c r="L6" i="220"/>
  <c r="H21" i="6"/>
  <c r="I21" s="1"/>
  <c r="AI21" i="58" s="1"/>
  <c r="L18" i="73"/>
  <c r="E7" i="215" s="1"/>
  <c r="N67" i="58"/>
  <c r="N68"/>
  <c r="AR45" i="37"/>
  <c r="Q26" i="19"/>
  <c r="C12" i="210"/>
  <c r="DS10" i="18"/>
  <c r="DT10" s="1"/>
  <c r="DQ10"/>
  <c r="DR10" s="1"/>
  <c r="EA10"/>
  <c r="EB10" s="1"/>
  <c r="DW10"/>
  <c r="DX10" s="1"/>
  <c r="DY10"/>
  <c r="DZ10" s="1"/>
  <c r="EC9"/>
  <c r="DB25" i="19"/>
  <c r="L11" i="221"/>
  <c r="BN28" i="19"/>
  <c r="H14" i="221"/>
  <c r="AT35" i="19"/>
  <c r="F21" i="221"/>
  <c r="BX21" i="19"/>
  <c r="I7" i="221"/>
  <c r="BD26" i="19"/>
  <c r="G12" i="221"/>
  <c r="F28" i="71"/>
  <c r="H28" s="1"/>
  <c r="I28" s="1"/>
  <c r="G29"/>
  <c r="DB23" i="58"/>
  <c r="L9" i="216"/>
  <c r="AH39" i="19"/>
  <c r="E25" i="219"/>
  <c r="CH36" i="19"/>
  <c r="J22" i="221"/>
  <c r="BB40" i="19"/>
  <c r="G26" i="219"/>
  <c r="BX32" i="19"/>
  <c r="I18" i="221"/>
  <c r="K43" i="224"/>
  <c r="K38"/>
  <c r="C25" i="219"/>
  <c r="N39" i="19"/>
  <c r="V47" i="2"/>
  <c r="V48" s="1"/>
  <c r="AB46"/>
  <c r="W46" s="1"/>
  <c r="M43" i="37" s="1"/>
  <c r="J42" i="213"/>
  <c r="J37"/>
  <c r="K42" i="233"/>
  <c r="K41"/>
  <c r="K37"/>
  <c r="K36"/>
  <c r="CI26" i="19"/>
  <c r="J12" i="210"/>
  <c r="T39" i="15"/>
  <c r="V39" s="1"/>
  <c r="W39" s="1"/>
  <c r="F36" i="12"/>
  <c r="DC26" i="19"/>
  <c r="L12" i="210"/>
  <c r="S39" i="75"/>
  <c r="E39" s="1"/>
  <c r="E38"/>
  <c r="Z27" i="29"/>
  <c r="AA27" s="1"/>
  <c r="E13" i="224"/>
  <c r="BW43" i="19"/>
  <c r="I29" i="220"/>
  <c r="O43" i="19"/>
  <c r="C29" i="220"/>
  <c r="CH29" i="58"/>
  <c r="J15" i="216"/>
  <c r="BX28" i="58"/>
  <c r="I14" i="216"/>
  <c r="P29" i="58"/>
  <c r="C15" i="216"/>
  <c r="Z29" i="58"/>
  <c r="D15" i="216"/>
  <c r="DB29" i="58"/>
  <c r="L15" i="216"/>
  <c r="CH27" i="58"/>
  <c r="J13" i="216"/>
  <c r="AQ50" i="7"/>
  <c r="G5" i="213"/>
  <c r="BE50" i="7"/>
  <c r="I5" i="213"/>
  <c r="AE23" i="64"/>
  <c r="AF23" s="1"/>
  <c r="AG23" s="1"/>
  <c r="I11" i="227"/>
  <c r="AI23" i="64"/>
  <c r="AJ23" s="1"/>
  <c r="AK23" s="1"/>
  <c r="J11" i="227"/>
  <c r="K23" i="64"/>
  <c r="L23" s="1"/>
  <c r="M23" s="1"/>
  <c r="D11" i="227"/>
  <c r="CZ41" i="19"/>
  <c r="L27" i="219"/>
  <c r="BX33" i="58"/>
  <c r="I19" i="216"/>
  <c r="BX29" i="58"/>
  <c r="I15" i="216"/>
  <c r="N50" i="58"/>
  <c r="N56"/>
  <c r="N65"/>
  <c r="Q50" i="35"/>
  <c r="E21" i="180"/>
  <c r="AF50" i="35"/>
  <c r="H21" i="180"/>
  <c r="AU45" i="19"/>
  <c r="F31" i="210"/>
  <c r="CI45" i="19"/>
  <c r="J31" i="210"/>
  <c r="DB33" i="58"/>
  <c r="L19" i="216"/>
  <c r="D43" i="70"/>
  <c r="S44"/>
  <c r="D44" s="1"/>
  <c r="D47" s="1"/>
  <c r="CZ40" i="19"/>
  <c r="L26" i="219"/>
  <c r="DB27" i="19"/>
  <c r="L13" i="221"/>
  <c r="CH24" i="19"/>
  <c r="J10" i="221"/>
  <c r="CH25" i="19"/>
  <c r="J11" i="221"/>
  <c r="CR32" i="19"/>
  <c r="K18" i="221"/>
  <c r="BD21" i="19"/>
  <c r="G7" i="221"/>
  <c r="AJ35" i="19"/>
  <c r="E21" i="221"/>
  <c r="BN23" i="58"/>
  <c r="H9" i="216"/>
  <c r="CP40" i="19"/>
  <c r="K26" i="219"/>
  <c r="P33" i="19"/>
  <c r="C19" i="221"/>
  <c r="F34" i="19"/>
  <c r="F37" i="133" s="1"/>
  <c r="B20" i="221"/>
  <c r="AQ45" i="37"/>
  <c r="CH45" i="19"/>
  <c r="J31" i="221"/>
  <c r="P37" i="19"/>
  <c r="C23" i="221"/>
  <c r="F41" i="19"/>
  <c r="F44" i="133" s="1"/>
  <c r="B27" i="221"/>
  <c r="AT22" i="19"/>
  <c r="F8" i="221"/>
  <c r="BX25" i="19"/>
  <c r="I11" i="221"/>
  <c r="AJ21" i="19"/>
  <c r="E7" i="221"/>
  <c r="CF38" i="19"/>
  <c r="J24" i="219"/>
  <c r="B8" i="4"/>
  <c r="Y11" i="15"/>
  <c r="AG10" i="10"/>
  <c r="H42" i="14"/>
  <c r="P42"/>
  <c r="AN42" i="15" s="1"/>
  <c r="AP42" s="1"/>
  <c r="AQ42" s="1"/>
  <c r="O42" i="14"/>
  <c r="M42"/>
  <c r="L42"/>
  <c r="X42" i="15" s="1"/>
  <c r="Z42" s="1"/>
  <c r="AA42" s="1"/>
  <c r="N42" i="14"/>
  <c r="AF42" i="15" s="1"/>
  <c r="AH42" s="1"/>
  <c r="AI42" s="1"/>
  <c r="K42" i="14"/>
  <c r="I42"/>
  <c r="L42" i="15" s="1"/>
  <c r="N42" s="1"/>
  <c r="O42" s="1"/>
  <c r="J42" i="14"/>
  <c r="Q42"/>
  <c r="S37" i="79"/>
  <c r="E36"/>
  <c r="M14" i="15"/>
  <c r="O13" i="10"/>
  <c r="P14"/>
  <c r="I15" i="15"/>
  <c r="I14" i="10"/>
  <c r="J15"/>
  <c r="BI27" i="29"/>
  <c r="BJ27" s="1"/>
  <c r="J13" i="224"/>
  <c r="P10" i="6"/>
  <c r="Q9"/>
  <c r="BW9" i="58" s="1"/>
  <c r="E43" i="213"/>
  <c r="E38"/>
  <c r="E44"/>
  <c r="E39"/>
  <c r="I41" i="233"/>
  <c r="I36"/>
  <c r="D41"/>
  <c r="D37"/>
  <c r="D36"/>
  <c r="D42"/>
  <c r="C41" i="213"/>
  <c r="C36"/>
  <c r="K43" i="219"/>
  <c r="K38"/>
  <c r="AO50" i="16"/>
  <c r="AO17"/>
  <c r="AP19"/>
  <c r="J23" i="219"/>
  <c r="CF37" i="19"/>
  <c r="N37"/>
  <c r="C23" i="219"/>
  <c r="BO26" i="19"/>
  <c r="H12" i="210"/>
  <c r="L26" i="29"/>
  <c r="M26" s="1"/>
  <c r="C12" i="224"/>
  <c r="BA15" i="1"/>
  <c r="BC16"/>
  <c r="I19" i="73"/>
  <c r="H20"/>
  <c r="I20" s="1"/>
  <c r="V14" i="16"/>
  <c r="W14" s="1"/>
  <c r="X14" s="1"/>
  <c r="BC14" i="19" s="1"/>
  <c r="U13" i="16"/>
  <c r="C43" i="213"/>
  <c r="C38"/>
  <c r="C39"/>
  <c r="C44"/>
  <c r="L43" i="219"/>
  <c r="L38"/>
  <c r="G41" i="233"/>
  <c r="G42"/>
  <c r="G36"/>
  <c r="G37"/>
  <c r="B36" i="220"/>
  <c r="B41"/>
  <c r="B42"/>
  <c r="B37"/>
  <c r="CR47" i="19"/>
  <c r="K33" i="221"/>
  <c r="P47" i="19"/>
  <c r="C33" i="221"/>
  <c r="CZ39" i="19"/>
  <c r="L25" i="219"/>
  <c r="AT27" i="19"/>
  <c r="F13" i="221"/>
  <c r="CR38" i="19"/>
  <c r="K24" i="221"/>
  <c r="CR39" i="19"/>
  <c r="K25" i="221"/>
  <c r="BD43" i="19"/>
  <c r="G29" i="221"/>
  <c r="BX23" i="58"/>
  <c r="I9" i="216"/>
  <c r="F28" i="80"/>
  <c r="H28" s="1"/>
  <c r="I28" s="1"/>
  <c r="G29"/>
  <c r="P22" i="19"/>
  <c r="C8" i="221"/>
  <c r="AT32" i="19"/>
  <c r="F18" i="221"/>
  <c r="F25" i="19"/>
  <c r="F28" i="133" s="1"/>
  <c r="B11" i="221"/>
  <c r="CH34" i="19"/>
  <c r="J20" i="221"/>
  <c r="BX24" i="19"/>
  <c r="I10" i="221"/>
  <c r="Y21" i="19"/>
  <c r="D7" i="220"/>
  <c r="BL15" i="10"/>
  <c r="BK14"/>
  <c r="AS15" i="15"/>
  <c r="N20" i="16"/>
  <c r="O20" s="1"/>
  <c r="P20" s="1"/>
  <c r="M19"/>
  <c r="D19" i="28"/>
  <c r="D18" i="26"/>
  <c r="W10" i="6"/>
  <c r="DA10" i="58" s="1"/>
  <c r="V11" i="6"/>
  <c r="C37" i="12"/>
  <c r="H40" i="15"/>
  <c r="J40" s="1"/>
  <c r="K40" s="1"/>
  <c r="W45" i="2"/>
  <c r="M42" i="37" s="1"/>
  <c r="Y45" i="2"/>
  <c r="N42" i="37" s="1"/>
  <c r="AA45" i="2"/>
  <c r="O42" i="37" s="1"/>
  <c r="U45" i="2"/>
  <c r="L42" i="37" s="1"/>
  <c r="G18" i="75"/>
  <c r="F19"/>
  <c r="BB67" i="58"/>
  <c r="BB68"/>
  <c r="E36" i="80"/>
  <c r="S37"/>
  <c r="AU26" i="19"/>
  <c r="F12" i="210"/>
  <c r="T11" i="6"/>
  <c r="U10"/>
  <c r="CQ10" i="58" s="1"/>
  <c r="F50" i="16"/>
  <c r="G19"/>
  <c r="AL14"/>
  <c r="AM14" s="1"/>
  <c r="AN14" s="1"/>
  <c r="CQ14" i="19" s="1"/>
  <c r="AK13" i="16"/>
  <c r="H10" i="6"/>
  <c r="I9"/>
  <c r="AI9" i="58" s="1"/>
  <c r="G43" i="219"/>
  <c r="G38"/>
  <c r="AN26" i="29"/>
  <c r="AO26" s="1"/>
  <c r="G12" i="224"/>
  <c r="AS14" i="10"/>
  <c r="AG15" i="15"/>
  <c r="AH15" s="1"/>
  <c r="AI15" s="1"/>
  <c r="BV15" i="19" s="1"/>
  <c r="AT15" i="10"/>
  <c r="C13"/>
  <c r="E14" i="15"/>
  <c r="F14" s="1"/>
  <c r="G14" s="1"/>
  <c r="D14" i="19" s="1"/>
  <c r="C14" i="16"/>
  <c r="D14" s="1"/>
  <c r="E14" i="19" s="1"/>
  <c r="D14" i="10"/>
  <c r="E21" i="26"/>
  <c r="E22" i="28"/>
  <c r="D38" i="213"/>
  <c r="D43"/>
  <c r="AT15" i="15"/>
  <c r="AU15" s="1"/>
  <c r="CZ15" i="19" s="1"/>
  <c r="J26" i="133"/>
  <c r="O23" i="18"/>
  <c r="Q23" s="1"/>
  <c r="R23" s="1"/>
  <c r="J42" i="133"/>
  <c r="N14" i="15"/>
  <c r="O14" s="1"/>
  <c r="X14" i="19" s="1"/>
  <c r="CH48" i="2"/>
  <c r="AO49" i="18"/>
  <c r="J40" i="133"/>
  <c r="F10" i="6"/>
  <c r="J41" i="133"/>
  <c r="J28"/>
  <c r="BN15" i="18"/>
  <c r="BP15" s="1"/>
  <c r="BQ15" s="1"/>
  <c r="AJ16" i="19" s="1"/>
  <c r="O42" i="18"/>
  <c r="Q42" s="1"/>
  <c r="R42" s="1"/>
  <c r="D37" i="211"/>
  <c r="Z25" i="5"/>
  <c r="AL15" i="15"/>
  <c r="AM15" s="1"/>
  <c r="CF15" i="19" s="1"/>
  <c r="BN18" i="18"/>
  <c r="P42" i="15"/>
  <c r="R42" s="1"/>
  <c r="S42" s="1"/>
  <c r="AD46" i="35"/>
  <c r="N48" i="2"/>
  <c r="DC49" i="18"/>
  <c r="AW25"/>
  <c r="AY25" s="1"/>
  <c r="AZ25" s="1"/>
  <c r="AW26"/>
  <c r="AY26" s="1"/>
  <c r="AZ26" s="1"/>
  <c r="BN33"/>
  <c r="BP33" s="1"/>
  <c r="BQ33" s="1"/>
  <c r="O28"/>
  <c r="Q28" s="1"/>
  <c r="R28" s="1"/>
  <c r="F38" i="210"/>
  <c r="N67" i="19"/>
  <c r="J43" i="213"/>
  <c r="J23" i="133"/>
  <c r="AW23" i="18"/>
  <c r="AY23" s="1"/>
  <c r="AZ23" s="1"/>
  <c r="AW24"/>
  <c r="AY24" s="1"/>
  <c r="AZ24" s="1"/>
  <c r="BN39"/>
  <c r="BP39" s="1"/>
  <c r="BQ39" s="1"/>
  <c r="BN40"/>
  <c r="BP40" s="1"/>
  <c r="BQ40" s="1"/>
  <c r="O34"/>
  <c r="Q34" s="1"/>
  <c r="R34" s="1"/>
  <c r="O39"/>
  <c r="Q39" s="1"/>
  <c r="R39" s="1"/>
  <c r="J38" i="133"/>
  <c r="D42" i="211"/>
  <c r="K38" i="210"/>
  <c r="J30" i="133"/>
  <c r="AX50" i="7"/>
  <c r="H5" i="213"/>
  <c r="Z27" i="58"/>
  <c r="D13" i="216"/>
  <c r="W23" i="64"/>
  <c r="X23" s="1"/>
  <c r="Y23" s="1"/>
  <c r="G11" i="227"/>
  <c r="BL41" i="19"/>
  <c r="H27" i="219"/>
  <c r="E50" i="19"/>
  <c r="F22" i="134"/>
  <c r="E22" i="133"/>
  <c r="E66" i="19"/>
  <c r="AK50" i="35"/>
  <c r="I21" i="180"/>
  <c r="L50" i="35"/>
  <c r="D21" i="180"/>
  <c r="L53" i="35"/>
  <c r="BN33" i="58"/>
  <c r="H19" i="216"/>
  <c r="BO45" i="19"/>
  <c r="H31" i="210"/>
  <c r="E21" i="124"/>
  <c r="K21" s="1"/>
  <c r="B25" i="122"/>
  <c r="AS45" i="37"/>
  <c r="BL39" i="19"/>
  <c r="H25" i="219"/>
  <c r="DB34" i="19"/>
  <c r="L20" i="221"/>
  <c r="DB43" i="19"/>
  <c r="L29" i="221"/>
  <c r="CH41" i="19"/>
  <c r="J27" i="221"/>
  <c r="AT44" i="19"/>
  <c r="F30" i="221"/>
  <c r="AT45" i="19"/>
  <c r="F31" i="221"/>
  <c r="Z43" i="19"/>
  <c r="D29" i="221"/>
  <c r="BD45" i="19"/>
  <c r="G31" i="221"/>
  <c r="G9" i="79"/>
  <c r="F10"/>
  <c r="CP37" i="19"/>
  <c r="K23" i="219"/>
  <c r="P32" i="19"/>
  <c r="C18" i="221"/>
  <c r="CH44" i="19"/>
  <c r="J30" i="221"/>
  <c r="AT40" i="19"/>
  <c r="F26" i="221"/>
  <c r="G9" i="78"/>
  <c r="F10"/>
  <c r="P36" i="19"/>
  <c r="C22" i="221"/>
  <c r="DB29" i="19"/>
  <c r="L15" i="221"/>
  <c r="BN25" i="19"/>
  <c r="H11" i="221"/>
  <c r="Z37" i="19"/>
  <c r="D23" i="221"/>
  <c r="AJ20" i="19"/>
  <c r="E6" i="221"/>
  <c r="J8" i="4"/>
  <c r="H43" i="210"/>
  <c r="H38"/>
  <c r="S38" i="74"/>
  <c r="E37"/>
  <c r="I42" i="213"/>
  <c r="I37"/>
  <c r="BE11" i="10"/>
  <c r="AO12" i="15"/>
  <c r="D23" i="219"/>
  <c r="X37" i="19"/>
  <c r="B21" i="26"/>
  <c r="B22" i="28"/>
  <c r="AA26" i="19"/>
  <c r="D12" i="210"/>
  <c r="Q13" i="15"/>
  <c r="U12" i="10"/>
  <c r="X40" i="19"/>
  <c r="D26" i="219"/>
  <c r="H42" i="213"/>
  <c r="B37" i="233"/>
  <c r="B42"/>
  <c r="B36"/>
  <c r="B41"/>
  <c r="AJ43" i="2"/>
  <c r="T40" i="37" s="1"/>
  <c r="AF43" i="2"/>
  <c r="R40" i="37" s="1"/>
  <c r="AD43" i="2"/>
  <c r="Q40" i="37" s="1"/>
  <c r="AH43" i="2"/>
  <c r="S40" i="37" s="1"/>
  <c r="BD47" i="19"/>
  <c r="G33" i="221"/>
  <c r="CH31" i="19"/>
  <c r="J17" i="221"/>
  <c r="AT43" i="19"/>
  <c r="F29" i="221"/>
  <c r="Z41" i="19"/>
  <c r="D27" i="221"/>
  <c r="BX28" i="19"/>
  <c r="I14" i="221"/>
  <c r="BD42" i="19"/>
  <c r="G28" i="221"/>
  <c r="P38" i="19"/>
  <c r="C24" i="221"/>
  <c r="AT33" i="19"/>
  <c r="F19" i="221"/>
  <c r="F22" i="19"/>
  <c r="F25" i="133" s="1"/>
  <c r="B8" i="221"/>
  <c r="Z47" i="19"/>
  <c r="D33" i="221"/>
  <c r="Z45" i="19"/>
  <c r="D31" i="221"/>
  <c r="AJ29" i="19"/>
  <c r="E15" i="221"/>
  <c r="AS21" i="19"/>
  <c r="F7" i="220"/>
  <c r="S37" i="72"/>
  <c r="E36"/>
  <c r="BW25" i="29"/>
  <c r="BX25" s="1"/>
  <c r="L11" i="224"/>
  <c r="AG27" i="29"/>
  <c r="AH27" s="1"/>
  <c r="F13" i="224"/>
  <c r="D29" i="124"/>
  <c r="E43" i="219"/>
  <c r="E38"/>
  <c r="AR38" i="19"/>
  <c r="F24" i="219"/>
  <c r="D30" i="133"/>
  <c r="D67" i="19"/>
  <c r="G42" i="213"/>
  <c r="G37"/>
  <c r="BT43" i="2"/>
  <c r="AN40" i="37" s="1"/>
  <c r="BR43" i="2"/>
  <c r="AM40" i="37" s="1"/>
  <c r="BN43" i="2"/>
  <c r="AK40" i="37" s="1"/>
  <c r="K43" i="213"/>
  <c r="K38"/>
  <c r="K39"/>
  <c r="K44"/>
  <c r="L37"/>
  <c r="L42"/>
  <c r="L43"/>
  <c r="L38"/>
  <c r="J41" i="233"/>
  <c r="J37"/>
  <c r="J42"/>
  <c r="J36"/>
  <c r="I38" i="219"/>
  <c r="I43"/>
  <c r="AT29" i="58"/>
  <c r="F15" i="216"/>
  <c r="AT25" i="58"/>
  <c r="F11" i="216"/>
  <c r="AT27" i="58"/>
  <c r="F13" i="216"/>
  <c r="AC50" i="7"/>
  <c r="E5" i="213"/>
  <c r="AA23" i="64"/>
  <c r="AB23" s="1"/>
  <c r="AC23" s="1"/>
  <c r="H11" i="227"/>
  <c r="AJ33" i="58"/>
  <c r="E19" i="216"/>
  <c r="AU50" i="35"/>
  <c r="K21" i="180"/>
  <c r="V50" i="35"/>
  <c r="F21" i="180"/>
  <c r="Q45" i="19"/>
  <c r="C31" i="210"/>
  <c r="BE45" i="19"/>
  <c r="G31" i="210"/>
  <c r="DC45" i="19"/>
  <c r="L31" i="210"/>
  <c r="AP45" i="37"/>
  <c r="AZ48" i="2"/>
  <c r="BC50"/>
  <c r="AQ48"/>
  <c r="AT50"/>
  <c r="CH32" i="19"/>
  <c r="J18" i="221"/>
  <c r="BN31" i="19"/>
  <c r="H17" i="221"/>
  <c r="AT37" i="19"/>
  <c r="F23" i="221"/>
  <c r="Z35" i="19"/>
  <c r="D21" i="221"/>
  <c r="BX39" i="19"/>
  <c r="I25" i="221"/>
  <c r="AJ42" i="19"/>
  <c r="E28" i="221"/>
  <c r="CP39" i="19"/>
  <c r="K25" i="219"/>
  <c r="F37" i="19"/>
  <c r="F40" i="133" s="1"/>
  <c r="B23" i="221"/>
  <c r="CH20" i="19"/>
  <c r="J6" i="221"/>
  <c r="F30" i="19"/>
  <c r="F33" i="133" s="1"/>
  <c r="B16" i="221"/>
  <c r="BX41" i="19"/>
  <c r="I27" i="221"/>
  <c r="AK14" i="15"/>
  <c r="AY13" i="10"/>
  <c r="AZ14"/>
  <c r="AH15" i="16"/>
  <c r="AI15" s="1"/>
  <c r="AJ15" s="1"/>
  <c r="CG15" i="19" s="1"/>
  <c r="AG14" i="16"/>
  <c r="AK26" i="19"/>
  <c r="E12" i="210"/>
  <c r="CZ37" i="19"/>
  <c r="L23" i="219"/>
  <c r="E27" i="29"/>
  <c r="B13" i="224"/>
  <c r="F36" i="211"/>
  <c r="F41"/>
  <c r="C42" i="213"/>
  <c r="C37"/>
  <c r="H36" i="233"/>
  <c r="H41"/>
  <c r="H37"/>
  <c r="H42"/>
  <c r="C20" i="26"/>
  <c r="C21" i="28"/>
  <c r="CD17" i="58"/>
  <c r="Y17" i="5"/>
  <c r="CH22" i="19"/>
  <c r="J8" i="221"/>
  <c r="CH23" i="19"/>
  <c r="J9" i="221"/>
  <c r="AT26" i="19"/>
  <c r="F12" i="221"/>
  <c r="BX20" i="19"/>
  <c r="I6" i="221"/>
  <c r="P30" i="19"/>
  <c r="C16" i="221"/>
  <c r="F33" i="19"/>
  <c r="F36" i="133" s="1"/>
  <c r="B19" i="221"/>
  <c r="CH35" i="19"/>
  <c r="J21" i="221"/>
  <c r="R20" i="16"/>
  <c r="S20" s="1"/>
  <c r="T20" s="1"/>
  <c r="Q19"/>
  <c r="H18" i="26"/>
  <c r="H19" i="28"/>
  <c r="L11" i="6"/>
  <c r="M10"/>
  <c r="BC10" i="58" s="1"/>
  <c r="S24" i="29"/>
  <c r="T24" s="1"/>
  <c r="D10" i="224"/>
  <c r="G43" i="213"/>
  <c r="G38"/>
  <c r="G39"/>
  <c r="G44"/>
  <c r="D43" i="219"/>
  <c r="D38"/>
  <c r="F41" i="233"/>
  <c r="F42"/>
  <c r="F36"/>
  <c r="F37"/>
  <c r="B42" i="216"/>
  <c r="B37"/>
  <c r="BP26" i="29"/>
  <c r="BQ26" s="1"/>
  <c r="K12" i="224"/>
  <c r="AN15" i="10"/>
  <c r="AM14"/>
  <c r="AC15" i="15"/>
  <c r="AD15" s="1"/>
  <c r="AE15" s="1"/>
  <c r="BL15" i="19" s="1"/>
  <c r="S39" i="71"/>
  <c r="E39" s="1"/>
  <c r="E38"/>
  <c r="G20" i="26"/>
  <c r="G21" i="28"/>
  <c r="L43" i="210"/>
  <c r="L38"/>
  <c r="X67" i="58"/>
  <c r="CS26" i="19"/>
  <c r="K12" i="210"/>
  <c r="H50" i="7"/>
  <c r="B5" i="213"/>
  <c r="B42" s="1"/>
  <c r="V50" i="7"/>
  <c r="D5" i="213"/>
  <c r="D37" s="1"/>
  <c r="BC43" i="19"/>
  <c r="G29" i="220"/>
  <c r="BN28" i="58"/>
  <c r="H14" i="216"/>
  <c r="CR29" i="58"/>
  <c r="K15" i="216"/>
  <c r="BN29" i="58"/>
  <c r="H15" i="216"/>
  <c r="AT28" i="58"/>
  <c r="F14" i="216"/>
  <c r="BS50" i="7"/>
  <c r="K5" i="213"/>
  <c r="AM23" i="64"/>
  <c r="AN23" s="1"/>
  <c r="AO23" s="1"/>
  <c r="K11" i="227"/>
  <c r="AQ23" i="64"/>
  <c r="AR23" s="1"/>
  <c r="AS23" s="1"/>
  <c r="L11" i="227"/>
  <c r="S23" i="64"/>
  <c r="T23" s="1"/>
  <c r="U23" s="1"/>
  <c r="F11" i="227"/>
  <c r="AT33" i="58"/>
  <c r="F19" i="216"/>
  <c r="AJ27" i="58"/>
  <c r="E13" i="216"/>
  <c r="AA50" i="35"/>
  <c r="G21" i="180"/>
  <c r="AP50" i="35"/>
  <c r="J21" i="180"/>
  <c r="B50" i="35"/>
  <c r="B21" i="180"/>
  <c r="AB46" i="9"/>
  <c r="J32" i="217" s="1"/>
  <c r="J31"/>
  <c r="AT23" i="58"/>
  <c r="F9" i="216"/>
  <c r="BD33" i="58"/>
  <c r="G19" i="216"/>
  <c r="AK45" i="19"/>
  <c r="E31" i="210"/>
  <c r="BY45" i="19"/>
  <c r="I31" i="210"/>
  <c r="CS48" i="2"/>
  <c r="CV50"/>
  <c r="EY8" i="18"/>
  <c r="EZ8" s="1"/>
  <c r="FG8"/>
  <c r="FH8" s="1"/>
  <c r="FI8"/>
  <c r="FJ8" s="1"/>
  <c r="FK7"/>
  <c r="FA8"/>
  <c r="FB8" s="1"/>
  <c r="FE8"/>
  <c r="FF8" s="1"/>
  <c r="AT20" i="19"/>
  <c r="F6" i="221"/>
  <c r="AT21" i="19"/>
  <c r="F7" i="221"/>
  <c r="BX23" i="19"/>
  <c r="I9" i="221"/>
  <c r="BD44" i="19"/>
  <c r="G30" i="221"/>
  <c r="Z33" i="5"/>
  <c r="N33"/>
  <c r="AB33"/>
  <c r="L33"/>
  <c r="CP41" i="19"/>
  <c r="K27" i="219"/>
  <c r="P25" i="19"/>
  <c r="C11" i="221"/>
  <c r="F26" i="19"/>
  <c r="F29" i="133" s="1"/>
  <c r="B12" i="221"/>
  <c r="CH29" i="19"/>
  <c r="J15" i="221"/>
  <c r="AJ31" i="19"/>
  <c r="E17" i="221"/>
  <c r="P29" i="19"/>
  <c r="C15" i="221"/>
  <c r="P44" i="19"/>
  <c r="C30" i="221"/>
  <c r="AJ36" i="19"/>
  <c r="E22" i="221"/>
  <c r="AJ39" i="15"/>
  <c r="AL39" s="1"/>
  <c r="AM39" s="1"/>
  <c r="J36" i="12"/>
  <c r="G43" i="224"/>
  <c r="G38"/>
  <c r="AA9" i="13"/>
  <c r="Z8"/>
  <c r="AA8" s="1"/>
  <c r="C38" i="224"/>
  <c r="C43"/>
  <c r="K6" i="4"/>
  <c r="AE46" i="2"/>
  <c r="AK45"/>
  <c r="J22" i="28"/>
  <c r="J21" i="26"/>
  <c r="AH67" i="58"/>
  <c r="AH68"/>
  <c r="BY26" i="19"/>
  <c r="I12" i="210"/>
  <c r="AA13" i="10"/>
  <c r="U14" i="15"/>
  <c r="V14" s="1"/>
  <c r="W14" s="1"/>
  <c r="AR14" i="19" s="1"/>
  <c r="AB14" i="10"/>
  <c r="BL37" i="19"/>
  <c r="H23" i="219"/>
  <c r="F23"/>
  <c r="AR37" i="19"/>
  <c r="C43" i="219"/>
  <c r="C38"/>
  <c r="H43"/>
  <c r="H38"/>
  <c r="K37" i="213"/>
  <c r="E41" i="233"/>
  <c r="E36"/>
  <c r="D26" i="6"/>
  <c r="E26" s="1"/>
  <c r="O26" i="58" s="1"/>
  <c r="L23" i="71"/>
  <c r="C12" i="215" s="1"/>
  <c r="BE26" i="19"/>
  <c r="G12" i="210"/>
  <c r="G7" i="72"/>
  <c r="F8"/>
  <c r="AJ47" i="19"/>
  <c r="E33" i="221"/>
  <c r="CH39" i="19"/>
  <c r="J25" i="221"/>
  <c r="CR22" i="19"/>
  <c r="K8" i="221"/>
  <c r="CR31" i="19"/>
  <c r="K17" i="221"/>
  <c r="BD27" i="19"/>
  <c r="G13" i="221"/>
  <c r="G43" s="1"/>
  <c r="CR27" i="58"/>
  <c r="K13" i="216"/>
  <c r="P23" i="58"/>
  <c r="C9" i="216"/>
  <c r="P39" i="19"/>
  <c r="C25" i="221"/>
  <c r="F27" i="19"/>
  <c r="B13" i="221"/>
  <c r="DB27" i="58"/>
  <c r="L13" i="216"/>
  <c r="P28" i="19"/>
  <c r="C14" i="221"/>
  <c r="I19" i="16"/>
  <c r="J20"/>
  <c r="K20" s="1"/>
  <c r="L20" s="1"/>
  <c r="C37" i="5"/>
  <c r="F36"/>
  <c r="H36" s="1"/>
  <c r="AI21" i="19"/>
  <c r="E7" i="220"/>
  <c r="BM21" i="19"/>
  <c r="H7" i="220"/>
  <c r="L19" i="26"/>
  <c r="L20" i="28"/>
  <c r="S37" i="76"/>
  <c r="E36"/>
  <c r="F21" i="26"/>
  <c r="F22" i="28"/>
  <c r="C42" i="233"/>
  <c r="C36"/>
  <c r="C41"/>
  <c r="C37"/>
  <c r="F17" i="16"/>
  <c r="G17" s="1"/>
  <c r="H17" s="1"/>
  <c r="O17" i="19" s="1"/>
  <c r="E16" i="16"/>
  <c r="F8" i="4"/>
  <c r="B42" i="219"/>
  <c r="B37"/>
  <c r="B43"/>
  <c r="B38"/>
  <c r="G8" i="4"/>
  <c r="BW21" i="19"/>
  <c r="I7" i="220"/>
  <c r="BV67" i="58"/>
  <c r="BV68"/>
  <c r="S37" i="70"/>
  <c r="D36"/>
  <c r="S39" i="77"/>
  <c r="E39" s="1"/>
  <c r="E38"/>
  <c r="BB27" i="29"/>
  <c r="BC27" s="1"/>
  <c r="I13" i="224"/>
  <c r="BO45" i="2"/>
  <c r="BU44"/>
  <c r="BF47"/>
  <c r="BF48" s="1"/>
  <c r="BL46"/>
  <c r="CP67" i="58"/>
  <c r="CP68"/>
  <c r="G29" i="72"/>
  <c r="F28"/>
  <c r="H28" s="1"/>
  <c r="I28" s="1"/>
  <c r="AL14" i="15"/>
  <c r="AM14" s="1"/>
  <c r="CF14" i="19" s="1"/>
  <c r="J45" i="133"/>
  <c r="BN23" i="18"/>
  <c r="BP23" s="1"/>
  <c r="BQ23" s="1"/>
  <c r="K29" i="124"/>
  <c r="D67" i="58"/>
  <c r="K24" i="124"/>
  <c r="K33"/>
  <c r="J15" i="15"/>
  <c r="K15" s="1"/>
  <c r="N15" i="19" s="1"/>
  <c r="K26" i="124"/>
  <c r="K30"/>
  <c r="K25"/>
  <c r="J47" i="133"/>
  <c r="AW31" i="18"/>
  <c r="AY31" s="1"/>
  <c r="AZ31" s="1"/>
  <c r="AW32"/>
  <c r="AY32" s="1"/>
  <c r="AZ32" s="1"/>
  <c r="J48" i="133"/>
  <c r="K31" i="124"/>
  <c r="F24" i="72"/>
  <c r="I33" i="124"/>
  <c r="V13" i="10"/>
  <c r="CE18" i="18"/>
  <c r="AW16"/>
  <c r="AY16" s="1"/>
  <c r="AZ16" s="1"/>
  <c r="Z17" i="19" s="1"/>
  <c r="BN25" i="18"/>
  <c r="BP25" s="1"/>
  <c r="BQ25" s="1"/>
  <c r="BN26"/>
  <c r="BP26" s="1"/>
  <c r="BQ26" s="1"/>
  <c r="O20"/>
  <c r="Q20" s="1"/>
  <c r="R20" s="1"/>
  <c r="J25" i="133"/>
  <c r="K28" i="124"/>
  <c r="C38" i="210"/>
  <c r="E37" i="233"/>
  <c r="J37" i="133"/>
  <c r="J24"/>
  <c r="FY49" i="18"/>
  <c r="AW14"/>
  <c r="AY14" s="1"/>
  <c r="AZ14" s="1"/>
  <c r="Z15" i="19" s="1"/>
  <c r="AW15" i="18"/>
  <c r="AY15" s="1"/>
  <c r="AZ15" s="1"/>
  <c r="Z16" i="19" s="1"/>
  <c r="BN31" i="18"/>
  <c r="BP31" s="1"/>
  <c r="BQ31" s="1"/>
  <c r="BN32"/>
  <c r="BP32" s="1"/>
  <c r="BQ32" s="1"/>
  <c r="O31"/>
  <c r="Q31" s="1"/>
  <c r="R31" s="1"/>
  <c r="O37"/>
  <c r="Q37" s="1"/>
  <c r="R37" s="1"/>
  <c r="J39" i="133"/>
  <c r="F42" i="211"/>
  <c r="ED11" i="18"/>
  <c r="EF11" s="1"/>
  <c r="EG11" s="1"/>
  <c r="BX12" i="19" s="1"/>
  <c r="K32" i="124"/>
  <c r="K27"/>
  <c r="B38" i="213"/>
  <c r="I38" i="210"/>
  <c r="Z10" i="3"/>
  <c r="AB11"/>
  <c r="AC11" s="1"/>
  <c r="J10"/>
  <c r="L11"/>
  <c r="M11" s="1"/>
  <c r="AP10"/>
  <c r="AR11"/>
  <c r="AS11" s="1"/>
  <c r="AG48" i="58"/>
  <c r="CO48"/>
  <c r="BU48"/>
  <c r="CY48"/>
  <c r="C48"/>
  <c r="W48"/>
  <c r="M48"/>
  <c r="BK48"/>
  <c r="E50" i="3"/>
  <c r="BA48" i="58"/>
  <c r="AQ48"/>
  <c r="CE48"/>
  <c r="D57" i="21"/>
  <c r="D56"/>
  <c r="CL48" i="2"/>
  <c r="CF48"/>
  <c r="BB48"/>
  <c r="AV48"/>
  <c r="R48"/>
  <c r="L48"/>
  <c r="CU48"/>
  <c r="CO48"/>
  <c r="AS48"/>
  <c r="AM48"/>
  <c r="AX48"/>
  <c r="E44" i="71"/>
  <c r="S45"/>
  <c r="E45" s="1"/>
  <c r="E48" s="1"/>
  <c r="E45" i="80"/>
  <c r="E48" s="1"/>
  <c r="S46"/>
  <c r="E44" i="79"/>
  <c r="S45"/>
  <c r="E45" s="1"/>
  <c r="E48" s="1"/>
  <c r="E44" i="78"/>
  <c r="S45"/>
  <c r="E45" s="1"/>
  <c r="E48" s="1"/>
  <c r="E44" i="77"/>
  <c r="S45"/>
  <c r="E45" s="1"/>
  <c r="E48" s="1"/>
  <c r="E44" i="76"/>
  <c r="S45"/>
  <c r="E45" s="1"/>
  <c r="E48" s="1"/>
  <c r="E44" i="75"/>
  <c r="S45"/>
  <c r="E45" s="1"/>
  <c r="E48" s="1"/>
  <c r="E44" i="74"/>
  <c r="S45"/>
  <c r="E45" s="1"/>
  <c r="E48" s="1"/>
  <c r="E44" i="73"/>
  <c r="S45"/>
  <c r="E45" s="1"/>
  <c r="E48" s="1"/>
  <c r="E44" i="72"/>
  <c r="S45"/>
  <c r="E45" s="1"/>
  <c r="E48" s="1"/>
  <c r="D47" i="2"/>
  <c r="D48" s="1"/>
  <c r="D50" s="1"/>
  <c r="J46"/>
  <c r="C42" i="58"/>
  <c r="K46" i="12"/>
  <c r="BG15" i="1"/>
  <c r="BI16"/>
  <c r="AA17" i="5"/>
  <c r="CN17" i="58"/>
  <c r="AS15" i="7"/>
  <c r="AW16"/>
  <c r="AX16" s="1"/>
  <c r="BL16" i="58" s="1"/>
  <c r="AE15" i="7"/>
  <c r="AI16"/>
  <c r="AJ16" s="1"/>
  <c r="AR16" i="58" s="1"/>
  <c r="Q15" i="7"/>
  <c r="U16"/>
  <c r="V16" s="1"/>
  <c r="X16" i="58" s="1"/>
  <c r="GC49" i="18"/>
  <c r="GE47"/>
  <c r="FL49"/>
  <c r="FN47"/>
  <c r="EU49"/>
  <c r="EW47"/>
  <c r="ED49"/>
  <c r="EF47"/>
  <c r="DO47"/>
  <c r="DM49"/>
  <c r="CX47"/>
  <c r="CV49"/>
  <c r="CG47"/>
  <c r="CE49"/>
  <c r="BP47"/>
  <c r="BN49"/>
  <c r="AY47"/>
  <c r="AW49"/>
  <c r="AH47"/>
  <c r="AF49"/>
  <c r="Q47"/>
  <c r="O49"/>
  <c r="AI48" i="19"/>
  <c r="AU15" i="1"/>
  <c r="AW16"/>
  <c r="W17" i="5"/>
  <c r="BT17" i="58"/>
  <c r="AI15" i="1"/>
  <c r="AK16"/>
  <c r="S17" i="5"/>
  <c r="AZ17" i="58"/>
  <c r="E46" i="2"/>
  <c r="C43" i="37" s="1"/>
  <c r="CQ50" i="19"/>
  <c r="G43" i="12"/>
  <c r="G44" s="1"/>
  <c r="I43"/>
  <c r="I44" s="1"/>
  <c r="E43"/>
  <c r="E44" s="1"/>
  <c r="BK19" i="58"/>
  <c r="CY19"/>
  <c r="CY46"/>
  <c r="CO46"/>
  <c r="BK46"/>
  <c r="M46"/>
  <c r="BU46"/>
  <c r="BA46"/>
  <c r="AG46"/>
  <c r="W46"/>
  <c r="CE46"/>
  <c r="C46"/>
  <c r="AQ46"/>
  <c r="D58" i="21"/>
  <c r="D59" s="1"/>
  <c r="CD46" i="19"/>
  <c r="CD68" s="1"/>
  <c r="AB47" i="9"/>
  <c r="BC46" i="35"/>
  <c r="AX46"/>
  <c r="BU15" i="7"/>
  <c r="BY16"/>
  <c r="BZ16" s="1"/>
  <c r="CZ16" i="58" s="1"/>
  <c r="BG15" i="7"/>
  <c r="BK16"/>
  <c r="BL16" s="1"/>
  <c r="CF16" i="58" s="1"/>
  <c r="AT19"/>
  <c r="C19"/>
  <c r="W20"/>
  <c r="AQ20"/>
  <c r="W21"/>
  <c r="AG22"/>
  <c r="CE22"/>
  <c r="AG23"/>
  <c r="AQ23"/>
  <c r="M24"/>
  <c r="AG26"/>
  <c r="BU26"/>
  <c r="AQ27"/>
  <c r="CE27"/>
  <c r="CJ27" s="1"/>
  <c r="BA28"/>
  <c r="W29"/>
  <c r="AQ31"/>
  <c r="CE31"/>
  <c r="BA32"/>
  <c r="W33"/>
  <c r="AG34"/>
  <c r="C35"/>
  <c r="M36"/>
  <c r="W37"/>
  <c r="AG38"/>
  <c r="C39"/>
  <c r="BA40"/>
  <c r="W41"/>
  <c r="CY41"/>
  <c r="BA42"/>
  <c r="C43"/>
  <c r="W43"/>
  <c r="CY43"/>
  <c r="W44"/>
  <c r="AG44"/>
  <c r="AQ44"/>
  <c r="C20"/>
  <c r="H20" s="1"/>
  <c r="B6" i="207" s="1"/>
  <c r="M20" i="58"/>
  <c r="BA20"/>
  <c r="BK20"/>
  <c r="CE20"/>
  <c r="CO20"/>
  <c r="CY20"/>
  <c r="M21"/>
  <c r="AG21"/>
  <c r="BA21"/>
  <c r="BK21"/>
  <c r="BU21"/>
  <c r="CO21"/>
  <c r="CY21"/>
  <c r="C22"/>
  <c r="W22"/>
  <c r="AQ22"/>
  <c r="BK22"/>
  <c r="BU22"/>
  <c r="CY22"/>
  <c r="C23"/>
  <c r="H23" s="1"/>
  <c r="B9" i="207" s="1"/>
  <c r="M23" i="58"/>
  <c r="BA23"/>
  <c r="CE23"/>
  <c r="CJ23" s="1"/>
  <c r="BA24"/>
  <c r="CO24"/>
  <c r="W25"/>
  <c r="BK25"/>
  <c r="BP25" s="1"/>
  <c r="CY25"/>
  <c r="C27"/>
  <c r="H27" s="1"/>
  <c r="M28"/>
  <c r="CO28"/>
  <c r="BK29"/>
  <c r="CY29"/>
  <c r="DD29" s="1"/>
  <c r="AG30"/>
  <c r="BU30"/>
  <c r="C31"/>
  <c r="M32"/>
  <c r="CO32"/>
  <c r="BK33"/>
  <c r="CY33"/>
  <c r="BU34"/>
  <c r="AQ35"/>
  <c r="BA36"/>
  <c r="CO36"/>
  <c r="BK37"/>
  <c r="CY37"/>
  <c r="BU38"/>
  <c r="AQ39"/>
  <c r="CE39"/>
  <c r="M40"/>
  <c r="CO40"/>
  <c r="BK41"/>
  <c r="AG42"/>
  <c r="BU42"/>
  <c r="AQ43"/>
  <c r="BK44"/>
  <c r="BU44"/>
  <c r="CE44"/>
  <c r="CY44"/>
  <c r="CE43"/>
  <c r="CE41"/>
  <c r="BU40"/>
  <c r="CY39"/>
  <c r="BU36"/>
  <c r="CY35"/>
  <c r="BK35"/>
  <c r="CO34"/>
  <c r="M34"/>
  <c r="CO30"/>
  <c r="M30"/>
  <c r="AQ29"/>
  <c r="BU28"/>
  <c r="CY27"/>
  <c r="DD27" s="1"/>
  <c r="W27"/>
  <c r="CY23"/>
  <c r="W23"/>
  <c r="BA22"/>
  <c r="CE21"/>
  <c r="C21"/>
  <c r="AG20"/>
  <c r="CO44"/>
  <c r="M44"/>
  <c r="BK39"/>
  <c r="CO38"/>
  <c r="M38"/>
  <c r="AQ37"/>
  <c r="AQ33"/>
  <c r="BU32"/>
  <c r="CY31"/>
  <c r="BA26"/>
  <c r="CE25"/>
  <c r="C25"/>
  <c r="H25" s="1"/>
  <c r="B11" i="207" s="1"/>
  <c r="AG24" i="58"/>
  <c r="CY45"/>
  <c r="M45"/>
  <c r="BU43"/>
  <c r="CY42"/>
  <c r="W42"/>
  <c r="BA41"/>
  <c r="CE40"/>
  <c r="C40"/>
  <c r="AG39"/>
  <c r="BK38"/>
  <c r="CO37"/>
  <c r="M37"/>
  <c r="AQ36"/>
  <c r="BU35"/>
  <c r="CY34"/>
  <c r="W34"/>
  <c r="BA33"/>
  <c r="CE32"/>
  <c r="C32"/>
  <c r="AG31"/>
  <c r="BK30"/>
  <c r="CO29"/>
  <c r="CT29" s="1"/>
  <c r="M29"/>
  <c r="AQ28"/>
  <c r="BU27"/>
  <c r="CY26"/>
  <c r="W26"/>
  <c r="BA25"/>
  <c r="CE24"/>
  <c r="C24"/>
  <c r="H24" s="1"/>
  <c r="B10" i="207" s="1"/>
  <c r="CO43" i="58"/>
  <c r="M43"/>
  <c r="AQ42"/>
  <c r="AG41"/>
  <c r="BK40"/>
  <c r="CO39"/>
  <c r="M39"/>
  <c r="AQ38"/>
  <c r="BU37"/>
  <c r="CY36"/>
  <c r="W36"/>
  <c r="BA35"/>
  <c r="CE34"/>
  <c r="C34"/>
  <c r="AG33"/>
  <c r="BK32"/>
  <c r="CO31"/>
  <c r="M31"/>
  <c r="AQ30"/>
  <c r="BU29"/>
  <c r="CY28"/>
  <c r="W28"/>
  <c r="BA27"/>
  <c r="BF27" s="1"/>
  <c r="CE26"/>
  <c r="C26"/>
  <c r="H26" s="1"/>
  <c r="B12" i="207" s="1"/>
  <c r="AG25" i="58"/>
  <c r="BK24"/>
  <c r="CO23"/>
  <c r="CT23" s="1"/>
  <c r="CE45"/>
  <c r="AQ45"/>
  <c r="CO42"/>
  <c r="AQ41"/>
  <c r="AG40"/>
  <c r="C37"/>
  <c r="AG36"/>
  <c r="CE35"/>
  <c r="W35"/>
  <c r="BA34"/>
  <c r="W31"/>
  <c r="BA30"/>
  <c r="CE29"/>
  <c r="C29"/>
  <c r="H29" s="1"/>
  <c r="B15" i="207" s="1"/>
  <c r="AG28" i="58"/>
  <c r="BK27"/>
  <c r="CO26"/>
  <c r="BK23"/>
  <c r="BP23" s="1"/>
  <c r="CO22"/>
  <c r="M22"/>
  <c r="AQ21"/>
  <c r="BU20"/>
  <c r="BA44"/>
  <c r="BK43"/>
  <c r="W39"/>
  <c r="BA38"/>
  <c r="CE37"/>
  <c r="CE33"/>
  <c r="C33"/>
  <c r="AG32"/>
  <c r="BK31"/>
  <c r="M26"/>
  <c r="AQ25"/>
  <c r="BU24"/>
  <c r="W45"/>
  <c r="BA45"/>
  <c r="AG43"/>
  <c r="BK42"/>
  <c r="CO41"/>
  <c r="M41"/>
  <c r="AQ40"/>
  <c r="BU39"/>
  <c r="CY38"/>
  <c r="W38"/>
  <c r="BA37"/>
  <c r="CE36"/>
  <c r="C36"/>
  <c r="AG35"/>
  <c r="BK34"/>
  <c r="CO33"/>
  <c r="M33"/>
  <c r="AQ32"/>
  <c r="BU31"/>
  <c r="CY30"/>
  <c r="W30"/>
  <c r="BA29"/>
  <c r="CE28"/>
  <c r="C28"/>
  <c r="H28" s="1"/>
  <c r="B14" i="207" s="1"/>
  <c r="AG27" i="58"/>
  <c r="BK26"/>
  <c r="CO25"/>
  <c r="M25"/>
  <c r="AQ24"/>
  <c r="BU23"/>
  <c r="BA43"/>
  <c r="CE42"/>
  <c r="BU41"/>
  <c r="CY40"/>
  <c r="W40"/>
  <c r="BA39"/>
  <c r="CE38"/>
  <c r="C38"/>
  <c r="AG37"/>
  <c r="BK36"/>
  <c r="CO35"/>
  <c r="M35"/>
  <c r="AQ34"/>
  <c r="BU33"/>
  <c r="CY32"/>
  <c r="W32"/>
  <c r="BA31"/>
  <c r="CE30"/>
  <c r="C30"/>
  <c r="H30" s="1"/>
  <c r="B16" i="207" s="1"/>
  <c r="AG29" i="58"/>
  <c r="BK28"/>
  <c r="CO27"/>
  <c r="CT27" s="1"/>
  <c r="M27"/>
  <c r="AQ26"/>
  <c r="BU25"/>
  <c r="CY24"/>
  <c r="W24"/>
  <c r="BK45"/>
  <c r="C45"/>
  <c r="CO45"/>
  <c r="AG45"/>
  <c r="BU45"/>
  <c r="BF23"/>
  <c r="H22"/>
  <c r="B8" i="207" s="1"/>
  <c r="H21" i="58"/>
  <c r="BU19"/>
  <c r="AG19"/>
  <c r="C44"/>
  <c r="AQ19"/>
  <c r="H31"/>
  <c r="B17" i="207" s="1"/>
  <c r="CJ29" i="58"/>
  <c r="CJ28"/>
  <c r="AV25"/>
  <c r="AV27"/>
  <c r="CE19"/>
  <c r="M42"/>
  <c r="CO19"/>
  <c r="BA19"/>
  <c r="M19"/>
  <c r="C41"/>
  <c r="BF44" i="13"/>
  <c r="BE45"/>
  <c r="AA43"/>
  <c r="Z44"/>
  <c r="AX45"/>
  <c r="BA44"/>
  <c r="V43"/>
  <c r="AU43"/>
  <c r="AS44"/>
  <c r="AQ45" i="64"/>
  <c r="AQ44"/>
  <c r="AR44" s="1"/>
  <c r="AI45"/>
  <c r="AI44"/>
  <c r="AJ44" s="1"/>
  <c r="AE45"/>
  <c r="AE44"/>
  <c r="AF44" s="1"/>
  <c r="AA45"/>
  <c r="AA44"/>
  <c r="AB44" s="1"/>
  <c r="W45"/>
  <c r="W44"/>
  <c r="X44" s="1"/>
  <c r="S45"/>
  <c r="S44"/>
  <c r="T44" s="1"/>
  <c r="O45"/>
  <c r="O44"/>
  <c r="P44" s="1"/>
  <c r="K45"/>
  <c r="K44"/>
  <c r="L44" s="1"/>
  <c r="G44"/>
  <c r="H44" s="1"/>
  <c r="AM19" i="2"/>
  <c r="BE19"/>
  <c r="G7" i="73"/>
  <c r="F8"/>
  <c r="GE18" i="18"/>
  <c r="DO18"/>
  <c r="AY18"/>
  <c r="EF18"/>
  <c r="BP18"/>
  <c r="CF19" i="2"/>
  <c r="EW18" i="18"/>
  <c r="CG18"/>
  <c r="FN18"/>
  <c r="CX18"/>
  <c r="AH18"/>
  <c r="Q18"/>
  <c r="Z45" i="16"/>
  <c r="AA45" s="1"/>
  <c r="AB45" s="1"/>
  <c r="H31" i="220" s="1"/>
  <c r="Y46" i="16"/>
  <c r="J45"/>
  <c r="K45" s="1"/>
  <c r="L45" s="1"/>
  <c r="D31" i="220" s="1"/>
  <c r="I46" i="16"/>
  <c r="AH45"/>
  <c r="AI45" s="1"/>
  <c r="AJ45" s="1"/>
  <c r="J31" i="220" s="1"/>
  <c r="AG46" i="16"/>
  <c r="R45"/>
  <c r="S45" s="1"/>
  <c r="T45" s="1"/>
  <c r="F31" i="220" s="1"/>
  <c r="Q46" i="16"/>
  <c r="O12" i="6"/>
  <c r="BM12" i="58" s="1"/>
  <c r="N13" i="6"/>
  <c r="B41" i="5"/>
  <c r="BJ16" i="58"/>
  <c r="U16" i="5"/>
  <c r="I17"/>
  <c r="J17" s="1"/>
  <c r="V17" s="1"/>
  <c r="BN17" i="58" s="1"/>
  <c r="B17"/>
  <c r="AQ15" i="1"/>
  <c r="AO14"/>
  <c r="E15"/>
  <c r="G16"/>
  <c r="CD45" i="19"/>
  <c r="AP45"/>
  <c r="P25" i="5"/>
  <c r="AD25"/>
  <c r="N25"/>
  <c r="T25"/>
  <c r="AX19" i="35"/>
  <c r="AX50" s="1"/>
  <c r="AN19"/>
  <c r="AN50" s="1"/>
  <c r="AD19"/>
  <c r="AD50" s="1"/>
  <c r="T19"/>
  <c r="T50" s="1"/>
  <c r="J19"/>
  <c r="J50" s="1"/>
  <c r="BC19"/>
  <c r="BC50" s="1"/>
  <c r="AS19"/>
  <c r="AS50" s="1"/>
  <c r="AI19"/>
  <c r="AI50" s="1"/>
  <c r="Y19"/>
  <c r="Y50" s="1"/>
  <c r="O19"/>
  <c r="O50" s="1"/>
  <c r="E19"/>
  <c r="D8" i="13"/>
  <c r="G8" s="1"/>
  <c r="G9"/>
  <c r="X13" i="3"/>
  <c r="Y13" s="1"/>
  <c r="V12"/>
  <c r="O17" i="5"/>
  <c r="AF17" i="58"/>
  <c r="K17" i="5"/>
  <c r="L17" s="1"/>
  <c r="P17" i="58" s="1"/>
  <c r="L17"/>
  <c r="W15" i="1"/>
  <c r="Y16"/>
  <c r="K15"/>
  <c r="M16"/>
  <c r="AS44" i="19"/>
  <c r="N19" i="15"/>
  <c r="U19" i="2"/>
  <c r="L16" i="37" s="1"/>
  <c r="W19" i="58"/>
  <c r="BC8" i="18"/>
  <c r="BD8" s="1"/>
  <c r="BG8"/>
  <c r="BH8" s="1"/>
  <c r="BM7"/>
  <c r="BA8"/>
  <c r="BB8" s="1"/>
  <c r="BK8"/>
  <c r="BL8" s="1"/>
  <c r="BI8"/>
  <c r="BJ8" s="1"/>
  <c r="AF7"/>
  <c r="AH7" s="1"/>
  <c r="AI7" s="1"/>
  <c r="P8" i="19" s="1"/>
  <c r="AT19" i="15"/>
  <c r="AD19"/>
  <c r="AH19"/>
  <c r="R19"/>
  <c r="AP19"/>
  <c r="Z19"/>
  <c r="J19"/>
  <c r="G18" i="71"/>
  <c r="F19"/>
  <c r="AM19" i="15"/>
  <c r="J5" i="219" s="1"/>
  <c r="J37" s="1"/>
  <c r="W19" i="15"/>
  <c r="F5" i="219" s="1"/>
  <c r="F37" s="1"/>
  <c r="N28" i="5"/>
  <c r="P28"/>
  <c r="AD19" i="2"/>
  <c r="I45"/>
  <c r="E42" i="37" s="1"/>
  <c r="G45" i="2"/>
  <c r="D42" i="37" s="1"/>
  <c r="C45" i="2"/>
  <c r="B42" i="37" s="1"/>
  <c r="E45" i="2"/>
  <c r="C42" i="37" s="1"/>
  <c r="C60" i="33"/>
  <c r="C61" s="1"/>
  <c r="D63" i="29"/>
  <c r="EW45" i="18"/>
  <c r="FN45"/>
  <c r="CX45"/>
  <c r="DO45"/>
  <c r="AY45"/>
  <c r="EF45"/>
  <c r="BP45"/>
  <c r="CG45"/>
  <c r="GE45"/>
  <c r="AH45"/>
  <c r="R45"/>
  <c r="B32" i="221" s="1"/>
  <c r="D21" i="6"/>
  <c r="E21" s="1"/>
  <c r="O21" i="58" s="1"/>
  <c r="L18" i="71"/>
  <c r="C7" i="215" s="1"/>
  <c r="I19" i="71"/>
  <c r="H20"/>
  <c r="I20" s="1"/>
  <c r="F25" i="75"/>
  <c r="G24"/>
  <c r="G18" i="72"/>
  <c r="F19"/>
  <c r="G24" i="71"/>
  <c r="F25"/>
  <c r="G18" i="73"/>
  <c r="F19"/>
  <c r="F25" i="74"/>
  <c r="G24"/>
  <c r="F9" i="75"/>
  <c r="G8"/>
  <c r="G18" i="74"/>
  <c r="F19"/>
  <c r="F9" i="71"/>
  <c r="G8"/>
  <c r="F25" i="73"/>
  <c r="G24"/>
  <c r="G8" i="74"/>
  <c r="F9"/>
  <c r="G19" i="77"/>
  <c r="F20"/>
  <c r="G20" s="1"/>
  <c r="F24" i="70"/>
  <c r="E25"/>
  <c r="F25" s="1"/>
  <c r="G25" i="78"/>
  <c r="F26"/>
  <c r="G26" s="1"/>
  <c r="G25" i="79"/>
  <c r="F26"/>
  <c r="G26" s="1"/>
  <c r="F10" i="70"/>
  <c r="E11"/>
  <c r="X24" i="5"/>
  <c r="P24"/>
  <c r="AD24"/>
  <c r="V24"/>
  <c r="N24"/>
  <c r="AB24"/>
  <c r="T24"/>
  <c r="L24"/>
  <c r="Z24"/>
  <c r="R24"/>
  <c r="I19" i="2"/>
  <c r="C19"/>
  <c r="E19"/>
  <c r="G19"/>
  <c r="CU19"/>
  <c r="CQ19"/>
  <c r="CQ50" s="1"/>
  <c r="CS19"/>
  <c r="CO19"/>
  <c r="AU16" i="37"/>
  <c r="CH19" i="2"/>
  <c r="CL19"/>
  <c r="CJ19"/>
  <c r="CC19"/>
  <c r="CC50" s="1"/>
  <c r="CA19"/>
  <c r="CA50" s="1"/>
  <c r="BY19"/>
  <c r="BY50" s="1"/>
  <c r="BW19"/>
  <c r="BW50" s="1"/>
  <c r="BT19"/>
  <c r="BR19"/>
  <c r="BP19"/>
  <c r="BN19"/>
  <c r="AF16" i="37"/>
  <c r="BK19" i="2"/>
  <c r="BG19"/>
  <c r="BI19"/>
  <c r="AX19"/>
  <c r="BB19"/>
  <c r="AZ19"/>
  <c r="AV19"/>
  <c r="V16" i="37"/>
  <c r="AS19" i="2"/>
  <c r="AQ19"/>
  <c r="AO19"/>
  <c r="AO50" s="1"/>
  <c r="AJ19"/>
  <c r="AH19"/>
  <c r="AF19"/>
  <c r="AA19"/>
  <c r="W19"/>
  <c r="Y19"/>
  <c r="P19"/>
  <c r="N19"/>
  <c r="R19"/>
  <c r="L19"/>
  <c r="AZ45" i="35"/>
  <c r="AP45"/>
  <c r="AF45"/>
  <c r="V45"/>
  <c r="L45"/>
  <c r="B45"/>
  <c r="D61" i="21"/>
  <c r="D60"/>
  <c r="FS10" i="18"/>
  <c r="GB9"/>
  <c r="FR9" s="1"/>
  <c r="FP10"/>
  <c r="FQ10" s="1"/>
  <c r="FZ10"/>
  <c r="GA10" s="1"/>
  <c r="FV10"/>
  <c r="FW10" s="1"/>
  <c r="FX10"/>
  <c r="FY10" s="1"/>
  <c r="GC11"/>
  <c r="GE11" s="1"/>
  <c r="GF11" s="1"/>
  <c r="DB12" i="19" s="1"/>
  <c r="BF9" i="13"/>
  <c r="BE8"/>
  <c r="BF8" s="1"/>
  <c r="D19" i="19"/>
  <c r="D66" s="1"/>
  <c r="G12" i="14"/>
  <c r="C11"/>
  <c r="I13"/>
  <c r="L13" i="15" s="1"/>
  <c r="K13" i="14"/>
  <c r="T13" i="15" s="1"/>
  <c r="M13" i="14"/>
  <c r="AB13" i="15" s="1"/>
  <c r="O13" i="14"/>
  <c r="AJ13" i="15" s="1"/>
  <c r="Q13" i="14"/>
  <c r="AR13" i="15" s="1"/>
  <c r="H13" i="14"/>
  <c r="H13" i="15" s="1"/>
  <c r="J13" i="14"/>
  <c r="P13" i="15" s="1"/>
  <c r="R13" s="1"/>
  <c r="S13" s="1"/>
  <c r="AH13" i="19" s="1"/>
  <c r="L13" i="14"/>
  <c r="X13" i="15" s="1"/>
  <c r="Z13" s="1"/>
  <c r="AA13" s="1"/>
  <c r="BB13" i="19" s="1"/>
  <c r="N13" i="14"/>
  <c r="AF13" i="15" s="1"/>
  <c r="P13" i="14"/>
  <c r="AN13" i="15" s="1"/>
  <c r="AP13" s="1"/>
  <c r="AQ13" s="1"/>
  <c r="CP13" i="19" s="1"/>
  <c r="V9" i="13"/>
  <c r="U8"/>
  <c r="V8" s="1"/>
  <c r="AR42" i="15"/>
  <c r="AT42" s="1"/>
  <c r="AU42" s="1"/>
  <c r="L39" i="12"/>
  <c r="L40" s="1"/>
  <c r="AB42" i="15"/>
  <c r="AD42" s="1"/>
  <c r="AE42" s="1"/>
  <c r="H39" i="12"/>
  <c r="C22" i="64"/>
  <c r="D22" s="1"/>
  <c r="E22" s="1"/>
  <c r="N22"/>
  <c r="AD22"/>
  <c r="B21"/>
  <c r="F22"/>
  <c r="J22"/>
  <c r="R22"/>
  <c r="V22"/>
  <c r="Z22"/>
  <c r="AH22"/>
  <c r="AL22"/>
  <c r="AP22"/>
  <c r="BD11" i="10"/>
  <c r="BF12"/>
  <c r="AR11"/>
  <c r="AF11"/>
  <c r="AH12"/>
  <c r="T11"/>
  <c r="V12"/>
  <c r="H11"/>
  <c r="BJ11"/>
  <c r="AX11"/>
  <c r="AL11"/>
  <c r="Z11"/>
  <c r="N11"/>
  <c r="CP19" i="58"/>
  <c r="BB19"/>
  <c r="J15" i="7"/>
  <c r="N16"/>
  <c r="O16" s="1"/>
  <c r="N16" i="58" s="1"/>
  <c r="BR15" i="7"/>
  <c r="BS15" s="1"/>
  <c r="CP15" i="58" s="1"/>
  <c r="BN14" i="7"/>
  <c r="AZ14"/>
  <c r="BD15"/>
  <c r="BE15" s="1"/>
  <c r="BV15" i="58" s="1"/>
  <c r="AL14" i="7"/>
  <c r="AP15"/>
  <c r="AQ15" s="1"/>
  <c r="BB15" i="58" s="1"/>
  <c r="X14" i="7"/>
  <c r="AB15"/>
  <c r="AC15" s="1"/>
  <c r="AH15" i="58" s="1"/>
  <c r="BV19"/>
  <c r="AH19"/>
  <c r="AH66" s="1"/>
  <c r="C15" i="7"/>
  <c r="G16"/>
  <c r="H16" s="1"/>
  <c r="D16" i="58" s="1"/>
  <c r="AK10" i="7"/>
  <c r="W9"/>
  <c r="I10"/>
  <c r="AY8"/>
  <c r="C5" i="70"/>
  <c r="D6" i="73"/>
  <c r="D6" i="76"/>
  <c r="D6" i="78"/>
  <c r="D6" i="79"/>
  <c r="D6" i="71"/>
  <c r="D6" i="72"/>
  <c r="D6" i="74"/>
  <c r="D6" i="75"/>
  <c r="D6" i="77"/>
  <c r="D6" i="80"/>
  <c r="H13" i="3"/>
  <c r="I13" s="1"/>
  <c r="F12"/>
  <c r="R12"/>
  <c r="T13"/>
  <c r="U13" s="1"/>
  <c r="AL12"/>
  <c r="AN13"/>
  <c r="AO13" s="1"/>
  <c r="AH12"/>
  <c r="AJ13"/>
  <c r="AK13" s="1"/>
  <c r="B12"/>
  <c r="D13"/>
  <c r="E13" s="1"/>
  <c r="BO16" i="1"/>
  <c r="BM15"/>
  <c r="S16"/>
  <c r="Q15"/>
  <c r="AE16"/>
  <c r="AC15"/>
  <c r="CX17" i="58"/>
  <c r="AC17" i="5"/>
  <c r="AD17" s="1"/>
  <c r="DB17" i="58" s="1"/>
  <c r="V17"/>
  <c r="M17" i="5"/>
  <c r="AP17" i="58"/>
  <c r="Q17" i="5"/>
  <c r="X25"/>
  <c r="L25"/>
  <c r="AD28"/>
  <c r="T28"/>
  <c r="AB28"/>
  <c r="L28"/>
  <c r="AB19"/>
  <c r="K5" i="216" s="1"/>
  <c r="Z19" i="5"/>
  <c r="J5" i="216" s="1"/>
  <c r="N19" i="5"/>
  <c r="D5" i="216" s="1"/>
  <c r="X19" i="5"/>
  <c r="I5" i="216" s="1"/>
  <c r="P19" i="5"/>
  <c r="E5" i="216" s="1"/>
  <c r="L19" i="5"/>
  <c r="C5" i="216" s="1"/>
  <c r="C37" s="1"/>
  <c r="T19" i="5"/>
  <c r="G5" i="216" s="1"/>
  <c r="G37" s="1"/>
  <c r="AD19" i="5"/>
  <c r="L5" i="216" s="1"/>
  <c r="V19" i="5"/>
  <c r="H5" i="216" s="1"/>
  <c r="AD34" i="5"/>
  <c r="V34"/>
  <c r="N34"/>
  <c r="X34"/>
  <c r="P34"/>
  <c r="Z34"/>
  <c r="R34"/>
  <c r="AB34"/>
  <c r="T34"/>
  <c r="L34"/>
  <c r="Z30"/>
  <c r="R30"/>
  <c r="AB30"/>
  <c r="T30"/>
  <c r="L30"/>
  <c r="AD30"/>
  <c r="V30"/>
  <c r="N30"/>
  <c r="X30"/>
  <c r="P30"/>
  <c r="Z26"/>
  <c r="R26"/>
  <c r="X26"/>
  <c r="P26"/>
  <c r="AD26"/>
  <c r="V26"/>
  <c r="N26"/>
  <c r="AB26"/>
  <c r="T26"/>
  <c r="L26"/>
  <c r="DL9" i="18"/>
  <c r="DB9" s="1"/>
  <c r="CZ10"/>
  <c r="DA10" s="1"/>
  <c r="DC10"/>
  <c r="DH10"/>
  <c r="DI10" s="1"/>
  <c r="DF10"/>
  <c r="DG10" s="1"/>
  <c r="DJ10"/>
  <c r="DK10" s="1"/>
  <c r="AV9"/>
  <c r="AL9" s="1"/>
  <c r="AJ10"/>
  <c r="AK10" s="1"/>
  <c r="AM10"/>
  <c r="AR10"/>
  <c r="AS10" s="1"/>
  <c r="AP10"/>
  <c r="AQ10" s="1"/>
  <c r="AT10"/>
  <c r="AU10" s="1"/>
  <c r="AD20" i="5"/>
  <c r="V20"/>
  <c r="N20"/>
  <c r="X20"/>
  <c r="P20"/>
  <c r="Z20"/>
  <c r="R20"/>
  <c r="AB20"/>
  <c r="T20"/>
  <c r="L20"/>
  <c r="AB31"/>
  <c r="T31"/>
  <c r="L31"/>
  <c r="Z31"/>
  <c r="R31"/>
  <c r="X31"/>
  <c r="P31"/>
  <c r="AD31"/>
  <c r="V31"/>
  <c r="N31"/>
  <c r="EU11" i="18"/>
  <c r="EW11" s="1"/>
  <c r="EX11" s="1"/>
  <c r="CH12" i="19" s="1"/>
  <c r="CE11" i="18"/>
  <c r="CG11" s="1"/>
  <c r="CH11" s="1"/>
  <c r="AT12" i="19" s="1"/>
  <c r="X21" i="5"/>
  <c r="P21"/>
  <c r="AD21"/>
  <c r="V21"/>
  <c r="N21"/>
  <c r="AB21"/>
  <c r="T21"/>
  <c r="L21"/>
  <c r="Z21"/>
  <c r="R21"/>
  <c r="ET9" i="18"/>
  <c r="EJ9" s="1"/>
  <c r="EH10"/>
  <c r="EI10" s="1"/>
  <c r="EK10"/>
  <c r="EP10"/>
  <c r="EQ10" s="1"/>
  <c r="EN10"/>
  <c r="EO10" s="1"/>
  <c r="ER10"/>
  <c r="ES10" s="1"/>
  <c r="CD9"/>
  <c r="BT9" s="1"/>
  <c r="BR10"/>
  <c r="BS10" s="1"/>
  <c r="BU10"/>
  <c r="BZ10"/>
  <c r="CA10" s="1"/>
  <c r="BX10"/>
  <c r="BY10" s="1"/>
  <c r="CB10"/>
  <c r="CC10" s="1"/>
  <c r="DM11"/>
  <c r="DO11" s="1"/>
  <c r="DP11" s="1"/>
  <c r="BN12" i="19" s="1"/>
  <c r="AW11" i="18"/>
  <c r="AY11" s="1"/>
  <c r="AZ11" s="1"/>
  <c r="Z12" i="19" s="1"/>
  <c r="E28" i="70"/>
  <c r="G28" s="1"/>
  <c r="F29"/>
  <c r="H28"/>
  <c r="G7" i="77"/>
  <c r="F8"/>
  <c r="G8" i="80"/>
  <c r="F9"/>
  <c r="R17" i="5"/>
  <c r="AT17" i="58" s="1"/>
  <c r="T17" i="5"/>
  <c r="BD17" i="58" s="1"/>
  <c r="I25" i="72"/>
  <c r="H26"/>
  <c r="I26" s="1"/>
  <c r="J29" i="6"/>
  <c r="K29" s="1"/>
  <c r="AS29" i="58" s="1"/>
  <c r="AV29" s="1"/>
  <c r="L26" i="74"/>
  <c r="F15" i="215" s="1"/>
  <c r="L29" i="6"/>
  <c r="M29" s="1"/>
  <c r="BC29" i="58" s="1"/>
  <c r="BF29" s="1"/>
  <c r="L26" i="75"/>
  <c r="G15" i="215" s="1"/>
  <c r="AH44" i="18"/>
  <c r="BW44" i="19"/>
  <c r="AI44"/>
  <c r="H26" i="6"/>
  <c r="I26" s="1"/>
  <c r="AI26" i="58" s="1"/>
  <c r="L23" i="73"/>
  <c r="E12" i="215" s="1"/>
  <c r="AD22" i="5"/>
  <c r="V22"/>
  <c r="N22"/>
  <c r="X22"/>
  <c r="P22"/>
  <c r="Z22"/>
  <c r="R22"/>
  <c r="AB22"/>
  <c r="T22"/>
  <c r="L22"/>
  <c r="F21" i="6"/>
  <c r="G21" s="1"/>
  <c r="Y21" i="58" s="1"/>
  <c r="L18" i="72"/>
  <c r="D7" i="215" s="1"/>
  <c r="CZ19" i="58"/>
  <c r="BL19"/>
  <c r="X19"/>
  <c r="X66" s="1"/>
  <c r="Q44" i="18"/>
  <c r="Z32" i="5"/>
  <c r="R32"/>
  <c r="AB32"/>
  <c r="T32"/>
  <c r="L32"/>
  <c r="AD32"/>
  <c r="V32"/>
  <c r="N32"/>
  <c r="X32"/>
  <c r="P32"/>
  <c r="F27" i="6"/>
  <c r="G27" s="1"/>
  <c r="Y27" i="58" s="1"/>
  <c r="L24" i="72"/>
  <c r="D13" i="215" s="1"/>
  <c r="L25" i="74"/>
  <c r="F14" i="215" s="1"/>
  <c r="J28" i="6"/>
  <c r="K28" s="1"/>
  <c r="AS28" i="58" s="1"/>
  <c r="L25" i="75"/>
  <c r="G14" i="215" s="1"/>
  <c r="L28" i="6"/>
  <c r="M28" s="1"/>
  <c r="BC28" i="58" s="1"/>
  <c r="CF19"/>
  <c r="AR19"/>
  <c r="D19"/>
  <c r="I24" i="73"/>
  <c r="H25"/>
  <c r="G7" i="76"/>
  <c r="F8"/>
  <c r="I19" i="72"/>
  <c r="H20"/>
  <c r="I20" s="1"/>
  <c r="CQ44" i="19"/>
  <c r="BC44"/>
  <c r="O44"/>
  <c r="D64" i="29"/>
  <c r="BU44" s="1"/>
  <c r="AZ38"/>
  <c r="X38"/>
  <c r="Q37"/>
  <c r="BN36"/>
  <c r="BG35"/>
  <c r="AE35"/>
  <c r="X34"/>
  <c r="BU33"/>
  <c r="BN32"/>
  <c r="AL32"/>
  <c r="AE31"/>
  <c r="C31"/>
  <c r="BU29"/>
  <c r="AS29"/>
  <c r="AL28"/>
  <c r="J28"/>
  <c r="C27"/>
  <c r="AZ26"/>
  <c r="AS25"/>
  <c r="Q25"/>
  <c r="J24"/>
  <c r="BG23"/>
  <c r="AZ22"/>
  <c r="X22"/>
  <c r="Q21"/>
  <c r="BN20"/>
  <c r="BG19"/>
  <c r="AE19"/>
  <c r="X17"/>
  <c r="C17"/>
  <c r="BU15"/>
  <c r="AS15"/>
  <c r="AL14"/>
  <c r="J14"/>
  <c r="C13"/>
  <c r="AZ12"/>
  <c r="AS11"/>
  <c r="Q11"/>
  <c r="J10"/>
  <c r="BG9"/>
  <c r="AZ8"/>
  <c r="X8"/>
  <c r="Q16"/>
  <c r="BN15"/>
  <c r="BG14"/>
  <c r="AE14"/>
  <c r="X13"/>
  <c r="BU12"/>
  <c r="BN11"/>
  <c r="AL11"/>
  <c r="AE10"/>
  <c r="C10"/>
  <c r="BU8"/>
  <c r="AS8"/>
  <c r="H32" i="6"/>
  <c r="I32" s="1"/>
  <c r="AI32" i="58" s="1"/>
  <c r="L29" i="73"/>
  <c r="E18" i="215" s="1"/>
  <c r="J32" i="6"/>
  <c r="K32" s="1"/>
  <c r="AS32" i="58" s="1"/>
  <c r="L29" i="74"/>
  <c r="F18" i="215" s="1"/>
  <c r="L32" i="6"/>
  <c r="M32" s="1"/>
  <c r="BC32" i="58" s="1"/>
  <c r="L29" i="75"/>
  <c r="G18" i="215" s="1"/>
  <c r="N32" i="6"/>
  <c r="O32" s="1"/>
  <c r="BM32" i="58" s="1"/>
  <c r="L29" i="76"/>
  <c r="H18" i="215" s="1"/>
  <c r="R32" i="6"/>
  <c r="S32" s="1"/>
  <c r="CG32" i="58" s="1"/>
  <c r="L29" i="78"/>
  <c r="J18" i="215" s="1"/>
  <c r="T32" i="6"/>
  <c r="U32" s="1"/>
  <c r="CQ32" i="58" s="1"/>
  <c r="L29" i="79"/>
  <c r="K18" i="215" s="1"/>
  <c r="K14" i="6"/>
  <c r="AS14" i="58" s="1"/>
  <c r="J15" i="6"/>
  <c r="F30" i="73"/>
  <c r="H30" s="1"/>
  <c r="I30" s="1"/>
  <c r="G31"/>
  <c r="F30" i="74"/>
  <c r="H30" s="1"/>
  <c r="I30" s="1"/>
  <c r="G31"/>
  <c r="F30" i="75"/>
  <c r="H30" s="1"/>
  <c r="I30" s="1"/>
  <c r="G31"/>
  <c r="F30" i="76"/>
  <c r="H30" s="1"/>
  <c r="I30" s="1"/>
  <c r="G31"/>
  <c r="F30" i="78"/>
  <c r="H30" s="1"/>
  <c r="I30" s="1"/>
  <c r="G31"/>
  <c r="F30" i="79"/>
  <c r="H30" s="1"/>
  <c r="I30" s="1"/>
  <c r="G31"/>
  <c r="X17" i="5" l="1"/>
  <c r="BX17" i="58" s="1"/>
  <c r="M52"/>
  <c r="G42" i="216"/>
  <c r="B37" i="213"/>
  <c r="Z17" i="5"/>
  <c r="CH17" i="58" s="1"/>
  <c r="K22" i="124"/>
  <c r="K36"/>
  <c r="E10" i="6"/>
  <c r="O10" i="58" s="1"/>
  <c r="D11" i="6"/>
  <c r="G25" i="80"/>
  <c r="F26"/>
  <c r="G26" s="1"/>
  <c r="AV23" i="58"/>
  <c r="BP29"/>
  <c r="BP28"/>
  <c r="J42" i="219"/>
  <c r="BZ28" i="58"/>
  <c r="CT25"/>
  <c r="AX23"/>
  <c r="F9" i="207"/>
  <c r="BR29" i="58"/>
  <c r="H15" i="207"/>
  <c r="E9" i="33"/>
  <c r="E19"/>
  <c r="C7" i="228" s="1"/>
  <c r="Q42" i="33"/>
  <c r="I30" i="228" s="1"/>
  <c r="BR28" i="58"/>
  <c r="H14" i="207"/>
  <c r="CB28" i="58"/>
  <c r="I14" i="207"/>
  <c r="CV25" i="58"/>
  <c r="K11" i="207"/>
  <c r="CF50" i="58"/>
  <c r="CF65"/>
  <c r="BD32"/>
  <c r="G18" i="216"/>
  <c r="BX22" i="58"/>
  <c r="I8" i="216"/>
  <c r="Z21" i="58"/>
  <c r="AB21" s="1"/>
  <c r="D7" i="216"/>
  <c r="AT31" i="58"/>
  <c r="AV31" s="1"/>
  <c r="F17" i="216"/>
  <c r="AT20" i="58"/>
  <c r="F6" i="216"/>
  <c r="BD26" i="58"/>
  <c r="BF26" s="1"/>
  <c r="G12" i="216"/>
  <c r="CH26" i="58"/>
  <c r="CJ26" s="1"/>
  <c r="J12" i="216"/>
  <c r="CR30" i="58"/>
  <c r="K16" i="216"/>
  <c r="AJ34" i="58"/>
  <c r="E20" i="216"/>
  <c r="BD28" i="58"/>
  <c r="G14" i="216"/>
  <c r="BV50" i="58"/>
  <c r="BV65"/>
  <c r="CP50"/>
  <c r="CP65"/>
  <c r="AA22" i="64"/>
  <c r="AB22" s="1"/>
  <c r="AC22" s="1"/>
  <c r="H10" i="227"/>
  <c r="G22" i="64"/>
  <c r="H22" s="1"/>
  <c r="I22" s="1"/>
  <c r="C10" i="227"/>
  <c r="CZ42" i="19"/>
  <c r="L28" i="219"/>
  <c r="BN24" i="58"/>
  <c r="BP24" s="1"/>
  <c r="H10" i="216"/>
  <c r="AX25" i="58"/>
  <c r="F11" i="207"/>
  <c r="BH23" i="58"/>
  <c r="G9" i="207"/>
  <c r="CV27" i="58"/>
  <c r="K13" i="207"/>
  <c r="B13"/>
  <c r="AB45" i="37"/>
  <c r="AX50" i="2"/>
  <c r="J45" i="37"/>
  <c r="R50" i="2"/>
  <c r="AX45" i="37"/>
  <c r="CL50" i="2"/>
  <c r="AJ26" i="19"/>
  <c r="E12" i="221"/>
  <c r="BF50" i="2"/>
  <c r="BL48"/>
  <c r="BW24" i="29"/>
  <c r="BX24" s="1"/>
  <c r="L10" i="224"/>
  <c r="L37" i="216"/>
  <c r="L42"/>
  <c r="G8" i="72"/>
  <c r="F9"/>
  <c r="AA12" i="10"/>
  <c r="U13" i="15"/>
  <c r="AB13" i="10"/>
  <c r="K5" i="4"/>
  <c r="CH33" i="58"/>
  <c r="J19" i="216"/>
  <c r="BB45" i="37"/>
  <c r="CS50" i="2"/>
  <c r="Q17" i="16"/>
  <c r="R19"/>
  <c r="S19" s="1"/>
  <c r="T19" s="1"/>
  <c r="B43" i="224"/>
  <c r="B38"/>
  <c r="S38" i="72"/>
  <c r="E37"/>
  <c r="D37" i="216"/>
  <c r="D42"/>
  <c r="Z25" i="19"/>
  <c r="D11" i="221"/>
  <c r="Z26" i="19"/>
  <c r="D12" i="221"/>
  <c r="F43" i="19"/>
  <c r="F46" i="133" s="1"/>
  <c r="B29" i="221"/>
  <c r="AV45" i="37"/>
  <c r="CH50" i="2"/>
  <c r="AK12" i="16"/>
  <c r="AL13"/>
  <c r="AM13" s="1"/>
  <c r="AN13" s="1"/>
  <c r="CQ13" i="19" s="1"/>
  <c r="V12" i="6"/>
  <c r="W11"/>
  <c r="DA11" i="58" s="1"/>
  <c r="BV42" i="19"/>
  <c r="I28" i="219"/>
  <c r="G30" i="71"/>
  <c r="F29"/>
  <c r="H29" s="1"/>
  <c r="I29" s="1"/>
  <c r="DS9" i="18"/>
  <c r="DT9" s="1"/>
  <c r="DY9"/>
  <c r="DZ9" s="1"/>
  <c r="DW9"/>
  <c r="DX9" s="1"/>
  <c r="EA9"/>
  <c r="EB9" s="1"/>
  <c r="DQ9"/>
  <c r="DR9" s="1"/>
  <c r="EC8"/>
  <c r="D27" i="6"/>
  <c r="E27" s="1"/>
  <c r="O27" i="58" s="1"/>
  <c r="L24" i="71"/>
  <c r="C13" i="215" s="1"/>
  <c r="F36" i="213"/>
  <c r="F41"/>
  <c r="BX32" i="58"/>
  <c r="I18" i="216"/>
  <c r="CH32" i="58"/>
  <c r="CJ32" s="1"/>
  <c r="J18" i="216"/>
  <c r="CZ50" i="58"/>
  <c r="CZ65"/>
  <c r="CZ56"/>
  <c r="AJ22"/>
  <c r="E8" i="216"/>
  <c r="DB22" i="58"/>
  <c r="DD22" s="1"/>
  <c r="L8" i="216"/>
  <c r="AT21" i="58"/>
  <c r="AV21" s="1"/>
  <c r="F7" i="216"/>
  <c r="AJ21" i="58"/>
  <c r="AL21" s="1"/>
  <c r="E7" i="216"/>
  <c r="Z31" i="58"/>
  <c r="D17" i="216"/>
  <c r="BD31" i="58"/>
  <c r="BF31" s="1"/>
  <c r="G17" i="216"/>
  <c r="BX20" i="58"/>
  <c r="I6" i="216"/>
  <c r="BN26" i="58"/>
  <c r="BP26" s="1"/>
  <c r="H12" i="216"/>
  <c r="Z30" i="58"/>
  <c r="D16" i="216"/>
  <c r="P34" i="58"/>
  <c r="C20" i="216"/>
  <c r="BN34" i="58"/>
  <c r="H20" i="216"/>
  <c r="BX25" i="58"/>
  <c r="BZ25" s="1"/>
  <c r="I11" i="216"/>
  <c r="BB50" i="58"/>
  <c r="BB65"/>
  <c r="AI22" i="64"/>
  <c r="AJ22" s="1"/>
  <c r="AK22" s="1"/>
  <c r="J10" i="227"/>
  <c r="O22" i="64"/>
  <c r="P22" s="1"/>
  <c r="Q22" s="1"/>
  <c r="E10" i="227"/>
  <c r="CH24" i="58"/>
  <c r="CJ24" s="1"/>
  <c r="J10" i="216"/>
  <c r="Z24" i="58"/>
  <c r="D10" i="216"/>
  <c r="AJ28" i="58"/>
  <c r="E14" i="216"/>
  <c r="AA45" i="37"/>
  <c r="AV50" i="2"/>
  <c r="AJ27" i="19"/>
  <c r="E13" i="221"/>
  <c r="E43" s="1"/>
  <c r="F25" i="72"/>
  <c r="G24"/>
  <c r="L28"/>
  <c r="D17" i="215" s="1"/>
  <c r="F31" i="6"/>
  <c r="G31" s="1"/>
  <c r="Y31" i="58" s="1"/>
  <c r="AB31" s="1"/>
  <c r="BK46" i="2"/>
  <c r="AI43" i="37" s="1"/>
  <c r="BI46" i="2"/>
  <c r="AH43" i="37" s="1"/>
  <c r="BG46" i="2"/>
  <c r="AG43" i="37" s="1"/>
  <c r="BE46" i="2"/>
  <c r="AF43" i="37" s="1"/>
  <c r="BO46" i="2"/>
  <c r="BU45"/>
  <c r="BP45" s="1"/>
  <c r="AL42" i="37" s="1"/>
  <c r="S38" i="76"/>
  <c r="E37"/>
  <c r="FG7" i="18"/>
  <c r="FH7" s="1"/>
  <c r="FA7"/>
  <c r="FB7" s="1"/>
  <c r="FI7"/>
  <c r="FJ7" s="1"/>
  <c r="FE7"/>
  <c r="FF7" s="1"/>
  <c r="EY7"/>
  <c r="EZ7" s="1"/>
  <c r="E36" i="213"/>
  <c r="E41"/>
  <c r="F43" i="224"/>
  <c r="F38"/>
  <c r="AJ40" i="19"/>
  <c r="E26" i="221"/>
  <c r="Z27" i="19"/>
  <c r="D13" i="221"/>
  <c r="H11" i="6"/>
  <c r="I10"/>
  <c r="AI10" i="58" s="1"/>
  <c r="S23" i="29"/>
  <c r="T23" s="1"/>
  <c r="D9" i="224"/>
  <c r="H23" i="6"/>
  <c r="I23" s="1"/>
  <c r="AI23" i="58" s="1"/>
  <c r="AL23" s="1"/>
  <c r="L20" i="73"/>
  <c r="E9" i="215" s="1"/>
  <c r="AP50" i="16"/>
  <c r="AQ19"/>
  <c r="B7" i="4"/>
  <c r="I36" i="213"/>
  <c r="I41"/>
  <c r="E38" i="224"/>
  <c r="E43"/>
  <c r="V50" i="2"/>
  <c r="AB48"/>
  <c r="W48" s="1"/>
  <c r="E45" i="14"/>
  <c r="G44"/>
  <c r="CQ7" i="18"/>
  <c r="CR7" s="1"/>
  <c r="CO7"/>
  <c r="CP7" s="1"/>
  <c r="CI7"/>
  <c r="CJ7" s="1"/>
  <c r="CK7"/>
  <c r="CL7" s="1"/>
  <c r="CS7"/>
  <c r="CT7" s="1"/>
  <c r="H42" i="216"/>
  <c r="H37"/>
  <c r="J36" i="213"/>
  <c r="J41"/>
  <c r="BW20" i="19"/>
  <c r="I6" i="220"/>
  <c r="AB35" i="5"/>
  <c r="P35"/>
  <c r="AD35"/>
  <c r="R35"/>
  <c r="T35"/>
  <c r="N35"/>
  <c r="X35"/>
  <c r="Z35"/>
  <c r="L35"/>
  <c r="V35"/>
  <c r="I25" i="71"/>
  <c r="H26"/>
  <c r="I26" s="1"/>
  <c r="D43" i="221"/>
  <c r="D38"/>
  <c r="L43"/>
  <c r="L38"/>
  <c r="I42" i="216"/>
  <c r="I37"/>
  <c r="I43" i="221"/>
  <c r="I38"/>
  <c r="D50" i="58"/>
  <c r="D21" i="124"/>
  <c r="J29" s="1"/>
  <c r="B24" i="122"/>
  <c r="D65" i="58"/>
  <c r="D64"/>
  <c r="AJ32"/>
  <c r="AL32" s="1"/>
  <c r="E18" i="216"/>
  <c r="DB32" i="58"/>
  <c r="L18" i="216"/>
  <c r="AT32" i="58"/>
  <c r="F18" i="216"/>
  <c r="BL50" i="58"/>
  <c r="BL65"/>
  <c r="P22"/>
  <c r="C8" i="216"/>
  <c r="CH22" i="58"/>
  <c r="J8" i="216"/>
  <c r="BN22" i="58"/>
  <c r="BP22" s="1"/>
  <c r="H8" i="216"/>
  <c r="BD21" i="58"/>
  <c r="G7" i="216"/>
  <c r="DB21" i="58"/>
  <c r="L7" i="216"/>
  <c r="AJ31" i="58"/>
  <c r="E17" i="216"/>
  <c r="P31" i="58"/>
  <c r="C17" i="216"/>
  <c r="BD20" i="58"/>
  <c r="G6" i="216"/>
  <c r="AJ20" i="58"/>
  <c r="AL20" s="1"/>
  <c r="E6" i="216"/>
  <c r="DB20" i="58"/>
  <c r="L6" i="216"/>
  <c r="Z26" i="58"/>
  <c r="AB26" s="1"/>
  <c r="D12" i="216"/>
  <c r="BX26" i="58"/>
  <c r="I12" i="216"/>
  <c r="BX30" i="58"/>
  <c r="I16" i="216"/>
  <c r="P30" i="58"/>
  <c r="C16" i="216"/>
  <c r="CH30" i="58"/>
  <c r="CJ30" s="1"/>
  <c r="J16" i="216"/>
  <c r="AT34" i="58"/>
  <c r="F20" i="216"/>
  <c r="Z34" i="58"/>
  <c r="D20" i="216"/>
  <c r="P28" i="58"/>
  <c r="C14" i="216"/>
  <c r="P25" i="58"/>
  <c r="C11" i="216"/>
  <c r="AM22" i="64"/>
  <c r="AN22" s="1"/>
  <c r="AO22" s="1"/>
  <c r="K10" i="227"/>
  <c r="S22" i="64"/>
  <c r="T22" s="1"/>
  <c r="U22" s="1"/>
  <c r="F10" i="227"/>
  <c r="AE22" i="64"/>
  <c r="AF22" s="1"/>
  <c r="AG22" s="1"/>
  <c r="I10" i="227"/>
  <c r="BL42" i="19"/>
  <c r="H28" i="219"/>
  <c r="AT24" i="58"/>
  <c r="F10" i="216"/>
  <c r="CR24" i="58"/>
  <c r="CT24" s="1"/>
  <c r="K10" i="216"/>
  <c r="AJ24" i="58"/>
  <c r="E10" i="216"/>
  <c r="E50" i="35"/>
  <c r="E53"/>
  <c r="Z25" i="58"/>
  <c r="D11" i="216"/>
  <c r="F23" i="124"/>
  <c r="B7" i="207"/>
  <c r="CV23" i="58"/>
  <c r="K9" i="207"/>
  <c r="CV29" i="58"/>
  <c r="K15" i="207"/>
  <c r="BR25" i="58"/>
  <c r="H11" i="207"/>
  <c r="CL23" i="58"/>
  <c r="J9" i="207"/>
  <c r="BC45" i="37"/>
  <c r="CU50" i="2"/>
  <c r="AJ32" i="19"/>
  <c r="E18" i="221"/>
  <c r="F21" i="19"/>
  <c r="F24" i="133" s="1"/>
  <c r="B7" i="221"/>
  <c r="Z32" i="19"/>
  <c r="D18" i="221"/>
  <c r="BT44" i="2"/>
  <c r="AN41" i="37" s="1"/>
  <c r="BR44" i="2"/>
  <c r="AM41" i="37" s="1"/>
  <c r="BN44" i="2"/>
  <c r="AK41" i="37" s="1"/>
  <c r="E15" i="16"/>
  <c r="F16"/>
  <c r="G16" s="1"/>
  <c r="H16" s="1"/>
  <c r="O16" i="19" s="1"/>
  <c r="B22" i="216"/>
  <c r="J36" i="5"/>
  <c r="F36" i="58"/>
  <c r="E38" i="124" s="1"/>
  <c r="K38" s="1"/>
  <c r="BI26" i="29"/>
  <c r="BJ26" s="1"/>
  <c r="J12" i="224"/>
  <c r="CR33" i="58"/>
  <c r="K19" i="216"/>
  <c r="J44" i="217"/>
  <c r="J39"/>
  <c r="AU25" i="19"/>
  <c r="F11" i="210"/>
  <c r="CS25" i="19"/>
  <c r="K11" i="210"/>
  <c r="G19" i="26"/>
  <c r="G20" i="28"/>
  <c r="AM13" i="10"/>
  <c r="AC14" i="15"/>
  <c r="AD14" s="1"/>
  <c r="AE14" s="1"/>
  <c r="BL14" i="19" s="1"/>
  <c r="AN14" i="10"/>
  <c r="AU23" i="29"/>
  <c r="AV23" s="1"/>
  <c r="H9" i="224"/>
  <c r="L25" i="29"/>
  <c r="M25" s="1"/>
  <c r="C11" i="224"/>
  <c r="AG13" i="16"/>
  <c r="AH14"/>
  <c r="AI14" s="1"/>
  <c r="AJ14" s="1"/>
  <c r="CG14" i="19" s="1"/>
  <c r="X45" i="37"/>
  <c r="AQ50" i="2"/>
  <c r="BO25" i="19"/>
  <c r="H11" i="210"/>
  <c r="B20" i="26"/>
  <c r="B21" i="28"/>
  <c r="AO11" i="15"/>
  <c r="BE10" i="10"/>
  <c r="S39" i="74"/>
  <c r="E39" s="1"/>
  <c r="E38"/>
  <c r="H36" i="213"/>
  <c r="H41"/>
  <c r="AJ41" i="19"/>
  <c r="E27" i="221"/>
  <c r="AJ34" i="19"/>
  <c r="E20" i="221"/>
  <c r="H45" i="37"/>
  <c r="N50" i="2"/>
  <c r="E20" i="26"/>
  <c r="E21" i="28"/>
  <c r="C12" i="10"/>
  <c r="E13" i="15"/>
  <c r="F13" s="1"/>
  <c r="G13" s="1"/>
  <c r="D13" i="19" s="1"/>
  <c r="D13" i="10"/>
  <c r="C13" i="16"/>
  <c r="D13" s="1"/>
  <c r="E13" i="19" s="1"/>
  <c r="G50" i="16"/>
  <c r="H19"/>
  <c r="E37" i="80"/>
  <c r="S38"/>
  <c r="G19" i="75"/>
  <c r="F20"/>
  <c r="G20" s="1"/>
  <c r="N40" i="19"/>
  <c r="C26" i="219"/>
  <c r="D17" i="26"/>
  <c r="D18" i="28"/>
  <c r="V31" i="6"/>
  <c r="W31" s="1"/>
  <c r="DA31" i="58" s="1"/>
  <c r="L28" i="80"/>
  <c r="L17" i="215" s="1"/>
  <c r="BC15" i="1"/>
  <c r="BA14"/>
  <c r="J38" i="224"/>
  <c r="J43"/>
  <c r="X42" i="19"/>
  <c r="D28" i="219"/>
  <c r="Y10" i="15"/>
  <c r="AG9" i="10"/>
  <c r="J38" i="219"/>
  <c r="J43"/>
  <c r="AA25" i="19"/>
  <c r="D11" i="210"/>
  <c r="BY25" i="19"/>
  <c r="I11" i="210"/>
  <c r="F25" i="219"/>
  <c r="AR39" i="19"/>
  <c r="H43" i="14"/>
  <c r="O43"/>
  <c r="I43"/>
  <c r="L43" i="15" s="1"/>
  <c r="N43" s="1"/>
  <c r="O43" s="1"/>
  <c r="P43" i="14"/>
  <c r="AN43" i="15" s="1"/>
  <c r="AP43" s="1"/>
  <c r="AQ43" s="1"/>
  <c r="Q43" i="14"/>
  <c r="K43"/>
  <c r="N43"/>
  <c r="AF43" i="15" s="1"/>
  <c r="AH43" s="1"/>
  <c r="AI43" s="1"/>
  <c r="M43" i="14"/>
  <c r="J43"/>
  <c r="L43"/>
  <c r="X43" i="15" s="1"/>
  <c r="Z43" s="1"/>
  <c r="AA43" s="1"/>
  <c r="E38" i="78"/>
  <c r="S39"/>
  <c r="E39" s="1"/>
  <c r="AK25" i="19"/>
  <c r="E11" i="210"/>
  <c r="I21" i="28"/>
  <c r="I20" i="26"/>
  <c r="K20" i="28"/>
  <c r="K19" i="26"/>
  <c r="BM20" i="19"/>
  <c r="H6" i="220"/>
  <c r="AW45" i="37"/>
  <c r="CJ50" i="2"/>
  <c r="C42" i="216"/>
  <c r="P17" i="5"/>
  <c r="AJ17" i="58" s="1"/>
  <c r="E37" i="213"/>
  <c r="CV8" i="18"/>
  <c r="CX8" s="1"/>
  <c r="CY8" s="1"/>
  <c r="BD9" i="19" s="1"/>
  <c r="Q8" i="29"/>
  <c r="AZ9"/>
  <c r="J11"/>
  <c r="AS12"/>
  <c r="C14"/>
  <c r="AL15"/>
  <c r="BU16"/>
  <c r="AE9"/>
  <c r="BN10"/>
  <c r="X12"/>
  <c r="BG13"/>
  <c r="Q15"/>
  <c r="AZ16"/>
  <c r="C19"/>
  <c r="AL20"/>
  <c r="BU21"/>
  <c r="AE23"/>
  <c r="BN24"/>
  <c r="X26"/>
  <c r="BG27"/>
  <c r="Q29"/>
  <c r="AZ30"/>
  <c r="J32"/>
  <c r="AS33"/>
  <c r="C35"/>
  <c r="AL36"/>
  <c r="BU37"/>
  <c r="AL40"/>
  <c r="AB17" i="5"/>
  <c r="CR17" i="58" s="1"/>
  <c r="P43" i="15"/>
  <c r="R43" s="1"/>
  <c r="S43" s="1"/>
  <c r="BZ23" i="58"/>
  <c r="BP27"/>
  <c r="BZ29"/>
  <c r="DD23"/>
  <c r="BB66"/>
  <c r="F37" i="213"/>
  <c r="FL8" i="18"/>
  <c r="FN8" s="1"/>
  <c r="FO8" s="1"/>
  <c r="CR9" i="19" s="1"/>
  <c r="D66" i="58"/>
  <c r="CP66"/>
  <c r="K23" i="124"/>
  <c r="K34"/>
  <c r="E42" i="213"/>
  <c r="G38" i="221"/>
  <c r="F42" i="219"/>
  <c r="Z32" i="58"/>
  <c r="D18" i="216"/>
  <c r="CR22" i="58"/>
  <c r="CT22" s="1"/>
  <c r="K8" i="216"/>
  <c r="CH21" i="58"/>
  <c r="J7" i="216"/>
  <c r="BX21" i="58"/>
  <c r="I7" i="216"/>
  <c r="BN31" i="58"/>
  <c r="BP31" s="1"/>
  <c r="H17" i="216"/>
  <c r="CR31" i="58"/>
  <c r="CT31" s="1"/>
  <c r="K17" i="216"/>
  <c r="Z20" i="58"/>
  <c r="AB20" s="1"/>
  <c r="D6" i="216"/>
  <c r="DB26" i="58"/>
  <c r="DD26" s="1"/>
  <c r="L12" i="216"/>
  <c r="BN30" i="58"/>
  <c r="BP30" s="1"/>
  <c r="H16" i="216"/>
  <c r="BD34" i="58"/>
  <c r="G20" i="216"/>
  <c r="DB34" i="58"/>
  <c r="L20" i="216"/>
  <c r="G24" i="19"/>
  <c r="B10" i="210"/>
  <c r="P24" i="58"/>
  <c r="C10" i="216"/>
  <c r="Z28" i="58"/>
  <c r="D14" i="216"/>
  <c r="AJ25" i="58"/>
  <c r="E11" i="216"/>
  <c r="CL29" i="58"/>
  <c r="J15" i="207"/>
  <c r="BR23" i="58"/>
  <c r="H9" i="207"/>
  <c r="DF27" i="58"/>
  <c r="L13" i="207"/>
  <c r="DF29" i="58"/>
  <c r="L15" i="207"/>
  <c r="CL27" i="58"/>
  <c r="J13" i="207"/>
  <c r="AB48" i="9"/>
  <c r="J34" i="217" s="1"/>
  <c r="J33"/>
  <c r="Y45" i="37"/>
  <c r="AS50" i="2"/>
  <c r="AD45" i="37"/>
  <c r="BB50" i="2"/>
  <c r="F32" i="19"/>
  <c r="F35" i="133" s="1"/>
  <c r="B18" i="221"/>
  <c r="G30" i="72"/>
  <c r="F29"/>
  <c r="H29" s="1"/>
  <c r="I29" s="1"/>
  <c r="I38" i="224"/>
  <c r="I43"/>
  <c r="AG26" i="29"/>
  <c r="AH26" s="1"/>
  <c r="F12" i="224"/>
  <c r="Y20" i="19"/>
  <c r="D6" i="220"/>
  <c r="K42" i="216"/>
  <c r="K37"/>
  <c r="AE47" i="2"/>
  <c r="AE48" s="1"/>
  <c r="AK46"/>
  <c r="AF46" s="1"/>
  <c r="R43" i="37" s="1"/>
  <c r="J25" i="219"/>
  <c r="CF39" i="19"/>
  <c r="DC25"/>
  <c r="L11" i="210"/>
  <c r="AC45" i="37"/>
  <c r="AZ50" i="2"/>
  <c r="J7" i="4"/>
  <c r="F40" i="19"/>
  <c r="F43" i="133" s="1"/>
  <c r="B26" i="221"/>
  <c r="AH42" i="19"/>
  <c r="E28" i="219"/>
  <c r="M50" i="16"/>
  <c r="N19"/>
  <c r="M17"/>
  <c r="H22" i="6"/>
  <c r="I22" s="1"/>
  <c r="AI22" i="58" s="1"/>
  <c r="L19" i="73"/>
  <c r="E8" i="215" s="1"/>
  <c r="AO16" i="16"/>
  <c r="AP17"/>
  <c r="AQ17" s="1"/>
  <c r="AR17" s="1"/>
  <c r="DA17" i="19" s="1"/>
  <c r="M13" i="15"/>
  <c r="N13" s="1"/>
  <c r="O13" s="1"/>
  <c r="X13" i="19" s="1"/>
  <c r="O12" i="10"/>
  <c r="P13"/>
  <c r="CP42" i="19"/>
  <c r="K28" i="219"/>
  <c r="CI25" i="19"/>
  <c r="J11" i="210"/>
  <c r="F43" i="221"/>
  <c r="F38"/>
  <c r="F29" i="77"/>
  <c r="H29" s="1"/>
  <c r="I29" s="1"/>
  <c r="G30"/>
  <c r="Q25" i="19"/>
  <c r="C11" i="210"/>
  <c r="AD19" i="16"/>
  <c r="AE19" s="1"/>
  <c r="AF19" s="1"/>
  <c r="AC17"/>
  <c r="AR50" i="58"/>
  <c r="AR56"/>
  <c r="AR65"/>
  <c r="P32"/>
  <c r="C18" i="216"/>
  <c r="BD22" i="58"/>
  <c r="BF22" s="1"/>
  <c r="G8" i="216"/>
  <c r="AX29" i="58"/>
  <c r="F15" i="207"/>
  <c r="CR21" i="58"/>
  <c r="CT21" s="1"/>
  <c r="K7" i="216"/>
  <c r="BX31" i="58"/>
  <c r="I17" i="216"/>
  <c r="CR20" i="58"/>
  <c r="CT20" s="1"/>
  <c r="K6" i="216"/>
  <c r="P26" i="58"/>
  <c r="R26" s="1"/>
  <c r="C12" i="216"/>
  <c r="AT26" i="58"/>
  <c r="AV26" s="1"/>
  <c r="F12" i="216"/>
  <c r="BD30" i="58"/>
  <c r="BF30" s="1"/>
  <c r="G16" i="216"/>
  <c r="CH34" i="58"/>
  <c r="J20" i="216"/>
  <c r="CR28" i="58"/>
  <c r="CT28" s="1"/>
  <c r="K14" i="216"/>
  <c r="AH50" i="58"/>
  <c r="AH65"/>
  <c r="AH56"/>
  <c r="K22" i="64"/>
  <c r="L22" s="1"/>
  <c r="M22" s="1"/>
  <c r="D10" i="227"/>
  <c r="BX24" i="58"/>
  <c r="I10" i="216"/>
  <c r="DB25" i="58"/>
  <c r="DD25" s="1"/>
  <c r="L11" i="216"/>
  <c r="AX27" i="58"/>
  <c r="F13" i="207"/>
  <c r="BH27" i="58"/>
  <c r="G13" i="207"/>
  <c r="V45" i="37"/>
  <c r="AM50" i="2"/>
  <c r="G45" i="37"/>
  <c r="L50" i="2"/>
  <c r="AU45" i="37"/>
  <c r="CF50" i="2"/>
  <c r="F38" i="19"/>
  <c r="B24" i="221"/>
  <c r="AJ24" i="19"/>
  <c r="E10" i="221"/>
  <c r="C38" i="5"/>
  <c r="F37"/>
  <c r="H37" s="1"/>
  <c r="F30" i="133"/>
  <c r="AF45" i="2"/>
  <c r="R42" i="37" s="1"/>
  <c r="AH45" i="2"/>
  <c r="S42" i="37" s="1"/>
  <c r="AD45" i="2"/>
  <c r="Q42" i="37" s="1"/>
  <c r="AJ45" i="2"/>
  <c r="T42" i="37" s="1"/>
  <c r="AJ40" i="15"/>
  <c r="AL40" s="1"/>
  <c r="AM40" s="1"/>
  <c r="J37" i="12"/>
  <c r="Z33" i="58"/>
  <c r="D19" i="216"/>
  <c r="K36" i="213"/>
  <c r="K41"/>
  <c r="D41"/>
  <c r="D36"/>
  <c r="H17" i="26"/>
  <c r="H18" i="28"/>
  <c r="C19" i="26"/>
  <c r="C20" i="28"/>
  <c r="F11" i="78"/>
  <c r="G10"/>
  <c r="BE25" i="19"/>
  <c r="G11" i="210"/>
  <c r="F24" i="19"/>
  <c r="F27" i="133" s="1"/>
  <c r="B10" i="221"/>
  <c r="H41" i="15"/>
  <c r="J41" s="1"/>
  <c r="K41" s="1"/>
  <c r="C38" i="12"/>
  <c r="S38" i="79"/>
  <c r="E37"/>
  <c r="J42" i="216"/>
  <c r="J37"/>
  <c r="D37" i="215"/>
  <c r="D42"/>
  <c r="BN32" i="58"/>
  <c r="H18" i="216"/>
  <c r="CR32" i="58"/>
  <c r="CT32" s="1"/>
  <c r="K18" i="216"/>
  <c r="X50" i="58"/>
  <c r="X56"/>
  <c r="X65"/>
  <c r="AT22"/>
  <c r="AV22" s="1"/>
  <c r="F8" i="216"/>
  <c r="Z22" i="58"/>
  <c r="D8" i="216"/>
  <c r="BH29" i="58"/>
  <c r="G15" i="207"/>
  <c r="P21" i="58"/>
  <c r="C7" i="216"/>
  <c r="BN21" i="58"/>
  <c r="H7" i="216"/>
  <c r="DB31" i="58"/>
  <c r="L17" i="216"/>
  <c r="CH31" i="58"/>
  <c r="CJ31" s="1"/>
  <c r="J17" i="216"/>
  <c r="P20" i="58"/>
  <c r="C6" i="216"/>
  <c r="CH20" i="58"/>
  <c r="CJ20" s="1"/>
  <c r="J6" i="216"/>
  <c r="BN20" i="58"/>
  <c r="BP20" s="1"/>
  <c r="H6" i="216"/>
  <c r="CR26" i="58"/>
  <c r="CT26" s="1"/>
  <c r="K12" i="216"/>
  <c r="AJ26" i="58"/>
  <c r="E12" i="216"/>
  <c r="AJ30" i="58"/>
  <c r="AL30" s="1"/>
  <c r="E16" i="216"/>
  <c r="DB30" i="58"/>
  <c r="L16" i="216"/>
  <c r="AT30" i="58"/>
  <c r="F16" i="216"/>
  <c r="CR34" i="58"/>
  <c r="K20" i="216"/>
  <c r="BX34" i="58"/>
  <c r="I20" i="216"/>
  <c r="DB28" i="58"/>
  <c r="DD28" s="1"/>
  <c r="L14" i="216"/>
  <c r="AQ22" i="64"/>
  <c r="AR22" s="1"/>
  <c r="AS22" s="1"/>
  <c r="L10" i="227"/>
  <c r="W22" i="64"/>
  <c r="X22" s="1"/>
  <c r="Y22" s="1"/>
  <c r="G10" i="227"/>
  <c r="B9"/>
  <c r="I7" i="161"/>
  <c r="D50" i="19"/>
  <c r="D22" i="133"/>
  <c r="L30" s="1"/>
  <c r="E22" i="134"/>
  <c r="B21" i="130"/>
  <c r="BD24" i="58"/>
  <c r="BF24" s="1"/>
  <c r="G10" i="216"/>
  <c r="DB24" i="58"/>
  <c r="L10" i="216"/>
  <c r="BD25" i="58"/>
  <c r="BF25" s="1"/>
  <c r="G11" i="216"/>
  <c r="CL28" i="58"/>
  <c r="J14" i="207"/>
  <c r="AZ45" i="37"/>
  <c r="CO50" i="2"/>
  <c r="AJ33" i="19"/>
  <c r="E19" i="221"/>
  <c r="Z33" i="19"/>
  <c r="D19" i="221"/>
  <c r="S38" i="70"/>
  <c r="D38" s="1"/>
  <c r="D37"/>
  <c r="G7" i="4"/>
  <c r="F7"/>
  <c r="F20" i="26"/>
  <c r="F21" i="28"/>
  <c r="L18" i="26"/>
  <c r="L19" i="28"/>
  <c r="J19" i="16"/>
  <c r="K19" s="1"/>
  <c r="L19" s="1"/>
  <c r="I17"/>
  <c r="J20" i="26"/>
  <c r="J21" i="28"/>
  <c r="P33" i="58"/>
  <c r="C19" i="216"/>
  <c r="E37"/>
  <c r="E42"/>
  <c r="B36" i="213"/>
  <c r="B41"/>
  <c r="AN25" i="29"/>
  <c r="AO25" s="1"/>
  <c r="G11" i="224"/>
  <c r="L12" i="6"/>
  <c r="M11"/>
  <c r="BC11" i="58" s="1"/>
  <c r="AS20" i="19"/>
  <c r="F6" i="220"/>
  <c r="F27" i="29"/>
  <c r="J11" i="171"/>
  <c r="AK13" i="15"/>
  <c r="AY12" i="10"/>
  <c r="AZ13"/>
  <c r="F42" i="216"/>
  <c r="F37"/>
  <c r="F43" i="219"/>
  <c r="F38"/>
  <c r="C43" i="221"/>
  <c r="C38"/>
  <c r="U11" i="10"/>
  <c r="Q12" i="15"/>
  <c r="E26" i="29"/>
  <c r="B12" i="224"/>
  <c r="G10" i="79"/>
  <c r="F11"/>
  <c r="M22" i="133"/>
  <c r="M49"/>
  <c r="M51"/>
  <c r="M45"/>
  <c r="M42"/>
  <c r="M43"/>
  <c r="M31"/>
  <c r="M37"/>
  <c r="M47"/>
  <c r="M25"/>
  <c r="M44"/>
  <c r="M33"/>
  <c r="M32"/>
  <c r="M26"/>
  <c r="M40"/>
  <c r="M24"/>
  <c r="M29"/>
  <c r="M30"/>
  <c r="M28"/>
  <c r="M36"/>
  <c r="M27"/>
  <c r="M41"/>
  <c r="M34"/>
  <c r="M39"/>
  <c r="M48"/>
  <c r="M38"/>
  <c r="M23"/>
  <c r="M35"/>
  <c r="M46"/>
  <c r="F35" i="19"/>
  <c r="F38" i="133" s="1"/>
  <c r="B21" i="221"/>
  <c r="Z24" i="19"/>
  <c r="D10" i="221"/>
  <c r="F29" i="19"/>
  <c r="F32" i="133" s="1"/>
  <c r="B15" i="221"/>
  <c r="CH25" i="58"/>
  <c r="CJ25" s="1"/>
  <c r="J11" i="216"/>
  <c r="G10" i="6"/>
  <c r="Y10" i="58" s="1"/>
  <c r="F11" i="6"/>
  <c r="Z26" i="29"/>
  <c r="AA26" s="1"/>
  <c r="E12" i="224"/>
  <c r="AG14" i="15"/>
  <c r="AH14" s="1"/>
  <c r="AI14" s="1"/>
  <c r="BV14" i="19" s="1"/>
  <c r="AS13" i="10"/>
  <c r="AT14"/>
  <c r="T12" i="6"/>
  <c r="U11"/>
  <c r="CQ11" i="58" s="1"/>
  <c r="AI20" i="19"/>
  <c r="E6" i="220"/>
  <c r="AS14" i="15"/>
  <c r="AT14" s="1"/>
  <c r="AU14" s="1"/>
  <c r="CZ14" i="19" s="1"/>
  <c r="BK13" i="10"/>
  <c r="BL14"/>
  <c r="G30" i="80"/>
  <c r="F29"/>
  <c r="H29" s="1"/>
  <c r="I29" s="1"/>
  <c r="K43" i="221"/>
  <c r="K38"/>
  <c r="U12" i="16"/>
  <c r="V13"/>
  <c r="W13" s="1"/>
  <c r="X13" s="1"/>
  <c r="BC13" i="19" s="1"/>
  <c r="CD16" i="58"/>
  <c r="Y16" i="5"/>
  <c r="Q10" i="6"/>
  <c r="BW10" i="58" s="1"/>
  <c r="P11" i="6"/>
  <c r="I13" i="10"/>
  <c r="I14" i="15"/>
  <c r="J14" s="1"/>
  <c r="K14" s="1"/>
  <c r="N14" i="19" s="1"/>
  <c r="J14" i="10"/>
  <c r="BB42" i="19"/>
  <c r="G28" i="219"/>
  <c r="G41" i="213"/>
  <c r="G36"/>
  <c r="T40" i="15"/>
  <c r="V40" s="1"/>
  <c r="W40" s="1"/>
  <c r="F37" i="12"/>
  <c r="AA46" i="2"/>
  <c r="O43" i="37" s="1"/>
  <c r="Y46" i="2"/>
  <c r="N43" i="37" s="1"/>
  <c r="U46" i="2"/>
  <c r="L43" i="37" s="1"/>
  <c r="D31" i="6"/>
  <c r="E31" s="1"/>
  <c r="O31" i="58" s="1"/>
  <c r="L28" i="71"/>
  <c r="C17" i="215" s="1"/>
  <c r="C5" i="4"/>
  <c r="P31" i="6"/>
  <c r="Q31" s="1"/>
  <c r="BW31" i="58" s="1"/>
  <c r="L28" i="77"/>
  <c r="I17" i="215" s="1"/>
  <c r="I45" i="37"/>
  <c r="P50" i="2"/>
  <c r="I21" i="124"/>
  <c r="I32"/>
  <c r="I24"/>
  <c r="I27"/>
  <c r="I30"/>
  <c r="I22"/>
  <c r="I25"/>
  <c r="I26"/>
  <c r="I31"/>
  <c r="I28"/>
  <c r="I23"/>
  <c r="I29"/>
  <c r="L36" i="213"/>
  <c r="L41"/>
  <c r="BB26" i="29"/>
  <c r="BC26" s="1"/>
  <c r="I12" i="224"/>
  <c r="BP25" i="29"/>
  <c r="BQ25" s="1"/>
  <c r="K11" i="224"/>
  <c r="Y17" i="16"/>
  <c r="Z19"/>
  <c r="AA19" s="1"/>
  <c r="AB19" s="1"/>
  <c r="H43" i="221"/>
  <c r="H38"/>
  <c r="S11" i="6"/>
  <c r="CG11" i="58" s="1"/>
  <c r="R12" i="6"/>
  <c r="B41" i="219"/>
  <c r="B36"/>
  <c r="J43" i="221"/>
  <c r="J38"/>
  <c r="BP32" i="58"/>
  <c r="H18" i="207" s="1"/>
  <c r="N17" i="5"/>
  <c r="Z17" i="58" s="1"/>
  <c r="AL13" i="15"/>
  <c r="AM13" s="1"/>
  <c r="CF13" i="19" s="1"/>
  <c r="R27" i="58"/>
  <c r="BZ27"/>
  <c r="CZ66"/>
  <c r="BV66"/>
  <c r="F42" i="213"/>
  <c r="D42"/>
  <c r="X9" i="29"/>
  <c r="BG10"/>
  <c r="Q12"/>
  <c r="AZ13"/>
  <c r="J15"/>
  <c r="AS16"/>
  <c r="C9"/>
  <c r="AL10"/>
  <c r="BU11"/>
  <c r="AE13"/>
  <c r="BN14"/>
  <c r="X16"/>
  <c r="AZ17"/>
  <c r="J20"/>
  <c r="AS21"/>
  <c r="C23"/>
  <c r="AL24"/>
  <c r="BU25"/>
  <c r="AE27"/>
  <c r="BN28"/>
  <c r="X30"/>
  <c r="BG31"/>
  <c r="Q33"/>
  <c r="AZ34"/>
  <c r="J36"/>
  <c r="AS37"/>
  <c r="C39"/>
  <c r="V13" i="15"/>
  <c r="W13" s="1"/>
  <c r="AR13" i="19" s="1"/>
  <c r="BL66" i="58"/>
  <c r="BP44" i="2"/>
  <c r="AL41" i="37" s="1"/>
  <c r="K42" i="213"/>
  <c r="H37"/>
  <c r="AR66" i="58"/>
  <c r="K35" i="124"/>
  <c r="CF66" i="58"/>
  <c r="ED10" i="18"/>
  <c r="EF10" s="1"/>
  <c r="EG10" s="1"/>
  <c r="BX11" i="19" s="1"/>
  <c r="K37" i="124"/>
  <c r="BZ26" i="58"/>
  <c r="BZ30"/>
  <c r="CE52"/>
  <c r="BK52"/>
  <c r="BZ21"/>
  <c r="AV20"/>
  <c r="AB27"/>
  <c r="CJ22"/>
  <c r="BF21"/>
  <c r="DD21"/>
  <c r="BU52"/>
  <c r="BF28"/>
  <c r="BP21"/>
  <c r="DD31"/>
  <c r="R20"/>
  <c r="DD30"/>
  <c r="AV30"/>
  <c r="DD24"/>
  <c r="J29"/>
  <c r="F31" i="124"/>
  <c r="J27" i="58"/>
  <c r="F29" i="124"/>
  <c r="AP9" i="3"/>
  <c r="AR10"/>
  <c r="AS10" s="1"/>
  <c r="J22" i="58"/>
  <c r="F24" i="124"/>
  <c r="J30" i="58"/>
  <c r="F32" i="124"/>
  <c r="J24" i="58"/>
  <c r="F26" i="124"/>
  <c r="J9" i="3"/>
  <c r="L10"/>
  <c r="M10" s="1"/>
  <c r="AQ52" i="58"/>
  <c r="R24"/>
  <c r="AL25"/>
  <c r="CY52"/>
  <c r="BZ22"/>
  <c r="CJ21"/>
  <c r="BZ20"/>
  <c r="AB30"/>
  <c r="AB24"/>
  <c r="BZ24"/>
  <c r="C52"/>
  <c r="AG52"/>
  <c r="J28"/>
  <c r="F30" i="124"/>
  <c r="Z9" i="3"/>
  <c r="AB10"/>
  <c r="AC10" s="1"/>
  <c r="J31" i="58"/>
  <c r="F33" i="124"/>
  <c r="J26" i="58"/>
  <c r="F28" i="124"/>
  <c r="J25" i="58"/>
  <c r="F27" i="124"/>
  <c r="J23" i="58"/>
  <c r="F25" i="124"/>
  <c r="J20" i="58"/>
  <c r="F22" i="124"/>
  <c r="CT30" i="58"/>
  <c r="AV28"/>
  <c r="AL22"/>
  <c r="AL31"/>
  <c r="BF20"/>
  <c r="DD20"/>
  <c r="R30"/>
  <c r="R25"/>
  <c r="AV24"/>
  <c r="AL24"/>
  <c r="AB25"/>
  <c r="BA52"/>
  <c r="W52"/>
  <c r="CO52"/>
  <c r="J48" i="2"/>
  <c r="V50" i="37"/>
  <c r="V47"/>
  <c r="AU50"/>
  <c r="AU47"/>
  <c r="CD48" i="19"/>
  <c r="J22" i="132" s="1"/>
  <c r="AB50" i="9"/>
  <c r="E46" i="12"/>
  <c r="I46"/>
  <c r="G46"/>
  <c r="AZ16" i="58"/>
  <c r="S16" i="5"/>
  <c r="AK15" i="1"/>
  <c r="AI14"/>
  <c r="BT16" i="58"/>
  <c r="W16" i="5"/>
  <c r="AW15" i="1"/>
  <c r="AU14"/>
  <c r="R47" i="18"/>
  <c r="Q49"/>
  <c r="AI47"/>
  <c r="AH49"/>
  <c r="AZ47"/>
  <c r="AY49"/>
  <c r="BQ47"/>
  <c r="BP49"/>
  <c r="CH47"/>
  <c r="CG49"/>
  <c r="CY47"/>
  <c r="CX49"/>
  <c r="DP47"/>
  <c r="DO49"/>
  <c r="EF49"/>
  <c r="EG47"/>
  <c r="EW49"/>
  <c r="EX47"/>
  <c r="FN49"/>
  <c r="FO47"/>
  <c r="GE49"/>
  <c r="GF47"/>
  <c r="Q14" i="7"/>
  <c r="U15"/>
  <c r="V15" s="1"/>
  <c r="X15" i="58" s="1"/>
  <c r="AE14" i="7"/>
  <c r="AI15"/>
  <c r="AJ15" s="1"/>
  <c r="AR15" i="58" s="1"/>
  <c r="AS14" i="7"/>
  <c r="AW15"/>
  <c r="AX15" s="1"/>
  <c r="BL15" i="58" s="1"/>
  <c r="CN16"/>
  <c r="AA16" i="5"/>
  <c r="BI15" i="1"/>
  <c r="BG14"/>
  <c r="C46" i="2"/>
  <c r="B43" i="37" s="1"/>
  <c r="I46" i="2"/>
  <c r="E43" i="37" s="1"/>
  <c r="G46" i="2"/>
  <c r="D43" i="37" s="1"/>
  <c r="AS44" i="64"/>
  <c r="AK44"/>
  <c r="AG44"/>
  <c r="AC44"/>
  <c r="Y44"/>
  <c r="U44"/>
  <c r="Q44"/>
  <c r="M44"/>
  <c r="I44"/>
  <c r="Q47" i="16"/>
  <c r="Q48" s="1"/>
  <c r="R46"/>
  <c r="S46" s="1"/>
  <c r="T46" s="1"/>
  <c r="AG47"/>
  <c r="AG48" s="1"/>
  <c r="AH46"/>
  <c r="AI46" s="1"/>
  <c r="AJ46" s="1"/>
  <c r="I47"/>
  <c r="I48" s="1"/>
  <c r="J46"/>
  <c r="K46" s="1"/>
  <c r="L46" s="1"/>
  <c r="Y47"/>
  <c r="Y48" s="1"/>
  <c r="Z46"/>
  <c r="AA46" s="1"/>
  <c r="AB46" s="1"/>
  <c r="W46" i="33"/>
  <c r="U46"/>
  <c r="S46"/>
  <c r="Q46"/>
  <c r="O46"/>
  <c r="M46"/>
  <c r="K46"/>
  <c r="I46"/>
  <c r="G46"/>
  <c r="E46"/>
  <c r="C46"/>
  <c r="BU48" i="29"/>
  <c r="BN48"/>
  <c r="BG48"/>
  <c r="AZ48"/>
  <c r="AS48"/>
  <c r="AL48"/>
  <c r="AE48"/>
  <c r="X48"/>
  <c r="Q48"/>
  <c r="J48"/>
  <c r="C48"/>
  <c r="J46"/>
  <c r="AL46"/>
  <c r="BN46"/>
  <c r="Q46"/>
  <c r="AS46"/>
  <c r="BU46"/>
  <c r="X46"/>
  <c r="AZ46"/>
  <c r="C46"/>
  <c r="AE46"/>
  <c r="BG46"/>
  <c r="J21" i="58"/>
  <c r="O45" i="33"/>
  <c r="H33" i="228" s="1"/>
  <c r="E45" i="33"/>
  <c r="C33" i="228" s="1"/>
  <c r="K45" i="33"/>
  <c r="F33" i="228" s="1"/>
  <c r="U45" i="33"/>
  <c r="K33" i="228" s="1"/>
  <c r="S45" i="33"/>
  <c r="J33" i="228" s="1"/>
  <c r="Q45" i="33"/>
  <c r="I33" i="228" s="1"/>
  <c r="AE47" i="29"/>
  <c r="C47"/>
  <c r="BU47"/>
  <c r="AZ47"/>
  <c r="X47"/>
  <c r="BG14" i="7"/>
  <c r="BK15"/>
  <c r="BL15" s="1"/>
  <c r="CF15" i="58" s="1"/>
  <c r="BU14" i="7"/>
  <c r="BY15"/>
  <c r="BZ15" s="1"/>
  <c r="CZ15" i="58" s="1"/>
  <c r="W45" i="33"/>
  <c r="L33" i="228" s="1"/>
  <c r="C45" i="33"/>
  <c r="B33" i="228" s="1"/>
  <c r="M45" i="33"/>
  <c r="G33" i="228" s="1"/>
  <c r="G45" i="33"/>
  <c r="D33" i="228" s="1"/>
  <c r="I45" i="33"/>
  <c r="E33" i="228" s="1"/>
  <c r="Q47" i="29"/>
  <c r="BG47"/>
  <c r="AS47"/>
  <c r="BN47"/>
  <c r="AL47"/>
  <c r="J47"/>
  <c r="S30" i="33"/>
  <c r="J18" i="228" s="1"/>
  <c r="O39" i="33"/>
  <c r="H27" i="228" s="1"/>
  <c r="AE8" i="29"/>
  <c r="BG8"/>
  <c r="J9"/>
  <c r="AL9"/>
  <c r="BN9"/>
  <c r="Q10"/>
  <c r="AS10"/>
  <c r="BU10"/>
  <c r="X11"/>
  <c r="AZ11"/>
  <c r="C12"/>
  <c r="AE12"/>
  <c r="BG12"/>
  <c r="J13"/>
  <c r="AL13"/>
  <c r="BN13"/>
  <c r="Q14"/>
  <c r="AS14"/>
  <c r="BU14"/>
  <c r="X15"/>
  <c r="AZ15"/>
  <c r="C16"/>
  <c r="AE16"/>
  <c r="BG16"/>
  <c r="J8"/>
  <c r="AL8"/>
  <c r="BN8"/>
  <c r="Q9"/>
  <c r="AS9"/>
  <c r="BU9"/>
  <c r="X10"/>
  <c r="AZ10"/>
  <c r="C11"/>
  <c r="AE11"/>
  <c r="BG11"/>
  <c r="J12"/>
  <c r="AL12"/>
  <c r="BN12"/>
  <c r="Q13"/>
  <c r="AS13"/>
  <c r="BU13"/>
  <c r="X14"/>
  <c r="AZ14"/>
  <c r="C15"/>
  <c r="AE15"/>
  <c r="BG15"/>
  <c r="J16"/>
  <c r="AL16"/>
  <c r="BN16"/>
  <c r="J17"/>
  <c r="AL17"/>
  <c r="BN17"/>
  <c r="Q19"/>
  <c r="AS19"/>
  <c r="BU19"/>
  <c r="X20"/>
  <c r="AZ20"/>
  <c r="C21"/>
  <c r="AE21"/>
  <c r="BG21"/>
  <c r="J22"/>
  <c r="AL22"/>
  <c r="BN22"/>
  <c r="Q23"/>
  <c r="AS23"/>
  <c r="BU23"/>
  <c r="X24"/>
  <c r="AZ24"/>
  <c r="C25"/>
  <c r="AE25"/>
  <c r="BG25"/>
  <c r="J26"/>
  <c r="AL26"/>
  <c r="BN26"/>
  <c r="Q27"/>
  <c r="AS27"/>
  <c r="BU27"/>
  <c r="X28"/>
  <c r="AZ28"/>
  <c r="C29"/>
  <c r="AE29"/>
  <c r="BG29"/>
  <c r="J30"/>
  <c r="AL30"/>
  <c r="BN30"/>
  <c r="Q31"/>
  <c r="AS31"/>
  <c r="BU31"/>
  <c r="X32"/>
  <c r="AZ32"/>
  <c r="C33"/>
  <c r="AE33"/>
  <c r="BG33"/>
  <c r="J34"/>
  <c r="AL34"/>
  <c r="BN34"/>
  <c r="Q35"/>
  <c r="AS35"/>
  <c r="BU35"/>
  <c r="X36"/>
  <c r="AZ36"/>
  <c r="C37"/>
  <c r="AE37"/>
  <c r="BG37"/>
  <c r="J38"/>
  <c r="AL38"/>
  <c r="BN38"/>
  <c r="BG39"/>
  <c r="Q41"/>
  <c r="BN19" i="58"/>
  <c r="BP19" s="1"/>
  <c r="H5" i="207" s="1"/>
  <c r="BD19" i="58"/>
  <c r="BF19" s="1"/>
  <c r="AJ19"/>
  <c r="AL19" s="1"/>
  <c r="Z19"/>
  <c r="AB19" s="1"/>
  <c r="D5" i="207" s="1"/>
  <c r="CR19" i="58"/>
  <c r="CT19" s="1"/>
  <c r="S7" i="33"/>
  <c r="O36"/>
  <c r="H24" i="228" s="1"/>
  <c r="W24" i="33"/>
  <c r="L12" i="228" s="1"/>
  <c r="I12" i="33"/>
  <c r="S33"/>
  <c r="J21" i="228" s="1"/>
  <c r="DB19" i="58"/>
  <c r="DD19" s="1"/>
  <c r="L5" i="207" s="1"/>
  <c r="P19" i="58"/>
  <c r="R19" s="1"/>
  <c r="BX19"/>
  <c r="BZ19" s="1"/>
  <c r="CH19"/>
  <c r="AU44" i="13"/>
  <c r="AS45"/>
  <c r="V44"/>
  <c r="BA45"/>
  <c r="AX46"/>
  <c r="AA44"/>
  <c r="Z45"/>
  <c r="BF45"/>
  <c r="BE46"/>
  <c r="AR45" i="64"/>
  <c r="AJ45"/>
  <c r="AF45"/>
  <c r="AB45"/>
  <c r="X45"/>
  <c r="T45"/>
  <c r="P45"/>
  <c r="L45"/>
  <c r="G45"/>
  <c r="R18" i="18"/>
  <c r="B5" i="221" s="1"/>
  <c r="B42" s="1"/>
  <c r="AI18" i="18"/>
  <c r="C5" i="221" s="1"/>
  <c r="CY18" i="18"/>
  <c r="G5" i="221" s="1"/>
  <c r="G37" s="1"/>
  <c r="FO18" i="18"/>
  <c r="K5" i="221" s="1"/>
  <c r="CH18" i="18"/>
  <c r="F5" i="221" s="1"/>
  <c r="F37" s="1"/>
  <c r="EX18" i="18"/>
  <c r="J5" i="221" s="1"/>
  <c r="J37" s="1"/>
  <c r="BQ18" i="18"/>
  <c r="E5" i="221" s="1"/>
  <c r="EG18" i="18"/>
  <c r="I5" i="221" s="1"/>
  <c r="I37" s="1"/>
  <c r="AZ18" i="18"/>
  <c r="D5" i="221" s="1"/>
  <c r="DP18" i="18"/>
  <c r="H5" i="221" s="1"/>
  <c r="H37" s="1"/>
  <c r="GF18" i="18"/>
  <c r="L5" i="221" s="1"/>
  <c r="L42" s="1"/>
  <c r="G8" i="73"/>
  <c r="F9"/>
  <c r="AE39" i="29"/>
  <c r="J40"/>
  <c r="BN40"/>
  <c r="AS41"/>
  <c r="V45" i="16"/>
  <c r="W45" s="1"/>
  <c r="X45" s="1"/>
  <c r="G31" i="220" s="1"/>
  <c r="U46" i="16"/>
  <c r="AD45"/>
  <c r="AE45" s="1"/>
  <c r="AF45" s="1"/>
  <c r="I31" i="220" s="1"/>
  <c r="AC46" i="16"/>
  <c r="Q39" i="29"/>
  <c r="AS39"/>
  <c r="BU39"/>
  <c r="X40"/>
  <c r="AZ40"/>
  <c r="C41"/>
  <c r="AE41"/>
  <c r="BG41"/>
  <c r="O13" i="6"/>
  <c r="BM13" i="58" s="1"/>
  <c r="N14" i="6"/>
  <c r="W27" i="33"/>
  <c r="L15" i="228" s="1"/>
  <c r="E22" i="33"/>
  <c r="C10" i="228" s="1"/>
  <c r="BU41" i="29"/>
  <c r="J42"/>
  <c r="X42"/>
  <c r="AL42"/>
  <c r="AZ42"/>
  <c r="BN42"/>
  <c r="Q16" i="37"/>
  <c r="B42" i="5"/>
  <c r="G15" i="1"/>
  <c r="E14"/>
  <c r="BJ15" i="58"/>
  <c r="U15" i="5"/>
  <c r="B16" i="58"/>
  <c r="I16" i="5"/>
  <c r="J16" s="1"/>
  <c r="AQ14" i="1"/>
  <c r="AO13"/>
  <c r="M43" i="33"/>
  <c r="G31" i="228" s="1"/>
  <c r="I6" i="33"/>
  <c r="M39"/>
  <c r="G27" i="228" s="1"/>
  <c r="Q33" i="33"/>
  <c r="I21" i="228" s="1"/>
  <c r="U27" i="33"/>
  <c r="K15" i="228" s="1"/>
  <c r="C22" i="33"/>
  <c r="B10" i="228" s="1"/>
  <c r="G15" i="33"/>
  <c r="K9"/>
  <c r="Q36"/>
  <c r="I24" i="228" s="1"/>
  <c r="U30" i="33"/>
  <c r="K18" i="228" s="1"/>
  <c r="C25" i="33"/>
  <c r="B13" i="228" s="1"/>
  <c r="G19" i="33"/>
  <c r="D7" i="228" s="1"/>
  <c r="I15" i="33"/>
  <c r="C43" i="29"/>
  <c r="BF32" i="58"/>
  <c r="AV32"/>
  <c r="AL26"/>
  <c r="V11" i="3"/>
  <c r="X12"/>
  <c r="Y12" s="1"/>
  <c r="M15" i="1"/>
  <c r="K14"/>
  <c r="Y15"/>
  <c r="W14"/>
  <c r="L16" i="58"/>
  <c r="K16" i="5"/>
  <c r="L16" s="1"/>
  <c r="P16" i="58" s="1"/>
  <c r="AF16"/>
  <c r="O16" i="5"/>
  <c r="BN8" i="18"/>
  <c r="BP8" s="1"/>
  <c r="BQ8" s="1"/>
  <c r="AJ9" i="19" s="1"/>
  <c r="F46"/>
  <c r="F20" i="71"/>
  <c r="G20" s="1"/>
  <c r="G19"/>
  <c r="O19" i="15"/>
  <c r="D5" i="219" s="1"/>
  <c r="GC10" i="18"/>
  <c r="GE10" s="1"/>
  <c r="GF10" s="1"/>
  <c r="DB11" i="19" s="1"/>
  <c r="M44" i="33"/>
  <c r="G32" i="228" s="1"/>
  <c r="G44" i="33"/>
  <c r="D32" i="228" s="1"/>
  <c r="W44" i="33"/>
  <c r="L32" i="228" s="1"/>
  <c r="Q44" i="33"/>
  <c r="I32" i="228" s="1"/>
  <c r="S44" i="33"/>
  <c r="J32" i="228" s="1"/>
  <c r="C44" i="33"/>
  <c r="B32" i="228" s="1"/>
  <c r="AR19" i="19"/>
  <c r="F21" i="130" s="1"/>
  <c r="CF19" i="19"/>
  <c r="J21" i="130" s="1"/>
  <c r="K19" i="15"/>
  <c r="C5" i="219" s="1"/>
  <c r="AA19" i="15"/>
  <c r="G5" i="219" s="1"/>
  <c r="AQ19" i="15"/>
  <c r="K5" i="219" s="1"/>
  <c r="S19" i="15"/>
  <c r="E5" i="219" s="1"/>
  <c r="AI19" i="15"/>
  <c r="I5" i="219" s="1"/>
  <c r="AE19" i="15"/>
  <c r="H5" i="219" s="1"/>
  <c r="AU19" i="15"/>
  <c r="L5" i="219" s="1"/>
  <c r="BC7" i="18"/>
  <c r="BD7" s="1"/>
  <c r="BA7"/>
  <c r="BB7" s="1"/>
  <c r="BK7"/>
  <c r="BL7" s="1"/>
  <c r="BG7"/>
  <c r="BH7" s="1"/>
  <c r="BI7"/>
  <c r="BJ7" s="1"/>
  <c r="Q43" i="29"/>
  <c r="U44" i="33"/>
  <c r="K32" i="228" s="1"/>
  <c r="O44" i="33"/>
  <c r="H32" i="228" s="1"/>
  <c r="I44" i="33"/>
  <c r="E32" i="228" s="1"/>
  <c r="K44" i="33"/>
  <c r="F32" i="228" s="1"/>
  <c r="E44" i="33"/>
  <c r="C32" i="228" s="1"/>
  <c r="D62" i="21"/>
  <c r="E42" s="1"/>
  <c r="C7" i="33"/>
  <c r="M8"/>
  <c r="G42"/>
  <c r="D30" i="228" s="1"/>
  <c r="W40" i="33"/>
  <c r="L28" i="228" s="1"/>
  <c r="C38" i="33"/>
  <c r="B26" i="228" s="1"/>
  <c r="E35" i="33"/>
  <c r="C23" i="228" s="1"/>
  <c r="G32" i="33"/>
  <c r="D20" i="228" s="1"/>
  <c r="I29" i="33"/>
  <c r="E17" i="228" s="1"/>
  <c r="K26" i="33"/>
  <c r="F14" i="228" s="1"/>
  <c r="M23" i="33"/>
  <c r="G11" i="228" s="1"/>
  <c r="O20" i="33"/>
  <c r="H8" i="228" s="1"/>
  <c r="Q17" i="33"/>
  <c r="I5" i="228" s="1"/>
  <c r="S13" i="33"/>
  <c r="U10"/>
  <c r="C41"/>
  <c r="B29" i="228" s="1"/>
  <c r="E38" i="33"/>
  <c r="C26" i="228" s="1"/>
  <c r="G35" i="33"/>
  <c r="D23" i="228" s="1"/>
  <c r="I32" i="33"/>
  <c r="E20" i="228" s="1"/>
  <c r="K29" i="33"/>
  <c r="F17" i="228" s="1"/>
  <c r="M26" i="33"/>
  <c r="G14" i="228" s="1"/>
  <c r="O23" i="33"/>
  <c r="H11" i="228" s="1"/>
  <c r="Q20" i="33"/>
  <c r="I8" i="228" s="1"/>
  <c r="S17" i="33"/>
  <c r="J5" i="228" s="1"/>
  <c r="U13" i="33"/>
  <c r="BU45" i="29"/>
  <c r="BN45"/>
  <c r="BG45"/>
  <c r="AZ45"/>
  <c r="AE43"/>
  <c r="AS45"/>
  <c r="AS43"/>
  <c r="AL45"/>
  <c r="BG43"/>
  <c r="AE45"/>
  <c r="X45"/>
  <c r="BU43"/>
  <c r="Q45"/>
  <c r="J44"/>
  <c r="C17" i="41" s="1"/>
  <c r="X44" i="29"/>
  <c r="J45"/>
  <c r="AL44"/>
  <c r="G17" i="41" s="1"/>
  <c r="C45" i="29"/>
  <c r="AZ44"/>
  <c r="E43" i="33"/>
  <c r="C31" i="228" s="1"/>
  <c r="U43" i="33"/>
  <c r="K31" i="228" s="1"/>
  <c r="K7" i="33"/>
  <c r="U8"/>
  <c r="E8"/>
  <c r="Q6"/>
  <c r="W42"/>
  <c r="L30" i="228" s="1"/>
  <c r="Q41" i="33"/>
  <c r="I29" i="228" s="1"/>
  <c r="G40" i="33"/>
  <c r="D28" i="228" s="1"/>
  <c r="S38" i="33"/>
  <c r="J26" i="228" s="1"/>
  <c r="I37" i="33"/>
  <c r="E25" i="228" s="1"/>
  <c r="U35" i="33"/>
  <c r="K23" i="228" s="1"/>
  <c r="K34" i="33"/>
  <c r="F22" i="228" s="1"/>
  <c r="W32" i="33"/>
  <c r="L20" i="228" s="1"/>
  <c r="M31" i="33"/>
  <c r="G19" i="228" s="1"/>
  <c r="C30" i="33"/>
  <c r="B18" i="228" s="1"/>
  <c r="O28" i="33"/>
  <c r="H16" i="228" s="1"/>
  <c r="E27" i="33"/>
  <c r="C15" i="228" s="1"/>
  <c r="Q25" i="33"/>
  <c r="I13" i="228" s="1"/>
  <c r="G24" i="33"/>
  <c r="D12" i="228" s="1"/>
  <c r="S22" i="33"/>
  <c r="J10" i="228" s="1"/>
  <c r="I21" i="33"/>
  <c r="E9" i="228" s="1"/>
  <c r="U19" i="33"/>
  <c r="K7" i="228" s="1"/>
  <c r="K18" i="33"/>
  <c r="F6" i="228" s="1"/>
  <c r="W15" i="33"/>
  <c r="M14"/>
  <c r="C13"/>
  <c r="O11"/>
  <c r="E10"/>
  <c r="S41"/>
  <c r="J29" i="228" s="1"/>
  <c r="I40" i="33"/>
  <c r="E28" i="228" s="1"/>
  <c r="U38" i="33"/>
  <c r="K26" i="228" s="1"/>
  <c r="K37" i="33"/>
  <c r="F25" i="228" s="1"/>
  <c r="W35" i="33"/>
  <c r="L23" i="228" s="1"/>
  <c r="M34" i="33"/>
  <c r="G22" i="228" s="1"/>
  <c r="C33" i="33"/>
  <c r="B21" i="228" s="1"/>
  <c r="O31" i="33"/>
  <c r="H19" i="228" s="1"/>
  <c r="E30" i="33"/>
  <c r="C18" i="228" s="1"/>
  <c r="Q28" i="33"/>
  <c r="I16" i="228" s="1"/>
  <c r="G27" i="33"/>
  <c r="D15" i="228" s="1"/>
  <c r="S25" i="33"/>
  <c r="J13" i="228" s="1"/>
  <c r="I24" i="33"/>
  <c r="E12" i="228" s="1"/>
  <c r="U22" i="33"/>
  <c r="K10" i="228" s="1"/>
  <c r="K21" i="33"/>
  <c r="F9" i="228" s="1"/>
  <c r="W19" i="33"/>
  <c r="L7" i="228" s="1"/>
  <c r="M18" i="33"/>
  <c r="G6" i="228" s="1"/>
  <c r="C17" i="33"/>
  <c r="O14"/>
  <c r="E13"/>
  <c r="K12"/>
  <c r="CH45" i="18"/>
  <c r="F32" i="221" s="1"/>
  <c r="BQ45" i="18"/>
  <c r="E32" i="221" s="1"/>
  <c r="EG45" i="18"/>
  <c r="I32" i="221" s="1"/>
  <c r="FO45" i="18"/>
  <c r="K32" i="221" s="1"/>
  <c r="AI45" i="18"/>
  <c r="C32" i="221" s="1"/>
  <c r="GF45" i="18"/>
  <c r="L32" i="221" s="1"/>
  <c r="AZ45" i="18"/>
  <c r="D32" i="221" s="1"/>
  <c r="DP45" i="18"/>
  <c r="H32" i="221" s="1"/>
  <c r="CY45" i="18"/>
  <c r="G32" i="221" s="1"/>
  <c r="EX45" i="18"/>
  <c r="J32" i="221" s="1"/>
  <c r="R21" i="58"/>
  <c r="D22" i="6"/>
  <c r="E22" s="1"/>
  <c r="O22" i="58" s="1"/>
  <c r="R22" s="1"/>
  <c r="L19" i="71"/>
  <c r="C8" i="215" s="1"/>
  <c r="D23" i="6"/>
  <c r="E23" s="1"/>
  <c r="O23" i="58" s="1"/>
  <c r="R23" s="1"/>
  <c r="L20" i="71"/>
  <c r="C9" i="215" s="1"/>
  <c r="G9" i="75"/>
  <c r="F10"/>
  <c r="G25" i="74"/>
  <c r="F26"/>
  <c r="G26" s="1"/>
  <c r="F26" i="75"/>
  <c r="G26" s="1"/>
  <c r="G25"/>
  <c r="G19" i="74"/>
  <c r="F20"/>
  <c r="G20" s="1"/>
  <c r="G19" i="73"/>
  <c r="F20"/>
  <c r="G20" s="1"/>
  <c r="F26" i="71"/>
  <c r="G26" s="1"/>
  <c r="G25"/>
  <c r="G19" i="72"/>
  <c r="F20"/>
  <c r="G20" s="1"/>
  <c r="F26" i="73"/>
  <c r="G26" s="1"/>
  <c r="G25"/>
  <c r="G9" i="71"/>
  <c r="F10"/>
  <c r="G9" i="74"/>
  <c r="F10"/>
  <c r="F11" i="70"/>
  <c r="E12"/>
  <c r="D16" i="37"/>
  <c r="C16"/>
  <c r="E16"/>
  <c r="B16"/>
  <c r="AZ16"/>
  <c r="BB16"/>
  <c r="BC16"/>
  <c r="BA16"/>
  <c r="AW16"/>
  <c r="AV16"/>
  <c r="AX16"/>
  <c r="AP16"/>
  <c r="AQ16"/>
  <c r="AS16"/>
  <c r="AR16"/>
  <c r="AK16"/>
  <c r="AN16"/>
  <c r="AL16"/>
  <c r="AM16"/>
  <c r="AI16"/>
  <c r="AH16"/>
  <c r="AG16"/>
  <c r="AA16"/>
  <c r="AD16"/>
  <c r="AB16"/>
  <c r="AC16"/>
  <c r="Y16"/>
  <c r="W16"/>
  <c r="X16"/>
  <c r="T16"/>
  <c r="R16"/>
  <c r="S16"/>
  <c r="M16"/>
  <c r="O16"/>
  <c r="N16"/>
  <c r="G16"/>
  <c r="I16"/>
  <c r="J16"/>
  <c r="H16"/>
  <c r="BC45" i="35"/>
  <c r="AS45"/>
  <c r="AI45"/>
  <c r="Y45"/>
  <c r="O45"/>
  <c r="E45"/>
  <c r="Q11" i="33"/>
  <c r="I43"/>
  <c r="E31" i="228" s="1"/>
  <c r="Q43" i="33"/>
  <c r="I31" i="228" s="1"/>
  <c r="C43" i="33"/>
  <c r="B31" i="228" s="1"/>
  <c r="G7" i="33"/>
  <c r="O7"/>
  <c r="W7"/>
  <c r="Q8"/>
  <c r="I8"/>
  <c r="E6"/>
  <c r="M6"/>
  <c r="U6"/>
  <c r="O42"/>
  <c r="H30" i="228" s="1"/>
  <c r="I42" i="33"/>
  <c r="E30" i="228" s="1"/>
  <c r="C42" i="33"/>
  <c r="B30" i="228" s="1"/>
  <c r="I41" i="33"/>
  <c r="E29" i="228" s="1"/>
  <c r="O40" i="33"/>
  <c r="H28" i="228" s="1"/>
  <c r="U39" i="33"/>
  <c r="K27" i="228" s="1"/>
  <c r="E39" i="33"/>
  <c r="C27" i="228" s="1"/>
  <c r="K38" i="33"/>
  <c r="F26" i="228" s="1"/>
  <c r="Q37" i="33"/>
  <c r="I25" i="228" s="1"/>
  <c r="W36" i="33"/>
  <c r="L24" i="228" s="1"/>
  <c r="G36" i="33"/>
  <c r="D24" i="228" s="1"/>
  <c r="M35" i="33"/>
  <c r="G23" i="228" s="1"/>
  <c r="S34" i="33"/>
  <c r="J22" i="228" s="1"/>
  <c r="C34" i="33"/>
  <c r="B22" i="228" s="1"/>
  <c r="I33" i="33"/>
  <c r="E21" i="228" s="1"/>
  <c r="O32" i="33"/>
  <c r="H20" i="228" s="1"/>
  <c r="U31" i="33"/>
  <c r="K19" i="228" s="1"/>
  <c r="E31" i="33"/>
  <c r="C19" i="228" s="1"/>
  <c r="K30" i="33"/>
  <c r="F18" i="228" s="1"/>
  <c r="Q29" i="33"/>
  <c r="I17" i="228" s="1"/>
  <c r="W28" i="33"/>
  <c r="L16" i="228" s="1"/>
  <c r="G28" i="33"/>
  <c r="D16" i="228" s="1"/>
  <c r="M27" i="33"/>
  <c r="G15" i="228" s="1"/>
  <c r="S26" i="33"/>
  <c r="J14" i="228" s="1"/>
  <c r="C26" i="33"/>
  <c r="B14" i="228" s="1"/>
  <c r="I25" i="33"/>
  <c r="E13" i="228" s="1"/>
  <c r="O24" i="33"/>
  <c r="H12" i="228" s="1"/>
  <c r="U23" i="33"/>
  <c r="K11" i="228" s="1"/>
  <c r="E23" i="33"/>
  <c r="C11" i="228" s="1"/>
  <c r="K22" i="33"/>
  <c r="F10" i="228" s="1"/>
  <c r="Q21" i="33"/>
  <c r="I9" i="228" s="1"/>
  <c r="W20" i="33"/>
  <c r="L8" i="228" s="1"/>
  <c r="G20" i="33"/>
  <c r="D8" i="228" s="1"/>
  <c r="M19" i="33"/>
  <c r="G7" i="228" s="1"/>
  <c r="S18" i="33"/>
  <c r="J6" i="228" s="1"/>
  <c r="C18" i="33"/>
  <c r="B6" i="228" s="1"/>
  <c r="I17" i="33"/>
  <c r="E5" i="228" s="1"/>
  <c r="O15" i="33"/>
  <c r="U14"/>
  <c r="E14"/>
  <c r="K13"/>
  <c r="Q12"/>
  <c r="W11"/>
  <c r="G11"/>
  <c r="M10"/>
  <c r="S9"/>
  <c r="C9"/>
  <c r="K41"/>
  <c r="F29" i="228" s="1"/>
  <c r="Q40" i="33"/>
  <c r="I28" i="228" s="1"/>
  <c r="W39" i="33"/>
  <c r="L27" i="228" s="1"/>
  <c r="G39" i="33"/>
  <c r="D27" i="228" s="1"/>
  <c r="M38" i="33"/>
  <c r="G26" i="228" s="1"/>
  <c r="S37" i="33"/>
  <c r="J25" i="228" s="1"/>
  <c r="C37" i="33"/>
  <c r="B25" i="228" s="1"/>
  <c r="I36" i="33"/>
  <c r="E24" i="228" s="1"/>
  <c r="O35" i="33"/>
  <c r="H23" i="228" s="1"/>
  <c r="U34" i="33"/>
  <c r="K22" i="228" s="1"/>
  <c r="E34" i="33"/>
  <c r="C22" i="228" s="1"/>
  <c r="K33" i="33"/>
  <c r="F21" i="228" s="1"/>
  <c r="Q32" i="33"/>
  <c r="I20" i="228" s="1"/>
  <c r="W31" i="33"/>
  <c r="L19" i="228" s="1"/>
  <c r="G31" i="33"/>
  <c r="D19" i="228" s="1"/>
  <c r="M30" i="33"/>
  <c r="G18" i="228" s="1"/>
  <c r="S29" i="33"/>
  <c r="J17" i="228" s="1"/>
  <c r="C29" i="33"/>
  <c r="B17" i="228" s="1"/>
  <c r="I28" i="33"/>
  <c r="E16" i="228" s="1"/>
  <c r="O27" i="33"/>
  <c r="H15" i="228" s="1"/>
  <c r="U26" i="33"/>
  <c r="K14" i="228" s="1"/>
  <c r="E26" i="33"/>
  <c r="C14" i="228" s="1"/>
  <c r="K25" i="33"/>
  <c r="F13" i="228" s="1"/>
  <c r="Q24" i="33"/>
  <c r="I12" i="228" s="1"/>
  <c r="W23" i="33"/>
  <c r="L11" i="228" s="1"/>
  <c r="G23" i="33"/>
  <c r="D11" i="228" s="1"/>
  <c r="M22" i="33"/>
  <c r="G10" i="228" s="1"/>
  <c r="S21" i="33"/>
  <c r="J9" i="228" s="1"/>
  <c r="C21" i="33"/>
  <c r="B9" i="228" s="1"/>
  <c r="I20" i="33"/>
  <c r="E8" i="228" s="1"/>
  <c r="O19" i="33"/>
  <c r="H7" i="228" s="1"/>
  <c r="U18" i="33"/>
  <c r="K6" i="228" s="1"/>
  <c r="E18" i="33"/>
  <c r="C6" i="228" s="1"/>
  <c r="K17" i="33"/>
  <c r="F5" i="228" s="1"/>
  <c r="Q15" i="33"/>
  <c r="W14"/>
  <c r="G14"/>
  <c r="M13"/>
  <c r="S12"/>
  <c r="C12"/>
  <c r="I11"/>
  <c r="W10"/>
  <c r="O10"/>
  <c r="G10"/>
  <c r="Q9"/>
  <c r="G43"/>
  <c r="D31" i="228" s="1"/>
  <c r="K43" i="33"/>
  <c r="F31" i="228" s="1"/>
  <c r="O43" i="33"/>
  <c r="H31" i="228" s="1"/>
  <c r="S43" i="33"/>
  <c r="J31" i="228" s="1"/>
  <c r="W43" i="33"/>
  <c r="L31" i="228" s="1"/>
  <c r="C6" i="33"/>
  <c r="G6"/>
  <c r="K6"/>
  <c r="O6"/>
  <c r="S6"/>
  <c r="W6"/>
  <c r="W8"/>
  <c r="S8"/>
  <c r="O8"/>
  <c r="K8"/>
  <c r="G8"/>
  <c r="C8"/>
  <c r="E7"/>
  <c r="I7"/>
  <c r="M7"/>
  <c r="Q7"/>
  <c r="U7"/>
  <c r="K42"/>
  <c r="F30" i="228" s="1"/>
  <c r="S42" i="33"/>
  <c r="J30" i="228" s="1"/>
  <c r="E42" i="33"/>
  <c r="C30" i="228" s="1"/>
  <c r="M42" i="33"/>
  <c r="G30" i="228" s="1"/>
  <c r="U42" i="33"/>
  <c r="K30" i="228" s="1"/>
  <c r="U41" i="33"/>
  <c r="K29" i="228" s="1"/>
  <c r="M41" i="33"/>
  <c r="G29" i="228" s="1"/>
  <c r="E41" i="33"/>
  <c r="C29" i="228" s="1"/>
  <c r="S40" i="33"/>
  <c r="J28" i="228" s="1"/>
  <c r="K40" i="33"/>
  <c r="F28" i="228" s="1"/>
  <c r="C40" i="33"/>
  <c r="B28" i="228" s="1"/>
  <c r="Q39" i="33"/>
  <c r="I27" i="228" s="1"/>
  <c r="I39" i="33"/>
  <c r="E27" i="228" s="1"/>
  <c r="W38" i="33"/>
  <c r="L26" i="228" s="1"/>
  <c r="O38" i="33"/>
  <c r="H26" i="228" s="1"/>
  <c r="G38" i="33"/>
  <c r="D26" i="228" s="1"/>
  <c r="U37" i="33"/>
  <c r="K25" i="228" s="1"/>
  <c r="M37" i="33"/>
  <c r="G25" i="228" s="1"/>
  <c r="E37" i="33"/>
  <c r="C25" i="228" s="1"/>
  <c r="S36" i="33"/>
  <c r="J24" i="228" s="1"/>
  <c r="K36" i="33"/>
  <c r="F24" i="228" s="1"/>
  <c r="C36" i="33"/>
  <c r="B24" i="228" s="1"/>
  <c r="Q35" i="33"/>
  <c r="I23" i="228" s="1"/>
  <c r="I35" i="33"/>
  <c r="E23" i="228" s="1"/>
  <c r="W34" i="33"/>
  <c r="L22" i="228" s="1"/>
  <c r="O34" i="33"/>
  <c r="H22" i="228" s="1"/>
  <c r="G34" i="33"/>
  <c r="D22" i="228" s="1"/>
  <c r="U33" i="33"/>
  <c r="K21" i="228" s="1"/>
  <c r="M33" i="33"/>
  <c r="G21" i="228" s="1"/>
  <c r="E33" i="33"/>
  <c r="C21" i="228" s="1"/>
  <c r="S32" i="33"/>
  <c r="J20" i="228" s="1"/>
  <c r="K32" i="33"/>
  <c r="F20" i="228" s="1"/>
  <c r="C32" i="33"/>
  <c r="B20" i="228" s="1"/>
  <c r="Q31" i="33"/>
  <c r="I19" i="228" s="1"/>
  <c r="I31" i="33"/>
  <c r="E19" i="228" s="1"/>
  <c r="W30" i="33"/>
  <c r="L18" i="228" s="1"/>
  <c r="O30" i="33"/>
  <c r="H18" i="228" s="1"/>
  <c r="G30" i="33"/>
  <c r="D18" i="228" s="1"/>
  <c r="U29" i="33"/>
  <c r="K17" i="228" s="1"/>
  <c r="M29" i="33"/>
  <c r="G17" i="228" s="1"/>
  <c r="E29" i="33"/>
  <c r="C17" i="228" s="1"/>
  <c r="S28" i="33"/>
  <c r="J16" i="228" s="1"/>
  <c r="K28" i="33"/>
  <c r="F16" i="228" s="1"/>
  <c r="C28" i="33"/>
  <c r="B16" i="228" s="1"/>
  <c r="Q27" i="33"/>
  <c r="I15" i="228" s="1"/>
  <c r="I27" i="33"/>
  <c r="E15" i="228" s="1"/>
  <c r="W26" i="33"/>
  <c r="L14" i="228" s="1"/>
  <c r="O26" i="33"/>
  <c r="H14" i="228" s="1"/>
  <c r="G26" i="33"/>
  <c r="D14" i="228" s="1"/>
  <c r="U25" i="33"/>
  <c r="K13" i="228" s="1"/>
  <c r="M25" i="33"/>
  <c r="G13" i="228" s="1"/>
  <c r="E25" i="33"/>
  <c r="C13" i="228" s="1"/>
  <c r="S24" i="33"/>
  <c r="J12" i="228" s="1"/>
  <c r="K24" i="33"/>
  <c r="F12" i="228" s="1"/>
  <c r="C24" i="33"/>
  <c r="B12" i="228" s="1"/>
  <c r="Q23" i="33"/>
  <c r="I11" i="228" s="1"/>
  <c r="I23" i="33"/>
  <c r="E11" i="228" s="1"/>
  <c r="W22" i="33"/>
  <c r="L10" i="228" s="1"/>
  <c r="O22" i="33"/>
  <c r="H10" i="228" s="1"/>
  <c r="G22" i="33"/>
  <c r="D10" i="228" s="1"/>
  <c r="U21" i="33"/>
  <c r="K9" i="228" s="1"/>
  <c r="M21" i="33"/>
  <c r="G9" i="228" s="1"/>
  <c r="E21" i="33"/>
  <c r="C9" i="228" s="1"/>
  <c r="S20" i="33"/>
  <c r="J8" i="228" s="1"/>
  <c r="K20" i="33"/>
  <c r="F8" i="228" s="1"/>
  <c r="C20" i="33"/>
  <c r="B8" i="228" s="1"/>
  <c r="Q19" i="33"/>
  <c r="I7" i="228" s="1"/>
  <c r="I19" i="33"/>
  <c r="E7" i="228" s="1"/>
  <c r="W18" i="33"/>
  <c r="L6" i="228" s="1"/>
  <c r="O18" i="33"/>
  <c r="H6" i="228" s="1"/>
  <c r="G18" i="33"/>
  <c r="D6" i="228" s="1"/>
  <c r="U17" i="33"/>
  <c r="K5" i="228" s="1"/>
  <c r="M17" i="33"/>
  <c r="G5" i="228" s="1"/>
  <c r="E17" i="33"/>
  <c r="C5" i="228" s="1"/>
  <c r="S15" i="33"/>
  <c r="K15"/>
  <c r="C15"/>
  <c r="Q14"/>
  <c r="I14"/>
  <c r="W13"/>
  <c r="O13"/>
  <c r="G13"/>
  <c r="U12"/>
  <c r="M12"/>
  <c r="E12"/>
  <c r="S11"/>
  <c r="K11"/>
  <c r="C11"/>
  <c r="Q10"/>
  <c r="I10"/>
  <c r="W9"/>
  <c r="O9"/>
  <c r="G9"/>
  <c r="W41"/>
  <c r="L29" i="228" s="1"/>
  <c r="O41" i="33"/>
  <c r="H29" i="228" s="1"/>
  <c r="G41" i="33"/>
  <c r="D29" i="228" s="1"/>
  <c r="U40" i="33"/>
  <c r="K28" i="228" s="1"/>
  <c r="M40" i="33"/>
  <c r="G28" i="228" s="1"/>
  <c r="E40" i="33"/>
  <c r="C28" i="228" s="1"/>
  <c r="S39" i="33"/>
  <c r="J27" i="228" s="1"/>
  <c r="K39" i="33"/>
  <c r="F27" i="228" s="1"/>
  <c r="C39" i="33"/>
  <c r="B27" i="228" s="1"/>
  <c r="Q38" i="33"/>
  <c r="I26" i="228" s="1"/>
  <c r="I38" i="33"/>
  <c r="E26" i="228" s="1"/>
  <c r="W37" i="33"/>
  <c r="L25" i="228" s="1"/>
  <c r="O37" i="33"/>
  <c r="H25" i="228" s="1"/>
  <c r="G37" i="33"/>
  <c r="D25" i="228" s="1"/>
  <c r="U36" i="33"/>
  <c r="K24" i="228" s="1"/>
  <c r="M36" i="33"/>
  <c r="G24" i="228" s="1"/>
  <c r="E36" i="33"/>
  <c r="C24" i="228" s="1"/>
  <c r="S35" i="33"/>
  <c r="J23" i="228" s="1"/>
  <c r="K35" i="33"/>
  <c r="F23" i="228" s="1"/>
  <c r="C35" i="33"/>
  <c r="B23" i="228" s="1"/>
  <c r="Q34" i="33"/>
  <c r="I22" i="228" s="1"/>
  <c r="I34" i="33"/>
  <c r="E22" i="228" s="1"/>
  <c r="W33" i="33"/>
  <c r="L21" i="228" s="1"/>
  <c r="O33" i="33"/>
  <c r="H21" i="228" s="1"/>
  <c r="G33" i="33"/>
  <c r="D21" i="228" s="1"/>
  <c r="U32" i="33"/>
  <c r="K20" i="228" s="1"/>
  <c r="M32" i="33"/>
  <c r="G20" i="228" s="1"/>
  <c r="E32" i="33"/>
  <c r="C20" i="228" s="1"/>
  <c r="S31" i="33"/>
  <c r="J19" i="228" s="1"/>
  <c r="K31" i="33"/>
  <c r="F19" i="228" s="1"/>
  <c r="C31" i="33"/>
  <c r="B19" i="228" s="1"/>
  <c r="Q30" i="33"/>
  <c r="I18" i="228" s="1"/>
  <c r="I30" i="33"/>
  <c r="E18" i="228" s="1"/>
  <c r="W29" i="33"/>
  <c r="L17" i="228" s="1"/>
  <c r="O29" i="33"/>
  <c r="H17" i="228" s="1"/>
  <c r="G29" i="33"/>
  <c r="D17" i="228" s="1"/>
  <c r="U28" i="33"/>
  <c r="K16" i="228" s="1"/>
  <c r="M28" i="33"/>
  <c r="G16" i="228" s="1"/>
  <c r="E28" i="33"/>
  <c r="C16" i="228" s="1"/>
  <c r="S27" i="33"/>
  <c r="J15" i="228" s="1"/>
  <c r="K27" i="33"/>
  <c r="F15" i="228" s="1"/>
  <c r="C27" i="33"/>
  <c r="B15" i="228" s="1"/>
  <c r="Q26" i="33"/>
  <c r="I14" i="228" s="1"/>
  <c r="I26" i="33"/>
  <c r="E14" i="228" s="1"/>
  <c r="W25" i="33"/>
  <c r="L13" i="228" s="1"/>
  <c r="O25" i="33"/>
  <c r="H13" i="228" s="1"/>
  <c r="G25" i="33"/>
  <c r="D13" i="228" s="1"/>
  <c r="U24" i="33"/>
  <c r="K12" i="228" s="1"/>
  <c r="M24" i="33"/>
  <c r="G12" i="228" s="1"/>
  <c r="E24" i="33"/>
  <c r="C12" i="228" s="1"/>
  <c r="S23" i="33"/>
  <c r="J11" i="228" s="1"/>
  <c r="K23" i="33"/>
  <c r="F11" i="228" s="1"/>
  <c r="C23" i="33"/>
  <c r="B11" i="228" s="1"/>
  <c r="Q22" i="33"/>
  <c r="I10" i="228" s="1"/>
  <c r="I22" i="33"/>
  <c r="E10" i="228" s="1"/>
  <c r="W21" i="33"/>
  <c r="L9" i="228" s="1"/>
  <c r="O21" i="33"/>
  <c r="H9" i="228" s="1"/>
  <c r="G21" i="33"/>
  <c r="D9" i="228" s="1"/>
  <c r="U20" i="33"/>
  <c r="K8" i="228" s="1"/>
  <c r="M20" i="33"/>
  <c r="G8" i="228" s="1"/>
  <c r="E20" i="33"/>
  <c r="C8" i="228" s="1"/>
  <c r="S19" i="33"/>
  <c r="J7" i="228" s="1"/>
  <c r="K19" i="33"/>
  <c r="F7" i="228" s="1"/>
  <c r="C19" i="33"/>
  <c r="B7" i="228" s="1"/>
  <c r="Q18" i="33"/>
  <c r="I6" i="228" s="1"/>
  <c r="I18" i="33"/>
  <c r="E6" i="228" s="1"/>
  <c r="W17" i="33"/>
  <c r="L5" i="228" s="1"/>
  <c r="O17" i="33"/>
  <c r="H5" i="228" s="1"/>
  <c r="G17" i="33"/>
  <c r="D5" i="228" s="1"/>
  <c r="U15" i="33"/>
  <c r="M15"/>
  <c r="E15"/>
  <c r="S14"/>
  <c r="K14"/>
  <c r="C14"/>
  <c r="Q13"/>
  <c r="I13"/>
  <c r="W12"/>
  <c r="O12"/>
  <c r="G12"/>
  <c r="U11"/>
  <c r="M11"/>
  <c r="E11"/>
  <c r="S10"/>
  <c r="K10"/>
  <c r="C10"/>
  <c r="I9"/>
  <c r="Q16" i="21"/>
  <c r="L17" i="22" s="1"/>
  <c r="U41" i="21"/>
  <c r="O43" i="22" s="1"/>
  <c r="AC35" i="21"/>
  <c r="U37" i="22" s="1"/>
  <c r="AK29" i="21"/>
  <c r="AA31" i="22" s="1"/>
  <c r="AK23" i="21"/>
  <c r="AA25" i="22" s="1"/>
  <c r="AK15" i="21"/>
  <c r="AA16" i="22" s="1"/>
  <c r="AG42" i="21"/>
  <c r="X44" i="22" s="1"/>
  <c r="M7" i="21"/>
  <c r="I8" i="22" s="1"/>
  <c r="AS16" i="21"/>
  <c r="AG17" i="22" s="1"/>
  <c r="AK22" i="21"/>
  <c r="AA24" i="22" s="1"/>
  <c r="AC28" i="21"/>
  <c r="U30" i="22" s="1"/>
  <c r="U34" i="21"/>
  <c r="O36" i="22" s="1"/>
  <c r="M40" i="21"/>
  <c r="I42" i="22" s="1"/>
  <c r="FS9" i="18"/>
  <c r="GB8"/>
  <c r="FP9"/>
  <c r="FQ9" s="1"/>
  <c r="FZ9"/>
  <c r="GA9" s="1"/>
  <c r="FV9"/>
  <c r="FW9" s="1"/>
  <c r="FX9"/>
  <c r="FY9" s="1"/>
  <c r="I12" i="14"/>
  <c r="L12" i="15" s="1"/>
  <c r="K12" i="14"/>
  <c r="T12" i="15" s="1"/>
  <c r="M12" i="14"/>
  <c r="AB12" i="15" s="1"/>
  <c r="O12" i="14"/>
  <c r="AJ12" i="15" s="1"/>
  <c r="Q12" i="14"/>
  <c r="AR12" i="15" s="1"/>
  <c r="H12" i="14"/>
  <c r="H12" i="15" s="1"/>
  <c r="J12" i="14"/>
  <c r="P12" i="15" s="1"/>
  <c r="L12" i="14"/>
  <c r="X12" i="15" s="1"/>
  <c r="Z12" s="1"/>
  <c r="AA12" s="1"/>
  <c r="BB12" i="19" s="1"/>
  <c r="N12" i="14"/>
  <c r="AF12" i="15" s="1"/>
  <c r="P12" i="14"/>
  <c r="AN12" i="15" s="1"/>
  <c r="AP12" s="1"/>
  <c r="AQ12" s="1"/>
  <c r="CP12" i="19" s="1"/>
  <c r="G11" i="14"/>
  <c r="C10"/>
  <c r="AR43" i="15"/>
  <c r="AT43" s="1"/>
  <c r="AU43" s="1"/>
  <c r="AB43"/>
  <c r="AD43" s="1"/>
  <c r="AE43" s="1"/>
  <c r="H40" i="12"/>
  <c r="L41"/>
  <c r="L42" s="1"/>
  <c r="L43" s="1"/>
  <c r="L44" s="1"/>
  <c r="B20" i="64"/>
  <c r="R21"/>
  <c r="AH21"/>
  <c r="C21"/>
  <c r="D21" s="1"/>
  <c r="E21" s="1"/>
  <c r="F21"/>
  <c r="J21"/>
  <c r="N21"/>
  <c r="V21"/>
  <c r="Z21"/>
  <c r="AD21"/>
  <c r="AL21"/>
  <c r="AP21"/>
  <c r="N10" i="10"/>
  <c r="Z10"/>
  <c r="AL10"/>
  <c r="AX10"/>
  <c r="BJ10"/>
  <c r="H10"/>
  <c r="V11"/>
  <c r="T10"/>
  <c r="AH11"/>
  <c r="AF10"/>
  <c r="AR10"/>
  <c r="BF11"/>
  <c r="BD10"/>
  <c r="W8" i="7"/>
  <c r="AK9"/>
  <c r="G15"/>
  <c r="H15" s="1"/>
  <c r="D15" i="58" s="1"/>
  <c r="C14" i="7"/>
  <c r="X13"/>
  <c r="AB14"/>
  <c r="AC14" s="1"/>
  <c r="AH14" i="58" s="1"/>
  <c r="AL13" i="7"/>
  <c r="AP14"/>
  <c r="AQ14" s="1"/>
  <c r="BB14" i="58" s="1"/>
  <c r="AZ13" i="7"/>
  <c r="BD14"/>
  <c r="BE14" s="1"/>
  <c r="BV14" i="58" s="1"/>
  <c r="J14" i="7"/>
  <c r="N15"/>
  <c r="O15" s="1"/>
  <c r="N15" i="58" s="1"/>
  <c r="I9" i="7"/>
  <c r="BR14"/>
  <c r="BS14" s="1"/>
  <c r="CP14" i="58" s="1"/>
  <c r="BN13" i="7"/>
  <c r="D5" i="72"/>
  <c r="D5" i="74"/>
  <c r="D5" i="77"/>
  <c r="D5" i="80"/>
  <c r="D5" i="73"/>
  <c r="D5" i="76"/>
  <c r="D5" i="78"/>
  <c r="D5" i="79"/>
  <c r="D5" i="71"/>
  <c r="D5" i="75"/>
  <c r="H12" i="3"/>
  <c r="I12" s="1"/>
  <c r="F11"/>
  <c r="B11"/>
  <c r="D12"/>
  <c r="E12" s="1"/>
  <c r="AH11"/>
  <c r="AJ12"/>
  <c r="AK12" s="1"/>
  <c r="AL11"/>
  <c r="AN12"/>
  <c r="AO12" s="1"/>
  <c r="R11"/>
  <c r="T12"/>
  <c r="U12" s="1"/>
  <c r="Q16" i="5"/>
  <c r="AP16" i="58"/>
  <c r="M16" i="5"/>
  <c r="N16" s="1"/>
  <c r="Z16" i="58" s="1"/>
  <c r="V16"/>
  <c r="AC16" i="5"/>
  <c r="CX16" i="58"/>
  <c r="AC14" i="1"/>
  <c r="AE15"/>
  <c r="Q14"/>
  <c r="S15"/>
  <c r="BM14"/>
  <c r="BO15"/>
  <c r="AV8" i="18"/>
  <c r="AJ9"/>
  <c r="AK9" s="1"/>
  <c r="AP9"/>
  <c r="AQ9" s="1"/>
  <c r="AT9"/>
  <c r="AU9" s="1"/>
  <c r="AM9"/>
  <c r="AR9"/>
  <c r="AS9" s="1"/>
  <c r="DL8"/>
  <c r="CZ9"/>
  <c r="DA9" s="1"/>
  <c r="DF9"/>
  <c r="DG9" s="1"/>
  <c r="DJ9"/>
  <c r="DK9" s="1"/>
  <c r="DC9"/>
  <c r="DH9"/>
  <c r="DI9" s="1"/>
  <c r="CE10"/>
  <c r="CG10" s="1"/>
  <c r="CH10" s="1"/>
  <c r="AT11" i="19" s="1"/>
  <c r="EU10" i="18"/>
  <c r="EW10" s="1"/>
  <c r="EX10" s="1"/>
  <c r="CH11" i="19" s="1"/>
  <c r="CD8" i="18"/>
  <c r="BR9"/>
  <c r="BS9" s="1"/>
  <c r="BX9"/>
  <c r="BY9" s="1"/>
  <c r="CB9"/>
  <c r="CC9" s="1"/>
  <c r="BU9"/>
  <c r="BZ9"/>
  <c r="CA9" s="1"/>
  <c r="ET8"/>
  <c r="EH9"/>
  <c r="EI9" s="1"/>
  <c r="EN9"/>
  <c r="EO9" s="1"/>
  <c r="ER9"/>
  <c r="ES9" s="1"/>
  <c r="EK9"/>
  <c r="EP9"/>
  <c r="EQ9" s="1"/>
  <c r="AW10"/>
  <c r="AY10" s="1"/>
  <c r="AZ10" s="1"/>
  <c r="Z11" i="19" s="1"/>
  <c r="DM10" i="18"/>
  <c r="DO10" s="1"/>
  <c r="DP10" s="1"/>
  <c r="BN11" i="19" s="1"/>
  <c r="F45" i="16"/>
  <c r="G45" s="1"/>
  <c r="H45" s="1"/>
  <c r="C31" i="220" s="1"/>
  <c r="F23" i="6"/>
  <c r="G23" s="1"/>
  <c r="Y23" i="58" s="1"/>
  <c r="AB23" s="1"/>
  <c r="L20" i="72"/>
  <c r="D9" i="215" s="1"/>
  <c r="G8" i="76"/>
  <c r="F9"/>
  <c r="I25" i="73"/>
  <c r="H26"/>
  <c r="I26" s="1"/>
  <c r="R44" i="18"/>
  <c r="B31" i="221" s="1"/>
  <c r="F29" i="6"/>
  <c r="G29" s="1"/>
  <c r="Y29" i="58" s="1"/>
  <c r="AB29" s="1"/>
  <c r="L26" i="72"/>
  <c r="D15" i="215" s="1"/>
  <c r="F10" i="80"/>
  <c r="G9"/>
  <c r="G8" i="77"/>
  <c r="F9"/>
  <c r="K28" i="70"/>
  <c r="B18" i="215" s="1"/>
  <c r="B32" i="6"/>
  <c r="C32" s="1"/>
  <c r="E32" i="58" s="1"/>
  <c r="BN44" i="29"/>
  <c r="K17" i="41" s="1"/>
  <c r="Q17" i="29"/>
  <c r="BU17"/>
  <c r="F22" i="6"/>
  <c r="G22" s="1"/>
  <c r="Y22" i="58" s="1"/>
  <c r="AB22" s="1"/>
  <c r="L19" i="72"/>
  <c r="D8" i="215" s="1"/>
  <c r="H27" i="6"/>
  <c r="I27" s="1"/>
  <c r="AI27" i="58" s="1"/>
  <c r="AL27" s="1"/>
  <c r="L24" i="73"/>
  <c r="E13" i="215" s="1"/>
  <c r="H19" i="58"/>
  <c r="B5" i="207" s="1"/>
  <c r="AV19" i="58"/>
  <c r="F5" i="207" s="1"/>
  <c r="CJ19" i="58"/>
  <c r="J5" i="207" s="1"/>
  <c r="AI44" i="18"/>
  <c r="C31" i="221" s="1"/>
  <c r="F28" i="6"/>
  <c r="G28" s="1"/>
  <c r="Y28" i="58" s="1"/>
  <c r="AB28" s="1"/>
  <c r="L25" i="72"/>
  <c r="D14" i="215" s="1"/>
  <c r="E29" i="70"/>
  <c r="G29" s="1"/>
  <c r="F30"/>
  <c r="H29"/>
  <c r="AS17" i="29"/>
  <c r="L17" i="41"/>
  <c r="T33" i="6"/>
  <c r="U33" s="1"/>
  <c r="CQ33" i="58" s="1"/>
  <c r="CT33" s="1"/>
  <c r="K19" i="207" s="1"/>
  <c r="L30" i="79"/>
  <c r="K19" i="215" s="1"/>
  <c r="R33" i="6"/>
  <c r="S33" s="1"/>
  <c r="CG33" i="58" s="1"/>
  <c r="L30" i="78"/>
  <c r="J19" i="215" s="1"/>
  <c r="F31" i="76"/>
  <c r="H31" s="1"/>
  <c r="I31" s="1"/>
  <c r="G32"/>
  <c r="F31" i="75"/>
  <c r="H31" s="1"/>
  <c r="I31" s="1"/>
  <c r="G32"/>
  <c r="F31" i="74"/>
  <c r="H31" s="1"/>
  <c r="I31" s="1"/>
  <c r="G32"/>
  <c r="F31" i="73"/>
  <c r="H31" s="1"/>
  <c r="I31" s="1"/>
  <c r="G32"/>
  <c r="K15" i="6"/>
  <c r="AS15" i="58" s="1"/>
  <c r="J16" i="6"/>
  <c r="BR32" i="58"/>
  <c r="X19" i="29"/>
  <c r="AZ19"/>
  <c r="C20"/>
  <c r="AE20"/>
  <c r="BG20"/>
  <c r="J21"/>
  <c r="AL21"/>
  <c r="BN21"/>
  <c r="Q22"/>
  <c r="AS22"/>
  <c r="BU22"/>
  <c r="X23"/>
  <c r="AZ23"/>
  <c r="C24"/>
  <c r="AE24"/>
  <c r="BG24"/>
  <c r="J25"/>
  <c r="AL25"/>
  <c r="BN25"/>
  <c r="Q26"/>
  <c r="AS26"/>
  <c r="BU26"/>
  <c r="X27"/>
  <c r="AZ27"/>
  <c r="C28"/>
  <c r="AE28"/>
  <c r="BG28"/>
  <c r="J29"/>
  <c r="AL29"/>
  <c r="BN29"/>
  <c r="Q30"/>
  <c r="AS30"/>
  <c r="BU30"/>
  <c r="X31"/>
  <c r="AZ31"/>
  <c r="C32"/>
  <c r="AE32"/>
  <c r="BG32"/>
  <c r="J33"/>
  <c r="AL33"/>
  <c r="BN33"/>
  <c r="Q34"/>
  <c r="AS34"/>
  <c r="BU34"/>
  <c r="X35"/>
  <c r="AZ35"/>
  <c r="C36"/>
  <c r="AE36"/>
  <c r="BG36"/>
  <c r="J37"/>
  <c r="AL37"/>
  <c r="BN37"/>
  <c r="Q38"/>
  <c r="AS38"/>
  <c r="BU38"/>
  <c r="X39"/>
  <c r="AZ39"/>
  <c r="C40"/>
  <c r="AE40"/>
  <c r="BG40"/>
  <c r="J41"/>
  <c r="AL41"/>
  <c r="BN41"/>
  <c r="Q42"/>
  <c r="AS42"/>
  <c r="BU42"/>
  <c r="X43"/>
  <c r="AZ43"/>
  <c r="C44"/>
  <c r="AE44"/>
  <c r="BG44"/>
  <c r="C8"/>
  <c r="F31" i="79"/>
  <c r="H31" s="1"/>
  <c r="I31" s="1"/>
  <c r="G32"/>
  <c r="F31" i="78"/>
  <c r="H31" s="1"/>
  <c r="I31" s="1"/>
  <c r="G32"/>
  <c r="N33" i="6"/>
  <c r="O33" s="1"/>
  <c r="BM33" i="58" s="1"/>
  <c r="BP33" s="1"/>
  <c r="H19" i="207" s="1"/>
  <c r="L30" i="76"/>
  <c r="H19" i="215" s="1"/>
  <c r="L33" i="6"/>
  <c r="M33" s="1"/>
  <c r="BC33" i="58" s="1"/>
  <c r="BF33" s="1"/>
  <c r="G19" i="207" s="1"/>
  <c r="L30" i="75"/>
  <c r="G19" i="215" s="1"/>
  <c r="J33" i="6"/>
  <c r="K33" s="1"/>
  <c r="AS33" i="58" s="1"/>
  <c r="AV33" s="1"/>
  <c r="F19" i="207" s="1"/>
  <c r="L30" i="74"/>
  <c r="F19" i="215" s="1"/>
  <c r="H33" i="6"/>
  <c r="I33" s="1"/>
  <c r="AI33" i="58" s="1"/>
  <c r="AL33" s="1"/>
  <c r="E19" i="207" s="1"/>
  <c r="L30" i="73"/>
  <c r="E19" i="215" s="1"/>
  <c r="E17" i="41"/>
  <c r="I17"/>
  <c r="U9" i="33"/>
  <c r="M9"/>
  <c r="AE17" i="29"/>
  <c r="BG17"/>
  <c r="J19"/>
  <c r="AL19"/>
  <c r="BN19"/>
  <c r="Q20"/>
  <c r="AS20"/>
  <c r="BU20"/>
  <c r="X21"/>
  <c r="AZ21"/>
  <c r="C22"/>
  <c r="AE22"/>
  <c r="BG22"/>
  <c r="J23"/>
  <c r="AL23"/>
  <c r="BN23"/>
  <c r="Q24"/>
  <c r="AS24"/>
  <c r="BU24"/>
  <c r="X25"/>
  <c r="AZ25"/>
  <c r="C26"/>
  <c r="AE26"/>
  <c r="BG26"/>
  <c r="J27"/>
  <c r="AL27"/>
  <c r="BN27"/>
  <c r="Q28"/>
  <c r="AS28"/>
  <c r="BU28"/>
  <c r="X29"/>
  <c r="AZ29"/>
  <c r="C30"/>
  <c r="AE30"/>
  <c r="BG30"/>
  <c r="J31"/>
  <c r="AL31"/>
  <c r="BN31"/>
  <c r="Q32"/>
  <c r="AS32"/>
  <c r="BU32"/>
  <c r="X33"/>
  <c r="AZ33"/>
  <c r="C34"/>
  <c r="AE34"/>
  <c r="BG34"/>
  <c r="J35"/>
  <c r="AL35"/>
  <c r="BN35"/>
  <c r="Q36"/>
  <c r="AS36"/>
  <c r="BU36"/>
  <c r="X37"/>
  <c r="AZ37"/>
  <c r="C38"/>
  <c r="AE38"/>
  <c r="BG38"/>
  <c r="J39"/>
  <c r="AL39"/>
  <c r="BN39"/>
  <c r="Q40"/>
  <c r="AS40"/>
  <c r="BU40"/>
  <c r="X41"/>
  <c r="AZ41"/>
  <c r="C42"/>
  <c r="AE42"/>
  <c r="BG42"/>
  <c r="J43"/>
  <c r="AL43"/>
  <c r="BN43"/>
  <c r="Q44"/>
  <c r="AS44"/>
  <c r="E11" i="6" l="1"/>
  <c r="O11" i="58" s="1"/>
  <c r="D12" i="6"/>
  <c r="B37" i="221"/>
  <c r="R31" i="58"/>
  <c r="G42" i="221"/>
  <c r="L37"/>
  <c r="BH25" i="58"/>
  <c r="G11" i="207"/>
  <c r="M45" i="37"/>
  <c r="W50" i="2"/>
  <c r="CV19" i="58"/>
  <c r="K5" i="207"/>
  <c r="K42" s="1"/>
  <c r="AN30" i="58"/>
  <c r="E16" i="207"/>
  <c r="CL31" i="58"/>
  <c r="J17" i="207"/>
  <c r="DF26" i="58"/>
  <c r="L12" i="207"/>
  <c r="CV22" i="58"/>
  <c r="K8" i="207"/>
  <c r="AN23" i="58"/>
  <c r="E9" i="207"/>
  <c r="CL24" i="58"/>
  <c r="J10" i="207"/>
  <c r="CV32" i="58"/>
  <c r="K18" i="207"/>
  <c r="T22" i="58"/>
  <c r="C8" i="207"/>
  <c r="AX26" i="58"/>
  <c r="F12" i="207"/>
  <c r="CV20" i="58"/>
  <c r="K6" i="207"/>
  <c r="BH22" i="58"/>
  <c r="G8" i="207"/>
  <c r="CV24" i="58"/>
  <c r="K10" i="207"/>
  <c r="CL30" i="58"/>
  <c r="J16" i="207"/>
  <c r="T31" i="58"/>
  <c r="C17" i="207"/>
  <c r="BR22" i="58"/>
  <c r="H8" i="207"/>
  <c r="E18"/>
  <c r="AN32" i="58"/>
  <c r="AD31"/>
  <c r="D17" i="207"/>
  <c r="J18"/>
  <c r="CL32" i="58"/>
  <c r="CL26"/>
  <c r="J12" i="207"/>
  <c r="AD21" i="58"/>
  <c r="D7" i="207"/>
  <c r="AD29" i="58"/>
  <c r="D15" i="207"/>
  <c r="G21" i="64"/>
  <c r="H21" s="1"/>
  <c r="I21" s="1"/>
  <c r="C9" i="227"/>
  <c r="CZ43" i="19"/>
  <c r="L29" i="219"/>
  <c r="D37" i="228"/>
  <c r="D42"/>
  <c r="K43"/>
  <c r="K38"/>
  <c r="F42"/>
  <c r="F37"/>
  <c r="E37"/>
  <c r="E42"/>
  <c r="D44" i="221"/>
  <c r="D39"/>
  <c r="J42" i="228"/>
  <c r="J37"/>
  <c r="H44"/>
  <c r="H39"/>
  <c r="L42" i="219"/>
  <c r="L37"/>
  <c r="F68" i="19"/>
  <c r="F49" i="133"/>
  <c r="BH32" i="58"/>
  <c r="G18" i="207"/>
  <c r="K42" i="221"/>
  <c r="K37"/>
  <c r="T19" i="58"/>
  <c r="C5" i="207"/>
  <c r="H34" i="228"/>
  <c r="O53" i="33"/>
  <c r="AU46" i="19"/>
  <c r="F32" i="210"/>
  <c r="E34" i="221"/>
  <c r="AJ48" i="19"/>
  <c r="AD25" i="58"/>
  <c r="D11" i="207"/>
  <c r="AN22" i="58"/>
  <c r="E8" i="207"/>
  <c r="CB20" i="58"/>
  <c r="I6" i="207"/>
  <c r="T24" i="58"/>
  <c r="C10" i="207"/>
  <c r="DF30" i="58"/>
  <c r="L16" i="207"/>
  <c r="DF21" i="58"/>
  <c r="L7" i="207"/>
  <c r="CB21" i="58"/>
  <c r="I7" i="207"/>
  <c r="F30" i="80"/>
  <c r="H30" s="1"/>
  <c r="I30" s="1"/>
  <c r="G31"/>
  <c r="CL25" i="58"/>
  <c r="J11" i="207"/>
  <c r="G11" i="79"/>
  <c r="F12"/>
  <c r="M12" i="6"/>
  <c r="BC12" i="58" s="1"/>
  <c r="L13" i="6"/>
  <c r="G6" i="4"/>
  <c r="BH24" i="58"/>
  <c r="G10" i="207"/>
  <c r="CF40" i="19"/>
  <c r="J26" i="219"/>
  <c r="C39" i="5"/>
  <c r="F38"/>
  <c r="H38" s="1"/>
  <c r="AA24" i="19"/>
  <c r="D10" i="210"/>
  <c r="J6" i="4"/>
  <c r="DF23" i="58"/>
  <c r="L9" i="207"/>
  <c r="BB25" i="29"/>
  <c r="BC25" s="1"/>
  <c r="I11" i="224"/>
  <c r="X43" i="19"/>
  <c r="D29" i="219"/>
  <c r="CD15" i="58"/>
  <c r="Y15" i="5"/>
  <c r="BD35" i="58"/>
  <c r="G21" i="216"/>
  <c r="H44" i="14"/>
  <c r="K44"/>
  <c r="M44"/>
  <c r="AB44" i="15" s="1"/>
  <c r="AD44" s="1"/>
  <c r="AE44" s="1"/>
  <c r="P44" i="14"/>
  <c r="AN44" i="15" s="1"/>
  <c r="AP44" s="1"/>
  <c r="AQ44" s="1"/>
  <c r="O44" i="14"/>
  <c r="L44"/>
  <c r="X44" i="15" s="1"/>
  <c r="Z44" s="1"/>
  <c r="AA44" s="1"/>
  <c r="I44" i="14"/>
  <c r="L44" i="15" s="1"/>
  <c r="N44" s="1"/>
  <c r="O44" s="1"/>
  <c r="N44" i="14"/>
  <c r="AF44" i="15" s="1"/>
  <c r="AH44" s="1"/>
  <c r="AI44" s="1"/>
  <c r="Q44" i="14"/>
  <c r="AR44" i="15" s="1"/>
  <c r="AT44" s="1"/>
  <c r="AU44" s="1"/>
  <c r="J44" i="14"/>
  <c r="B6" i="4"/>
  <c r="CI24" i="19"/>
  <c r="J10" i="210"/>
  <c r="BH31" i="58"/>
  <c r="G17" i="207"/>
  <c r="DF22" i="58"/>
  <c r="L8" i="207"/>
  <c r="D32" i="6"/>
  <c r="E32" s="1"/>
  <c r="O32" i="58" s="1"/>
  <c r="R32" s="1"/>
  <c r="L29" i="71"/>
  <c r="C18" i="215" s="1"/>
  <c r="AD28" i="58"/>
  <c r="D14" i="207"/>
  <c r="AD23" i="58"/>
  <c r="D9" i="207"/>
  <c r="K21" i="64"/>
  <c r="L21" s="1"/>
  <c r="M21" s="1"/>
  <c r="D9" i="227"/>
  <c r="BL43" i="19"/>
  <c r="H29" i="219"/>
  <c r="D43" i="228"/>
  <c r="D38"/>
  <c r="H44" i="221"/>
  <c r="H39"/>
  <c r="E42" i="219"/>
  <c r="E37"/>
  <c r="C34" i="228"/>
  <c r="E53" i="33"/>
  <c r="K34" i="228"/>
  <c r="U53" i="33"/>
  <c r="AS46" i="19"/>
  <c r="F32" i="220"/>
  <c r="BY46" i="19"/>
  <c r="I32" i="210"/>
  <c r="K34" i="221"/>
  <c r="CR48" i="19"/>
  <c r="AX24" i="58"/>
  <c r="F10" i="207"/>
  <c r="AN31" i="58"/>
  <c r="E17" i="207"/>
  <c r="AD30" i="58"/>
  <c r="D16" i="207"/>
  <c r="AN25" i="58"/>
  <c r="E11" i="207"/>
  <c r="DF31" i="58"/>
  <c r="L17" i="207"/>
  <c r="CL22" i="58"/>
  <c r="J8" i="207"/>
  <c r="CB30" i="58"/>
  <c r="I16" i="207"/>
  <c r="T27" i="58"/>
  <c r="C13" i="207"/>
  <c r="P12" i="6"/>
  <c r="Q11"/>
  <c r="BW11" i="58" s="1"/>
  <c r="V32" i="6"/>
  <c r="W32" s="1"/>
  <c r="DA32" i="58" s="1"/>
  <c r="DD32" s="1"/>
  <c r="L29" i="80"/>
  <c r="L18" i="215" s="1"/>
  <c r="U12" i="6"/>
  <c r="CQ12" i="58" s="1"/>
  <c r="T13" i="6"/>
  <c r="F26" i="29"/>
  <c r="J10" i="171"/>
  <c r="J17" i="16"/>
  <c r="K17" s="1"/>
  <c r="L17" s="1"/>
  <c r="Y17" i="19" s="1"/>
  <c r="I16" i="16"/>
  <c r="DC24" i="19"/>
  <c r="L10" i="210"/>
  <c r="CV26" i="58"/>
  <c r="K12" i="207"/>
  <c r="AX22" i="58"/>
  <c r="F8" i="207"/>
  <c r="AU22" i="29"/>
  <c r="AV22" s="1"/>
  <c r="H8" i="224"/>
  <c r="J38" i="12"/>
  <c r="AJ41" i="15"/>
  <c r="AL41" s="1"/>
  <c r="AM41" s="1"/>
  <c r="B38" i="221"/>
  <c r="B43"/>
  <c r="CV21" i="58"/>
  <c r="K7" i="207"/>
  <c r="CV31" i="58"/>
  <c r="K17" i="207"/>
  <c r="CP43" i="19"/>
  <c r="K29" i="219"/>
  <c r="AG8" i="10"/>
  <c r="Y8" i="15" s="1"/>
  <c r="Y9"/>
  <c r="BC14" i="1"/>
  <c r="BA13"/>
  <c r="S22" i="29"/>
  <c r="T22" s="1"/>
  <c r="D8" i="224"/>
  <c r="E25" i="29"/>
  <c r="B11" i="224"/>
  <c r="N36" i="5"/>
  <c r="Z36"/>
  <c r="AB36"/>
  <c r="V36"/>
  <c r="L36"/>
  <c r="P36"/>
  <c r="AD36"/>
  <c r="T36"/>
  <c r="X36"/>
  <c r="R36"/>
  <c r="AU24" i="19"/>
  <c r="F10" i="210"/>
  <c r="AN20" i="58"/>
  <c r="E6" i="207"/>
  <c r="Z35" i="58"/>
  <c r="D21" i="216"/>
  <c r="E37" i="215"/>
  <c r="E42"/>
  <c r="AM21" i="64"/>
  <c r="AN21" s="1"/>
  <c r="AO21" s="1"/>
  <c r="K9" i="227"/>
  <c r="O21" i="64"/>
  <c r="P21" s="1"/>
  <c r="Q21" s="1"/>
  <c r="E9" i="227"/>
  <c r="AI21" i="64"/>
  <c r="AJ21" s="1"/>
  <c r="AK21" s="1"/>
  <c r="J9" i="227"/>
  <c r="L37" i="228"/>
  <c r="L42"/>
  <c r="C43"/>
  <c r="C38"/>
  <c r="K42"/>
  <c r="K37"/>
  <c r="B38"/>
  <c r="B43"/>
  <c r="G39" i="221"/>
  <c r="G44"/>
  <c r="C44"/>
  <c r="C39"/>
  <c r="F39"/>
  <c r="F44"/>
  <c r="B5" i="228"/>
  <c r="B25" i="170"/>
  <c r="I42" i="228"/>
  <c r="I37"/>
  <c r="F39"/>
  <c r="F44"/>
  <c r="I37" i="219"/>
  <c r="I42"/>
  <c r="C37"/>
  <c r="C42"/>
  <c r="B44" i="228"/>
  <c r="B39"/>
  <c r="D44"/>
  <c r="D39"/>
  <c r="B42"/>
  <c r="B37"/>
  <c r="C37" i="221"/>
  <c r="C42"/>
  <c r="BH19" i="58"/>
  <c r="G5" i="207"/>
  <c r="G37" s="1"/>
  <c r="B34" i="228"/>
  <c r="C53" i="33"/>
  <c r="C25" i="170"/>
  <c r="F34" i="228"/>
  <c r="K53" i="33"/>
  <c r="J34" i="228"/>
  <c r="S53" i="33"/>
  <c r="AA46" i="19"/>
  <c r="D32" i="210"/>
  <c r="BO46" i="19"/>
  <c r="H32" i="210"/>
  <c r="H34" i="221"/>
  <c r="BN48" i="19"/>
  <c r="F34" i="221"/>
  <c r="AT48" i="19"/>
  <c r="D34" i="221"/>
  <c r="Z48" i="19"/>
  <c r="B34" i="221"/>
  <c r="F48" i="19"/>
  <c r="AX28" i="58"/>
  <c r="F14" i="207"/>
  <c r="DF24" i="58"/>
  <c r="L10" i="207"/>
  <c r="T20" i="58"/>
  <c r="C6" i="207"/>
  <c r="CB27" i="58"/>
  <c r="I13" i="207"/>
  <c r="F38" i="12"/>
  <c r="T41" i="15"/>
  <c r="V41" s="1"/>
  <c r="W41" s="1"/>
  <c r="I13"/>
  <c r="J13" s="1"/>
  <c r="K13" s="1"/>
  <c r="N13" i="19" s="1"/>
  <c r="I12" i="10"/>
  <c r="J13"/>
  <c r="BK12"/>
  <c r="AS13" i="15"/>
  <c r="AT13" s="1"/>
  <c r="AU13" s="1"/>
  <c r="CZ13" i="19" s="1"/>
  <c r="BL13" i="10"/>
  <c r="J19" i="26"/>
  <c r="J20" i="28"/>
  <c r="L17" i="26"/>
  <c r="L18" i="28"/>
  <c r="F6" i="4"/>
  <c r="N41" i="19"/>
  <c r="C27" i="219"/>
  <c r="C18" i="26"/>
  <c r="C19" i="28"/>
  <c r="I5" i="220"/>
  <c r="BW19" i="19"/>
  <c r="P32" i="6"/>
  <c r="Q32" s="1"/>
  <c r="BW32" i="58" s="1"/>
  <c r="BZ32" s="1"/>
  <c r="L29" i="77"/>
  <c r="I18" i="215" s="1"/>
  <c r="O11" i="10"/>
  <c r="M12" i="15"/>
  <c r="P12" i="10"/>
  <c r="J42" i="207"/>
  <c r="J47"/>
  <c r="J37"/>
  <c r="L47"/>
  <c r="L42"/>
  <c r="L37"/>
  <c r="BR27" i="58"/>
  <c r="H13" i="207"/>
  <c r="BP24" i="29"/>
  <c r="BQ24" s="1"/>
  <c r="K10" i="224"/>
  <c r="E19" i="26"/>
  <c r="E20" i="28"/>
  <c r="AH13" i="16"/>
  <c r="AI13" s="1"/>
  <c r="AJ13" s="1"/>
  <c r="CG13" i="19" s="1"/>
  <c r="AG12" i="16"/>
  <c r="AN24" i="29"/>
  <c r="AO24" s="1"/>
  <c r="G10" i="224"/>
  <c r="F15" i="16"/>
  <c r="G15" s="1"/>
  <c r="H15" s="1"/>
  <c r="O15" i="19" s="1"/>
  <c r="E14" i="16"/>
  <c r="D28" i="6"/>
  <c r="E28" s="1"/>
  <c r="O28" i="58" s="1"/>
  <c r="R28" s="1"/>
  <c r="L25" i="71"/>
  <c r="C14" i="215" s="1"/>
  <c r="BX35" i="58"/>
  <c r="I21" i="216"/>
  <c r="DB35" i="58"/>
  <c r="L21" i="216"/>
  <c r="I11" i="6"/>
  <c r="AI11" i="58" s="1"/>
  <c r="H12" i="6"/>
  <c r="BO47" i="2"/>
  <c r="BO48" s="1"/>
  <c r="BU46"/>
  <c r="BP46" s="1"/>
  <c r="AL43" i="37" s="1"/>
  <c r="F26" i="72"/>
  <c r="G26" s="1"/>
  <c r="G25"/>
  <c r="AK24" i="19"/>
  <c r="E10" i="210"/>
  <c r="AX21" i="58"/>
  <c r="F7" i="207"/>
  <c r="DW8" i="18"/>
  <c r="DX8" s="1"/>
  <c r="DY8"/>
  <c r="DZ8" s="1"/>
  <c r="DQ8"/>
  <c r="DR8" s="1"/>
  <c r="EC7"/>
  <c r="DS8"/>
  <c r="DT8" s="1"/>
  <c r="EA8"/>
  <c r="EB8" s="1"/>
  <c r="F5" i="220"/>
  <c r="AS19" i="19"/>
  <c r="AO35" i="21"/>
  <c r="AD37" i="22" s="1"/>
  <c r="M24" i="21"/>
  <c r="I26" i="22" s="1"/>
  <c r="AC12" i="21"/>
  <c r="U13" i="22" s="1"/>
  <c r="AK8" i="21"/>
  <c r="AA9" i="22" s="1"/>
  <c r="Q22" i="21"/>
  <c r="L24" i="22" s="1"/>
  <c r="I34" i="21"/>
  <c r="F36" i="22" s="1"/>
  <c r="U13" i="21"/>
  <c r="O14" i="22" s="1"/>
  <c r="P44" i="15"/>
  <c r="R44" s="1"/>
  <c r="S44" s="1"/>
  <c r="CJ33" i="58"/>
  <c r="J19" i="207" s="1"/>
  <c r="R12" i="15"/>
  <c r="S12" s="1"/>
  <c r="AH12" i="19" s="1"/>
  <c r="Q37" i="21"/>
  <c r="L39" i="22" s="1"/>
  <c r="Y31" i="21"/>
  <c r="R33" i="22" s="1"/>
  <c r="AG25" i="21"/>
  <c r="X27" i="22" s="1"/>
  <c r="AO19" i="21"/>
  <c r="AD21" i="22" s="1"/>
  <c r="E14" i="21"/>
  <c r="C15" i="22" s="1"/>
  <c r="AC42" i="21"/>
  <c r="U44" i="22" s="1"/>
  <c r="AG8" i="21"/>
  <c r="X9" i="22" s="1"/>
  <c r="AO20" i="21"/>
  <c r="AD22" i="22" s="1"/>
  <c r="AO26" i="21"/>
  <c r="AD28" i="22" s="1"/>
  <c r="AG32" i="21"/>
  <c r="X34" i="22" s="1"/>
  <c r="Y38" i="21"/>
  <c r="R40" i="22" s="1"/>
  <c r="AG7" i="21"/>
  <c r="X8" i="22" s="1"/>
  <c r="P16" i="5"/>
  <c r="AJ16" i="58" s="1"/>
  <c r="J42" i="221"/>
  <c r="H42"/>
  <c r="I42"/>
  <c r="F42"/>
  <c r="H66" i="58"/>
  <c r="B39" i="221"/>
  <c r="AA21" i="64"/>
  <c r="AB21" s="1"/>
  <c r="AC21" s="1"/>
  <c r="H9" i="227"/>
  <c r="B8"/>
  <c r="I6" i="161"/>
  <c r="C42" i="228"/>
  <c r="C37"/>
  <c r="J38"/>
  <c r="J43"/>
  <c r="L43"/>
  <c r="L38"/>
  <c r="T21" i="58"/>
  <c r="C7" i="207"/>
  <c r="I44" i="221"/>
  <c r="I39"/>
  <c r="K42" i="219"/>
  <c r="K37"/>
  <c r="I44" i="228"/>
  <c r="I39"/>
  <c r="AN26" i="58"/>
  <c r="E12" i="207"/>
  <c r="I38" i="228"/>
  <c r="I43"/>
  <c r="D34"/>
  <c r="G53" i="33"/>
  <c r="L34" i="228"/>
  <c r="W53" i="33"/>
  <c r="CI46" i="19"/>
  <c r="J32" i="210"/>
  <c r="G34" i="221"/>
  <c r="BD48" i="19"/>
  <c r="C34" i="221"/>
  <c r="P48" i="19"/>
  <c r="G48" i="2"/>
  <c r="J50"/>
  <c r="T25" i="58"/>
  <c r="C11" i="207"/>
  <c r="DF20" i="58"/>
  <c r="L6" i="207"/>
  <c r="CB24" i="58"/>
  <c r="I10" i="207"/>
  <c r="CB22" i="58"/>
  <c r="I8" i="207"/>
  <c r="BR21" i="58"/>
  <c r="H7" i="207"/>
  <c r="AD27" i="58"/>
  <c r="D13" i="207"/>
  <c r="CB26" i="58"/>
  <c r="I12" i="207"/>
  <c r="Z17" i="16"/>
  <c r="AA17" s="1"/>
  <c r="AB17" s="1"/>
  <c r="BM17" i="19" s="1"/>
  <c r="Y16" i="16"/>
  <c r="C4" i="4"/>
  <c r="V12" i="16"/>
  <c r="W12" s="1"/>
  <c r="X12" s="1"/>
  <c r="BC12" i="19" s="1"/>
  <c r="U11" i="16"/>
  <c r="D5" i="220"/>
  <c r="Y19" i="19"/>
  <c r="F20" i="28"/>
  <c r="F19" i="26"/>
  <c r="S39" i="79"/>
  <c r="E39" s="1"/>
  <c r="E38"/>
  <c r="G11" i="78"/>
  <c r="F12"/>
  <c r="H16" i="26"/>
  <c r="H17" i="28"/>
  <c r="F67" i="19"/>
  <c r="F41" i="133"/>
  <c r="DF25" i="58"/>
  <c r="L11" i="207"/>
  <c r="M16" i="16"/>
  <c r="N17"/>
  <c r="O17" s="1"/>
  <c r="P17" s="1"/>
  <c r="AI17" i="19" s="1"/>
  <c r="L29" i="72"/>
  <c r="D18" i="215" s="1"/>
  <c r="F32" i="6"/>
  <c r="G32" s="1"/>
  <c r="Y32" i="58" s="1"/>
  <c r="AB32" s="1"/>
  <c r="AH43" i="19"/>
  <c r="E29" i="219"/>
  <c r="BV43" i="19"/>
  <c r="I29" i="219"/>
  <c r="D16" i="26"/>
  <c r="D17" i="28"/>
  <c r="C12" i="16"/>
  <c r="D12" s="1"/>
  <c r="E12" i="19" s="1"/>
  <c r="E12" i="15"/>
  <c r="F12" s="1"/>
  <c r="G12" s="1"/>
  <c r="D12" i="19" s="1"/>
  <c r="D12" i="10"/>
  <c r="C11"/>
  <c r="B20" i="28"/>
  <c r="B19" i="26"/>
  <c r="P35" i="58"/>
  <c r="C21" i="216"/>
  <c r="CR35" i="58"/>
  <c r="K21" i="216"/>
  <c r="CB25" i="58"/>
  <c r="I11" i="207"/>
  <c r="BR26" i="58"/>
  <c r="H12" i="207"/>
  <c r="AN21" i="58"/>
  <c r="E7" i="207"/>
  <c r="C42" i="215"/>
  <c r="C37"/>
  <c r="AA11" i="10"/>
  <c r="U12" i="15"/>
  <c r="AB12" i="10"/>
  <c r="BI48" i="2"/>
  <c r="BL50"/>
  <c r="BE48"/>
  <c r="BK48"/>
  <c r="K47" i="207"/>
  <c r="K37"/>
  <c r="AN27" i="58"/>
  <c r="E13" i="207"/>
  <c r="AE21" i="64"/>
  <c r="AF21" s="1"/>
  <c r="AG21" s="1"/>
  <c r="I9" i="227"/>
  <c r="S21" i="64"/>
  <c r="T21" s="1"/>
  <c r="U21" s="1"/>
  <c r="F9" i="227"/>
  <c r="G43" i="228"/>
  <c r="G38"/>
  <c r="F43"/>
  <c r="F38"/>
  <c r="E43"/>
  <c r="E38"/>
  <c r="K44" i="221"/>
  <c r="K39"/>
  <c r="E44" i="228"/>
  <c r="E39"/>
  <c r="J44"/>
  <c r="J39"/>
  <c r="G39"/>
  <c r="G44"/>
  <c r="AX32" i="58"/>
  <c r="F18" i="207"/>
  <c r="CB19" i="58"/>
  <c r="I5" i="207"/>
  <c r="G34" i="228"/>
  <c r="M53" i="33"/>
  <c r="Y46" i="19"/>
  <c r="D32" i="220"/>
  <c r="AK46" i="19"/>
  <c r="E32" i="210"/>
  <c r="I34" i="221"/>
  <c r="BX48" i="19"/>
  <c r="T30" i="58"/>
  <c r="C16" i="207"/>
  <c r="CV30" i="58"/>
  <c r="K16" i="207"/>
  <c r="CL21" i="58"/>
  <c r="J7" i="207"/>
  <c r="AX30" i="58"/>
  <c r="F16" i="207"/>
  <c r="AX20" i="58"/>
  <c r="F6" i="207"/>
  <c r="H5" i="220"/>
  <c r="BM19" i="19"/>
  <c r="AR40"/>
  <c r="F26" i="219"/>
  <c r="AG25" i="29"/>
  <c r="AH25" s="1"/>
  <c r="F11" i="224"/>
  <c r="L22" i="133"/>
  <c r="L51"/>
  <c r="L49"/>
  <c r="L35"/>
  <c r="L32"/>
  <c r="L28"/>
  <c r="L24"/>
  <c r="L36"/>
  <c r="L25"/>
  <c r="L40"/>
  <c r="L43"/>
  <c r="L23"/>
  <c r="L37"/>
  <c r="L27"/>
  <c r="L33"/>
  <c r="L31"/>
  <c r="L39"/>
  <c r="L41"/>
  <c r="L44"/>
  <c r="L29"/>
  <c r="L45"/>
  <c r="L48"/>
  <c r="L47"/>
  <c r="L34"/>
  <c r="L26"/>
  <c r="L46"/>
  <c r="L38"/>
  <c r="L42"/>
  <c r="CL20" i="58"/>
  <c r="J6" i="207"/>
  <c r="F37" i="58"/>
  <c r="E39" i="124" s="1"/>
  <c r="K39" s="1"/>
  <c r="B23" i="216"/>
  <c r="J37" i="5"/>
  <c r="AH46" i="2"/>
  <c r="S43" i="37" s="1"/>
  <c r="AJ46" i="2"/>
  <c r="T43" i="37" s="1"/>
  <c r="AD46" i="2"/>
  <c r="Q43" i="37" s="1"/>
  <c r="CB23" i="58"/>
  <c r="I9" i="207"/>
  <c r="I19" i="26"/>
  <c r="I20" i="28"/>
  <c r="C5" i="220"/>
  <c r="H50" i="16"/>
  <c r="O19" i="19"/>
  <c r="O50" s="1"/>
  <c r="G18" i="26"/>
  <c r="G19" i="28"/>
  <c r="AD26" i="58"/>
  <c r="D12" i="207"/>
  <c r="J21" i="124"/>
  <c r="J50"/>
  <c r="J48"/>
  <c r="J46"/>
  <c r="J45"/>
  <c r="J47"/>
  <c r="J44"/>
  <c r="J38"/>
  <c r="J42"/>
  <c r="J22"/>
  <c r="J41"/>
  <c r="J39"/>
  <c r="J40"/>
  <c r="J28"/>
  <c r="J25"/>
  <c r="J34"/>
  <c r="J32"/>
  <c r="J24"/>
  <c r="J33"/>
  <c r="J30"/>
  <c r="J43"/>
  <c r="J23"/>
  <c r="J26"/>
  <c r="J31"/>
  <c r="J27"/>
  <c r="J37"/>
  <c r="J35"/>
  <c r="J36"/>
  <c r="BN35" i="58"/>
  <c r="H21" i="216"/>
  <c r="AJ35" i="58"/>
  <c r="E21" i="216"/>
  <c r="Y48" i="2"/>
  <c r="AB50"/>
  <c r="U48"/>
  <c r="AA48"/>
  <c r="D37" i="221"/>
  <c r="D42"/>
  <c r="S39" i="76"/>
  <c r="E39" s="1"/>
  <c r="E38"/>
  <c r="E37" i="221"/>
  <c r="E42"/>
  <c r="V13" i="6"/>
  <c r="W12"/>
  <c r="DA12" i="58" s="1"/>
  <c r="R17" i="16"/>
  <c r="S17" s="1"/>
  <c r="T17" s="1"/>
  <c r="AS17" i="19" s="1"/>
  <c r="Q16" i="16"/>
  <c r="B42" i="207"/>
  <c r="B37"/>
  <c r="B47"/>
  <c r="BO24" i="19"/>
  <c r="H10" i="210"/>
  <c r="AD22" i="58"/>
  <c r="D8" i="207"/>
  <c r="H32" i="58"/>
  <c r="B18" i="207" s="1"/>
  <c r="C34" i="124"/>
  <c r="I34" s="1"/>
  <c r="AQ21" i="64"/>
  <c r="AR21" s="1"/>
  <c r="AS21" s="1"/>
  <c r="L9" i="227"/>
  <c r="W21" i="64"/>
  <c r="X21" s="1"/>
  <c r="Y21" s="1"/>
  <c r="G9" i="227"/>
  <c r="G23" i="19"/>
  <c r="B9" i="210"/>
  <c r="H42" i="228"/>
  <c r="H37"/>
  <c r="G42"/>
  <c r="G37"/>
  <c r="T23" i="58"/>
  <c r="C9" i="207"/>
  <c r="J44" i="221"/>
  <c r="J39"/>
  <c r="L44"/>
  <c r="L39"/>
  <c r="E44"/>
  <c r="E39"/>
  <c r="C44" i="228"/>
  <c r="C39"/>
  <c r="K44"/>
  <c r="K39"/>
  <c r="H42" i="219"/>
  <c r="H37"/>
  <c r="G37"/>
  <c r="G42"/>
  <c r="L44" i="228"/>
  <c r="L39"/>
  <c r="D42" i="219"/>
  <c r="D37"/>
  <c r="H43" i="228"/>
  <c r="H38"/>
  <c r="AN19" i="58"/>
  <c r="E5" i="207"/>
  <c r="E34" i="228"/>
  <c r="I53" i="33"/>
  <c r="I34" i="228"/>
  <c r="Q53" i="33"/>
  <c r="BM46" i="19"/>
  <c r="H32" i="220"/>
  <c r="CG46" i="19"/>
  <c r="J32" i="220"/>
  <c r="Q46" i="19"/>
  <c r="C32" i="210"/>
  <c r="BE46" i="19"/>
  <c r="G32" i="210"/>
  <c r="DC46" i="19"/>
  <c r="L32" i="210"/>
  <c r="L34" i="221"/>
  <c r="DB48" i="19"/>
  <c r="J34" i="221"/>
  <c r="CH48" i="19"/>
  <c r="AN24" i="58"/>
  <c r="E10" i="207"/>
  <c r="BH20" i="58"/>
  <c r="G6" i="207"/>
  <c r="AD24" i="58"/>
  <c r="D10" i="207"/>
  <c r="BH28" i="58"/>
  <c r="G14" i="207"/>
  <c r="BH21" i="58"/>
  <c r="G7" i="207"/>
  <c r="R13" i="6"/>
  <c r="S12"/>
  <c r="CG12" i="58" s="1"/>
  <c r="AG13" i="15"/>
  <c r="AH13" s="1"/>
  <c r="AI13" s="1"/>
  <c r="BV13" i="19" s="1"/>
  <c r="AS12" i="10"/>
  <c r="AT13"/>
  <c r="G11" i="6"/>
  <c r="Y11" i="58" s="1"/>
  <c r="F12" i="6"/>
  <c r="Q11" i="15"/>
  <c r="U10" i="10"/>
  <c r="AY11"/>
  <c r="AK12" i="15"/>
  <c r="AZ12" i="10"/>
  <c r="BI25" i="29"/>
  <c r="BJ25" s="1"/>
  <c r="J11" i="224"/>
  <c r="BW23" i="29"/>
  <c r="BX23" s="1"/>
  <c r="L9" i="224"/>
  <c r="BE24" i="19"/>
  <c r="G10" i="210"/>
  <c r="DF28" i="58"/>
  <c r="L14" i="207"/>
  <c r="BR20" i="58"/>
  <c r="H6" i="207"/>
  <c r="C39" i="12"/>
  <c r="H42" i="15"/>
  <c r="J42" s="1"/>
  <c r="K42" s="1"/>
  <c r="L24" i="29"/>
  <c r="M24" s="1"/>
  <c r="C10" i="224"/>
  <c r="F47" i="207"/>
  <c r="F37"/>
  <c r="F42"/>
  <c r="CV28" i="58"/>
  <c r="K14" i="207"/>
  <c r="BH30" i="58"/>
  <c r="G16" i="207"/>
  <c r="T26" i="58"/>
  <c r="C12" i="207"/>
  <c r="AC16" i="16"/>
  <c r="AD17"/>
  <c r="AE17" s="1"/>
  <c r="AF17" s="1"/>
  <c r="BW17" i="19" s="1"/>
  <c r="F30" i="77"/>
  <c r="H30" s="1"/>
  <c r="I30" s="1"/>
  <c r="G31"/>
  <c r="AO15" i="16"/>
  <c r="AP16"/>
  <c r="AQ16" s="1"/>
  <c r="AR16" s="1"/>
  <c r="DA16" i="19" s="1"/>
  <c r="O19" i="16"/>
  <c r="N50"/>
  <c r="AE50" i="2"/>
  <c r="AK48"/>
  <c r="AF48" s="1"/>
  <c r="F30" i="72"/>
  <c r="H30" s="1"/>
  <c r="I30" s="1"/>
  <c r="G31"/>
  <c r="J41" i="217"/>
  <c r="J36"/>
  <c r="BR30" i="58"/>
  <c r="H16" i="207"/>
  <c r="AD20" i="58"/>
  <c r="D6" i="207"/>
  <c r="BR31" i="58"/>
  <c r="H17" i="207"/>
  <c r="CB29" i="58"/>
  <c r="I15" i="207"/>
  <c r="K18" i="26"/>
  <c r="K19" i="28"/>
  <c r="BB43" i="19"/>
  <c r="G29" i="219"/>
  <c r="E38" i="80"/>
  <c r="S39"/>
  <c r="E39" s="1"/>
  <c r="Z25" i="29"/>
  <c r="AA25" s="1"/>
  <c r="E11" i="224"/>
  <c r="BE9" i="10"/>
  <c r="AO10" i="15"/>
  <c r="AM12" i="10"/>
  <c r="AC13" i="15"/>
  <c r="AD13" s="1"/>
  <c r="AE13" s="1"/>
  <c r="BL13" i="19" s="1"/>
  <c r="AN13" i="10"/>
  <c r="BY24" i="19"/>
  <c r="I10" i="210"/>
  <c r="CS24" i="19"/>
  <c r="K10" i="210"/>
  <c r="D29" i="6"/>
  <c r="E29" s="1"/>
  <c r="O29" i="58" s="1"/>
  <c r="R29" s="1"/>
  <c r="L26" i="71"/>
  <c r="C15" i="215" s="1"/>
  <c r="CH35" i="58"/>
  <c r="J21" i="216"/>
  <c r="AT35" i="58"/>
  <c r="F21" i="216"/>
  <c r="E46" i="14"/>
  <c r="G45"/>
  <c r="AQ50" i="16"/>
  <c r="AR19"/>
  <c r="BT45" i="2"/>
  <c r="AN42" i="37" s="1"/>
  <c r="BN45" i="2"/>
  <c r="AK42" i="37" s="1"/>
  <c r="BR45" i="2"/>
  <c r="AM42" i="37" s="1"/>
  <c r="F30" i="71"/>
  <c r="H30" s="1"/>
  <c r="I30" s="1"/>
  <c r="G31"/>
  <c r="AL12" i="16"/>
  <c r="AM12" s="1"/>
  <c r="AN12" s="1"/>
  <c r="CQ12" i="19" s="1"/>
  <c r="AK11" i="16"/>
  <c r="S39" i="72"/>
  <c r="E39" s="1"/>
  <c r="E38"/>
  <c r="K4" i="4"/>
  <c r="F10" i="72"/>
  <c r="G9"/>
  <c r="BR24" i="58"/>
  <c r="H10" i="207"/>
  <c r="Q24" i="19"/>
  <c r="C10" i="210"/>
  <c r="BH26" i="58"/>
  <c r="G12" i="207"/>
  <c r="F17"/>
  <c r="AX31" i="58"/>
  <c r="N12" i="15"/>
  <c r="O12" s="1"/>
  <c r="X12" i="19" s="1"/>
  <c r="V12" i="15"/>
  <c r="W12" s="1"/>
  <c r="AR12" i="19" s="1"/>
  <c r="Y41" i="21"/>
  <c r="R43" i="22" s="1"/>
  <c r="E30" i="21"/>
  <c r="C32" i="22" s="1"/>
  <c r="U18" i="21"/>
  <c r="O20" i="22" s="1"/>
  <c r="AO12" i="21"/>
  <c r="AD13" i="22" s="1"/>
  <c r="Q28" i="21"/>
  <c r="L30" i="22" s="1"/>
  <c r="AS39" i="21"/>
  <c r="AG41" i="22" s="1"/>
  <c r="E48" i="2"/>
  <c r="ED9" i="18"/>
  <c r="EF9" s="1"/>
  <c r="EG9" s="1"/>
  <c r="BX10" i="19" s="1"/>
  <c r="BG48" i="2"/>
  <c r="B44" i="221"/>
  <c r="AD16" i="5"/>
  <c r="DB16" i="58" s="1"/>
  <c r="R16" i="5"/>
  <c r="AT16" i="58" s="1"/>
  <c r="AL12" i="15"/>
  <c r="AM12" s="1"/>
  <c r="CF12" i="19" s="1"/>
  <c r="AK38" i="21"/>
  <c r="AA40" i="22" s="1"/>
  <c r="AS32" i="21"/>
  <c r="AG34" i="22" s="1"/>
  <c r="I27" i="21"/>
  <c r="F29" i="22" s="1"/>
  <c r="Q21" i="21"/>
  <c r="L23" i="22" s="1"/>
  <c r="Y15" i="21"/>
  <c r="R16" i="22" s="1"/>
  <c r="AO8" i="21"/>
  <c r="AD9" i="22" s="1"/>
  <c r="U43" i="21"/>
  <c r="O45" i="22" s="1"/>
  <c r="AG18" i="21"/>
  <c r="X20" i="22" s="1"/>
  <c r="U25" i="21"/>
  <c r="O27" i="22" s="1"/>
  <c r="M31" i="21"/>
  <c r="I33" i="22" s="1"/>
  <c r="E37" i="21"/>
  <c r="C39" i="22" s="1"/>
  <c r="AC43" i="21"/>
  <c r="U45" i="22" s="1"/>
  <c r="M19" i="21"/>
  <c r="I21" i="22" s="1"/>
  <c r="E38" i="221"/>
  <c r="BZ31" i="58"/>
  <c r="CV7" i="18"/>
  <c r="CX7" s="1"/>
  <c r="CY7" s="1"/>
  <c r="BD8" i="19" s="1"/>
  <c r="FL7" i="18"/>
  <c r="FN7" s="1"/>
  <c r="FO7" s="1"/>
  <c r="CR8" i="19" s="1"/>
  <c r="L9" i="3"/>
  <c r="M9" s="1"/>
  <c r="J8"/>
  <c r="L8" s="1"/>
  <c r="M8" s="1"/>
  <c r="AP8"/>
  <c r="AR8" s="1"/>
  <c r="AS8" s="1"/>
  <c r="AR9"/>
  <c r="AS9" s="1"/>
  <c r="F21" i="124"/>
  <c r="L22" s="1"/>
  <c r="B21" i="122"/>
  <c r="J32" i="58"/>
  <c r="F34" i="124"/>
  <c r="Z8" i="3"/>
  <c r="AB8" s="1"/>
  <c r="AC8" s="1"/>
  <c r="AB9"/>
  <c r="AC9" s="1"/>
  <c r="L27" i="124"/>
  <c r="L32"/>
  <c r="L29"/>
  <c r="AX46" i="21"/>
  <c r="AX50" s="1"/>
  <c r="BB46"/>
  <c r="BB50" s="1"/>
  <c r="BF46"/>
  <c r="BF50" s="1"/>
  <c r="BJ46"/>
  <c r="BJ50" s="1"/>
  <c r="BN46"/>
  <c r="BR46"/>
  <c r="BV46"/>
  <c r="BZ46"/>
  <c r="CD46"/>
  <c r="CH46"/>
  <c r="CL46"/>
  <c r="CL45"/>
  <c r="CH45"/>
  <c r="CD45"/>
  <c r="BZ45"/>
  <c r="BV45"/>
  <c r="BR45"/>
  <c r="BN45"/>
  <c r="BJ45"/>
  <c r="BF45"/>
  <c r="BB45"/>
  <c r="AX45"/>
  <c r="CL44"/>
  <c r="CH44"/>
  <c r="CD44"/>
  <c r="BZ44"/>
  <c r="BV44"/>
  <c r="BR44"/>
  <c r="BN44"/>
  <c r="BJ44"/>
  <c r="BF44"/>
  <c r="BB44"/>
  <c r="AX44"/>
  <c r="CL43"/>
  <c r="CH43"/>
  <c r="CD43"/>
  <c r="BZ43"/>
  <c r="BV43"/>
  <c r="BR43"/>
  <c r="BN43"/>
  <c r="BJ43"/>
  <c r="BF43"/>
  <c r="BB43"/>
  <c r="AX43"/>
  <c r="CL42"/>
  <c r="CH42"/>
  <c r="CD42"/>
  <c r="BZ42"/>
  <c r="BV42"/>
  <c r="BR42"/>
  <c r="BN42"/>
  <c r="BJ42"/>
  <c r="BF42"/>
  <c r="BB42"/>
  <c r="AX42"/>
  <c r="CL41"/>
  <c r="CH41"/>
  <c r="CD41"/>
  <c r="BZ41"/>
  <c r="BV41"/>
  <c r="BR41"/>
  <c r="BN41"/>
  <c r="BJ41"/>
  <c r="BF41"/>
  <c r="BB41"/>
  <c r="AX41"/>
  <c r="CL40"/>
  <c r="CH40"/>
  <c r="CD40"/>
  <c r="BZ40"/>
  <c r="BV40"/>
  <c r="BR40"/>
  <c r="BN40"/>
  <c r="BJ40"/>
  <c r="BF40"/>
  <c r="BB40"/>
  <c r="AX40"/>
  <c r="CL39"/>
  <c r="CH39"/>
  <c r="CD39"/>
  <c r="BZ39"/>
  <c r="BV39"/>
  <c r="BR39"/>
  <c r="BN39"/>
  <c r="CL38"/>
  <c r="CH38"/>
  <c r="CD38"/>
  <c r="BZ38"/>
  <c r="BV38"/>
  <c r="BR38"/>
  <c r="BN38"/>
  <c r="CL37"/>
  <c r="CH37"/>
  <c r="CD37"/>
  <c r="BZ37"/>
  <c r="BV37"/>
  <c r="BR37"/>
  <c r="BN37"/>
  <c r="CL36"/>
  <c r="CH36"/>
  <c r="CD36"/>
  <c r="BZ36"/>
  <c r="BV36"/>
  <c r="BR36"/>
  <c r="BN36"/>
  <c r="CL35"/>
  <c r="CH35"/>
  <c r="CD35"/>
  <c r="BZ35"/>
  <c r="BV35"/>
  <c r="BR35"/>
  <c r="BN35"/>
  <c r="CL34"/>
  <c r="CH34"/>
  <c r="CD34"/>
  <c r="BZ34"/>
  <c r="BV34"/>
  <c r="BR34"/>
  <c r="BN34"/>
  <c r="CL33"/>
  <c r="CH33"/>
  <c r="CD33"/>
  <c r="BZ33"/>
  <c r="BV33"/>
  <c r="BR33"/>
  <c r="BN33"/>
  <c r="CL32"/>
  <c r="CH32"/>
  <c r="CD32"/>
  <c r="BZ32"/>
  <c r="BV32"/>
  <c r="BR32"/>
  <c r="BN32"/>
  <c r="CL31"/>
  <c r="CH31"/>
  <c r="CD31"/>
  <c r="BZ31"/>
  <c r="BV31"/>
  <c r="BR31"/>
  <c r="BN31"/>
  <c r="CL30"/>
  <c r="CH30"/>
  <c r="CD30"/>
  <c r="BZ30"/>
  <c r="BV30"/>
  <c r="BR30"/>
  <c r="BN30"/>
  <c r="CL29"/>
  <c r="CH29"/>
  <c r="CD29"/>
  <c r="BZ29"/>
  <c r="BV29"/>
  <c r="BR29"/>
  <c r="BN29"/>
  <c r="CL28"/>
  <c r="CH28"/>
  <c r="CD28"/>
  <c r="BZ28"/>
  <c r="BV28"/>
  <c r="BR28"/>
  <c r="BN28"/>
  <c r="CL27"/>
  <c r="CH27"/>
  <c r="CD27"/>
  <c r="BZ27"/>
  <c r="BV27"/>
  <c r="BR27"/>
  <c r="BN27"/>
  <c r="CL26"/>
  <c r="CH26"/>
  <c r="CD26"/>
  <c r="BZ26"/>
  <c r="BV26"/>
  <c r="BR26"/>
  <c r="BN26"/>
  <c r="CL25"/>
  <c r="CH25"/>
  <c r="CD25"/>
  <c r="BZ25"/>
  <c r="BV25"/>
  <c r="BR25"/>
  <c r="BN25"/>
  <c r="CL24"/>
  <c r="CH24"/>
  <c r="CD24"/>
  <c r="BZ24"/>
  <c r="BV24"/>
  <c r="BR24"/>
  <c r="BN24"/>
  <c r="CL23"/>
  <c r="CH23"/>
  <c r="CD23"/>
  <c r="BZ23"/>
  <c r="BV23"/>
  <c r="BR23"/>
  <c r="BN23"/>
  <c r="CL22"/>
  <c r="CH22"/>
  <c r="CD22"/>
  <c r="BZ22"/>
  <c r="BV22"/>
  <c r="BR22"/>
  <c r="BN22"/>
  <c r="CL21"/>
  <c r="CH21"/>
  <c r="CD21"/>
  <c r="BZ21"/>
  <c r="BV21"/>
  <c r="BR21"/>
  <c r="BN21"/>
  <c r="CL20"/>
  <c r="CH20"/>
  <c r="CD20"/>
  <c r="BZ20"/>
  <c r="BV20"/>
  <c r="BR20"/>
  <c r="BN20"/>
  <c r="CL19"/>
  <c r="CH19"/>
  <c r="CD19"/>
  <c r="BZ19"/>
  <c r="BV19"/>
  <c r="BR19"/>
  <c r="BN19"/>
  <c r="CL18"/>
  <c r="CH18"/>
  <c r="CD18"/>
  <c r="BZ18"/>
  <c r="BV18"/>
  <c r="BR18"/>
  <c r="BN18"/>
  <c r="CL17"/>
  <c r="CH17"/>
  <c r="CD17"/>
  <c r="BZ17"/>
  <c r="BV17"/>
  <c r="BR17"/>
  <c r="BN17"/>
  <c r="CL16"/>
  <c r="CH16"/>
  <c r="CD16"/>
  <c r="BZ16"/>
  <c r="BV16"/>
  <c r="BR16"/>
  <c r="BN16"/>
  <c r="CL15"/>
  <c r="CH15"/>
  <c r="CD15"/>
  <c r="BZ15"/>
  <c r="BV15"/>
  <c r="BR15"/>
  <c r="BN15"/>
  <c r="CL14"/>
  <c r="CH14"/>
  <c r="CD14"/>
  <c r="BZ14"/>
  <c r="BV14"/>
  <c r="BR14"/>
  <c r="BN14"/>
  <c r="CL13"/>
  <c r="CH13"/>
  <c r="CD13"/>
  <c r="BZ13"/>
  <c r="BV13"/>
  <c r="BR13"/>
  <c r="BN13"/>
  <c r="CL12"/>
  <c r="CH12"/>
  <c r="CD12"/>
  <c r="BZ12"/>
  <c r="BV12"/>
  <c r="BR12"/>
  <c r="BN12"/>
  <c r="CL11"/>
  <c r="CH11"/>
  <c r="CD11"/>
  <c r="BZ11"/>
  <c r="BV11"/>
  <c r="BR11"/>
  <c r="BN11"/>
  <c r="CL10"/>
  <c r="CH10"/>
  <c r="CD10"/>
  <c r="BZ10"/>
  <c r="BV10"/>
  <c r="BR10"/>
  <c r="BN10"/>
  <c r="CL9"/>
  <c r="CH9"/>
  <c r="CD9"/>
  <c r="BZ9"/>
  <c r="BV9"/>
  <c r="BR9"/>
  <c r="BN9"/>
  <c r="CL8"/>
  <c r="CH8"/>
  <c r="CD8"/>
  <c r="BZ8"/>
  <c r="BV8"/>
  <c r="BR8"/>
  <c r="BN8"/>
  <c r="CL7"/>
  <c r="CH7"/>
  <c r="CD7"/>
  <c r="BZ7"/>
  <c r="BV7"/>
  <c r="BR7"/>
  <c r="BN7"/>
  <c r="BJ7"/>
  <c r="I48" i="2"/>
  <c r="C48"/>
  <c r="E46" i="21"/>
  <c r="C48" i="22" s="1"/>
  <c r="I46" i="21"/>
  <c r="F48" i="22" s="1"/>
  <c r="M46" i="21"/>
  <c r="I48" i="22" s="1"/>
  <c r="Q46" i="21"/>
  <c r="L48" i="22" s="1"/>
  <c r="U46" i="21"/>
  <c r="O48" i="22" s="1"/>
  <c r="Y46" i="21"/>
  <c r="R48" i="22" s="1"/>
  <c r="AC46" i="21"/>
  <c r="U48" i="22" s="1"/>
  <c r="AG46" i="21"/>
  <c r="X48" i="22" s="1"/>
  <c r="AK46" i="21"/>
  <c r="AA48" i="22" s="1"/>
  <c r="AO46" i="21"/>
  <c r="AD48" i="22" s="1"/>
  <c r="AS46" i="21"/>
  <c r="AG48" i="22" s="1"/>
  <c r="L46" i="12"/>
  <c r="H50" i="37"/>
  <c r="H47"/>
  <c r="J50"/>
  <c r="J47"/>
  <c r="I50"/>
  <c r="I47"/>
  <c r="G50"/>
  <c r="G47"/>
  <c r="M50"/>
  <c r="M47"/>
  <c r="X50"/>
  <c r="X47"/>
  <c r="W50"/>
  <c r="W47"/>
  <c r="Y50"/>
  <c r="Y47"/>
  <c r="AC50"/>
  <c r="AC47"/>
  <c r="AB50"/>
  <c r="AB47"/>
  <c r="AD50"/>
  <c r="AD47"/>
  <c r="AA50"/>
  <c r="AA47"/>
  <c r="AR50"/>
  <c r="AR47"/>
  <c r="AS50"/>
  <c r="AS47"/>
  <c r="AQ50"/>
  <c r="AQ47"/>
  <c r="AP50"/>
  <c r="AP47"/>
  <c r="AX50"/>
  <c r="AX47"/>
  <c r="AV50"/>
  <c r="AV47"/>
  <c r="AW50"/>
  <c r="AW47"/>
  <c r="BA50"/>
  <c r="BA47"/>
  <c r="BC50"/>
  <c r="BC47"/>
  <c r="BB50"/>
  <c r="BB47"/>
  <c r="AZ50"/>
  <c r="AZ47"/>
  <c r="AX47" i="13"/>
  <c r="AX48" s="1"/>
  <c r="BA46"/>
  <c r="Y50" i="16"/>
  <c r="Z48"/>
  <c r="I50"/>
  <c r="J48"/>
  <c r="AG50"/>
  <c r="AH48"/>
  <c r="Q50"/>
  <c r="R48"/>
  <c r="BI14" i="1"/>
  <c r="BG13"/>
  <c r="CN15" i="58"/>
  <c r="AA15" i="5"/>
  <c r="AS13" i="7"/>
  <c r="AW14"/>
  <c r="AX14" s="1"/>
  <c r="BL14" i="58" s="1"/>
  <c r="AE13" i="7"/>
  <c r="AI14"/>
  <c r="AJ14" s="1"/>
  <c r="AR14" i="58" s="1"/>
  <c r="Q13" i="7"/>
  <c r="U14"/>
  <c r="V14" s="1"/>
  <c r="X14" i="58" s="1"/>
  <c r="AW14" i="1"/>
  <c r="AU13"/>
  <c r="BT15" i="58"/>
  <c r="W15" i="5"/>
  <c r="AK14" i="1"/>
  <c r="AI13"/>
  <c r="AZ15" i="58"/>
  <c r="S15" i="5"/>
  <c r="CD50" i="19"/>
  <c r="C50" i="33"/>
  <c r="E50"/>
  <c r="G50"/>
  <c r="I50"/>
  <c r="K50"/>
  <c r="M50"/>
  <c r="O50"/>
  <c r="Q50"/>
  <c r="S50"/>
  <c r="U50"/>
  <c r="W50"/>
  <c r="GF49" i="18"/>
  <c r="FO49"/>
  <c r="EX49"/>
  <c r="EG49"/>
  <c r="DP49"/>
  <c r="CY49"/>
  <c r="CH49"/>
  <c r="BQ49"/>
  <c r="AZ49"/>
  <c r="AI49"/>
  <c r="R49"/>
  <c r="AC47" i="16"/>
  <c r="AC48" s="1"/>
  <c r="AD46"/>
  <c r="AE46" s="1"/>
  <c r="AF46" s="1"/>
  <c r="U47"/>
  <c r="U48" s="1"/>
  <c r="V46"/>
  <c r="W46" s="1"/>
  <c r="X46" s="1"/>
  <c r="C52" i="29"/>
  <c r="J52"/>
  <c r="Q52"/>
  <c r="X52"/>
  <c r="AE52"/>
  <c r="AL52"/>
  <c r="AS52"/>
  <c r="AZ52"/>
  <c r="BG52"/>
  <c r="BN52"/>
  <c r="BU52"/>
  <c r="BF46" i="13"/>
  <c r="BE47"/>
  <c r="BE48" s="1"/>
  <c r="G55" i="35"/>
  <c r="I45" i="21"/>
  <c r="Q45"/>
  <c r="Y45"/>
  <c r="AG45"/>
  <c r="AO45"/>
  <c r="G54" i="35"/>
  <c r="DF19" i="58"/>
  <c r="E45" i="21"/>
  <c r="M45"/>
  <c r="U45"/>
  <c r="AC45"/>
  <c r="AK45"/>
  <c r="AS45"/>
  <c r="BU13" i="7"/>
  <c r="BY14"/>
  <c r="BZ14" s="1"/>
  <c r="CZ14" i="58" s="1"/>
  <c r="BG13" i="7"/>
  <c r="BK14"/>
  <c r="BL14" s="1"/>
  <c r="CF14" i="58" s="1"/>
  <c r="AA45" i="13"/>
  <c r="Z46"/>
  <c r="V45"/>
  <c r="AU45"/>
  <c r="AS46"/>
  <c r="AS45" i="64"/>
  <c r="AK45"/>
  <c r="AG45"/>
  <c r="AC45"/>
  <c r="Y45"/>
  <c r="U45"/>
  <c r="Q45"/>
  <c r="M45"/>
  <c r="H45"/>
  <c r="P19" i="19"/>
  <c r="F19"/>
  <c r="G9" i="73"/>
  <c r="F10"/>
  <c r="DB19" i="19"/>
  <c r="BN19"/>
  <c r="Z19"/>
  <c r="BX19"/>
  <c r="AJ19"/>
  <c r="CH19"/>
  <c r="AT19"/>
  <c r="CR19"/>
  <c r="BD19"/>
  <c r="N15" i="6"/>
  <c r="O14"/>
  <c r="BM14" i="58" s="1"/>
  <c r="B43" i="5"/>
  <c r="BJ14" i="58"/>
  <c r="U14" i="5"/>
  <c r="B15" i="58"/>
  <c r="I15" i="5"/>
  <c r="J15" s="1"/>
  <c r="V15" s="1"/>
  <c r="BN15" i="58" s="1"/>
  <c r="AQ13" i="1"/>
  <c r="AO12"/>
  <c r="Z16" i="5"/>
  <c r="CH16" i="58" s="1"/>
  <c r="X16" i="5"/>
  <c r="BX16" i="58" s="1"/>
  <c r="V16" i="5"/>
  <c r="BN16" i="58" s="1"/>
  <c r="T16" i="5"/>
  <c r="BD16" i="58" s="1"/>
  <c r="AB16" i="5"/>
  <c r="CR16" i="58" s="1"/>
  <c r="G14" i="1"/>
  <c r="E13"/>
  <c r="AD19" i="58"/>
  <c r="AX19"/>
  <c r="V10" i="3"/>
  <c r="X11"/>
  <c r="Y11" s="1"/>
  <c r="BR19" i="58"/>
  <c r="CL19"/>
  <c r="AF15"/>
  <c r="O15" i="5"/>
  <c r="L15" i="58"/>
  <c r="K15" i="5"/>
  <c r="Y14" i="1"/>
  <c r="W13"/>
  <c r="M14"/>
  <c r="K13"/>
  <c r="AS40" i="21"/>
  <c r="AG42" i="22" s="1"/>
  <c r="Y39" i="21"/>
  <c r="R41" i="22" s="1"/>
  <c r="E38" i="21"/>
  <c r="C40" i="22" s="1"/>
  <c r="AC36" i="21"/>
  <c r="U38" i="22" s="1"/>
  <c r="I35" i="21"/>
  <c r="F37" i="22" s="1"/>
  <c r="AG33" i="21"/>
  <c r="X35" i="22" s="1"/>
  <c r="M32" i="21"/>
  <c r="I34" i="22" s="1"/>
  <c r="AK30" i="21"/>
  <c r="AA32" i="22" s="1"/>
  <c r="Q29" i="21"/>
  <c r="L31" i="22" s="1"/>
  <c r="AO27" i="21"/>
  <c r="AD29" i="22" s="1"/>
  <c r="U26" i="21"/>
  <c r="O28" i="22" s="1"/>
  <c r="AS24" i="21"/>
  <c r="AG26" i="22" s="1"/>
  <c r="Y23" i="21"/>
  <c r="R25" i="22" s="1"/>
  <c r="E22" i="21"/>
  <c r="C24" i="22" s="1"/>
  <c r="AC20" i="21"/>
  <c r="U22" i="22" s="1"/>
  <c r="I19" i="21"/>
  <c r="F21" i="22" s="1"/>
  <c r="AG17" i="21"/>
  <c r="M16"/>
  <c r="I17" i="22" s="1"/>
  <c r="AK14" i="21"/>
  <c r="AA15" i="22" s="1"/>
  <c r="Q13" i="21"/>
  <c r="L14" i="22" s="1"/>
  <c r="AO11" i="21"/>
  <c r="AD12" i="22" s="1"/>
  <c r="AS7" i="21"/>
  <c r="AG8" i="22" s="1"/>
  <c r="Q10" i="21"/>
  <c r="L11" i="22" s="1"/>
  <c r="AG43" i="21"/>
  <c r="X45" i="22" s="1"/>
  <c r="M10" i="21"/>
  <c r="I11" i="22" s="1"/>
  <c r="AK10" i="21"/>
  <c r="AA11" i="22" s="1"/>
  <c r="M11" i="21"/>
  <c r="I12" i="22" s="1"/>
  <c r="U11" i="21"/>
  <c r="O12" i="22" s="1"/>
  <c r="Q14" i="21"/>
  <c r="L15" i="22" s="1"/>
  <c r="M17" i="21"/>
  <c r="AS19"/>
  <c r="AG21" i="22" s="1"/>
  <c r="AC21" i="21"/>
  <c r="U23" i="22" s="1"/>
  <c r="E23" i="21"/>
  <c r="C25" i="22" s="1"/>
  <c r="Y24" i="21"/>
  <c r="R26" i="22" s="1"/>
  <c r="I26" i="21"/>
  <c r="F28" i="22" s="1"/>
  <c r="AC27" i="21"/>
  <c r="U29" i="22" s="1"/>
  <c r="E29" i="21"/>
  <c r="C31" i="22" s="1"/>
  <c r="Y30" i="21"/>
  <c r="R32" i="22" s="1"/>
  <c r="AS31" i="21"/>
  <c r="AG33" i="22" s="1"/>
  <c r="U33" i="21"/>
  <c r="O35" i="22" s="1"/>
  <c r="AO34" i="21"/>
  <c r="AD36" i="22" s="1"/>
  <c r="Q36" i="21"/>
  <c r="L38" i="22" s="1"/>
  <c r="AK37" i="21"/>
  <c r="AA39" i="22" s="1"/>
  <c r="M39" i="21"/>
  <c r="I41" i="22" s="1"/>
  <c r="AG40" i="21"/>
  <c r="X42" i="22" s="1"/>
  <c r="U10" i="21"/>
  <c r="O11" i="22" s="1"/>
  <c r="I10" i="21"/>
  <c r="F11" i="22" s="1"/>
  <c r="AS11" i="21"/>
  <c r="AG12" i="22" s="1"/>
  <c r="AO14" i="21"/>
  <c r="AD15" i="22" s="1"/>
  <c r="AK17" i="21"/>
  <c r="AA19" i="22" s="1"/>
  <c r="AA50" s="1"/>
  <c r="U42" i="21"/>
  <c r="O44" i="22" s="1"/>
  <c r="CH46" i="19"/>
  <c r="BD46"/>
  <c r="BN46"/>
  <c r="DB46"/>
  <c r="P46"/>
  <c r="CR46"/>
  <c r="BX46"/>
  <c r="AJ46"/>
  <c r="AT46"/>
  <c r="X19"/>
  <c r="D21" i="130" s="1"/>
  <c r="J19" i="58"/>
  <c r="Z46" i="19"/>
  <c r="CZ19"/>
  <c r="L21" i="130" s="1"/>
  <c r="BL19" i="19"/>
  <c r="H21" i="130" s="1"/>
  <c r="BV19" i="19"/>
  <c r="I21" i="130" s="1"/>
  <c r="AH19" i="19"/>
  <c r="E21" i="130" s="1"/>
  <c r="CP19" i="19"/>
  <c r="BB19"/>
  <c r="G21" i="130" s="1"/>
  <c r="N19" i="19"/>
  <c r="BN7" i="18"/>
  <c r="BP7" s="1"/>
  <c r="BQ7" s="1"/>
  <c r="AJ8" i="19" s="1"/>
  <c r="AS44" i="21"/>
  <c r="AO44"/>
  <c r="AK44"/>
  <c r="AG44"/>
  <c r="AC44"/>
  <c r="Y44"/>
  <c r="U44"/>
  <c r="Q44"/>
  <c r="X19" i="22"/>
  <c r="X50" s="1"/>
  <c r="M44" i="21"/>
  <c r="I44"/>
  <c r="I43"/>
  <c r="I42"/>
  <c r="E43"/>
  <c r="E44"/>
  <c r="M25"/>
  <c r="I27" i="22" s="1"/>
  <c r="AC19" i="21"/>
  <c r="U21" i="22" s="1"/>
  <c r="AO18" i="21"/>
  <c r="AD20" i="22" s="1"/>
  <c r="I18" i="21"/>
  <c r="F20" i="22" s="1"/>
  <c r="U17" i="21"/>
  <c r="AG16"/>
  <c r="X17" i="22" s="1"/>
  <c r="AS15" i="21"/>
  <c r="AG16" i="22" s="1"/>
  <c r="M15" i="21"/>
  <c r="I16" i="22" s="1"/>
  <c r="Y14" i="21"/>
  <c r="R15" i="22" s="1"/>
  <c r="AK13" i="21"/>
  <c r="AA14" i="22" s="1"/>
  <c r="E13" i="21"/>
  <c r="C14" i="22" s="1"/>
  <c r="Q12" i="21"/>
  <c r="L13" i="22" s="1"/>
  <c r="AC11" i="21"/>
  <c r="U12" i="22" s="1"/>
  <c r="Y7" i="21"/>
  <c r="R8" i="22" s="1"/>
  <c r="E8" i="21"/>
  <c r="C9" i="22" s="1"/>
  <c r="E9" i="21"/>
  <c r="C10" i="22" s="1"/>
  <c r="AO10" i="21"/>
  <c r="AD11" i="22" s="1"/>
  <c r="AS43" i="21"/>
  <c r="M43"/>
  <c r="AG9"/>
  <c r="X10" i="22" s="1"/>
  <c r="I11" i="21"/>
  <c r="F12" i="22" s="1"/>
  <c r="C44"/>
  <c r="M41" i="21"/>
  <c r="I43" i="22" s="1"/>
  <c r="AO40" i="21"/>
  <c r="AD42" i="22" s="1"/>
  <c r="Y40" i="21"/>
  <c r="R42" i="22" s="1"/>
  <c r="I40" i="21"/>
  <c r="F42" i="22" s="1"/>
  <c r="AK39" i="21"/>
  <c r="AA41" i="22" s="1"/>
  <c r="U39" i="21"/>
  <c r="O41" i="22" s="1"/>
  <c r="E39" i="21"/>
  <c r="C41" i="22" s="1"/>
  <c r="AG38" i="21"/>
  <c r="X40" i="22" s="1"/>
  <c r="Q38" i="21"/>
  <c r="L40" i="22" s="1"/>
  <c r="AS37" i="21"/>
  <c r="AG39" i="22" s="1"/>
  <c r="AC37" i="21"/>
  <c r="U39" i="22" s="1"/>
  <c r="M37" i="21"/>
  <c r="I39" i="22" s="1"/>
  <c r="AO36" i="21"/>
  <c r="AD38" i="22" s="1"/>
  <c r="Y36" i="21"/>
  <c r="R38" i="22" s="1"/>
  <c r="I36" i="21"/>
  <c r="F38" i="22" s="1"/>
  <c r="AK35" i="21"/>
  <c r="AA37" i="22" s="1"/>
  <c r="U35" i="21"/>
  <c r="O37" i="22" s="1"/>
  <c r="E35" i="21"/>
  <c r="C37" i="22" s="1"/>
  <c r="AG34" i="21"/>
  <c r="X36" i="22" s="1"/>
  <c r="Q34" i="21"/>
  <c r="L36" i="22" s="1"/>
  <c r="AS33" i="21"/>
  <c r="AG35" i="22" s="1"/>
  <c r="AC33" i="21"/>
  <c r="U35" i="22" s="1"/>
  <c r="M33" i="21"/>
  <c r="I35" i="22" s="1"/>
  <c r="AO32" i="21"/>
  <c r="AD34" i="22" s="1"/>
  <c r="Y32" i="21"/>
  <c r="R34" i="22" s="1"/>
  <c r="I32" i="21"/>
  <c r="F34" i="22" s="1"/>
  <c r="AK31" i="21"/>
  <c r="AA33" i="22" s="1"/>
  <c r="U31" i="21"/>
  <c r="O33" i="22" s="1"/>
  <c r="E31" i="21"/>
  <c r="C33" i="22" s="1"/>
  <c r="AG30" i="21"/>
  <c r="X32" i="22" s="1"/>
  <c r="Q30" i="21"/>
  <c r="L32" i="22" s="1"/>
  <c r="AS29" i="21"/>
  <c r="AG31" i="22" s="1"/>
  <c r="AC29" i="21"/>
  <c r="U31" i="22" s="1"/>
  <c r="M29" i="21"/>
  <c r="I31" i="22" s="1"/>
  <c r="AO28" i="21"/>
  <c r="AD30" i="22" s="1"/>
  <c r="Y28" i="21"/>
  <c r="R30" i="22" s="1"/>
  <c r="I28" i="21"/>
  <c r="F30" i="22" s="1"/>
  <c r="AK27" i="21"/>
  <c r="AA29" i="22" s="1"/>
  <c r="U27" i="21"/>
  <c r="O29" i="22" s="1"/>
  <c r="E27" i="21"/>
  <c r="C29" i="22" s="1"/>
  <c r="AG26" i="21"/>
  <c r="X28" i="22" s="1"/>
  <c r="Q26" i="21"/>
  <c r="L28" i="22" s="1"/>
  <c r="AS25" i="21"/>
  <c r="AG27" i="22" s="1"/>
  <c r="AC25" i="21"/>
  <c r="U27" i="22" s="1"/>
  <c r="E25" i="21"/>
  <c r="C27" i="22" s="1"/>
  <c r="AG24" i="21"/>
  <c r="X26" i="22" s="1"/>
  <c r="Q24" i="21"/>
  <c r="L26" i="22" s="1"/>
  <c r="AS23" i="21"/>
  <c r="AG25" i="22" s="1"/>
  <c r="AC23" i="21"/>
  <c r="U25" i="22" s="1"/>
  <c r="M23" i="21"/>
  <c r="I25" i="22" s="1"/>
  <c r="AO22" i="21"/>
  <c r="AD24" i="22" s="1"/>
  <c r="Y22" i="21"/>
  <c r="R24" i="22" s="1"/>
  <c r="I22" i="21"/>
  <c r="F24" i="22" s="1"/>
  <c r="AK21" i="21"/>
  <c r="AA23" i="22" s="1"/>
  <c r="U21" i="21"/>
  <c r="O23" i="22" s="1"/>
  <c r="E21" i="21"/>
  <c r="C23" i="22" s="1"/>
  <c r="AG20" i="21"/>
  <c r="X22" i="22" s="1"/>
  <c r="Q20" i="21"/>
  <c r="L22" i="22" s="1"/>
  <c r="AK19" i="21"/>
  <c r="AA21" i="22" s="1"/>
  <c r="E19" i="21"/>
  <c r="C21" i="22" s="1"/>
  <c r="Q18" i="21"/>
  <c r="L20" i="22" s="1"/>
  <c r="AC17" i="21"/>
  <c r="AO16"/>
  <c r="AD17" i="22" s="1"/>
  <c r="I16" i="21"/>
  <c r="F17" i="22" s="1"/>
  <c r="U15" i="21"/>
  <c r="O16" i="22" s="1"/>
  <c r="AG14" i="21"/>
  <c r="X15" i="22" s="1"/>
  <c r="AS13" i="21"/>
  <c r="AG14" i="22" s="1"/>
  <c r="M13" i="21"/>
  <c r="I14" i="22" s="1"/>
  <c r="Y12" i="21"/>
  <c r="R13" i="22" s="1"/>
  <c r="AK11" i="21"/>
  <c r="AA12" i="22" s="1"/>
  <c r="Q7" i="21"/>
  <c r="L8" i="22" s="1"/>
  <c r="M8" i="21"/>
  <c r="I9" i="22" s="1"/>
  <c r="U9" i="21"/>
  <c r="O10" i="22" s="1"/>
  <c r="Y10" i="21"/>
  <c r="R11" i="22" s="1"/>
  <c r="AK42" i="21"/>
  <c r="AA44" i="22" s="1"/>
  <c r="AK43" i="21"/>
  <c r="AC8"/>
  <c r="U9" i="22" s="1"/>
  <c r="E10" i="21"/>
  <c r="C11" i="22" s="1"/>
  <c r="AO42" i="21"/>
  <c r="AD44" i="22" s="1"/>
  <c r="F44"/>
  <c r="Q11" i="21"/>
  <c r="L12" i="22" s="1"/>
  <c r="AC10" i="21"/>
  <c r="U11" i="22" s="1"/>
  <c r="AO9" i="21"/>
  <c r="AD10" i="22" s="1"/>
  <c r="I9" i="21"/>
  <c r="F10" i="22" s="1"/>
  <c r="Y43" i="21"/>
  <c r="AO43"/>
  <c r="AS41"/>
  <c r="AG43" i="22" s="1"/>
  <c r="AS42" i="21"/>
  <c r="AG44" i="22" s="1"/>
  <c r="AG10" i="21"/>
  <c r="X11" i="22" s="1"/>
  <c r="AS9" i="21"/>
  <c r="AG10" i="22" s="1"/>
  <c r="M9" i="21"/>
  <c r="I10" i="22" s="1"/>
  <c r="Y8" i="21"/>
  <c r="R9" i="22" s="1"/>
  <c r="I8" i="21"/>
  <c r="F9" i="22" s="1"/>
  <c r="AK7" i="21"/>
  <c r="AA8" i="22" s="1"/>
  <c r="U7" i="21"/>
  <c r="O8" i="22" s="1"/>
  <c r="E7" i="21"/>
  <c r="C8" i="22" s="1"/>
  <c r="AG11" i="21"/>
  <c r="X12" i="22" s="1"/>
  <c r="E12" i="21"/>
  <c r="C13" i="22" s="1"/>
  <c r="U12" i="21"/>
  <c r="O13" i="22" s="1"/>
  <c r="AK12" i="21"/>
  <c r="AA13" i="22" s="1"/>
  <c r="I13" i="21"/>
  <c r="F14" i="22" s="1"/>
  <c r="Y13" i="21"/>
  <c r="R14" i="22" s="1"/>
  <c r="AO13" i="21"/>
  <c r="AD14" i="22" s="1"/>
  <c r="M14" i="21"/>
  <c r="I15" i="22" s="1"/>
  <c r="AC14" i="21"/>
  <c r="U15" i="22" s="1"/>
  <c r="AS14" i="21"/>
  <c r="AG15" i="22" s="1"/>
  <c r="Q15" i="21"/>
  <c r="L16" i="22" s="1"/>
  <c r="AG15" i="21"/>
  <c r="X16" i="22" s="1"/>
  <c r="E16" i="21"/>
  <c r="C17" i="22" s="1"/>
  <c r="U16" i="21"/>
  <c r="O17" i="22" s="1"/>
  <c r="AK16" i="21"/>
  <c r="AA17" i="22" s="1"/>
  <c r="I17" i="21"/>
  <c r="Y17"/>
  <c r="AO17"/>
  <c r="M18"/>
  <c r="I20" i="22" s="1"/>
  <c r="AC18" i="21"/>
  <c r="U20" i="22" s="1"/>
  <c r="AS18" i="21"/>
  <c r="AG20" i="22" s="1"/>
  <c r="Q19" i="21"/>
  <c r="L21" i="22" s="1"/>
  <c r="AG19" i="21"/>
  <c r="X21" i="22" s="1"/>
  <c r="E20" i="21"/>
  <c r="C22" i="22" s="1"/>
  <c r="U20" i="21"/>
  <c r="O22" i="22" s="1"/>
  <c r="AK20" i="21"/>
  <c r="AA22" i="22" s="1"/>
  <c r="I21" i="21"/>
  <c r="F23" i="22" s="1"/>
  <c r="Y21" i="21"/>
  <c r="R23" i="22" s="1"/>
  <c r="AO21" i="21"/>
  <c r="AD23" i="22" s="1"/>
  <c r="M22" i="21"/>
  <c r="I24" i="22" s="1"/>
  <c r="AC22" i="21"/>
  <c r="U24" i="22" s="1"/>
  <c r="AS22" i="21"/>
  <c r="AG24" i="22" s="1"/>
  <c r="Q23" i="21"/>
  <c r="L25" i="22" s="1"/>
  <c r="AG23" i="21"/>
  <c r="X25" i="22" s="1"/>
  <c r="E24" i="21"/>
  <c r="C26" i="22" s="1"/>
  <c r="U24" i="21"/>
  <c r="O26" i="22" s="1"/>
  <c r="AK24" i="21"/>
  <c r="AA26" i="22" s="1"/>
  <c r="I25" i="21"/>
  <c r="F27" i="22" s="1"/>
  <c r="Y25" i="21"/>
  <c r="R27" i="22" s="1"/>
  <c r="AO25" i="21"/>
  <c r="AD27" i="22" s="1"/>
  <c r="M26" i="21"/>
  <c r="I28" i="22" s="1"/>
  <c r="AC26" i="21"/>
  <c r="U28" i="22" s="1"/>
  <c r="AS26" i="21"/>
  <c r="AG28" i="22" s="1"/>
  <c r="Q27" i="21"/>
  <c r="L29" i="22" s="1"/>
  <c r="AG27" i="21"/>
  <c r="X29" i="22" s="1"/>
  <c r="E28" i="21"/>
  <c r="C30" i="22" s="1"/>
  <c r="U28" i="21"/>
  <c r="O30" i="22" s="1"/>
  <c r="AK28" i="21"/>
  <c r="AA30" i="22" s="1"/>
  <c r="I29" i="21"/>
  <c r="F31" i="22" s="1"/>
  <c r="Y29" i="21"/>
  <c r="R31" i="22" s="1"/>
  <c r="AO29" i="21"/>
  <c r="AD31" i="22" s="1"/>
  <c r="M30" i="21"/>
  <c r="I32" i="22" s="1"/>
  <c r="AC30" i="21"/>
  <c r="U32" i="22" s="1"/>
  <c r="AS30" i="21"/>
  <c r="AG32" i="22" s="1"/>
  <c r="Q31" i="21"/>
  <c r="L33" i="22" s="1"/>
  <c r="AG31" i="21"/>
  <c r="X33" i="22" s="1"/>
  <c r="E32" i="21"/>
  <c r="C34" i="22" s="1"/>
  <c r="U32" i="21"/>
  <c r="O34" i="22" s="1"/>
  <c r="AK32" i="21"/>
  <c r="AA34" i="22" s="1"/>
  <c r="I33" i="21"/>
  <c r="F35" i="22" s="1"/>
  <c r="Y33" i="21"/>
  <c r="R35" i="22" s="1"/>
  <c r="AO33" i="21"/>
  <c r="AD35" i="22" s="1"/>
  <c r="M34" i="21"/>
  <c r="I36" i="22" s="1"/>
  <c r="AC34" i="21"/>
  <c r="U36" i="22" s="1"/>
  <c r="AS34" i="21"/>
  <c r="AG36" i="22" s="1"/>
  <c r="Q35" i="21"/>
  <c r="L37" i="22" s="1"/>
  <c r="AG35" i="21"/>
  <c r="X37" i="22" s="1"/>
  <c r="E36" i="21"/>
  <c r="C38" i="22" s="1"/>
  <c r="U36" i="21"/>
  <c r="O38" i="22" s="1"/>
  <c r="AK36" i="21"/>
  <c r="AA38" i="22" s="1"/>
  <c r="I37" i="21"/>
  <c r="F39" i="22" s="1"/>
  <c r="Y37" i="21"/>
  <c r="R39" i="22" s="1"/>
  <c r="AO37" i="21"/>
  <c r="AD39" i="22" s="1"/>
  <c r="M38" i="21"/>
  <c r="I40" i="22" s="1"/>
  <c r="AC38" i="21"/>
  <c r="U40" i="22" s="1"/>
  <c r="AS38" i="21"/>
  <c r="AG40" i="22" s="1"/>
  <c r="Q39" i="21"/>
  <c r="L41" i="22" s="1"/>
  <c r="AG39" i="21"/>
  <c r="X41" i="22" s="1"/>
  <c r="E40" i="21"/>
  <c r="C42" i="22" s="1"/>
  <c r="U40" i="21"/>
  <c r="O42" i="22" s="1"/>
  <c r="AK40" i="21"/>
  <c r="AA42" i="22" s="1"/>
  <c r="I41" i="21"/>
  <c r="F43" i="22" s="1"/>
  <c r="AG41" i="21"/>
  <c r="X43" i="22" s="1"/>
  <c r="AO41" i="21"/>
  <c r="AD43" i="22" s="1"/>
  <c r="M42" i="21"/>
  <c r="I44" i="22" s="1"/>
  <c r="Q41" i="21"/>
  <c r="L43" i="22" s="1"/>
  <c r="AC40" i="21"/>
  <c r="U42" i="22" s="1"/>
  <c r="AO39" i="21"/>
  <c r="AD41" i="22" s="1"/>
  <c r="I39" i="21"/>
  <c r="F41" i="22" s="1"/>
  <c r="U38" i="21"/>
  <c r="O40" i="22" s="1"/>
  <c r="AG37" i="21"/>
  <c r="X39" i="22" s="1"/>
  <c r="AS36" i="21"/>
  <c r="AG38" i="22" s="1"/>
  <c r="M36" i="21"/>
  <c r="I38" i="22" s="1"/>
  <c r="Y35" i="21"/>
  <c r="R37" i="22" s="1"/>
  <c r="AK34" i="21"/>
  <c r="AA36" i="22" s="1"/>
  <c r="E34" i="21"/>
  <c r="C36" i="22" s="1"/>
  <c r="Q33" i="21"/>
  <c r="L35" i="22" s="1"/>
  <c r="AC32" i="21"/>
  <c r="U34" i="22" s="1"/>
  <c r="AO31" i="21"/>
  <c r="AD33" i="22" s="1"/>
  <c r="I31" i="21"/>
  <c r="F33" i="22" s="1"/>
  <c r="U30" i="21"/>
  <c r="O32" i="22" s="1"/>
  <c r="AG29" i="21"/>
  <c r="X31" i="22" s="1"/>
  <c r="AS28" i="21"/>
  <c r="AG30" i="22" s="1"/>
  <c r="M28" i="21"/>
  <c r="I30" i="22" s="1"/>
  <c r="Y27" i="21"/>
  <c r="R29" i="22" s="1"/>
  <c r="AK26" i="21"/>
  <c r="AA28" i="22" s="1"/>
  <c r="E26" i="21"/>
  <c r="C28" i="22" s="1"/>
  <c r="Q25" i="21"/>
  <c r="L27" i="22" s="1"/>
  <c r="AC24" i="21"/>
  <c r="U26" i="22" s="1"/>
  <c r="AO23" i="21"/>
  <c r="AD25" i="22" s="1"/>
  <c r="I23" i="21"/>
  <c r="F25" i="22" s="1"/>
  <c r="U22" i="21"/>
  <c r="O24" i="22" s="1"/>
  <c r="AG21" i="21"/>
  <c r="X23" i="22" s="1"/>
  <c r="AS20" i="21"/>
  <c r="AG22" i="22" s="1"/>
  <c r="M20" i="21"/>
  <c r="I22" i="22" s="1"/>
  <c r="Y19" i="21"/>
  <c r="R21" i="22" s="1"/>
  <c r="AK18" i="21"/>
  <c r="AA20" i="22" s="1"/>
  <c r="E18" i="21"/>
  <c r="C20" i="22" s="1"/>
  <c r="Q17" i="21"/>
  <c r="AC16"/>
  <c r="U17" i="22" s="1"/>
  <c r="AO15" i="21"/>
  <c r="AD16" i="22" s="1"/>
  <c r="I15" i="21"/>
  <c r="F16" i="22" s="1"/>
  <c r="U14" i="21"/>
  <c r="O15" i="22" s="1"/>
  <c r="AG13" i="21"/>
  <c r="X14" i="22" s="1"/>
  <c r="AS12" i="21"/>
  <c r="AG13" i="22" s="1"/>
  <c r="M12" i="21"/>
  <c r="I13" i="22" s="1"/>
  <c r="Y11" i="21"/>
  <c r="R12" i="22" s="1"/>
  <c r="AC7" i="21"/>
  <c r="U8" i="22" s="1"/>
  <c r="Q8" i="21"/>
  <c r="L9" i="22" s="1"/>
  <c r="AC9" i="21"/>
  <c r="U10" i="22" s="1"/>
  <c r="E11" i="21"/>
  <c r="C12" i="22" s="1"/>
  <c r="Q43" i="21"/>
  <c r="Y9"/>
  <c r="R10" i="22" s="1"/>
  <c r="AS10" i="21"/>
  <c r="AG11" i="22" s="1"/>
  <c r="AK41" i="21"/>
  <c r="AA43" i="22" s="1"/>
  <c r="Q9" i="21"/>
  <c r="L10" i="22" s="1"/>
  <c r="AC41" i="21"/>
  <c r="U43" i="22" s="1"/>
  <c r="AK9" i="21"/>
  <c r="AA10" i="22" s="1"/>
  <c r="AO7" i="21"/>
  <c r="AD8" i="22" s="1"/>
  <c r="I12" i="21"/>
  <c r="F13" i="22" s="1"/>
  <c r="AC13" i="21"/>
  <c r="U14" i="22" s="1"/>
  <c r="E15" i="21"/>
  <c r="C16" i="22" s="1"/>
  <c r="Y16" i="21"/>
  <c r="R17" i="22" s="1"/>
  <c r="AS17" i="21"/>
  <c r="U19"/>
  <c r="O21" i="22" s="1"/>
  <c r="Y20" i="21"/>
  <c r="R22" i="22" s="1"/>
  <c r="M21" i="21"/>
  <c r="I23" i="22" s="1"/>
  <c r="AS21" i="21"/>
  <c r="AG23" i="22" s="1"/>
  <c r="AG22" i="21"/>
  <c r="X24" i="22" s="1"/>
  <c r="U23" i="21"/>
  <c r="O25" i="22" s="1"/>
  <c r="I24" i="21"/>
  <c r="F26" i="22" s="1"/>
  <c r="AO24" i="21"/>
  <c r="AD26" i="22" s="1"/>
  <c r="AK25" i="21"/>
  <c r="AA27" i="22" s="1"/>
  <c r="Y26" i="21"/>
  <c r="R28" i="22" s="1"/>
  <c r="M27" i="21"/>
  <c r="I29" i="22" s="1"/>
  <c r="AS27" i="21"/>
  <c r="AG29" i="22" s="1"/>
  <c r="AG28" i="21"/>
  <c r="X30" i="22" s="1"/>
  <c r="U29" i="21"/>
  <c r="O31" i="22" s="1"/>
  <c r="I30" i="21"/>
  <c r="F32" i="22" s="1"/>
  <c r="AO30" i="21"/>
  <c r="AD32" i="22" s="1"/>
  <c r="AC31" i="21"/>
  <c r="U33" i="22" s="1"/>
  <c r="Q32" i="21"/>
  <c r="L34" i="22" s="1"/>
  <c r="E33" i="21"/>
  <c r="C35" i="22" s="1"/>
  <c r="AK33" i="21"/>
  <c r="AA35" i="22" s="1"/>
  <c r="Y34" i="21"/>
  <c r="R36" i="22" s="1"/>
  <c r="M35" i="21"/>
  <c r="I37" i="22" s="1"/>
  <c r="AS35" i="21"/>
  <c r="AG37" i="22" s="1"/>
  <c r="AG36" i="21"/>
  <c r="X38" i="22" s="1"/>
  <c r="U37" i="21"/>
  <c r="O39" i="22" s="1"/>
  <c r="I38" i="21"/>
  <c r="F40" i="22" s="1"/>
  <c r="AO38" i="21"/>
  <c r="AD40" i="22" s="1"/>
  <c r="AC39" i="21"/>
  <c r="U41" i="22" s="1"/>
  <c r="Q40" i="21"/>
  <c r="L42" i="22" s="1"/>
  <c r="E41" i="21"/>
  <c r="C43" i="22" s="1"/>
  <c r="Y42" i="21"/>
  <c r="R44" i="22" s="1"/>
  <c r="AS8" i="21"/>
  <c r="AG9" i="22" s="1"/>
  <c r="Q42" i="21"/>
  <c r="L44" i="22" s="1"/>
  <c r="U8" i="21"/>
  <c r="O9" i="22" s="1"/>
  <c r="I7" i="21"/>
  <c r="F8" i="22" s="1"/>
  <c r="AG12" i="21"/>
  <c r="X13" i="22" s="1"/>
  <c r="I14" i="21"/>
  <c r="F15" i="22" s="1"/>
  <c r="AC15" i="21"/>
  <c r="U16" i="22" s="1"/>
  <c r="E17" i="21"/>
  <c r="Y18"/>
  <c r="R20" i="22" s="1"/>
  <c r="I20" i="21"/>
  <c r="F22" i="22" s="1"/>
  <c r="F11" i="75"/>
  <c r="G10"/>
  <c r="F11" i="74"/>
  <c r="G10"/>
  <c r="F11" i="71"/>
  <c r="G10"/>
  <c r="F12" i="70"/>
  <c r="E13"/>
  <c r="GC9" i="18"/>
  <c r="GE9" s="1"/>
  <c r="GF9" s="1"/>
  <c r="DB10" i="19" s="1"/>
  <c r="FR8" i="18"/>
  <c r="FS8" s="1"/>
  <c r="GB7"/>
  <c r="FP8"/>
  <c r="FQ8" s="1"/>
  <c r="FZ8"/>
  <c r="GA8" s="1"/>
  <c r="FV8"/>
  <c r="FW8" s="1"/>
  <c r="FX8"/>
  <c r="FY8" s="1"/>
  <c r="I11" i="14"/>
  <c r="L11" i="15" s="1"/>
  <c r="K11" i="14"/>
  <c r="T11" i="15" s="1"/>
  <c r="M11" i="14"/>
  <c r="AB11" i="15" s="1"/>
  <c r="O11" i="14"/>
  <c r="AJ11" i="15" s="1"/>
  <c r="Q11" i="14"/>
  <c r="AR11" i="15" s="1"/>
  <c r="H11" i="14"/>
  <c r="H11" i="15" s="1"/>
  <c r="J11" i="14"/>
  <c r="P11" i="15" s="1"/>
  <c r="R11" s="1"/>
  <c r="S11" s="1"/>
  <c r="AH11" i="19" s="1"/>
  <c r="L11" i="14"/>
  <c r="X11" i="15" s="1"/>
  <c r="Z11" s="1"/>
  <c r="AA11" s="1"/>
  <c r="BB11" i="19" s="1"/>
  <c r="N11" i="14"/>
  <c r="AF11" i="15" s="1"/>
  <c r="P11" i="14"/>
  <c r="AN11" i="15" s="1"/>
  <c r="AP11" s="1"/>
  <c r="AQ11" s="1"/>
  <c r="CP11" i="19" s="1"/>
  <c r="G10" i="14"/>
  <c r="C9"/>
  <c r="H41" i="12"/>
  <c r="C20" i="64"/>
  <c r="D20" s="1"/>
  <c r="E20" s="1"/>
  <c r="F20"/>
  <c r="J20"/>
  <c r="N20"/>
  <c r="V20"/>
  <c r="Z20"/>
  <c r="AD20"/>
  <c r="AL20"/>
  <c r="AP20"/>
  <c r="B19"/>
  <c r="R20"/>
  <c r="AH20"/>
  <c r="BD9" i="10"/>
  <c r="BF10"/>
  <c r="AR9"/>
  <c r="AF9"/>
  <c r="AH10"/>
  <c r="T9"/>
  <c r="V10"/>
  <c r="H9"/>
  <c r="BJ9"/>
  <c r="AX9"/>
  <c r="AL9"/>
  <c r="Z9"/>
  <c r="N9"/>
  <c r="BR13" i="7"/>
  <c r="BS13" s="1"/>
  <c r="CP13" i="58" s="1"/>
  <c r="BN12" i="7"/>
  <c r="J13"/>
  <c r="N14"/>
  <c r="O14" s="1"/>
  <c r="N14" i="58" s="1"/>
  <c r="AZ12" i="7"/>
  <c r="BD13"/>
  <c r="BE13" s="1"/>
  <c r="BV13" i="58" s="1"/>
  <c r="AL12" i="7"/>
  <c r="AP13"/>
  <c r="AQ13" s="1"/>
  <c r="BB13" i="58" s="1"/>
  <c r="X12" i="7"/>
  <c r="AB13"/>
  <c r="AC13" s="1"/>
  <c r="AH13" i="58" s="1"/>
  <c r="I8" i="7"/>
  <c r="G14"/>
  <c r="H14" s="1"/>
  <c r="D14" i="58" s="1"/>
  <c r="C13" i="7"/>
  <c r="AK8"/>
  <c r="F10" i="3"/>
  <c r="H11"/>
  <c r="I11" s="1"/>
  <c r="T11"/>
  <c r="U11" s="1"/>
  <c r="R10"/>
  <c r="AN11"/>
  <c r="AO11" s="1"/>
  <c r="AL10"/>
  <c r="AJ11"/>
  <c r="AK11" s="1"/>
  <c r="AH10"/>
  <c r="D11"/>
  <c r="E11" s="1"/>
  <c r="B10"/>
  <c r="BO14" i="1"/>
  <c r="BM13"/>
  <c r="S14"/>
  <c r="Q13"/>
  <c r="AE14"/>
  <c r="AC13"/>
  <c r="CX15" i="58"/>
  <c r="AC15" i="5"/>
  <c r="V15" i="58"/>
  <c r="M15" i="5"/>
  <c r="AP15" i="58"/>
  <c r="Q15" i="5"/>
  <c r="ET7" i="18"/>
  <c r="EH8"/>
  <c r="EI8" s="1"/>
  <c r="EN8"/>
  <c r="EO8" s="1"/>
  <c r="ER8"/>
  <c r="ES8" s="1"/>
  <c r="EJ8"/>
  <c r="EK8" s="1"/>
  <c r="EP8"/>
  <c r="EQ8" s="1"/>
  <c r="CD7"/>
  <c r="BR8"/>
  <c r="BS8" s="1"/>
  <c r="BX8"/>
  <c r="BY8" s="1"/>
  <c r="CB8"/>
  <c r="CC8" s="1"/>
  <c r="BT8"/>
  <c r="BU8" s="1"/>
  <c r="BZ8"/>
  <c r="CA8" s="1"/>
  <c r="DL7"/>
  <c r="CZ8"/>
  <c r="DA8" s="1"/>
  <c r="DF8"/>
  <c r="DG8" s="1"/>
  <c r="DJ8"/>
  <c r="DK8" s="1"/>
  <c r="DB8"/>
  <c r="DC8" s="1"/>
  <c r="DH8"/>
  <c r="DI8" s="1"/>
  <c r="AV7"/>
  <c r="AJ8"/>
  <c r="AK8" s="1"/>
  <c r="AP8"/>
  <c r="AQ8" s="1"/>
  <c r="AT8"/>
  <c r="AU8" s="1"/>
  <c r="AL8"/>
  <c r="AM8" s="1"/>
  <c r="AR8"/>
  <c r="AS8" s="1"/>
  <c r="EU9"/>
  <c r="EW9" s="1"/>
  <c r="EX9" s="1"/>
  <c r="CH10" i="19" s="1"/>
  <c r="CE9" i="18"/>
  <c r="CG9" s="1"/>
  <c r="CH9" s="1"/>
  <c r="AT10" i="19" s="1"/>
  <c r="DM9" i="18"/>
  <c r="DO9" s="1"/>
  <c r="DP9" s="1"/>
  <c r="BN10" i="19" s="1"/>
  <c r="AW9" i="18"/>
  <c r="AY9" s="1"/>
  <c r="AZ9" s="1"/>
  <c r="Z10" i="19" s="1"/>
  <c r="B33" i="6"/>
  <c r="C33" s="1"/>
  <c r="E33" i="58" s="1"/>
  <c r="K29" i="70"/>
  <c r="B19" i="215" s="1"/>
  <c r="F11" i="80"/>
  <c r="G10"/>
  <c r="F45" i="19"/>
  <c r="F48" i="133" s="1"/>
  <c r="L25" i="73"/>
  <c r="E14" i="215" s="1"/>
  <c r="H28" i="6"/>
  <c r="I28" s="1"/>
  <c r="AI28" i="58" s="1"/>
  <c r="AL28" s="1"/>
  <c r="E30" i="70"/>
  <c r="G30" s="1"/>
  <c r="F31"/>
  <c r="H30"/>
  <c r="P45" i="19"/>
  <c r="F10" i="77"/>
  <c r="G9"/>
  <c r="H29" i="6"/>
  <c r="I29" s="1"/>
  <c r="AI29" i="58" s="1"/>
  <c r="AL29" s="1"/>
  <c r="L26" i="73"/>
  <c r="E15" i="215" s="1"/>
  <c r="F10" i="76"/>
  <c r="G9"/>
  <c r="D17" i="41"/>
  <c r="F32" i="78"/>
  <c r="H32" s="1"/>
  <c r="I32" s="1"/>
  <c r="G33"/>
  <c r="F32" i="79"/>
  <c r="H32" s="1"/>
  <c r="I32" s="1"/>
  <c r="G33"/>
  <c r="J17" i="41"/>
  <c r="B17"/>
  <c r="B18" s="1"/>
  <c r="B23" s="1"/>
  <c r="B43" s="1"/>
  <c r="K16" i="6"/>
  <c r="AS16" i="58" s="1"/>
  <c r="J17" i="6"/>
  <c r="K17" s="1"/>
  <c r="AS17" i="58" s="1"/>
  <c r="F32" i="73"/>
  <c r="H32" s="1"/>
  <c r="I32" s="1"/>
  <c r="G33"/>
  <c r="F32" i="74"/>
  <c r="H32" s="1"/>
  <c r="I32" s="1"/>
  <c r="G33"/>
  <c r="F32" i="75"/>
  <c r="H32" s="1"/>
  <c r="I32" s="1"/>
  <c r="G33"/>
  <c r="F32" i="76"/>
  <c r="H32" s="1"/>
  <c r="I32" s="1"/>
  <c r="G33"/>
  <c r="H17" i="41"/>
  <c r="AN33" i="58"/>
  <c r="AX33"/>
  <c r="BH33"/>
  <c r="BR33"/>
  <c r="R34" i="6"/>
  <c r="S34" s="1"/>
  <c r="CG34" i="58" s="1"/>
  <c r="CJ34" s="1"/>
  <c r="J20" i="207" s="1"/>
  <c r="L31" i="78"/>
  <c r="J20" i="215" s="1"/>
  <c r="T34" i="6"/>
  <c r="U34" s="1"/>
  <c r="CQ34" i="58" s="1"/>
  <c r="CT34" s="1"/>
  <c r="K20" i="207" s="1"/>
  <c r="L31" i="79"/>
  <c r="K20" i="215" s="1"/>
  <c r="F17" i="41"/>
  <c r="H34" i="6"/>
  <c r="I34" s="1"/>
  <c r="AI34" i="58" s="1"/>
  <c r="AL34" s="1"/>
  <c r="E20" i="207" s="1"/>
  <c r="L31" i="73"/>
  <c r="E20" i="215" s="1"/>
  <c r="J34" i="6"/>
  <c r="K34" s="1"/>
  <c r="AS34" i="58" s="1"/>
  <c r="AV34" s="1"/>
  <c r="F20" i="207" s="1"/>
  <c r="L31" i="74"/>
  <c r="F20" i="215" s="1"/>
  <c r="L34" i="6"/>
  <c r="M34" s="1"/>
  <c r="BC34" i="58" s="1"/>
  <c r="BF34" s="1"/>
  <c r="G20" i="207" s="1"/>
  <c r="L31" i="75"/>
  <c r="G20" i="215" s="1"/>
  <c r="N34" i="6"/>
  <c r="O34" s="1"/>
  <c r="BM34" i="58" s="1"/>
  <c r="BP34" s="1"/>
  <c r="H20" i="207" s="1"/>
  <c r="L31" i="76"/>
  <c r="H20" i="215" s="1"/>
  <c r="CL33" i="58"/>
  <c r="CV33"/>
  <c r="G47" i="207" l="1"/>
  <c r="E12" i="6"/>
  <c r="O12" i="58" s="1"/>
  <c r="D13" i="6"/>
  <c r="ED8" i="18"/>
  <c r="EF8" s="1"/>
  <c r="EG8" s="1"/>
  <c r="BX9" i="19" s="1"/>
  <c r="G42" i="207"/>
  <c r="BL44" i="19"/>
  <c r="H30" i="219"/>
  <c r="AN29" i="58"/>
  <c r="E15" i="207"/>
  <c r="AM20" i="64"/>
  <c r="AN20" s="1"/>
  <c r="AO20" s="1"/>
  <c r="K8" i="227"/>
  <c r="AT50" i="19"/>
  <c r="F21" i="159"/>
  <c r="AU47" i="19"/>
  <c r="F33" i="210"/>
  <c r="CI47" i="19"/>
  <c r="J33" i="210"/>
  <c r="BW46" i="19"/>
  <c r="I32" i="220"/>
  <c r="AG45" i="37"/>
  <c r="BG50" i="2"/>
  <c r="T29" i="58"/>
  <c r="C15" i="207"/>
  <c r="BP23" i="29"/>
  <c r="BQ23" s="1"/>
  <c r="K9" i="224"/>
  <c r="R45" i="37"/>
  <c r="AF50" i="2"/>
  <c r="P19" i="16"/>
  <c r="O50"/>
  <c r="CH56" i="19"/>
  <c r="J22" i="159"/>
  <c r="L44" i="210"/>
  <c r="L39"/>
  <c r="H44" i="220"/>
  <c r="H39"/>
  <c r="L45" i="37"/>
  <c r="U50" i="2"/>
  <c r="E44" i="210"/>
  <c r="E39"/>
  <c r="E47" i="207"/>
  <c r="E42"/>
  <c r="E37"/>
  <c r="AH45" i="37"/>
  <c r="BI50" i="2"/>
  <c r="B18" i="26"/>
  <c r="B19" i="28"/>
  <c r="D18" i="207"/>
  <c r="AD32" i="58"/>
  <c r="J44" i="210"/>
  <c r="J39"/>
  <c r="H13" i="6"/>
  <c r="I12"/>
  <c r="AI12" i="58" s="1"/>
  <c r="F14" i="16"/>
  <c r="G14" s="1"/>
  <c r="H14" s="1"/>
  <c r="O14" i="19" s="1"/>
  <c r="E13" i="16"/>
  <c r="AG11"/>
  <c r="AH12"/>
  <c r="AI12" s="1"/>
  <c r="AJ12" s="1"/>
  <c r="CG12" i="19" s="1"/>
  <c r="I42" i="220"/>
  <c r="I37"/>
  <c r="F41" i="221"/>
  <c r="F36"/>
  <c r="J41" i="228"/>
  <c r="J36"/>
  <c r="BD36" i="58"/>
  <c r="G22" i="216"/>
  <c r="DF32" i="58"/>
  <c r="L18" i="207"/>
  <c r="D30" i="219"/>
  <c r="X44" i="19"/>
  <c r="V33" i="6"/>
  <c r="W33" s="1"/>
  <c r="DA33" i="58" s="1"/>
  <c r="DD33" s="1"/>
  <c r="L30" i="80"/>
  <c r="L19" i="215" s="1"/>
  <c r="E41" i="221"/>
  <c r="E36"/>
  <c r="W20" i="64"/>
  <c r="X20" s="1"/>
  <c r="Y20" s="1"/>
  <c r="G8" i="227"/>
  <c r="G22" i="19"/>
  <c r="B8" i="210"/>
  <c r="CR50" i="19"/>
  <c r="K21" i="159"/>
  <c r="BX50" i="19"/>
  <c r="I21" i="159"/>
  <c r="F50" i="19"/>
  <c r="F22" i="133"/>
  <c r="N48" s="1"/>
  <c r="G22" i="134"/>
  <c r="B21" i="159"/>
  <c r="F66" i="19"/>
  <c r="AK47"/>
  <c r="E33" i="210"/>
  <c r="BY47" i="19"/>
  <c r="I33" i="210"/>
  <c r="AR50" i="16"/>
  <c r="L5" i="220"/>
  <c r="DA19" i="19"/>
  <c r="DA50" s="1"/>
  <c r="F33" i="6"/>
  <c r="G33" s="1"/>
  <c r="Y33" i="58" s="1"/>
  <c r="AB33" s="1"/>
  <c r="L30" i="72"/>
  <c r="D19" i="215" s="1"/>
  <c r="F31" i="77"/>
  <c r="H31" s="1"/>
  <c r="I31" s="1"/>
  <c r="G32"/>
  <c r="L41" i="221"/>
  <c r="L36"/>
  <c r="I41" i="228"/>
  <c r="I36"/>
  <c r="O45" i="37"/>
  <c r="AA50" i="2"/>
  <c r="I19" i="28"/>
  <c r="I18" i="26"/>
  <c r="I41" i="221"/>
  <c r="I36"/>
  <c r="D16" i="28"/>
  <c r="D15" i="26"/>
  <c r="AG24" i="29"/>
  <c r="AH24" s="1"/>
  <c r="F10" i="224"/>
  <c r="G36" i="221"/>
  <c r="G41"/>
  <c r="L41" i="228"/>
  <c r="L36"/>
  <c r="EA7" i="18"/>
  <c r="EB7" s="1"/>
  <c r="DY7"/>
  <c r="DZ7" s="1"/>
  <c r="DW7"/>
  <c r="DX7" s="1"/>
  <c r="DQ7"/>
  <c r="DR7" s="1"/>
  <c r="DS7"/>
  <c r="DT7" s="1"/>
  <c r="BW22" i="29"/>
  <c r="BX22" s="1"/>
  <c r="L8" i="224"/>
  <c r="I11" i="10"/>
  <c r="I12" i="15"/>
  <c r="J12" s="1"/>
  <c r="K12" s="1"/>
  <c r="N12" i="19" s="1"/>
  <c r="J12" i="10"/>
  <c r="AT56" i="19"/>
  <c r="F22" i="159"/>
  <c r="AK23" i="19"/>
  <c r="E9" i="210"/>
  <c r="P36" i="58"/>
  <c r="C22" i="216"/>
  <c r="CF41" i="19"/>
  <c r="J27" i="219"/>
  <c r="F39" i="220"/>
  <c r="F44"/>
  <c r="B7" i="227"/>
  <c r="I5" i="161"/>
  <c r="AA20" i="64"/>
  <c r="AB20" s="1"/>
  <c r="AC20" s="1"/>
  <c r="H8" i="227"/>
  <c r="G20" i="64"/>
  <c r="H20" s="1"/>
  <c r="I20" s="1"/>
  <c r="C8" i="227"/>
  <c r="BD50" i="19"/>
  <c r="G21" i="159"/>
  <c r="AJ50" i="19"/>
  <c r="E21" i="159"/>
  <c r="DB50" i="19"/>
  <c r="L21" i="159"/>
  <c r="AA47" i="19"/>
  <c r="D33" i="210"/>
  <c r="BO47" i="19"/>
  <c r="H33" i="210"/>
  <c r="BC46" i="19"/>
  <c r="G32" i="220"/>
  <c r="E45" i="37"/>
  <c r="I50" i="2"/>
  <c r="F31" i="71"/>
  <c r="H31" s="1"/>
  <c r="I31" s="1"/>
  <c r="G32"/>
  <c r="G46" i="14"/>
  <c r="E47"/>
  <c r="E48" s="1"/>
  <c r="G32" i="72"/>
  <c r="F31"/>
  <c r="H31" s="1"/>
  <c r="I31" s="1"/>
  <c r="AO14" i="16"/>
  <c r="AP15"/>
  <c r="AQ15" s="1"/>
  <c r="AR15" s="1"/>
  <c r="DA15" i="19" s="1"/>
  <c r="AD16" i="16"/>
  <c r="AE16" s="1"/>
  <c r="AF16" s="1"/>
  <c r="BW16" i="19" s="1"/>
  <c r="AC15" i="16"/>
  <c r="N42" i="19"/>
  <c r="C28" i="219"/>
  <c r="AS11" i="10"/>
  <c r="AG12" i="15"/>
  <c r="AH12" s="1"/>
  <c r="AI12" s="1"/>
  <c r="BV12" i="19" s="1"/>
  <c r="AT12" i="10"/>
  <c r="DB56" i="19"/>
  <c r="L22" i="159"/>
  <c r="G39" i="210"/>
  <c r="G44"/>
  <c r="J44" i="220"/>
  <c r="J39"/>
  <c r="N45" i="37"/>
  <c r="Y50" i="2"/>
  <c r="G18" i="28"/>
  <c r="G17" i="26"/>
  <c r="BB24" i="29"/>
  <c r="BC24" s="1"/>
  <c r="I10" i="224"/>
  <c r="BX56" i="19"/>
  <c r="I22" i="159"/>
  <c r="D44" i="220"/>
  <c r="D39"/>
  <c r="AF45" i="37"/>
  <c r="BE50" i="2"/>
  <c r="D11" i="10"/>
  <c r="E11" i="15"/>
  <c r="F11" s="1"/>
  <c r="G11" s="1"/>
  <c r="D11" i="19" s="1"/>
  <c r="C11" i="16"/>
  <c r="D11" s="1"/>
  <c r="E11" i="19" s="1"/>
  <c r="C10" i="10"/>
  <c r="S21" i="29"/>
  <c r="T21" s="1"/>
  <c r="D7" i="224"/>
  <c r="F13" i="78"/>
  <c r="G12"/>
  <c r="F18" i="26"/>
  <c r="F19" i="28"/>
  <c r="V11" i="16"/>
  <c r="W11" s="1"/>
  <c r="X11" s="1"/>
  <c r="BC11" i="19" s="1"/>
  <c r="U10" i="16"/>
  <c r="Z16"/>
  <c r="AA16" s="1"/>
  <c r="AB16" s="1"/>
  <c r="BM16" i="19" s="1"/>
  <c r="Y15" i="16"/>
  <c r="D47" i="207"/>
  <c r="D42"/>
  <c r="D37"/>
  <c r="BD56" i="19"/>
  <c r="G22" i="159"/>
  <c r="BO50" i="2"/>
  <c r="BP48"/>
  <c r="BU48"/>
  <c r="Z24" i="29"/>
  <c r="AA24" s="1"/>
  <c r="E10" i="224"/>
  <c r="H47" i="207"/>
  <c r="H42"/>
  <c r="H37"/>
  <c r="I18"/>
  <c r="CB32" i="58"/>
  <c r="C17" i="26"/>
  <c r="C18" i="28"/>
  <c r="F5" i="4"/>
  <c r="J19" i="28"/>
  <c r="J18" i="26"/>
  <c r="T42" i="15"/>
  <c r="V42" s="1"/>
  <c r="W42" s="1"/>
  <c r="F39" i="12"/>
  <c r="D41" i="221"/>
  <c r="D36"/>
  <c r="H36"/>
  <c r="H41"/>
  <c r="F41" i="228"/>
  <c r="F36"/>
  <c r="AT36" i="58"/>
  <c r="F22" i="216"/>
  <c r="AJ36" i="58"/>
  <c r="E22" i="216"/>
  <c r="CH36" i="58"/>
  <c r="J22" i="216"/>
  <c r="Q12" i="6"/>
  <c r="BW12" i="58" s="1"/>
  <c r="P13" i="6"/>
  <c r="K41" i="228"/>
  <c r="K36"/>
  <c r="AA23" i="19"/>
  <c r="D9" i="210"/>
  <c r="CZ44" i="19"/>
  <c r="L30" i="219"/>
  <c r="J5" i="4"/>
  <c r="C40" i="5"/>
  <c r="F39"/>
  <c r="H39" s="1"/>
  <c r="L25" i="124"/>
  <c r="N41" i="133"/>
  <c r="AI20" i="64"/>
  <c r="AJ20" s="1"/>
  <c r="AK20" s="1"/>
  <c r="J8" i="227"/>
  <c r="O20" i="64"/>
  <c r="P20" s="1"/>
  <c r="Q20" s="1"/>
  <c r="E8" i="227"/>
  <c r="Z50" i="19"/>
  <c r="D21" i="159"/>
  <c r="P50" i="19"/>
  <c r="C21" i="159"/>
  <c r="CB31" i="58"/>
  <c r="I17" i="207"/>
  <c r="AL11" i="16"/>
  <c r="AM11" s="1"/>
  <c r="AN11" s="1"/>
  <c r="CQ11" i="19" s="1"/>
  <c r="AK10" i="16"/>
  <c r="P33" i="6"/>
  <c r="Q33" s="1"/>
  <c r="BW33" i="58" s="1"/>
  <c r="BZ33" s="1"/>
  <c r="L30" i="77"/>
  <c r="I19" i="215" s="1"/>
  <c r="AY10" i="10"/>
  <c r="AK11" i="15"/>
  <c r="AL11" s="1"/>
  <c r="AM11" s="1"/>
  <c r="CF11" i="19" s="1"/>
  <c r="AZ11" i="10"/>
  <c r="C44" i="210"/>
  <c r="C39"/>
  <c r="V14" i="6"/>
  <c r="W13"/>
  <c r="DA13" i="58" s="1"/>
  <c r="AU21" i="29"/>
  <c r="AV21" s="1"/>
  <c r="H7" i="224"/>
  <c r="P56" i="19"/>
  <c r="C22" i="159"/>
  <c r="BO23" i="19"/>
  <c r="H9" i="210"/>
  <c r="AH44" i="19"/>
  <c r="E30" i="219"/>
  <c r="F42" i="220"/>
  <c r="F37"/>
  <c r="M11" i="15"/>
  <c r="N11" s="1"/>
  <c r="O11" s="1"/>
  <c r="X11" i="19" s="1"/>
  <c r="O10" i="10"/>
  <c r="P11"/>
  <c r="L17" i="28"/>
  <c r="L16" i="26"/>
  <c r="B41" i="221"/>
  <c r="B36"/>
  <c r="BN36" i="58"/>
  <c r="H22" i="216"/>
  <c r="BA12" i="1"/>
  <c r="BC13"/>
  <c r="J39" i="12"/>
  <c r="AJ42" i="15"/>
  <c r="AL42" s="1"/>
  <c r="AM42" s="1"/>
  <c r="K41" i="221"/>
  <c r="K36"/>
  <c r="C41" i="228"/>
  <c r="C36"/>
  <c r="C18" i="207"/>
  <c r="T32" i="58"/>
  <c r="B5" i="4"/>
  <c r="G5"/>
  <c r="H36" i="228"/>
  <c r="H41"/>
  <c r="Q23" i="19"/>
  <c r="C9" i="210"/>
  <c r="H33" i="58"/>
  <c r="B19" i="207" s="1"/>
  <c r="C35" i="124"/>
  <c r="I35" s="1"/>
  <c r="AQ20" i="64"/>
  <c r="AR20" s="1"/>
  <c r="AS20" s="1"/>
  <c r="L8" i="227"/>
  <c r="K21" i="130"/>
  <c r="CP66" i="19"/>
  <c r="C45" i="37"/>
  <c r="E50" i="2"/>
  <c r="F11" i="72"/>
  <c r="G10"/>
  <c r="D33" i="6"/>
  <c r="E33" s="1"/>
  <c r="O33" i="58" s="1"/>
  <c r="R33" s="1"/>
  <c r="L30" i="71"/>
  <c r="C19" i="215" s="1"/>
  <c r="AM11" i="10"/>
  <c r="AC12" i="15"/>
  <c r="AD12" s="1"/>
  <c r="AE12" s="1"/>
  <c r="BL12" i="19" s="1"/>
  <c r="AN12" i="10"/>
  <c r="C40" i="12"/>
  <c r="H43" i="15"/>
  <c r="J43" s="1"/>
  <c r="K43" s="1"/>
  <c r="F13" i="6"/>
  <c r="G12"/>
  <c r="Y12" i="58" s="1"/>
  <c r="DC23" i="19"/>
  <c r="L9" i="210"/>
  <c r="H42" i="220"/>
  <c r="H37"/>
  <c r="BY23" i="19"/>
  <c r="I9" i="210"/>
  <c r="U11" i="15"/>
  <c r="V11" s="1"/>
  <c r="W11" s="1"/>
  <c r="AR11" i="19" s="1"/>
  <c r="AA10" i="10"/>
  <c r="AB11"/>
  <c r="M15" i="16"/>
  <c r="N16"/>
  <c r="O16" s="1"/>
  <c r="P16" s="1"/>
  <c r="AI16" i="19" s="1"/>
  <c r="D45" i="37"/>
  <c r="G50" i="2"/>
  <c r="T28" i="58"/>
  <c r="C14" i="207"/>
  <c r="E18" i="26"/>
  <c r="E19" i="28"/>
  <c r="I47" i="207"/>
  <c r="I42"/>
  <c r="I37"/>
  <c r="F56" i="19"/>
  <c r="F51" i="133"/>
  <c r="G23" i="134"/>
  <c r="B22" i="159"/>
  <c r="H44" i="210"/>
  <c r="H39"/>
  <c r="BX36" i="58"/>
  <c r="I22" i="216"/>
  <c r="Z36" i="58"/>
  <c r="D22" i="216"/>
  <c r="C47" i="207"/>
  <c r="C37"/>
  <c r="C42"/>
  <c r="CR56" i="19"/>
  <c r="K22" i="159"/>
  <c r="BV44" i="19"/>
  <c r="I30" i="219"/>
  <c r="CP44" i="19"/>
  <c r="K30" i="219"/>
  <c r="F13" i="79"/>
  <c r="G12"/>
  <c r="G32" i="80"/>
  <c r="F31"/>
  <c r="H31" s="1"/>
  <c r="I31" s="1"/>
  <c r="AJ56" i="19"/>
  <c r="E22" i="159"/>
  <c r="AN28" i="58"/>
  <c r="E14" i="207"/>
  <c r="S20" i="64"/>
  <c r="T20" s="1"/>
  <c r="U20" s="1"/>
  <c r="F8" i="227"/>
  <c r="AE20" i="64"/>
  <c r="AF20" s="1"/>
  <c r="AG20" s="1"/>
  <c r="I8" i="227"/>
  <c r="K20" i="64"/>
  <c r="L20" s="1"/>
  <c r="M20" s="1"/>
  <c r="D8" i="227"/>
  <c r="C21" i="130"/>
  <c r="N66" i="19"/>
  <c r="CH50"/>
  <c r="J21" i="159"/>
  <c r="BN50" i="19"/>
  <c r="H21" i="159"/>
  <c r="BE47" i="19"/>
  <c r="G33" i="210"/>
  <c r="DC47" i="19"/>
  <c r="L33" i="210"/>
  <c r="B45" i="37"/>
  <c r="C50" i="2"/>
  <c r="H45" i="14"/>
  <c r="Q45"/>
  <c r="AR45" i="15" s="1"/>
  <c r="AT45" s="1"/>
  <c r="P45" i="14"/>
  <c r="AN45" i="15" s="1"/>
  <c r="I45" i="14"/>
  <c r="L45" i="15" s="1"/>
  <c r="N45" s="1"/>
  <c r="O45" s="1"/>
  <c r="D31" i="219" s="1"/>
  <c r="L45" i="14"/>
  <c r="X45" i="15" s="1"/>
  <c r="Z45" s="1"/>
  <c r="AA45" s="1"/>
  <c r="N45" i="14"/>
  <c r="AF45" i="15" s="1"/>
  <c r="AH45" s="1"/>
  <c r="AI45" s="1"/>
  <c r="K45" i="14"/>
  <c r="J45"/>
  <c r="O45"/>
  <c r="M45"/>
  <c r="AB45" i="15" s="1"/>
  <c r="AD45" s="1"/>
  <c r="AO9"/>
  <c r="BE8" i="10"/>
  <c r="AO8" i="15" s="1"/>
  <c r="K18" i="28"/>
  <c r="K17" i="26"/>
  <c r="AH48" i="2"/>
  <c r="AK50"/>
  <c r="AD48"/>
  <c r="AJ48"/>
  <c r="Q10" i="15"/>
  <c r="U9" i="10"/>
  <c r="S13" i="6"/>
  <c r="CG13" i="58" s="1"/>
  <c r="R14" i="6"/>
  <c r="J41" i="221"/>
  <c r="J36"/>
  <c r="E41" i="228"/>
  <c r="E36"/>
  <c r="BE23" i="19"/>
  <c r="G9" i="210"/>
  <c r="R16" i="16"/>
  <c r="S16" s="1"/>
  <c r="T16" s="1"/>
  <c r="AS16" i="19" s="1"/>
  <c r="Q15" i="16"/>
  <c r="AN23" i="29"/>
  <c r="AO23" s="1"/>
  <c r="G9" i="224"/>
  <c r="C37" i="220"/>
  <c r="C42"/>
  <c r="C41"/>
  <c r="C36"/>
  <c r="AD37" i="5"/>
  <c r="R37"/>
  <c r="T37"/>
  <c r="P37"/>
  <c r="V37"/>
  <c r="N37"/>
  <c r="AB37"/>
  <c r="X37"/>
  <c r="Z37"/>
  <c r="L37"/>
  <c r="G36" i="228"/>
  <c r="G41"/>
  <c r="AU23" i="19"/>
  <c r="F9" i="210"/>
  <c r="AI45" i="37"/>
  <c r="BK50" i="2"/>
  <c r="E24" i="29"/>
  <c r="B10" i="224"/>
  <c r="H16" i="28"/>
  <c r="H15" i="26"/>
  <c r="D37" i="220"/>
  <c r="D42"/>
  <c r="C41" i="221"/>
  <c r="C36"/>
  <c r="D41" i="228"/>
  <c r="D36"/>
  <c r="BR46" i="2"/>
  <c r="AM43" i="37" s="1"/>
  <c r="BN46" i="2"/>
  <c r="AK43" i="37" s="1"/>
  <c r="BT46" i="2"/>
  <c r="AN43" i="37" s="1"/>
  <c r="L23" i="29"/>
  <c r="M23" s="1"/>
  <c r="C9" i="224"/>
  <c r="BI24" i="29"/>
  <c r="BJ24" s="1"/>
  <c r="J10" i="224"/>
  <c r="AS12" i="15"/>
  <c r="AT12" s="1"/>
  <c r="AU12" s="1"/>
  <c r="CZ12" i="19" s="1"/>
  <c r="BK11" i="10"/>
  <c r="BL12"/>
  <c r="AR41" i="19"/>
  <c r="F27" i="219"/>
  <c r="Z56" i="19"/>
  <c r="D22" i="159"/>
  <c r="BN56" i="19"/>
  <c r="H22" i="159"/>
  <c r="D44" i="210"/>
  <c r="D39"/>
  <c r="B41" i="228"/>
  <c r="B36"/>
  <c r="CI23" i="19"/>
  <c r="J9" i="210"/>
  <c r="CS23" i="19"/>
  <c r="K9" i="210"/>
  <c r="DB36" i="58"/>
  <c r="L22" i="216"/>
  <c r="CR36" i="58"/>
  <c r="K22" i="216"/>
  <c r="F25" i="29"/>
  <c r="J9" i="171"/>
  <c r="Y14" i="5"/>
  <c r="CD14" i="58"/>
  <c r="J16" i="16"/>
  <c r="K16" s="1"/>
  <c r="L16" s="1"/>
  <c r="Y16" i="19" s="1"/>
  <c r="I15" i="16"/>
  <c r="U13" i="6"/>
  <c r="CQ13" i="58" s="1"/>
  <c r="T14" i="6"/>
  <c r="I44" i="210"/>
  <c r="I39"/>
  <c r="BB44" i="19"/>
  <c r="G30" i="219"/>
  <c r="B24" i="216"/>
  <c r="J38" i="5"/>
  <c r="F38" i="58"/>
  <c r="E40" i="124" s="1"/>
  <c r="K40" s="1"/>
  <c r="M13" i="6"/>
  <c r="BC13" i="58" s="1"/>
  <c r="L14" i="6"/>
  <c r="F39" i="210"/>
  <c r="F44"/>
  <c r="P45" i="15"/>
  <c r="R45" s="1"/>
  <c r="L26" i="124"/>
  <c r="L33"/>
  <c r="L28"/>
  <c r="L30"/>
  <c r="L24"/>
  <c r="L31"/>
  <c r="L34"/>
  <c r="J33" i="58"/>
  <c r="F35" i="124"/>
  <c r="L35" s="1"/>
  <c r="L21"/>
  <c r="L23"/>
  <c r="CL50" i="21"/>
  <c r="CH50"/>
  <c r="CD50"/>
  <c r="BZ50"/>
  <c r="BV50"/>
  <c r="BR50"/>
  <c r="BN50"/>
  <c r="AS50"/>
  <c r="AO50"/>
  <c r="AK50"/>
  <c r="AG50"/>
  <c r="AC50"/>
  <c r="Y50"/>
  <c r="U50"/>
  <c r="Q50"/>
  <c r="M50"/>
  <c r="I50"/>
  <c r="E50"/>
  <c r="AS47" i="13"/>
  <c r="AS48" s="1"/>
  <c r="AU46"/>
  <c r="BE50"/>
  <c r="BF48"/>
  <c r="U50" i="16"/>
  <c r="V48"/>
  <c r="AC50"/>
  <c r="AD48"/>
  <c r="AK13" i="1"/>
  <c r="AI12"/>
  <c r="S14" i="5"/>
  <c r="AZ14" i="58"/>
  <c r="AW13" i="1"/>
  <c r="AU12"/>
  <c r="BT14" i="58"/>
  <c r="W14" i="5"/>
  <c r="Q12" i="7"/>
  <c r="U13"/>
  <c r="V13" s="1"/>
  <c r="X13" i="58" s="1"/>
  <c r="AE12" i="7"/>
  <c r="AI13"/>
  <c r="AJ13" s="1"/>
  <c r="AR13" i="58" s="1"/>
  <c r="AS12" i="7"/>
  <c r="AW13"/>
  <c r="AX13" s="1"/>
  <c r="BL13" i="58" s="1"/>
  <c r="BI13" i="1"/>
  <c r="BG12"/>
  <c r="CN14" i="58"/>
  <c r="AA14" i="5"/>
  <c r="R50" i="16"/>
  <c r="S48"/>
  <c r="AH50"/>
  <c r="AI48"/>
  <c r="J50"/>
  <c r="K48"/>
  <c r="Z50"/>
  <c r="AA48"/>
  <c r="AX50" i="13"/>
  <c r="BA48"/>
  <c r="Z47"/>
  <c r="Z48" s="1"/>
  <c r="AA46"/>
  <c r="AA47" i="22"/>
  <c r="O47"/>
  <c r="C47"/>
  <c r="AD47"/>
  <c r="R47"/>
  <c r="F47"/>
  <c r="AG47"/>
  <c r="U47"/>
  <c r="I47"/>
  <c r="X47"/>
  <c r="L47"/>
  <c r="C19"/>
  <c r="C50" s="1"/>
  <c r="L19"/>
  <c r="L50" s="1"/>
  <c r="I19"/>
  <c r="I50" s="1"/>
  <c r="F19"/>
  <c r="F50" s="1"/>
  <c r="BK13" i="7"/>
  <c r="BL13" s="1"/>
  <c r="CF13" i="58" s="1"/>
  <c r="BG12" i="7"/>
  <c r="BY13"/>
  <c r="BZ13" s="1"/>
  <c r="CZ13" i="58" s="1"/>
  <c r="BU12" i="7"/>
  <c r="I45" i="64"/>
  <c r="G10" i="73"/>
  <c r="F11"/>
  <c r="E18" i="41"/>
  <c r="E23" s="1"/>
  <c r="E43" s="1"/>
  <c r="R15" i="5"/>
  <c r="AT15" i="58" s="1"/>
  <c r="N15" i="5"/>
  <c r="Z15" i="58" s="1"/>
  <c r="AD15" i="5"/>
  <c r="DB15" i="58" s="1"/>
  <c r="L15" i="5"/>
  <c r="P15" i="58" s="1"/>
  <c r="P15" i="5"/>
  <c r="AJ15" i="58" s="1"/>
  <c r="O15" i="6"/>
  <c r="BM15" i="58" s="1"/>
  <c r="N16" i="6"/>
  <c r="H42" i="12"/>
  <c r="B44" i="5"/>
  <c r="B14" i="58"/>
  <c r="I14" i="5"/>
  <c r="J14" s="1"/>
  <c r="V14" s="1"/>
  <c r="BN14" i="58" s="1"/>
  <c r="AO11" i="1"/>
  <c r="AQ12"/>
  <c r="E12"/>
  <c r="G13"/>
  <c r="U13" i="5"/>
  <c r="BJ13" i="58"/>
  <c r="T15" i="5"/>
  <c r="BD15" i="58" s="1"/>
  <c r="AB15" i="5"/>
  <c r="CR15" i="58" s="1"/>
  <c r="Z15" i="5"/>
  <c r="CH15" i="58" s="1"/>
  <c r="X15" i="5"/>
  <c r="BX15" i="58" s="1"/>
  <c r="L18" i="41"/>
  <c r="L23" s="1"/>
  <c r="L43" s="1"/>
  <c r="G18"/>
  <c r="G23" s="1"/>
  <c r="G43" s="1"/>
  <c r="I18"/>
  <c r="I23" s="1"/>
  <c r="I43" s="1"/>
  <c r="F18"/>
  <c r="F23" s="1"/>
  <c r="F43" s="1"/>
  <c r="H18"/>
  <c r="H23" s="1"/>
  <c r="H43" s="1"/>
  <c r="C18"/>
  <c r="C23" s="1"/>
  <c r="C43" s="1"/>
  <c r="K18"/>
  <c r="K23" s="1"/>
  <c r="K43" s="1"/>
  <c r="V9" i="3"/>
  <c r="X10"/>
  <c r="Y10" s="1"/>
  <c r="K14" i="5"/>
  <c r="L14" i="58"/>
  <c r="AF14"/>
  <c r="O14" i="5"/>
  <c r="M13" i="1"/>
  <c r="K12"/>
  <c r="Y13"/>
  <c r="W12"/>
  <c r="O46" i="22"/>
  <c r="U46"/>
  <c r="AA46"/>
  <c r="AG46"/>
  <c r="C46"/>
  <c r="F46"/>
  <c r="I46"/>
  <c r="L46"/>
  <c r="R46"/>
  <c r="X46"/>
  <c r="AD46"/>
  <c r="GC8" i="18"/>
  <c r="GE8" s="1"/>
  <c r="GF8" s="1"/>
  <c r="DB9" i="19" s="1"/>
  <c r="AG19" i="22"/>
  <c r="AG50" s="1"/>
  <c r="R19"/>
  <c r="R50" s="1"/>
  <c r="AD19"/>
  <c r="AD50" s="1"/>
  <c r="L45"/>
  <c r="AD45"/>
  <c r="F45"/>
  <c r="I45"/>
  <c r="O19"/>
  <c r="O50" s="1"/>
  <c r="C45"/>
  <c r="R45"/>
  <c r="AA45"/>
  <c r="U19"/>
  <c r="U50" s="1"/>
  <c r="AG45"/>
  <c r="G11" i="75"/>
  <c r="F12"/>
  <c r="G11" i="71"/>
  <c r="F12"/>
  <c r="G11" i="74"/>
  <c r="F12"/>
  <c r="F13" i="70"/>
  <c r="E14"/>
  <c r="F14" s="1"/>
  <c r="FR7" i="18"/>
  <c r="FS7" s="1"/>
  <c r="FP7"/>
  <c r="FQ7" s="1"/>
  <c r="FZ7"/>
  <c r="GA7" s="1"/>
  <c r="FV7"/>
  <c r="FW7" s="1"/>
  <c r="FX7"/>
  <c r="FY7" s="1"/>
  <c r="H10" i="14"/>
  <c r="H10" i="15" s="1"/>
  <c r="I10" i="14"/>
  <c r="L10" i="15" s="1"/>
  <c r="J10" i="14"/>
  <c r="P10" i="15" s="1"/>
  <c r="R10" s="1"/>
  <c r="S10" s="1"/>
  <c r="AH10" i="19" s="1"/>
  <c r="K10" i="14"/>
  <c r="T10" i="15" s="1"/>
  <c r="L10" i="14"/>
  <c r="X10" i="15" s="1"/>
  <c r="Z10" s="1"/>
  <c r="AA10" s="1"/>
  <c r="BB10" i="19" s="1"/>
  <c r="M10" i="14"/>
  <c r="AB10" i="15" s="1"/>
  <c r="N10" i="14"/>
  <c r="AF10" i="15" s="1"/>
  <c r="O10" i="14"/>
  <c r="AJ10" i="15" s="1"/>
  <c r="P10" i="14"/>
  <c r="AN10" i="15" s="1"/>
  <c r="AP10" s="1"/>
  <c r="AQ10" s="1"/>
  <c r="CP10" i="19" s="1"/>
  <c r="Q10" i="14"/>
  <c r="AR10" i="15" s="1"/>
  <c r="C8" i="14"/>
  <c r="G8" s="1"/>
  <c r="G9"/>
  <c r="X45" i="19"/>
  <c r="B18" i="64"/>
  <c r="R19"/>
  <c r="AH19"/>
  <c r="C19"/>
  <c r="D19" s="1"/>
  <c r="E19" s="1"/>
  <c r="F19"/>
  <c r="J19"/>
  <c r="N19"/>
  <c r="V19"/>
  <c r="Z19"/>
  <c r="AD19"/>
  <c r="AL19"/>
  <c r="AP19"/>
  <c r="N8" i="10"/>
  <c r="Z8"/>
  <c r="AX8"/>
  <c r="H8"/>
  <c r="T8"/>
  <c r="V9"/>
  <c r="AF8"/>
  <c r="AH8" s="1"/>
  <c r="AH9"/>
  <c r="AR8"/>
  <c r="BD8"/>
  <c r="BF8" s="1"/>
  <c r="BF9"/>
  <c r="AL8"/>
  <c r="BJ8"/>
  <c r="G13" i="7"/>
  <c r="H13" s="1"/>
  <c r="D13" i="58" s="1"/>
  <c r="C12" i="7"/>
  <c r="X11"/>
  <c r="AB12"/>
  <c r="AC12" s="1"/>
  <c r="AH12" i="58" s="1"/>
  <c r="AL11" i="7"/>
  <c r="AP12"/>
  <c r="AQ12" s="1"/>
  <c r="BB12" i="58" s="1"/>
  <c r="AZ11" i="7"/>
  <c r="BD12"/>
  <c r="BE12" s="1"/>
  <c r="BV12" i="58" s="1"/>
  <c r="J12" i="7"/>
  <c r="N13"/>
  <c r="O13" s="1"/>
  <c r="N13" i="58" s="1"/>
  <c r="BN11" i="7"/>
  <c r="BR12"/>
  <c r="BS12" s="1"/>
  <c r="CP12" i="58" s="1"/>
  <c r="H10" i="3"/>
  <c r="I10" s="1"/>
  <c r="F9"/>
  <c r="B9"/>
  <c r="D10"/>
  <c r="E10" s="1"/>
  <c r="AJ10"/>
  <c r="AK10" s="1"/>
  <c r="AH9"/>
  <c r="AN10"/>
  <c r="AO10" s="1"/>
  <c r="AL9"/>
  <c r="T10"/>
  <c r="U10" s="1"/>
  <c r="R9"/>
  <c r="AP14" i="58"/>
  <c r="Q14" i="5"/>
  <c r="R14" s="1"/>
  <c r="AT14" i="58" s="1"/>
  <c r="V14"/>
  <c r="M14" i="5"/>
  <c r="N14" s="1"/>
  <c r="Z14" i="58" s="1"/>
  <c r="CX14"/>
  <c r="AC14" i="5"/>
  <c r="AD14" s="1"/>
  <c r="DB14" i="58" s="1"/>
  <c r="AE13" i="1"/>
  <c r="AC12"/>
  <c r="S13"/>
  <c r="Q12"/>
  <c r="BO13"/>
  <c r="BM12"/>
  <c r="AJ7" i="18"/>
  <c r="AK7" s="1"/>
  <c r="AP7"/>
  <c r="AQ7" s="1"/>
  <c r="AT7"/>
  <c r="AU7" s="1"/>
  <c r="AL7"/>
  <c r="AM7" s="1"/>
  <c r="AR7"/>
  <c r="AS7" s="1"/>
  <c r="CZ7"/>
  <c r="DA7" s="1"/>
  <c r="DF7"/>
  <c r="DG7" s="1"/>
  <c r="DJ7"/>
  <c r="DK7" s="1"/>
  <c r="DB7"/>
  <c r="DC7" s="1"/>
  <c r="DH7"/>
  <c r="DI7" s="1"/>
  <c r="BR7"/>
  <c r="BS7" s="1"/>
  <c r="BX7"/>
  <c r="BY7" s="1"/>
  <c r="CB7"/>
  <c r="CC7" s="1"/>
  <c r="BT7"/>
  <c r="BU7" s="1"/>
  <c r="BZ7"/>
  <c r="CA7" s="1"/>
  <c r="EH7"/>
  <c r="EI7" s="1"/>
  <c r="EN7"/>
  <c r="EO7" s="1"/>
  <c r="ER7"/>
  <c r="ES7" s="1"/>
  <c r="EJ7"/>
  <c r="EK7" s="1"/>
  <c r="EP7"/>
  <c r="EQ7" s="1"/>
  <c r="AW8"/>
  <c r="AY8" s="1"/>
  <c r="AZ8" s="1"/>
  <c r="Z9" i="19" s="1"/>
  <c r="DM8" i="18"/>
  <c r="DO8" s="1"/>
  <c r="DP8" s="1"/>
  <c r="BN9" i="19" s="1"/>
  <c r="CE8" i="18"/>
  <c r="CG8" s="1"/>
  <c r="CH8" s="1"/>
  <c r="AT9" i="19" s="1"/>
  <c r="EU8" i="18"/>
  <c r="EW8" s="1"/>
  <c r="EX8" s="1"/>
  <c r="CH9" i="19" s="1"/>
  <c r="AP45" i="15"/>
  <c r="E31" i="70"/>
  <c r="G31" s="1"/>
  <c r="F32"/>
  <c r="H31"/>
  <c r="Y45" i="19"/>
  <c r="F11" i="76"/>
  <c r="G10"/>
  <c r="G10" i="77"/>
  <c r="F11"/>
  <c r="K30" i="70"/>
  <c r="B20" i="215" s="1"/>
  <c r="B34" i="6"/>
  <c r="C34" s="1"/>
  <c r="E34" i="58" s="1"/>
  <c r="G11" i="80"/>
  <c r="F12"/>
  <c r="AS45" i="19"/>
  <c r="CG45"/>
  <c r="BM45"/>
  <c r="DA45"/>
  <c r="F33" i="76"/>
  <c r="H33" s="1"/>
  <c r="I33" s="1"/>
  <c r="G34"/>
  <c r="F33" i="75"/>
  <c r="H33" s="1"/>
  <c r="I33" s="1"/>
  <c r="G34"/>
  <c r="F33" i="74"/>
  <c r="H33" s="1"/>
  <c r="I33" s="1"/>
  <c r="G34"/>
  <c r="F33" i="73"/>
  <c r="H33" s="1"/>
  <c r="I33" s="1"/>
  <c r="G34"/>
  <c r="T35" i="6"/>
  <c r="U35" s="1"/>
  <c r="CQ35" i="58" s="1"/>
  <c r="CT35" s="1"/>
  <c r="K21" i="207" s="1"/>
  <c r="L32" i="79"/>
  <c r="K21" i="215" s="1"/>
  <c r="R35" i="6"/>
  <c r="S35" s="1"/>
  <c r="CG35" i="58" s="1"/>
  <c r="CJ35" s="1"/>
  <c r="J21" i="207" s="1"/>
  <c r="L32" i="78"/>
  <c r="J21" i="215" s="1"/>
  <c r="J18" i="41"/>
  <c r="J23" s="1"/>
  <c r="J43" s="1"/>
  <c r="D18"/>
  <c r="D23" s="1"/>
  <c r="D43" s="1"/>
  <c r="BR34" i="58"/>
  <c r="BH34"/>
  <c r="AX34"/>
  <c r="AN34"/>
  <c r="CV34"/>
  <c r="CL34"/>
  <c r="N35" i="6"/>
  <c r="O35" s="1"/>
  <c r="BM35" i="58" s="1"/>
  <c r="BP35" s="1"/>
  <c r="H21" i="207" s="1"/>
  <c r="L32" i="76"/>
  <c r="H21" i="215" s="1"/>
  <c r="L35" i="6"/>
  <c r="M35" s="1"/>
  <c r="BC35" i="58" s="1"/>
  <c r="BF35" s="1"/>
  <c r="G21" i="207" s="1"/>
  <c r="L32" i="75"/>
  <c r="G21" i="215" s="1"/>
  <c r="J35" i="6"/>
  <c r="K35" s="1"/>
  <c r="AS35" i="58" s="1"/>
  <c r="AV35" s="1"/>
  <c r="F21" i="207" s="1"/>
  <c r="L32" i="74"/>
  <c r="F21" i="215" s="1"/>
  <c r="H35" i="6"/>
  <c r="I35" s="1"/>
  <c r="AI35" i="58" s="1"/>
  <c r="AL35" s="1"/>
  <c r="E21" i="207" s="1"/>
  <c r="L32" i="73"/>
  <c r="E21" i="215" s="1"/>
  <c r="F33" i="79"/>
  <c r="H33" s="1"/>
  <c r="I33" s="1"/>
  <c r="G34"/>
  <c r="F33" i="78"/>
  <c r="H33" s="1"/>
  <c r="I33" s="1"/>
  <c r="G34"/>
  <c r="D14" i="6" l="1"/>
  <c r="E13"/>
  <c r="O13" i="58" s="1"/>
  <c r="ED7" i="18"/>
  <c r="EF7" s="1"/>
  <c r="EG7" s="1"/>
  <c r="BX8" i="19" s="1"/>
  <c r="K19" i="64"/>
  <c r="L19" s="1"/>
  <c r="M19" s="1"/>
  <c r="D7" i="227"/>
  <c r="S19" i="64"/>
  <c r="T19" s="1"/>
  <c r="U19" s="1"/>
  <c r="F7" i="227"/>
  <c r="P37" i="58"/>
  <c r="C23" i="216"/>
  <c r="AT37" i="58"/>
  <c r="F23" i="216"/>
  <c r="R15" i="16"/>
  <c r="S15" s="1"/>
  <c r="T15" s="1"/>
  <c r="AS15" i="19" s="1"/>
  <c r="Q14" i="16"/>
  <c r="S14" i="6"/>
  <c r="CG14" i="58" s="1"/>
  <c r="R15" i="6"/>
  <c r="I31" i="219"/>
  <c r="BV45" i="19"/>
  <c r="CF42"/>
  <c r="J28" i="219"/>
  <c r="W14" i="6"/>
  <c r="DA14" i="58" s="1"/>
  <c r="V15" i="6"/>
  <c r="C41" i="5"/>
  <c r="F40"/>
  <c r="H40" s="1"/>
  <c r="F4" i="4"/>
  <c r="V10" i="16"/>
  <c r="W10" s="1"/>
  <c r="X10" s="1"/>
  <c r="BC10" i="19" s="1"/>
  <c r="U9" i="16"/>
  <c r="C9" i="10"/>
  <c r="E10" i="15"/>
  <c r="F10" s="1"/>
  <c r="G10" s="1"/>
  <c r="D10" i="19" s="1"/>
  <c r="D10" i="10"/>
  <c r="C10" i="16"/>
  <c r="D10" s="1"/>
  <c r="E10" i="19" s="1"/>
  <c r="O46" i="14"/>
  <c r="L46"/>
  <c r="X46" i="15" s="1"/>
  <c r="Z46" s="1"/>
  <c r="AA46" s="1"/>
  <c r="Q46" i="14"/>
  <c r="AR46" i="15" s="1"/>
  <c r="AT46" s="1"/>
  <c r="AU46" s="1"/>
  <c r="K46" i="14"/>
  <c r="N46"/>
  <c r="AF46" i="15" s="1"/>
  <c r="AH46" s="1"/>
  <c r="AI46" s="1"/>
  <c r="P46" i="14"/>
  <c r="AN46" i="15" s="1"/>
  <c r="AP46" s="1"/>
  <c r="AQ46" s="1"/>
  <c r="J46" i="14"/>
  <c r="P46" i="15" s="1"/>
  <c r="R46" s="1"/>
  <c r="S46" s="1"/>
  <c r="H46" i="14"/>
  <c r="M46"/>
  <c r="AB46" i="15" s="1"/>
  <c r="AD46" s="1"/>
  <c r="AE46" s="1"/>
  <c r="I46" i="14"/>
  <c r="L46" i="15" s="1"/>
  <c r="N46" s="1"/>
  <c r="O46" s="1"/>
  <c r="BO22" i="19"/>
  <c r="H8" i="210"/>
  <c r="I11" i="15"/>
  <c r="J11" s="1"/>
  <c r="K11" s="1"/>
  <c r="N11" i="19" s="1"/>
  <c r="I10" i="10"/>
  <c r="J11"/>
  <c r="E12" i="16"/>
  <c r="F13"/>
  <c r="G13" s="1"/>
  <c r="H13" s="1"/>
  <c r="O13" i="19" s="1"/>
  <c r="E23" i="29"/>
  <c r="B9" i="224"/>
  <c r="CS22" i="19"/>
  <c r="K8" i="210"/>
  <c r="O19" i="64"/>
  <c r="P19" s="1"/>
  <c r="Q19" s="1"/>
  <c r="E7" i="227"/>
  <c r="AI19" i="64"/>
  <c r="AJ19" s="1"/>
  <c r="AK19" s="1"/>
  <c r="J7" i="227"/>
  <c r="M14" i="6"/>
  <c r="BC14" i="58" s="1"/>
  <c r="L15" i="6"/>
  <c r="B38" i="216"/>
  <c r="B43"/>
  <c r="AS11" i="15"/>
  <c r="AT11" s="1"/>
  <c r="AU11" s="1"/>
  <c r="CZ11" i="19" s="1"/>
  <c r="BK10" i="10"/>
  <c r="BL11"/>
  <c r="AU20" i="29"/>
  <c r="AV20" s="1"/>
  <c r="H6" i="224"/>
  <c r="AI50" i="37"/>
  <c r="AI47"/>
  <c r="BD37" i="58"/>
  <c r="G23" i="216"/>
  <c r="AU22" i="19"/>
  <c r="F8" i="210"/>
  <c r="F14" i="79"/>
  <c r="G14" s="1"/>
  <c r="G13"/>
  <c r="E17" i="26"/>
  <c r="E18" i="28"/>
  <c r="C19" i="207"/>
  <c r="T33" i="58"/>
  <c r="C50" i="37"/>
  <c r="C47"/>
  <c r="G4" i="4"/>
  <c r="I19" i="207"/>
  <c r="CB33" i="58"/>
  <c r="B25" i="216"/>
  <c r="J39" i="5"/>
  <c r="F39" i="58"/>
  <c r="E41" i="124" s="1"/>
  <c r="K41" s="1"/>
  <c r="F40" i="12"/>
  <c r="T43" i="15"/>
  <c r="V43" s="1"/>
  <c r="W43" s="1"/>
  <c r="AL45" i="37"/>
  <c r="BP50" i="2"/>
  <c r="L31" i="72"/>
  <c r="D20" i="215" s="1"/>
  <c r="F34" i="6"/>
  <c r="G34" s="1"/>
  <c r="Y34" i="58" s="1"/>
  <c r="AB34" s="1"/>
  <c r="G48" i="14"/>
  <c r="E50"/>
  <c r="AQ19" i="64"/>
  <c r="AR19" s="1"/>
  <c r="AS19" s="1"/>
  <c r="L7" i="227"/>
  <c r="W19" i="64"/>
  <c r="X19" s="1"/>
  <c r="Y19" s="1"/>
  <c r="G7" i="227"/>
  <c r="G21" i="19"/>
  <c r="B7" i="210"/>
  <c r="Q47" i="19"/>
  <c r="C33" i="210"/>
  <c r="P38" i="5"/>
  <c r="AB38"/>
  <c r="R38"/>
  <c r="L38"/>
  <c r="AD38"/>
  <c r="X38"/>
  <c r="N38"/>
  <c r="V38"/>
  <c r="Z38"/>
  <c r="T38"/>
  <c r="I14" i="16"/>
  <c r="J15"/>
  <c r="K15" s="1"/>
  <c r="L15" s="1"/>
  <c r="Y15" i="19" s="1"/>
  <c r="H46" i="26"/>
  <c r="H13"/>
  <c r="H15" i="28"/>
  <c r="BX37" i="58"/>
  <c r="I23" i="216"/>
  <c r="AJ37" i="58"/>
  <c r="E23" i="216"/>
  <c r="Q9" i="15"/>
  <c r="U8" i="10"/>
  <c r="Q8" i="15" s="1"/>
  <c r="Z23" i="29"/>
  <c r="AA23" s="1"/>
  <c r="E9" i="224"/>
  <c r="C41" i="12"/>
  <c r="H44" i="15"/>
  <c r="J44" s="1"/>
  <c r="K44" s="1"/>
  <c r="CD13" i="58"/>
  <c r="Y13" i="5"/>
  <c r="J4" i="4"/>
  <c r="BI23" i="29"/>
  <c r="BJ23" s="1"/>
  <c r="J9" i="224"/>
  <c r="C17" i="28"/>
  <c r="C16" i="26"/>
  <c r="BR48" i="2"/>
  <c r="BU50"/>
  <c r="BN48"/>
  <c r="BT48"/>
  <c r="Z15" i="16"/>
  <c r="AA15" s="1"/>
  <c r="AB15" s="1"/>
  <c r="BM15" i="19" s="1"/>
  <c r="Y14" i="16"/>
  <c r="AG23" i="29"/>
  <c r="AH23" s="1"/>
  <c r="F9" i="224"/>
  <c r="AO13" i="16"/>
  <c r="AP14"/>
  <c r="AQ14" s="1"/>
  <c r="AR14" s="1"/>
  <c r="DA14" i="19" s="1"/>
  <c r="L31" i="71"/>
  <c r="C20" i="215" s="1"/>
  <c r="D34" i="6"/>
  <c r="E34" s="1"/>
  <c r="O34" i="58" s="1"/>
  <c r="R34" s="1"/>
  <c r="Q22" i="19"/>
  <c r="C8" i="210"/>
  <c r="D46" i="26"/>
  <c r="D13"/>
  <c r="D15" i="28"/>
  <c r="I17" i="26"/>
  <c r="I18" i="28"/>
  <c r="G33" i="77"/>
  <c r="F32"/>
  <c r="H32" s="1"/>
  <c r="I32" s="1"/>
  <c r="L47" i="37"/>
  <c r="L50"/>
  <c r="E5" i="220"/>
  <c r="AI19" i="19"/>
  <c r="AI50" s="1"/>
  <c r="P50" i="16"/>
  <c r="AG50" i="37"/>
  <c r="AG47"/>
  <c r="AE19" i="64"/>
  <c r="AF19" s="1"/>
  <c r="AG19" s="1"/>
  <c r="I7" i="227"/>
  <c r="T15" i="6"/>
  <c r="U14"/>
  <c r="CQ14" i="58" s="1"/>
  <c r="Z37"/>
  <c r="D23" i="216"/>
  <c r="T45" i="37"/>
  <c r="AJ50" i="2"/>
  <c r="K16" i="26"/>
  <c r="K17" i="28"/>
  <c r="V34" i="6"/>
  <c r="W34" s="1"/>
  <c r="DA34" i="58" s="1"/>
  <c r="DD34" s="1"/>
  <c r="L31" i="80"/>
  <c r="L20" i="215" s="1"/>
  <c r="G13" i="6"/>
  <c r="Y13" i="58" s="1"/>
  <c r="F14" i="6"/>
  <c r="L16" i="28"/>
  <c r="L15" i="26"/>
  <c r="AK9" i="16"/>
  <c r="AL10"/>
  <c r="AM10" s="1"/>
  <c r="AN10" s="1"/>
  <c r="CQ10" i="19" s="1"/>
  <c r="AR42"/>
  <c r="F28" i="219"/>
  <c r="G17" i="28"/>
  <c r="G16" i="26"/>
  <c r="AS10" i="10"/>
  <c r="AG11" i="15"/>
  <c r="AH11" s="1"/>
  <c r="AI11" s="1"/>
  <c r="BV11" i="19" s="1"/>
  <c r="AT11" i="10"/>
  <c r="G33" i="72"/>
  <c r="F32"/>
  <c r="H32" s="1"/>
  <c r="I32" s="1"/>
  <c r="E47" i="37"/>
  <c r="E50"/>
  <c r="N22" i="133"/>
  <c r="N34"/>
  <c r="N42"/>
  <c r="N26"/>
  <c r="N39"/>
  <c r="N31"/>
  <c r="N47"/>
  <c r="N50"/>
  <c r="N28"/>
  <c r="N37"/>
  <c r="N33"/>
  <c r="N29"/>
  <c r="N25"/>
  <c r="N23"/>
  <c r="N44"/>
  <c r="N45"/>
  <c r="N40"/>
  <c r="N36"/>
  <c r="N27"/>
  <c r="N32"/>
  <c r="N30"/>
  <c r="N35"/>
  <c r="N24"/>
  <c r="N38"/>
  <c r="N43"/>
  <c r="N46"/>
  <c r="R50" i="37"/>
  <c r="R47"/>
  <c r="AM19" i="64"/>
  <c r="AN19" s="1"/>
  <c r="AO19" s="1"/>
  <c r="K7" i="227"/>
  <c r="CR37" i="58"/>
  <c r="K23" i="216"/>
  <c r="S45" i="37"/>
  <c r="AH50" i="2"/>
  <c r="B50" i="37"/>
  <c r="B47"/>
  <c r="AA22" i="19"/>
  <c r="D8" i="210"/>
  <c r="D50" i="37"/>
  <c r="D47"/>
  <c r="AA9" i="10"/>
  <c r="U10" i="15"/>
  <c r="V10" s="1"/>
  <c r="W10" s="1"/>
  <c r="AR10" i="19" s="1"/>
  <c r="AB10" i="10"/>
  <c r="DC22" i="19"/>
  <c r="L8" i="210"/>
  <c r="BA11" i="1"/>
  <c r="BC12"/>
  <c r="M10" i="15"/>
  <c r="O9" i="10"/>
  <c r="P10"/>
  <c r="CI22" i="19"/>
  <c r="J8" i="210"/>
  <c r="F17" i="26"/>
  <c r="F18" i="28"/>
  <c r="N50" i="37"/>
  <c r="N47"/>
  <c r="AD15" i="16"/>
  <c r="AE15" s="1"/>
  <c r="AF15" s="1"/>
  <c r="BW15" i="19" s="1"/>
  <c r="AC14" i="16"/>
  <c r="S20" i="29"/>
  <c r="T20" s="1"/>
  <c r="D6" i="224"/>
  <c r="BB23" i="29"/>
  <c r="BC23" s="1"/>
  <c r="I9" i="224"/>
  <c r="P34" i="6"/>
  <c r="Q34" s="1"/>
  <c r="BW34" i="58" s="1"/>
  <c r="BZ34" s="1"/>
  <c r="L31" i="77"/>
  <c r="I20" i="215" s="1"/>
  <c r="L41" i="220"/>
  <c r="L37"/>
  <c r="L42"/>
  <c r="L36"/>
  <c r="AH11" i="16"/>
  <c r="AI11" s="1"/>
  <c r="AJ11" s="1"/>
  <c r="CG11" i="19" s="1"/>
  <c r="AG10" i="16"/>
  <c r="I13" i="6"/>
  <c r="AI13" i="58" s="1"/>
  <c r="H14" i="6"/>
  <c r="AH47" i="37"/>
  <c r="AH50"/>
  <c r="I44" i="220"/>
  <c r="I39"/>
  <c r="H34" i="58"/>
  <c r="B20" i="207" s="1"/>
  <c r="C36" i="124"/>
  <c r="I36" s="1"/>
  <c r="AA19" i="64"/>
  <c r="AB19" s="1"/>
  <c r="AC19" s="1"/>
  <c r="H7" i="227"/>
  <c r="G19" i="64"/>
  <c r="H19" s="1"/>
  <c r="I19" s="1"/>
  <c r="C7" i="227"/>
  <c r="B17" i="64"/>
  <c r="B6" i="227"/>
  <c r="I4" i="161"/>
  <c r="L4"/>
  <c r="F24" i="29"/>
  <c r="J8" i="171"/>
  <c r="CH37" i="58"/>
  <c r="J23" i="216"/>
  <c r="BN37" i="58"/>
  <c r="H23" i="216"/>
  <c r="DB37" i="58"/>
  <c r="L23" i="216"/>
  <c r="Q45" i="37"/>
  <c r="AD50" i="2"/>
  <c r="BP22" i="29"/>
  <c r="BQ22" s="1"/>
  <c r="K8" i="224"/>
  <c r="G31" i="219"/>
  <c r="BB45" i="19"/>
  <c r="BY22"/>
  <c r="I8" i="210"/>
  <c r="G33" i="80"/>
  <c r="F32"/>
  <c r="H32" s="1"/>
  <c r="I32" s="1"/>
  <c r="N15" i="16"/>
  <c r="O15" s="1"/>
  <c r="P15" s="1"/>
  <c r="AI15" i="19" s="1"/>
  <c r="M14" i="16"/>
  <c r="N43" i="19"/>
  <c r="C29" i="219"/>
  <c r="AC11" i="15"/>
  <c r="AD11" s="1"/>
  <c r="AE11" s="1"/>
  <c r="BL11" i="19" s="1"/>
  <c r="AM10" i="10"/>
  <c r="AN11"/>
  <c r="F12" i="72"/>
  <c r="G11"/>
  <c r="B4" i="4"/>
  <c r="AU9" i="58" s="1"/>
  <c r="J40" i="12"/>
  <c r="AJ43" i="15"/>
  <c r="AL43" s="1"/>
  <c r="AM43" s="1"/>
  <c r="BW21" i="29"/>
  <c r="BX21" s="1"/>
  <c r="L7" i="224"/>
  <c r="AY9" i="10"/>
  <c r="AK10" i="15"/>
  <c r="AZ10" i="10"/>
  <c r="AK22" i="19"/>
  <c r="E8" i="210"/>
  <c r="P14" i="6"/>
  <c r="Q13"/>
  <c r="BW13" i="58" s="1"/>
  <c r="J18" i="28"/>
  <c r="J17" i="26"/>
  <c r="L22" i="29"/>
  <c r="M22" s="1"/>
  <c r="C8" i="224"/>
  <c r="F14" i="78"/>
  <c r="G14" s="1"/>
  <c r="G13"/>
  <c r="AF47" i="37"/>
  <c r="AF50"/>
  <c r="AN22" i="29"/>
  <c r="AO22" s="1"/>
  <c r="G8" i="224"/>
  <c r="G33" i="71"/>
  <c r="F32"/>
  <c r="H32" s="1"/>
  <c r="I32" s="1"/>
  <c r="G39" i="220"/>
  <c r="G44"/>
  <c r="O50" i="37"/>
  <c r="O47"/>
  <c r="D19" i="207"/>
  <c r="AD33" i="58"/>
  <c r="BE22" i="19"/>
  <c r="G8" i="210"/>
  <c r="L19" i="207"/>
  <c r="DF33" i="58"/>
  <c r="B18" i="28"/>
  <c r="B17" i="26"/>
  <c r="AL10" i="15"/>
  <c r="AM10" s="1"/>
  <c r="CF10" i="19" s="1"/>
  <c r="V8" i="10"/>
  <c r="N10" i="15"/>
  <c r="O10" s="1"/>
  <c r="X10" i="19" s="1"/>
  <c r="N49" i="133"/>
  <c r="N51"/>
  <c r="J34" i="58"/>
  <c r="F36" i="124"/>
  <c r="L36" s="1"/>
  <c r="Z50" i="13"/>
  <c r="AA48"/>
  <c r="BA50"/>
  <c r="AA50" i="16"/>
  <c r="AB48"/>
  <c r="H34" i="220" s="1"/>
  <c r="K50" i="16"/>
  <c r="L48"/>
  <c r="D34" i="220" s="1"/>
  <c r="AI50" i="16"/>
  <c r="AJ48"/>
  <c r="J34" i="220" s="1"/>
  <c r="S50" i="16"/>
  <c r="T48"/>
  <c r="F34" i="220" s="1"/>
  <c r="BG11" i="1"/>
  <c r="BI12"/>
  <c r="CN13" i="58"/>
  <c r="AA13" i="5"/>
  <c r="AS11" i="7"/>
  <c r="AW12"/>
  <c r="AX12" s="1"/>
  <c r="BL12" i="58" s="1"/>
  <c r="AE11" i="7"/>
  <c r="AI12"/>
  <c r="AJ12" s="1"/>
  <c r="AR12" i="58" s="1"/>
  <c r="Q11" i="7"/>
  <c r="U12"/>
  <c r="V12" s="1"/>
  <c r="X12" i="58" s="1"/>
  <c r="AW12" i="1"/>
  <c r="AU11"/>
  <c r="BT13" i="58"/>
  <c r="W13" i="5"/>
  <c r="AK12" i="1"/>
  <c r="AI11"/>
  <c r="AZ13" i="58"/>
  <c r="S13" i="5"/>
  <c r="AD50" i="16"/>
  <c r="AE48"/>
  <c r="V50"/>
  <c r="W48"/>
  <c r="BF50" i="13"/>
  <c r="AS50"/>
  <c r="AU48"/>
  <c r="H43" i="12"/>
  <c r="H44" s="1"/>
  <c r="BY12" i="7"/>
  <c r="BZ12" s="1"/>
  <c r="CZ12" i="58" s="1"/>
  <c r="BU11" i="7"/>
  <c r="BK12"/>
  <c r="BL12" s="1"/>
  <c r="CF12" i="58" s="1"/>
  <c r="BG11" i="7"/>
  <c r="F12" i="73"/>
  <c r="G11"/>
  <c r="O16" i="6"/>
  <c r="BM16" i="58" s="1"/>
  <c r="N17" i="6"/>
  <c r="O17" s="1"/>
  <c r="BM17" i="58" s="1"/>
  <c r="P14" i="5"/>
  <c r="AJ14" i="58" s="1"/>
  <c r="B45" i="5"/>
  <c r="E11" i="1"/>
  <c r="G12"/>
  <c r="AQ11"/>
  <c r="AO10"/>
  <c r="GC7" i="18"/>
  <c r="GE7" s="1"/>
  <c r="GF7" s="1"/>
  <c r="DB8" i="19" s="1"/>
  <c r="L14" i="5"/>
  <c r="P14" i="58" s="1"/>
  <c r="I13" i="5"/>
  <c r="J13" s="1"/>
  <c r="V13" s="1"/>
  <c r="BN13" i="58" s="1"/>
  <c r="B13"/>
  <c r="U12" i="5"/>
  <c r="BJ12" i="58"/>
  <c r="X14" i="5"/>
  <c r="BX14" i="58" s="1"/>
  <c r="Z14" i="5"/>
  <c r="CH14" i="58" s="1"/>
  <c r="T14" i="5"/>
  <c r="BD14" i="58" s="1"/>
  <c r="AB14" i="5"/>
  <c r="CR14" i="58" s="1"/>
  <c r="X9" i="3"/>
  <c r="Y9" s="1"/>
  <c r="V8"/>
  <c r="X8" s="1"/>
  <c r="Y8" s="1"/>
  <c r="AF13" i="58"/>
  <c r="O13" i="5"/>
  <c r="L13" i="58"/>
  <c r="K13" i="5"/>
  <c r="Y12" i="1"/>
  <c r="W11"/>
  <c r="M12"/>
  <c r="K11"/>
  <c r="F13" i="75"/>
  <c r="G12"/>
  <c r="G12" i="74"/>
  <c r="F13"/>
  <c r="G12" i="71"/>
  <c r="F13"/>
  <c r="I8" i="14"/>
  <c r="K8"/>
  <c r="T8" i="15" s="1"/>
  <c r="M8" i="14"/>
  <c r="AB8" i="15" s="1"/>
  <c r="O8" i="14"/>
  <c r="AJ8" i="15" s="1"/>
  <c r="Q8" i="14"/>
  <c r="AR8" i="15" s="1"/>
  <c r="H8" i="14"/>
  <c r="H8" i="15" s="1"/>
  <c r="J8" i="14"/>
  <c r="L8"/>
  <c r="X8" i="15" s="1"/>
  <c r="Z8" s="1"/>
  <c r="AA8" s="1"/>
  <c r="BB8" i="19" s="1"/>
  <c r="N8" i="14"/>
  <c r="AF8" i="15" s="1"/>
  <c r="P8" i="14"/>
  <c r="AN8" i="15" s="1"/>
  <c r="AP8" s="1"/>
  <c r="AQ8" s="1"/>
  <c r="CP8" i="19" s="1"/>
  <c r="I9" i="14"/>
  <c r="L9" i="15" s="1"/>
  <c r="K9" i="14"/>
  <c r="T9" i="15" s="1"/>
  <c r="M9" i="14"/>
  <c r="AB9" i="15" s="1"/>
  <c r="O9" i="14"/>
  <c r="AJ9" i="15" s="1"/>
  <c r="Q9" i="14"/>
  <c r="AR9" i="15" s="1"/>
  <c r="H9" i="14"/>
  <c r="H9" i="15" s="1"/>
  <c r="J9" i="14"/>
  <c r="P9" i="15" s="1"/>
  <c r="R9" s="1"/>
  <c r="S9" s="1"/>
  <c r="AH9" i="19" s="1"/>
  <c r="L9" i="14"/>
  <c r="X9" i="15" s="1"/>
  <c r="Z9" s="1"/>
  <c r="AA9" s="1"/>
  <c r="BB9" i="19" s="1"/>
  <c r="N9" i="14"/>
  <c r="AF9" i="15" s="1"/>
  <c r="P9" i="14"/>
  <c r="AN9" i="15" s="1"/>
  <c r="AP9" s="1"/>
  <c r="AQ9" s="1"/>
  <c r="CP9" i="19" s="1"/>
  <c r="AE45" i="15"/>
  <c r="H31" i="219" s="1"/>
  <c r="C18" i="64"/>
  <c r="D18" s="1"/>
  <c r="E18" s="1"/>
  <c r="N18"/>
  <c r="AD18"/>
  <c r="F18"/>
  <c r="J18"/>
  <c r="R18"/>
  <c r="V18"/>
  <c r="Z18"/>
  <c r="AH18"/>
  <c r="AL18"/>
  <c r="AP18"/>
  <c r="BH8" i="10"/>
  <c r="BG8"/>
  <c r="BG9" s="1"/>
  <c r="BG10" s="1"/>
  <c r="BG11" s="1"/>
  <c r="BG12" s="1"/>
  <c r="BG13" s="1"/>
  <c r="BG14" s="1"/>
  <c r="BG15" s="1"/>
  <c r="BG16" s="1"/>
  <c r="BG17" s="1"/>
  <c r="BG19" s="1"/>
  <c r="BG20" s="1"/>
  <c r="BG21" s="1"/>
  <c r="BG22" s="1"/>
  <c r="BG23" s="1"/>
  <c r="BG24" s="1"/>
  <c r="BG25" s="1"/>
  <c r="BG26" s="1"/>
  <c r="BG27" s="1"/>
  <c r="BG28" s="1"/>
  <c r="BG29" s="1"/>
  <c r="BG30" s="1"/>
  <c r="BG31" s="1"/>
  <c r="BG32" s="1"/>
  <c r="BG33" s="1"/>
  <c r="BG34" s="1"/>
  <c r="BG35" s="1"/>
  <c r="BG36" s="1"/>
  <c r="BG37" s="1"/>
  <c r="BG38" s="1"/>
  <c r="BG39" s="1"/>
  <c r="BG40" s="1"/>
  <c r="BG41" s="1"/>
  <c r="BG42" s="1"/>
  <c r="BG43" s="1"/>
  <c r="BG44" s="1"/>
  <c r="AJ8"/>
  <c r="AI8"/>
  <c r="AI9" s="1"/>
  <c r="AI10" s="1"/>
  <c r="AI11" s="1"/>
  <c r="AI12" s="1"/>
  <c r="AI13" s="1"/>
  <c r="AI14" s="1"/>
  <c r="AI15" s="1"/>
  <c r="AI16" s="1"/>
  <c r="AI17" s="1"/>
  <c r="AI19" s="1"/>
  <c r="AI20" s="1"/>
  <c r="AI21" s="1"/>
  <c r="AI22" s="1"/>
  <c r="AI23" s="1"/>
  <c r="AI24" s="1"/>
  <c r="AI25" s="1"/>
  <c r="AI26" s="1"/>
  <c r="AI27" s="1"/>
  <c r="AI28" s="1"/>
  <c r="AI29" s="1"/>
  <c r="AI30" s="1"/>
  <c r="AI31" s="1"/>
  <c r="AI32" s="1"/>
  <c r="AI33" s="1"/>
  <c r="AI34" s="1"/>
  <c r="AI35" s="1"/>
  <c r="AI36" s="1"/>
  <c r="AI37" s="1"/>
  <c r="AI38" s="1"/>
  <c r="AI39" s="1"/>
  <c r="AI40" s="1"/>
  <c r="AI41" s="1"/>
  <c r="AI42" s="1"/>
  <c r="AI43" s="1"/>
  <c r="AI44" s="1"/>
  <c r="X8"/>
  <c r="W8"/>
  <c r="W9" s="1"/>
  <c r="W10" s="1"/>
  <c r="W11" s="1"/>
  <c r="W12" s="1"/>
  <c r="W13" s="1"/>
  <c r="W14" s="1"/>
  <c r="W15" s="1"/>
  <c r="W16" s="1"/>
  <c r="W17" s="1"/>
  <c r="W19" s="1"/>
  <c r="W20" s="1"/>
  <c r="W21" s="1"/>
  <c r="W22" s="1"/>
  <c r="W23" s="1"/>
  <c r="W24" s="1"/>
  <c r="W25" s="1"/>
  <c r="W26" s="1"/>
  <c r="W27" s="1"/>
  <c r="W28" s="1"/>
  <c r="W29" s="1"/>
  <c r="W30" s="1"/>
  <c r="W31" s="1"/>
  <c r="W32" s="1"/>
  <c r="W33" s="1"/>
  <c r="W34" s="1"/>
  <c r="W35" s="1"/>
  <c r="W36" s="1"/>
  <c r="W37" s="1"/>
  <c r="W38" s="1"/>
  <c r="W39" s="1"/>
  <c r="W40" s="1"/>
  <c r="W41" s="1"/>
  <c r="W42" s="1"/>
  <c r="W43" s="1"/>
  <c r="W44" s="1"/>
  <c r="J11" i="7"/>
  <c r="N12"/>
  <c r="O12" s="1"/>
  <c r="N12" i="58" s="1"/>
  <c r="AZ10" i="7"/>
  <c r="BD11"/>
  <c r="BE11" s="1"/>
  <c r="BV11" i="58" s="1"/>
  <c r="AL10" i="7"/>
  <c r="AP11"/>
  <c r="AQ11" s="1"/>
  <c r="BB11" i="58" s="1"/>
  <c r="X10" i="7"/>
  <c r="AB11"/>
  <c r="AC11" s="1"/>
  <c r="AH11" i="58" s="1"/>
  <c r="BN10" i="7"/>
  <c r="BR11"/>
  <c r="BS11" s="1"/>
  <c r="CP11" i="58" s="1"/>
  <c r="C11" i="7"/>
  <c r="G12"/>
  <c r="H12" s="1"/>
  <c r="D12" i="58" s="1"/>
  <c r="F8" i="3"/>
  <c r="H8" s="1"/>
  <c r="I8" s="1"/>
  <c r="H9"/>
  <c r="I9" s="1"/>
  <c r="R8"/>
  <c r="T8" s="1"/>
  <c r="U8" s="1"/>
  <c r="T9"/>
  <c r="U9" s="1"/>
  <c r="AL8"/>
  <c r="AN8" s="1"/>
  <c r="AO8" s="1"/>
  <c r="AN9"/>
  <c r="AO9" s="1"/>
  <c r="AH8"/>
  <c r="AJ8" s="1"/>
  <c r="AK8" s="1"/>
  <c r="AJ9"/>
  <c r="AK9" s="1"/>
  <c r="B8"/>
  <c r="D8" s="1"/>
  <c r="E8" s="1"/>
  <c r="C10" i="58" s="1"/>
  <c r="D9" i="3"/>
  <c r="E9" s="1"/>
  <c r="AC13" i="5"/>
  <c r="AD13" s="1"/>
  <c r="DB13" i="58" s="1"/>
  <c r="CX13"/>
  <c r="M13" i="5"/>
  <c r="V13" i="58"/>
  <c r="Q13" i="5"/>
  <c r="R13" s="1"/>
  <c r="AT13" i="58" s="1"/>
  <c r="AP13"/>
  <c r="BO12" i="1"/>
  <c r="BM11"/>
  <c r="S12"/>
  <c r="Q11"/>
  <c r="AE12"/>
  <c r="AC11"/>
  <c r="CE7" i="18"/>
  <c r="CG7" s="1"/>
  <c r="CH7" s="1"/>
  <c r="AT8" i="19" s="1"/>
  <c r="AW7" i="18"/>
  <c r="AY7" s="1"/>
  <c r="AZ7" s="1"/>
  <c r="Z8" i="19" s="1"/>
  <c r="EU7" i="18"/>
  <c r="EW7" s="1"/>
  <c r="EX7" s="1"/>
  <c r="CH8" i="19" s="1"/>
  <c r="DM7" i="18"/>
  <c r="DO7" s="1"/>
  <c r="DP7" s="1"/>
  <c r="BN8" i="19" s="1"/>
  <c r="BW45"/>
  <c r="AI45"/>
  <c r="G11" i="76"/>
  <c r="F12"/>
  <c r="CQ45" i="19"/>
  <c r="BC45"/>
  <c r="O45"/>
  <c r="E32" i="70"/>
  <c r="F46"/>
  <c r="F33"/>
  <c r="H32"/>
  <c r="AQ45" i="15"/>
  <c r="K31" i="219" s="1"/>
  <c r="F13" i="80"/>
  <c r="G12"/>
  <c r="AU45" i="15"/>
  <c r="L31" i="219" s="1"/>
  <c r="F12" i="77"/>
  <c r="G11"/>
  <c r="B35" i="6"/>
  <c r="C35" s="1"/>
  <c r="E35" i="58" s="1"/>
  <c r="K31" i="70"/>
  <c r="B21" i="215" s="1"/>
  <c r="S45" i="15"/>
  <c r="E31" i="219" s="1"/>
  <c r="T36" i="6"/>
  <c r="U36" s="1"/>
  <c r="CQ36" i="58" s="1"/>
  <c r="CT36" s="1"/>
  <c r="K22" i="207" s="1"/>
  <c r="L33" i="79"/>
  <c r="K22" i="215" s="1"/>
  <c r="F34" i="78"/>
  <c r="H34" s="1"/>
  <c r="I34" s="1"/>
  <c r="G35"/>
  <c r="F34" i="79"/>
  <c r="H34" s="1"/>
  <c r="I34" s="1"/>
  <c r="G35"/>
  <c r="H36" i="6"/>
  <c r="I36" s="1"/>
  <c r="AI36" i="58" s="1"/>
  <c r="AL36" s="1"/>
  <c r="E22" i="207" s="1"/>
  <c r="L33" i="73"/>
  <c r="E22" i="215" s="1"/>
  <c r="J36" i="6"/>
  <c r="K36" s="1"/>
  <c r="AS36" i="58" s="1"/>
  <c r="AV36" s="1"/>
  <c r="F22" i="207" s="1"/>
  <c r="L33" i="74"/>
  <c r="F22" i="215" s="1"/>
  <c r="L36" i="6"/>
  <c r="M36" s="1"/>
  <c r="BC36" i="58" s="1"/>
  <c r="BF36" s="1"/>
  <c r="G22" i="207" s="1"/>
  <c r="L33" i="75"/>
  <c r="G22" i="215" s="1"/>
  <c r="N36" i="6"/>
  <c r="O36" s="1"/>
  <c r="BM36" i="58" s="1"/>
  <c r="BP36" s="1"/>
  <c r="H22" i="207" s="1"/>
  <c r="L33" i="76"/>
  <c r="H22" i="215" s="1"/>
  <c r="R36" i="6"/>
  <c r="S36" s="1"/>
  <c r="CG36" i="58" s="1"/>
  <c r="CJ36" s="1"/>
  <c r="J22" i="207" s="1"/>
  <c r="L33" i="78"/>
  <c r="J22" i="215" s="1"/>
  <c r="AN35" i="58"/>
  <c r="AX35"/>
  <c r="BH35"/>
  <c r="BR35"/>
  <c r="CL35"/>
  <c r="CV35"/>
  <c r="F34" i="73"/>
  <c r="H34" s="1"/>
  <c r="I34" s="1"/>
  <c r="G35"/>
  <c r="F34" i="74"/>
  <c r="H34" s="1"/>
  <c r="I34" s="1"/>
  <c r="G35"/>
  <c r="F34" i="75"/>
  <c r="H34" s="1"/>
  <c r="I34" s="1"/>
  <c r="G35"/>
  <c r="F34" i="76"/>
  <c r="H34" s="1"/>
  <c r="I34" s="1"/>
  <c r="G35"/>
  <c r="D15" i="6" l="1"/>
  <c r="E14"/>
  <c r="O14" i="58" s="1"/>
  <c r="BL46" i="19"/>
  <c r="H32" i="219"/>
  <c r="W18" i="64"/>
  <c r="X18" s="1"/>
  <c r="Y18" s="1"/>
  <c r="G6" i="227"/>
  <c r="H36" i="220"/>
  <c r="H41"/>
  <c r="AC10" i="15"/>
  <c r="AD10" s="1"/>
  <c r="AE10" s="1"/>
  <c r="BL10" i="19" s="1"/>
  <c r="AM9" i="10"/>
  <c r="AN10"/>
  <c r="AG22" i="29"/>
  <c r="AH22" s="1"/>
  <c r="F8" i="224"/>
  <c r="D46" i="28"/>
  <c r="D5" i="224"/>
  <c r="S19" i="29"/>
  <c r="AP13" i="16"/>
  <c r="AQ13" s="1"/>
  <c r="AR13" s="1"/>
  <c r="DA13" i="19" s="1"/>
  <c r="AO12" i="16"/>
  <c r="AM45" i="37"/>
  <c r="BR50" i="2"/>
  <c r="H12" i="26"/>
  <c r="H13" i="28"/>
  <c r="AU17" i="29" s="1"/>
  <c r="AV17" s="1"/>
  <c r="BD38" i="58"/>
  <c r="G24" i="216"/>
  <c r="CR38" i="58"/>
  <c r="K24" i="216"/>
  <c r="AR43" i="19"/>
  <c r="F29" i="219"/>
  <c r="BV46" i="19"/>
  <c r="I32" i="219"/>
  <c r="E9" i="15"/>
  <c r="F9" s="1"/>
  <c r="G9" s="1"/>
  <c r="D9" i="19" s="1"/>
  <c r="C9" i="16"/>
  <c r="D9" s="1"/>
  <c r="E9" i="19" s="1"/>
  <c r="C8" i="10"/>
  <c r="D9"/>
  <c r="E22" i="29"/>
  <c r="B8" i="224"/>
  <c r="G34" i="71"/>
  <c r="F33"/>
  <c r="H33" s="1"/>
  <c r="I33" s="1"/>
  <c r="BI22" i="29"/>
  <c r="BJ22" s="1"/>
  <c r="J8" i="224"/>
  <c r="G34" i="80"/>
  <c r="F33"/>
  <c r="H33" s="1"/>
  <c r="I33" s="1"/>
  <c r="BO21" i="19"/>
  <c r="H7" i="210"/>
  <c r="CD12" i="58"/>
  <c r="Y12" i="5"/>
  <c r="AL9" i="16"/>
  <c r="AM9" s="1"/>
  <c r="AN9" s="1"/>
  <c r="CQ9" i="19" s="1"/>
  <c r="AK8" i="16"/>
  <c r="AL8" s="1"/>
  <c r="AM8" s="1"/>
  <c r="AN8" s="1"/>
  <c r="CQ8" i="19" s="1"/>
  <c r="BY21"/>
  <c r="I7" i="210"/>
  <c r="I16" i="26"/>
  <c r="I17" i="28"/>
  <c r="H46"/>
  <c r="H5" i="224"/>
  <c r="AU19" i="29"/>
  <c r="Z38" i="58"/>
  <c r="D24" i="216"/>
  <c r="AT38" i="58"/>
  <c r="F24" i="216"/>
  <c r="AL50" i="37"/>
  <c r="AL47"/>
  <c r="F23" i="29"/>
  <c r="J7" i="171"/>
  <c r="X46" i="19"/>
  <c r="D32" i="219"/>
  <c r="CP46" i="19"/>
  <c r="CP68" s="1"/>
  <c r="K32" i="219"/>
  <c r="BB46" i="19"/>
  <c r="G32" i="219"/>
  <c r="W15" i="6"/>
  <c r="DA15" i="58" s="1"/>
  <c r="V16" i="6"/>
  <c r="Q13" i="16"/>
  <c r="R14"/>
  <c r="S14" s="1"/>
  <c r="T14" s="1"/>
  <c r="AS14" i="19" s="1"/>
  <c r="H35" i="58"/>
  <c r="B21" i="207" s="1"/>
  <c r="C37" i="124"/>
  <c r="I37" s="1"/>
  <c r="AI18" i="64"/>
  <c r="AJ18" s="1"/>
  <c r="AK18" s="1"/>
  <c r="J6" i="227"/>
  <c r="K18" i="64"/>
  <c r="L18" s="1"/>
  <c r="M18" s="1"/>
  <c r="D6" i="227"/>
  <c r="G20" i="19"/>
  <c r="B6" i="210"/>
  <c r="F41" i="220"/>
  <c r="F36"/>
  <c r="D41"/>
  <c r="D36"/>
  <c r="B17" i="28"/>
  <c r="B16" i="26"/>
  <c r="L32" i="71"/>
  <c r="C21" i="215" s="1"/>
  <c r="D35" i="6"/>
  <c r="E35" s="1"/>
  <c r="O35" i="58" s="1"/>
  <c r="R35" s="1"/>
  <c r="J16" i="26"/>
  <c r="J17" i="28"/>
  <c r="AK9" i="15"/>
  <c r="AY8" i="10"/>
  <c r="AZ9"/>
  <c r="J41" i="12"/>
  <c r="AJ44" i="15"/>
  <c r="AL44" s="1"/>
  <c r="AM44" s="1"/>
  <c r="F13" i="72"/>
  <c r="G12"/>
  <c r="L32" i="80"/>
  <c r="L21" i="215" s="1"/>
  <c r="V35" i="6"/>
  <c r="W35" s="1"/>
  <c r="DA35" i="58" s="1"/>
  <c r="DD35" s="1"/>
  <c r="H15" i="6"/>
  <c r="I14"/>
  <c r="AI14" i="58" s="1"/>
  <c r="S50" i="37"/>
  <c r="S47"/>
  <c r="CS21" i="19"/>
  <c r="K7" i="210"/>
  <c r="G34" i="72"/>
  <c r="F33"/>
  <c r="H33" s="1"/>
  <c r="I33" s="1"/>
  <c r="G16" i="28"/>
  <c r="G15" i="26"/>
  <c r="F15" i="6"/>
  <c r="G14"/>
  <c r="Y14" i="58" s="1"/>
  <c r="BP21" i="29"/>
  <c r="BQ21" s="1"/>
  <c r="K7" i="224"/>
  <c r="BB22" i="29"/>
  <c r="BC22" s="1"/>
  <c r="I8" i="224"/>
  <c r="AK45" i="37"/>
  <c r="BN50" i="2"/>
  <c r="L21" i="29"/>
  <c r="M21" s="1"/>
  <c r="C7" i="224"/>
  <c r="C42" i="12"/>
  <c r="H45" i="15"/>
  <c r="J45" s="1"/>
  <c r="K45" s="1"/>
  <c r="BN38" i="58"/>
  <c r="H24" i="216"/>
  <c r="P38" i="58"/>
  <c r="C24" i="216"/>
  <c r="E17" i="28"/>
  <c r="E16" i="26"/>
  <c r="AS10" i="15"/>
  <c r="AT10" s="1"/>
  <c r="AU10" s="1"/>
  <c r="CZ10" i="19" s="1"/>
  <c r="BK9" i="10"/>
  <c r="BL10"/>
  <c r="L16" i="6"/>
  <c r="M15"/>
  <c r="BC15" i="58" s="1"/>
  <c r="AH46" i="19"/>
  <c r="E32" i="219"/>
  <c r="CZ46" i="19"/>
  <c r="L32" i="219"/>
  <c r="C42" i="5"/>
  <c r="F41"/>
  <c r="H41" s="1"/>
  <c r="AU21" i="19"/>
  <c r="F7" i="210"/>
  <c r="AL9" i="15"/>
  <c r="AM9" s="1"/>
  <c r="CF9" i="19" s="1"/>
  <c r="N13" i="5"/>
  <c r="Z13" i="58" s="1"/>
  <c r="CI8"/>
  <c r="AQ18" i="64"/>
  <c r="AR18" s="1"/>
  <c r="AS18" s="1"/>
  <c r="L6" i="227"/>
  <c r="AE18" i="64"/>
  <c r="AF18" s="1"/>
  <c r="AG18" s="1"/>
  <c r="I6" i="227"/>
  <c r="J41" i="220"/>
  <c r="J36"/>
  <c r="AA9" i="58"/>
  <c r="BO9"/>
  <c r="DC9"/>
  <c r="AK10"/>
  <c r="BY10"/>
  <c r="AA13"/>
  <c r="BO13"/>
  <c r="DC13"/>
  <c r="AK14"/>
  <c r="BY14"/>
  <c r="Q16"/>
  <c r="BE16"/>
  <c r="CS16"/>
  <c r="AA17"/>
  <c r="BO17"/>
  <c r="DC17"/>
  <c r="AK8"/>
  <c r="BY8"/>
  <c r="AA10"/>
  <c r="BO10"/>
  <c r="DC10"/>
  <c r="AK11"/>
  <c r="BY11"/>
  <c r="AA14"/>
  <c r="BO14"/>
  <c r="DC14"/>
  <c r="AK15"/>
  <c r="BY15"/>
  <c r="G16"/>
  <c r="AU16"/>
  <c r="CI16"/>
  <c r="Q17"/>
  <c r="BE17"/>
  <c r="CS17"/>
  <c r="DC8"/>
  <c r="BY9"/>
  <c r="BO12"/>
  <c r="AK13"/>
  <c r="AA16"/>
  <c r="DC16"/>
  <c r="BY17"/>
  <c r="AK9"/>
  <c r="AA11"/>
  <c r="AA12"/>
  <c r="Q14"/>
  <c r="Q15"/>
  <c r="DC15"/>
  <c r="G17"/>
  <c r="BY13"/>
  <c r="BO15"/>
  <c r="AU17"/>
  <c r="AK12"/>
  <c r="AA15"/>
  <c r="AK17"/>
  <c r="G8"/>
  <c r="DC11"/>
  <c r="DC12"/>
  <c r="CS14"/>
  <c r="CS15"/>
  <c r="BY16"/>
  <c r="CI17"/>
  <c r="AA8"/>
  <c r="BO8"/>
  <c r="BO11"/>
  <c r="BY12"/>
  <c r="BO16"/>
  <c r="AK16"/>
  <c r="CI15"/>
  <c r="CS13"/>
  <c r="AU15"/>
  <c r="BE15"/>
  <c r="G15"/>
  <c r="Q13"/>
  <c r="G14"/>
  <c r="CI14"/>
  <c r="CS12"/>
  <c r="Q12"/>
  <c r="BE14"/>
  <c r="AU14"/>
  <c r="AU13"/>
  <c r="BE13"/>
  <c r="G13"/>
  <c r="CI13"/>
  <c r="CS11"/>
  <c r="Q11"/>
  <c r="AU12"/>
  <c r="G12"/>
  <c r="CS10"/>
  <c r="CI12"/>
  <c r="BE12"/>
  <c r="Q10"/>
  <c r="CI11"/>
  <c r="AU11"/>
  <c r="BE11"/>
  <c r="Q9"/>
  <c r="CS9"/>
  <c r="G11"/>
  <c r="CI10"/>
  <c r="Q8"/>
  <c r="AU10"/>
  <c r="G10"/>
  <c r="BE10"/>
  <c r="CS8"/>
  <c r="N14" i="16"/>
  <c r="O14" s="1"/>
  <c r="P14" s="1"/>
  <c r="AI14" i="19" s="1"/>
  <c r="M13" i="16"/>
  <c r="AG9"/>
  <c r="AH10"/>
  <c r="AI10" s="1"/>
  <c r="AJ10" s="1"/>
  <c r="CG10" i="19" s="1"/>
  <c r="AD14" i="16"/>
  <c r="AE14" s="1"/>
  <c r="AF14" s="1"/>
  <c r="BW14" i="19" s="1"/>
  <c r="AC13" i="16"/>
  <c r="BA10" i="1"/>
  <c r="BC11"/>
  <c r="L46" i="26"/>
  <c r="L15" i="28"/>
  <c r="L13" i="26"/>
  <c r="L32" i="77"/>
  <c r="I21" i="215" s="1"/>
  <c r="P35" i="6"/>
  <c r="Q35" s="1"/>
  <c r="BW35" i="58" s="1"/>
  <c r="BZ35" s="1"/>
  <c r="BX38"/>
  <c r="I24" i="216"/>
  <c r="D20" i="207"/>
  <c r="AD34" i="58"/>
  <c r="AA21" i="19"/>
  <c r="D7" i="210"/>
  <c r="AA18" i="64"/>
  <c r="AB18" s="1"/>
  <c r="AC18" s="1"/>
  <c r="H6" i="227"/>
  <c r="G18" i="64"/>
  <c r="H18" s="1"/>
  <c r="I18" s="1"/>
  <c r="C6" i="227"/>
  <c r="Q50" i="37"/>
  <c r="Q47"/>
  <c r="B48" i="64"/>
  <c r="B5" i="227"/>
  <c r="L13" i="161"/>
  <c r="L17"/>
  <c r="L21"/>
  <c r="L25"/>
  <c r="L29"/>
  <c r="L23"/>
  <c r="L18"/>
  <c r="L26"/>
  <c r="L12"/>
  <c r="L16"/>
  <c r="L20"/>
  <c r="L24"/>
  <c r="L28"/>
  <c r="L3"/>
  <c r="L15"/>
  <c r="L19"/>
  <c r="L27"/>
  <c r="L31"/>
  <c r="L14"/>
  <c r="L22"/>
  <c r="L30"/>
  <c r="I3"/>
  <c r="L32"/>
  <c r="A50" i="64"/>
  <c r="L11" i="161"/>
  <c r="L9"/>
  <c r="L10"/>
  <c r="L8"/>
  <c r="L7"/>
  <c r="L6"/>
  <c r="L5"/>
  <c r="I20" i="207"/>
  <c r="CB34" i="58"/>
  <c r="AN21" i="29"/>
  <c r="AO21" s="1"/>
  <c r="G7" i="224"/>
  <c r="K15" i="26"/>
  <c r="K16" i="28"/>
  <c r="Y13" i="16"/>
  <c r="Z14"/>
  <c r="AA14" s="1"/>
  <c r="AB14" s="1"/>
  <c r="BM14" i="19" s="1"/>
  <c r="I13" i="16"/>
  <c r="J14"/>
  <c r="K14" s="1"/>
  <c r="L14" s="1"/>
  <c r="Y14" i="19" s="1"/>
  <c r="BE21"/>
  <c r="G7" i="210"/>
  <c r="Q48" i="14"/>
  <c r="M48"/>
  <c r="M50" s="1"/>
  <c r="I48"/>
  <c r="G50"/>
  <c r="N48"/>
  <c r="J48"/>
  <c r="O48"/>
  <c r="O50" s="1"/>
  <c r="K48"/>
  <c r="K50" s="1"/>
  <c r="P48"/>
  <c r="L48"/>
  <c r="H48"/>
  <c r="H50" s="1"/>
  <c r="R39" i="5"/>
  <c r="AD39"/>
  <c r="P39"/>
  <c r="AB39"/>
  <c r="V39"/>
  <c r="Z39"/>
  <c r="L39"/>
  <c r="X39"/>
  <c r="T39"/>
  <c r="N39"/>
  <c r="AK21" i="19"/>
  <c r="E7" i="210"/>
  <c r="I10" i="15"/>
  <c r="J10" s="1"/>
  <c r="K10" s="1"/>
  <c r="N10" i="19" s="1"/>
  <c r="I9" i="10"/>
  <c r="J10"/>
  <c r="AM18" i="64"/>
  <c r="AN18" s="1"/>
  <c r="AO18" s="1"/>
  <c r="K6" i="227"/>
  <c r="S18" i="64"/>
  <c r="T18" s="1"/>
  <c r="U18" s="1"/>
  <c r="F6" i="227"/>
  <c r="O18" i="64"/>
  <c r="P18" s="1"/>
  <c r="Q18" s="1"/>
  <c r="E6" i="227"/>
  <c r="P15" i="6"/>
  <c r="Q14"/>
  <c r="BW14" i="58" s="1"/>
  <c r="CF43" i="19"/>
  <c r="J29" i="219"/>
  <c r="Q21" i="19"/>
  <c r="C7" i="210"/>
  <c r="F17" i="28"/>
  <c r="F16" i="26"/>
  <c r="M9" i="15"/>
  <c r="N9" s="1"/>
  <c r="O9" s="1"/>
  <c r="X9" i="19" s="1"/>
  <c r="O8" i="10"/>
  <c r="P9"/>
  <c r="U9" i="15"/>
  <c r="AA8" i="10"/>
  <c r="AB9"/>
  <c r="L32" i="72"/>
  <c r="D21" i="215" s="1"/>
  <c r="F35" i="6"/>
  <c r="G35" s="1"/>
  <c r="Y35" i="58" s="1"/>
  <c r="AB35" s="1"/>
  <c r="AG10" i="15"/>
  <c r="AH10" s="1"/>
  <c r="AI10" s="1"/>
  <c r="BV10" i="19" s="1"/>
  <c r="AS9" i="10"/>
  <c r="AT10"/>
  <c r="BW20" i="29"/>
  <c r="BX20" s="1"/>
  <c r="L6" i="224"/>
  <c r="L20" i="207"/>
  <c r="DF34" i="58"/>
  <c r="T50" i="37"/>
  <c r="T47"/>
  <c r="U15" i="6"/>
  <c r="CQ15" i="58" s="1"/>
  <c r="T16" i="6"/>
  <c r="E42" i="220"/>
  <c r="E37"/>
  <c r="E36"/>
  <c r="E41"/>
  <c r="G34" i="77"/>
  <c r="F33"/>
  <c r="H33" s="1"/>
  <c r="I33" s="1"/>
  <c r="D13" i="28"/>
  <c r="S17" i="29" s="1"/>
  <c r="T17" s="1"/>
  <c r="D12" i="26"/>
  <c r="C20" i="207"/>
  <c r="T34" i="58"/>
  <c r="AN45" i="37"/>
  <c r="BT50" i="2"/>
  <c r="C16" i="28"/>
  <c r="C15" i="26"/>
  <c r="N44" i="19"/>
  <c r="C30" i="219"/>
  <c r="CH38" i="58"/>
  <c r="J24" i="216"/>
  <c r="DB38" i="58"/>
  <c r="L24" i="216"/>
  <c r="AJ38" i="58"/>
  <c r="E24" i="216"/>
  <c r="DC21" i="19"/>
  <c r="L7" i="210"/>
  <c r="F41" i="12"/>
  <c r="T44" i="15"/>
  <c r="V44" s="1"/>
  <c r="W44" s="1"/>
  <c r="Z22" i="29"/>
  <c r="AA22" s="1"/>
  <c r="E8" i="224"/>
  <c r="CI21" i="19"/>
  <c r="J7" i="210"/>
  <c r="F12" i="16"/>
  <c r="G12" s="1"/>
  <c r="H12" s="1"/>
  <c r="O12" i="19" s="1"/>
  <c r="E11" i="16"/>
  <c r="U8"/>
  <c r="V8" s="1"/>
  <c r="W8" s="1"/>
  <c r="X8" s="1"/>
  <c r="BC8" i="19" s="1"/>
  <c r="V9" i="16"/>
  <c r="W9" s="1"/>
  <c r="X9" s="1"/>
  <c r="BC9" i="19" s="1"/>
  <c r="B26" i="216"/>
  <c r="J40" i="5"/>
  <c r="F40" i="58"/>
  <c r="E42" i="124" s="1"/>
  <c r="K42" s="1"/>
  <c r="R16" i="6"/>
  <c r="S15"/>
  <c r="CG15" i="58" s="1"/>
  <c r="BE8"/>
  <c r="AU8"/>
  <c r="G9"/>
  <c r="BE9"/>
  <c r="AQ10"/>
  <c r="V9" i="15"/>
  <c r="W9" s="1"/>
  <c r="AR9" i="19" s="1"/>
  <c r="M4" i="161"/>
  <c r="CI9" i="58"/>
  <c r="J35"/>
  <c r="AB48" i="15"/>
  <c r="H46" i="12"/>
  <c r="AU50" i="13"/>
  <c r="W50" i="16"/>
  <c r="X48"/>
  <c r="G34" i="220" s="1"/>
  <c r="AE50" i="16"/>
  <c r="AF48"/>
  <c r="I34" i="220" s="1"/>
  <c r="AI10" i="1"/>
  <c r="AK11"/>
  <c r="S12" i="5"/>
  <c r="AZ12" i="58"/>
  <c r="AU10" i="1"/>
  <c r="AW11"/>
  <c r="W12" i="5"/>
  <c r="BT12" i="58"/>
  <c r="Q10" i="7"/>
  <c r="U11"/>
  <c r="V11" s="1"/>
  <c r="X11" i="58" s="1"/>
  <c r="AE10" i="7"/>
  <c r="AI11"/>
  <c r="AJ11" s="1"/>
  <c r="AR11" i="58" s="1"/>
  <c r="AS10" i="7"/>
  <c r="AW11"/>
  <c r="AX11" s="1"/>
  <c r="BL11" i="58" s="1"/>
  <c r="AA12" i="5"/>
  <c r="CN12" i="58"/>
  <c r="BI11" i="1"/>
  <c r="BG10"/>
  <c r="AS48" i="19"/>
  <c r="AS50" s="1"/>
  <c r="T50" i="16"/>
  <c r="CG48" i="19"/>
  <c r="CG50" s="1"/>
  <c r="AJ50" i="16"/>
  <c r="Y48" i="19"/>
  <c r="Y50" s="1"/>
  <c r="L50" i="16"/>
  <c r="BM48" i="19"/>
  <c r="BM50" s="1"/>
  <c r="AB50" i="16"/>
  <c r="AA50" i="13"/>
  <c r="W45" i="10"/>
  <c r="W46" s="1"/>
  <c r="AI45"/>
  <c r="AI46" s="1"/>
  <c r="BG45"/>
  <c r="BG46" s="1"/>
  <c r="BK11" i="7"/>
  <c r="BL11" s="1"/>
  <c r="CF11" i="58" s="1"/>
  <c r="BG10" i="7"/>
  <c r="BY11"/>
  <c r="BZ11" s="1"/>
  <c r="CZ11" i="58" s="1"/>
  <c r="BU10" i="7"/>
  <c r="F13" i="73"/>
  <c r="G12"/>
  <c r="L13" i="5"/>
  <c r="P13" i="58" s="1"/>
  <c r="P13" i="5"/>
  <c r="AJ13" i="58" s="1"/>
  <c r="B46" i="5"/>
  <c r="BJ11" i="58"/>
  <c r="U11" i="5"/>
  <c r="G11" i="1"/>
  <c r="E10"/>
  <c r="AB13" i="5"/>
  <c r="CR13" i="58" s="1"/>
  <c r="X13" i="5"/>
  <c r="BX13" i="58" s="1"/>
  <c r="T13" i="5"/>
  <c r="BD13" i="58" s="1"/>
  <c r="Z13" i="5"/>
  <c r="CH13" i="58" s="1"/>
  <c r="AQ10" i="1"/>
  <c r="AO9"/>
  <c r="B12" i="58"/>
  <c r="I12" i="5"/>
  <c r="J12" s="1"/>
  <c r="V12" s="1"/>
  <c r="BN12" i="58" s="1"/>
  <c r="P8" i="15"/>
  <c r="R8" s="1"/>
  <c r="S8" s="1"/>
  <c r="AH8" i="19" s="1"/>
  <c r="L8" i="15"/>
  <c r="CE10" i="58"/>
  <c r="L12"/>
  <c r="K12" i="5"/>
  <c r="O12"/>
  <c r="P12" s="1"/>
  <c r="AJ12" i="58" s="1"/>
  <c r="AF12"/>
  <c r="K10" i="1"/>
  <c r="M11"/>
  <c r="W10"/>
  <c r="Y11"/>
  <c r="F14" i="75"/>
  <c r="G14" s="1"/>
  <c r="G13"/>
  <c r="G13" i="71"/>
  <c r="F14"/>
  <c r="G14" s="1"/>
  <c r="F14" i="74"/>
  <c r="G14" s="1"/>
  <c r="G13"/>
  <c r="BL45" i="19"/>
  <c r="C17" i="64"/>
  <c r="C48" s="1"/>
  <c r="J17"/>
  <c r="R17"/>
  <c r="Z17"/>
  <c r="AH17"/>
  <c r="AP17"/>
  <c r="B15"/>
  <c r="F17"/>
  <c r="N17"/>
  <c r="V17"/>
  <c r="AD17"/>
  <c r="AL17"/>
  <c r="X9" i="10"/>
  <c r="Y8"/>
  <c r="AG8" i="19" s="1"/>
  <c r="AJ9" i="10"/>
  <c r="AK8"/>
  <c r="BA8" i="19" s="1"/>
  <c r="BH9" i="10"/>
  <c r="BI8"/>
  <c r="CO8" i="19" s="1"/>
  <c r="C10" i="7"/>
  <c r="G11"/>
  <c r="H11" s="1"/>
  <c r="D11" i="58" s="1"/>
  <c r="BR10" i="7"/>
  <c r="BS10" s="1"/>
  <c r="CP10" i="58" s="1"/>
  <c r="BN9" i="7"/>
  <c r="X9"/>
  <c r="AB10"/>
  <c r="AC10" s="1"/>
  <c r="AH10" i="58" s="1"/>
  <c r="AL9" i="7"/>
  <c r="AP10"/>
  <c r="AQ10" s="1"/>
  <c r="BB10" i="58" s="1"/>
  <c r="AZ9" i="7"/>
  <c r="BD10"/>
  <c r="BE10" s="1"/>
  <c r="BV10" i="58" s="1"/>
  <c r="J10" i="7"/>
  <c r="N11"/>
  <c r="O11" s="1"/>
  <c r="N11" i="58" s="1"/>
  <c r="CO10"/>
  <c r="C9"/>
  <c r="CE8"/>
  <c r="CO8"/>
  <c r="AQ8"/>
  <c r="M11"/>
  <c r="BK12"/>
  <c r="W13"/>
  <c r="AB13" s="1"/>
  <c r="AD13" s="1"/>
  <c r="CY13"/>
  <c r="DD13" s="1"/>
  <c r="DF13" s="1"/>
  <c r="AG14"/>
  <c r="AQ15"/>
  <c r="C16"/>
  <c r="H16" s="1"/>
  <c r="J16" s="1"/>
  <c r="W16"/>
  <c r="BK16"/>
  <c r="CY16"/>
  <c r="BA17"/>
  <c r="CO17"/>
  <c r="AG15"/>
  <c r="BU15"/>
  <c r="CY14"/>
  <c r="DD14" s="1"/>
  <c r="DF14" s="1"/>
  <c r="BK14"/>
  <c r="W14"/>
  <c r="AB14" s="1"/>
  <c r="AD14" s="1"/>
  <c r="M13"/>
  <c r="BA13"/>
  <c r="C17"/>
  <c r="H17" s="1"/>
  <c r="J17" s="1"/>
  <c r="W17"/>
  <c r="BK17"/>
  <c r="BP17" s="1"/>
  <c r="BR17" s="1"/>
  <c r="CY17"/>
  <c r="BU12"/>
  <c r="AG12"/>
  <c r="M8"/>
  <c r="M10"/>
  <c r="BU11"/>
  <c r="BA14"/>
  <c r="W15"/>
  <c r="CY15"/>
  <c r="DD15" s="1"/>
  <c r="DF15" s="1"/>
  <c r="BA11"/>
  <c r="CY12"/>
  <c r="W12"/>
  <c r="BK13"/>
  <c r="BP13" s="1"/>
  <c r="BR13" s="1"/>
  <c r="BU14"/>
  <c r="BZ14" s="1"/>
  <c r="CB14" s="1"/>
  <c r="C15"/>
  <c r="H15" s="1"/>
  <c r="J15" s="1"/>
  <c r="CE15"/>
  <c r="CJ15" s="1"/>
  <c r="CL15" s="1"/>
  <c r="M16"/>
  <c r="AQ16"/>
  <c r="AV16" s="1"/>
  <c r="AX16" s="1"/>
  <c r="CE16"/>
  <c r="AG17"/>
  <c r="BU17"/>
  <c r="M15"/>
  <c r="BA15"/>
  <c r="CO15"/>
  <c r="CT15" s="1"/>
  <c r="CV15" s="1"/>
  <c r="AG13"/>
  <c r="BU13"/>
  <c r="CY10"/>
  <c r="BK10"/>
  <c r="W10"/>
  <c r="C8"/>
  <c r="BA16"/>
  <c r="CO16"/>
  <c r="M17"/>
  <c r="AQ17"/>
  <c r="AV17" s="1"/>
  <c r="AX17" s="1"/>
  <c r="CE17"/>
  <c r="BA12"/>
  <c r="M12"/>
  <c r="W11"/>
  <c r="BK11"/>
  <c r="CY11"/>
  <c r="BA8"/>
  <c r="M9"/>
  <c r="BA9"/>
  <c r="BA10"/>
  <c r="AG11"/>
  <c r="M14"/>
  <c r="BK15"/>
  <c r="BU16"/>
  <c r="BU10"/>
  <c r="AG16"/>
  <c r="AG10"/>
  <c r="AG8"/>
  <c r="CY8"/>
  <c r="AG9"/>
  <c r="CY9"/>
  <c r="AQ14"/>
  <c r="AV14" s="1"/>
  <c r="AX14" s="1"/>
  <c r="CE14"/>
  <c r="CJ14" s="1"/>
  <c r="CL14" s="1"/>
  <c r="BU8"/>
  <c r="BK8"/>
  <c r="W8"/>
  <c r="BU9"/>
  <c r="BK9"/>
  <c r="W9"/>
  <c r="CO14"/>
  <c r="C14"/>
  <c r="H14" s="1"/>
  <c r="J14" s="1"/>
  <c r="C13"/>
  <c r="H13" s="1"/>
  <c r="J13" s="1"/>
  <c r="CO13"/>
  <c r="CE13"/>
  <c r="CJ13" s="1"/>
  <c r="CL13" s="1"/>
  <c r="AQ13"/>
  <c r="AV13" s="1"/>
  <c r="AX13" s="1"/>
  <c r="AQ12"/>
  <c r="CE12"/>
  <c r="CO12"/>
  <c r="C12"/>
  <c r="C11"/>
  <c r="CO11"/>
  <c r="CE11"/>
  <c r="AQ11"/>
  <c r="CE9"/>
  <c r="CO9"/>
  <c r="AQ9"/>
  <c r="Q12" i="5"/>
  <c r="R12" s="1"/>
  <c r="AT12" i="58" s="1"/>
  <c r="AP12"/>
  <c r="M12" i="5"/>
  <c r="N12" s="1"/>
  <c r="Z12" i="58" s="1"/>
  <c r="V12"/>
  <c r="AC12" i="5"/>
  <c r="AD12" s="1"/>
  <c r="DB12" i="58" s="1"/>
  <c r="CX12"/>
  <c r="AC10" i="1"/>
  <c r="AE11"/>
  <c r="Q10"/>
  <c r="S11"/>
  <c r="BM10"/>
  <c r="BO11"/>
  <c r="AH45" i="19"/>
  <c r="CZ45"/>
  <c r="CP45"/>
  <c r="B36" i="6"/>
  <c r="C36" s="1"/>
  <c r="E36" i="58" s="1"/>
  <c r="K32" i="70"/>
  <c r="H46"/>
  <c r="F13" i="76"/>
  <c r="G12"/>
  <c r="F13" i="77"/>
  <c r="G12"/>
  <c r="F14" i="80"/>
  <c r="G14" s="1"/>
  <c r="G13"/>
  <c r="E33" i="70"/>
  <c r="G33" s="1"/>
  <c r="F34"/>
  <c r="H33"/>
  <c r="E46"/>
  <c r="G32"/>
  <c r="G46" s="1"/>
  <c r="N37" i="6"/>
  <c r="O37" s="1"/>
  <c r="BM37" i="58" s="1"/>
  <c r="BP37" s="1"/>
  <c r="H23" i="207" s="1"/>
  <c r="L34" i="76"/>
  <c r="H23" i="215" s="1"/>
  <c r="L37" i="6"/>
  <c r="M37" s="1"/>
  <c r="BC37" i="58" s="1"/>
  <c r="BF37" s="1"/>
  <c r="G23" i="207" s="1"/>
  <c r="L34" i="75"/>
  <c r="G23" i="215" s="1"/>
  <c r="H37" i="6"/>
  <c r="I37" s="1"/>
  <c r="AI37" i="58" s="1"/>
  <c r="AL37" s="1"/>
  <c r="E23" i="207" s="1"/>
  <c r="L34" i="73"/>
  <c r="E23" i="215" s="1"/>
  <c r="BH36" i="58"/>
  <c r="AN36"/>
  <c r="R37" i="6"/>
  <c r="S37" s="1"/>
  <c r="CG37" i="58" s="1"/>
  <c r="CJ37" s="1"/>
  <c r="J23" i="207" s="1"/>
  <c r="L34" i="78"/>
  <c r="J23" i="215" s="1"/>
  <c r="J37" i="6"/>
  <c r="K37" s="1"/>
  <c r="AS37" i="58" s="1"/>
  <c r="AV37" s="1"/>
  <c r="F23" i="207" s="1"/>
  <c r="L34" i="74"/>
  <c r="F23" i="215" s="1"/>
  <c r="BR36" i="58"/>
  <c r="AX36"/>
  <c r="T37" i="6"/>
  <c r="U37" s="1"/>
  <c r="CQ37" i="58" s="1"/>
  <c r="CT37" s="1"/>
  <c r="K23" i="207" s="1"/>
  <c r="L34" i="79"/>
  <c r="K23" i="215" s="1"/>
  <c r="CL36" i="58"/>
  <c r="F35" i="76"/>
  <c r="H35" s="1"/>
  <c r="I35" s="1"/>
  <c r="G36"/>
  <c r="F35" i="75"/>
  <c r="H35" s="1"/>
  <c r="I35" s="1"/>
  <c r="G36"/>
  <c r="F35" i="74"/>
  <c r="H35" s="1"/>
  <c r="I35" s="1"/>
  <c r="G36"/>
  <c r="F35" i="73"/>
  <c r="H35" s="1"/>
  <c r="I35" s="1"/>
  <c r="G36"/>
  <c r="F35" i="79"/>
  <c r="H35" s="1"/>
  <c r="I35" s="1"/>
  <c r="G36"/>
  <c r="F35" i="78"/>
  <c r="H35" s="1"/>
  <c r="I35" s="1"/>
  <c r="G36"/>
  <c r="CV36" i="58"/>
  <c r="D16" i="6" l="1"/>
  <c r="E15"/>
  <c r="O15" i="58" s="1"/>
  <c r="R15"/>
  <c r="T15" s="1"/>
  <c r="H36"/>
  <c r="B22" i="207" s="1"/>
  <c r="C38" i="124"/>
  <c r="I38" s="1"/>
  <c r="F48" i="64"/>
  <c r="C5" i="227"/>
  <c r="F42" i="12"/>
  <c r="T45" i="15"/>
  <c r="V45" s="1"/>
  <c r="W45" s="1"/>
  <c r="BD39" i="58"/>
  <c r="G25" i="216"/>
  <c r="AT39" i="58"/>
  <c r="F25" i="216"/>
  <c r="Q20" i="19"/>
  <c r="C6" i="210"/>
  <c r="AC12" i="16"/>
  <c r="AD13"/>
  <c r="AE13" s="1"/>
  <c r="AF13" s="1"/>
  <c r="BW13" i="19" s="1"/>
  <c r="BY20"/>
  <c r="I6" i="210"/>
  <c r="L44" i="219"/>
  <c r="L39"/>
  <c r="C43" i="12"/>
  <c r="C44" s="1"/>
  <c r="H46" i="15"/>
  <c r="J46" s="1"/>
  <c r="K46" s="1"/>
  <c r="I15" i="6"/>
  <c r="AI15" i="58" s="1"/>
  <c r="AL15" s="1"/>
  <c r="AN15" s="1"/>
  <c r="H16" i="6"/>
  <c r="G13" i="72"/>
  <c r="F14"/>
  <c r="G14" s="1"/>
  <c r="AK8" i="15"/>
  <c r="AL8" s="1"/>
  <c r="AM8" s="1"/>
  <c r="CF8" i="19" s="1"/>
  <c r="AZ8" i="10"/>
  <c r="D44" i="219"/>
  <c r="D39"/>
  <c r="D43" i="216"/>
  <c r="D38"/>
  <c r="F34" i="71"/>
  <c r="H34" s="1"/>
  <c r="I34" s="1"/>
  <c r="G35"/>
  <c r="N48" i="64"/>
  <c r="E5" i="227"/>
  <c r="AH48" i="64"/>
  <c r="J5" i="227"/>
  <c r="G36" i="220"/>
  <c r="G41"/>
  <c r="R17" i="6"/>
  <c r="S17" s="1"/>
  <c r="CG17" i="58" s="1"/>
  <c r="S16" i="6"/>
  <c r="CG16" i="58" s="1"/>
  <c r="AR44" i="19"/>
  <c r="F30" i="219"/>
  <c r="J38" i="216"/>
  <c r="J43"/>
  <c r="P36" i="6"/>
  <c r="Q36" s="1"/>
  <c r="BW36" i="58" s="1"/>
  <c r="BZ36" s="1"/>
  <c r="L33" i="77"/>
  <c r="I22" i="215" s="1"/>
  <c r="AU20" i="19"/>
  <c r="F6" i="210"/>
  <c r="Z39" i="58"/>
  <c r="D25" i="216"/>
  <c r="DB39" i="58"/>
  <c r="L25" i="216"/>
  <c r="N50" i="14"/>
  <c r="AF48" i="15"/>
  <c r="J13" i="16"/>
  <c r="K13" s="1"/>
  <c r="L13" s="1"/>
  <c r="Y13" i="19" s="1"/>
  <c r="I12" i="16"/>
  <c r="B36" i="227"/>
  <c r="B41"/>
  <c r="B37"/>
  <c r="B42"/>
  <c r="I38" i="216"/>
  <c r="I43"/>
  <c r="BA9" i="1"/>
  <c r="BC10"/>
  <c r="C43" i="5"/>
  <c r="F42"/>
  <c r="H42" s="1"/>
  <c r="AS9" i="15"/>
  <c r="AT9" s="1"/>
  <c r="AU9" s="1"/>
  <c r="CZ9" i="19" s="1"/>
  <c r="BK8" i="10"/>
  <c r="BL9"/>
  <c r="C43" i="216"/>
  <c r="C38"/>
  <c r="G46" i="26"/>
  <c r="G13"/>
  <c r="G15" i="28"/>
  <c r="J16"/>
  <c r="J15" i="26"/>
  <c r="E21" i="29"/>
  <c r="B7" i="224"/>
  <c r="AA20" i="19"/>
  <c r="D6" i="210"/>
  <c r="H41" i="224"/>
  <c r="H36"/>
  <c r="H37"/>
  <c r="H42"/>
  <c r="L33" i="80"/>
  <c r="L22" i="215" s="1"/>
  <c r="V36" i="6"/>
  <c r="W36" s="1"/>
  <c r="DA36" i="58" s="1"/>
  <c r="DD36" s="1"/>
  <c r="D36" i="6"/>
  <c r="E36" s="1"/>
  <c r="O36" i="58" s="1"/>
  <c r="R36" s="1"/>
  <c r="L33" i="71"/>
  <c r="C22" i="215" s="1"/>
  <c r="I44" i="219"/>
  <c r="I39"/>
  <c r="K43" i="216"/>
  <c r="K38"/>
  <c r="AO11" i="16"/>
  <c r="AP12"/>
  <c r="AQ12" s="1"/>
  <c r="AR12" s="1"/>
  <c r="DA12" i="19" s="1"/>
  <c r="AM8" i="10"/>
  <c r="AC9" i="15"/>
  <c r="AD9" s="1"/>
  <c r="AE9" s="1"/>
  <c r="BL9" i="19" s="1"/>
  <c r="AN9" i="10"/>
  <c r="H44" i="219"/>
  <c r="H39"/>
  <c r="V48" i="64"/>
  <c r="G5" i="227"/>
  <c r="AP48" i="64"/>
  <c r="L5" i="227"/>
  <c r="J48" i="64"/>
  <c r="D5" i="227"/>
  <c r="AN47" i="37"/>
  <c r="AN50"/>
  <c r="AS8" i="10"/>
  <c r="AG9" i="15"/>
  <c r="AH9" s="1"/>
  <c r="AI9" s="1"/>
  <c r="BV9" i="19" s="1"/>
  <c r="AT9" i="10"/>
  <c r="M8" i="15"/>
  <c r="P8" i="10"/>
  <c r="P39" i="58"/>
  <c r="C25" i="216"/>
  <c r="AJ39" i="58"/>
  <c r="E25" i="216"/>
  <c r="L50" i="14"/>
  <c r="X48" i="15"/>
  <c r="J50" i="14"/>
  <c r="P48" i="15"/>
  <c r="BP20" i="29"/>
  <c r="BQ20" s="1"/>
  <c r="K6" i="224"/>
  <c r="BO20" i="19"/>
  <c r="H6" i="210"/>
  <c r="CD11" i="58"/>
  <c r="Y11" i="5"/>
  <c r="DC20" i="19"/>
  <c r="L6" i="210"/>
  <c r="B27" i="216"/>
  <c r="F41" i="58"/>
  <c r="E43" i="124" s="1"/>
  <c r="K43" s="1"/>
  <c r="J41" i="5"/>
  <c r="E44" i="219"/>
  <c r="E39"/>
  <c r="Z21" i="29"/>
  <c r="AA21" s="1"/>
  <c r="E7" i="224"/>
  <c r="G15" i="6"/>
  <c r="Y15" i="58" s="1"/>
  <c r="F16" i="6"/>
  <c r="G35" i="72"/>
  <c r="F34"/>
  <c r="H34" s="1"/>
  <c r="I34" s="1"/>
  <c r="J42" i="12"/>
  <c r="AJ45" i="15"/>
  <c r="AL45" s="1"/>
  <c r="AM45" s="1"/>
  <c r="J31" i="219" s="1"/>
  <c r="BI21" i="29"/>
  <c r="BJ21" s="1"/>
  <c r="J7" i="224"/>
  <c r="B16" i="28"/>
  <c r="B15" i="26"/>
  <c r="W16" i="6"/>
  <c r="DA16" i="58" s="1"/>
  <c r="V17" i="6"/>
  <c r="W17" s="1"/>
  <c r="DA17" i="58" s="1"/>
  <c r="DD17" s="1"/>
  <c r="DF17" s="1"/>
  <c r="K44" i="219"/>
  <c r="K39"/>
  <c r="F43" i="216"/>
  <c r="F38"/>
  <c r="AU50" i="29"/>
  <c r="H23" i="167"/>
  <c r="AV19" i="29"/>
  <c r="AV50" s="1"/>
  <c r="I16" i="28"/>
  <c r="I15" i="26"/>
  <c r="F22" i="29"/>
  <c r="J6" i="171"/>
  <c r="AM50" i="37"/>
  <c r="AM47"/>
  <c r="D36" i="224"/>
  <c r="D41"/>
  <c r="D42"/>
  <c r="D37"/>
  <c r="BE20" i="19"/>
  <c r="G6" i="210"/>
  <c r="N8" i="15"/>
  <c r="O8" s="1"/>
  <c r="X8" i="19" s="1"/>
  <c r="BP14" i="58"/>
  <c r="BR14" s="1"/>
  <c r="BP15"/>
  <c r="BR15" s="1"/>
  <c r="CJ17"/>
  <c r="CL17" s="1"/>
  <c r="BF15"/>
  <c r="BH15" s="1"/>
  <c r="CJ16"/>
  <c r="CL16" s="1"/>
  <c r="BF14"/>
  <c r="BH14" s="1"/>
  <c r="BP16"/>
  <c r="BR16" s="1"/>
  <c r="AL14"/>
  <c r="AN14" s="1"/>
  <c r="F37" i="124"/>
  <c r="L37" s="1"/>
  <c r="AL48" i="64"/>
  <c r="K5" i="227"/>
  <c r="Z48" i="64"/>
  <c r="H5" i="227"/>
  <c r="L20" i="29"/>
  <c r="M20" s="1"/>
  <c r="C6" i="224"/>
  <c r="G35" i="77"/>
  <c r="F34"/>
  <c r="H34" s="1"/>
  <c r="I34" s="1"/>
  <c r="D21" i="207"/>
  <c r="AD35" i="58"/>
  <c r="F15" i="26"/>
  <c r="F16" i="28"/>
  <c r="BN39" i="58"/>
  <c r="H25" i="216"/>
  <c r="L46" i="28"/>
  <c r="L5" i="224"/>
  <c r="BW19" i="29"/>
  <c r="M12" i="16"/>
  <c r="N13"/>
  <c r="O13" s="1"/>
  <c r="P13" s="1"/>
  <c r="AI13" i="19" s="1"/>
  <c r="AK50" i="37"/>
  <c r="AK47"/>
  <c r="AN20" i="29"/>
  <c r="AO20" s="1"/>
  <c r="G6" i="224"/>
  <c r="C21" i="207"/>
  <c r="T35" i="58"/>
  <c r="G39" i="219"/>
  <c r="G44"/>
  <c r="G35" i="80"/>
  <c r="F34"/>
  <c r="H34" s="1"/>
  <c r="I34" s="1"/>
  <c r="C8" i="16"/>
  <c r="D8" s="1"/>
  <c r="E8" i="19" s="1"/>
  <c r="E8" i="15"/>
  <c r="F8" s="1"/>
  <c r="G8" s="1"/>
  <c r="D8" i="19" s="1"/>
  <c r="D8" i="10"/>
  <c r="H11" i="26"/>
  <c r="H12" i="28"/>
  <c r="AU16" i="29" s="1"/>
  <c r="AV16" s="1"/>
  <c r="K46" i="70"/>
  <c r="B22" i="215"/>
  <c r="E43" i="216"/>
  <c r="E38"/>
  <c r="C46" i="26"/>
  <c r="C13"/>
  <c r="C15" i="28"/>
  <c r="U8" i="15"/>
  <c r="V8" s="1"/>
  <c r="W8" s="1"/>
  <c r="AR8" i="19" s="1"/>
  <c r="AB8" i="10"/>
  <c r="P16" i="6"/>
  <c r="Q15"/>
  <c r="BW15" i="58" s="1"/>
  <c r="I9" i="15"/>
  <c r="J9" s="1"/>
  <c r="K9" s="1"/>
  <c r="N9" i="19" s="1"/>
  <c r="I8" i="10"/>
  <c r="J9"/>
  <c r="CH39" i="58"/>
  <c r="J25" i="216"/>
  <c r="P50" i="14"/>
  <c r="AN48" i="15"/>
  <c r="Q50" i="14"/>
  <c r="AR48" i="15"/>
  <c r="K46" i="26"/>
  <c r="K15" i="28"/>
  <c r="K13" i="26"/>
  <c r="L13" i="28"/>
  <c r="BW17" i="29" s="1"/>
  <c r="BX17" s="1"/>
  <c r="L12" i="26"/>
  <c r="AG8" i="16"/>
  <c r="AH8" s="1"/>
  <c r="AI8" s="1"/>
  <c r="AJ8" s="1"/>
  <c r="CG8" i="19" s="1"/>
  <c r="AH9" i="16"/>
  <c r="AI9" s="1"/>
  <c r="AJ9" s="1"/>
  <c r="CG9" i="19" s="1"/>
  <c r="C31" i="219"/>
  <c r="N45" i="19"/>
  <c r="AD48" i="64"/>
  <c r="I5" i="227"/>
  <c r="R48" i="64"/>
  <c r="F5" i="227"/>
  <c r="I41" i="220"/>
  <c r="I36"/>
  <c r="X40" i="5"/>
  <c r="L40"/>
  <c r="AD40"/>
  <c r="R40"/>
  <c r="Z40"/>
  <c r="AB40"/>
  <c r="V40"/>
  <c r="T40"/>
  <c r="N40"/>
  <c r="P40"/>
  <c r="F11" i="16"/>
  <c r="G11" s="1"/>
  <c r="H11" s="1"/>
  <c r="O11" i="19" s="1"/>
  <c r="E10" i="16"/>
  <c r="L43" i="216"/>
  <c r="L38"/>
  <c r="D12" i="28"/>
  <c r="S16" i="29" s="1"/>
  <c r="T16" s="1"/>
  <c r="D11" i="26"/>
  <c r="T17" i="6"/>
  <c r="U17" s="1"/>
  <c r="CQ17" i="58" s="1"/>
  <c r="U16" i="6"/>
  <c r="CQ16" i="58" s="1"/>
  <c r="AG21" i="29"/>
  <c r="AH21" s="1"/>
  <c r="F7" i="224"/>
  <c r="AK20" i="19"/>
  <c r="E6" i="210"/>
  <c r="CS20" i="19"/>
  <c r="K6" i="210"/>
  <c r="BX39" i="58"/>
  <c r="I25" i="216"/>
  <c r="CR39" i="58"/>
  <c r="K25" i="216"/>
  <c r="I50" i="14"/>
  <c r="L48" i="15"/>
  <c r="Z13" i="16"/>
  <c r="AA13" s="1"/>
  <c r="AB13" s="1"/>
  <c r="BM13" i="19" s="1"/>
  <c r="Y12" i="16"/>
  <c r="M31" i="161"/>
  <c r="M27"/>
  <c r="M23"/>
  <c r="M19"/>
  <c r="M15"/>
  <c r="M3"/>
  <c r="M29"/>
  <c r="M17"/>
  <c r="M30"/>
  <c r="M22"/>
  <c r="M14"/>
  <c r="M28"/>
  <c r="M24"/>
  <c r="M20"/>
  <c r="M16"/>
  <c r="M12"/>
  <c r="M25"/>
  <c r="M21"/>
  <c r="M13"/>
  <c r="M26"/>
  <c r="M18"/>
  <c r="M32"/>
  <c r="M11"/>
  <c r="M9"/>
  <c r="M10"/>
  <c r="M8"/>
  <c r="M7"/>
  <c r="M6"/>
  <c r="M5"/>
  <c r="I21" i="207"/>
  <c r="CB35" i="58"/>
  <c r="M16" i="6"/>
  <c r="BC16" i="58" s="1"/>
  <c r="BF16" s="1"/>
  <c r="BH16" s="1"/>
  <c r="L17" i="6"/>
  <c r="M17" s="1"/>
  <c r="BC17" i="58" s="1"/>
  <c r="BF17" s="1"/>
  <c r="BH17" s="1"/>
  <c r="E16" i="28"/>
  <c r="E15" i="26"/>
  <c r="H43" i="216"/>
  <c r="H38"/>
  <c r="F36" i="6"/>
  <c r="G36" s="1"/>
  <c r="Y36" i="58" s="1"/>
  <c r="AB36" s="1"/>
  <c r="L33" i="72"/>
  <c r="D22" i="215" s="1"/>
  <c r="L21" i="207"/>
  <c r="DF35" i="58"/>
  <c r="CF44" i="19"/>
  <c r="J30" i="219"/>
  <c r="CI20" i="19"/>
  <c r="J6" i="210"/>
  <c r="R13" i="16"/>
  <c r="S13" s="1"/>
  <c r="T13" s="1"/>
  <c r="AS13" i="19" s="1"/>
  <c r="Q12" i="16"/>
  <c r="BB21" i="29"/>
  <c r="BC21" s="1"/>
  <c r="I7" i="224"/>
  <c r="G43" i="216"/>
  <c r="G38"/>
  <c r="S50" i="29"/>
  <c r="D23" i="167"/>
  <c r="T19" i="29"/>
  <c r="T50" s="1"/>
  <c r="R14" i="58"/>
  <c r="T14" s="1"/>
  <c r="BZ13"/>
  <c r="CB13" s="1"/>
  <c r="CT17"/>
  <c r="CV17" s="1"/>
  <c r="CT14"/>
  <c r="CV14" s="1"/>
  <c r="CT16"/>
  <c r="CV16" s="1"/>
  <c r="AB15"/>
  <c r="AD15" s="1"/>
  <c r="R13"/>
  <c r="T13" s="1"/>
  <c r="BZ15"/>
  <c r="CB15" s="1"/>
  <c r="DD16"/>
  <c r="DF16" s="1"/>
  <c r="AV15"/>
  <c r="AX15" s="1"/>
  <c r="L12" i="5"/>
  <c r="P12" i="58" s="1"/>
  <c r="B47" i="5"/>
  <c r="B48" s="1"/>
  <c r="BG9" i="1"/>
  <c r="BI10"/>
  <c r="CN11" i="58"/>
  <c r="AA11" i="5"/>
  <c r="AS9" i="7"/>
  <c r="AW10"/>
  <c r="AX10" s="1"/>
  <c r="BL10" i="58" s="1"/>
  <c r="AE9" i="7"/>
  <c r="AI10"/>
  <c r="AJ10" s="1"/>
  <c r="AR10" i="58" s="1"/>
  <c r="Q9" i="7"/>
  <c r="U10"/>
  <c r="V10" s="1"/>
  <c r="X10" i="58" s="1"/>
  <c r="BT11"/>
  <c r="W11" i="5"/>
  <c r="AW10" i="1"/>
  <c r="AU9"/>
  <c r="AZ11" i="58"/>
  <c r="S11" i="5"/>
  <c r="AK10" i="1"/>
  <c r="AI9"/>
  <c r="BW48" i="19"/>
  <c r="BW50" s="1"/>
  <c r="AF50" i="16"/>
  <c r="BC48" i="19"/>
  <c r="BC50" s="1"/>
  <c r="X50" i="16"/>
  <c r="AB50" i="15"/>
  <c r="AD48"/>
  <c r="H12" i="58"/>
  <c r="J12" s="1"/>
  <c r="CT13"/>
  <c r="CV13" s="1"/>
  <c r="AL13"/>
  <c r="AN13" s="1"/>
  <c r="BF13"/>
  <c r="BH13" s="1"/>
  <c r="BU9" i="7"/>
  <c r="BY10"/>
  <c r="BZ10" s="1"/>
  <c r="CZ10" i="58" s="1"/>
  <c r="BG9" i="7"/>
  <c r="BK10"/>
  <c r="BL10" s="1"/>
  <c r="CF10" i="58" s="1"/>
  <c r="G13" i="73"/>
  <c r="F14"/>
  <c r="G14" s="1"/>
  <c r="BJ10" i="58"/>
  <c r="U10" i="5"/>
  <c r="B11" i="58"/>
  <c r="I11" i="5"/>
  <c r="J11" s="1"/>
  <c r="V11" s="1"/>
  <c r="BN11" i="58" s="1"/>
  <c r="BP11" s="1"/>
  <c r="BR11" s="1"/>
  <c r="BP12"/>
  <c r="BR12" s="1"/>
  <c r="T12" i="5"/>
  <c r="BD12" i="58" s="1"/>
  <c r="BF12" s="1"/>
  <c r="BH12" s="1"/>
  <c r="X12" i="5"/>
  <c r="BX12" i="58" s="1"/>
  <c r="BZ12" s="1"/>
  <c r="CB12" s="1"/>
  <c r="AB12" i="5"/>
  <c r="CR12" i="58" s="1"/>
  <c r="CT12" s="1"/>
  <c r="CV12" s="1"/>
  <c r="Z12" i="5"/>
  <c r="CH12" i="58" s="1"/>
  <c r="AQ9" i="1"/>
  <c r="AO8"/>
  <c r="AQ8" s="1"/>
  <c r="G10"/>
  <c r="E9"/>
  <c r="CJ12" i="58"/>
  <c r="CL12" s="1"/>
  <c r="H11"/>
  <c r="J11" s="1"/>
  <c r="R12"/>
  <c r="T12" s="1"/>
  <c r="AL12"/>
  <c r="AN12" s="1"/>
  <c r="Y10" i="1"/>
  <c r="W9"/>
  <c r="M10"/>
  <c r="K9"/>
  <c r="AF11" i="58"/>
  <c r="O11" i="5"/>
  <c r="L11" i="58"/>
  <c r="K11" i="5"/>
  <c r="DD12" i="58"/>
  <c r="DF12" s="1"/>
  <c r="AE17" i="64"/>
  <c r="AE48" s="1"/>
  <c r="O17"/>
  <c r="O48" s="1"/>
  <c r="C15"/>
  <c r="D15" s="1"/>
  <c r="E15" s="1"/>
  <c r="G17" i="19" s="1"/>
  <c r="J15" i="64"/>
  <c r="K15" s="1"/>
  <c r="L15" s="1"/>
  <c r="M15" s="1"/>
  <c r="AA17" i="19" s="1"/>
  <c r="Z15" i="64"/>
  <c r="AA15" s="1"/>
  <c r="AB15" s="1"/>
  <c r="AC15" s="1"/>
  <c r="BO17" i="19" s="1"/>
  <c r="AP15" i="64"/>
  <c r="AQ15" s="1"/>
  <c r="AR15" s="1"/>
  <c r="AS15" s="1"/>
  <c r="DC17" i="19" s="1"/>
  <c r="B14" i="64"/>
  <c r="F15"/>
  <c r="G15" s="1"/>
  <c r="H15" s="1"/>
  <c r="I15" s="1"/>
  <c r="Q17" i="19" s="1"/>
  <c r="N15" i="64"/>
  <c r="O15" s="1"/>
  <c r="P15" s="1"/>
  <c r="Q15" s="1"/>
  <c r="AK17" i="19" s="1"/>
  <c r="R15" i="64"/>
  <c r="S15" s="1"/>
  <c r="T15" s="1"/>
  <c r="U15" s="1"/>
  <c r="AU17" i="19" s="1"/>
  <c r="V15" i="64"/>
  <c r="W15" s="1"/>
  <c r="X15" s="1"/>
  <c r="Y15" s="1"/>
  <c r="BE17" i="19" s="1"/>
  <c r="AD15" i="64"/>
  <c r="AE15" s="1"/>
  <c r="AF15" s="1"/>
  <c r="AG15" s="1"/>
  <c r="BY17" i="19" s="1"/>
  <c r="AH15" i="64"/>
  <c r="AI15" s="1"/>
  <c r="AJ15" s="1"/>
  <c r="AK15" s="1"/>
  <c r="CI17" i="19" s="1"/>
  <c r="AL15" i="64"/>
  <c r="AM15" s="1"/>
  <c r="AN15" s="1"/>
  <c r="AO15" s="1"/>
  <c r="CS17" i="19" s="1"/>
  <c r="AI17" i="64"/>
  <c r="AI48" s="1"/>
  <c r="S17"/>
  <c r="S48" s="1"/>
  <c r="D17"/>
  <c r="D48" s="1"/>
  <c r="AM17"/>
  <c r="AM48" s="1"/>
  <c r="W17"/>
  <c r="W48" s="1"/>
  <c r="G17"/>
  <c r="G48" s="1"/>
  <c r="AQ17"/>
  <c r="AQ48" s="1"/>
  <c r="AA17"/>
  <c r="AA48" s="1"/>
  <c r="K17"/>
  <c r="K48" s="1"/>
  <c r="BH10" i="10"/>
  <c r="BI9"/>
  <c r="CO9" i="19" s="1"/>
  <c r="AJ10" i="10"/>
  <c r="AK9"/>
  <c r="BA9" i="19" s="1"/>
  <c r="X10" i="10"/>
  <c r="Y9"/>
  <c r="AG9" i="19" s="1"/>
  <c r="J9" i="7"/>
  <c r="N10"/>
  <c r="O10" s="1"/>
  <c r="N10" i="58" s="1"/>
  <c r="AZ8" i="7"/>
  <c r="BD8" s="1"/>
  <c r="BE8" s="1"/>
  <c r="BV8" i="58" s="1"/>
  <c r="BD9" i="7"/>
  <c r="BE9" s="1"/>
  <c r="BV9" i="58" s="1"/>
  <c r="AL8" i="7"/>
  <c r="AP8" s="1"/>
  <c r="AQ8" s="1"/>
  <c r="BB8" i="58" s="1"/>
  <c r="AP9" i="7"/>
  <c r="AQ9" s="1"/>
  <c r="BB9" i="58" s="1"/>
  <c r="X8" i="7"/>
  <c r="AB8" s="1"/>
  <c r="AC8" s="1"/>
  <c r="AH8" i="58" s="1"/>
  <c r="AB9" i="7"/>
  <c r="AC9" s="1"/>
  <c r="AH9" i="58" s="1"/>
  <c r="G10" i="7"/>
  <c r="H10" s="1"/>
  <c r="D10" i="58" s="1"/>
  <c r="C9" i="7"/>
  <c r="BR9"/>
  <c r="BS9" s="1"/>
  <c r="CP9" i="58" s="1"/>
  <c r="BN8" i="7"/>
  <c r="BR8" s="1"/>
  <c r="BS8" s="1"/>
  <c r="CP8" i="58" s="1"/>
  <c r="AB12"/>
  <c r="AD12" s="1"/>
  <c r="AV12"/>
  <c r="AX12" s="1"/>
  <c r="BM9" i="1"/>
  <c r="BO10"/>
  <c r="Q9"/>
  <c r="S10"/>
  <c r="AC9"/>
  <c r="AE10"/>
  <c r="AC11" i="5"/>
  <c r="CX11" i="58"/>
  <c r="M11" i="5"/>
  <c r="V11" i="58"/>
  <c r="Q11" i="5"/>
  <c r="AP11" i="58"/>
  <c r="B37" i="6"/>
  <c r="C37" s="1"/>
  <c r="E37" i="58" s="1"/>
  <c r="K33" i="70"/>
  <c r="B23" i="215" s="1"/>
  <c r="F14" i="77"/>
  <c r="G14" s="1"/>
  <c r="G13"/>
  <c r="E34" i="70"/>
  <c r="G34" s="1"/>
  <c r="F35"/>
  <c r="H34"/>
  <c r="F14" i="76"/>
  <c r="G14" s="1"/>
  <c r="G13"/>
  <c r="R38" i="6"/>
  <c r="S38" s="1"/>
  <c r="CG38" i="58" s="1"/>
  <c r="CJ38" s="1"/>
  <c r="J24" i="207" s="1"/>
  <c r="L35" i="78"/>
  <c r="J24" i="215" s="1"/>
  <c r="T38" i="6"/>
  <c r="U38" s="1"/>
  <c r="CQ38" i="58" s="1"/>
  <c r="CT38" s="1"/>
  <c r="K24" i="207" s="1"/>
  <c r="L35" i="79"/>
  <c r="K24" i="215" s="1"/>
  <c r="H38" i="6"/>
  <c r="I38" s="1"/>
  <c r="AI38" i="58" s="1"/>
  <c r="AL38" s="1"/>
  <c r="E24" i="207" s="1"/>
  <c r="L35" i="73"/>
  <c r="E24" i="215" s="1"/>
  <c r="J38" i="6"/>
  <c r="K38" s="1"/>
  <c r="AS38" i="58" s="1"/>
  <c r="AV38" s="1"/>
  <c r="F24" i="207" s="1"/>
  <c r="L35" i="74"/>
  <c r="F24" i="215" s="1"/>
  <c r="L38" i="6"/>
  <c r="M38" s="1"/>
  <c r="BC38" i="58" s="1"/>
  <c r="BF38" s="1"/>
  <c r="G24" i="207" s="1"/>
  <c r="L35" i="75"/>
  <c r="G24" i="215" s="1"/>
  <c r="N38" i="6"/>
  <c r="O38" s="1"/>
  <c r="BM38" i="58" s="1"/>
  <c r="BP38" s="1"/>
  <c r="H24" i="207" s="1"/>
  <c r="L35" i="76"/>
  <c r="H24" i="215" s="1"/>
  <c r="CL37" i="58"/>
  <c r="AN37"/>
  <c r="BH37"/>
  <c r="BR37"/>
  <c r="F36" i="78"/>
  <c r="H36" s="1"/>
  <c r="I36" s="1"/>
  <c r="G37"/>
  <c r="F36" i="79"/>
  <c r="H36" s="1"/>
  <c r="I36" s="1"/>
  <c r="G37"/>
  <c r="F36" i="73"/>
  <c r="H36" s="1"/>
  <c r="I36" s="1"/>
  <c r="G37"/>
  <c r="F36" i="74"/>
  <c r="H36" s="1"/>
  <c r="I36" s="1"/>
  <c r="G37"/>
  <c r="F36" i="75"/>
  <c r="H36" s="1"/>
  <c r="I36" s="1"/>
  <c r="G37"/>
  <c r="F36" i="76"/>
  <c r="H36" s="1"/>
  <c r="I36" s="1"/>
  <c r="G37"/>
  <c r="CV37" i="58"/>
  <c r="AX37"/>
  <c r="E16" i="6" l="1"/>
  <c r="O16" i="58" s="1"/>
  <c r="R16" s="1"/>
  <c r="T16" s="1"/>
  <c r="D17" i="6"/>
  <c r="E17" s="1"/>
  <c r="O17" i="58" s="1"/>
  <c r="R17" s="1"/>
  <c r="T17" s="1"/>
  <c r="G43" i="215"/>
  <c r="G38"/>
  <c r="Z40" i="58"/>
  <c r="D26" i="216"/>
  <c r="BX40" i="58"/>
  <c r="I26" i="216"/>
  <c r="D36" i="227"/>
  <c r="D41"/>
  <c r="D37"/>
  <c r="D42"/>
  <c r="G13" i="28"/>
  <c r="AN17" i="29" s="1"/>
  <c r="AO17" s="1"/>
  <c r="G12" i="26"/>
  <c r="I22" i="207"/>
  <c r="CB36" i="58"/>
  <c r="F43" i="12"/>
  <c r="F44" s="1"/>
  <c r="T46" i="15"/>
  <c r="V46" s="1"/>
  <c r="W46" s="1"/>
  <c r="H48" i="207"/>
  <c r="H38"/>
  <c r="H43"/>
  <c r="K48"/>
  <c r="K38"/>
  <c r="K43"/>
  <c r="Z20" i="29"/>
  <c r="AA20" s="1"/>
  <c r="E6" i="224"/>
  <c r="P40" i="58"/>
  <c r="C26" i="216"/>
  <c r="I8" i="15"/>
  <c r="J8" s="1"/>
  <c r="K8" s="1"/>
  <c r="N8" i="19" s="1"/>
  <c r="J8" i="10"/>
  <c r="Z48" i="15"/>
  <c r="X50"/>
  <c r="L22" i="207"/>
  <c r="DF36" i="58"/>
  <c r="G46" i="28"/>
  <c r="G5" i="224"/>
  <c r="AN19" i="29"/>
  <c r="B28" i="216"/>
  <c r="F42" i="58"/>
  <c r="E44" i="124" s="1"/>
  <c r="K44" s="1"/>
  <c r="J42" i="5"/>
  <c r="AH48" i="15"/>
  <c r="AF50"/>
  <c r="E36" i="227"/>
  <c r="E41"/>
  <c r="E42"/>
  <c r="E37"/>
  <c r="BB8" i="10"/>
  <c r="BA8"/>
  <c r="BA9" s="1"/>
  <c r="BA10" s="1"/>
  <c r="BA11" s="1"/>
  <c r="BA12" s="1"/>
  <c r="BA13" s="1"/>
  <c r="BA14" s="1"/>
  <c r="BA15" s="1"/>
  <c r="BA16" s="1"/>
  <c r="BA17" s="1"/>
  <c r="BA19" s="1"/>
  <c r="BA20" s="1"/>
  <c r="BA21" s="1"/>
  <c r="BA22" s="1"/>
  <c r="BA23" s="1"/>
  <c r="BA24" s="1"/>
  <c r="BA25" s="1"/>
  <c r="BA26" s="1"/>
  <c r="BA27" s="1"/>
  <c r="BA28" s="1"/>
  <c r="BA29" s="1"/>
  <c r="BA30" s="1"/>
  <c r="BA31" s="1"/>
  <c r="BA32" s="1"/>
  <c r="BA33" s="1"/>
  <c r="BA34" s="1"/>
  <c r="BA35" s="1"/>
  <c r="BA36" s="1"/>
  <c r="BA37" s="1"/>
  <c r="BA38" s="1"/>
  <c r="BA39" s="1"/>
  <c r="BA40" s="1"/>
  <c r="BA41" s="1"/>
  <c r="BA42" s="1"/>
  <c r="BA43" s="1"/>
  <c r="BA44" s="1"/>
  <c r="BA45" s="1"/>
  <c r="BA46" s="1"/>
  <c r="H17" i="6"/>
  <c r="I17" s="1"/>
  <c r="AI17" i="58" s="1"/>
  <c r="AL17" s="1"/>
  <c r="AN17" s="1"/>
  <c r="I16" i="6"/>
  <c r="AI16" i="58" s="1"/>
  <c r="AL16" s="1"/>
  <c r="AN16" s="1"/>
  <c r="H43" i="215"/>
  <c r="H38"/>
  <c r="F43"/>
  <c r="F38"/>
  <c r="K43"/>
  <c r="K38"/>
  <c r="Q11" i="16"/>
  <c r="R12"/>
  <c r="S12" s="1"/>
  <c r="T12" s="1"/>
  <c r="AS12" i="19" s="1"/>
  <c r="E46" i="26"/>
  <c r="E15" i="28"/>
  <c r="E13" i="26"/>
  <c r="BN40" i="58"/>
  <c r="H26" i="216"/>
  <c r="DB40" i="58"/>
  <c r="L26" i="216"/>
  <c r="K46" i="28"/>
  <c r="K5" i="224"/>
  <c r="BP19" i="29"/>
  <c r="AP48" i="15"/>
  <c r="AN50"/>
  <c r="Q16" i="6"/>
  <c r="BW16" i="58" s="1"/>
  <c r="BZ16" s="1"/>
  <c r="CB16" s="1"/>
  <c r="P17" i="6"/>
  <c r="Q17" s="1"/>
  <c r="BW17" i="58" s="1"/>
  <c r="BZ17" s="1"/>
  <c r="CB17" s="1"/>
  <c r="C13" i="28"/>
  <c r="L17" i="29" s="1"/>
  <c r="M17" s="1"/>
  <c r="C12" i="26"/>
  <c r="F8" i="10"/>
  <c r="E8"/>
  <c r="E9" s="1"/>
  <c r="E10" s="1"/>
  <c r="E11" s="1"/>
  <c r="E12" s="1"/>
  <c r="E13" s="1"/>
  <c r="E14" s="1"/>
  <c r="E15" s="1"/>
  <c r="E16" s="1"/>
  <c r="E17"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G36" i="80"/>
  <c r="F35"/>
  <c r="H35" s="1"/>
  <c r="I35" s="1"/>
  <c r="L36" i="224"/>
  <c r="L41"/>
  <c r="L37"/>
  <c r="L42"/>
  <c r="AG20" i="29"/>
  <c r="AH20" s="1"/>
  <c r="F6" i="224"/>
  <c r="P37" i="6"/>
  <c r="Q37" s="1"/>
  <c r="BW37" i="58" s="1"/>
  <c r="BZ37" s="1"/>
  <c r="L34" i="77"/>
  <c r="I23" i="215" s="1"/>
  <c r="H41" i="227"/>
  <c r="H36"/>
  <c r="H37"/>
  <c r="H42"/>
  <c r="BB20" i="29"/>
  <c r="BC20" s="1"/>
  <c r="I6" i="224"/>
  <c r="F37" i="6"/>
  <c r="G37" s="1"/>
  <c r="Y37" i="58" s="1"/>
  <c r="AB37" s="1"/>
  <c r="L34" i="72"/>
  <c r="D23" i="215" s="1"/>
  <c r="P41" i="5"/>
  <c r="AD41"/>
  <c r="R41"/>
  <c r="V41"/>
  <c r="N41"/>
  <c r="L41"/>
  <c r="AB41"/>
  <c r="T41"/>
  <c r="Z41"/>
  <c r="X41"/>
  <c r="L36" i="227"/>
  <c r="L41"/>
  <c r="L42"/>
  <c r="L37"/>
  <c r="AC8" i="15"/>
  <c r="AD8" s="1"/>
  <c r="AE8" s="1"/>
  <c r="BL8" i="19" s="1"/>
  <c r="AN8" i="10"/>
  <c r="C22" i="207"/>
  <c r="T36" i="58"/>
  <c r="BI20" i="29"/>
  <c r="BJ20" s="1"/>
  <c r="J6" i="224"/>
  <c r="BA8" i="1"/>
  <c r="BC8" s="1"/>
  <c r="BC9"/>
  <c r="L34" i="71"/>
  <c r="C23" i="215" s="1"/>
  <c r="D37" i="6"/>
  <c r="E37" s="1"/>
  <c r="O37" i="58" s="1"/>
  <c r="R37" s="1"/>
  <c r="H48" i="15"/>
  <c r="C46" i="12"/>
  <c r="J36" i="58"/>
  <c r="CF45" i="19"/>
  <c r="F38" i="124"/>
  <c r="L38" s="1"/>
  <c r="E43" i="215"/>
  <c r="E38"/>
  <c r="J38"/>
  <c r="J43"/>
  <c r="CH40" i="58"/>
  <c r="J26" i="216"/>
  <c r="AT48" i="15"/>
  <c r="AR50"/>
  <c r="N12" i="16"/>
  <c r="O12" s="1"/>
  <c r="P12" s="1"/>
  <c r="AI12" i="19" s="1"/>
  <c r="M11" i="16"/>
  <c r="K36" i="227"/>
  <c r="K41"/>
  <c r="K37"/>
  <c r="K42"/>
  <c r="B46" i="26"/>
  <c r="B15" i="28"/>
  <c r="B13" i="26"/>
  <c r="G16" i="6"/>
  <c r="Y16" i="58" s="1"/>
  <c r="AB16" s="1"/>
  <c r="AD16" s="1"/>
  <c r="F17" i="6"/>
  <c r="G17" s="1"/>
  <c r="Y17" i="58" s="1"/>
  <c r="AB17" s="1"/>
  <c r="AD17" s="1"/>
  <c r="G41" i="227"/>
  <c r="G36"/>
  <c r="G37"/>
  <c r="G42"/>
  <c r="AP11" i="16"/>
  <c r="AQ11" s="1"/>
  <c r="AR11" s="1"/>
  <c r="DA11" i="19" s="1"/>
  <c r="AO10" i="16"/>
  <c r="F21" i="29"/>
  <c r="J5" i="171"/>
  <c r="C44" i="5"/>
  <c r="F43"/>
  <c r="H43" s="1"/>
  <c r="AD12" i="16"/>
  <c r="AE12" s="1"/>
  <c r="AF12" s="1"/>
  <c r="BW12" i="19" s="1"/>
  <c r="AC11" i="16"/>
  <c r="F48" i="207"/>
  <c r="F43"/>
  <c r="F38"/>
  <c r="D22"/>
  <c r="AD36" i="58"/>
  <c r="L50" i="15"/>
  <c r="N48"/>
  <c r="AJ40" i="58"/>
  <c r="E26" i="216"/>
  <c r="CR40" i="58"/>
  <c r="K26" i="216"/>
  <c r="F41" i="227"/>
  <c r="F36"/>
  <c r="F37"/>
  <c r="F42"/>
  <c r="L11" i="26"/>
  <c r="L12" i="28"/>
  <c r="BW16" i="29" s="1"/>
  <c r="BX16" s="1"/>
  <c r="AC8" i="10"/>
  <c r="AC9" s="1"/>
  <c r="AC10" s="1"/>
  <c r="AC11" s="1"/>
  <c r="AC12" s="1"/>
  <c r="AC13" s="1"/>
  <c r="AC14" s="1"/>
  <c r="AC15" s="1"/>
  <c r="AC16" s="1"/>
  <c r="AC17" s="1"/>
  <c r="AC19" s="1"/>
  <c r="AC20" s="1"/>
  <c r="AC21" s="1"/>
  <c r="AC22" s="1"/>
  <c r="AC23" s="1"/>
  <c r="AC24" s="1"/>
  <c r="AC25" s="1"/>
  <c r="AC26" s="1"/>
  <c r="AC27" s="1"/>
  <c r="AC28" s="1"/>
  <c r="AC29" s="1"/>
  <c r="AC30" s="1"/>
  <c r="AC31" s="1"/>
  <c r="AC32" s="1"/>
  <c r="AC33" s="1"/>
  <c r="AC34" s="1"/>
  <c r="AC35" s="1"/>
  <c r="AC36" s="1"/>
  <c r="AC37" s="1"/>
  <c r="AC38" s="1"/>
  <c r="AC39" s="1"/>
  <c r="AC40" s="1"/>
  <c r="AC41" s="1"/>
  <c r="AC42" s="1"/>
  <c r="AC43" s="1"/>
  <c r="AC44" s="1"/>
  <c r="AC45" s="1"/>
  <c r="AC46" s="1"/>
  <c r="AD8"/>
  <c r="F46" i="26"/>
  <c r="F13"/>
  <c r="F15" i="28"/>
  <c r="G36" i="77"/>
  <c r="F35"/>
  <c r="H35" s="1"/>
  <c r="I35" s="1"/>
  <c r="G36" i="72"/>
  <c r="F35"/>
  <c r="H35" s="1"/>
  <c r="I35" s="1"/>
  <c r="F31" i="219"/>
  <c r="AR45" i="19"/>
  <c r="G43" i="207"/>
  <c r="G38"/>
  <c r="G48"/>
  <c r="E48"/>
  <c r="E43"/>
  <c r="E38"/>
  <c r="J48"/>
  <c r="J43"/>
  <c r="J38"/>
  <c r="H37" i="58"/>
  <c r="B23" i="207" s="1"/>
  <c r="C39" i="124"/>
  <c r="I39" s="1"/>
  <c r="Y11" i="16"/>
  <c r="Z12"/>
  <c r="AA12" s="1"/>
  <c r="AB12" s="1"/>
  <c r="BM12" i="19" s="1"/>
  <c r="D10" i="26"/>
  <c r="D11" i="28"/>
  <c r="S15" i="29" s="1"/>
  <c r="T15" s="1"/>
  <c r="E9" i="16"/>
  <c r="F10"/>
  <c r="G10" s="1"/>
  <c r="H10" s="1"/>
  <c r="O10" i="19" s="1"/>
  <c r="BD40" i="58"/>
  <c r="G26" i="216"/>
  <c r="AT40" i="58"/>
  <c r="F26" i="216"/>
  <c r="I36" i="227"/>
  <c r="I41"/>
  <c r="I42"/>
  <c r="I37"/>
  <c r="K13" i="28"/>
  <c r="BP17" i="29" s="1"/>
  <c r="BQ17" s="1"/>
  <c r="K12" i="26"/>
  <c r="C46" i="28"/>
  <c r="C5" i="224"/>
  <c r="L19" i="29"/>
  <c r="H10" i="26"/>
  <c r="H11" i="28"/>
  <c r="AU15" i="29" s="1"/>
  <c r="AV15" s="1"/>
  <c r="L34" i="80"/>
  <c r="L23" i="215" s="1"/>
  <c r="V37" i="6"/>
  <c r="W37" s="1"/>
  <c r="DA37" i="58" s="1"/>
  <c r="DD37" s="1"/>
  <c r="BW50" i="29"/>
  <c r="L23" i="167"/>
  <c r="BW56" i="29"/>
  <c r="BX19"/>
  <c r="BX50" s="1"/>
  <c r="I46" i="26"/>
  <c r="I13"/>
  <c r="I15" i="28"/>
  <c r="E20" i="29"/>
  <c r="B6" i="224"/>
  <c r="J43" i="12"/>
  <c r="J44" s="1"/>
  <c r="AJ46" i="15"/>
  <c r="AL46" s="1"/>
  <c r="AM46" s="1"/>
  <c r="R48"/>
  <c r="P50"/>
  <c r="Q8" i="10"/>
  <c r="Q9" s="1"/>
  <c r="Q10" s="1"/>
  <c r="Q11" s="1"/>
  <c r="Q12" s="1"/>
  <c r="Q13" s="1"/>
  <c r="Q14" s="1"/>
  <c r="Q15" s="1"/>
  <c r="Q16" s="1"/>
  <c r="Q17" s="1"/>
  <c r="Q19" s="1"/>
  <c r="Q20" s="1"/>
  <c r="Q21" s="1"/>
  <c r="Q22" s="1"/>
  <c r="Q23" s="1"/>
  <c r="Q24" s="1"/>
  <c r="Q25" s="1"/>
  <c r="Q26" s="1"/>
  <c r="Q27" s="1"/>
  <c r="Q28" s="1"/>
  <c r="Q29" s="1"/>
  <c r="Q30" s="1"/>
  <c r="Q31" s="1"/>
  <c r="Q32" s="1"/>
  <c r="Q33" s="1"/>
  <c r="Q34" s="1"/>
  <c r="Q35" s="1"/>
  <c r="Q36" s="1"/>
  <c r="Q37" s="1"/>
  <c r="Q38" s="1"/>
  <c r="Q39" s="1"/>
  <c r="Q40" s="1"/>
  <c r="Q41" s="1"/>
  <c r="Q42" s="1"/>
  <c r="Q43" s="1"/>
  <c r="Q44" s="1"/>
  <c r="Q45" s="1"/>
  <c r="Q46" s="1"/>
  <c r="R8"/>
  <c r="AG8" i="15"/>
  <c r="AH8" s="1"/>
  <c r="AI8" s="1"/>
  <c r="BV8" i="19" s="1"/>
  <c r="AT8" i="10"/>
  <c r="J46" i="26"/>
  <c r="J13"/>
  <c r="J15" i="28"/>
  <c r="AS8" i="15"/>
  <c r="AT8" s="1"/>
  <c r="AU8" s="1"/>
  <c r="CZ8" i="19" s="1"/>
  <c r="BL8" i="10"/>
  <c r="CD10" i="58"/>
  <c r="Y10" i="5"/>
  <c r="I11" i="16"/>
  <c r="J12"/>
  <c r="K12" s="1"/>
  <c r="L12" s="1"/>
  <c r="Y12" i="19" s="1"/>
  <c r="J36" i="227"/>
  <c r="J41"/>
  <c r="J42"/>
  <c r="J37"/>
  <c r="G36" i="71"/>
  <c r="F35"/>
  <c r="H35" s="1"/>
  <c r="I35" s="1"/>
  <c r="N46" i="19"/>
  <c r="N68" s="1"/>
  <c r="C32" i="219"/>
  <c r="C36" i="227"/>
  <c r="C41"/>
  <c r="C37"/>
  <c r="C42"/>
  <c r="J37" i="58"/>
  <c r="F39" i="124"/>
  <c r="L39" s="1"/>
  <c r="AD50" i="15"/>
  <c r="AE48"/>
  <c r="H34" i="219" s="1"/>
  <c r="AK9" i="1"/>
  <c r="AI8"/>
  <c r="AK8" s="1"/>
  <c r="S10" i="5"/>
  <c r="AZ10" i="58"/>
  <c r="AU8" i="1"/>
  <c r="AW8" s="1"/>
  <c r="AW9"/>
  <c r="W10" i="5"/>
  <c r="BT10" i="58"/>
  <c r="Q8" i="7"/>
  <c r="U8" s="1"/>
  <c r="V8" s="1"/>
  <c r="X8" i="58" s="1"/>
  <c r="U9" i="7"/>
  <c r="V9" s="1"/>
  <c r="X9" i="58" s="1"/>
  <c r="AE8" i="7"/>
  <c r="AI8" s="1"/>
  <c r="AJ8" s="1"/>
  <c r="AR8" i="58" s="1"/>
  <c r="AI9" i="7"/>
  <c r="AJ9" s="1"/>
  <c r="AR9" i="58" s="1"/>
  <c r="AS8" i="7"/>
  <c r="AW8" s="1"/>
  <c r="AX8" s="1"/>
  <c r="BL8" i="58" s="1"/>
  <c r="AW9" i="7"/>
  <c r="AX9" s="1"/>
  <c r="BL9" i="58" s="1"/>
  <c r="AA10" i="5"/>
  <c r="CN10" i="58"/>
  <c r="BI9" i="1"/>
  <c r="BG8"/>
  <c r="BI8" s="1"/>
  <c r="B50" i="5"/>
  <c r="R11"/>
  <c r="AT11" i="58" s="1"/>
  <c r="N11" i="5"/>
  <c r="Z11" i="58" s="1"/>
  <c r="AB11" s="1"/>
  <c r="AD11" s="1"/>
  <c r="AD11" i="5"/>
  <c r="DB11" i="58" s="1"/>
  <c r="L11" i="5"/>
  <c r="P11" i="58" s="1"/>
  <c r="R11" s="1"/>
  <c r="T11" s="1"/>
  <c r="P11" i="5"/>
  <c r="AJ11" i="58" s="1"/>
  <c r="BK9" i="7"/>
  <c r="BL9" s="1"/>
  <c r="CF9" i="58" s="1"/>
  <c r="BG8" i="7"/>
  <c r="BK8" s="1"/>
  <c r="BL8" s="1"/>
  <c r="CF8" i="58" s="1"/>
  <c r="BY9" i="7"/>
  <c r="BZ9" s="1"/>
  <c r="CZ9" i="58" s="1"/>
  <c r="BU8" i="7"/>
  <c r="BY8" s="1"/>
  <c r="BZ8" s="1"/>
  <c r="CZ8" i="58" s="1"/>
  <c r="AV11"/>
  <c r="AX11" s="1"/>
  <c r="DD11"/>
  <c r="DF11" s="1"/>
  <c r="B10"/>
  <c r="I10" i="5"/>
  <c r="J10" s="1"/>
  <c r="BJ9" i="58"/>
  <c r="U9" i="5"/>
  <c r="G9" i="1"/>
  <c r="E8"/>
  <c r="G8" s="1"/>
  <c r="U8" i="5"/>
  <c r="BJ8" i="58"/>
  <c r="AB11" i="5"/>
  <c r="CR11" i="58" s="1"/>
  <c r="CT11" s="1"/>
  <c r="CV11" s="1"/>
  <c r="Z11" i="5"/>
  <c r="CH11" i="58" s="1"/>
  <c r="CJ11" s="1"/>
  <c r="CL11" s="1"/>
  <c r="T11" i="5"/>
  <c r="BD11" i="58" s="1"/>
  <c r="BF11" s="1"/>
  <c r="BH11" s="1"/>
  <c r="X11" i="5"/>
  <c r="BX11" i="58" s="1"/>
  <c r="BZ11" s="1"/>
  <c r="CB11" s="1"/>
  <c r="H10"/>
  <c r="J10" s="1"/>
  <c r="V10" i="5"/>
  <c r="BN10" i="58" s="1"/>
  <c r="BP10" s="1"/>
  <c r="BR10" s="1"/>
  <c r="AL11"/>
  <c r="AN11" s="1"/>
  <c r="L10"/>
  <c r="K10" i="5"/>
  <c r="O10"/>
  <c r="AF10" i="58"/>
  <c r="K8" i="1"/>
  <c r="M8" s="1"/>
  <c r="M9"/>
  <c r="W8"/>
  <c r="Y8" s="1"/>
  <c r="Y9"/>
  <c r="C14" i="64"/>
  <c r="D14" s="1"/>
  <c r="E14" s="1"/>
  <c r="G16" i="19" s="1"/>
  <c r="F14" i="64"/>
  <c r="G14" s="1"/>
  <c r="H14" s="1"/>
  <c r="I14" s="1"/>
  <c r="Q16" i="19" s="1"/>
  <c r="J14" i="64"/>
  <c r="K14" s="1"/>
  <c r="L14" s="1"/>
  <c r="M14" s="1"/>
  <c r="AA16" i="19" s="1"/>
  <c r="N14" i="64"/>
  <c r="O14" s="1"/>
  <c r="P14" s="1"/>
  <c r="Q14" s="1"/>
  <c r="AK16" i="19" s="1"/>
  <c r="V14" i="64"/>
  <c r="W14" s="1"/>
  <c r="X14" s="1"/>
  <c r="Y14" s="1"/>
  <c r="BE16" i="19" s="1"/>
  <c r="Z14" i="64"/>
  <c r="AA14" s="1"/>
  <c r="AB14" s="1"/>
  <c r="AC14" s="1"/>
  <c r="BO16" i="19" s="1"/>
  <c r="AD14" i="64"/>
  <c r="AE14" s="1"/>
  <c r="AF14" s="1"/>
  <c r="AG14" s="1"/>
  <c r="BY16" i="19" s="1"/>
  <c r="AL14" i="64"/>
  <c r="AM14" s="1"/>
  <c r="AN14" s="1"/>
  <c r="AO14" s="1"/>
  <c r="CS16" i="19" s="1"/>
  <c r="AP14" i="64"/>
  <c r="AQ14" s="1"/>
  <c r="AR14" s="1"/>
  <c r="AS14" s="1"/>
  <c r="DC16" i="19" s="1"/>
  <c r="B13" i="64"/>
  <c r="R14"/>
  <c r="S14" s="1"/>
  <c r="T14" s="1"/>
  <c r="U14" s="1"/>
  <c r="AU16" i="19" s="1"/>
  <c r="AH14" i="64"/>
  <c r="AI14" s="1"/>
  <c r="AJ14" s="1"/>
  <c r="AK14" s="1"/>
  <c r="CI16" i="19" s="1"/>
  <c r="L17" i="64"/>
  <c r="L48" s="1"/>
  <c r="AB17"/>
  <c r="AB48" s="1"/>
  <c r="AR17"/>
  <c r="AR48" s="1"/>
  <c r="H17"/>
  <c r="H48" s="1"/>
  <c r="X17"/>
  <c r="X48" s="1"/>
  <c r="AN17"/>
  <c r="AN48" s="1"/>
  <c r="E17"/>
  <c r="T17"/>
  <c r="T48" s="1"/>
  <c r="AJ17"/>
  <c r="AJ48" s="1"/>
  <c r="P17"/>
  <c r="P48" s="1"/>
  <c r="AF17"/>
  <c r="AF48" s="1"/>
  <c r="Y10" i="10"/>
  <c r="AG10" i="19" s="1"/>
  <c r="X11" i="10"/>
  <c r="AK10"/>
  <c r="BA10" i="19" s="1"/>
  <c r="AJ11" i="10"/>
  <c r="BI10"/>
  <c r="CO10" i="19" s="1"/>
  <c r="BH11" i="10"/>
  <c r="J8" i="7"/>
  <c r="N8" s="1"/>
  <c r="O8" s="1"/>
  <c r="N8" i="58" s="1"/>
  <c r="N9" i="7"/>
  <c r="O9" s="1"/>
  <c r="N9" i="58" s="1"/>
  <c r="G9" i="7"/>
  <c r="H9" s="1"/>
  <c r="D9" i="58" s="1"/>
  <c r="C8" i="7"/>
  <c r="G8" s="1"/>
  <c r="H8" s="1"/>
  <c r="D8" i="58" s="1"/>
  <c r="AC8" i="1"/>
  <c r="AE8" s="1"/>
  <c r="AE9"/>
  <c r="Q8"/>
  <c r="S8" s="1"/>
  <c r="S9"/>
  <c r="BM8"/>
  <c r="BO8" s="1"/>
  <c r="BO9"/>
  <c r="Q10" i="5"/>
  <c r="AP10" i="58"/>
  <c r="V10"/>
  <c r="M10" i="5"/>
  <c r="AC10"/>
  <c r="CX10" i="58"/>
  <c r="K34" i="70"/>
  <c r="B24" i="215" s="1"/>
  <c r="B38" i="6"/>
  <c r="C38" s="1"/>
  <c r="E38" i="58" s="1"/>
  <c r="E35" i="70"/>
  <c r="G35" s="1"/>
  <c r="F36"/>
  <c r="H35"/>
  <c r="F37" i="76"/>
  <c r="H37" s="1"/>
  <c r="I37" s="1"/>
  <c r="G38"/>
  <c r="F37" i="75"/>
  <c r="H37" s="1"/>
  <c r="I37" s="1"/>
  <c r="G38"/>
  <c r="F37" i="74"/>
  <c r="H37" s="1"/>
  <c r="I37" s="1"/>
  <c r="G38"/>
  <c r="F37" i="73"/>
  <c r="H37" s="1"/>
  <c r="I37" s="1"/>
  <c r="G38"/>
  <c r="F37" i="79"/>
  <c r="H37" s="1"/>
  <c r="I37" s="1"/>
  <c r="G38"/>
  <c r="F37" i="78"/>
  <c r="H37" s="1"/>
  <c r="I37" s="1"/>
  <c r="G38"/>
  <c r="BR38" i="58"/>
  <c r="BH38"/>
  <c r="AX38"/>
  <c r="AN38"/>
  <c r="CV38"/>
  <c r="CL38"/>
  <c r="N39" i="6"/>
  <c r="O39" s="1"/>
  <c r="BM39" i="58" s="1"/>
  <c r="BP39" s="1"/>
  <c r="H25" i="207" s="1"/>
  <c r="L36" i="76"/>
  <c r="H25" i="215" s="1"/>
  <c r="L39" i="6"/>
  <c r="M39" s="1"/>
  <c r="BC39" i="58" s="1"/>
  <c r="BF39" s="1"/>
  <c r="G25" i="207" s="1"/>
  <c r="L36" i="75"/>
  <c r="G25" i="215" s="1"/>
  <c r="J39" i="6"/>
  <c r="K39" s="1"/>
  <c r="AS39" i="58" s="1"/>
  <c r="AV39" s="1"/>
  <c r="F25" i="207" s="1"/>
  <c r="L36" i="74"/>
  <c r="F25" i="215" s="1"/>
  <c r="H39" i="6"/>
  <c r="I39" s="1"/>
  <c r="AI39" i="58" s="1"/>
  <c r="AL39" s="1"/>
  <c r="E25" i="207" s="1"/>
  <c r="L36" i="73"/>
  <c r="E25" i="215" s="1"/>
  <c r="T39" i="6"/>
  <c r="U39" s="1"/>
  <c r="CQ39" i="58" s="1"/>
  <c r="CT39" s="1"/>
  <c r="K25" i="207" s="1"/>
  <c r="L36" i="79"/>
  <c r="K25" i="215" s="1"/>
  <c r="R39" i="6"/>
  <c r="S39" s="1"/>
  <c r="CG39" i="58" s="1"/>
  <c r="CJ39" s="1"/>
  <c r="J25" i="207" s="1"/>
  <c r="L36" i="78"/>
  <c r="J25" i="215" s="1"/>
  <c r="F36" i="71" l="1"/>
  <c r="H36" s="1"/>
  <c r="I36" s="1"/>
  <c r="G37"/>
  <c r="CF46" i="19"/>
  <c r="J32" i="219"/>
  <c r="G37" i="72"/>
  <c r="F36"/>
  <c r="H36" s="1"/>
  <c r="I36" s="1"/>
  <c r="F12" i="26"/>
  <c r="F13" i="28"/>
  <c r="AG17" i="29" s="1"/>
  <c r="AH17" s="1"/>
  <c r="Y8" i="5"/>
  <c r="CD8" i="58"/>
  <c r="CH41"/>
  <c r="J27" i="216"/>
  <c r="K41" i="224"/>
  <c r="K36"/>
  <c r="K42"/>
  <c r="K37"/>
  <c r="BC8" i="10"/>
  <c r="CE8" i="19" s="1"/>
  <c r="BB9" i="10"/>
  <c r="AA48" i="15"/>
  <c r="Z50"/>
  <c r="L35" i="71"/>
  <c r="C24" i="215" s="1"/>
  <c r="D38" i="6"/>
  <c r="E38" s="1"/>
  <c r="O38" i="58" s="1"/>
  <c r="R38" s="1"/>
  <c r="J46" i="28"/>
  <c r="J5" i="224"/>
  <c r="BI19" i="29"/>
  <c r="R50" i="15"/>
  <c r="S48"/>
  <c r="L23" i="207"/>
  <c r="DF37" i="58"/>
  <c r="L50" i="29"/>
  <c r="C23" i="167"/>
  <c r="M19" i="29"/>
  <c r="M50" s="1"/>
  <c r="D9" i="26"/>
  <c r="D10" i="28"/>
  <c r="S14" i="29" s="1"/>
  <c r="T14" s="1"/>
  <c r="F38" i="6"/>
  <c r="G38" s="1"/>
  <c r="Y38" i="58" s="1"/>
  <c r="AB38" s="1"/>
  <c r="L35" i="72"/>
  <c r="D24" i="215" s="1"/>
  <c r="F46" i="28"/>
  <c r="F5" i="224"/>
  <c r="AG19" i="29"/>
  <c r="V42" i="5"/>
  <c r="AD42"/>
  <c r="R42"/>
  <c r="P42"/>
  <c r="L42"/>
  <c r="T42"/>
  <c r="AB42"/>
  <c r="Z42"/>
  <c r="X42"/>
  <c r="N42"/>
  <c r="G41" i="224"/>
  <c r="G36"/>
  <c r="G37"/>
  <c r="G42"/>
  <c r="B38" i="215"/>
  <c r="B43"/>
  <c r="J11" i="16"/>
  <c r="K11" s="1"/>
  <c r="L11" s="1"/>
  <c r="Y11" i="19" s="1"/>
  <c r="I10" i="16"/>
  <c r="AV8" i="10"/>
  <c r="AU8"/>
  <c r="AU9" s="1"/>
  <c r="AU10" s="1"/>
  <c r="AU11" s="1"/>
  <c r="AU12" s="1"/>
  <c r="AU13" s="1"/>
  <c r="AU14" s="1"/>
  <c r="AU15" s="1"/>
  <c r="AU16" s="1"/>
  <c r="AU17" s="1"/>
  <c r="AU19" s="1"/>
  <c r="AU20" s="1"/>
  <c r="AU21" s="1"/>
  <c r="AU22" s="1"/>
  <c r="AU23" s="1"/>
  <c r="AU24" s="1"/>
  <c r="AU25" s="1"/>
  <c r="AU26" s="1"/>
  <c r="AU27" s="1"/>
  <c r="AU28" s="1"/>
  <c r="AU29" s="1"/>
  <c r="AU30" s="1"/>
  <c r="AU31" s="1"/>
  <c r="AU32" s="1"/>
  <c r="AU33" s="1"/>
  <c r="AU34" s="1"/>
  <c r="AU35" s="1"/>
  <c r="AU36" s="1"/>
  <c r="AU37" s="1"/>
  <c r="AU38" s="1"/>
  <c r="AU39" s="1"/>
  <c r="AU40" s="1"/>
  <c r="AU41" s="1"/>
  <c r="AU42" s="1"/>
  <c r="AU43" s="1"/>
  <c r="AU44" s="1"/>
  <c r="AU45" s="1"/>
  <c r="AU46" s="1"/>
  <c r="H10" i="28"/>
  <c r="AU14" i="29" s="1"/>
  <c r="AV14" s="1"/>
  <c r="H9" i="26"/>
  <c r="K12" i="28"/>
  <c r="BP16" i="29" s="1"/>
  <c r="BQ16" s="1"/>
  <c r="K11" i="26"/>
  <c r="G37" i="77"/>
  <c r="F36"/>
  <c r="H36" s="1"/>
  <c r="I36" s="1"/>
  <c r="AE8" i="10"/>
  <c r="AQ8" i="19" s="1"/>
  <c r="AD9" i="10"/>
  <c r="N50" i="15"/>
  <c r="O48"/>
  <c r="N11" i="16"/>
  <c r="O11" s="1"/>
  <c r="P11" s="1"/>
  <c r="AI11" i="19" s="1"/>
  <c r="M10" i="16"/>
  <c r="CR41" i="58"/>
  <c r="K27" i="216"/>
  <c r="AT41" i="58"/>
  <c r="F27" i="216"/>
  <c r="D23" i="207"/>
  <c r="AD37" i="58"/>
  <c r="I23" i="207"/>
  <c r="CB37" i="58"/>
  <c r="F36" i="80"/>
  <c r="H36" s="1"/>
  <c r="I36" s="1"/>
  <c r="G37"/>
  <c r="AP50" i="15"/>
  <c r="AQ48"/>
  <c r="E13" i="28"/>
  <c r="Z17" i="29" s="1"/>
  <c r="AA17" s="1"/>
  <c r="E12" i="26"/>
  <c r="R11" i="16"/>
  <c r="S11" s="1"/>
  <c r="T11" s="1"/>
  <c r="AS11" i="19" s="1"/>
  <c r="Q10" i="16"/>
  <c r="AH50" i="15"/>
  <c r="AI48"/>
  <c r="AN50" i="29"/>
  <c r="G23" i="167"/>
  <c r="AO19" i="29"/>
  <c r="AO50" s="1"/>
  <c r="F46" i="12"/>
  <c r="T48" i="15"/>
  <c r="J12" i="26"/>
  <c r="J13" i="28"/>
  <c r="BI17" i="29" s="1"/>
  <c r="BJ17" s="1"/>
  <c r="R9" i="10"/>
  <c r="S8"/>
  <c r="W8" i="19" s="1"/>
  <c r="I46" i="28"/>
  <c r="I5" i="224"/>
  <c r="BB19" i="29"/>
  <c r="C41" i="224"/>
  <c r="C36"/>
  <c r="C37"/>
  <c r="C42"/>
  <c r="C45" i="5"/>
  <c r="F44"/>
  <c r="H44" s="1"/>
  <c r="B46" i="28"/>
  <c r="B5" i="224"/>
  <c r="E19" i="29"/>
  <c r="H50" i="15"/>
  <c r="J48"/>
  <c r="Z41" i="58"/>
  <c r="D27" i="216"/>
  <c r="AJ41" i="58"/>
  <c r="E27" i="216"/>
  <c r="F9" i="10"/>
  <c r="G8"/>
  <c r="C8" i="19" s="1"/>
  <c r="E48" i="64"/>
  <c r="B5" i="210"/>
  <c r="F20" i="29"/>
  <c r="J4" i="171"/>
  <c r="B29" i="216"/>
  <c r="J43" i="5"/>
  <c r="F43" i="58"/>
  <c r="E45" i="124" s="1"/>
  <c r="K45" s="1"/>
  <c r="AO9" i="16"/>
  <c r="AP10"/>
  <c r="AQ10" s="1"/>
  <c r="AR10" s="1"/>
  <c r="DA10" i="19" s="1"/>
  <c r="B12" i="26"/>
  <c r="B13" i="28"/>
  <c r="E17" i="29" s="1"/>
  <c r="F17" s="1"/>
  <c r="Y9" i="5"/>
  <c r="CD9" i="58"/>
  <c r="BX41"/>
  <c r="I27" i="216"/>
  <c r="P41" i="58"/>
  <c r="C27" i="216"/>
  <c r="DB41" i="58"/>
  <c r="L27" i="216"/>
  <c r="BP50" i="29"/>
  <c r="K23" i="167"/>
  <c r="BQ19" i="29"/>
  <c r="BQ50" s="1"/>
  <c r="E46" i="28"/>
  <c r="E5" i="224"/>
  <c r="Z19" i="29"/>
  <c r="H38" i="58"/>
  <c r="C40" i="124"/>
  <c r="I40" s="1"/>
  <c r="H36" i="219"/>
  <c r="H41"/>
  <c r="C44"/>
  <c r="C39"/>
  <c r="BN8" i="10"/>
  <c r="BM8"/>
  <c r="BM9" s="1"/>
  <c r="BM10" s="1"/>
  <c r="BM11" s="1"/>
  <c r="BM12" s="1"/>
  <c r="BM13" s="1"/>
  <c r="BM14" s="1"/>
  <c r="BM15" s="1"/>
  <c r="BM16" s="1"/>
  <c r="BM17" s="1"/>
  <c r="BM19" s="1"/>
  <c r="BM20" s="1"/>
  <c r="BM21" s="1"/>
  <c r="BM22" s="1"/>
  <c r="BM23" s="1"/>
  <c r="BM24" s="1"/>
  <c r="BM25" s="1"/>
  <c r="BM26" s="1"/>
  <c r="BM27" s="1"/>
  <c r="BM28" s="1"/>
  <c r="BM29" s="1"/>
  <c r="BM30" s="1"/>
  <c r="BM31" s="1"/>
  <c r="BM32" s="1"/>
  <c r="BM33" s="1"/>
  <c r="BM34" s="1"/>
  <c r="BM35" s="1"/>
  <c r="BM36" s="1"/>
  <c r="BM37" s="1"/>
  <c r="BM38" s="1"/>
  <c r="BM39" s="1"/>
  <c r="BM40" s="1"/>
  <c r="BM41" s="1"/>
  <c r="BM42" s="1"/>
  <c r="BM43" s="1"/>
  <c r="BM44" s="1"/>
  <c r="BM45" s="1"/>
  <c r="BM46" s="1"/>
  <c r="J46" i="12"/>
  <c r="AJ48" i="15"/>
  <c r="I13" i="28"/>
  <c r="BB17" i="29" s="1"/>
  <c r="BC17" s="1"/>
  <c r="I12" i="26"/>
  <c r="E8" i="16"/>
  <c r="F8" s="1"/>
  <c r="G8" s="1"/>
  <c r="H8" s="1"/>
  <c r="O8" i="19" s="1"/>
  <c r="F9" i="16"/>
  <c r="G9" s="1"/>
  <c r="H9" s="1"/>
  <c r="O9" i="19" s="1"/>
  <c r="Z11" i="16"/>
  <c r="AA11" s="1"/>
  <c r="AB11" s="1"/>
  <c r="BM11" i="19" s="1"/>
  <c r="Y10" i="16"/>
  <c r="P38" i="6"/>
  <c r="Q38" s="1"/>
  <c r="BW38" i="58" s="1"/>
  <c r="BZ38" s="1"/>
  <c r="L35" i="77"/>
  <c r="I24" i="215" s="1"/>
  <c r="L11" i="28"/>
  <c r="BW15" i="29" s="1"/>
  <c r="BX15" s="1"/>
  <c r="L10" i="26"/>
  <c r="AD11" i="16"/>
  <c r="AE11" s="1"/>
  <c r="AF11" s="1"/>
  <c r="BW11" i="19" s="1"/>
  <c r="AC10" i="16"/>
  <c r="AT50" i="15"/>
  <c r="AU48"/>
  <c r="C23" i="207"/>
  <c r="T37" i="58"/>
  <c r="AO8" i="10"/>
  <c r="AO9" s="1"/>
  <c r="AO10" s="1"/>
  <c r="AO11" s="1"/>
  <c r="AO12" s="1"/>
  <c r="AO13" s="1"/>
  <c r="AO14" s="1"/>
  <c r="AO15" s="1"/>
  <c r="AO16" s="1"/>
  <c r="AO17" s="1"/>
  <c r="AO19" s="1"/>
  <c r="AO20" s="1"/>
  <c r="AO21" s="1"/>
  <c r="AO22" s="1"/>
  <c r="AO23" s="1"/>
  <c r="AO24" s="1"/>
  <c r="AO25" s="1"/>
  <c r="AO26" s="1"/>
  <c r="AO27" s="1"/>
  <c r="AO28" s="1"/>
  <c r="AO29" s="1"/>
  <c r="AO30" s="1"/>
  <c r="AO31" s="1"/>
  <c r="AO32" s="1"/>
  <c r="AO33" s="1"/>
  <c r="AO34" s="1"/>
  <c r="AO35" s="1"/>
  <c r="AO36" s="1"/>
  <c r="AO37" s="1"/>
  <c r="AO38" s="1"/>
  <c r="AO39" s="1"/>
  <c r="AO40" s="1"/>
  <c r="AO41" s="1"/>
  <c r="AO42" s="1"/>
  <c r="AO43" s="1"/>
  <c r="AO44" s="1"/>
  <c r="AO45" s="1"/>
  <c r="AO46" s="1"/>
  <c r="AP8"/>
  <c r="BD41" i="58"/>
  <c r="G27" i="216"/>
  <c r="BN41" i="58"/>
  <c r="H27" i="216"/>
  <c r="V38" i="6"/>
  <c r="W38" s="1"/>
  <c r="DA38" i="58" s="1"/>
  <c r="DD38" s="1"/>
  <c r="L35" i="80"/>
  <c r="L24" i="215" s="1"/>
  <c r="C11" i="26"/>
  <c r="C12" i="28"/>
  <c r="L16" i="29" s="1"/>
  <c r="M16" s="1"/>
  <c r="L8" i="10"/>
  <c r="K8"/>
  <c r="K9" s="1"/>
  <c r="K10" s="1"/>
  <c r="K11" s="1"/>
  <c r="K12" s="1"/>
  <c r="K13" s="1"/>
  <c r="K14" s="1"/>
  <c r="K15" s="1"/>
  <c r="K16" s="1"/>
  <c r="K17" s="1"/>
  <c r="K19" s="1"/>
  <c r="K20" s="1"/>
  <c r="K21" s="1"/>
  <c r="K22" s="1"/>
  <c r="K23" s="1"/>
  <c r="K24" s="1"/>
  <c r="K25" s="1"/>
  <c r="K26" s="1"/>
  <c r="K27" s="1"/>
  <c r="K28" s="1"/>
  <c r="K29" s="1"/>
  <c r="K30" s="1"/>
  <c r="K31" s="1"/>
  <c r="K32" s="1"/>
  <c r="K33" s="1"/>
  <c r="K34" s="1"/>
  <c r="K35" s="1"/>
  <c r="K36" s="1"/>
  <c r="K37" s="1"/>
  <c r="K38" s="1"/>
  <c r="K39" s="1"/>
  <c r="K40" s="1"/>
  <c r="K41" s="1"/>
  <c r="K42" s="1"/>
  <c r="K43" s="1"/>
  <c r="K44" s="1"/>
  <c r="K45" s="1"/>
  <c r="K46" s="1"/>
  <c r="AR46" i="19"/>
  <c r="F32" i="219"/>
  <c r="G12" i="28"/>
  <c r="AN16" i="29" s="1"/>
  <c r="AO16" s="1"/>
  <c r="G11" i="26"/>
  <c r="N10" i="5"/>
  <c r="Z10" i="58" s="1"/>
  <c r="L10" i="5"/>
  <c r="P10" i="58" s="1"/>
  <c r="R10" s="1"/>
  <c r="T10" s="1"/>
  <c r="AA8" i="5"/>
  <c r="CN8" i="58"/>
  <c r="AA9" i="5"/>
  <c r="CN9" i="58"/>
  <c r="W9" i="5"/>
  <c r="BT9" i="58"/>
  <c r="BT8"/>
  <c r="W8" i="5"/>
  <c r="AZ8" i="58"/>
  <c r="S8" i="5"/>
  <c r="S9"/>
  <c r="AZ9" i="58"/>
  <c r="BL48" i="19"/>
  <c r="AE50" i="15"/>
  <c r="AD10" i="5"/>
  <c r="DB10" i="58" s="1"/>
  <c r="R10" i="5"/>
  <c r="AT10" i="58" s="1"/>
  <c r="P10" i="5"/>
  <c r="AJ10" i="58" s="1"/>
  <c r="J38"/>
  <c r="B8"/>
  <c r="H8" s="1"/>
  <c r="J8" s="1"/>
  <c r="I8" i="5"/>
  <c r="J8" s="1"/>
  <c r="V8" s="1"/>
  <c r="BN8" i="58" s="1"/>
  <c r="BP8" s="1"/>
  <c r="BR8" s="1"/>
  <c r="B9"/>
  <c r="H9" s="1"/>
  <c r="J9" s="1"/>
  <c r="I9" i="5"/>
  <c r="J9" s="1"/>
  <c r="V9" s="1"/>
  <c r="BN9" i="58" s="1"/>
  <c r="BP9" s="1"/>
  <c r="BR9" s="1"/>
  <c r="Z10" i="5"/>
  <c r="CH10" i="58" s="1"/>
  <c r="CJ10" s="1"/>
  <c r="CL10" s="1"/>
  <c r="AB10" i="5"/>
  <c r="CR10" i="58" s="1"/>
  <c r="CT10" s="1"/>
  <c r="CV10" s="1"/>
  <c r="X10" i="5"/>
  <c r="BX10" i="58" s="1"/>
  <c r="BZ10" s="1"/>
  <c r="CB10" s="1"/>
  <c r="T10" i="5"/>
  <c r="BD10" i="58" s="1"/>
  <c r="BF10" s="1"/>
  <c r="BH10" s="1"/>
  <c r="DD10"/>
  <c r="DF10" s="1"/>
  <c r="AV10"/>
  <c r="AX10" s="1"/>
  <c r="AF9"/>
  <c r="O9" i="5"/>
  <c r="P9" s="1"/>
  <c r="AJ9" i="58" s="1"/>
  <c r="L9"/>
  <c r="K9" i="5"/>
  <c r="O8"/>
  <c r="P8" s="1"/>
  <c r="AJ8" i="58" s="1"/>
  <c r="AF8"/>
  <c r="L8"/>
  <c r="K8" i="5"/>
  <c r="AL10" i="58"/>
  <c r="AN10" s="1"/>
  <c r="AG17" i="64"/>
  <c r="Q17"/>
  <c r="AK17"/>
  <c r="U17"/>
  <c r="G19" i="19"/>
  <c r="AO17" i="64"/>
  <c r="Y17"/>
  <c r="I17"/>
  <c r="AS17"/>
  <c r="AC17"/>
  <c r="M17"/>
  <c r="B12"/>
  <c r="F13"/>
  <c r="G13" s="1"/>
  <c r="H13" s="1"/>
  <c r="I13" s="1"/>
  <c r="Q15" i="19" s="1"/>
  <c r="N13" i="64"/>
  <c r="O13" s="1"/>
  <c r="P13" s="1"/>
  <c r="Q13" s="1"/>
  <c r="AK15" i="19" s="1"/>
  <c r="R13" i="64"/>
  <c r="S13" s="1"/>
  <c r="T13" s="1"/>
  <c r="U13" s="1"/>
  <c r="AU15" i="19" s="1"/>
  <c r="V13" i="64"/>
  <c r="W13" s="1"/>
  <c r="X13" s="1"/>
  <c r="Y13" s="1"/>
  <c r="BE15" i="19" s="1"/>
  <c r="AD13" i="64"/>
  <c r="AE13" s="1"/>
  <c r="AF13" s="1"/>
  <c r="AG13" s="1"/>
  <c r="BY15" i="19" s="1"/>
  <c r="AH13" i="64"/>
  <c r="AI13" s="1"/>
  <c r="AJ13" s="1"/>
  <c r="AK13" s="1"/>
  <c r="CI15" i="19" s="1"/>
  <c r="AL13" i="64"/>
  <c r="AM13" s="1"/>
  <c r="AN13" s="1"/>
  <c r="AO13" s="1"/>
  <c r="CS15" i="19" s="1"/>
  <c r="C13" i="64"/>
  <c r="D13" s="1"/>
  <c r="E13" s="1"/>
  <c r="G15" i="19" s="1"/>
  <c r="J13" i="64"/>
  <c r="K13" s="1"/>
  <c r="L13" s="1"/>
  <c r="M13" s="1"/>
  <c r="AA15" i="19" s="1"/>
  <c r="Z13" i="64"/>
  <c r="AA13" s="1"/>
  <c r="AB13" s="1"/>
  <c r="AC13" s="1"/>
  <c r="BO15" i="19" s="1"/>
  <c r="AP13" i="64"/>
  <c r="AQ13" s="1"/>
  <c r="AR13" s="1"/>
  <c r="AS13" s="1"/>
  <c r="DC15" i="19" s="1"/>
  <c r="BH12" i="10"/>
  <c r="BI11"/>
  <c r="CO11" i="19" s="1"/>
  <c r="AK11" i="10"/>
  <c r="BA11" i="19" s="1"/>
  <c r="AJ12" i="10"/>
  <c r="X12"/>
  <c r="Y11"/>
  <c r="AG11" i="19" s="1"/>
  <c r="CX8" i="58"/>
  <c r="AC8" i="5"/>
  <c r="AD8" s="1"/>
  <c r="DB8" i="58" s="1"/>
  <c r="M8" i="5"/>
  <c r="V8" i="58"/>
  <c r="Q8" i="5"/>
  <c r="AP8" i="58"/>
  <c r="CX9"/>
  <c r="AC9" i="5"/>
  <c r="AD9" s="1"/>
  <c r="DB9" i="58" s="1"/>
  <c r="M9" i="5"/>
  <c r="N9" s="1"/>
  <c r="Z9" i="58" s="1"/>
  <c r="V9"/>
  <c r="Q9" i="5"/>
  <c r="AP9" i="58"/>
  <c r="AB10"/>
  <c r="AD10" s="1"/>
  <c r="K35" i="70"/>
  <c r="B25" i="215" s="1"/>
  <c r="B39" i="6"/>
  <c r="C39" s="1"/>
  <c r="E39" i="58" s="1"/>
  <c r="E36" i="70"/>
  <c r="G36" s="1"/>
  <c r="F37"/>
  <c r="H36"/>
  <c r="R40" i="6"/>
  <c r="S40" s="1"/>
  <c r="CG40" i="58" s="1"/>
  <c r="CJ40" s="1"/>
  <c r="J26" i="207" s="1"/>
  <c r="L37" i="78"/>
  <c r="J26" i="215" s="1"/>
  <c r="T40" i="6"/>
  <c r="U40" s="1"/>
  <c r="CQ40" i="58" s="1"/>
  <c r="CT40" s="1"/>
  <c r="K26" i="207" s="1"/>
  <c r="L37" i="79"/>
  <c r="K26" i="215" s="1"/>
  <c r="H40" i="6"/>
  <c r="I40" s="1"/>
  <c r="AI40" i="58" s="1"/>
  <c r="AL40" s="1"/>
  <c r="E26" i="207" s="1"/>
  <c r="L37" i="73"/>
  <c r="E26" i="215" s="1"/>
  <c r="J40" i="6"/>
  <c r="K40" s="1"/>
  <c r="AS40" i="58" s="1"/>
  <c r="AV40" s="1"/>
  <c r="F26" i="207" s="1"/>
  <c r="L37" i="74"/>
  <c r="F26" i="215" s="1"/>
  <c r="L40" i="6"/>
  <c r="M40" s="1"/>
  <c r="BC40" i="58" s="1"/>
  <c r="BF40" s="1"/>
  <c r="G26" i="207" s="1"/>
  <c r="L37" i="75"/>
  <c r="G26" i="215" s="1"/>
  <c r="N40" i="6"/>
  <c r="O40" s="1"/>
  <c r="BM40" i="58" s="1"/>
  <c r="BP40" s="1"/>
  <c r="H26" i="207" s="1"/>
  <c r="L37" i="76"/>
  <c r="H26" i="215" s="1"/>
  <c r="CL39" i="58"/>
  <c r="CV39"/>
  <c r="AN39"/>
  <c r="AX39"/>
  <c r="BH39"/>
  <c r="BR39"/>
  <c r="F38" i="78"/>
  <c r="H38" s="1"/>
  <c r="I38" s="1"/>
  <c r="G39"/>
  <c r="F38" i="79"/>
  <c r="H38" s="1"/>
  <c r="I38" s="1"/>
  <c r="G39"/>
  <c r="F38" i="73"/>
  <c r="H38" s="1"/>
  <c r="I38" s="1"/>
  <c r="G39"/>
  <c r="F38" i="74"/>
  <c r="H38" s="1"/>
  <c r="I38" s="1"/>
  <c r="G39"/>
  <c r="F38" i="75"/>
  <c r="H38" s="1"/>
  <c r="I38" s="1"/>
  <c r="G39"/>
  <c r="F38" i="76"/>
  <c r="H38" s="1"/>
  <c r="I38" s="1"/>
  <c r="G39"/>
  <c r="M48" i="64" l="1"/>
  <c r="D5" i="210"/>
  <c r="Y48" i="64"/>
  <c r="G5" i="210"/>
  <c r="AK48" i="64"/>
  <c r="J5" i="210"/>
  <c r="G10" i="26"/>
  <c r="G11" i="28"/>
  <c r="AN15" i="29" s="1"/>
  <c r="AO15" s="1"/>
  <c r="L43" i="215"/>
  <c r="L38"/>
  <c r="AC9" i="16"/>
  <c r="AD10"/>
  <c r="AE10" s="1"/>
  <c r="AF10" s="1"/>
  <c r="BW10" i="19" s="1"/>
  <c r="I38" i="215"/>
  <c r="I43"/>
  <c r="AL48" i="15"/>
  <c r="AJ50"/>
  <c r="F37" i="80"/>
  <c r="H37" s="1"/>
  <c r="I37" s="1"/>
  <c r="G38"/>
  <c r="L36" i="77"/>
  <c r="I25" i="215" s="1"/>
  <c r="P39" i="6"/>
  <c r="Q39" s="1"/>
  <c r="BW39" i="58" s="1"/>
  <c r="BZ39" s="1"/>
  <c r="I9" i="16"/>
  <c r="J10"/>
  <c r="K10" s="1"/>
  <c r="L10" s="1"/>
  <c r="Y10" i="19" s="1"/>
  <c r="C43" i="215"/>
  <c r="C38"/>
  <c r="F37" i="72"/>
  <c r="H37" s="1"/>
  <c r="I37" s="1"/>
  <c r="G38"/>
  <c r="U48" i="64"/>
  <c r="F5" i="210"/>
  <c r="C10" i="26"/>
  <c r="C11" i="28"/>
  <c r="L15" i="29" s="1"/>
  <c r="M15" s="1"/>
  <c r="BN9" i="10"/>
  <c r="BO8"/>
  <c r="CY8" i="19" s="1"/>
  <c r="E41" i="224"/>
  <c r="E36"/>
  <c r="E37"/>
  <c r="E42"/>
  <c r="C46" i="5"/>
  <c r="F45"/>
  <c r="H45" s="1"/>
  <c r="AV9" i="10"/>
  <c r="AW8"/>
  <c r="BU8" i="19" s="1"/>
  <c r="C24" i="207"/>
  <c r="T38" i="58"/>
  <c r="BB10" i="10"/>
  <c r="BC9"/>
  <c r="CE9" i="19" s="1"/>
  <c r="F39" i="6"/>
  <c r="G39" s="1"/>
  <c r="Y39" i="58" s="1"/>
  <c r="AB39" s="1"/>
  <c r="L36" i="72"/>
  <c r="D25" i="215" s="1"/>
  <c r="AS48" i="64"/>
  <c r="L5" i="210"/>
  <c r="G50" i="19"/>
  <c r="O22" i="133"/>
  <c r="B21" i="160"/>
  <c r="O51" i="133"/>
  <c r="O50"/>
  <c r="O43"/>
  <c r="O40"/>
  <c r="O45"/>
  <c r="O35"/>
  <c r="O47"/>
  <c r="O39"/>
  <c r="O49"/>
  <c r="O37"/>
  <c r="O31"/>
  <c r="O38"/>
  <c r="O48"/>
  <c r="O32"/>
  <c r="O34"/>
  <c r="O33"/>
  <c r="O46"/>
  <c r="O42"/>
  <c r="O36"/>
  <c r="O41"/>
  <c r="O44"/>
  <c r="G66" i="19"/>
  <c r="O29" i="133"/>
  <c r="O30"/>
  <c r="O28"/>
  <c r="O27"/>
  <c r="O26"/>
  <c r="O25"/>
  <c r="O24"/>
  <c r="O23"/>
  <c r="AG48" i="64"/>
  <c r="I5" i="210"/>
  <c r="F39" i="219"/>
  <c r="F44"/>
  <c r="AQ8" i="10"/>
  <c r="BK8" i="19" s="1"/>
  <c r="AP9" i="10"/>
  <c r="L34" i="219"/>
  <c r="AU50" i="15"/>
  <c r="CZ48" i="19"/>
  <c r="L9" i="26"/>
  <c r="L10" i="28"/>
  <c r="BW14" i="29" s="1"/>
  <c r="BX14" s="1"/>
  <c r="Y9" i="16"/>
  <c r="Z10"/>
  <c r="AA10" s="1"/>
  <c r="AB10" s="1"/>
  <c r="BM10" i="19" s="1"/>
  <c r="I11" i="26"/>
  <c r="I12" i="28"/>
  <c r="BB16" i="29" s="1"/>
  <c r="BC16" s="1"/>
  <c r="Z50"/>
  <c r="E23" i="167"/>
  <c r="AA19" i="29"/>
  <c r="AA50" s="1"/>
  <c r="B30" i="216"/>
  <c r="J44" i="5"/>
  <c r="F44" i="58"/>
  <c r="E46" i="124" s="1"/>
  <c r="K46" s="1"/>
  <c r="J11" i="26"/>
  <c r="J12" i="28"/>
  <c r="BI16" i="29" s="1"/>
  <c r="BJ16" s="1"/>
  <c r="R10" i="16"/>
  <c r="S10" s="1"/>
  <c r="T10" s="1"/>
  <c r="AS10" i="19" s="1"/>
  <c r="Q9" i="16"/>
  <c r="K34" i="219"/>
  <c r="AQ50" i="15"/>
  <c r="CP48" i="19"/>
  <c r="N10" i="16"/>
  <c r="O10" s="1"/>
  <c r="P10" s="1"/>
  <c r="AI10" i="19" s="1"/>
  <c r="M9" i="16"/>
  <c r="AE9" i="10"/>
  <c r="AQ9" i="19" s="1"/>
  <c r="AD10" i="10"/>
  <c r="K11" i="28"/>
  <c r="BP15" i="29" s="1"/>
  <c r="BQ15" s="1"/>
  <c r="K10" i="26"/>
  <c r="CH42" i="58"/>
  <c r="J28" i="216"/>
  <c r="AJ42" i="58"/>
  <c r="E28" i="216"/>
  <c r="AG50" i="29"/>
  <c r="F23" i="167"/>
  <c r="AH19" i="29"/>
  <c r="AH50" s="1"/>
  <c r="D24" i="207"/>
  <c r="AD38" i="58"/>
  <c r="E34" i="219"/>
  <c r="AH48" i="19"/>
  <c r="S50" i="15"/>
  <c r="G34" i="219"/>
  <c r="BB48" i="19"/>
  <c r="AA50" i="15"/>
  <c r="F11" i="26"/>
  <c r="F12" i="28"/>
  <c r="AG16" i="29" s="1"/>
  <c r="AH16" s="1"/>
  <c r="F10" i="10"/>
  <c r="G9"/>
  <c r="C9" i="19" s="1"/>
  <c r="B41" i="224"/>
  <c r="B36"/>
  <c r="B42"/>
  <c r="B37"/>
  <c r="BB50" i="29"/>
  <c r="I23" i="167"/>
  <c r="BC19" i="29"/>
  <c r="BC50" s="1"/>
  <c r="S9" i="10"/>
  <c r="W9" i="19" s="1"/>
  <c r="R10" i="10"/>
  <c r="I34" i="219"/>
  <c r="BV48" i="19"/>
  <c r="AI50" i="15"/>
  <c r="E11" i="26"/>
  <c r="E12" i="28"/>
  <c r="Z16" i="29" s="1"/>
  <c r="AA16" s="1"/>
  <c r="D34" i="219"/>
  <c r="O50" i="15"/>
  <c r="X48" i="19"/>
  <c r="H8" i="26"/>
  <c r="H9" i="28"/>
  <c r="AU13" i="29" s="1"/>
  <c r="AV13" s="1"/>
  <c r="Z42" i="58"/>
  <c r="D28" i="216"/>
  <c r="BD42" i="58"/>
  <c r="G28" i="216"/>
  <c r="DB42" i="58"/>
  <c r="L28" i="216"/>
  <c r="D8" i="26"/>
  <c r="D9" i="28"/>
  <c r="S13" i="29" s="1"/>
  <c r="T13" s="1"/>
  <c r="BI50"/>
  <c r="J23" i="167"/>
  <c r="BJ19" i="29"/>
  <c r="BJ50" s="1"/>
  <c r="D39" i="6"/>
  <c r="E39" s="1"/>
  <c r="O39" i="58" s="1"/>
  <c r="R39" s="1"/>
  <c r="L36" i="71"/>
  <c r="C25" i="215" s="1"/>
  <c r="I48" i="64"/>
  <c r="C5" i="210"/>
  <c r="AP9" i="16"/>
  <c r="AQ9" s="1"/>
  <c r="AR9" s="1"/>
  <c r="DA9" i="19" s="1"/>
  <c r="AO8" i="16"/>
  <c r="AP8" s="1"/>
  <c r="AQ8" s="1"/>
  <c r="AR8" s="1"/>
  <c r="DA8" i="19" s="1"/>
  <c r="E50" i="29"/>
  <c r="J3" i="171"/>
  <c r="B23" i="167"/>
  <c r="E56" i="29"/>
  <c r="F19"/>
  <c r="T50" i="15"/>
  <c r="V48"/>
  <c r="CR42" i="58"/>
  <c r="K28" i="216"/>
  <c r="AT42" i="58"/>
  <c r="F28" i="216"/>
  <c r="F36" i="224"/>
  <c r="F41"/>
  <c r="F37"/>
  <c r="F42"/>
  <c r="G38" i="71"/>
  <c r="F37"/>
  <c r="H37" s="1"/>
  <c r="I37" s="1"/>
  <c r="H39" i="58"/>
  <c r="B25" i="207" s="1"/>
  <c r="C41" i="124"/>
  <c r="I41" s="1"/>
  <c r="AC48" i="64"/>
  <c r="H5" i="210"/>
  <c r="AO48" i="64"/>
  <c r="K5" i="210"/>
  <c r="Q48" i="64"/>
  <c r="E5" i="210"/>
  <c r="BL50" i="19"/>
  <c r="H22" i="130"/>
  <c r="L9" i="10"/>
  <c r="M8"/>
  <c r="M8" i="19" s="1"/>
  <c r="L24" i="207"/>
  <c r="DF38" i="58"/>
  <c r="I24" i="207"/>
  <c r="CB38" i="58"/>
  <c r="F40" i="124"/>
  <c r="L40" s="1"/>
  <c r="B24" i="207"/>
  <c r="H67" i="58"/>
  <c r="B11" i="26"/>
  <c r="B12" i="28"/>
  <c r="E16" i="29" s="1"/>
  <c r="F16" s="1"/>
  <c r="AD43" i="5"/>
  <c r="N43"/>
  <c r="P43"/>
  <c r="V43"/>
  <c r="X43"/>
  <c r="AB43"/>
  <c r="R43"/>
  <c r="T43"/>
  <c r="Z43"/>
  <c r="L43"/>
  <c r="B41" i="210"/>
  <c r="B36"/>
  <c r="B42"/>
  <c r="B37"/>
  <c r="J50" i="15"/>
  <c r="K48"/>
  <c r="I36" i="224"/>
  <c r="I41"/>
  <c r="I42"/>
  <c r="I37"/>
  <c r="V39" i="6"/>
  <c r="W39" s="1"/>
  <c r="DA39" i="58" s="1"/>
  <c r="DD39" s="1"/>
  <c r="L36" i="80"/>
  <c r="L25" i="215" s="1"/>
  <c r="F37" i="77"/>
  <c r="H37" s="1"/>
  <c r="I37" s="1"/>
  <c r="G38"/>
  <c r="BX42" i="58"/>
  <c r="I28" i="216"/>
  <c r="P42" i="58"/>
  <c r="C28" i="216"/>
  <c r="BN42" i="58"/>
  <c r="H28" i="216"/>
  <c r="D43" i="215"/>
  <c r="D38"/>
  <c r="J41" i="224"/>
  <c r="J36"/>
  <c r="J37"/>
  <c r="J42"/>
  <c r="J44" i="219"/>
  <c r="J39"/>
  <c r="R9" i="5"/>
  <c r="AT9" i="58" s="1"/>
  <c r="L9" i="5"/>
  <c r="P9" i="58" s="1"/>
  <c r="J39"/>
  <c r="F41" i="124"/>
  <c r="L41" s="1"/>
  <c r="R8" i="5"/>
  <c r="AT8" i="58" s="1"/>
  <c r="AV8" s="1"/>
  <c r="AX8" s="1"/>
  <c r="N8" i="5"/>
  <c r="Z8" i="58" s="1"/>
  <c r="L8" i="5"/>
  <c r="P8" i="58" s="1"/>
  <c r="AB9" i="5"/>
  <c r="CR9" i="58" s="1"/>
  <c r="CT9" s="1"/>
  <c r="CV9" s="1"/>
  <c r="X9" i="5"/>
  <c r="BX9" i="58" s="1"/>
  <c r="BZ9" s="1"/>
  <c r="CB9" s="1"/>
  <c r="T9" i="5"/>
  <c r="BD9" i="58" s="1"/>
  <c r="BF9" s="1"/>
  <c r="BH9" s="1"/>
  <c r="Z9" i="5"/>
  <c r="CH9" i="58" s="1"/>
  <c r="CJ9" s="1"/>
  <c r="CL9" s="1"/>
  <c r="T8" i="5"/>
  <c r="BD8" i="58" s="1"/>
  <c r="BF8" s="1"/>
  <c r="BH8" s="1"/>
  <c r="X8" i="5"/>
  <c r="BX8" i="58" s="1"/>
  <c r="BZ8" s="1"/>
  <c r="CB8" s="1"/>
  <c r="Z8" i="5"/>
  <c r="CH8" i="58" s="1"/>
  <c r="CJ8" s="1"/>
  <c r="CL8" s="1"/>
  <c r="AB8" i="5"/>
  <c r="CR8" i="58" s="1"/>
  <c r="CT8" s="1"/>
  <c r="CV8" s="1"/>
  <c r="R8"/>
  <c r="T8" s="1"/>
  <c r="AL8"/>
  <c r="AN8" s="1"/>
  <c r="R9"/>
  <c r="T9" s="1"/>
  <c r="AL9"/>
  <c r="AN9" s="1"/>
  <c r="AV9"/>
  <c r="AX9" s="1"/>
  <c r="AB9"/>
  <c r="AD9" s="1"/>
  <c r="C12" i="64"/>
  <c r="D12" s="1"/>
  <c r="E12" s="1"/>
  <c r="G14" i="19" s="1"/>
  <c r="F12" i="64"/>
  <c r="G12" s="1"/>
  <c r="H12" s="1"/>
  <c r="I12" s="1"/>
  <c r="Q14" i="19" s="1"/>
  <c r="N12" i="64"/>
  <c r="O12" s="1"/>
  <c r="P12" s="1"/>
  <c r="Q12" s="1"/>
  <c r="AK14" i="19" s="1"/>
  <c r="V12" i="64"/>
  <c r="W12" s="1"/>
  <c r="X12" s="1"/>
  <c r="Y12" s="1"/>
  <c r="BE14" i="19" s="1"/>
  <c r="AD12" i="64"/>
  <c r="AE12" s="1"/>
  <c r="AF12" s="1"/>
  <c r="AG12" s="1"/>
  <c r="BY14" i="19" s="1"/>
  <c r="AH12" i="64"/>
  <c r="AI12" s="1"/>
  <c r="AJ12" s="1"/>
  <c r="AK12" s="1"/>
  <c r="CI14" i="19" s="1"/>
  <c r="AL12" i="64"/>
  <c r="AM12" s="1"/>
  <c r="AN12" s="1"/>
  <c r="AO12" s="1"/>
  <c r="CS14" i="19" s="1"/>
  <c r="AP12" i="64"/>
  <c r="AQ12" s="1"/>
  <c r="AR12" s="1"/>
  <c r="AS12" s="1"/>
  <c r="DC14" i="19" s="1"/>
  <c r="B11" i="64"/>
  <c r="J12"/>
  <c r="K12" s="1"/>
  <c r="L12" s="1"/>
  <c r="M12" s="1"/>
  <c r="AA14" i="19" s="1"/>
  <c r="R12" i="64"/>
  <c r="S12" s="1"/>
  <c r="T12" s="1"/>
  <c r="U12" s="1"/>
  <c r="AU14" i="19" s="1"/>
  <c r="Z12" i="64"/>
  <c r="AA12" s="1"/>
  <c r="AB12" s="1"/>
  <c r="AC12" s="1"/>
  <c r="BO14" i="19" s="1"/>
  <c r="AA19"/>
  <c r="BO19"/>
  <c r="DC19"/>
  <c r="Q19"/>
  <c r="BE19"/>
  <c r="CS19"/>
  <c r="AU19"/>
  <c r="CI19"/>
  <c r="AK19"/>
  <c r="BY19"/>
  <c r="Y12" i="10"/>
  <c r="AG12" i="19" s="1"/>
  <c r="X13" i="10"/>
  <c r="BI12"/>
  <c r="CO12" i="19" s="1"/>
  <c r="BH13" i="10"/>
  <c r="AJ13"/>
  <c r="AK12"/>
  <c r="BA12" i="19" s="1"/>
  <c r="DD8" i="58"/>
  <c r="DF8" s="1"/>
  <c r="AB8"/>
  <c r="AD8" s="1"/>
  <c r="DD9"/>
  <c r="DF9" s="1"/>
  <c r="E37" i="70"/>
  <c r="G37" s="1"/>
  <c r="F38"/>
  <c r="H37"/>
  <c r="K36"/>
  <c r="B26" i="215" s="1"/>
  <c r="B40" i="6"/>
  <c r="C40" s="1"/>
  <c r="E40" i="58" s="1"/>
  <c r="J41" i="6"/>
  <c r="K41" s="1"/>
  <c r="AS41" i="58" s="1"/>
  <c r="AV41" s="1"/>
  <c r="F27" i="207" s="1"/>
  <c r="L38" i="74"/>
  <c r="F27" i="215" s="1"/>
  <c r="T41" i="6"/>
  <c r="U41" s="1"/>
  <c r="CQ41" i="58" s="1"/>
  <c r="CT41" s="1"/>
  <c r="K27" i="207" s="1"/>
  <c r="L38" i="79"/>
  <c r="K27" i="215" s="1"/>
  <c r="R41" i="6"/>
  <c r="S41" s="1"/>
  <c r="CG41" i="58" s="1"/>
  <c r="CJ41" s="1"/>
  <c r="J27" i="207" s="1"/>
  <c r="L38" i="78"/>
  <c r="J27" i="215" s="1"/>
  <c r="G40" i="76"/>
  <c r="F39"/>
  <c r="H39" s="1"/>
  <c r="I39" s="1"/>
  <c r="G40" i="75"/>
  <c r="F39"/>
  <c r="H39" s="1"/>
  <c r="I39" s="1"/>
  <c r="G40" i="74"/>
  <c r="F39"/>
  <c r="H39" s="1"/>
  <c r="I39" s="1"/>
  <c r="G40" i="73"/>
  <c r="F39"/>
  <c r="H39" s="1"/>
  <c r="I39" s="1"/>
  <c r="F39" i="79"/>
  <c r="H39" s="1"/>
  <c r="I39" s="1"/>
  <c r="G40"/>
  <c r="F39" i="78"/>
  <c r="H39" s="1"/>
  <c r="I39" s="1"/>
  <c r="G40"/>
  <c r="N41" i="6"/>
  <c r="O41" s="1"/>
  <c r="BM41" i="58" s="1"/>
  <c r="BP41" s="1"/>
  <c r="H27" i="207" s="1"/>
  <c r="L38" i="76"/>
  <c r="H27" i="215" s="1"/>
  <c r="L41" i="6"/>
  <c r="M41" s="1"/>
  <c r="BC41" i="58" s="1"/>
  <c r="BF41" s="1"/>
  <c r="G27" i="207" s="1"/>
  <c r="L38" i="75"/>
  <c r="G27" i="215" s="1"/>
  <c r="H41" i="6"/>
  <c r="I41" s="1"/>
  <c r="AI41" i="58" s="1"/>
  <c r="AL41" s="1"/>
  <c r="E27" i="207" s="1"/>
  <c r="L38" i="73"/>
  <c r="E27" i="215" s="1"/>
  <c r="BR40" i="58"/>
  <c r="BH40"/>
  <c r="AX40"/>
  <c r="AN40"/>
  <c r="CV40"/>
  <c r="CL40"/>
  <c r="CH43" l="1"/>
  <c r="J29" i="216"/>
  <c r="DB43" i="58"/>
  <c r="L29" i="216"/>
  <c r="K36" i="210"/>
  <c r="K41"/>
  <c r="K37"/>
  <c r="K42"/>
  <c r="W48" i="15"/>
  <c r="V50"/>
  <c r="C25" i="207"/>
  <c r="T39" i="58"/>
  <c r="D41" i="219"/>
  <c r="D36"/>
  <c r="BV50" i="19"/>
  <c r="I22" i="130"/>
  <c r="BB50" i="19"/>
  <c r="G22" i="130"/>
  <c r="AD11" i="10"/>
  <c r="AE10"/>
  <c r="AQ10" i="19" s="1"/>
  <c r="CP50"/>
  <c r="CP56"/>
  <c r="K22" i="130"/>
  <c r="C47" i="5"/>
  <c r="C48" s="1"/>
  <c r="F46"/>
  <c r="H46" s="1"/>
  <c r="C10" i="28"/>
  <c r="L14" i="29" s="1"/>
  <c r="M14" s="1"/>
  <c r="C9" i="26"/>
  <c r="V40" i="6"/>
  <c r="W40" s="1"/>
  <c r="DA40" i="58" s="1"/>
  <c r="DD40" s="1"/>
  <c r="L37" i="80"/>
  <c r="L26" i="215" s="1"/>
  <c r="AK50" i="19"/>
  <c r="E21" i="160"/>
  <c r="BE50" i="19"/>
  <c r="G21" i="160"/>
  <c r="CR43" i="58"/>
  <c r="K29" i="216"/>
  <c r="Z43" i="58"/>
  <c r="D29" i="216"/>
  <c r="I48" i="207"/>
  <c r="I43"/>
  <c r="I38"/>
  <c r="F38" i="71"/>
  <c r="H38" s="1"/>
  <c r="I38" s="1"/>
  <c r="G39"/>
  <c r="AH50" i="19"/>
  <c r="E22" i="130"/>
  <c r="Q8" i="16"/>
  <c r="R8" s="1"/>
  <c r="S8" s="1"/>
  <c r="T8" s="1"/>
  <c r="AS8" i="19" s="1"/>
  <c r="R9" i="16"/>
  <c r="S9" s="1"/>
  <c r="T9" s="1"/>
  <c r="AS9" i="19" s="1"/>
  <c r="J36" i="210"/>
  <c r="J41"/>
  <c r="J37"/>
  <c r="J42"/>
  <c r="BY50" i="19"/>
  <c r="I21" i="160"/>
  <c r="CS50" i="19"/>
  <c r="K21" i="160"/>
  <c r="BO50" i="19"/>
  <c r="H21" i="160"/>
  <c r="L37" i="77"/>
  <c r="I26" i="215" s="1"/>
  <c r="P40" i="6"/>
  <c r="Q40" s="1"/>
  <c r="BW40" i="58" s="1"/>
  <c r="BZ40" s="1"/>
  <c r="AT43"/>
  <c r="F29" i="216"/>
  <c r="AJ43" i="58"/>
  <c r="E29" i="216"/>
  <c r="B11" i="28"/>
  <c r="E15" i="29" s="1"/>
  <c r="F15" s="1"/>
  <c r="B10" i="26"/>
  <c r="E36" i="210"/>
  <c r="E41"/>
  <c r="E42"/>
  <c r="E37"/>
  <c r="H36"/>
  <c r="H41"/>
  <c r="H37"/>
  <c r="H42"/>
  <c r="D40" i="6"/>
  <c r="E40" s="1"/>
  <c r="O40" i="58" s="1"/>
  <c r="R40" s="1"/>
  <c r="L37" i="71"/>
  <c r="C26" i="215" s="1"/>
  <c r="F56" i="29"/>
  <c r="F50"/>
  <c r="G58"/>
  <c r="G60" s="1"/>
  <c r="G61" s="1"/>
  <c r="G62" s="1"/>
  <c r="G59"/>
  <c r="X50" i="19"/>
  <c r="D22" i="130"/>
  <c r="E10" i="26"/>
  <c r="E11" i="28"/>
  <c r="Z15" i="29" s="1"/>
  <c r="AA15" s="1"/>
  <c r="S10" i="10"/>
  <c r="W10" i="19" s="1"/>
  <c r="R11" i="10"/>
  <c r="F11" i="28"/>
  <c r="AG15" i="29" s="1"/>
  <c r="AH15" s="1"/>
  <c r="F10" i="26"/>
  <c r="D43" i="207"/>
  <c r="D38"/>
  <c r="D48"/>
  <c r="K10" i="28"/>
  <c r="BP14" i="29" s="1"/>
  <c r="BQ14" s="1"/>
  <c r="K9" i="26"/>
  <c r="N9" i="16"/>
  <c r="O9" s="1"/>
  <c r="P9" s="1"/>
  <c r="AI9" i="19" s="1"/>
  <c r="M8" i="16"/>
  <c r="N8" s="1"/>
  <c r="O8" s="1"/>
  <c r="P8" s="1"/>
  <c r="AI8" i="19" s="1"/>
  <c r="K41" i="219"/>
  <c r="K36"/>
  <c r="J11" i="28"/>
  <c r="BI15" i="29" s="1"/>
  <c r="BJ15" s="1"/>
  <c r="J10" i="26"/>
  <c r="I11" i="28"/>
  <c r="BB15" i="29" s="1"/>
  <c r="BC15" s="1"/>
  <c r="I10" i="26"/>
  <c r="L8"/>
  <c r="L9" i="28"/>
  <c r="BW13" i="29" s="1"/>
  <c r="BX13" s="1"/>
  <c r="AP10" i="10"/>
  <c r="AQ9"/>
  <c r="BK9" i="19" s="1"/>
  <c r="I41" i="210"/>
  <c r="I36"/>
  <c r="I42"/>
  <c r="I37"/>
  <c r="BB11" i="10"/>
  <c r="BC10"/>
  <c r="CE10" i="19" s="1"/>
  <c r="AV10" i="10"/>
  <c r="AW9"/>
  <c r="BU9" i="19" s="1"/>
  <c r="BN10" i="10"/>
  <c r="BO9"/>
  <c r="CY9" i="19" s="1"/>
  <c r="AL50" i="15"/>
  <c r="AM48"/>
  <c r="AC8" i="16"/>
  <c r="AD8" s="1"/>
  <c r="AE8" s="1"/>
  <c r="AF8" s="1"/>
  <c r="BW8" i="19" s="1"/>
  <c r="AD9" i="16"/>
  <c r="AE9" s="1"/>
  <c r="AF9" s="1"/>
  <c r="BW9" i="19" s="1"/>
  <c r="G9" i="26"/>
  <c r="G10" i="28"/>
  <c r="AN14" i="29" s="1"/>
  <c r="AO14" s="1"/>
  <c r="CI50" i="19"/>
  <c r="J21" i="160"/>
  <c r="CI56" i="19"/>
  <c r="Q50"/>
  <c r="C21" i="160"/>
  <c r="L25" i="207"/>
  <c r="DF39" i="58"/>
  <c r="BX43"/>
  <c r="I29" i="216"/>
  <c r="B48" i="207"/>
  <c r="B43"/>
  <c r="B38"/>
  <c r="F11" i="10"/>
  <c r="G10"/>
  <c r="C10" i="19" s="1"/>
  <c r="E41" i="219"/>
  <c r="E36"/>
  <c r="AB44" i="5"/>
  <c r="R44"/>
  <c r="V44"/>
  <c r="P44"/>
  <c r="Z44"/>
  <c r="AD44"/>
  <c r="L44"/>
  <c r="T44"/>
  <c r="X44"/>
  <c r="N44"/>
  <c r="Y8" i="16"/>
  <c r="Z8" s="1"/>
  <c r="AA8" s="1"/>
  <c r="AB8" s="1"/>
  <c r="BM8" i="19" s="1"/>
  <c r="Z9" i="16"/>
  <c r="AA9" s="1"/>
  <c r="AB9" s="1"/>
  <c r="BM9" i="19" s="1"/>
  <c r="D25" i="207"/>
  <c r="AD39" i="58"/>
  <c r="C48" i="207"/>
  <c r="C38"/>
  <c r="C43"/>
  <c r="L37" i="72"/>
  <c r="D26" i="215" s="1"/>
  <c r="F40" i="6"/>
  <c r="G40" s="1"/>
  <c r="Y40" i="58" s="1"/>
  <c r="AB40" s="1"/>
  <c r="I8" i="16"/>
  <c r="J8" s="1"/>
  <c r="K8" s="1"/>
  <c r="L8" s="1"/>
  <c r="Y8" i="19" s="1"/>
  <c r="J9" i="16"/>
  <c r="K9" s="1"/>
  <c r="L9" s="1"/>
  <c r="Y9" i="19" s="1"/>
  <c r="AA50"/>
  <c r="D21" i="160"/>
  <c r="P43" i="58"/>
  <c r="C29" i="216"/>
  <c r="M9" i="10"/>
  <c r="M9" i="19" s="1"/>
  <c r="L10" i="10"/>
  <c r="CZ50" i="19"/>
  <c r="L22" i="130"/>
  <c r="B31" i="216"/>
  <c r="F45" i="58"/>
  <c r="E47" i="124" s="1"/>
  <c r="K47" s="1"/>
  <c r="J45" i="5"/>
  <c r="F38" i="72"/>
  <c r="H38" s="1"/>
  <c r="I38" s="1"/>
  <c r="G39"/>
  <c r="F38" i="80"/>
  <c r="H38" s="1"/>
  <c r="I38" s="1"/>
  <c r="G39"/>
  <c r="D36" i="210"/>
  <c r="D41"/>
  <c r="D42"/>
  <c r="D37"/>
  <c r="H40" i="58"/>
  <c r="B26" i="207" s="1"/>
  <c r="C42" i="124"/>
  <c r="I42" s="1"/>
  <c r="AU50" i="19"/>
  <c r="F21" i="160"/>
  <c r="DC50" i="19"/>
  <c r="L21" i="160"/>
  <c r="F38" i="77"/>
  <c r="H38" s="1"/>
  <c r="I38" s="1"/>
  <c r="G39"/>
  <c r="C34" i="219"/>
  <c r="K50" i="15"/>
  <c r="N48" i="19"/>
  <c r="BD43" i="58"/>
  <c r="G29" i="216"/>
  <c r="BN43" i="58"/>
  <c r="H29" i="216"/>
  <c r="L43" i="207"/>
  <c r="L48"/>
  <c r="L38"/>
  <c r="C41" i="210"/>
  <c r="C36"/>
  <c r="C37"/>
  <c r="C42"/>
  <c r="D8" i="28"/>
  <c r="S12" i="29" s="1"/>
  <c r="T12" s="1"/>
  <c r="D7" i="26"/>
  <c r="H8" i="28"/>
  <c r="AU12" i="29" s="1"/>
  <c r="AV12" s="1"/>
  <c r="H7" i="26"/>
  <c r="I41" i="219"/>
  <c r="I36"/>
  <c r="G36"/>
  <c r="G41"/>
  <c r="L41"/>
  <c r="L36"/>
  <c r="L36" i="210"/>
  <c r="L41"/>
  <c r="L42"/>
  <c r="L37"/>
  <c r="F41"/>
  <c r="F36"/>
  <c r="F42"/>
  <c r="F37"/>
  <c r="I25" i="207"/>
  <c r="CB39" i="58"/>
  <c r="G36" i="210"/>
  <c r="G41"/>
  <c r="G42"/>
  <c r="G37"/>
  <c r="J40" i="58"/>
  <c r="F42" i="124"/>
  <c r="L42" s="1"/>
  <c r="B10" i="64"/>
  <c r="C11"/>
  <c r="D11" s="1"/>
  <c r="E11" s="1"/>
  <c r="G13" i="19" s="1"/>
  <c r="N11" i="64"/>
  <c r="O11" s="1"/>
  <c r="P11" s="1"/>
  <c r="Q11" s="1"/>
  <c r="AK13" i="19" s="1"/>
  <c r="AD11" i="64"/>
  <c r="AE11" s="1"/>
  <c r="AF11" s="1"/>
  <c r="AG11" s="1"/>
  <c r="BY13" i="19" s="1"/>
  <c r="J11" i="64"/>
  <c r="K11" s="1"/>
  <c r="L11" s="1"/>
  <c r="M11" s="1"/>
  <c r="AA13" i="19" s="1"/>
  <c r="Z11" i="64"/>
  <c r="AA11" s="1"/>
  <c r="AB11" s="1"/>
  <c r="AC11" s="1"/>
  <c r="BO13" i="19" s="1"/>
  <c r="AL11" i="64"/>
  <c r="AM11" s="1"/>
  <c r="AN11" s="1"/>
  <c r="AO11" s="1"/>
  <c r="CS13" i="19" s="1"/>
  <c r="V11" i="64"/>
  <c r="W11" s="1"/>
  <c r="X11" s="1"/>
  <c r="Y11" s="1"/>
  <c r="BE13" i="19" s="1"/>
  <c r="F11" i="64"/>
  <c r="G11" s="1"/>
  <c r="H11" s="1"/>
  <c r="I11" s="1"/>
  <c r="Q13" i="19" s="1"/>
  <c r="AP11" i="64"/>
  <c r="AQ11" s="1"/>
  <c r="AR11" s="1"/>
  <c r="AS11" s="1"/>
  <c r="DC13" i="19" s="1"/>
  <c r="AH11" i="64"/>
  <c r="AI11" s="1"/>
  <c r="AJ11" s="1"/>
  <c r="AK11" s="1"/>
  <c r="CI13" i="19" s="1"/>
  <c r="R11" i="64"/>
  <c r="S11" s="1"/>
  <c r="T11" s="1"/>
  <c r="U11" s="1"/>
  <c r="AU13" i="19" s="1"/>
  <c r="AJ14" i="10"/>
  <c r="AK13"/>
  <c r="BA13" i="19" s="1"/>
  <c r="BF13" s="1"/>
  <c r="BH13" s="1"/>
  <c r="BI13" i="10"/>
  <c r="CO13" i="19" s="1"/>
  <c r="CT13" s="1"/>
  <c r="CV13" s="1"/>
  <c r="BH14" i="10"/>
  <c r="X14"/>
  <c r="Y13"/>
  <c r="AG13" i="19" s="1"/>
  <c r="K37" i="70"/>
  <c r="B27" i="215" s="1"/>
  <c r="B41" i="6"/>
  <c r="C41" s="1"/>
  <c r="E41" i="58" s="1"/>
  <c r="E38" i="70"/>
  <c r="G38" s="1"/>
  <c r="F39"/>
  <c r="H38"/>
  <c r="BH41" i="58"/>
  <c r="BR41"/>
  <c r="R42" i="6"/>
  <c r="S42" s="1"/>
  <c r="CG42" i="58" s="1"/>
  <c r="CJ42" s="1"/>
  <c r="J28" i="207" s="1"/>
  <c r="L39" i="78"/>
  <c r="J28" i="215" s="1"/>
  <c r="T42" i="6"/>
  <c r="U42" s="1"/>
  <c r="CQ42" i="58" s="1"/>
  <c r="CT42" s="1"/>
  <c r="K28" i="207" s="1"/>
  <c r="L39" i="79"/>
  <c r="K28" i="215" s="1"/>
  <c r="G41" i="73"/>
  <c r="F40"/>
  <c r="G47"/>
  <c r="G41" i="74"/>
  <c r="F40"/>
  <c r="G47"/>
  <c r="G41" i="75"/>
  <c r="F40"/>
  <c r="G47"/>
  <c r="G41" i="76"/>
  <c r="F40"/>
  <c r="G47"/>
  <c r="CL41" i="58"/>
  <c r="CV41"/>
  <c r="AX41"/>
  <c r="AN41"/>
  <c r="G41" i="78"/>
  <c r="F40"/>
  <c r="G47"/>
  <c r="F40" i="79"/>
  <c r="G47"/>
  <c r="G41"/>
  <c r="H42" i="6"/>
  <c r="I42" s="1"/>
  <c r="AI42" i="58" s="1"/>
  <c r="AL42" s="1"/>
  <c r="E28" i="207" s="1"/>
  <c r="L39" i="73"/>
  <c r="E28" i="215" s="1"/>
  <c r="J42" i="6"/>
  <c r="K42" s="1"/>
  <c r="AS42" i="58" s="1"/>
  <c r="AV42" s="1"/>
  <c r="F28" i="207" s="1"/>
  <c r="L39" i="74"/>
  <c r="F28" i="215" s="1"/>
  <c r="L42" i="6"/>
  <c r="M42" s="1"/>
  <c r="BC42" i="58" s="1"/>
  <c r="BF42" s="1"/>
  <c r="G28" i="207" s="1"/>
  <c r="L39" i="75"/>
  <c r="G28" i="215" s="1"/>
  <c r="N42" i="6"/>
  <c r="O42" s="1"/>
  <c r="BM42" i="58" s="1"/>
  <c r="BP42" s="1"/>
  <c r="H28" i="207" s="1"/>
  <c r="L39" i="76"/>
  <c r="H28" i="215" s="1"/>
  <c r="DB44" i="58" l="1"/>
  <c r="L30" i="216"/>
  <c r="AT44" i="58"/>
  <c r="F30" i="216"/>
  <c r="C9" i="28"/>
  <c r="L13" i="29" s="1"/>
  <c r="M13" s="1"/>
  <c r="C8" i="26"/>
  <c r="AE11" i="10"/>
  <c r="AQ11" i="19" s="1"/>
  <c r="AD12" i="10"/>
  <c r="L38" i="77"/>
  <c r="I27" i="215" s="1"/>
  <c r="P41" i="6"/>
  <c r="Q41" s="1"/>
  <c r="BW41" i="58" s="1"/>
  <c r="BZ41" s="1"/>
  <c r="D26" i="207"/>
  <c r="AD40" i="58"/>
  <c r="BO10" i="10"/>
  <c r="CY10" i="19" s="1"/>
  <c r="BN11" i="10"/>
  <c r="BB12"/>
  <c r="BC11"/>
  <c r="CE11" i="19" s="1"/>
  <c r="L8" i="28"/>
  <c r="BW12" i="29" s="1"/>
  <c r="BX12" s="1"/>
  <c r="L7" i="26"/>
  <c r="S11" i="10"/>
  <c r="W11" i="19" s="1"/>
  <c r="R12" i="10"/>
  <c r="B10" i="28"/>
  <c r="E14" i="29" s="1"/>
  <c r="F14" s="1"/>
  <c r="B9" i="26"/>
  <c r="L26" i="207"/>
  <c r="DF40" i="58"/>
  <c r="C50" i="5"/>
  <c r="F48"/>
  <c r="D6" i="26"/>
  <c r="D7" i="28"/>
  <c r="S11" i="29" s="1"/>
  <c r="T11" s="1"/>
  <c r="F39" i="77"/>
  <c r="H39" s="1"/>
  <c r="I39" s="1"/>
  <c r="G40"/>
  <c r="G40" i="80"/>
  <c r="F39"/>
  <c r="H39" s="1"/>
  <c r="I39" s="1"/>
  <c r="AD45" i="5"/>
  <c r="P45"/>
  <c r="T45"/>
  <c r="V45"/>
  <c r="X45"/>
  <c r="R45"/>
  <c r="L45"/>
  <c r="Z45"/>
  <c r="AB45"/>
  <c r="N45"/>
  <c r="BD44" i="58"/>
  <c r="G30" i="216"/>
  <c r="AJ44" i="58"/>
  <c r="E30" i="216"/>
  <c r="J9" i="26"/>
  <c r="J10" i="28"/>
  <c r="BI14" i="29" s="1"/>
  <c r="BJ14" s="1"/>
  <c r="E9" i="26"/>
  <c r="E10" i="28"/>
  <c r="Z14" i="29" s="1"/>
  <c r="AA14" s="1"/>
  <c r="C26" i="207"/>
  <c r="T40" i="58"/>
  <c r="L38" i="71"/>
  <c r="C27" i="215" s="1"/>
  <c r="D41" i="6"/>
  <c r="E41" s="1"/>
  <c r="O41" i="58" s="1"/>
  <c r="R41" s="1"/>
  <c r="B32" i="216"/>
  <c r="F46" i="58"/>
  <c r="E48" i="124" s="1"/>
  <c r="K48" s="1"/>
  <c r="J46" i="5"/>
  <c r="F34" i="219"/>
  <c r="AR48" i="19"/>
  <c r="W50" i="15"/>
  <c r="H7" i="28"/>
  <c r="AU11" i="29" s="1"/>
  <c r="AV11" s="1"/>
  <c r="H6" i="26"/>
  <c r="G40" i="72"/>
  <c r="F39"/>
  <c r="H39" s="1"/>
  <c r="I39" s="1"/>
  <c r="Z44" i="58"/>
  <c r="D30" i="216"/>
  <c r="J34" i="219"/>
  <c r="AM50" i="15"/>
  <c r="CF48" i="19"/>
  <c r="I9" i="26"/>
  <c r="I10" i="28"/>
  <c r="BB14" i="29" s="1"/>
  <c r="BC14" s="1"/>
  <c r="K8" i="26"/>
  <c r="K9" i="28"/>
  <c r="BP13" i="29" s="1"/>
  <c r="BQ13" s="1"/>
  <c r="H41" i="58"/>
  <c r="B27" i="207" s="1"/>
  <c r="C43" i="124"/>
  <c r="I43" s="1"/>
  <c r="N50" i="19"/>
  <c r="C22" i="130"/>
  <c r="L38" i="80"/>
  <c r="L27" i="215" s="1"/>
  <c r="V41" i="6"/>
  <c r="W41" s="1"/>
  <c r="DA41" i="58" s="1"/>
  <c r="DD41" s="1"/>
  <c r="M10" i="10"/>
  <c r="M10" i="19" s="1"/>
  <c r="L11" i="10"/>
  <c r="P44" i="58"/>
  <c r="C30" i="216"/>
  <c r="BN44" i="58"/>
  <c r="H30" i="216"/>
  <c r="C41" i="219"/>
  <c r="C36"/>
  <c r="L38" i="72"/>
  <c r="D27" i="215" s="1"/>
  <c r="F41" i="6"/>
  <c r="G41" s="1"/>
  <c r="Y41" i="58" s="1"/>
  <c r="AB41" s="1"/>
  <c r="BX44"/>
  <c r="I30" i="216"/>
  <c r="CH44" i="58"/>
  <c r="J30" i="216"/>
  <c r="CR44" i="58"/>
  <c r="K30" i="216"/>
  <c r="G11" i="10"/>
  <c r="C11" i="19" s="1"/>
  <c r="F12" i="10"/>
  <c r="G9" i="28"/>
  <c r="AN13" i="29" s="1"/>
  <c r="AO13" s="1"/>
  <c r="G8" i="26"/>
  <c r="AV11" i="10"/>
  <c r="AW10"/>
  <c r="BU10" i="19" s="1"/>
  <c r="AP11" i="10"/>
  <c r="AQ10"/>
  <c r="BK10" i="19" s="1"/>
  <c r="F10" i="28"/>
  <c r="AG14" i="29" s="1"/>
  <c r="AH14" s="1"/>
  <c r="F9" i="26"/>
  <c r="I26" i="207"/>
  <c r="CB40" i="58"/>
  <c r="G40" i="71"/>
  <c r="F39"/>
  <c r="H39" s="1"/>
  <c r="I39" s="1"/>
  <c r="G63" i="29"/>
  <c r="J41" i="58"/>
  <c r="F43" i="124"/>
  <c r="L43" s="1"/>
  <c r="AL13" i="19"/>
  <c r="AN13" s="1"/>
  <c r="C10" i="64"/>
  <c r="D10" s="1"/>
  <c r="E10" s="1"/>
  <c r="G12" i="19" s="1"/>
  <c r="J10" i="64"/>
  <c r="K10" s="1"/>
  <c r="L10" s="1"/>
  <c r="M10" s="1"/>
  <c r="AA12" i="19" s="1"/>
  <c r="Z10" i="64"/>
  <c r="AA10" s="1"/>
  <c r="AB10" s="1"/>
  <c r="AC10" s="1"/>
  <c r="BO12" i="19" s="1"/>
  <c r="AH10" i="64"/>
  <c r="AI10" s="1"/>
  <c r="AJ10" s="1"/>
  <c r="AK10" s="1"/>
  <c r="CI12" i="19" s="1"/>
  <c r="AP10" i="64"/>
  <c r="AQ10" s="1"/>
  <c r="AR10" s="1"/>
  <c r="AS10" s="1"/>
  <c r="DC12" i="19" s="1"/>
  <c r="N10" i="64"/>
  <c r="O10" s="1"/>
  <c r="P10" s="1"/>
  <c r="Q10" s="1"/>
  <c r="AK12" i="19" s="1"/>
  <c r="AL12" s="1"/>
  <c r="AN12" s="1"/>
  <c r="F10" i="64"/>
  <c r="G10" s="1"/>
  <c r="H10" s="1"/>
  <c r="I10" s="1"/>
  <c r="Q12" i="19" s="1"/>
  <c r="V10" i="64"/>
  <c r="W10" s="1"/>
  <c r="X10" s="1"/>
  <c r="Y10" s="1"/>
  <c r="BE12" i="19" s="1"/>
  <c r="BF12" s="1"/>
  <c r="BH12" s="1"/>
  <c r="AD10" i="64"/>
  <c r="AE10" s="1"/>
  <c r="AF10" s="1"/>
  <c r="AG10" s="1"/>
  <c r="BY12" i="19" s="1"/>
  <c r="AL10" i="64"/>
  <c r="AM10" s="1"/>
  <c r="AN10" s="1"/>
  <c r="AO10" s="1"/>
  <c r="CS12" i="19" s="1"/>
  <c r="CT12" s="1"/>
  <c r="CV12" s="1"/>
  <c r="B9" i="64"/>
  <c r="R10"/>
  <c r="S10" s="1"/>
  <c r="T10" s="1"/>
  <c r="U10" s="1"/>
  <c r="AU12" i="19" s="1"/>
  <c r="Y14" i="10"/>
  <c r="AG14" i="19" s="1"/>
  <c r="AL14" s="1"/>
  <c r="AN14" s="1"/>
  <c r="X15" i="10"/>
  <c r="AJ15"/>
  <c r="AK14"/>
  <c r="BA14" i="19" s="1"/>
  <c r="BF14" s="1"/>
  <c r="BH14" s="1"/>
  <c r="BI14" i="10"/>
  <c r="CO14" i="19" s="1"/>
  <c r="CT14" s="1"/>
  <c r="CV14" s="1"/>
  <c r="BH15" i="10"/>
  <c r="B42" i="6"/>
  <c r="C42" s="1"/>
  <c r="E42" i="58" s="1"/>
  <c r="K38" i="70"/>
  <c r="B28" i="215" s="1"/>
  <c r="E39" i="70"/>
  <c r="G39" s="1"/>
  <c r="F40"/>
  <c r="H39"/>
  <c r="BH42" i="58"/>
  <c r="AN42"/>
  <c r="F41" i="78"/>
  <c r="H41" s="1"/>
  <c r="I41" s="1"/>
  <c r="G42"/>
  <c r="G43" s="1"/>
  <c r="G44" s="1"/>
  <c r="F47" i="76"/>
  <c r="H40"/>
  <c r="F41" i="75"/>
  <c r="H41" s="1"/>
  <c r="I41" s="1"/>
  <c r="G42"/>
  <c r="G43" s="1"/>
  <c r="G44" s="1"/>
  <c r="F47" i="74"/>
  <c r="H40"/>
  <c r="F41" i="73"/>
  <c r="H41" s="1"/>
  <c r="I41" s="1"/>
  <c r="G42"/>
  <c r="G43" s="1"/>
  <c r="G44" s="1"/>
  <c r="CV42" i="58"/>
  <c r="CL42"/>
  <c r="BR42"/>
  <c r="AX42"/>
  <c r="F41" i="79"/>
  <c r="H41" s="1"/>
  <c r="I41" s="1"/>
  <c r="G42"/>
  <c r="G43" s="1"/>
  <c r="G44" s="1"/>
  <c r="F47"/>
  <c r="H40"/>
  <c r="F47" i="78"/>
  <c r="H40"/>
  <c r="F41" i="76"/>
  <c r="H41" s="1"/>
  <c r="I41" s="1"/>
  <c r="G42"/>
  <c r="G43" s="1"/>
  <c r="G44" s="1"/>
  <c r="F47" i="75"/>
  <c r="H40"/>
  <c r="F41" i="74"/>
  <c r="H41" s="1"/>
  <c r="I41" s="1"/>
  <c r="G42"/>
  <c r="G43" s="1"/>
  <c r="G44" s="1"/>
  <c r="F47" i="73"/>
  <c r="H40"/>
  <c r="G41" i="72" l="1"/>
  <c r="G47"/>
  <c r="F40"/>
  <c r="BX45" i="58"/>
  <c r="I31" i="216"/>
  <c r="P42" i="6"/>
  <c r="Q42" s="1"/>
  <c r="BW42" i="58" s="1"/>
  <c r="BZ42" s="1"/>
  <c r="L39" i="77"/>
  <c r="I28" i="215" s="1"/>
  <c r="K8" i="28"/>
  <c r="BP12" i="29" s="1"/>
  <c r="BQ12" s="1"/>
  <c r="K7" i="26"/>
  <c r="C27" i="207"/>
  <c r="T41" i="58"/>
  <c r="Z45"/>
  <c r="D31" i="216"/>
  <c r="C7" i="26"/>
  <c r="C8" i="28"/>
  <c r="L12" i="29" s="1"/>
  <c r="M12" s="1"/>
  <c r="D42" i="6"/>
  <c r="E42" s="1"/>
  <c r="O42" i="58" s="1"/>
  <c r="R42" s="1"/>
  <c r="L39" i="71"/>
  <c r="C28" i="215" s="1"/>
  <c r="F9" i="28"/>
  <c r="AG13" i="29" s="1"/>
  <c r="AH13" s="1"/>
  <c r="F8" i="26"/>
  <c r="F13" i="10"/>
  <c r="G12"/>
  <c r="C12" i="19" s="1"/>
  <c r="D27" i="207"/>
  <c r="AD41" i="58"/>
  <c r="M11" i="10"/>
  <c r="M11" i="19" s="1"/>
  <c r="L12" i="10"/>
  <c r="CF50" i="19"/>
  <c r="J22" i="130"/>
  <c r="AR50" i="19"/>
  <c r="F22" i="130"/>
  <c r="B44" i="216"/>
  <c r="B39"/>
  <c r="J9" i="28"/>
  <c r="BI13" i="29" s="1"/>
  <c r="BJ13" s="1"/>
  <c r="BK13" s="1"/>
  <c r="BL13" s="1"/>
  <c r="J8" i="26"/>
  <c r="P45" i="58"/>
  <c r="C31" i="216"/>
  <c r="BD45" i="58"/>
  <c r="G31" i="216"/>
  <c r="G41" i="80"/>
  <c r="G47"/>
  <c r="F40"/>
  <c r="D5" i="26"/>
  <c r="D6" i="28"/>
  <c r="S10" i="29" s="1"/>
  <c r="T10" s="1"/>
  <c r="BC12" i="10"/>
  <c r="CE12" i="19" s="1"/>
  <c r="BB13" i="10"/>
  <c r="AI14" i="29"/>
  <c r="AJ14" s="1"/>
  <c r="G64"/>
  <c r="BD14" s="1"/>
  <c r="BE14" s="1"/>
  <c r="CJ12" i="19"/>
  <c r="CL12" s="1"/>
  <c r="N14" i="29"/>
  <c r="O14" s="1"/>
  <c r="BD15"/>
  <c r="BE15" s="1"/>
  <c r="AW11"/>
  <c r="AX11" s="1"/>
  <c r="G8" i="28"/>
  <c r="AN12" i="29" s="1"/>
  <c r="AO12" s="1"/>
  <c r="AP12" s="1"/>
  <c r="AQ12" s="1"/>
  <c r="G7" i="26"/>
  <c r="L27" i="207"/>
  <c r="DF41" i="58"/>
  <c r="J41" i="219"/>
  <c r="J36"/>
  <c r="AD46" i="5"/>
  <c r="T46"/>
  <c r="R46"/>
  <c r="X46"/>
  <c r="V46"/>
  <c r="Z46"/>
  <c r="L46"/>
  <c r="AB46"/>
  <c r="P46"/>
  <c r="N46"/>
  <c r="E8" i="26"/>
  <c r="E9" i="28"/>
  <c r="Z13" i="29" s="1"/>
  <c r="AA13" s="1"/>
  <c r="AB13" s="1"/>
  <c r="AC13" s="1"/>
  <c r="CR45" i="58"/>
  <c r="K31" i="216"/>
  <c r="DB45" i="58"/>
  <c r="L31" i="216"/>
  <c r="U21" i="29"/>
  <c r="V21" s="1"/>
  <c r="D7" i="225" s="1"/>
  <c r="G38" i="29"/>
  <c r="H38" s="1"/>
  <c r="B24" i="225" s="1"/>
  <c r="AW26" i="29"/>
  <c r="AX26" s="1"/>
  <c r="H12" i="225" s="1"/>
  <c r="AB44" i="29"/>
  <c r="AC44" s="1"/>
  <c r="E30" i="225" s="1"/>
  <c r="G33" i="29"/>
  <c r="H33" s="1"/>
  <c r="B19" i="225" s="1"/>
  <c r="AI21" i="29"/>
  <c r="AJ21" s="1"/>
  <c r="F7" i="225" s="1"/>
  <c r="AW38" i="29"/>
  <c r="AX38" s="1"/>
  <c r="H24" i="225" s="1"/>
  <c r="G26" i="29"/>
  <c r="H26" s="1"/>
  <c r="B12" i="225" s="1"/>
  <c r="AI20" i="29"/>
  <c r="AJ20" s="1"/>
  <c r="F6" i="225" s="1"/>
  <c r="U27" i="29"/>
  <c r="V27" s="1"/>
  <c r="D13" i="225" s="1"/>
  <c r="BK32" i="29"/>
  <c r="BL32" s="1"/>
  <c r="J18" i="225" s="1"/>
  <c r="N21" i="29"/>
  <c r="O21" s="1"/>
  <c r="C7" i="225" s="1"/>
  <c r="N30" i="29"/>
  <c r="O30" s="1"/>
  <c r="C16" i="225" s="1"/>
  <c r="BR24" i="29"/>
  <c r="BS24" s="1"/>
  <c r="K10" i="225" s="1"/>
  <c r="BY40" i="29"/>
  <c r="BZ40" s="1"/>
  <c r="L26" i="225" s="1"/>
  <c r="AB29" i="29"/>
  <c r="AC29" s="1"/>
  <c r="E15" i="225" s="1"/>
  <c r="BY35" i="29"/>
  <c r="BZ35" s="1"/>
  <c r="L21" i="225" s="1"/>
  <c r="BD24" i="29"/>
  <c r="BE24" s="1"/>
  <c r="I10" i="225" s="1"/>
  <c r="AP41" i="29"/>
  <c r="AQ41" s="1"/>
  <c r="G27" i="225" s="1"/>
  <c r="BR29" i="29"/>
  <c r="BS29" s="1"/>
  <c r="K15" i="225" s="1"/>
  <c r="G27" i="29"/>
  <c r="H27" s="1"/>
  <c r="B13" i="225" s="1"/>
  <c r="BR43" i="29"/>
  <c r="BS43" s="1"/>
  <c r="K29" i="225" s="1"/>
  <c r="U32" i="29"/>
  <c r="V32" s="1"/>
  <c r="D18" i="225" s="1"/>
  <c r="BR38" i="29"/>
  <c r="BS38" s="1"/>
  <c r="K24" i="225" s="1"/>
  <c r="BK44" i="29"/>
  <c r="BL44" s="1"/>
  <c r="J30" i="225" s="1"/>
  <c r="N35" i="29"/>
  <c r="O35" s="1"/>
  <c r="C21" i="225" s="1"/>
  <c r="AP23" i="29"/>
  <c r="AQ23" s="1"/>
  <c r="G9" i="225" s="1"/>
  <c r="BK41" i="29"/>
  <c r="BL41" s="1"/>
  <c r="J27" i="225" s="1"/>
  <c r="BD35" i="29"/>
  <c r="BE35" s="1"/>
  <c r="I21" i="225" s="1"/>
  <c r="BY24" i="29"/>
  <c r="BZ24" s="1"/>
  <c r="L10" i="225" s="1"/>
  <c r="BK48" i="29"/>
  <c r="AI48"/>
  <c r="G48"/>
  <c r="AI46"/>
  <c r="AJ46" s="1"/>
  <c r="F32" i="225" s="1"/>
  <c r="BK46" i="29"/>
  <c r="BL46" s="1"/>
  <c r="J32" i="225" s="1"/>
  <c r="G47" i="29"/>
  <c r="H47" s="1"/>
  <c r="B33" i="225" s="1"/>
  <c r="N47" i="29"/>
  <c r="O47" s="1"/>
  <c r="C33" i="225" s="1"/>
  <c r="AP47" i="29"/>
  <c r="AQ47" s="1"/>
  <c r="G33" i="225" s="1"/>
  <c r="AW41" i="29"/>
  <c r="AX41" s="1"/>
  <c r="H27" i="225" s="1"/>
  <c r="AI28" i="29"/>
  <c r="AJ28" s="1"/>
  <c r="F14" i="225" s="1"/>
  <c r="G40" i="29"/>
  <c r="H40" s="1"/>
  <c r="B26" i="225" s="1"/>
  <c r="N22" i="29"/>
  <c r="O22" s="1"/>
  <c r="C8" i="225" s="1"/>
  <c r="AP34" i="29"/>
  <c r="AQ34" s="1"/>
  <c r="G20" i="225" s="1"/>
  <c r="AP15" i="29"/>
  <c r="AQ15" s="1"/>
  <c r="BY22"/>
  <c r="BZ22" s="1"/>
  <c r="L8" i="225" s="1"/>
  <c r="BD33" i="29"/>
  <c r="BE33" s="1"/>
  <c r="I19" i="225" s="1"/>
  <c r="AP28" i="29"/>
  <c r="AQ28" s="1"/>
  <c r="G14" i="225" s="1"/>
  <c r="N40" i="29"/>
  <c r="O40" s="1"/>
  <c r="C26" i="225" s="1"/>
  <c r="BK16" i="29"/>
  <c r="BL16" s="1"/>
  <c r="AB23"/>
  <c r="AC23" s="1"/>
  <c r="E9" i="225" s="1"/>
  <c r="N29" i="29"/>
  <c r="O29" s="1"/>
  <c r="C15" i="225" s="1"/>
  <c r="BY34" i="29"/>
  <c r="BZ34" s="1"/>
  <c r="L20" i="225" s="1"/>
  <c r="BK40" i="29"/>
  <c r="BL40" s="1"/>
  <c r="J26" i="225" s="1"/>
  <c r="AW23" i="29"/>
  <c r="AX23" s="1"/>
  <c r="H9" i="225" s="1"/>
  <c r="AI29" i="29"/>
  <c r="AJ29" s="1"/>
  <c r="F15" i="225" s="1"/>
  <c r="U35" i="29"/>
  <c r="V35" s="1"/>
  <c r="D21" i="225" s="1"/>
  <c r="G41" i="29"/>
  <c r="H41" s="1"/>
  <c r="B27" i="225" s="1"/>
  <c r="AB16" i="29"/>
  <c r="AC16" s="1"/>
  <c r="BY14"/>
  <c r="BZ14" s="1"/>
  <c r="N17"/>
  <c r="O17" s="1"/>
  <c r="BD25"/>
  <c r="BE25" s="1"/>
  <c r="I11" i="225" s="1"/>
  <c r="AP31" i="29"/>
  <c r="AQ31" s="1"/>
  <c r="G17" i="225" s="1"/>
  <c r="AB37" i="29"/>
  <c r="AC37" s="1"/>
  <c r="E23" i="225" s="1"/>
  <c r="N43" i="29"/>
  <c r="O43" s="1"/>
  <c r="C29" i="225" s="1"/>
  <c r="AP20" i="29"/>
  <c r="AQ20" s="1"/>
  <c r="G6" i="225" s="1"/>
  <c r="BD26" i="29"/>
  <c r="BE26" s="1"/>
  <c r="I12" i="225" s="1"/>
  <c r="N32" i="29"/>
  <c r="O32" s="1"/>
  <c r="C18" i="225" s="1"/>
  <c r="BY37" i="29"/>
  <c r="BZ37" s="1"/>
  <c r="L23" i="225" s="1"/>
  <c r="BK43" i="29"/>
  <c r="BL43" s="1"/>
  <c r="J29" i="225" s="1"/>
  <c r="AW15" i="29"/>
  <c r="AX15" s="1"/>
  <c r="BR17"/>
  <c r="BS17" s="1"/>
  <c r="BK22"/>
  <c r="BL22" s="1"/>
  <c r="J8" i="225" s="1"/>
  <c r="N25" i="29"/>
  <c r="O25" s="1"/>
  <c r="C11" i="225" s="1"/>
  <c r="G28" i="29"/>
  <c r="H28" s="1"/>
  <c r="B14" i="225" s="1"/>
  <c r="BY30" i="29"/>
  <c r="BZ30" s="1"/>
  <c r="L16" i="225" s="1"/>
  <c r="BR33" i="29"/>
  <c r="BS33" s="1"/>
  <c r="K19" i="225" s="1"/>
  <c r="BK36" i="29"/>
  <c r="BL36" s="1"/>
  <c r="J22" i="225" s="1"/>
  <c r="BD39" i="29"/>
  <c r="BE39" s="1"/>
  <c r="I25" i="225" s="1"/>
  <c r="AW42" i="29"/>
  <c r="AX42" s="1"/>
  <c r="H28" i="225" s="1"/>
  <c r="AI17" i="29"/>
  <c r="AJ17" s="1"/>
  <c r="AP22"/>
  <c r="AQ22" s="1"/>
  <c r="G8" i="225" s="1"/>
  <c r="AI25" i="29"/>
  <c r="AJ25" s="1"/>
  <c r="F11" i="225" s="1"/>
  <c r="AB28" i="29"/>
  <c r="AC28" s="1"/>
  <c r="E14" i="225" s="1"/>
  <c r="U31" i="29"/>
  <c r="V31" s="1"/>
  <c r="D17" i="225" s="1"/>
  <c r="N34" i="29"/>
  <c r="O34" s="1"/>
  <c r="C20" i="225" s="1"/>
  <c r="G37" i="29"/>
  <c r="H37" s="1"/>
  <c r="B23" i="225" s="1"/>
  <c r="BY39" i="29"/>
  <c r="BZ39" s="1"/>
  <c r="L25" i="225" s="1"/>
  <c r="BR42" i="29"/>
  <c r="BS42" s="1"/>
  <c r="K28" i="225" s="1"/>
  <c r="AW16" i="29"/>
  <c r="AX16" s="1"/>
  <c r="U14"/>
  <c r="V14" s="1"/>
  <c r="BR16"/>
  <c r="BS16" s="1"/>
  <c r="BD21"/>
  <c r="BE21" s="1"/>
  <c r="I7" i="225" s="1"/>
  <c r="AI24" i="29"/>
  <c r="AJ24" s="1"/>
  <c r="F10" i="225" s="1"/>
  <c r="AP27" i="29"/>
  <c r="AQ27" s="1"/>
  <c r="G13" i="225" s="1"/>
  <c r="AI30" i="29"/>
  <c r="AJ30" s="1"/>
  <c r="F16" i="225" s="1"/>
  <c r="AB33" i="29"/>
  <c r="AC33" s="1"/>
  <c r="E19" i="225" s="1"/>
  <c r="U36" i="29"/>
  <c r="V36" s="1"/>
  <c r="D22" i="225" s="1"/>
  <c r="N39" i="29"/>
  <c r="O39" s="1"/>
  <c r="C25" i="225" s="1"/>
  <c r="G42" i="29"/>
  <c r="H42" s="1"/>
  <c r="B28" i="225" s="1"/>
  <c r="BR44" i="29"/>
  <c r="BS44" s="1"/>
  <c r="K30" i="225" s="1"/>
  <c r="AW17" i="29"/>
  <c r="AX17" s="1"/>
  <c r="BD22"/>
  <c r="BE22" s="1"/>
  <c r="I8" i="225" s="1"/>
  <c r="U25" i="29"/>
  <c r="V25" s="1"/>
  <c r="D11" i="225" s="1"/>
  <c r="N28" i="29"/>
  <c r="O28" s="1"/>
  <c r="C14" i="225" s="1"/>
  <c r="G31" i="29"/>
  <c r="H31" s="1"/>
  <c r="B17" i="225" s="1"/>
  <c r="BY33" i="29"/>
  <c r="BZ33" s="1"/>
  <c r="L19" i="225" s="1"/>
  <c r="BR36" i="29"/>
  <c r="BS36" s="1"/>
  <c r="K22" i="225" s="1"/>
  <c r="BK39" i="29"/>
  <c r="BL39" s="1"/>
  <c r="J25" i="225" s="1"/>
  <c r="BD42" i="29"/>
  <c r="BE42" s="1"/>
  <c r="I28" i="225" s="1"/>
  <c r="BY16" i="29"/>
  <c r="BZ16" s="1"/>
  <c r="AW45"/>
  <c r="AX45" s="1"/>
  <c r="H31" i="225" s="1"/>
  <c r="U45" i="29"/>
  <c r="V45" s="1"/>
  <c r="D31" i="225" s="1"/>
  <c r="BY48" i="29"/>
  <c r="AW48"/>
  <c r="BR46"/>
  <c r="BS46" s="1"/>
  <c r="K32" i="225" s="1"/>
  <c r="AW46" i="29"/>
  <c r="AX46" s="1"/>
  <c r="H32" i="225" s="1"/>
  <c r="AI47" i="29"/>
  <c r="AJ47" s="1"/>
  <c r="F33" i="225" s="1"/>
  <c r="AB40" i="29"/>
  <c r="AC40" s="1"/>
  <c r="E26" i="225" s="1"/>
  <c r="AP39" i="29"/>
  <c r="AQ39" s="1"/>
  <c r="G25" i="225" s="1"/>
  <c r="AB34" i="29"/>
  <c r="AC34" s="1"/>
  <c r="E20" i="225" s="1"/>
  <c r="AW20" i="29"/>
  <c r="AX20" s="1"/>
  <c r="H6" i="225" s="1"/>
  <c r="G32" i="29"/>
  <c r="H32" s="1"/>
  <c r="B18" i="225" s="1"/>
  <c r="AB20" i="29"/>
  <c r="AC20" s="1"/>
  <c r="E6" i="225" s="1"/>
  <c r="AB32" i="29"/>
  <c r="AC32" s="1"/>
  <c r="E18" i="225" s="1"/>
  <c r="BY43" i="29"/>
  <c r="BZ43" s="1"/>
  <c r="L29" i="225" s="1"/>
  <c r="AW28" i="29"/>
  <c r="AX28" s="1"/>
  <c r="H14" i="225" s="1"/>
  <c r="U40" i="29"/>
  <c r="V40" s="1"/>
  <c r="D26" i="225" s="1"/>
  <c r="U29" i="29"/>
  <c r="V29" s="1"/>
  <c r="D15" i="225" s="1"/>
  <c r="BR40" i="29"/>
  <c r="BS40" s="1"/>
  <c r="K26" i="225" s="1"/>
  <c r="AI32" i="29"/>
  <c r="AJ32" s="1"/>
  <c r="F18" i="225" s="1"/>
  <c r="N41" i="29"/>
  <c r="O41" s="1"/>
  <c r="C27" i="225" s="1"/>
  <c r="G21" i="29"/>
  <c r="H21" s="1"/>
  <c r="B7" i="225" s="1"/>
  <c r="BK29" i="29"/>
  <c r="BL29" s="1"/>
  <c r="J15" i="225" s="1"/>
  <c r="AW35" i="29"/>
  <c r="AX35" s="1"/>
  <c r="H21" i="225" s="1"/>
  <c r="AW44" i="29"/>
  <c r="AX44" s="1"/>
  <c r="H30" i="225" s="1"/>
  <c r="U15" i="29"/>
  <c r="V15" s="1"/>
  <c r="BK20"/>
  <c r="BL20" s="1"/>
  <c r="J6" i="225" s="1"/>
  <c r="BY26" i="29"/>
  <c r="BZ26" s="1"/>
  <c r="L12" i="225" s="1"/>
  <c r="BR31" i="29"/>
  <c r="BS31" s="1"/>
  <c r="K17" i="225" s="1"/>
  <c r="BD37" i="29"/>
  <c r="BE37" s="1"/>
  <c r="I23" i="225" s="1"/>
  <c r="BK23" i="29"/>
  <c r="BL23" s="1"/>
  <c r="J9" i="225" s="1"/>
  <c r="AP32" i="29"/>
  <c r="AQ32" s="1"/>
  <c r="G18" i="225" s="1"/>
  <c r="U41" i="29"/>
  <c r="V41" s="1"/>
  <c r="D27" i="225" s="1"/>
  <c r="U16" i="29"/>
  <c r="V16" s="1"/>
  <c r="AI45"/>
  <c r="AJ45" s="1"/>
  <c r="F31" i="225" s="1"/>
  <c r="BD48" i="29"/>
  <c r="BY29"/>
  <c r="BZ29" s="1"/>
  <c r="L15" i="225" s="1"/>
  <c r="U46" i="29"/>
  <c r="V46" s="1"/>
  <c r="D32" i="225" s="1"/>
  <c r="G46" i="29"/>
  <c r="H46" s="1"/>
  <c r="B32" i="225" s="1"/>
  <c r="AB47" i="29"/>
  <c r="AC47" s="1"/>
  <c r="E33" i="225" s="1"/>
  <c r="AB31" i="29"/>
  <c r="AC31" s="1"/>
  <c r="E17" i="225" s="1"/>
  <c r="BY42" i="29"/>
  <c r="BZ42" s="1"/>
  <c r="L28" i="225" s="1"/>
  <c r="AI37" i="29"/>
  <c r="AJ37" s="1"/>
  <c r="F23" i="225" s="1"/>
  <c r="G24" i="29"/>
  <c r="H24" s="1"/>
  <c r="B10" i="225" s="1"/>
  <c r="U17" i="29"/>
  <c r="V17" s="1"/>
  <c r="G43"/>
  <c r="H43" s="1"/>
  <c r="B29" i="225" s="1"/>
  <c r="G19" i="29"/>
  <c r="H19" s="1"/>
  <c r="AW30"/>
  <c r="AX30" s="1"/>
  <c r="H16" i="225" s="1"/>
  <c r="U42" i="29"/>
  <c r="V42" s="1"/>
  <c r="D28" i="225" s="1"/>
  <c r="G25" i="29"/>
  <c r="H25" s="1"/>
  <c r="B11" i="225" s="1"/>
  <c r="BD36" i="29"/>
  <c r="BE36" s="1"/>
  <c r="I22" i="225" s="1"/>
  <c r="AB19" i="29"/>
  <c r="AC19" s="1"/>
  <c r="AB21"/>
  <c r="AC21" s="1"/>
  <c r="E7" i="225" s="1"/>
  <c r="BY32" i="29"/>
  <c r="BZ32" s="1"/>
  <c r="L18" i="225" s="1"/>
  <c r="N44" i="29"/>
  <c r="O44" s="1"/>
  <c r="C30" i="225" s="1"/>
  <c r="BK27" i="29"/>
  <c r="BL27" s="1"/>
  <c r="J13" i="225" s="1"/>
  <c r="AI39" i="29"/>
  <c r="AJ39" s="1"/>
  <c r="F25" i="225" s="1"/>
  <c r="AW14" i="29"/>
  <c r="AX14" s="1"/>
  <c r="BY20"/>
  <c r="BZ20" s="1"/>
  <c r="L6" i="225" s="1"/>
  <c r="BR25" i="29"/>
  <c r="BS25" s="1"/>
  <c r="K11" i="225" s="1"/>
  <c r="BD31" i="29"/>
  <c r="BE31" s="1"/>
  <c r="I17" i="225" s="1"/>
  <c r="AP37" i="29"/>
  <c r="AQ37" s="1"/>
  <c r="G23" i="225" s="1"/>
  <c r="AB43" i="29"/>
  <c r="AC43" s="1"/>
  <c r="E29" i="225" s="1"/>
  <c r="BD20" i="29"/>
  <c r="BE20" s="1"/>
  <c r="I6" i="225" s="1"/>
  <c r="BR26" i="29"/>
  <c r="BS26" s="1"/>
  <c r="K12" i="225" s="1"/>
  <c r="BY31" i="29"/>
  <c r="BZ31" s="1"/>
  <c r="L17" i="225" s="1"/>
  <c r="BK37" i="29"/>
  <c r="BL37" s="1"/>
  <c r="J23" i="225" s="1"/>
  <c r="AW43" i="29"/>
  <c r="AX43" s="1"/>
  <c r="H29" i="225" s="1"/>
  <c r="AW22" i="29"/>
  <c r="AX22" s="1"/>
  <c r="H8" i="225" s="1"/>
  <c r="U28" i="29"/>
  <c r="V28" s="1"/>
  <c r="D14" i="225" s="1"/>
  <c r="G34" i="29"/>
  <c r="H34" s="1"/>
  <c r="B20" i="225" s="1"/>
  <c r="BR39" i="29"/>
  <c r="BS39" s="1"/>
  <c r="K25" i="225" s="1"/>
  <c r="G23" i="29"/>
  <c r="H23" s="1"/>
  <c r="B9" i="225" s="1"/>
  <c r="BR28" i="29"/>
  <c r="BS28" s="1"/>
  <c r="K14" i="225" s="1"/>
  <c r="BD34" i="29"/>
  <c r="BE34" s="1"/>
  <c r="I20" i="225" s="1"/>
  <c r="AP40" i="29"/>
  <c r="AQ40" s="1"/>
  <c r="G26" i="225" s="1"/>
  <c r="BR15" i="29"/>
  <c r="BS15" s="1"/>
  <c r="BK19"/>
  <c r="BL19" s="1"/>
  <c r="BK45"/>
  <c r="BL45" s="1"/>
  <c r="J31" i="225" s="1"/>
  <c r="BR48" i="29"/>
  <c r="AP48"/>
  <c r="N48"/>
  <c r="BY46"/>
  <c r="BZ46" s="1"/>
  <c r="L32" i="225" s="1"/>
  <c r="BD46" i="29"/>
  <c r="BE46" s="1"/>
  <c r="I32" i="225" s="1"/>
  <c r="AW47" i="29"/>
  <c r="AX47" s="1"/>
  <c r="H33" i="225" s="1"/>
  <c r="BD47" i="29"/>
  <c r="BE47" s="1"/>
  <c r="I33" i="225" s="1"/>
  <c r="BY47" i="29"/>
  <c r="BZ47" s="1"/>
  <c r="L33" i="225" s="1"/>
  <c r="BD38" i="29"/>
  <c r="BE38" s="1"/>
  <c r="I24" i="225" s="1"/>
  <c r="BY44" i="29"/>
  <c r="BZ44" s="1"/>
  <c r="L30" i="225" s="1"/>
  <c r="AP25" i="29"/>
  <c r="AQ25" s="1"/>
  <c r="G11" i="225" s="1"/>
  <c r="N37" i="29"/>
  <c r="O37" s="1"/>
  <c r="C23" i="225" s="1"/>
  <c r="G17" i="29"/>
  <c r="H17" s="1"/>
  <c r="AW31"/>
  <c r="AX31" s="1"/>
  <c r="H17" i="225" s="1"/>
  <c r="U43" i="29"/>
  <c r="V43" s="1"/>
  <c r="D29" i="225" s="1"/>
  <c r="BK30" i="29"/>
  <c r="BL30" s="1"/>
  <c r="J16" i="225" s="1"/>
  <c r="AI42" i="29"/>
  <c r="AJ42" s="1"/>
  <c r="F28" i="225" s="1"/>
  <c r="AW25" i="29"/>
  <c r="AX25" s="1"/>
  <c r="H11" i="225" s="1"/>
  <c r="U37" i="29"/>
  <c r="V37" s="1"/>
  <c r="D23" i="225" s="1"/>
  <c r="BR21" i="29"/>
  <c r="BS21" s="1"/>
  <c r="K7" i="225" s="1"/>
  <c r="BD27" i="29"/>
  <c r="BE27" s="1"/>
  <c r="I13" i="225" s="1"/>
  <c r="AP33" i="29"/>
  <c r="AQ33" s="1"/>
  <c r="G19" i="225" s="1"/>
  <c r="AB39" i="29"/>
  <c r="AC39" s="1"/>
  <c r="E25" i="225" s="1"/>
  <c r="BR22" i="29"/>
  <c r="BS22" s="1"/>
  <c r="K8" i="225" s="1"/>
  <c r="BY27" i="29"/>
  <c r="BZ27" s="1"/>
  <c r="L13" i="225" s="1"/>
  <c r="BK33" i="29"/>
  <c r="BL33" s="1"/>
  <c r="J19" i="225" s="1"/>
  <c r="AW39" i="29"/>
  <c r="AX39" s="1"/>
  <c r="H25" i="225" s="1"/>
  <c r="BY15" i="29"/>
  <c r="BZ15" s="1"/>
  <c r="N16"/>
  <c r="O16" s="1"/>
  <c r="BK24"/>
  <c r="BL24" s="1"/>
  <c r="J10" i="225" s="1"/>
  <c r="G30" i="29"/>
  <c r="H30" s="1"/>
  <c r="B16" i="225" s="1"/>
  <c r="BR35" i="29"/>
  <c r="BS35" s="1"/>
  <c r="K21" i="225" s="1"/>
  <c r="BD41" i="29"/>
  <c r="BE41" s="1"/>
  <c r="I27" i="225" s="1"/>
  <c r="BR19" i="29"/>
  <c r="BS19" s="1"/>
  <c r="N24"/>
  <c r="O24" s="1"/>
  <c r="C10" i="225" s="1"/>
  <c r="BD30" i="29"/>
  <c r="BE30" s="1"/>
  <c r="I16" i="225" s="1"/>
  <c r="AP36" i="29"/>
  <c r="AQ36" s="1"/>
  <c r="G22" i="225" s="1"/>
  <c r="AB42" i="29"/>
  <c r="AC42" s="1"/>
  <c r="E28" i="225" s="1"/>
  <c r="AW19" i="29"/>
  <c r="AX19" s="1"/>
  <c r="AP16"/>
  <c r="AQ16" s="1"/>
  <c r="AP21"/>
  <c r="AQ21" s="1"/>
  <c r="G7" i="225" s="1"/>
  <c r="AW24" i="29"/>
  <c r="AX24" s="1"/>
  <c r="H10" i="225" s="1"/>
  <c r="AB27" i="29"/>
  <c r="AC27" s="1"/>
  <c r="E13" i="225" s="1"/>
  <c r="U30" i="29"/>
  <c r="V30" s="1"/>
  <c r="D16" i="225" s="1"/>
  <c r="N33" i="29"/>
  <c r="O33" s="1"/>
  <c r="C19" i="225" s="1"/>
  <c r="G36" i="29"/>
  <c r="H36" s="1"/>
  <c r="B22" i="225" s="1"/>
  <c r="BY38" i="29"/>
  <c r="BZ38" s="1"/>
  <c r="L24" i="225" s="1"/>
  <c r="BR41" i="29"/>
  <c r="BS41" s="1"/>
  <c r="K27" i="225" s="1"/>
  <c r="AP44" i="29"/>
  <c r="AQ44" s="1"/>
  <c r="G30" i="225" s="1"/>
  <c r="AP19" i="29"/>
  <c r="AQ19" s="1"/>
  <c r="BK21"/>
  <c r="BL21" s="1"/>
  <c r="J7" i="225" s="1"/>
  <c r="AB24" i="29"/>
  <c r="AC24" s="1"/>
  <c r="E10" i="225" s="1"/>
  <c r="AW27" i="29"/>
  <c r="AX27" s="1"/>
  <c r="H13" i="225" s="1"/>
  <c r="AP30" i="29"/>
  <c r="AQ30" s="1"/>
  <c r="G16" i="225" s="1"/>
  <c r="AI33" i="29"/>
  <c r="AJ33" s="1"/>
  <c r="F19" i="225" s="1"/>
  <c r="AB36" i="29"/>
  <c r="AC36" s="1"/>
  <c r="E22" i="225" s="1"/>
  <c r="U39" i="29"/>
  <c r="V39" s="1"/>
  <c r="D25" i="225" s="1"/>
  <c r="N42" i="29"/>
  <c r="O42" s="1"/>
  <c r="C28" i="225" s="1"/>
  <c r="U19" i="29"/>
  <c r="V19" s="1"/>
  <c r="BD17"/>
  <c r="BE17" s="1"/>
  <c r="G20"/>
  <c r="H20" s="1"/>
  <c r="B6" i="225" s="1"/>
  <c r="BR23" i="29"/>
  <c r="BS23" s="1"/>
  <c r="K9" i="225" s="1"/>
  <c r="U26" i="29"/>
  <c r="V26" s="1"/>
  <c r="D12" i="225" s="1"/>
  <c r="BD29" i="29"/>
  <c r="BE29" s="1"/>
  <c r="I15" i="225" s="1"/>
  <c r="AW32" i="29"/>
  <c r="AX32" s="1"/>
  <c r="H18" i="225" s="1"/>
  <c r="AP35" i="29"/>
  <c r="AQ35" s="1"/>
  <c r="G21" i="225" s="1"/>
  <c r="AI38" i="29"/>
  <c r="AJ38" s="1"/>
  <c r="F24" i="225" s="1"/>
  <c r="AB41" i="29"/>
  <c r="AC41" s="1"/>
  <c r="E27" i="225" s="1"/>
  <c r="AI44" i="29"/>
  <c r="AJ44" s="1"/>
  <c r="F30" i="225" s="1"/>
  <c r="N19" i="29"/>
  <c r="O19" s="1"/>
  <c r="AW21"/>
  <c r="AX21" s="1"/>
  <c r="H7" i="225" s="1"/>
  <c r="AP24" i="29"/>
  <c r="AQ24" s="1"/>
  <c r="G10" i="225" s="1"/>
  <c r="AI27" i="29"/>
  <c r="AJ27" s="1"/>
  <c r="F13" i="225" s="1"/>
  <c r="AB30" i="29"/>
  <c r="AC30" s="1"/>
  <c r="E16" i="225" s="1"/>
  <c r="U33" i="29"/>
  <c r="V33" s="1"/>
  <c r="D19" i="225" s="1"/>
  <c r="N36" i="29"/>
  <c r="O36" s="1"/>
  <c r="C22" i="225" s="1"/>
  <c r="G39" i="29"/>
  <c r="H39" s="1"/>
  <c r="B25" i="225" s="1"/>
  <c r="BY41" i="29"/>
  <c r="BZ41" s="1"/>
  <c r="L27" i="225" s="1"/>
  <c r="BD44" i="29"/>
  <c r="BE44" s="1"/>
  <c r="I30" i="225" s="1"/>
  <c r="BY19" i="29"/>
  <c r="BZ19" s="1"/>
  <c r="BK17"/>
  <c r="BL17" s="1"/>
  <c r="BR45"/>
  <c r="BS45" s="1"/>
  <c r="K31" i="225" s="1"/>
  <c r="G45" i="29"/>
  <c r="H45" s="1"/>
  <c r="B31" i="225" s="1"/>
  <c r="AB45" i="29"/>
  <c r="AC45" s="1"/>
  <c r="E31" i="225" s="1"/>
  <c r="U48" i="29"/>
  <c r="N46"/>
  <c r="O46" s="1"/>
  <c r="C32" i="225" s="1"/>
  <c r="U47" i="29"/>
  <c r="V47" s="1"/>
  <c r="D33" i="225" s="1"/>
  <c r="BK35" i="29"/>
  <c r="BL35" s="1"/>
  <c r="J21" i="225" s="1"/>
  <c r="AI22" i="29"/>
  <c r="AJ22" s="1"/>
  <c r="F8" i="225" s="1"/>
  <c r="U34" i="29"/>
  <c r="V34" s="1"/>
  <c r="D20" i="225" s="1"/>
  <c r="BD28" i="29"/>
  <c r="BE28" s="1"/>
  <c r="I14" i="225" s="1"/>
  <c r="BR27" i="29"/>
  <c r="BS27" s="1"/>
  <c r="K13" i="225" s="1"/>
  <c r="AB22" i="29"/>
  <c r="AC22" s="1"/>
  <c r="E8" i="225" s="1"/>
  <c r="N15" i="29"/>
  <c r="O15" s="1"/>
  <c r="BK26"/>
  <c r="BL26" s="1"/>
  <c r="J12" i="225" s="1"/>
  <c r="BR37" i="29"/>
  <c r="BS37" s="1"/>
  <c r="K23" i="225" s="1"/>
  <c r="BD43" i="29"/>
  <c r="BE43" s="1"/>
  <c r="I29" i="225" s="1"/>
  <c r="AP26" i="29"/>
  <c r="AQ26" s="1"/>
  <c r="G12" i="225" s="1"/>
  <c r="N38" i="29"/>
  <c r="O38" s="1"/>
  <c r="C24" i="225" s="1"/>
  <c r="U22" i="29"/>
  <c r="V22" s="1"/>
  <c r="D8" i="225" s="1"/>
  <c r="AI34" i="29"/>
  <c r="AJ34" s="1"/>
  <c r="F20" i="225" s="1"/>
  <c r="AI23" i="29"/>
  <c r="AJ23" s="1"/>
  <c r="F9" i="225" s="1"/>
  <c r="G35" i="29"/>
  <c r="H35" s="1"/>
  <c r="B21" i="225" s="1"/>
  <c r="U20" i="29"/>
  <c r="V20" s="1"/>
  <c r="D6" i="225" s="1"/>
  <c r="BD23" i="29"/>
  <c r="BE23" s="1"/>
  <c r="I9" i="225" s="1"/>
  <c r="AI26" i="29"/>
  <c r="AJ26" s="1"/>
  <c r="F12" i="225" s="1"/>
  <c r="AP29" i="29"/>
  <c r="AQ29" s="1"/>
  <c r="G15" i="225" s="1"/>
  <c r="AB35" i="29"/>
  <c r="AC35" s="1"/>
  <c r="E21" i="225" s="1"/>
  <c r="U38" i="29"/>
  <c r="V38" s="1"/>
  <c r="D24" i="225" s="1"/>
  <c r="G44" i="29"/>
  <c r="H44" s="1"/>
  <c r="B30" i="225" s="1"/>
  <c r="G16" i="29"/>
  <c r="H16" s="1"/>
  <c r="BY23"/>
  <c r="BZ23" s="1"/>
  <c r="L9" i="225" s="1"/>
  <c r="N26" i="29"/>
  <c r="O26" s="1"/>
  <c r="C12" i="225" s="1"/>
  <c r="BD32" i="29"/>
  <c r="BE32" s="1"/>
  <c r="I18" i="225" s="1"/>
  <c r="AP38" i="29"/>
  <c r="AQ38" s="1"/>
  <c r="G24" i="225" s="1"/>
  <c r="AI41" i="29"/>
  <c r="AJ41" s="1"/>
  <c r="F27" i="225" s="1"/>
  <c r="N23" i="29"/>
  <c r="O23" s="1"/>
  <c r="C9" i="225" s="1"/>
  <c r="BY28" i="29"/>
  <c r="BZ28" s="1"/>
  <c r="L14" i="225" s="1"/>
  <c r="BK34" i="29"/>
  <c r="BL34" s="1"/>
  <c r="J20" i="225" s="1"/>
  <c r="AW40" i="29"/>
  <c r="AX40" s="1"/>
  <c r="H26" i="225" s="1"/>
  <c r="AP43" i="29"/>
  <c r="AQ43" s="1"/>
  <c r="G29" i="225" s="1"/>
  <c r="N20" i="29"/>
  <c r="O20" s="1"/>
  <c r="C6" i="225" s="1"/>
  <c r="AB26" i="29"/>
  <c r="AC26" s="1"/>
  <c r="E12" i="225" s="1"/>
  <c r="AW29" i="29"/>
  <c r="AX29" s="1"/>
  <c r="H15" i="225" s="1"/>
  <c r="AI35" i="29"/>
  <c r="AJ35" s="1"/>
  <c r="F21" i="225" s="1"/>
  <c r="AB38" i="29"/>
  <c r="AC38" s="1"/>
  <c r="E24" i="225" s="1"/>
  <c r="U44" i="29"/>
  <c r="V44" s="1"/>
  <c r="D30" i="225" s="1"/>
  <c r="BY45" i="29"/>
  <c r="BZ45" s="1"/>
  <c r="L31" i="225" s="1"/>
  <c r="BD45" i="29"/>
  <c r="BE45" s="1"/>
  <c r="I31" i="225" s="1"/>
  <c r="AB48" i="29"/>
  <c r="BR32"/>
  <c r="BS32" s="1"/>
  <c r="K18" i="225" s="1"/>
  <c r="AP46" i="29"/>
  <c r="AQ46" s="1"/>
  <c r="G32" i="225" s="1"/>
  <c r="BK47" i="29"/>
  <c r="BL47" s="1"/>
  <c r="J33" i="225" s="1"/>
  <c r="BR47" i="29"/>
  <c r="BS47" s="1"/>
  <c r="K33" i="225" s="1"/>
  <c r="AB17" i="29"/>
  <c r="AC17" s="1"/>
  <c r="BK25"/>
  <c r="BL25" s="1"/>
  <c r="J11" i="225" s="1"/>
  <c r="AW36" i="29"/>
  <c r="AX36" s="1"/>
  <c r="H22" i="225" s="1"/>
  <c r="AI31" i="29"/>
  <c r="AJ31" s="1"/>
  <c r="F17" i="225" s="1"/>
  <c r="U24" i="29"/>
  <c r="V24" s="1"/>
  <c r="D10" i="225" s="1"/>
  <c r="AI36" i="29"/>
  <c r="AJ36" s="1"/>
  <c r="F22" i="225" s="1"/>
  <c r="BY17" i="29"/>
  <c r="BZ17" s="1"/>
  <c r="BR30"/>
  <c r="BS30" s="1"/>
  <c r="K16" i="225" s="1"/>
  <c r="AP42" i="29"/>
  <c r="AQ42" s="1"/>
  <c r="G28" i="225" s="1"/>
  <c r="N27" i="29"/>
  <c r="O27" s="1"/>
  <c r="C13" i="225" s="1"/>
  <c r="BK38" i="29"/>
  <c r="BL38" s="1"/>
  <c r="J24" i="225" s="1"/>
  <c r="BY21" i="29"/>
  <c r="BZ21" s="1"/>
  <c r="L7" i="225" s="1"/>
  <c r="AW33" i="29"/>
  <c r="AX33" s="1"/>
  <c r="H19" i="225" s="1"/>
  <c r="G22" i="29"/>
  <c r="H22" s="1"/>
  <c r="B8" i="225" s="1"/>
  <c r="BK28" i="29"/>
  <c r="BL28" s="1"/>
  <c r="J14" i="225" s="1"/>
  <c r="AW34" i="29"/>
  <c r="AX34" s="1"/>
  <c r="H20" i="225" s="1"/>
  <c r="AI40" i="29"/>
  <c r="AJ40" s="1"/>
  <c r="F26" i="225" s="1"/>
  <c r="U23" i="29"/>
  <c r="V23" s="1"/>
  <c r="D9" i="225" s="1"/>
  <c r="G29" i="29"/>
  <c r="H29" s="1"/>
  <c r="B15" i="225" s="1"/>
  <c r="BR34" i="29"/>
  <c r="BS34" s="1"/>
  <c r="K20" i="225" s="1"/>
  <c r="BD40" i="29"/>
  <c r="BE40" s="1"/>
  <c r="I26" i="225" s="1"/>
  <c r="BD16" i="29"/>
  <c r="BE16" s="1"/>
  <c r="AP17"/>
  <c r="AQ17" s="1"/>
  <c r="AB25"/>
  <c r="AC25" s="1"/>
  <c r="E11" i="225" s="1"/>
  <c r="N31" i="29"/>
  <c r="O31" s="1"/>
  <c r="C17" i="225" s="1"/>
  <c r="BY36" i="29"/>
  <c r="BZ36" s="1"/>
  <c r="L22" i="225" s="1"/>
  <c r="BK42" i="29"/>
  <c r="BL42" s="1"/>
  <c r="J28" i="225" s="1"/>
  <c r="BR20" i="29"/>
  <c r="BS20" s="1"/>
  <c r="K6" i="225" s="1"/>
  <c r="BY25" i="29"/>
  <c r="BZ25" s="1"/>
  <c r="L11" i="225" s="1"/>
  <c r="BK31" i="29"/>
  <c r="BL31" s="1"/>
  <c r="J17" i="225" s="1"/>
  <c r="AW37" i="29"/>
  <c r="AX37" s="1"/>
  <c r="H23" i="225" s="1"/>
  <c r="AI43" i="29"/>
  <c r="AJ43" s="1"/>
  <c r="F29" i="225" s="1"/>
  <c r="AP45" i="29"/>
  <c r="AQ45" s="1"/>
  <c r="G31" i="225" s="1"/>
  <c r="N45" i="29"/>
  <c r="O45" s="1"/>
  <c r="C31" i="225" s="1"/>
  <c r="BD19" i="29"/>
  <c r="BE19" s="1"/>
  <c r="AI16"/>
  <c r="AJ16" s="1"/>
  <c r="AW13"/>
  <c r="AX13" s="1"/>
  <c r="AI19"/>
  <c r="AJ19" s="1"/>
  <c r="U13"/>
  <c r="V13" s="1"/>
  <c r="G47" i="71"/>
  <c r="F40"/>
  <c r="G41"/>
  <c r="AW11" i="10"/>
  <c r="BU11" i="19" s="1"/>
  <c r="AV12" i="10"/>
  <c r="F42" i="6"/>
  <c r="G42" s="1"/>
  <c r="Y42" i="58" s="1"/>
  <c r="AB42" s="1"/>
  <c r="L39" i="72"/>
  <c r="D28" i="215" s="1"/>
  <c r="F41" i="219"/>
  <c r="F36"/>
  <c r="AT45" i="58"/>
  <c r="F31" i="216"/>
  <c r="AJ45" i="58"/>
  <c r="E31" i="216"/>
  <c r="G41" i="77"/>
  <c r="G47"/>
  <c r="F40"/>
  <c r="H48" i="5"/>
  <c r="F50"/>
  <c r="B9" i="28"/>
  <c r="E13" i="29" s="1"/>
  <c r="F13" s="1"/>
  <c r="G13" s="1"/>
  <c r="H13" s="1"/>
  <c r="B8" i="26"/>
  <c r="L6"/>
  <c r="L7" i="28"/>
  <c r="BW11" i="29" s="1"/>
  <c r="BX11" s="1"/>
  <c r="BY11" s="1"/>
  <c r="BZ11" s="1"/>
  <c r="BO11" i="10"/>
  <c r="CY11" i="19" s="1"/>
  <c r="BN12" i="10"/>
  <c r="I27" i="207"/>
  <c r="CB41" i="58"/>
  <c r="H42"/>
  <c r="B28" i="207" s="1"/>
  <c r="C44" i="124"/>
  <c r="I44" s="1"/>
  <c r="AP12" i="10"/>
  <c r="AQ11"/>
  <c r="BK11" i="19" s="1"/>
  <c r="I9" i="28"/>
  <c r="BB13" i="29" s="1"/>
  <c r="BC13" s="1"/>
  <c r="BD13" s="1"/>
  <c r="BE13" s="1"/>
  <c r="I8" i="26"/>
  <c r="H6" i="28"/>
  <c r="AU10" i="29" s="1"/>
  <c r="AV10" s="1"/>
  <c r="AW10" s="1"/>
  <c r="AX10" s="1"/>
  <c r="H5" i="26"/>
  <c r="CH45" i="58"/>
  <c r="J31" i="216"/>
  <c r="BN45" i="58"/>
  <c r="H31" i="216"/>
  <c r="L39" i="80"/>
  <c r="L28" i="215" s="1"/>
  <c r="V42" i="6"/>
  <c r="W42" s="1"/>
  <c r="DA42" i="58" s="1"/>
  <c r="DD42" s="1"/>
  <c r="R13" i="10"/>
  <c r="S12"/>
  <c r="W12" i="19" s="1"/>
  <c r="AD13" i="10"/>
  <c r="AE12"/>
  <c r="AQ12" i="19" s="1"/>
  <c r="AV12" s="1"/>
  <c r="AX12" s="1"/>
  <c r="AB12"/>
  <c r="AD12" s="1"/>
  <c r="BY12" i="29"/>
  <c r="BZ12" s="1"/>
  <c r="AW12"/>
  <c r="AX12" s="1"/>
  <c r="AB14"/>
  <c r="AC14" s="1"/>
  <c r="H12" i="19"/>
  <c r="J12" s="1"/>
  <c r="BR14" i="29"/>
  <c r="BS14" s="1"/>
  <c r="G15"/>
  <c r="H15" s="1"/>
  <c r="AP13"/>
  <c r="AQ13" s="1"/>
  <c r="BY13"/>
  <c r="BZ13" s="1"/>
  <c r="BK14"/>
  <c r="BL14" s="1"/>
  <c r="U11"/>
  <c r="V11" s="1"/>
  <c r="J42" i="58"/>
  <c r="F44" i="124"/>
  <c r="L44" s="1"/>
  <c r="G45" i="74"/>
  <c r="G45" i="76"/>
  <c r="G45" i="79"/>
  <c r="G45" i="73"/>
  <c r="G45" i="75"/>
  <c r="G45" i="78"/>
  <c r="F44" i="73"/>
  <c r="F44" i="75"/>
  <c r="F44" i="78"/>
  <c r="F44" i="74"/>
  <c r="F44" i="76"/>
  <c r="F44" i="79"/>
  <c r="F43" i="74"/>
  <c r="F43" i="76"/>
  <c r="F43" i="79"/>
  <c r="F43" i="73"/>
  <c r="F43" i="75"/>
  <c r="F43" i="78"/>
  <c r="F9" i="64"/>
  <c r="G9" s="1"/>
  <c r="H9" s="1"/>
  <c r="I9" s="1"/>
  <c r="Q11" i="19" s="1"/>
  <c r="N9" i="64"/>
  <c r="O9" s="1"/>
  <c r="P9" s="1"/>
  <c r="Q9" s="1"/>
  <c r="AK11" i="19" s="1"/>
  <c r="AL11" s="1"/>
  <c r="AN11" s="1"/>
  <c r="AD9" i="64"/>
  <c r="AE9" s="1"/>
  <c r="AF9" s="1"/>
  <c r="AG9" s="1"/>
  <c r="BY11" i="19" s="1"/>
  <c r="BZ11" s="1"/>
  <c r="CB11" s="1"/>
  <c r="C9" i="64"/>
  <c r="D9" s="1"/>
  <c r="E9" s="1"/>
  <c r="G11" i="19" s="1"/>
  <c r="H11" s="1"/>
  <c r="J11" s="1"/>
  <c r="Z9" i="64"/>
  <c r="AA9" s="1"/>
  <c r="AB9" s="1"/>
  <c r="AC9" s="1"/>
  <c r="BO11" i="19" s="1"/>
  <c r="BP11" s="1"/>
  <c r="BR11" s="1"/>
  <c r="AP9" i="64"/>
  <c r="AQ9" s="1"/>
  <c r="AR9" s="1"/>
  <c r="AS9" s="1"/>
  <c r="DC11" i="19" s="1"/>
  <c r="DD11" s="1"/>
  <c r="DF11" s="1"/>
  <c r="B8" i="64"/>
  <c r="J9"/>
  <c r="K9" s="1"/>
  <c r="L9" s="1"/>
  <c r="M9" s="1"/>
  <c r="AA11" i="19" s="1"/>
  <c r="AB11" s="1"/>
  <c r="AD11" s="1"/>
  <c r="R9" i="64"/>
  <c r="S9" s="1"/>
  <c r="T9" s="1"/>
  <c r="U9" s="1"/>
  <c r="AU11" i="19" s="1"/>
  <c r="AV11" s="1"/>
  <c r="AX11" s="1"/>
  <c r="AH9" i="64"/>
  <c r="AI9" s="1"/>
  <c r="AJ9" s="1"/>
  <c r="AK9" s="1"/>
  <c r="CI11" i="19" s="1"/>
  <c r="CJ11" s="1"/>
  <c r="CL11" s="1"/>
  <c r="V9" i="64"/>
  <c r="W9" s="1"/>
  <c r="X9" s="1"/>
  <c r="Y9" s="1"/>
  <c r="BE11" i="19" s="1"/>
  <c r="BF11" s="1"/>
  <c r="BH11" s="1"/>
  <c r="AL9" i="64"/>
  <c r="AM9" s="1"/>
  <c r="AN9" s="1"/>
  <c r="AO9" s="1"/>
  <c r="CS11" i="19" s="1"/>
  <c r="CT11" s="1"/>
  <c r="CV11" s="1"/>
  <c r="AJ16" i="10"/>
  <c r="AK15"/>
  <c r="BA15" i="19" s="1"/>
  <c r="BF15" s="1"/>
  <c r="BH15" s="1"/>
  <c r="BH16" i="10"/>
  <c r="BI15"/>
  <c r="CO15" i="19" s="1"/>
  <c r="CT15" s="1"/>
  <c r="CV15" s="1"/>
  <c r="X16" i="10"/>
  <c r="Y15"/>
  <c r="AG15" i="19" s="1"/>
  <c r="AL15" s="1"/>
  <c r="AN15" s="1"/>
  <c r="E40" i="70"/>
  <c r="G40" s="1"/>
  <c r="F41"/>
  <c r="F42" s="1"/>
  <c r="F43" s="1"/>
  <c r="F44" s="1"/>
  <c r="F47" s="1"/>
  <c r="H40"/>
  <c r="B43" i="6"/>
  <c r="C43" s="1"/>
  <c r="E43" i="58" s="1"/>
  <c r="K39" i="70"/>
  <c r="B29" i="215" s="1"/>
  <c r="I40" i="73"/>
  <c r="H47"/>
  <c r="F42" i="74"/>
  <c r="I40" i="75"/>
  <c r="H47"/>
  <c r="F42" i="76"/>
  <c r="I40" i="78"/>
  <c r="H47"/>
  <c r="I40" i="79"/>
  <c r="H47"/>
  <c r="F42"/>
  <c r="L41" i="73"/>
  <c r="E30" i="215" s="1"/>
  <c r="H44" i="6"/>
  <c r="L41" i="75"/>
  <c r="G30" i="215" s="1"/>
  <c r="L44" i="6"/>
  <c r="L41" i="78"/>
  <c r="J30" i="215" s="1"/>
  <c r="R44" i="6"/>
  <c r="J44"/>
  <c r="L41" i="74"/>
  <c r="F30" i="215" s="1"/>
  <c r="N44" i="6"/>
  <c r="L41" i="76"/>
  <c r="H30" i="215" s="1"/>
  <c r="T44" i="6"/>
  <c r="L41" i="79"/>
  <c r="K30" i="215" s="1"/>
  <c r="F42" i="73"/>
  <c r="I40" i="74"/>
  <c r="H47"/>
  <c r="F42" i="75"/>
  <c r="I40" i="76"/>
  <c r="H47"/>
  <c r="F42" i="78"/>
  <c r="BR12" i="29" l="1"/>
  <c r="BS12" s="1"/>
  <c r="U12"/>
  <c r="V12" s="1"/>
  <c r="F45" i="79"/>
  <c r="G48"/>
  <c r="L28" i="207"/>
  <c r="DF42" i="58"/>
  <c r="B8" i="28"/>
  <c r="E12" i="29" s="1"/>
  <c r="F12" s="1"/>
  <c r="G12" s="1"/>
  <c r="H12" s="1"/>
  <c r="B7" i="26"/>
  <c r="J38" i="225"/>
  <c r="J43"/>
  <c r="D43"/>
  <c r="D38"/>
  <c r="I44"/>
  <c r="I39"/>
  <c r="BS48" i="29"/>
  <c r="BR52"/>
  <c r="E5" i="225"/>
  <c r="E42" s="1"/>
  <c r="E23" i="175"/>
  <c r="AX48" i="29"/>
  <c r="AW52"/>
  <c r="B38" i="225"/>
  <c r="B43"/>
  <c r="Z46" i="58"/>
  <c r="D32" i="216"/>
  <c r="BD46" i="58"/>
  <c r="G32" i="216"/>
  <c r="F14" i="10"/>
  <c r="G13"/>
  <c r="C13" i="19" s="1"/>
  <c r="H13" s="1"/>
  <c r="J13" s="1"/>
  <c r="F45" i="73"/>
  <c r="G48"/>
  <c r="S13" i="10"/>
  <c r="W13" i="19" s="1"/>
  <c r="AB13" s="1"/>
  <c r="AD13" s="1"/>
  <c r="R14" i="10"/>
  <c r="AP13"/>
  <c r="AQ12"/>
  <c r="BK12" i="19" s="1"/>
  <c r="BP12" s="1"/>
  <c r="BR12" s="1"/>
  <c r="B34" i="216"/>
  <c r="H50" i="5"/>
  <c r="F48" i="58"/>
  <c r="J48" i="5"/>
  <c r="AW12" i="10"/>
  <c r="BU12" i="19" s="1"/>
  <c r="BZ12" s="1"/>
  <c r="CB12" s="1"/>
  <c r="AV13" i="10"/>
  <c r="AC48" i="29"/>
  <c r="AB52"/>
  <c r="G5" i="225"/>
  <c r="G23" i="175"/>
  <c r="AQ48" i="29"/>
  <c r="AP52"/>
  <c r="J44" i="225"/>
  <c r="J39"/>
  <c r="H43"/>
  <c r="H38"/>
  <c r="E8" i="28"/>
  <c r="Z12" i="29" s="1"/>
  <c r="AA12" s="1"/>
  <c r="AB12" s="1"/>
  <c r="AC12" s="1"/>
  <c r="E7" i="26"/>
  <c r="P46" i="58"/>
  <c r="C32" i="216"/>
  <c r="AT46" i="58"/>
  <c r="F32" i="216"/>
  <c r="D4" i="26"/>
  <c r="D4" i="28" s="1"/>
  <c r="S8" i="29" s="1"/>
  <c r="T8" s="1"/>
  <c r="U8" s="1"/>
  <c r="V8" s="1"/>
  <c r="D5" i="28"/>
  <c r="S9" i="29" s="1"/>
  <c r="T9" s="1"/>
  <c r="U9" s="1"/>
  <c r="V9" s="1"/>
  <c r="J7" i="26"/>
  <c r="J8" i="28"/>
  <c r="BI12" i="29" s="1"/>
  <c r="BJ12" s="1"/>
  <c r="BK12" s="1"/>
  <c r="BL12" s="1"/>
  <c r="L13" i="10"/>
  <c r="M12"/>
  <c r="M12" i="19" s="1"/>
  <c r="R12" s="1"/>
  <c r="T12" s="1"/>
  <c r="K6" i="26"/>
  <c r="K7" i="28"/>
  <c r="BP11" i="29" s="1"/>
  <c r="BQ11" s="1"/>
  <c r="BR11" s="1"/>
  <c r="BS11" s="1"/>
  <c r="F45" i="75"/>
  <c r="G48"/>
  <c r="F45" i="76"/>
  <c r="G48"/>
  <c r="H4" i="26"/>
  <c r="H4" i="28" s="1"/>
  <c r="AU8" i="29" s="1"/>
  <c r="AV8" s="1"/>
  <c r="AW8" s="1"/>
  <c r="AX8" s="1"/>
  <c r="H5" i="28"/>
  <c r="AU9" i="29" s="1"/>
  <c r="AV9" s="1"/>
  <c r="AW9" s="1"/>
  <c r="AX9" s="1"/>
  <c r="G42" i="77"/>
  <c r="F41"/>
  <c r="H41" s="1"/>
  <c r="I41" s="1"/>
  <c r="D28" i="207"/>
  <c r="AD42" i="58"/>
  <c r="F47" i="71"/>
  <c r="H40"/>
  <c r="G43" i="225"/>
  <c r="G38"/>
  <c r="C43"/>
  <c r="C38"/>
  <c r="F43"/>
  <c r="F38"/>
  <c r="D5"/>
  <c r="D23" i="175"/>
  <c r="L43" i="225"/>
  <c r="L38"/>
  <c r="H5"/>
  <c r="H37" s="1"/>
  <c r="H23" i="175"/>
  <c r="O48" i="29"/>
  <c r="N52"/>
  <c r="J5" i="225"/>
  <c r="J42" s="1"/>
  <c r="J23" i="175"/>
  <c r="D44" i="225"/>
  <c r="D39"/>
  <c r="H44"/>
  <c r="H39"/>
  <c r="AI52" i="29"/>
  <c r="AJ48"/>
  <c r="K43" i="225"/>
  <c r="K38"/>
  <c r="CR46" i="58"/>
  <c r="K32" i="216"/>
  <c r="BX46" i="58"/>
  <c r="I32" i="216"/>
  <c r="G6" i="26"/>
  <c r="G7" i="28"/>
  <c r="AN11" i="29" s="1"/>
  <c r="AO11" s="1"/>
  <c r="AP11" s="1"/>
  <c r="AQ11" s="1"/>
  <c r="AB46"/>
  <c r="AC46" s="1"/>
  <c r="E32" i="225" s="1"/>
  <c r="AI15" i="29"/>
  <c r="AJ15" s="1"/>
  <c r="BK15"/>
  <c r="BL15" s="1"/>
  <c r="AP14"/>
  <c r="AQ14" s="1"/>
  <c r="AB15"/>
  <c r="AC15" s="1"/>
  <c r="G42" i="80"/>
  <c r="F41"/>
  <c r="H41" s="1"/>
  <c r="I41" s="1"/>
  <c r="C7" i="28"/>
  <c r="L11" i="29" s="1"/>
  <c r="M11" s="1"/>
  <c r="N11" s="1"/>
  <c r="O11" s="1"/>
  <c r="C6" i="26"/>
  <c r="I28" i="207"/>
  <c r="CB42" i="58"/>
  <c r="R11" i="19"/>
  <c r="T11" s="1"/>
  <c r="G14" i="29"/>
  <c r="H14" s="1"/>
  <c r="U10"/>
  <c r="V10" s="1"/>
  <c r="AI13"/>
  <c r="AJ13" s="1"/>
  <c r="F45" i="78"/>
  <c r="G48"/>
  <c r="I8" i="28"/>
  <c r="BB12" i="29" s="1"/>
  <c r="BC12" s="1"/>
  <c r="BD12" s="1"/>
  <c r="BE12" s="1"/>
  <c r="I7" i="26"/>
  <c r="BO12" i="10"/>
  <c r="CY12" i="19" s="1"/>
  <c r="DD12" s="1"/>
  <c r="DF12" s="1"/>
  <c r="BN13" i="10"/>
  <c r="H40" i="77"/>
  <c r="F47"/>
  <c r="I5" i="225"/>
  <c r="I37" s="1"/>
  <c r="I23" i="175"/>
  <c r="V48" i="29"/>
  <c r="U52"/>
  <c r="I38" i="225"/>
  <c r="I43"/>
  <c r="J37"/>
  <c r="BE48" i="29"/>
  <c r="BD52"/>
  <c r="G42" i="225"/>
  <c r="G37"/>
  <c r="F39"/>
  <c r="F44"/>
  <c r="D37"/>
  <c r="D42"/>
  <c r="CH46" i="58"/>
  <c r="J32" i="216"/>
  <c r="BB14" i="10"/>
  <c r="BC13"/>
  <c r="CE13" i="19" s="1"/>
  <c r="CJ13" s="1"/>
  <c r="CL13" s="1"/>
  <c r="H40" i="80"/>
  <c r="F47"/>
  <c r="C28" i="207"/>
  <c r="T42" i="58"/>
  <c r="H43"/>
  <c r="C45" i="124"/>
  <c r="I45" s="1"/>
  <c r="F45" i="74"/>
  <c r="G48"/>
  <c r="L6" i="28"/>
  <c r="BW10" i="29" s="1"/>
  <c r="BX10" s="1"/>
  <c r="BY10" s="1"/>
  <c r="BZ10" s="1"/>
  <c r="L5" i="26"/>
  <c r="E43" i="225"/>
  <c r="E38"/>
  <c r="C44"/>
  <c r="C39"/>
  <c r="O52" i="29"/>
  <c r="C5" i="225"/>
  <c r="C37" s="1"/>
  <c r="C23" i="175"/>
  <c r="K5" i="225"/>
  <c r="K23" i="175"/>
  <c r="K44" i="225"/>
  <c r="K39"/>
  <c r="BL48" i="29"/>
  <c r="BK52"/>
  <c r="G42" i="72"/>
  <c r="F41"/>
  <c r="H41" s="1"/>
  <c r="I41" s="1"/>
  <c r="AE13" i="10"/>
  <c r="AQ13" i="19" s="1"/>
  <c r="AV13" s="1"/>
  <c r="AX13" s="1"/>
  <c r="AD14" i="10"/>
  <c r="G42" i="71"/>
  <c r="F41"/>
  <c r="H41" s="1"/>
  <c r="I41" s="1"/>
  <c r="F5" i="225"/>
  <c r="F37" s="1"/>
  <c r="F23" i="175"/>
  <c r="C42" i="225"/>
  <c r="G39"/>
  <c r="G44"/>
  <c r="K42"/>
  <c r="K37"/>
  <c r="L5"/>
  <c r="L37" s="1"/>
  <c r="L23" i="175"/>
  <c r="L44" i="225"/>
  <c r="L39"/>
  <c r="B5"/>
  <c r="B42" s="1"/>
  <c r="B23" i="175"/>
  <c r="B24" i="170"/>
  <c r="B44" i="225"/>
  <c r="B39"/>
  <c r="BY52" i="29"/>
  <c r="BZ48"/>
  <c r="H48"/>
  <c r="G52"/>
  <c r="B37" i="225"/>
  <c r="AJ46" i="58"/>
  <c r="E32" i="216"/>
  <c r="BN46" i="58"/>
  <c r="H32" i="216"/>
  <c r="DB46" i="58"/>
  <c r="L32" i="216"/>
  <c r="F8" i="28"/>
  <c r="AG12" i="29" s="1"/>
  <c r="AH12" s="1"/>
  <c r="AI12" s="1"/>
  <c r="AJ12" s="1"/>
  <c r="F7" i="26"/>
  <c r="F47" i="72"/>
  <c r="H40"/>
  <c r="BR13" i="29"/>
  <c r="BS13" s="1"/>
  <c r="N13"/>
  <c r="O13" s="1"/>
  <c r="N12"/>
  <c r="O12" s="1"/>
  <c r="E44" i="70"/>
  <c r="H44"/>
  <c r="E43"/>
  <c r="J43" i="58"/>
  <c r="E42" i="70"/>
  <c r="G42" s="1"/>
  <c r="H42"/>
  <c r="H44" i="79"/>
  <c r="H44" i="76"/>
  <c r="H44" i="74"/>
  <c r="H44" i="78"/>
  <c r="H44" i="75"/>
  <c r="H44" i="73"/>
  <c r="H43" i="79"/>
  <c r="H43" i="76"/>
  <c r="H43" i="74"/>
  <c r="H43" i="78"/>
  <c r="H43" i="75"/>
  <c r="H43" i="73"/>
  <c r="C8" i="64"/>
  <c r="D8" s="1"/>
  <c r="E8" s="1"/>
  <c r="G10" i="19" s="1"/>
  <c r="H10" s="1"/>
  <c r="J10" s="1"/>
  <c r="F8" i="64"/>
  <c r="G8" s="1"/>
  <c r="H8" s="1"/>
  <c r="I8" s="1"/>
  <c r="Q10" i="19" s="1"/>
  <c r="R10" s="1"/>
  <c r="T10" s="1"/>
  <c r="N8" i="64"/>
  <c r="O8" s="1"/>
  <c r="P8" s="1"/>
  <c r="Q8" s="1"/>
  <c r="AK10" i="19" s="1"/>
  <c r="AL10" s="1"/>
  <c r="AN10" s="1"/>
  <c r="V8" i="64"/>
  <c r="W8" s="1"/>
  <c r="X8" s="1"/>
  <c r="Y8" s="1"/>
  <c r="BE10" i="19" s="1"/>
  <c r="BF10" s="1"/>
  <c r="BH10" s="1"/>
  <c r="AD8" i="64"/>
  <c r="AE8" s="1"/>
  <c r="AF8" s="1"/>
  <c r="AG8" s="1"/>
  <c r="BY10" i="19" s="1"/>
  <c r="BZ10" s="1"/>
  <c r="CB10" s="1"/>
  <c r="AL8" i="64"/>
  <c r="AM8" s="1"/>
  <c r="AN8" s="1"/>
  <c r="AO8" s="1"/>
  <c r="CS10" i="19" s="1"/>
  <c r="CT10" s="1"/>
  <c r="CV10" s="1"/>
  <c r="B7" i="64"/>
  <c r="J8"/>
  <c r="K8" s="1"/>
  <c r="L8" s="1"/>
  <c r="M8" s="1"/>
  <c r="AA10" i="19" s="1"/>
  <c r="AB10" s="1"/>
  <c r="AD10" s="1"/>
  <c r="R8" i="64"/>
  <c r="S8" s="1"/>
  <c r="T8" s="1"/>
  <c r="U8" s="1"/>
  <c r="AU10" i="19" s="1"/>
  <c r="AV10" s="1"/>
  <c r="AX10" s="1"/>
  <c r="Z8" i="64"/>
  <c r="AA8" s="1"/>
  <c r="AB8" s="1"/>
  <c r="AC8" s="1"/>
  <c r="BO10" i="19" s="1"/>
  <c r="BP10" s="1"/>
  <c r="BR10" s="1"/>
  <c r="AH8" i="64"/>
  <c r="AI8" s="1"/>
  <c r="AJ8" s="1"/>
  <c r="AK8" s="1"/>
  <c r="CI10" i="19" s="1"/>
  <c r="CJ10" s="1"/>
  <c r="CL10" s="1"/>
  <c r="AP8" i="64"/>
  <c r="AQ8" s="1"/>
  <c r="AR8" s="1"/>
  <c r="AS8" s="1"/>
  <c r="DC10" i="19" s="1"/>
  <c r="DD10" s="1"/>
  <c r="DF10" s="1"/>
  <c r="X17" i="10"/>
  <c r="Y16"/>
  <c r="AG16" i="19" s="1"/>
  <c r="AL16" s="1"/>
  <c r="AN16" s="1"/>
  <c r="BH17" i="10"/>
  <c r="BI16"/>
  <c r="CO16" i="19" s="1"/>
  <c r="CT16" s="1"/>
  <c r="CV16" s="1"/>
  <c r="AJ17" i="10"/>
  <c r="AK16"/>
  <c r="BA16" i="19" s="1"/>
  <c r="BF16" s="1"/>
  <c r="BH16" s="1"/>
  <c r="K40" i="70"/>
  <c r="B30" i="215" s="1"/>
  <c r="B44" i="6"/>
  <c r="E41" i="70"/>
  <c r="H41"/>
  <c r="H42" i="78"/>
  <c r="N43" i="6"/>
  <c r="O43" s="1"/>
  <c r="BM43" i="58" s="1"/>
  <c r="BP43" s="1"/>
  <c r="H29" i="207" s="1"/>
  <c r="L40" i="76"/>
  <c r="I47"/>
  <c r="H42" i="75"/>
  <c r="J43" i="6"/>
  <c r="K43" s="1"/>
  <c r="AS43" i="58" s="1"/>
  <c r="AV43" s="1"/>
  <c r="F29" i="207" s="1"/>
  <c r="L40" i="74"/>
  <c r="I47"/>
  <c r="H42" i="73"/>
  <c r="U44" i="6"/>
  <c r="O44"/>
  <c r="K44"/>
  <c r="T43"/>
  <c r="U43" s="1"/>
  <c r="CQ43" i="58" s="1"/>
  <c r="CT43" s="1"/>
  <c r="K29" i="207" s="1"/>
  <c r="L40" i="79"/>
  <c r="I47"/>
  <c r="R43" i="6"/>
  <c r="S43" s="1"/>
  <c r="CG43" i="58" s="1"/>
  <c r="CJ43" s="1"/>
  <c r="J29" i="207" s="1"/>
  <c r="L40" i="78"/>
  <c r="I47"/>
  <c r="H42" i="76"/>
  <c r="I47" i="75"/>
  <c r="L43" i="6"/>
  <c r="M43" s="1"/>
  <c r="BC43" i="58" s="1"/>
  <c r="BF43" s="1"/>
  <c r="G29" i="207" s="1"/>
  <c r="L40" i="75"/>
  <c r="H42" i="74"/>
  <c r="H43" i="6"/>
  <c r="I43" s="1"/>
  <c r="AI43" i="58" s="1"/>
  <c r="AL43" s="1"/>
  <c r="E29" i="207" s="1"/>
  <c r="L40" i="73"/>
  <c r="I47"/>
  <c r="S44" i="6"/>
  <c r="M44"/>
  <c r="I44"/>
  <c r="H42" i="79"/>
  <c r="L42" i="225" l="1"/>
  <c r="F6" i="26"/>
  <c r="F7" i="28"/>
  <c r="AG11" i="29" s="1"/>
  <c r="AH11" s="1"/>
  <c r="AI11" s="1"/>
  <c r="AJ11" s="1"/>
  <c r="H44" i="216"/>
  <c r="H39"/>
  <c r="L34" i="225"/>
  <c r="L24" i="175"/>
  <c r="BZ52" i="29"/>
  <c r="G43" i="71"/>
  <c r="F42"/>
  <c r="H42" s="1"/>
  <c r="I42" s="1"/>
  <c r="BN14" i="10"/>
  <c r="BO13"/>
  <c r="CY13" i="19" s="1"/>
  <c r="DD13" s="1"/>
  <c r="DF13" s="1"/>
  <c r="E44" i="225"/>
  <c r="E39"/>
  <c r="E34"/>
  <c r="E24" i="175"/>
  <c r="AC52" i="29"/>
  <c r="H45" i="73"/>
  <c r="F48"/>
  <c r="L41" i="71"/>
  <c r="C30" i="215" s="1"/>
  <c r="D44" i="6"/>
  <c r="E44" s="1"/>
  <c r="F45" i="124"/>
  <c r="L45" s="1"/>
  <c r="B29" i="207"/>
  <c r="I44" i="216"/>
  <c r="I39"/>
  <c r="L47" i="73"/>
  <c r="E29" i="215"/>
  <c r="L47" i="78"/>
  <c r="J29" i="215"/>
  <c r="G44" i="70"/>
  <c r="G47" s="1"/>
  <c r="E47"/>
  <c r="H47" i="72"/>
  <c r="I40"/>
  <c r="L44" i="216"/>
  <c r="L39"/>
  <c r="E44"/>
  <c r="E39"/>
  <c r="J34" i="225"/>
  <c r="J24" i="175"/>
  <c r="BL52" i="29"/>
  <c r="L4" i="26"/>
  <c r="L4" i="28" s="1"/>
  <c r="BW8" i="29" s="1"/>
  <c r="BX8" s="1"/>
  <c r="BY8" s="1"/>
  <c r="BZ8" s="1"/>
  <c r="L5" i="28"/>
  <c r="BW9" i="29" s="1"/>
  <c r="BX9" s="1"/>
  <c r="BY9" s="1"/>
  <c r="BZ9" s="1"/>
  <c r="J44" i="216"/>
  <c r="J39"/>
  <c r="I6" i="26"/>
  <c r="I7" i="28"/>
  <c r="BB11" i="29" s="1"/>
  <c r="BC11" s="1"/>
  <c r="BD11" s="1"/>
  <c r="BE11" s="1"/>
  <c r="V44" i="6"/>
  <c r="W44" s="1"/>
  <c r="L41" i="80"/>
  <c r="L30" i="215" s="1"/>
  <c r="G6" i="28"/>
  <c r="AN10" i="29" s="1"/>
  <c r="AO10" s="1"/>
  <c r="AP10" s="1"/>
  <c r="AQ10" s="1"/>
  <c r="G5" i="26"/>
  <c r="C34" i="225"/>
  <c r="C24" i="175"/>
  <c r="G43" i="77"/>
  <c r="F42"/>
  <c r="H42" s="1"/>
  <c r="I42" s="1"/>
  <c r="H45" i="76"/>
  <c r="F48"/>
  <c r="K5" i="26"/>
  <c r="K6" i="28"/>
  <c r="BP10" i="29" s="1"/>
  <c r="BQ10" s="1"/>
  <c r="BR10" s="1"/>
  <c r="BS10" s="1"/>
  <c r="J6" i="26"/>
  <c r="J7" i="28"/>
  <c r="BI11" i="29" s="1"/>
  <c r="BJ11" s="1"/>
  <c r="BK11" s="1"/>
  <c r="BL11" s="1"/>
  <c r="B41" i="216"/>
  <c r="B36"/>
  <c r="F15" i="10"/>
  <c r="G14"/>
  <c r="C14" i="19" s="1"/>
  <c r="H14" s="1"/>
  <c r="J14" s="1"/>
  <c r="H34" i="225"/>
  <c r="AX56" i="29"/>
  <c r="H24" i="175"/>
  <c r="AX52" i="29"/>
  <c r="K34" i="225"/>
  <c r="BS56" i="29"/>
  <c r="K24" i="175"/>
  <c r="BS52" i="29"/>
  <c r="E37" i="225"/>
  <c r="I42"/>
  <c r="F42"/>
  <c r="L47" i="74"/>
  <c r="F29" i="215"/>
  <c r="L47" i="76"/>
  <c r="H29" i="215"/>
  <c r="G43" i="72"/>
  <c r="F42"/>
  <c r="H42" s="1"/>
  <c r="C5" i="26"/>
  <c r="C6" i="28"/>
  <c r="L10" i="29" s="1"/>
  <c r="M10" s="1"/>
  <c r="N10" s="1"/>
  <c r="O10" s="1"/>
  <c r="H45" i="75"/>
  <c r="F48"/>
  <c r="M13" i="10"/>
  <c r="M13" i="19" s="1"/>
  <c r="R13" s="1"/>
  <c r="T13" s="1"/>
  <c r="L14" i="10"/>
  <c r="G34" i="225"/>
  <c r="AQ56" i="29"/>
  <c r="G24" i="175"/>
  <c r="AQ52" i="29"/>
  <c r="C25" i="122"/>
  <c r="E50" i="124"/>
  <c r="K50" s="1"/>
  <c r="F50" i="58"/>
  <c r="AP14" i="10"/>
  <c r="AQ13"/>
  <c r="BK13" i="19" s="1"/>
  <c r="BP13" s="1"/>
  <c r="BR13" s="1"/>
  <c r="H45" i="79"/>
  <c r="F48"/>
  <c r="B34" i="225"/>
  <c r="H56" i="29"/>
  <c r="C24" i="170"/>
  <c r="B24" i="175"/>
  <c r="H52" i="29"/>
  <c r="L41" i="72"/>
  <c r="D30" i="215" s="1"/>
  <c r="F44" i="6"/>
  <c r="G44" s="1"/>
  <c r="H47" i="80"/>
  <c r="I40"/>
  <c r="I34" i="225"/>
  <c r="I24" i="175"/>
  <c r="BE52" i="29"/>
  <c r="D34" i="225"/>
  <c r="D24" i="175"/>
  <c r="V52" i="29"/>
  <c r="I40" i="77"/>
  <c r="H47"/>
  <c r="G43" i="80"/>
  <c r="F42"/>
  <c r="H42" s="1"/>
  <c r="I42" s="1"/>
  <c r="C44" i="216"/>
  <c r="C39"/>
  <c r="Z48" i="5"/>
  <c r="R48"/>
  <c r="AD48"/>
  <c r="V48"/>
  <c r="J50"/>
  <c r="X48"/>
  <c r="AB48"/>
  <c r="T48"/>
  <c r="L48"/>
  <c r="N48"/>
  <c r="P48"/>
  <c r="G39" i="216"/>
  <c r="G44"/>
  <c r="B7" i="28"/>
  <c r="E11" i="29" s="1"/>
  <c r="F11" s="1"/>
  <c r="G11" s="1"/>
  <c r="H11" s="1"/>
  <c r="B6" i="26"/>
  <c r="L47" i="75"/>
  <c r="G29" i="215"/>
  <c r="L47" i="79"/>
  <c r="K29" i="215"/>
  <c r="B48" i="6"/>
  <c r="H47" i="70"/>
  <c r="K44"/>
  <c r="AD15" i="10"/>
  <c r="AE14"/>
  <c r="AQ14" i="19" s="1"/>
  <c r="AV14" s="1"/>
  <c r="AX14" s="1"/>
  <c r="H45" i="74"/>
  <c r="F48"/>
  <c r="BB15" i="10"/>
  <c r="BC14"/>
  <c r="CE14" i="19" s="1"/>
  <c r="CJ14" s="1"/>
  <c r="CL14" s="1"/>
  <c r="H45" i="78"/>
  <c r="F48"/>
  <c r="K44" i="216"/>
  <c r="K39"/>
  <c r="F34" i="225"/>
  <c r="F24" i="175"/>
  <c r="AJ52" i="29"/>
  <c r="H47" i="71"/>
  <c r="I40"/>
  <c r="P44" i="6"/>
  <c r="Q44" s="1"/>
  <c r="BW44" i="58" s="1"/>
  <c r="BZ44" s="1"/>
  <c r="I30" i="207" s="1"/>
  <c r="L41" i="77"/>
  <c r="I30" i="215" s="1"/>
  <c r="F39" i="216"/>
  <c r="F44"/>
  <c r="E7" i="28"/>
  <c r="Z11" i="29" s="1"/>
  <c r="AA11" s="1"/>
  <c r="AB11" s="1"/>
  <c r="AC11" s="1"/>
  <c r="E6" i="26"/>
  <c r="AW13" i="10"/>
  <c r="BU13" i="19" s="1"/>
  <c r="BZ13" s="1"/>
  <c r="CB13" s="1"/>
  <c r="AV14" i="10"/>
  <c r="R15"/>
  <c r="S14"/>
  <c r="W14" i="19" s="1"/>
  <c r="AB14" s="1"/>
  <c r="AD14" s="1"/>
  <c r="D44" i="216"/>
  <c r="D39"/>
  <c r="H42" i="225"/>
  <c r="C48" i="6"/>
  <c r="B50"/>
  <c r="B46"/>
  <c r="C46" s="1"/>
  <c r="E46" i="58" s="1"/>
  <c r="K42" i="70"/>
  <c r="B32" i="215" s="1"/>
  <c r="H43" i="70"/>
  <c r="I44" i="73"/>
  <c r="I44" i="75"/>
  <c r="I44" i="78"/>
  <c r="I44" i="74"/>
  <c r="I44" i="76"/>
  <c r="I44" i="79"/>
  <c r="I43" i="73"/>
  <c r="I43" i="75"/>
  <c r="I43" i="78"/>
  <c r="I43" i="74"/>
  <c r="I43" i="76"/>
  <c r="I43" i="79"/>
  <c r="B6" i="64"/>
  <c r="R7"/>
  <c r="S7" s="1"/>
  <c r="T7" s="1"/>
  <c r="U7" s="1"/>
  <c r="AU9" i="19" s="1"/>
  <c r="AV9" s="1"/>
  <c r="AX9" s="1"/>
  <c r="AH7" i="64"/>
  <c r="AI7" s="1"/>
  <c r="AJ7" s="1"/>
  <c r="AK7" s="1"/>
  <c r="CI9" i="19" s="1"/>
  <c r="CJ9" s="1"/>
  <c r="CL9" s="1"/>
  <c r="C7" i="64"/>
  <c r="D7" s="1"/>
  <c r="E7" s="1"/>
  <c r="G9" i="19" s="1"/>
  <c r="H9" s="1"/>
  <c r="J9" s="1"/>
  <c r="N7" i="64"/>
  <c r="O7" s="1"/>
  <c r="P7" s="1"/>
  <c r="Q7" s="1"/>
  <c r="AK9" i="19" s="1"/>
  <c r="AL9" s="1"/>
  <c r="AN9" s="1"/>
  <c r="AD7" i="64"/>
  <c r="AE7" s="1"/>
  <c r="AF7" s="1"/>
  <c r="AG7" s="1"/>
  <c r="BY9" i="19" s="1"/>
  <c r="BZ9" s="1"/>
  <c r="CB9" s="1"/>
  <c r="J7" i="64"/>
  <c r="K7" s="1"/>
  <c r="L7" s="1"/>
  <c r="M7" s="1"/>
  <c r="AA9" i="19" s="1"/>
  <c r="AB9" s="1"/>
  <c r="AD9" s="1"/>
  <c r="Z7" i="64"/>
  <c r="AA7" s="1"/>
  <c r="AB7" s="1"/>
  <c r="AC7" s="1"/>
  <c r="BO9" i="19" s="1"/>
  <c r="BP9" s="1"/>
  <c r="BR9" s="1"/>
  <c r="AP7" i="64"/>
  <c r="AQ7" s="1"/>
  <c r="AR7" s="1"/>
  <c r="AS7" s="1"/>
  <c r="DC9" i="19" s="1"/>
  <c r="DD9" s="1"/>
  <c r="DF9" s="1"/>
  <c r="F7" i="64"/>
  <c r="G7" s="1"/>
  <c r="H7" s="1"/>
  <c r="I7" s="1"/>
  <c r="Q9" i="19" s="1"/>
  <c r="R9" s="1"/>
  <c r="T9" s="1"/>
  <c r="V7" i="64"/>
  <c r="W7" s="1"/>
  <c r="X7" s="1"/>
  <c r="Y7" s="1"/>
  <c r="BE9" i="19" s="1"/>
  <c r="BF9" s="1"/>
  <c r="BH9" s="1"/>
  <c r="AL7" i="64"/>
  <c r="AM7" s="1"/>
  <c r="AN7" s="1"/>
  <c r="AO7" s="1"/>
  <c r="CS9" i="19" s="1"/>
  <c r="CT9" s="1"/>
  <c r="CV9" s="1"/>
  <c r="AK17" i="10"/>
  <c r="BA17" i="19" s="1"/>
  <c r="BF17" s="1"/>
  <c r="BH17" s="1"/>
  <c r="AJ19" i="10"/>
  <c r="BH19"/>
  <c r="BI17"/>
  <c r="CO17" i="19" s="1"/>
  <c r="CT17" s="1"/>
  <c r="CV17" s="1"/>
  <c r="Y17" i="10"/>
  <c r="AG17" i="19" s="1"/>
  <c r="AL17" s="1"/>
  <c r="AN17" s="1"/>
  <c r="X19" i="10"/>
  <c r="B45" i="6"/>
  <c r="C45" s="1"/>
  <c r="E45" i="58" s="1"/>
  <c r="C47" i="124" s="1"/>
  <c r="I47" s="1"/>
  <c r="K41" i="70"/>
  <c r="B31" i="215" s="1"/>
  <c r="G41" i="70"/>
  <c r="C44" i="6"/>
  <c r="CG44" i="58"/>
  <c r="CJ44" s="1"/>
  <c r="J30" i="207" s="1"/>
  <c r="AN43" i="58"/>
  <c r="BH43"/>
  <c r="I42" i="76"/>
  <c r="CV43" i="58"/>
  <c r="O44"/>
  <c r="R44" s="1"/>
  <c r="C30" i="207" s="1"/>
  <c r="I42" i="73"/>
  <c r="AX43" i="58"/>
  <c r="I42" i="72"/>
  <c r="I42" i="79"/>
  <c r="AI44" i="58"/>
  <c r="AL44" s="1"/>
  <c r="E30" i="207" s="1"/>
  <c r="BC44" i="58"/>
  <c r="BF44" s="1"/>
  <c r="G30" i="207" s="1"/>
  <c r="DA44" i="58"/>
  <c r="DD44" s="1"/>
  <c r="L30" i="207" s="1"/>
  <c r="I42" i="74"/>
  <c r="CL43" i="58"/>
  <c r="AS44"/>
  <c r="AV44" s="1"/>
  <c r="F30" i="207" s="1"/>
  <c r="BM44" i="58"/>
  <c r="BP44" s="1"/>
  <c r="H30" i="207" s="1"/>
  <c r="CQ44" i="58"/>
  <c r="CT44" s="1"/>
  <c r="K30" i="207" s="1"/>
  <c r="I42" i="75"/>
  <c r="BR43" i="58"/>
  <c r="I42" i="78"/>
  <c r="Y44" i="58"/>
  <c r="AB44" s="1"/>
  <c r="D30" i="207" s="1"/>
  <c r="S15" i="10" l="1"/>
  <c r="W15" i="19" s="1"/>
  <c r="AB15" s="1"/>
  <c r="AD15" s="1"/>
  <c r="R16" i="10"/>
  <c r="B34" i="215"/>
  <c r="K47" i="70"/>
  <c r="C5" i="28"/>
  <c r="L9" i="29" s="1"/>
  <c r="M9" s="1"/>
  <c r="N9" s="1"/>
  <c r="O9" s="1"/>
  <c r="C4" i="26"/>
  <c r="C4" i="28" s="1"/>
  <c r="L8" i="29" s="1"/>
  <c r="M8" s="1"/>
  <c r="N8" s="1"/>
  <c r="O8" s="1"/>
  <c r="G5" i="28"/>
  <c r="AN9" i="29" s="1"/>
  <c r="AO9" s="1"/>
  <c r="AP9" s="1"/>
  <c r="AQ9" s="1"/>
  <c r="G4" i="26"/>
  <c r="G4" i="28" s="1"/>
  <c r="AN8" i="29" s="1"/>
  <c r="AO8" s="1"/>
  <c r="AP8" s="1"/>
  <c r="AQ8" s="1"/>
  <c r="J41" i="225"/>
  <c r="J36"/>
  <c r="L41"/>
  <c r="L36"/>
  <c r="E5" i="26"/>
  <c r="E6" i="28"/>
  <c r="Z10" i="29" s="1"/>
  <c r="AA10" s="1"/>
  <c r="AB10" s="1"/>
  <c r="AC10" s="1"/>
  <c r="AE15" i="10"/>
  <c r="AQ15" i="19" s="1"/>
  <c r="AV15" s="1"/>
  <c r="AX15" s="1"/>
  <c r="AD16" i="10"/>
  <c r="E34" i="216"/>
  <c r="P50" i="5"/>
  <c r="AJ48" i="58"/>
  <c r="AJ50" s="1"/>
  <c r="L34" i="216"/>
  <c r="DB48" i="58"/>
  <c r="DB50" s="1"/>
  <c r="AD50" i="5"/>
  <c r="I47" i="77"/>
  <c r="L40"/>
  <c r="P43" i="6"/>
  <c r="Q43" s="1"/>
  <c r="BW43" i="58" s="1"/>
  <c r="BZ43" s="1"/>
  <c r="B41" i="225"/>
  <c r="B36"/>
  <c r="AP15" i="10"/>
  <c r="AQ14"/>
  <c r="BK14" i="19" s="1"/>
  <c r="BP14" s="1"/>
  <c r="BR14" s="1"/>
  <c r="M14" i="10"/>
  <c r="M14" i="19" s="1"/>
  <c r="R14" s="1"/>
  <c r="T14" s="1"/>
  <c r="L15" i="10"/>
  <c r="G15"/>
  <c r="C15" i="19" s="1"/>
  <c r="H15" s="1"/>
  <c r="J15" s="1"/>
  <c r="F16" i="10"/>
  <c r="I45" i="76"/>
  <c r="H48"/>
  <c r="E41" i="225"/>
  <c r="E36"/>
  <c r="BO14" i="10"/>
  <c r="CY14" i="19" s="1"/>
  <c r="DD14" s="1"/>
  <c r="DF14" s="1"/>
  <c r="BN15" i="10"/>
  <c r="G34" i="216"/>
  <c r="BD48" i="58"/>
  <c r="BD50" s="1"/>
  <c r="T50" i="5"/>
  <c r="H34" i="216"/>
  <c r="BN48" i="58"/>
  <c r="BN50" s="1"/>
  <c r="V50" i="5"/>
  <c r="D41" i="225"/>
  <c r="D36"/>
  <c r="V43" i="6"/>
  <c r="W43" s="1"/>
  <c r="DA43" i="58" s="1"/>
  <c r="DD43" s="1"/>
  <c r="L40" i="80"/>
  <c r="I47"/>
  <c r="G36" i="225"/>
  <c r="G41"/>
  <c r="I45" i="75"/>
  <c r="H48"/>
  <c r="G44" i="72"/>
  <c r="F43"/>
  <c r="H43" s="1"/>
  <c r="I43" s="1"/>
  <c r="B44" i="215"/>
  <c r="B39"/>
  <c r="D34" i="216"/>
  <c r="Z48" i="58"/>
  <c r="Z50" s="1"/>
  <c r="N50" i="5"/>
  <c r="I34" i="216"/>
  <c r="X50" i="5"/>
  <c r="BX48" i="58"/>
  <c r="BX50" s="1"/>
  <c r="F34" i="216"/>
  <c r="AT48" i="58"/>
  <c r="AT50" s="1"/>
  <c r="R50" i="5"/>
  <c r="I45" i="73"/>
  <c r="H48"/>
  <c r="F5" i="26"/>
  <c r="F6" i="28"/>
  <c r="AG10" i="29" s="1"/>
  <c r="AH10" s="1"/>
  <c r="AI10" s="1"/>
  <c r="AJ10" s="1"/>
  <c r="BC15" i="10"/>
  <c r="CE15" i="19" s="1"/>
  <c r="CJ15" s="1"/>
  <c r="CL15" s="1"/>
  <c r="BB16" i="10"/>
  <c r="B5" i="26"/>
  <c r="B6" i="28"/>
  <c r="E10" i="29" s="1"/>
  <c r="F10" s="1"/>
  <c r="G10" s="1"/>
  <c r="H10" s="1"/>
  <c r="K34" i="216"/>
  <c r="CR48" i="58"/>
  <c r="CR50" s="1"/>
  <c r="AB50" i="5"/>
  <c r="J5" i="26"/>
  <c r="J6" i="28"/>
  <c r="BI10" i="29" s="1"/>
  <c r="BJ10" s="1"/>
  <c r="BK10" s="1"/>
  <c r="BL10" s="1"/>
  <c r="C41" i="225"/>
  <c r="C36"/>
  <c r="H46" i="58"/>
  <c r="C48" i="124"/>
  <c r="I48" s="1"/>
  <c r="AW14" i="10"/>
  <c r="BU14" i="19" s="1"/>
  <c r="BZ14" s="1"/>
  <c r="CB14" s="1"/>
  <c r="AV15" i="10"/>
  <c r="D43" i="6"/>
  <c r="E43" s="1"/>
  <c r="O43" i="58" s="1"/>
  <c r="R43" s="1"/>
  <c r="I47" i="71"/>
  <c r="L40"/>
  <c r="F41" i="225"/>
  <c r="F36"/>
  <c r="I45" i="78"/>
  <c r="H48"/>
  <c r="I45" i="74"/>
  <c r="H48"/>
  <c r="C34" i="216"/>
  <c r="P48" i="58"/>
  <c r="P50" s="1"/>
  <c r="L50" i="5"/>
  <c r="J34" i="216"/>
  <c r="CH48" i="58"/>
  <c r="CH50" s="1"/>
  <c r="Z50" i="5"/>
  <c r="G44" i="80"/>
  <c r="F43"/>
  <c r="H43" s="1"/>
  <c r="I43" s="1"/>
  <c r="I41" i="225"/>
  <c r="I36"/>
  <c r="I45" i="79"/>
  <c r="H48"/>
  <c r="K41" i="225"/>
  <c r="K36"/>
  <c r="H36"/>
  <c r="H41"/>
  <c r="K5" i="28"/>
  <c r="BP9" i="29" s="1"/>
  <c r="BQ9" s="1"/>
  <c r="BR9" s="1"/>
  <c r="BS9" s="1"/>
  <c r="K4" i="26"/>
  <c r="K4" i="28" s="1"/>
  <c r="BP8" i="29" s="1"/>
  <c r="BQ8" s="1"/>
  <c r="BR8" s="1"/>
  <c r="BS8" s="1"/>
  <c r="G44" i="77"/>
  <c r="F43"/>
  <c r="H43" s="1"/>
  <c r="I43" s="1"/>
  <c r="I6" i="28"/>
  <c r="BB10" i="29" s="1"/>
  <c r="BC10" s="1"/>
  <c r="BD10" s="1"/>
  <c r="BE10" s="1"/>
  <c r="I5" i="26"/>
  <c r="L40" i="72"/>
  <c r="I47"/>
  <c r="F43" i="6"/>
  <c r="G43" s="1"/>
  <c r="Y43" i="58" s="1"/>
  <c r="AB43" s="1"/>
  <c r="G44" i="71"/>
  <c r="F43"/>
  <c r="H43" s="1"/>
  <c r="I43" s="1"/>
  <c r="D46" i="6" s="1"/>
  <c r="E46" s="1"/>
  <c r="O46" i="58" s="1"/>
  <c r="R46" s="1"/>
  <c r="J46"/>
  <c r="F48" i="124"/>
  <c r="L48" s="1"/>
  <c r="E48" i="58"/>
  <c r="C50" i="6"/>
  <c r="B47"/>
  <c r="T47"/>
  <c r="N47"/>
  <c r="R47"/>
  <c r="L47"/>
  <c r="J47"/>
  <c r="H47"/>
  <c r="K43" i="70"/>
  <c r="B33" i="215" s="1"/>
  <c r="G43" i="70"/>
  <c r="L44" i="79"/>
  <c r="K33" i="215" s="1"/>
  <c r="L44" i="76"/>
  <c r="H33" i="215" s="1"/>
  <c r="L44" i="74"/>
  <c r="F33" i="215" s="1"/>
  <c r="L44" i="78"/>
  <c r="J33" i="215" s="1"/>
  <c r="L44" i="75"/>
  <c r="G33" i="215" s="1"/>
  <c r="L44" i="73"/>
  <c r="E33" i="215" s="1"/>
  <c r="L43" i="79"/>
  <c r="K32" i="215" s="1"/>
  <c r="T46" i="6"/>
  <c r="U46" s="1"/>
  <c r="CQ46" i="58" s="1"/>
  <c r="CT46" s="1"/>
  <c r="L43" i="76"/>
  <c r="H32" i="215" s="1"/>
  <c r="N46" i="6"/>
  <c r="O46" s="1"/>
  <c r="BM46" i="58" s="1"/>
  <c r="L43" i="74"/>
  <c r="F32" i="215" s="1"/>
  <c r="J46" i="6"/>
  <c r="K46" s="1"/>
  <c r="AS46" i="58" s="1"/>
  <c r="AV46" s="1"/>
  <c r="L43" i="78"/>
  <c r="J32" i="215" s="1"/>
  <c r="R46" i="6"/>
  <c r="S46" s="1"/>
  <c r="CG46" i="58" s="1"/>
  <c r="L43" i="77"/>
  <c r="I32" i="215" s="1"/>
  <c r="P46" i="6"/>
  <c r="Q46" s="1"/>
  <c r="BW46" i="58" s="1"/>
  <c r="BZ46" s="1"/>
  <c r="L43" i="75"/>
  <c r="G32" i="215" s="1"/>
  <c r="L46" i="6"/>
  <c r="M46" s="1"/>
  <c r="BC46" i="58" s="1"/>
  <c r="L43" i="73"/>
  <c r="E32" i="215" s="1"/>
  <c r="H46" i="6"/>
  <c r="I46" s="1"/>
  <c r="AI46" i="58" s="1"/>
  <c r="AL46" s="1"/>
  <c r="F46" i="6"/>
  <c r="G46" s="1"/>
  <c r="Y46" i="58" s="1"/>
  <c r="AB46" s="1"/>
  <c r="L43" i="72"/>
  <c r="D32" i="215" s="1"/>
  <c r="L43" i="80"/>
  <c r="L32" i="215" s="1"/>
  <c r="V46" i="6"/>
  <c r="W46" s="1"/>
  <c r="DA46" i="58" s="1"/>
  <c r="DD46" s="1"/>
  <c r="R6" i="64"/>
  <c r="S6" s="1"/>
  <c r="T6" s="1"/>
  <c r="U6" s="1"/>
  <c r="AU8" i="19" s="1"/>
  <c r="AV8" s="1"/>
  <c r="AX8" s="1"/>
  <c r="AD6" i="64"/>
  <c r="AE6" s="1"/>
  <c r="AF6" s="1"/>
  <c r="AG6" s="1"/>
  <c r="BY8" i="19" s="1"/>
  <c r="BZ8" s="1"/>
  <c r="CB8" s="1"/>
  <c r="AL6" i="64"/>
  <c r="AM6" s="1"/>
  <c r="AN6" s="1"/>
  <c r="AO6" s="1"/>
  <c r="CS8" i="19" s="1"/>
  <c r="CT8" s="1"/>
  <c r="CV8" s="1"/>
  <c r="C6" i="64"/>
  <c r="D6" s="1"/>
  <c r="E6" s="1"/>
  <c r="G8" i="19" s="1"/>
  <c r="H8" s="1"/>
  <c r="J8" s="1"/>
  <c r="N6" i="64"/>
  <c r="O6" s="1"/>
  <c r="P6" s="1"/>
  <c r="Q6" s="1"/>
  <c r="AK8" i="19" s="1"/>
  <c r="AL8" s="1"/>
  <c r="AN8" s="1"/>
  <c r="J6" i="64"/>
  <c r="K6" s="1"/>
  <c r="L6" s="1"/>
  <c r="M6" s="1"/>
  <c r="AA8" i="19" s="1"/>
  <c r="AB8" s="1"/>
  <c r="AD8" s="1"/>
  <c r="Z6" i="64"/>
  <c r="AA6" s="1"/>
  <c r="AB6" s="1"/>
  <c r="AC6" s="1"/>
  <c r="BO8" i="19" s="1"/>
  <c r="BP8" s="1"/>
  <c r="BR8" s="1"/>
  <c r="AH6" i="64"/>
  <c r="AI6" s="1"/>
  <c r="AJ6" s="1"/>
  <c r="AK6" s="1"/>
  <c r="CI8" i="19" s="1"/>
  <c r="CJ8" s="1"/>
  <c r="CL8" s="1"/>
  <c r="AP6" i="64"/>
  <c r="AQ6" s="1"/>
  <c r="AR6" s="1"/>
  <c r="AS6" s="1"/>
  <c r="DC8" i="19" s="1"/>
  <c r="DD8" s="1"/>
  <c r="DF8" s="1"/>
  <c r="F6" i="64"/>
  <c r="G6" s="1"/>
  <c r="H6" s="1"/>
  <c r="I6" s="1"/>
  <c r="Q8" i="19" s="1"/>
  <c r="R8" s="1"/>
  <c r="T8" s="1"/>
  <c r="V6" i="64"/>
  <c r="W6" s="1"/>
  <c r="X6" s="1"/>
  <c r="Y6" s="1"/>
  <c r="BE8" i="19" s="1"/>
  <c r="BF8" s="1"/>
  <c r="BH8" s="1"/>
  <c r="BI19" i="10"/>
  <c r="K5" i="218" s="1"/>
  <c r="BH20" i="10"/>
  <c r="Y19"/>
  <c r="E5" i="218" s="1"/>
  <c r="X20" i="10"/>
  <c r="AK19"/>
  <c r="G5" i="218" s="1"/>
  <c r="AJ20" i="10"/>
  <c r="E44" i="58"/>
  <c r="H45"/>
  <c r="D3" i="41"/>
  <c r="AD44" i="58"/>
  <c r="L42" i="78"/>
  <c r="J31" i="215" s="1"/>
  <c r="R45" i="6"/>
  <c r="S45" s="1"/>
  <c r="CG45" i="58" s="1"/>
  <c r="L42" i="75"/>
  <c r="G31" i="215" s="1"/>
  <c r="L45" i="6"/>
  <c r="M45" s="1"/>
  <c r="BC45" i="58" s="1"/>
  <c r="CV44"/>
  <c r="K3" i="41"/>
  <c r="BR44" i="58"/>
  <c r="H3" i="41"/>
  <c r="AX44" i="58"/>
  <c r="F3" i="41"/>
  <c r="L42" i="71"/>
  <c r="C31" i="215" s="1"/>
  <c r="D45" i="6"/>
  <c r="E45" s="1"/>
  <c r="O45" i="58" s="1"/>
  <c r="J45" i="6"/>
  <c r="K45" s="1"/>
  <c r="AS45" i="58" s="1"/>
  <c r="L42" i="74"/>
  <c r="F31" i="215" s="1"/>
  <c r="DF44" i="58"/>
  <c r="L3" i="41"/>
  <c r="CB44" i="58"/>
  <c r="I3" i="41"/>
  <c r="BH44" i="58"/>
  <c r="G3" i="41"/>
  <c r="AN44" i="58"/>
  <c r="E3" i="41"/>
  <c r="V45" i="6"/>
  <c r="W45" s="1"/>
  <c r="DA45" i="58" s="1"/>
  <c r="L42" i="80"/>
  <c r="L31" i="215" s="1"/>
  <c r="T45" i="6"/>
  <c r="U45" s="1"/>
  <c r="CQ45" i="58" s="1"/>
  <c r="L42" i="79"/>
  <c r="K31" i="215" s="1"/>
  <c r="L42" i="77"/>
  <c r="I31" i="215" s="1"/>
  <c r="P45" i="6"/>
  <c r="Q45" s="1"/>
  <c r="BW45" i="58" s="1"/>
  <c r="L42" i="73"/>
  <c r="E31" i="215" s="1"/>
  <c r="H45" i="6"/>
  <c r="I45" s="1"/>
  <c r="AI45" i="58" s="1"/>
  <c r="T44"/>
  <c r="C3" i="41"/>
  <c r="N45" i="6"/>
  <c r="O45" s="1"/>
  <c r="BM45" i="58" s="1"/>
  <c r="L42" i="76"/>
  <c r="H31" i="215" s="1"/>
  <c r="F45" i="6"/>
  <c r="G45" s="1"/>
  <c r="Y45" i="58" s="1"/>
  <c r="L42" i="72"/>
  <c r="D31" i="215" s="1"/>
  <c r="CL44" i="58"/>
  <c r="J3" i="41"/>
  <c r="T46" i="58" l="1"/>
  <c r="C32" i="207"/>
  <c r="F47" i="124"/>
  <c r="L47" s="1"/>
  <c r="B31" i="207"/>
  <c r="AD46" i="58"/>
  <c r="D32" i="207"/>
  <c r="J44" i="215"/>
  <c r="J39"/>
  <c r="H44"/>
  <c r="H39"/>
  <c r="C23" i="122"/>
  <c r="C50" i="124"/>
  <c r="I50" s="1"/>
  <c r="G45" i="71"/>
  <c r="F44"/>
  <c r="H44" s="1"/>
  <c r="I44" s="1"/>
  <c r="I4" i="26"/>
  <c r="I4" i="28" s="1"/>
  <c r="BB8" i="29" s="1"/>
  <c r="BC8" s="1"/>
  <c r="BD8" s="1"/>
  <c r="BE8" s="1"/>
  <c r="I5" i="28"/>
  <c r="BB9" i="29" s="1"/>
  <c r="BC9" s="1"/>
  <c r="BD9" s="1"/>
  <c r="BE9" s="1"/>
  <c r="F41" i="216"/>
  <c r="F36"/>
  <c r="L47" i="80"/>
  <c r="L29" i="215"/>
  <c r="D44"/>
  <c r="D39"/>
  <c r="CV46" i="58"/>
  <c r="K32" i="207"/>
  <c r="L47" i="72"/>
  <c r="D29" i="215"/>
  <c r="F44" i="80"/>
  <c r="H44" s="1"/>
  <c r="I44" s="1"/>
  <c r="G45"/>
  <c r="J48" i="6"/>
  <c r="I48" i="74"/>
  <c r="L45"/>
  <c r="AW15" i="10"/>
  <c r="BU15" i="19" s="1"/>
  <c r="BZ15" s="1"/>
  <c r="CB15" s="1"/>
  <c r="AV16" i="10"/>
  <c r="R17"/>
  <c r="S16"/>
  <c r="W16" i="19" s="1"/>
  <c r="AB16" s="1"/>
  <c r="AD16" s="1"/>
  <c r="L44" i="215"/>
  <c r="L39"/>
  <c r="E44"/>
  <c r="E39"/>
  <c r="I44"/>
  <c r="I39"/>
  <c r="F39"/>
  <c r="F44"/>
  <c r="J41" i="216"/>
  <c r="J36"/>
  <c r="C29" i="207"/>
  <c r="T43" i="58"/>
  <c r="B32" i="207"/>
  <c r="H68" i="58"/>
  <c r="J4" i="26"/>
  <c r="J4" i="28" s="1"/>
  <c r="BI8" i="29" s="1"/>
  <c r="BJ8" s="1"/>
  <c r="BK8" s="1"/>
  <c r="BL8" s="1"/>
  <c r="J5" i="28"/>
  <c r="BI9" i="29" s="1"/>
  <c r="BJ9" s="1"/>
  <c r="BK9" s="1"/>
  <c r="BL9" s="1"/>
  <c r="D41" i="216"/>
  <c r="D36"/>
  <c r="G45" i="72"/>
  <c r="F44"/>
  <c r="H44" s="1"/>
  <c r="I44" s="1"/>
  <c r="H36" i="216"/>
  <c r="H41"/>
  <c r="BN16" i="10"/>
  <c r="BO15"/>
  <c r="CY15" i="19" s="1"/>
  <c r="DD15" s="1"/>
  <c r="DF15" s="1"/>
  <c r="M15" i="10"/>
  <c r="M15" i="19" s="1"/>
  <c r="R15" s="1"/>
  <c r="T15" s="1"/>
  <c r="L16" i="10"/>
  <c r="B41" i="215"/>
  <c r="B36"/>
  <c r="L43" i="71"/>
  <c r="C32" i="215" s="1"/>
  <c r="G39"/>
  <c r="G44"/>
  <c r="K44"/>
  <c r="K39"/>
  <c r="L47" i="71"/>
  <c r="C29" i="215"/>
  <c r="BC16" i="10"/>
  <c r="CE16" i="19" s="1"/>
  <c r="CJ16" s="1"/>
  <c r="CL16" s="1"/>
  <c r="BB17" i="10"/>
  <c r="L48" i="6"/>
  <c r="L45" i="75"/>
  <c r="I48"/>
  <c r="G16" i="10"/>
  <c r="C16" i="19" s="1"/>
  <c r="H16" s="1"/>
  <c r="J16" s="1"/>
  <c r="F17" i="10"/>
  <c r="I29" i="207"/>
  <c r="CB43" i="58"/>
  <c r="E41" i="216"/>
  <c r="E36"/>
  <c r="E5" i="28"/>
  <c r="Z9" i="29" s="1"/>
  <c r="AA9" s="1"/>
  <c r="AB9" s="1"/>
  <c r="AC9" s="1"/>
  <c r="E4" i="26"/>
  <c r="E4" i="28" s="1"/>
  <c r="Z8" i="29" s="1"/>
  <c r="AA8" s="1"/>
  <c r="AB8" s="1"/>
  <c r="AC8" s="1"/>
  <c r="G45" i="77"/>
  <c r="F44"/>
  <c r="H44" s="1"/>
  <c r="I44" s="1"/>
  <c r="T48" i="6"/>
  <c r="L45" i="79"/>
  <c r="I48"/>
  <c r="B5" i="28"/>
  <c r="E9" i="29" s="1"/>
  <c r="F9" s="1"/>
  <c r="G9" s="1"/>
  <c r="H9" s="1"/>
  <c r="B4" i="26"/>
  <c r="B4" i="28" s="1"/>
  <c r="E8" i="29" s="1"/>
  <c r="F8" s="1"/>
  <c r="G8" s="1"/>
  <c r="H8" s="1"/>
  <c r="F5" i="28"/>
  <c r="AG9" i="29" s="1"/>
  <c r="AH9" s="1"/>
  <c r="AI9" s="1"/>
  <c r="AJ9" s="1"/>
  <c r="F4" i="26"/>
  <c r="F4" i="28" s="1"/>
  <c r="AG8" i="29" s="1"/>
  <c r="AH8" s="1"/>
  <c r="AI8" s="1"/>
  <c r="AJ8" s="1"/>
  <c r="I41" i="216"/>
  <c r="I36"/>
  <c r="N48" i="6"/>
  <c r="I48" i="76"/>
  <c r="L45"/>
  <c r="H44" i="58"/>
  <c r="C46" i="124"/>
  <c r="I46" s="1"/>
  <c r="DF46" i="58"/>
  <c r="L32" i="207"/>
  <c r="AN46" i="58"/>
  <c r="E32" i="207"/>
  <c r="CB46" i="58"/>
  <c r="I32" i="207"/>
  <c r="AX46" i="58"/>
  <c r="F32" i="207"/>
  <c r="D29"/>
  <c r="AD43" i="58"/>
  <c r="C41" i="216"/>
  <c r="C36"/>
  <c r="R48" i="6"/>
  <c r="I48" i="78"/>
  <c r="L45"/>
  <c r="K41" i="216"/>
  <c r="K36"/>
  <c r="H48" i="6"/>
  <c r="L45" i="73"/>
  <c r="I48"/>
  <c r="L29" i="207"/>
  <c r="DF43" i="58"/>
  <c r="G36" i="216"/>
  <c r="G41"/>
  <c r="AP16" i="10"/>
  <c r="AQ15"/>
  <c r="BK15" i="19" s="1"/>
  <c r="BP15" s="1"/>
  <c r="BR15" s="1"/>
  <c r="L47" i="77"/>
  <c r="I29" i="215"/>
  <c r="L41" i="216"/>
  <c r="L36"/>
  <c r="AD17" i="10"/>
  <c r="AE16"/>
  <c r="AQ16" i="19" s="1"/>
  <c r="AV16" s="1"/>
  <c r="AX16" s="1"/>
  <c r="E50" i="58"/>
  <c r="H48"/>
  <c r="C47" i="6"/>
  <c r="BF46" i="58"/>
  <c r="G32" i="207" s="1"/>
  <c r="CJ46" i="58"/>
  <c r="J32" i="207" s="1"/>
  <c r="BP46" i="58"/>
  <c r="H32" i="207" s="1"/>
  <c r="K47" i="6"/>
  <c r="S47"/>
  <c r="O47"/>
  <c r="I47"/>
  <c r="M47"/>
  <c r="U47"/>
  <c r="BA19" i="19"/>
  <c r="G21" i="136" s="1"/>
  <c r="AG19" i="19"/>
  <c r="E21" i="136" s="1"/>
  <c r="CO19" i="19"/>
  <c r="K21" i="136" s="1"/>
  <c r="AK20" i="10"/>
  <c r="AJ21"/>
  <c r="Y20"/>
  <c r="X21"/>
  <c r="BH21"/>
  <c r="BI20"/>
  <c r="J44" i="58"/>
  <c r="J45"/>
  <c r="AB45"/>
  <c r="D31" i="207" s="1"/>
  <c r="BZ45" i="58"/>
  <c r="I31" i="207" s="1"/>
  <c r="DD45" i="58"/>
  <c r="L31" i="207" s="1"/>
  <c r="R45" i="58"/>
  <c r="C31" i="207" s="1"/>
  <c r="BF45" i="58"/>
  <c r="G31" i="207" s="1"/>
  <c r="BP45" i="58"/>
  <c r="H31" i="207" s="1"/>
  <c r="AL45" i="58"/>
  <c r="E31" i="207" s="1"/>
  <c r="CT45" i="58"/>
  <c r="K31" i="207" s="1"/>
  <c r="AV45" i="58"/>
  <c r="F31" i="207" s="1"/>
  <c r="CJ45" i="58"/>
  <c r="J31" i="207" s="1"/>
  <c r="J49" l="1"/>
  <c r="J44"/>
  <c r="J39"/>
  <c r="I44"/>
  <c r="I39"/>
  <c r="I49"/>
  <c r="L44"/>
  <c r="L49"/>
  <c r="L39"/>
  <c r="H34" i="215"/>
  <c r="L48" i="76"/>
  <c r="L44" i="77"/>
  <c r="I33" i="215" s="1"/>
  <c r="P47" i="6"/>
  <c r="Q47" s="1"/>
  <c r="G17" i="10"/>
  <c r="C17" i="19" s="1"/>
  <c r="H17" s="1"/>
  <c r="J17" s="1"/>
  <c r="F19" i="10"/>
  <c r="L50" i="6"/>
  <c r="M48"/>
  <c r="AW16" i="10"/>
  <c r="BU16" i="19" s="1"/>
  <c r="BZ16" s="1"/>
  <c r="CB16" s="1"/>
  <c r="AV17" i="10"/>
  <c r="J50" i="6"/>
  <c r="K48"/>
  <c r="F45" i="71"/>
  <c r="G48"/>
  <c r="BA20" i="19"/>
  <c r="BF20" s="1"/>
  <c r="G6" i="218"/>
  <c r="H49" i="207"/>
  <c r="H39"/>
  <c r="H44"/>
  <c r="E34" i="215"/>
  <c r="L48" i="73"/>
  <c r="T50" i="6"/>
  <c r="U48"/>
  <c r="G34" i="215"/>
  <c r="L48" i="75"/>
  <c r="BN17" i="10"/>
  <c r="BO16"/>
  <c r="CY16" i="19" s="1"/>
  <c r="DD16" s="1"/>
  <c r="DF16" s="1"/>
  <c r="F45" i="72"/>
  <c r="G48"/>
  <c r="L44" i="71"/>
  <c r="C33" i="215" s="1"/>
  <c r="D47" i="6"/>
  <c r="E47" s="1"/>
  <c r="D44" i="207"/>
  <c r="D49"/>
  <c r="D39"/>
  <c r="CO20" i="19"/>
  <c r="CT20" s="1"/>
  <c r="K6" i="218"/>
  <c r="F49" i="207"/>
  <c r="F44"/>
  <c r="F39"/>
  <c r="E49"/>
  <c r="E39"/>
  <c r="E44"/>
  <c r="N50" i="6"/>
  <c r="O48"/>
  <c r="K34" i="215"/>
  <c r="L48" i="79"/>
  <c r="F47" i="6"/>
  <c r="G47" s="1"/>
  <c r="L44" i="72"/>
  <c r="D33" i="215" s="1"/>
  <c r="F34"/>
  <c r="L48" i="74"/>
  <c r="V47" i="6"/>
  <c r="W47" s="1"/>
  <c r="L44" i="80"/>
  <c r="L33" i="215" s="1"/>
  <c r="B34" i="207"/>
  <c r="H65" i="58"/>
  <c r="H53"/>
  <c r="H50" i="6"/>
  <c r="I48"/>
  <c r="M16" i="10"/>
  <c r="M16" i="19" s="1"/>
  <c r="R16" s="1"/>
  <c r="T16" s="1"/>
  <c r="L17" i="10"/>
  <c r="AG20" i="19"/>
  <c r="AL20" s="1"/>
  <c r="E6" i="218"/>
  <c r="AD19" i="10"/>
  <c r="AE17"/>
  <c r="AQ17" i="19" s="1"/>
  <c r="AV17" s="1"/>
  <c r="AX17" s="1"/>
  <c r="J34" i="215"/>
  <c r="L48" i="78"/>
  <c r="F46" i="124"/>
  <c r="L46" s="1"/>
  <c r="B30" i="207"/>
  <c r="R19" i="10"/>
  <c r="S17"/>
  <c r="W17" i="19" s="1"/>
  <c r="AB17" s="1"/>
  <c r="AD17" s="1"/>
  <c r="C49" i="207"/>
  <c r="C44"/>
  <c r="C39"/>
  <c r="G49"/>
  <c r="G44"/>
  <c r="G39"/>
  <c r="AP17" i="10"/>
  <c r="AQ16"/>
  <c r="BK16" i="19" s="1"/>
  <c r="BP16" s="1"/>
  <c r="BR16" s="1"/>
  <c r="R50" i="6"/>
  <c r="S48"/>
  <c r="F45" i="77"/>
  <c r="G48"/>
  <c r="BB19" i="10"/>
  <c r="BC17"/>
  <c r="CE17" i="19" s="1"/>
  <c r="CJ17" s="1"/>
  <c r="CL17" s="1"/>
  <c r="C44" i="215"/>
  <c r="C39"/>
  <c r="B49" i="207"/>
  <c r="B44"/>
  <c r="B39"/>
  <c r="F45" i="80"/>
  <c r="G48"/>
  <c r="K49" i="207"/>
  <c r="K44"/>
  <c r="K39"/>
  <c r="B3" i="41"/>
  <c r="B4" s="1"/>
  <c r="B40" s="1"/>
  <c r="J4"/>
  <c r="J40" s="1"/>
  <c r="F50" i="124"/>
  <c r="L50" s="1"/>
  <c r="C21" i="122"/>
  <c r="H50" i="58"/>
  <c r="J48"/>
  <c r="J50" s="1"/>
  <c r="E47"/>
  <c r="C49" i="124" s="1"/>
  <c r="I49" s="1"/>
  <c r="O47" i="58"/>
  <c r="AI47"/>
  <c r="Y47"/>
  <c r="CQ47"/>
  <c r="DA47"/>
  <c r="BW47"/>
  <c r="BR46"/>
  <c r="CL46"/>
  <c r="BH46"/>
  <c r="BC47"/>
  <c r="BM47"/>
  <c r="CG47"/>
  <c r="AS47"/>
  <c r="CT19" i="19"/>
  <c r="AL19"/>
  <c r="BF19"/>
  <c r="D4" i="41"/>
  <c r="D40" s="1"/>
  <c r="H4"/>
  <c r="H40" s="1"/>
  <c r="BI21" i="10"/>
  <c r="BH22"/>
  <c r="Y21"/>
  <c r="X22"/>
  <c r="AK21"/>
  <c r="AJ22"/>
  <c r="C4" i="41"/>
  <c r="C40" s="1"/>
  <c r="L4"/>
  <c r="L40" s="1"/>
  <c r="G4"/>
  <c r="G40" s="1"/>
  <c r="K4"/>
  <c r="K40" s="1"/>
  <c r="F4"/>
  <c r="F40" s="1"/>
  <c r="I4"/>
  <c r="I40" s="1"/>
  <c r="E4"/>
  <c r="E40" s="1"/>
  <c r="AX45" i="58"/>
  <c r="CV45"/>
  <c r="AN45"/>
  <c r="CL45"/>
  <c r="BR45"/>
  <c r="BH45"/>
  <c r="T45"/>
  <c r="DF45"/>
  <c r="CB45"/>
  <c r="AD45"/>
  <c r="AQ17" i="10" l="1"/>
  <c r="BK17" i="19" s="1"/>
  <c r="BP17" s="1"/>
  <c r="BR17" s="1"/>
  <c r="AP19" i="10"/>
  <c r="R20"/>
  <c r="S19"/>
  <c r="J41" i="215"/>
  <c r="J36"/>
  <c r="O50" i="6"/>
  <c r="BM48" i="58"/>
  <c r="G36" i="215"/>
  <c r="G41"/>
  <c r="CO21" i="19"/>
  <c r="CT21" s="1"/>
  <c r="K7" i="218"/>
  <c r="K5" i="209"/>
  <c r="K21" i="158"/>
  <c r="B41" i="207"/>
  <c r="B46"/>
  <c r="B36"/>
  <c r="K41" i="215"/>
  <c r="K36"/>
  <c r="H45" i="71"/>
  <c r="F48"/>
  <c r="H36" i="215"/>
  <c r="H41"/>
  <c r="BB20" i="10"/>
  <c r="BC19"/>
  <c r="AE19"/>
  <c r="AD20"/>
  <c r="BO17"/>
  <c r="CY17" i="19" s="1"/>
  <c r="DD17" s="1"/>
  <c r="DF17" s="1"/>
  <c r="BN19" i="10"/>
  <c r="AW17"/>
  <c r="BU17" i="19" s="1"/>
  <c r="BZ17" s="1"/>
  <c r="CB17" s="1"/>
  <c r="AV19" i="10"/>
  <c r="F20"/>
  <c r="G19"/>
  <c r="H45" i="77"/>
  <c r="F48"/>
  <c r="AN20" i="19"/>
  <c r="E6" i="209"/>
  <c r="H45" i="72"/>
  <c r="F48"/>
  <c r="E41" i="215"/>
  <c r="E36"/>
  <c r="AS48" i="58"/>
  <c r="K50" i="6"/>
  <c r="M50"/>
  <c r="BC48" i="58"/>
  <c r="G5" i="209"/>
  <c r="G21" i="158"/>
  <c r="H45" i="80"/>
  <c r="F48"/>
  <c r="AI48" i="58"/>
  <c r="I50" i="6"/>
  <c r="F41" i="215"/>
  <c r="F36"/>
  <c r="BA21" i="19"/>
  <c r="BF21" s="1"/>
  <c r="G7" i="218"/>
  <c r="AG21" i="19"/>
  <c r="AL21" s="1"/>
  <c r="E7" i="218"/>
  <c r="E5" i="209"/>
  <c r="E21" i="158"/>
  <c r="S50" i="6"/>
  <c r="CG48" i="58"/>
  <c r="L19" i="10"/>
  <c r="M17"/>
  <c r="M17" i="19" s="1"/>
  <c r="R17" s="1"/>
  <c r="T17" s="1"/>
  <c r="CV20"/>
  <c r="K6" i="209"/>
  <c r="U50" i="6"/>
  <c r="CQ48" i="58"/>
  <c r="BH20" i="19"/>
  <c r="G6" i="209"/>
  <c r="BH19" i="19"/>
  <c r="AN19"/>
  <c r="CV19"/>
  <c r="AJ23" i="10"/>
  <c r="AK22"/>
  <c r="X23"/>
  <c r="Y22"/>
  <c r="BH23"/>
  <c r="BI22"/>
  <c r="BN20" l="1"/>
  <c r="BO19"/>
  <c r="BH21" i="19"/>
  <c r="G7" i="209"/>
  <c r="AV48" i="58"/>
  <c r="AS50"/>
  <c r="I45" i="72"/>
  <c r="H48"/>
  <c r="I45" i="77"/>
  <c r="H48"/>
  <c r="F5" i="218"/>
  <c r="AQ19" i="19"/>
  <c r="AQ19" i="10"/>
  <c r="AP20"/>
  <c r="CT48" i="58"/>
  <c r="CQ50"/>
  <c r="AW19" i="10"/>
  <c r="AV20"/>
  <c r="AE20"/>
  <c r="AD21"/>
  <c r="CV21" i="19"/>
  <c r="K7" i="209"/>
  <c r="R21" i="10"/>
  <c r="S20"/>
  <c r="CJ48" i="58"/>
  <c r="CG50"/>
  <c r="BC50"/>
  <c r="BF48"/>
  <c r="C19" i="19"/>
  <c r="B5" i="218"/>
  <c r="J5"/>
  <c r="CE19" i="19"/>
  <c r="BA22"/>
  <c r="BF22" s="1"/>
  <c r="G8" i="218"/>
  <c r="M19" i="10"/>
  <c r="L20"/>
  <c r="AL48" i="58"/>
  <c r="AI50"/>
  <c r="CO22" i="19"/>
  <c r="CT22" s="1"/>
  <c r="K8" i="218"/>
  <c r="AG22" i="19"/>
  <c r="AL22" s="1"/>
  <c r="E8" i="218"/>
  <c r="AN21" i="19"/>
  <c r="E7" i="209"/>
  <c r="I45" i="80"/>
  <c r="H48"/>
  <c r="F21" i="10"/>
  <c r="G20"/>
  <c r="BB21"/>
  <c r="BC20"/>
  <c r="I45" i="71"/>
  <c r="H48"/>
  <c r="BM50" i="58"/>
  <c r="BP48"/>
  <c r="D5" i="218"/>
  <c r="W19" i="19"/>
  <c r="BI23" i="10"/>
  <c r="BH24"/>
  <c r="Y23"/>
  <c r="X24"/>
  <c r="AJ24"/>
  <c r="AK23"/>
  <c r="AG23" i="19" l="1"/>
  <c r="AL23" s="1"/>
  <c r="E9" i="218"/>
  <c r="AN22" i="19"/>
  <c r="E8" i="209"/>
  <c r="E34" i="207"/>
  <c r="AL50" i="58"/>
  <c r="AN48"/>
  <c r="AN50" s="1"/>
  <c r="H19" i="19"/>
  <c r="C22" i="133"/>
  <c r="K22" s="1"/>
  <c r="D22" i="134"/>
  <c r="B21" i="136"/>
  <c r="H5" i="218"/>
  <c r="BK19" i="19"/>
  <c r="F34" i="207"/>
  <c r="AV53" i="58"/>
  <c r="AV50"/>
  <c r="AX48"/>
  <c r="AX50" s="1"/>
  <c r="CE20" i="19"/>
  <c r="CJ20" s="1"/>
  <c r="J6" i="218"/>
  <c r="AW20" i="10"/>
  <c r="AV21"/>
  <c r="CY19" i="19"/>
  <c r="L5" i="218"/>
  <c r="CO23" i="19"/>
  <c r="CT23" s="1"/>
  <c r="K9" i="218"/>
  <c r="D48" i="6"/>
  <c r="I48" i="71"/>
  <c r="L45"/>
  <c r="F22" i="10"/>
  <c r="G21"/>
  <c r="CV22" i="19"/>
  <c r="K8" i="209"/>
  <c r="C5" i="218"/>
  <c r="M19" i="19"/>
  <c r="S21" i="10"/>
  <c r="R22"/>
  <c r="AQ20" i="19"/>
  <c r="AV20" s="1"/>
  <c r="F6" i="218"/>
  <c r="K34" i="207"/>
  <c r="CT50" i="58"/>
  <c r="CV48"/>
  <c r="CV50" s="1"/>
  <c r="F48" i="6"/>
  <c r="I48" i="72"/>
  <c r="L45"/>
  <c r="BC21" i="10"/>
  <c r="BB22"/>
  <c r="I48" i="80"/>
  <c r="L45"/>
  <c r="V48" i="6"/>
  <c r="BH22" i="19"/>
  <c r="G8" i="209"/>
  <c r="J34" i="207"/>
  <c r="CJ50" i="58"/>
  <c r="CL48"/>
  <c r="CL50" s="1"/>
  <c r="I5" i="218"/>
  <c r="BU19" i="19"/>
  <c r="P48" i="6"/>
  <c r="L45" i="77"/>
  <c r="I48"/>
  <c r="BN21" i="10"/>
  <c r="BO20"/>
  <c r="H34" i="207"/>
  <c r="BP50" i="58"/>
  <c r="BR48"/>
  <c r="BR50" s="1"/>
  <c r="AP21" i="10"/>
  <c r="AQ20"/>
  <c r="BA23" i="19"/>
  <c r="BF23" s="1"/>
  <c r="G9" i="218"/>
  <c r="D21" i="136"/>
  <c r="AB19" i="19"/>
  <c r="C20"/>
  <c r="B6" i="218"/>
  <c r="M20" i="10"/>
  <c r="L21"/>
  <c r="J21" i="136"/>
  <c r="CJ19" i="19"/>
  <c r="G34" i="207"/>
  <c r="BF50" i="58"/>
  <c r="BH48"/>
  <c r="BH50" s="1"/>
  <c r="W20" i="19"/>
  <c r="AB20" s="1"/>
  <c r="D6" i="218"/>
  <c r="AE21" i="10"/>
  <c r="AD22"/>
  <c r="F21" i="136"/>
  <c r="AV19" i="19"/>
  <c r="AJ25" i="10"/>
  <c r="AK24"/>
  <c r="X25"/>
  <c r="Y24"/>
  <c r="BI24"/>
  <c r="BH25"/>
  <c r="BA24" i="19" l="1"/>
  <c r="BF24" s="1"/>
  <c r="G10" i="218"/>
  <c r="M20" i="19"/>
  <c r="R20" s="1"/>
  <c r="C6" i="218"/>
  <c r="AQ21" i="10"/>
  <c r="AP22"/>
  <c r="CE21" i="19"/>
  <c r="CJ21" s="1"/>
  <c r="J7" i="218"/>
  <c r="F23" i="10"/>
  <c r="G22"/>
  <c r="AW21"/>
  <c r="AV22"/>
  <c r="H21" i="136"/>
  <c r="BP19" i="19"/>
  <c r="AN23"/>
  <c r="E9" i="209"/>
  <c r="AQ21" i="19"/>
  <c r="AV21" s="1"/>
  <c r="F7" i="218"/>
  <c r="M21" i="10"/>
  <c r="L22"/>
  <c r="BK20" i="19"/>
  <c r="BP20" s="1"/>
  <c r="H6" i="218"/>
  <c r="BC22" i="10"/>
  <c r="BB23"/>
  <c r="F50" i="6"/>
  <c r="G48"/>
  <c r="C21" i="136"/>
  <c r="R19" i="19"/>
  <c r="C21"/>
  <c r="B7" i="218"/>
  <c r="D50" i="6"/>
  <c r="E48"/>
  <c r="DD19" i="19"/>
  <c r="L21" i="136"/>
  <c r="F46" i="207"/>
  <c r="F36"/>
  <c r="F41"/>
  <c r="AG24" i="19"/>
  <c r="AL24" s="1"/>
  <c r="E10" i="218"/>
  <c r="AD23" i="10"/>
  <c r="AE22"/>
  <c r="H20" i="19"/>
  <c r="C23" i="133"/>
  <c r="K23" s="1"/>
  <c r="BH23" i="19"/>
  <c r="G9" i="209"/>
  <c r="K46" i="207"/>
  <c r="K41"/>
  <c r="K36"/>
  <c r="W21" i="19"/>
  <c r="AB21" s="1"/>
  <c r="D7" i="218"/>
  <c r="F5" i="209"/>
  <c r="F21" i="158"/>
  <c r="AX19" i="19"/>
  <c r="G46" i="207"/>
  <c r="G41"/>
  <c r="G36"/>
  <c r="CY20" i="19"/>
  <c r="DD20" s="1"/>
  <c r="L6" i="218"/>
  <c r="P50" i="6"/>
  <c r="Q48"/>
  <c r="W48"/>
  <c r="V50"/>
  <c r="AX20" i="19"/>
  <c r="F6" i="209"/>
  <c r="E41" i="207"/>
  <c r="E46"/>
  <c r="E36"/>
  <c r="CO24" i="19"/>
  <c r="CT24" s="1"/>
  <c r="K10" i="218"/>
  <c r="D5" i="209"/>
  <c r="D21" i="158"/>
  <c r="AD19" i="19"/>
  <c r="H46" i="207"/>
  <c r="H41"/>
  <c r="H36"/>
  <c r="I34" i="215"/>
  <c r="L48" i="77"/>
  <c r="CL20" i="19"/>
  <c r="J6" i="209"/>
  <c r="AD20" i="19"/>
  <c r="D6" i="209"/>
  <c r="J5"/>
  <c r="J21" i="158"/>
  <c r="CL19" i="19"/>
  <c r="BN22" i="10"/>
  <c r="BO21"/>
  <c r="I21" i="136"/>
  <c r="BZ19" i="19"/>
  <c r="J41" i="207"/>
  <c r="J36"/>
  <c r="J46"/>
  <c r="L34" i="215"/>
  <c r="L48" i="80"/>
  <c r="D34" i="215"/>
  <c r="L48" i="72"/>
  <c r="S22" i="10"/>
  <c r="R23"/>
  <c r="C34" i="215"/>
  <c r="L48" i="71"/>
  <c r="CV23" i="19"/>
  <c r="K9" i="209"/>
  <c r="BU20" i="19"/>
  <c r="BZ20" s="1"/>
  <c r="I6" i="218"/>
  <c r="B5" i="209"/>
  <c r="B22" i="134"/>
  <c r="G22" i="133"/>
  <c r="P22" s="1"/>
  <c r="B21" i="158"/>
  <c r="J19" i="19"/>
  <c r="X26" i="10"/>
  <c r="Y25"/>
  <c r="AK25"/>
  <c r="AJ26"/>
  <c r="BH26"/>
  <c r="BI25"/>
  <c r="BN23" l="1"/>
  <c r="BO22"/>
  <c r="W50" i="6"/>
  <c r="DA48" i="58"/>
  <c r="AD21" i="19"/>
  <c r="D7" i="209"/>
  <c r="AQ22" i="19"/>
  <c r="AV22" s="1"/>
  <c r="F8" i="218"/>
  <c r="L5" i="209"/>
  <c r="L21" i="158"/>
  <c r="DF19" i="19"/>
  <c r="H21"/>
  <c r="C24" i="133"/>
  <c r="K24" s="1"/>
  <c r="AX21" i="19"/>
  <c r="F7" i="209"/>
  <c r="G23" i="10"/>
  <c r="F24"/>
  <c r="BK21" i="19"/>
  <c r="BP21" s="1"/>
  <c r="H7" i="218"/>
  <c r="CO25" i="19"/>
  <c r="CT25" s="1"/>
  <c r="K11" i="218"/>
  <c r="AG25" i="19"/>
  <c r="AL25" s="1"/>
  <c r="E11" i="218"/>
  <c r="C41" i="215"/>
  <c r="C36"/>
  <c r="AN24" i="19"/>
  <c r="E10" i="209"/>
  <c r="Y48" i="58"/>
  <c r="G50" i="6"/>
  <c r="H5" i="209"/>
  <c r="H21" i="158"/>
  <c r="BR19" i="19"/>
  <c r="C22"/>
  <c r="B8" i="218"/>
  <c r="AP23" i="10"/>
  <c r="AQ22"/>
  <c r="CE22" i="19"/>
  <c r="CJ22" s="1"/>
  <c r="J8" i="218"/>
  <c r="M21" i="19"/>
  <c r="R21" s="1"/>
  <c r="C7" i="218"/>
  <c r="BU21" i="19"/>
  <c r="BZ21" s="1"/>
  <c r="I7" i="218"/>
  <c r="CL21" i="19"/>
  <c r="J7" i="209"/>
  <c r="T20" i="19"/>
  <c r="C6" i="209"/>
  <c r="R24" i="10"/>
  <c r="S23"/>
  <c r="DF20" i="19"/>
  <c r="L6" i="209"/>
  <c r="BR20" i="19"/>
  <c r="H6" i="209"/>
  <c r="BH24" i="19"/>
  <c r="G10" i="209"/>
  <c r="CB20" i="19"/>
  <c r="I6" i="209"/>
  <c r="D41" i="215"/>
  <c r="D36"/>
  <c r="CY21" i="19"/>
  <c r="DD21" s="1"/>
  <c r="L7" i="218"/>
  <c r="J20" i="19"/>
  <c r="B6" i="209"/>
  <c r="G23" i="133"/>
  <c r="P23" s="1"/>
  <c r="BA25" i="19"/>
  <c r="BF25" s="1"/>
  <c r="G11" i="218"/>
  <c r="W22" i="19"/>
  <c r="AB22" s="1"/>
  <c r="D8" i="218"/>
  <c r="L41" i="215"/>
  <c r="L36"/>
  <c r="I5" i="209"/>
  <c r="I21" i="158"/>
  <c r="CB19" i="19"/>
  <c r="I41" i="215"/>
  <c r="I36"/>
  <c r="CV24" i="19"/>
  <c r="K10" i="209"/>
  <c r="BW48" i="58"/>
  <c r="Q50" i="6"/>
  <c r="AE23" i="10"/>
  <c r="AD24"/>
  <c r="O48" i="58"/>
  <c r="E50" i="6"/>
  <c r="C5" i="209"/>
  <c r="C21" i="158"/>
  <c r="T19" i="19"/>
  <c r="BB24" i="10"/>
  <c r="BC23"/>
  <c r="L23"/>
  <c r="M22"/>
  <c r="AW22"/>
  <c r="AV23"/>
  <c r="BI26"/>
  <c r="BH27"/>
  <c r="Y26"/>
  <c r="X27"/>
  <c r="AK26"/>
  <c r="AJ27"/>
  <c r="M22" i="19" l="1"/>
  <c r="R22" s="1"/>
  <c r="C8" i="218"/>
  <c r="R48" i="58"/>
  <c r="O50"/>
  <c r="CL22" i="19"/>
  <c r="J8" i="209"/>
  <c r="F25" i="10"/>
  <c r="G24"/>
  <c r="BB25"/>
  <c r="BC24"/>
  <c r="AD22" i="19"/>
  <c r="D8" i="209"/>
  <c r="AN25" i="19"/>
  <c r="E11" i="209"/>
  <c r="BR21" i="19"/>
  <c r="H7" i="209"/>
  <c r="CY22" i="19"/>
  <c r="DD22" s="1"/>
  <c r="L8" i="218"/>
  <c r="AV24" i="10"/>
  <c r="AW23"/>
  <c r="CE23" i="19"/>
  <c r="CJ23" s="1"/>
  <c r="J9" i="218"/>
  <c r="AQ23" i="19"/>
  <c r="AV23" s="1"/>
  <c r="F9" i="218"/>
  <c r="DF21" i="19"/>
  <c r="L7" i="209"/>
  <c r="S24" i="10"/>
  <c r="R25"/>
  <c r="T21" i="19"/>
  <c r="C7" i="209"/>
  <c r="AQ23" i="10"/>
  <c r="AP24"/>
  <c r="AX22" i="19"/>
  <c r="F8" i="209"/>
  <c r="BZ48" i="58"/>
  <c r="BW50"/>
  <c r="CB21" i="19"/>
  <c r="I7" i="209"/>
  <c r="H22" i="19"/>
  <c r="C25" i="133"/>
  <c r="K25" s="1"/>
  <c r="BN24" i="10"/>
  <c r="BO23"/>
  <c r="BU22" i="19"/>
  <c r="BZ22" s="1"/>
  <c r="I8" i="218"/>
  <c r="BA26" i="19"/>
  <c r="BF26" s="1"/>
  <c r="G12" i="218"/>
  <c r="AG26" i="19"/>
  <c r="AL26" s="1"/>
  <c r="E12" i="218"/>
  <c r="CO26" i="19"/>
  <c r="CT26" s="1"/>
  <c r="K12" i="218"/>
  <c r="M23" i="10"/>
  <c r="L24"/>
  <c r="AE24"/>
  <c r="AD25"/>
  <c r="BH25" i="19"/>
  <c r="G11" i="209"/>
  <c r="W23" i="19"/>
  <c r="AB23" s="1"/>
  <c r="D9" i="218"/>
  <c r="BK22" i="19"/>
  <c r="BP22" s="1"/>
  <c r="H8" i="218"/>
  <c r="AB48" i="58"/>
  <c r="Y50"/>
  <c r="CV25" i="19"/>
  <c r="K11" i="209"/>
  <c r="C23" i="19"/>
  <c r="B9" i="218"/>
  <c r="J21" i="19"/>
  <c r="B7" i="209"/>
  <c r="G24" i="133"/>
  <c r="P24" s="1"/>
  <c r="DA50" i="58"/>
  <c r="DD48"/>
  <c r="AJ28" i="10"/>
  <c r="AK27"/>
  <c r="X28"/>
  <c r="Y27"/>
  <c r="BI27"/>
  <c r="BH28"/>
  <c r="AG27" i="19" l="1"/>
  <c r="AL27" s="1"/>
  <c r="E13" i="218"/>
  <c r="H23" i="19"/>
  <c r="C26" i="133"/>
  <c r="K26" s="1"/>
  <c r="D34" i="207"/>
  <c r="AD48" i="58"/>
  <c r="AD50" s="1"/>
  <c r="AB50"/>
  <c r="AQ24" i="19"/>
  <c r="AV24" s="1"/>
  <c r="F10" i="218"/>
  <c r="BH26" i="19"/>
  <c r="G12" i="209"/>
  <c r="CL23" i="19"/>
  <c r="J9" i="209"/>
  <c r="BB26" i="10"/>
  <c r="BC25"/>
  <c r="T22" i="19"/>
  <c r="C8" i="209"/>
  <c r="AD26" i="10"/>
  <c r="AE25"/>
  <c r="CY23" i="19"/>
  <c r="DD23" s="1"/>
  <c r="L9" i="218"/>
  <c r="CE24" i="19"/>
  <c r="CJ24" s="1"/>
  <c r="J10" i="218"/>
  <c r="M23" i="19"/>
  <c r="R23" s="1"/>
  <c r="C9" i="218"/>
  <c r="AN26" i="19"/>
  <c r="E12" i="209"/>
  <c r="CB22" i="19"/>
  <c r="I8" i="209"/>
  <c r="J22" i="19"/>
  <c r="B8" i="209"/>
  <c r="G25" i="133"/>
  <c r="P25" s="1"/>
  <c r="I34" i="207"/>
  <c r="BZ50" i="58"/>
  <c r="CB48"/>
  <c r="CB50" s="1"/>
  <c r="BK23" i="19"/>
  <c r="BP23" s="1"/>
  <c r="H9" i="218"/>
  <c r="W24" i="19"/>
  <c r="AB24" s="1"/>
  <c r="D10" i="218"/>
  <c r="AX23" i="19"/>
  <c r="F9" i="209"/>
  <c r="AV25" i="10"/>
  <c r="AW24"/>
  <c r="F26"/>
  <c r="G25"/>
  <c r="C34" i="207"/>
  <c r="R53" i="58"/>
  <c r="T48"/>
  <c r="T50" s="1"/>
  <c r="R50"/>
  <c r="BA27" i="19"/>
  <c r="BF27" s="1"/>
  <c r="G13" i="218"/>
  <c r="AD23" i="19"/>
  <c r="D9" i="209"/>
  <c r="CV26" i="19"/>
  <c r="K12" i="209"/>
  <c r="BN25" i="10"/>
  <c r="BO24"/>
  <c r="DF22" i="19"/>
  <c r="L8" i="209"/>
  <c r="CO27" i="19"/>
  <c r="CT27" s="1"/>
  <c r="K13" i="218"/>
  <c r="L34" i="207"/>
  <c r="DF48" i="58"/>
  <c r="DF50" s="1"/>
  <c r="DD50"/>
  <c r="BR22" i="19"/>
  <c r="H8" i="209"/>
  <c r="M24" i="10"/>
  <c r="L25"/>
  <c r="AP25"/>
  <c r="AQ24"/>
  <c r="S25"/>
  <c r="R26"/>
  <c r="BU23" i="19"/>
  <c r="BZ23" s="1"/>
  <c r="I9" i="218"/>
  <c r="C24" i="19"/>
  <c r="B10" i="218"/>
  <c r="AK28" i="10"/>
  <c r="AJ29"/>
  <c r="X29"/>
  <c r="Y28"/>
  <c r="BI28"/>
  <c r="BH29"/>
  <c r="CO28" i="19" l="1"/>
  <c r="CT28" s="1"/>
  <c r="K14" i="218"/>
  <c r="CB23" i="19"/>
  <c r="I9" i="209"/>
  <c r="CY24" i="19"/>
  <c r="DD24" s="1"/>
  <c r="L10" i="218"/>
  <c r="C25" i="19"/>
  <c r="B11" i="218"/>
  <c r="I46" i="207"/>
  <c r="I36"/>
  <c r="I41"/>
  <c r="AN27" i="19"/>
  <c r="E13" i="209"/>
  <c r="BH27" i="19"/>
  <c r="G13" i="209"/>
  <c r="AD24" i="19"/>
  <c r="D10" i="209"/>
  <c r="CL24" i="19"/>
  <c r="J10" i="209"/>
  <c r="AE26" i="10"/>
  <c r="AD27"/>
  <c r="BB27"/>
  <c r="BC26"/>
  <c r="E37" i="218"/>
  <c r="E42"/>
  <c r="BA28" i="19"/>
  <c r="BF28" s="1"/>
  <c r="G14" i="218"/>
  <c r="H24" i="19"/>
  <c r="C27" i="133"/>
  <c r="K27" s="1"/>
  <c r="W25" i="19"/>
  <c r="AB25" s="1"/>
  <c r="D11" i="218"/>
  <c r="M24" i="19"/>
  <c r="R24" s="1"/>
  <c r="C10" i="218"/>
  <c r="G42"/>
  <c r="G37"/>
  <c r="BU24" i="19"/>
  <c r="BZ24" s="1"/>
  <c r="I10" i="218"/>
  <c r="AQ25" i="19"/>
  <c r="AV25" s="1"/>
  <c r="F11" i="218"/>
  <c r="CE25" i="19"/>
  <c r="CJ25" s="1"/>
  <c r="J11" i="218"/>
  <c r="J23" i="19"/>
  <c r="B9" i="209"/>
  <c r="G26" i="133"/>
  <c r="P26" s="1"/>
  <c r="AP26" i="10"/>
  <c r="AQ25"/>
  <c r="K42" i="218"/>
  <c r="K37"/>
  <c r="D46" i="207"/>
  <c r="D41"/>
  <c r="D36"/>
  <c r="AG28" i="19"/>
  <c r="AL28" s="1"/>
  <c r="E14" i="218"/>
  <c r="BK24" i="19"/>
  <c r="BP24" s="1"/>
  <c r="H10" i="218"/>
  <c r="L46" i="207"/>
  <c r="L41"/>
  <c r="L36"/>
  <c r="C46"/>
  <c r="C41"/>
  <c r="C36"/>
  <c r="AW25" i="10"/>
  <c r="AV26"/>
  <c r="R27"/>
  <c r="S26"/>
  <c r="M25"/>
  <c r="L26"/>
  <c r="CV27" i="19"/>
  <c r="K13" i="209"/>
  <c r="CT66" i="19"/>
  <c r="BN26" i="10"/>
  <c r="BO25"/>
  <c r="G26"/>
  <c r="F27"/>
  <c r="BR23" i="19"/>
  <c r="H9" i="209"/>
  <c r="T23" i="19"/>
  <c r="C9" i="209"/>
  <c r="DF23" i="19"/>
  <c r="L9" i="209"/>
  <c r="AX24" i="19"/>
  <c r="F10" i="209"/>
  <c r="Y29" i="10"/>
  <c r="X30"/>
  <c r="BH30"/>
  <c r="BI29"/>
  <c r="AK29"/>
  <c r="AJ30"/>
  <c r="BA29" i="19" l="1"/>
  <c r="BF29" s="1"/>
  <c r="G15" i="218"/>
  <c r="C26" i="19"/>
  <c r="B12" i="218"/>
  <c r="W26" i="19"/>
  <c r="AB26" s="1"/>
  <c r="D12" i="218"/>
  <c r="AQ26" i="10"/>
  <c r="AP27"/>
  <c r="AE27"/>
  <c r="AD28"/>
  <c r="E47" i="209"/>
  <c r="E42"/>
  <c r="E37"/>
  <c r="DF24" i="19"/>
  <c r="L10" i="209"/>
  <c r="CO29" i="19"/>
  <c r="CT29" s="1"/>
  <c r="K15" i="218"/>
  <c r="BR24" i="19"/>
  <c r="H10" i="209"/>
  <c r="BK25" i="19"/>
  <c r="BP25" s="1"/>
  <c r="H11" i="218"/>
  <c r="AX25" i="19"/>
  <c r="F11" i="209"/>
  <c r="AD25" i="19"/>
  <c r="D11" i="209"/>
  <c r="BH28" i="19"/>
  <c r="G14" i="209"/>
  <c r="BC27" i="10"/>
  <c r="BB28"/>
  <c r="BN27"/>
  <c r="BO26"/>
  <c r="L27"/>
  <c r="M26"/>
  <c r="AV27"/>
  <c r="AW26"/>
  <c r="CE26" i="19"/>
  <c r="CJ26" s="1"/>
  <c r="J12" i="218"/>
  <c r="G42" i="209"/>
  <c r="G37"/>
  <c r="G47"/>
  <c r="H25" i="19"/>
  <c r="C28" i="133"/>
  <c r="K28" s="1"/>
  <c r="AG29" i="19"/>
  <c r="AL29" s="1"/>
  <c r="E15" i="218"/>
  <c r="K47" i="209"/>
  <c r="K37"/>
  <c r="K42"/>
  <c r="CV28" i="19"/>
  <c r="K14" i="209"/>
  <c r="F28" i="10"/>
  <c r="G27"/>
  <c r="M25" i="19"/>
  <c r="R25" s="1"/>
  <c r="C11" i="218"/>
  <c r="BU25" i="19"/>
  <c r="BZ25" s="1"/>
  <c r="I11" i="218"/>
  <c r="CY25" i="19"/>
  <c r="DD25" s="1"/>
  <c r="L11" i="218"/>
  <c r="S27" i="10"/>
  <c r="R28"/>
  <c r="AN28" i="19"/>
  <c r="E14" i="209"/>
  <c r="CL25" i="19"/>
  <c r="J11" i="209"/>
  <c r="CB24" i="19"/>
  <c r="I10" i="209"/>
  <c r="T24" i="19"/>
  <c r="C10" i="209"/>
  <c r="J24" i="19"/>
  <c r="B10" i="209"/>
  <c r="G27" i="133"/>
  <c r="P27" s="1"/>
  <c r="AQ26" i="19"/>
  <c r="AV26" s="1"/>
  <c r="F12" i="218"/>
  <c r="BI30" i="10"/>
  <c r="BH31"/>
  <c r="AJ31"/>
  <c r="AK30"/>
  <c r="Y30"/>
  <c r="X31"/>
  <c r="M26" i="19" l="1"/>
  <c r="R26" s="1"/>
  <c r="C12" i="218"/>
  <c r="AQ27" i="19"/>
  <c r="AV27" s="1"/>
  <c r="F13" i="218"/>
  <c r="BH29" i="19"/>
  <c r="G15" i="209"/>
  <c r="W27" i="19"/>
  <c r="AB27" s="1"/>
  <c r="D13" i="218"/>
  <c r="F29" i="10"/>
  <c r="G28"/>
  <c r="AW27"/>
  <c r="AV28"/>
  <c r="AD29"/>
  <c r="AE28"/>
  <c r="CO30" i="19"/>
  <c r="CT30" s="1"/>
  <c r="K16" i="218"/>
  <c r="AX26" i="19"/>
  <c r="F12" i="209"/>
  <c r="R29" i="10"/>
  <c r="S28"/>
  <c r="C27" i="19"/>
  <c r="B13" i="218"/>
  <c r="AN29" i="19"/>
  <c r="E15" i="209"/>
  <c r="BU26" i="19"/>
  <c r="BZ26" s="1"/>
  <c r="I12" i="218"/>
  <c r="CY26" i="19"/>
  <c r="DD26" s="1"/>
  <c r="L12" i="218"/>
  <c r="BK26" i="19"/>
  <c r="BP26" s="1"/>
  <c r="H12" i="218"/>
  <c r="H26" i="19"/>
  <c r="C29" i="133"/>
  <c r="K29" s="1"/>
  <c r="AG30" i="19"/>
  <c r="AL30" s="1"/>
  <c r="E16" i="218"/>
  <c r="J25" i="19"/>
  <c r="B11" i="209"/>
  <c r="G28" i="133"/>
  <c r="P28" s="1"/>
  <c r="BC28" i="10"/>
  <c r="BB29"/>
  <c r="AD26" i="19"/>
  <c r="D12" i="209"/>
  <c r="BA30" i="19"/>
  <c r="BF30" s="1"/>
  <c r="G16" i="218"/>
  <c r="CB25" i="19"/>
  <c r="I11" i="209"/>
  <c r="BN28" i="10"/>
  <c r="BO27"/>
  <c r="DF25" i="19"/>
  <c r="L11" i="209"/>
  <c r="T25" i="19"/>
  <c r="C11" i="209"/>
  <c r="CL26" i="19"/>
  <c r="J12" i="209"/>
  <c r="M27" i="10"/>
  <c r="L28"/>
  <c r="CE27" i="19"/>
  <c r="CJ27" s="1"/>
  <c r="J13" i="218"/>
  <c r="BR25" i="19"/>
  <c r="H11" i="209"/>
  <c r="CV29" i="19"/>
  <c r="K15" i="209"/>
  <c r="AQ27" i="10"/>
  <c r="AP28"/>
  <c r="AK31"/>
  <c r="AJ32"/>
  <c r="X32"/>
  <c r="Y31"/>
  <c r="BI31"/>
  <c r="BH32"/>
  <c r="AG31" i="19" l="1"/>
  <c r="AL31" s="1"/>
  <c r="E17" i="218"/>
  <c r="AN30" i="19"/>
  <c r="E16" i="209"/>
  <c r="BR26" i="19"/>
  <c r="H12" i="209"/>
  <c r="H27" i="19"/>
  <c r="C66"/>
  <c r="C30" i="133"/>
  <c r="K30" s="1"/>
  <c r="T26" i="19"/>
  <c r="C12" i="209"/>
  <c r="BK27" i="19"/>
  <c r="BP27" s="1"/>
  <c r="H13" i="218"/>
  <c r="M27" i="19"/>
  <c r="R27" s="1"/>
  <c r="C13" i="218"/>
  <c r="BN29" i="10"/>
  <c r="BO28"/>
  <c r="CE28" i="19"/>
  <c r="CJ28" s="1"/>
  <c r="J14" i="218"/>
  <c r="B42"/>
  <c r="B37"/>
  <c r="AQ28" i="19"/>
  <c r="AV28" s="1"/>
  <c r="F14" i="218"/>
  <c r="C28" i="19"/>
  <c r="B14" i="218"/>
  <c r="AQ28" i="10"/>
  <c r="AP29"/>
  <c r="L29"/>
  <c r="M28"/>
  <c r="CY27" i="19"/>
  <c r="DD27" s="1"/>
  <c r="L13" i="218"/>
  <c r="BB30" i="10"/>
  <c r="BC29"/>
  <c r="J26" i="19"/>
  <c r="B12" i="209"/>
  <c r="G29" i="133"/>
  <c r="P29" s="1"/>
  <c r="DF26" i="19"/>
  <c r="L12" i="209"/>
  <c r="R30" i="10"/>
  <c r="S29"/>
  <c r="CV30" i="19"/>
  <c r="K16" i="209"/>
  <c r="BU27" i="19"/>
  <c r="BZ27" s="1"/>
  <c r="I13" i="218"/>
  <c r="AD27" i="19"/>
  <c r="D13" i="209"/>
  <c r="AX27" i="19"/>
  <c r="F13" i="209"/>
  <c r="J42" i="218"/>
  <c r="J37"/>
  <c r="CB26" i="19"/>
  <c r="I12" i="209"/>
  <c r="AE29" i="10"/>
  <c r="AD30"/>
  <c r="G29"/>
  <c r="F30"/>
  <c r="BH30" i="19"/>
  <c r="G16" i="209"/>
  <c r="CO31" i="19"/>
  <c r="CT31" s="1"/>
  <c r="K17" i="218"/>
  <c r="BA31" i="19"/>
  <c r="BF31" s="1"/>
  <c r="G17" i="218"/>
  <c r="CL27" i="19"/>
  <c r="J13" i="209"/>
  <c r="W28" i="19"/>
  <c r="AB28" s="1"/>
  <c r="D14" i="218"/>
  <c r="AV29" i="10"/>
  <c r="AW28"/>
  <c r="D37" i="218"/>
  <c r="D42"/>
  <c r="F42"/>
  <c r="F37"/>
  <c r="Y32" i="10"/>
  <c r="X33"/>
  <c r="BI32"/>
  <c r="BH33"/>
  <c r="AK32"/>
  <c r="AJ33"/>
  <c r="BA32" i="19" l="1"/>
  <c r="BF32" s="1"/>
  <c r="G18" i="218"/>
  <c r="AG32" i="19"/>
  <c r="AL32" s="1"/>
  <c r="E18" i="218"/>
  <c r="AD28" i="19"/>
  <c r="D14" i="209"/>
  <c r="AQ29" i="19"/>
  <c r="AV29" s="1"/>
  <c r="F15" i="218"/>
  <c r="M28" i="19"/>
  <c r="R28" s="1"/>
  <c r="C14" i="218"/>
  <c r="CY28" i="19"/>
  <c r="DD28" s="1"/>
  <c r="L14" i="218"/>
  <c r="BK28" i="19"/>
  <c r="BP28" s="1"/>
  <c r="H14" i="218"/>
  <c r="AX28" i="19"/>
  <c r="F14" i="209"/>
  <c r="T27" i="19"/>
  <c r="C13" i="209"/>
  <c r="R66" i="19"/>
  <c r="CO32"/>
  <c r="CT32" s="1"/>
  <c r="K18" i="218"/>
  <c r="AW29" i="10"/>
  <c r="AV30"/>
  <c r="CV31" i="19"/>
  <c r="K17" i="209"/>
  <c r="C29" i="19"/>
  <c r="B15" i="218"/>
  <c r="CB27" i="19"/>
  <c r="I13" i="209"/>
  <c r="R31" i="10"/>
  <c r="S30"/>
  <c r="L37" i="218"/>
  <c r="L42"/>
  <c r="AP30" i="10"/>
  <c r="AQ29"/>
  <c r="C42" i="218"/>
  <c r="C37"/>
  <c r="J27" i="19"/>
  <c r="B13" i="209"/>
  <c r="H66" i="19"/>
  <c r="G30" i="133"/>
  <c r="P30" s="1"/>
  <c r="BH31" i="19"/>
  <c r="G17" i="209"/>
  <c r="CE29" i="19"/>
  <c r="CJ29" s="1"/>
  <c r="J15" i="218"/>
  <c r="H42"/>
  <c r="H37"/>
  <c r="AN31" i="19"/>
  <c r="E17" i="209"/>
  <c r="AD31" i="10"/>
  <c r="AE30"/>
  <c r="D47" i="209"/>
  <c r="D42"/>
  <c r="D37"/>
  <c r="DF27" i="19"/>
  <c r="L13" i="209"/>
  <c r="CL28" i="19"/>
  <c r="J14" i="209"/>
  <c r="BU28" i="19"/>
  <c r="BZ28" s="1"/>
  <c r="I14" i="218"/>
  <c r="J42" i="209"/>
  <c r="J37"/>
  <c r="J47"/>
  <c r="F31" i="10"/>
  <c r="G30"/>
  <c r="F47" i="209"/>
  <c r="F37"/>
  <c r="F42"/>
  <c r="I42" i="218"/>
  <c r="I37"/>
  <c r="W29" i="19"/>
  <c r="AB29" s="1"/>
  <c r="D15" i="218"/>
  <c r="BC30" i="10"/>
  <c r="BB31"/>
  <c r="M29"/>
  <c r="L30"/>
  <c r="H28" i="19"/>
  <c r="C31" i="133"/>
  <c r="K31" s="1"/>
  <c r="BO29" i="10"/>
  <c r="BN30"/>
  <c r="BR27" i="19"/>
  <c r="H13" i="209"/>
  <c r="AK33" i="10"/>
  <c r="AJ34"/>
  <c r="BI33"/>
  <c r="BH34"/>
  <c r="Y33"/>
  <c r="X34"/>
  <c r="AG33" i="19" l="1"/>
  <c r="AL33" s="1"/>
  <c r="E19" i="218"/>
  <c r="CE30" i="19"/>
  <c r="CJ30" s="1"/>
  <c r="J16" i="218"/>
  <c r="T28" i="19"/>
  <c r="C14" i="209"/>
  <c r="AP31" i="10"/>
  <c r="AQ30"/>
  <c r="S31"/>
  <c r="R32"/>
  <c r="H29" i="19"/>
  <c r="C32" i="133"/>
  <c r="K32" s="1"/>
  <c r="BU29" i="19"/>
  <c r="BZ29" s="1"/>
  <c r="I15" i="218"/>
  <c r="C47" i="209"/>
  <c r="C37"/>
  <c r="C42"/>
  <c r="CO33" i="19"/>
  <c r="CT33" s="1"/>
  <c r="K19" i="218"/>
  <c r="CY29" i="19"/>
  <c r="DD29" s="1"/>
  <c r="L15" i="218"/>
  <c r="M29" i="19"/>
  <c r="R29" s="1"/>
  <c r="C15" i="218"/>
  <c r="AD29" i="19"/>
  <c r="D15" i="209"/>
  <c r="CB28" i="19"/>
  <c r="I14" i="209"/>
  <c r="AQ30" i="19"/>
  <c r="AV30" s="1"/>
  <c r="F16" i="218"/>
  <c r="B42" i="209"/>
  <c r="B47"/>
  <c r="B37"/>
  <c r="BK29" i="19"/>
  <c r="BP29" s="1"/>
  <c r="H15" i="218"/>
  <c r="W30" i="19"/>
  <c r="AB30" s="1"/>
  <c r="D16" i="218"/>
  <c r="AV31" i="10"/>
  <c r="AW30"/>
  <c r="DF28" i="19"/>
  <c r="L14" i="209"/>
  <c r="AX29" i="19"/>
  <c r="F15" i="209"/>
  <c r="AN32" i="19"/>
  <c r="E18" i="209"/>
  <c r="J28" i="19"/>
  <c r="B14" i="209"/>
  <c r="G31" i="133"/>
  <c r="P31" s="1"/>
  <c r="C30" i="19"/>
  <c r="B16" i="218"/>
  <c r="I47" i="209"/>
  <c r="I42"/>
  <c r="I37"/>
  <c r="BR28" i="19"/>
  <c r="H14" i="209"/>
  <c r="BH32" i="19"/>
  <c r="G18" i="209"/>
  <c r="H47"/>
  <c r="H42"/>
  <c r="H37"/>
  <c r="BC31" i="10"/>
  <c r="BB32"/>
  <c r="AD32"/>
  <c r="AE31"/>
  <c r="BA33" i="19"/>
  <c r="BF33" s="1"/>
  <c r="G19" i="218"/>
  <c r="BN31" i="10"/>
  <c r="BO30"/>
  <c r="M30"/>
  <c r="L31"/>
  <c r="G31"/>
  <c r="F32"/>
  <c r="L47" i="209"/>
  <c r="L42"/>
  <c r="L37"/>
  <c r="CL29" i="19"/>
  <c r="J15" i="209"/>
  <c r="CV32" i="19"/>
  <c r="K18" i="209"/>
  <c r="X35" i="10"/>
  <c r="Y34"/>
  <c r="BI34"/>
  <c r="BH35"/>
  <c r="AJ35"/>
  <c r="AK34"/>
  <c r="L32" l="1"/>
  <c r="M31"/>
  <c r="BC32"/>
  <c r="BB33"/>
  <c r="AV32"/>
  <c r="AW31"/>
  <c r="CB29" i="19"/>
  <c r="I15" i="209"/>
  <c r="AN33" i="19"/>
  <c r="E19" i="209"/>
  <c r="C31" i="19"/>
  <c r="B17" i="218"/>
  <c r="AE32" i="10"/>
  <c r="AD33"/>
  <c r="CV33" i="19"/>
  <c r="K19" i="209"/>
  <c r="CO34" i="19"/>
  <c r="CT34" s="1"/>
  <c r="K20" i="218"/>
  <c r="F33" i="10"/>
  <c r="G32"/>
  <c r="CY30" i="19"/>
  <c r="DD30" s="1"/>
  <c r="L16" i="218"/>
  <c r="AQ31" i="19"/>
  <c r="AV31" s="1"/>
  <c r="F17" i="218"/>
  <c r="AD30" i="19"/>
  <c r="D16" i="209"/>
  <c r="J29" i="19"/>
  <c r="B15" i="209"/>
  <c r="G32" i="133"/>
  <c r="P32" s="1"/>
  <c r="AQ31" i="10"/>
  <c r="AP32"/>
  <c r="CL30" i="19"/>
  <c r="J16" i="209"/>
  <c r="BR29" i="19"/>
  <c r="H15" i="209"/>
  <c r="W31" i="19"/>
  <c r="AB31" s="1"/>
  <c r="D17" i="218"/>
  <c r="AG34" i="19"/>
  <c r="AL34" s="1"/>
  <c r="E20" i="218"/>
  <c r="BN32" i="10"/>
  <c r="BO31"/>
  <c r="BU30" i="19"/>
  <c r="BZ30" s="1"/>
  <c r="I16" i="218"/>
  <c r="T29" i="19"/>
  <c r="C15" i="209"/>
  <c r="R33" i="10"/>
  <c r="S32"/>
  <c r="BA34" i="19"/>
  <c r="BF34" s="1"/>
  <c r="G20" i="218"/>
  <c r="M30" i="19"/>
  <c r="R30" s="1"/>
  <c r="C16" i="218"/>
  <c r="BH33" i="19"/>
  <c r="G19" i="209"/>
  <c r="CE31" i="19"/>
  <c r="CJ31" s="1"/>
  <c r="J17" i="218"/>
  <c r="H30" i="19"/>
  <c r="C33" i="133"/>
  <c r="K33" s="1"/>
  <c r="AX30" i="19"/>
  <c r="F16" i="209"/>
  <c r="DF29" i="19"/>
  <c r="L15" i="209"/>
  <c r="BK30" i="19"/>
  <c r="BP30" s="1"/>
  <c r="H16" i="218"/>
  <c r="AK35" i="10"/>
  <c r="AJ36"/>
  <c r="X36"/>
  <c r="Y35"/>
  <c r="BH36"/>
  <c r="BI35"/>
  <c r="CV34" i="19" l="1"/>
  <c r="K20" i="209"/>
  <c r="AQ32" i="19"/>
  <c r="AV32" s="1"/>
  <c r="F18" i="218"/>
  <c r="L33" i="10"/>
  <c r="M32"/>
  <c r="AG35" i="19"/>
  <c r="AL35" s="1"/>
  <c r="E21" i="218"/>
  <c r="BR30" i="19"/>
  <c r="H16" i="209"/>
  <c r="CL31" i="19"/>
  <c r="J17" i="209"/>
  <c r="R34" i="10"/>
  <c r="S33"/>
  <c r="CB30" i="19"/>
  <c r="I16" i="209"/>
  <c r="BK31" i="19"/>
  <c r="BP31" s="1"/>
  <c r="H17" i="218"/>
  <c r="AE33" i="10"/>
  <c r="AD34"/>
  <c r="BU31" i="19"/>
  <c r="BZ31" s="1"/>
  <c r="I17" i="218"/>
  <c r="M31" i="19"/>
  <c r="R31" s="1"/>
  <c r="C17" i="218"/>
  <c r="BA35" i="19"/>
  <c r="BF35" s="1"/>
  <c r="G21" i="218"/>
  <c r="W32" i="19"/>
  <c r="AB32" s="1"/>
  <c r="D18" i="218"/>
  <c r="AP33" i="10"/>
  <c r="AQ32"/>
  <c r="AX31" i="19"/>
  <c r="F17" i="209"/>
  <c r="G33" i="10"/>
  <c r="F34"/>
  <c r="H31" i="19"/>
  <c r="C34" i="133"/>
  <c r="K34" s="1"/>
  <c r="CE32" i="19"/>
  <c r="CJ32" s="1"/>
  <c r="J18" i="218"/>
  <c r="CY31" i="19"/>
  <c r="DD31" s="1"/>
  <c r="L17" i="218"/>
  <c r="DF30" i="19"/>
  <c r="L16" i="209"/>
  <c r="AV33" i="10"/>
  <c r="AW32"/>
  <c r="CO35" i="19"/>
  <c r="CT35" s="1"/>
  <c r="K21" i="218"/>
  <c r="T30" i="19"/>
  <c r="C16" i="209"/>
  <c r="AN34" i="19"/>
  <c r="E20" i="209"/>
  <c r="J30" i="19"/>
  <c r="B16" i="209"/>
  <c r="G33" i="133"/>
  <c r="P33" s="1"/>
  <c r="BH34" i="19"/>
  <c r="G20" i="209"/>
  <c r="BN33" i="10"/>
  <c r="BO32"/>
  <c r="AD31" i="19"/>
  <c r="D17" i="209"/>
  <c r="C32" i="19"/>
  <c r="B18" i="218"/>
  <c r="BB34" i="10"/>
  <c r="BC33"/>
  <c r="BH37"/>
  <c r="BI36"/>
  <c r="Y36"/>
  <c r="X37"/>
  <c r="AK36"/>
  <c r="AJ37"/>
  <c r="CV35" i="19" l="1"/>
  <c r="K21" i="209"/>
  <c r="CL32" i="19"/>
  <c r="J18" i="209"/>
  <c r="C33" i="19"/>
  <c r="B19" i="218"/>
  <c r="AQ33" i="10"/>
  <c r="AP34"/>
  <c r="BR31" i="19"/>
  <c r="H17" i="209"/>
  <c r="M33" i="10"/>
  <c r="L34"/>
  <c r="AG36" i="19"/>
  <c r="AL36" s="1"/>
  <c r="E22" i="218"/>
  <c r="BC34" i="10"/>
  <c r="BB35"/>
  <c r="BK32" i="19"/>
  <c r="BP32" s="1"/>
  <c r="H18" i="218"/>
  <c r="W33" i="19"/>
  <c r="AB33" s="1"/>
  <c r="D19" i="218"/>
  <c r="M32" i="19"/>
  <c r="R32" s="1"/>
  <c r="C18" i="218"/>
  <c r="DF31" i="19"/>
  <c r="L17" i="209"/>
  <c r="T31" i="19"/>
  <c r="C17" i="209"/>
  <c r="AQ33" i="19"/>
  <c r="AV33" s="1"/>
  <c r="F19" i="218"/>
  <c r="AN35" i="19"/>
  <c r="E21" i="209"/>
  <c r="AX32" i="19"/>
  <c r="F18" i="209"/>
  <c r="CY32" i="19"/>
  <c r="DD32" s="1"/>
  <c r="L18" i="218"/>
  <c r="BH35" i="19"/>
  <c r="G21" i="209"/>
  <c r="CB31" i="19"/>
  <c r="I17" i="209"/>
  <c r="S34" i="10"/>
  <c r="R35"/>
  <c r="F35"/>
  <c r="G34"/>
  <c r="CO36" i="19"/>
  <c r="CT36" s="1"/>
  <c r="K22" i="218"/>
  <c r="CE33" i="19"/>
  <c r="CJ33" s="1"/>
  <c r="J19" i="218"/>
  <c r="AV34" i="10"/>
  <c r="AW33"/>
  <c r="J31" i="19"/>
  <c r="B17" i="209"/>
  <c r="G34" i="133"/>
  <c r="P34" s="1"/>
  <c r="AD32" i="19"/>
  <c r="D18" i="209"/>
  <c r="BA36" i="19"/>
  <c r="BF36" s="1"/>
  <c r="G22" i="218"/>
  <c r="H32" i="19"/>
  <c r="C35" i="133"/>
  <c r="K35" s="1"/>
  <c r="BO33" i="10"/>
  <c r="BN34"/>
  <c r="BU32" i="19"/>
  <c r="BZ32" s="1"/>
  <c r="I18" i="218"/>
  <c r="AE34" i="10"/>
  <c r="AD35"/>
  <c r="BH38"/>
  <c r="BI37"/>
  <c r="AJ38"/>
  <c r="AK37"/>
  <c r="Y37"/>
  <c r="X38"/>
  <c r="CL33" i="19" l="1"/>
  <c r="J19" i="209"/>
  <c r="G35" i="10"/>
  <c r="F36"/>
  <c r="BR32" i="19"/>
  <c r="H18" i="209"/>
  <c r="AQ34" i="19"/>
  <c r="AV34" s="1"/>
  <c r="F20" i="218"/>
  <c r="CY33" i="19"/>
  <c r="DD33" s="1"/>
  <c r="L19" i="218"/>
  <c r="BA37" i="19"/>
  <c r="BF37" s="1"/>
  <c r="G23" i="218"/>
  <c r="AD36" i="10"/>
  <c r="AE35"/>
  <c r="CV36" i="19"/>
  <c r="K22" i="209"/>
  <c r="W34" i="19"/>
  <c r="AB34" s="1"/>
  <c r="D20" i="218"/>
  <c r="AX33" i="19"/>
  <c r="F19" i="209"/>
  <c r="AD33" i="19"/>
  <c r="D19" i="209"/>
  <c r="CE34" i="19"/>
  <c r="CJ34" s="1"/>
  <c r="J20" i="218"/>
  <c r="M33" i="19"/>
  <c r="R33" s="1"/>
  <c r="C19" i="218"/>
  <c r="BK33" i="19"/>
  <c r="BP33" s="1"/>
  <c r="H19" i="218"/>
  <c r="CO37" i="19"/>
  <c r="CT37" s="1"/>
  <c r="K23" i="218"/>
  <c r="DF32" i="19"/>
  <c r="L18" i="209"/>
  <c r="T32" i="19"/>
  <c r="C18" i="209"/>
  <c r="AN36" i="19"/>
  <c r="E22" i="209"/>
  <c r="H33" i="19"/>
  <c r="C36" i="133"/>
  <c r="K36" s="1"/>
  <c r="BH36" i="19"/>
  <c r="G22" i="209"/>
  <c r="C34" i="19"/>
  <c r="B20" i="218"/>
  <c r="BO34" i="10"/>
  <c r="BN35"/>
  <c r="AV35"/>
  <c r="AW34"/>
  <c r="AG37" i="19"/>
  <c r="AL37" s="1"/>
  <c r="E23" i="218"/>
  <c r="CB32" i="19"/>
  <c r="I18" i="209"/>
  <c r="J32" i="19"/>
  <c r="B18" i="209"/>
  <c r="G35" i="133"/>
  <c r="P35" s="1"/>
  <c r="BU33" i="19"/>
  <c r="BZ33" s="1"/>
  <c r="I19" i="218"/>
  <c r="S35" i="10"/>
  <c r="R36"/>
  <c r="BB36"/>
  <c r="BC35"/>
  <c r="M34"/>
  <c r="L35"/>
  <c r="AP35"/>
  <c r="AQ34"/>
  <c r="AJ39"/>
  <c r="AK38"/>
  <c r="BH39"/>
  <c r="BI38"/>
  <c r="X39"/>
  <c r="Y38"/>
  <c r="BA38" i="19" l="1"/>
  <c r="BF38" s="1"/>
  <c r="G24" i="218"/>
  <c r="AW35" i="10"/>
  <c r="AV36"/>
  <c r="CV37" i="19"/>
  <c r="K23" i="209"/>
  <c r="AD34" i="19"/>
  <c r="D20" i="209"/>
  <c r="AD37" i="10"/>
  <c r="AE36"/>
  <c r="AP36"/>
  <c r="AQ35"/>
  <c r="BB37"/>
  <c r="BC36"/>
  <c r="BU34" i="19"/>
  <c r="BZ34" s="1"/>
  <c r="I20" i="218"/>
  <c r="AQ35" i="19"/>
  <c r="AV35" s="1"/>
  <c r="F21" i="218"/>
  <c r="CE35" i="19"/>
  <c r="CJ35" s="1"/>
  <c r="J21" i="218"/>
  <c r="BR33" i="19"/>
  <c r="H19" i="209"/>
  <c r="CL34" i="19"/>
  <c r="J20" i="209"/>
  <c r="BH37" i="19"/>
  <c r="G23" i="209"/>
  <c r="AX34" i="19"/>
  <c r="F20" i="209"/>
  <c r="C35" i="19"/>
  <c r="B21" i="218"/>
  <c r="AG38" i="19"/>
  <c r="AL38" s="1"/>
  <c r="E24" i="218"/>
  <c r="L36" i="10"/>
  <c r="M35"/>
  <c r="S36"/>
  <c r="R37"/>
  <c r="H34" i="19"/>
  <c r="C37" i="133"/>
  <c r="K37" s="1"/>
  <c r="J33" i="19"/>
  <c r="B19" i="209"/>
  <c r="G36" i="133"/>
  <c r="P36" s="1"/>
  <c r="T33" i="19"/>
  <c r="C19" i="209"/>
  <c r="DF33" i="19"/>
  <c r="L19" i="209"/>
  <c r="CB33" i="19"/>
  <c r="I19" i="209"/>
  <c r="CO38" i="19"/>
  <c r="CT38" s="1"/>
  <c r="K24" i="218"/>
  <c r="BK34" i="19"/>
  <c r="BP34" s="1"/>
  <c r="H20" i="218"/>
  <c r="AN37" i="19"/>
  <c r="E23" i="209"/>
  <c r="CY34" i="19"/>
  <c r="DD34" s="1"/>
  <c r="L20" i="218"/>
  <c r="M34" i="19"/>
  <c r="R34" s="1"/>
  <c r="C20" i="218"/>
  <c r="W35" i="19"/>
  <c r="AB35" s="1"/>
  <c r="D21" i="218"/>
  <c r="BO35" i="10"/>
  <c r="BN36"/>
  <c r="F37"/>
  <c r="G36"/>
  <c r="Y39"/>
  <c r="X40"/>
  <c r="BH40"/>
  <c r="BI39"/>
  <c r="AK39"/>
  <c r="AJ40"/>
  <c r="BN37" l="1"/>
  <c r="BO36"/>
  <c r="K43" i="218"/>
  <c r="K38"/>
  <c r="M36" i="10"/>
  <c r="L37"/>
  <c r="AX35" i="19"/>
  <c r="F21" i="209"/>
  <c r="BH38" i="19"/>
  <c r="G24" i="209"/>
  <c r="AD35" i="19"/>
  <c r="D21" i="209"/>
  <c r="BR34" i="19"/>
  <c r="H20" i="209"/>
  <c r="M35" i="19"/>
  <c r="R35" s="1"/>
  <c r="C21" i="218"/>
  <c r="CE36" i="19"/>
  <c r="CJ36" s="1"/>
  <c r="J22" i="218"/>
  <c r="AQ36" i="19"/>
  <c r="AV36" s="1"/>
  <c r="F22" i="218"/>
  <c r="CO39" i="19"/>
  <c r="CT39" s="1"/>
  <c r="K25" i="218"/>
  <c r="W36" i="19"/>
  <c r="AB36" s="1"/>
  <c r="D22" i="218"/>
  <c r="AN38" i="19"/>
  <c r="E24" i="209"/>
  <c r="CL35" i="19"/>
  <c r="J21" i="209"/>
  <c r="CB34" i="19"/>
  <c r="I20" i="209"/>
  <c r="AQ36" i="10"/>
  <c r="AP37"/>
  <c r="BU35" i="19"/>
  <c r="BZ35" s="1"/>
  <c r="I21" i="218"/>
  <c r="J34" i="19"/>
  <c r="B20" i="209"/>
  <c r="G37" i="133"/>
  <c r="P37" s="1"/>
  <c r="H35" i="19"/>
  <c r="C38" i="133"/>
  <c r="K38" s="1"/>
  <c r="BC37" i="10"/>
  <c r="BB38"/>
  <c r="AD38"/>
  <c r="AE37"/>
  <c r="F38"/>
  <c r="G37"/>
  <c r="DF34" i="19"/>
  <c r="L20" i="209"/>
  <c r="G43" i="218"/>
  <c r="G38"/>
  <c r="C36" i="19"/>
  <c r="B22" i="218"/>
  <c r="BA39" i="19"/>
  <c r="BF39" s="1"/>
  <c r="G25" i="218"/>
  <c r="AG39" i="19"/>
  <c r="AL39" s="1"/>
  <c r="E25" i="218"/>
  <c r="CY35" i="19"/>
  <c r="DD35" s="1"/>
  <c r="L21" i="218"/>
  <c r="T34" i="19"/>
  <c r="C20" i="209"/>
  <c r="CV38" i="19"/>
  <c r="K24" i="209"/>
  <c r="CT67" i="19"/>
  <c r="R38" i="10"/>
  <c r="S37"/>
  <c r="E43" i="218"/>
  <c r="E38"/>
  <c r="BK35" i="19"/>
  <c r="BP35" s="1"/>
  <c r="H21" i="218"/>
  <c r="AW36" i="10"/>
  <c r="AV37"/>
  <c r="BI40"/>
  <c r="BH41"/>
  <c r="BH42" s="1"/>
  <c r="AK40"/>
  <c r="AJ41"/>
  <c r="Y40"/>
  <c r="X41"/>
  <c r="X42" s="1"/>
  <c r="BU36" i="19" l="1"/>
  <c r="BZ36" s="1"/>
  <c r="I22" i="218"/>
  <c r="K48" i="209"/>
  <c r="K38"/>
  <c r="K43"/>
  <c r="BC38" i="10"/>
  <c r="BB39"/>
  <c r="CL36" i="19"/>
  <c r="J22" i="209"/>
  <c r="BO37" i="10"/>
  <c r="BN38"/>
  <c r="CO40" i="19"/>
  <c r="CT40" s="1"/>
  <c r="K26" i="218"/>
  <c r="AW37" i="10"/>
  <c r="AV38"/>
  <c r="H36" i="19"/>
  <c r="C39" i="133"/>
  <c r="K39" s="1"/>
  <c r="AE38" i="10"/>
  <c r="AD39"/>
  <c r="CY36" i="19"/>
  <c r="DD36" s="1"/>
  <c r="L22" i="218"/>
  <c r="BR35" i="19"/>
  <c r="H21" i="209"/>
  <c r="R39" i="10"/>
  <c r="S38"/>
  <c r="AQ37" i="19"/>
  <c r="AV37" s="1"/>
  <c r="F23" i="218"/>
  <c r="BK36" i="19"/>
  <c r="BP36" s="1"/>
  <c r="H22" i="218"/>
  <c r="AD36" i="19"/>
  <c r="D22" i="209"/>
  <c r="AX36" i="19"/>
  <c r="F22" i="209"/>
  <c r="T35" i="19"/>
  <c r="C21" i="209"/>
  <c r="C37" i="19"/>
  <c r="B23" i="218"/>
  <c r="CB35" i="19"/>
  <c r="I21" i="209"/>
  <c r="CV39" i="19"/>
  <c r="K25" i="209"/>
  <c r="M36" i="19"/>
  <c r="R36" s="1"/>
  <c r="C22" i="218"/>
  <c r="AG40" i="19"/>
  <c r="AL40" s="1"/>
  <c r="E26" i="218"/>
  <c r="AN39" i="19"/>
  <c r="E25" i="209"/>
  <c r="J35" i="19"/>
  <c r="B21" i="209"/>
  <c r="G38" i="133"/>
  <c r="P38" s="1"/>
  <c r="E48" i="209"/>
  <c r="E43"/>
  <c r="E38"/>
  <c r="G43"/>
  <c r="G48"/>
  <c r="G38"/>
  <c r="L38" i="10"/>
  <c r="M37"/>
  <c r="BA40" i="19"/>
  <c r="BF40" s="1"/>
  <c r="G26" i="218"/>
  <c r="W37" i="19"/>
  <c r="AB37" s="1"/>
  <c r="D23" i="218"/>
  <c r="DF35" i="19"/>
  <c r="L21" i="209"/>
  <c r="BH39" i="19"/>
  <c r="G25" i="209"/>
  <c r="F39" i="10"/>
  <c r="G38"/>
  <c r="CE37" i="19"/>
  <c r="CJ37" s="1"/>
  <c r="J23" i="218"/>
  <c r="AP38" i="10"/>
  <c r="AQ37"/>
  <c r="Y42"/>
  <c r="E28" i="218" s="1"/>
  <c r="X43" i="10"/>
  <c r="BI42"/>
  <c r="K28" i="218" s="1"/>
  <c r="BH43" i="10"/>
  <c r="Y41"/>
  <c r="AJ42"/>
  <c r="AJ43" s="1"/>
  <c r="AK41"/>
  <c r="BI41"/>
  <c r="AD37" i="19" l="1"/>
  <c r="D23" i="209"/>
  <c r="AG41" i="19"/>
  <c r="AL41" s="1"/>
  <c r="E27" i="218"/>
  <c r="M37" i="19"/>
  <c r="R37" s="1"/>
  <c r="C23" i="218"/>
  <c r="T36" i="19"/>
  <c r="C22" i="209"/>
  <c r="AX37" i="19"/>
  <c r="F23" i="209"/>
  <c r="AQ38" i="19"/>
  <c r="AV38" s="1"/>
  <c r="F24" i="218"/>
  <c r="BU37" i="19"/>
  <c r="BZ37" s="1"/>
  <c r="I23" i="218"/>
  <c r="CE38" i="19"/>
  <c r="CJ38" s="1"/>
  <c r="J24" i="218"/>
  <c r="CO41" i="19"/>
  <c r="CT41" s="1"/>
  <c r="K27" i="218"/>
  <c r="AP39" i="10"/>
  <c r="AQ38"/>
  <c r="F40"/>
  <c r="G39"/>
  <c r="BH40" i="19"/>
  <c r="G26" i="209"/>
  <c r="AD40" i="10"/>
  <c r="AE39"/>
  <c r="AV39"/>
  <c r="AW38"/>
  <c r="BO38"/>
  <c r="BN39"/>
  <c r="BB40"/>
  <c r="BC39"/>
  <c r="CL37" i="19"/>
  <c r="J23" i="209"/>
  <c r="L39" i="10"/>
  <c r="M38"/>
  <c r="W38" i="19"/>
  <c r="AB38" s="1"/>
  <c r="D24" i="218"/>
  <c r="CB36" i="19"/>
  <c r="I22" i="209"/>
  <c r="CY37" i="19"/>
  <c r="DD37" s="1"/>
  <c r="L23" i="218"/>
  <c r="BA41" i="19"/>
  <c r="BF41" s="1"/>
  <c r="G27" i="218"/>
  <c r="BK37" i="19"/>
  <c r="BP37" s="1"/>
  <c r="H23" i="218"/>
  <c r="C38" i="19"/>
  <c r="B24" i="218"/>
  <c r="AN40" i="19"/>
  <c r="E26" i="209"/>
  <c r="H37" i="19"/>
  <c r="C40" i="133"/>
  <c r="K40" s="1"/>
  <c r="BR36" i="19"/>
  <c r="H22" i="209"/>
  <c r="S39" i="10"/>
  <c r="R40"/>
  <c r="DF36" i="19"/>
  <c r="L22" i="209"/>
  <c r="J36" i="19"/>
  <c r="B22" i="209"/>
  <c r="G39" i="133"/>
  <c r="P39" s="1"/>
  <c r="CV40" i="19"/>
  <c r="K26" i="209"/>
  <c r="AK43" i="10"/>
  <c r="G29" i="218" s="1"/>
  <c r="AJ44" i="10"/>
  <c r="AJ45" s="1"/>
  <c r="AJ46" s="1"/>
  <c r="BI43"/>
  <c r="K29" i="218" s="1"/>
  <c r="BH44" i="10"/>
  <c r="BH45" s="1"/>
  <c r="BH46" s="1"/>
  <c r="Y43"/>
  <c r="E29" i="218" s="1"/>
  <c r="X44" i="10"/>
  <c r="X45" s="1"/>
  <c r="X46" s="1"/>
  <c r="CO42" i="19"/>
  <c r="CT42" s="1"/>
  <c r="AK42" i="10"/>
  <c r="AG42" i="19"/>
  <c r="AL42" s="1"/>
  <c r="CV42" l="1"/>
  <c r="K28" i="209"/>
  <c r="BR37" i="19"/>
  <c r="H23" i="209"/>
  <c r="DF37" i="19"/>
  <c r="L23" i="209"/>
  <c r="CV41" i="19"/>
  <c r="K27" i="209"/>
  <c r="T37" i="19"/>
  <c r="C23" i="209"/>
  <c r="BA42" i="19"/>
  <c r="BF42" s="1"/>
  <c r="G28" i="218"/>
  <c r="BO39" i="10"/>
  <c r="BN40"/>
  <c r="C39" i="19"/>
  <c r="B25" i="218"/>
  <c r="W39" i="19"/>
  <c r="AB39" s="1"/>
  <c r="D25" i="218"/>
  <c r="J37" i="19"/>
  <c r="B23" i="209"/>
  <c r="G40" i="133"/>
  <c r="P40" s="1"/>
  <c r="H38" i="19"/>
  <c r="C67"/>
  <c r="C41" i="133"/>
  <c r="K41" s="1"/>
  <c r="L40" i="10"/>
  <c r="M39"/>
  <c r="BB41"/>
  <c r="BC40"/>
  <c r="AW39"/>
  <c r="AV40"/>
  <c r="AP40"/>
  <c r="AQ39"/>
  <c r="CL38" i="19"/>
  <c r="J24" i="209"/>
  <c r="AX38" i="19"/>
  <c r="F24" i="209"/>
  <c r="AN41" i="19"/>
  <c r="E27" i="209"/>
  <c r="AN42" i="19"/>
  <c r="E28" i="209"/>
  <c r="AD38" i="19"/>
  <c r="D24" i="209"/>
  <c r="CY38" i="19"/>
  <c r="DD38" s="1"/>
  <c r="L24" i="218"/>
  <c r="AD41" i="10"/>
  <c r="AE40"/>
  <c r="F41"/>
  <c r="G40"/>
  <c r="CB37" i="19"/>
  <c r="I23" i="209"/>
  <c r="D43" i="218"/>
  <c r="D38"/>
  <c r="AQ39" i="19"/>
  <c r="AV39" s="1"/>
  <c r="F25" i="218"/>
  <c r="BH41" i="19"/>
  <c r="G27" i="209"/>
  <c r="S40" i="10"/>
  <c r="R41"/>
  <c r="B38" i="218"/>
  <c r="B43"/>
  <c r="M38" i="19"/>
  <c r="R38" s="1"/>
  <c r="C24" i="218"/>
  <c r="CE39" i="19"/>
  <c r="CJ39" s="1"/>
  <c r="J25" i="218"/>
  <c r="BU38" i="19"/>
  <c r="BZ38" s="1"/>
  <c r="I24" i="218"/>
  <c r="BK38" i="19"/>
  <c r="BP38" s="1"/>
  <c r="H24" i="218"/>
  <c r="J38"/>
  <c r="J43"/>
  <c r="F43"/>
  <c r="F38"/>
  <c r="Y46" i="10"/>
  <c r="BI46"/>
  <c r="AK46"/>
  <c r="Y45"/>
  <c r="E31" i="218" s="1"/>
  <c r="BI45" i="10"/>
  <c r="K31" i="218" s="1"/>
  <c r="AK45" i="10"/>
  <c r="G31" i="218" s="1"/>
  <c r="Y44" i="10"/>
  <c r="E30" i="218" s="1"/>
  <c r="BI44" i="10"/>
  <c r="K30" i="218" s="1"/>
  <c r="AK44" i="10"/>
  <c r="G30" i="218" s="1"/>
  <c r="AG43" i="19"/>
  <c r="AL43" s="1"/>
  <c r="CO43"/>
  <c r="CT43" s="1"/>
  <c r="BA43"/>
  <c r="BF43" s="1"/>
  <c r="CO46" l="1"/>
  <c r="CT46" s="1"/>
  <c r="K32" i="218"/>
  <c r="T38" i="19"/>
  <c r="C24" i="209"/>
  <c r="R67" i="19"/>
  <c r="W40"/>
  <c r="AB40" s="1"/>
  <c r="D26" i="218"/>
  <c r="AD39" i="19"/>
  <c r="D25" i="209"/>
  <c r="I38" i="218"/>
  <c r="I43"/>
  <c r="C43"/>
  <c r="C38"/>
  <c r="AQ40" i="19"/>
  <c r="AV40" s="1"/>
  <c r="F26" i="218"/>
  <c r="D43" i="209"/>
  <c r="D48"/>
  <c r="D38"/>
  <c r="J48"/>
  <c r="J43"/>
  <c r="J38"/>
  <c r="AW40" i="10"/>
  <c r="AV41"/>
  <c r="M39" i="19"/>
  <c r="R39" s="1"/>
  <c r="C25" i="218"/>
  <c r="J38" i="19"/>
  <c r="B24" i="209"/>
  <c r="H67" i="19"/>
  <c r="G41" i="133"/>
  <c r="P41" s="1"/>
  <c r="BO40" i="10"/>
  <c r="BN41"/>
  <c r="BR38" i="19"/>
  <c r="H24" i="209"/>
  <c r="CL39" i="19"/>
  <c r="J25" i="209"/>
  <c r="F42" i="10"/>
  <c r="G41"/>
  <c r="DF38" i="19"/>
  <c r="L24" i="209"/>
  <c r="AP41" i="10"/>
  <c r="AQ40"/>
  <c r="BB42"/>
  <c r="BC41"/>
  <c r="H39" i="19"/>
  <c r="C42" i="133"/>
  <c r="K42" s="1"/>
  <c r="BH42" i="19"/>
  <c r="G28" i="209"/>
  <c r="AN43" i="19"/>
  <c r="E29" i="209"/>
  <c r="BA46" i="19"/>
  <c r="G32" i="218"/>
  <c r="CB38" i="19"/>
  <c r="I24" i="209"/>
  <c r="AX39" i="19"/>
  <c r="F25" i="209"/>
  <c r="AE41" i="10"/>
  <c r="AD42"/>
  <c r="BU39" i="19"/>
  <c r="BZ39" s="1"/>
  <c r="I25" i="218"/>
  <c r="L41" i="10"/>
  <c r="M40"/>
  <c r="CY39" i="19"/>
  <c r="DD39" s="1"/>
  <c r="L25" i="218"/>
  <c r="CV43" i="19"/>
  <c r="K29" i="209"/>
  <c r="S41" i="10"/>
  <c r="R42"/>
  <c r="BH43" i="19"/>
  <c r="G29" i="209"/>
  <c r="AG46" i="19"/>
  <c r="AL46" s="1"/>
  <c r="E32" i="209" s="1"/>
  <c r="E32" i="218"/>
  <c r="H43"/>
  <c r="H38"/>
  <c r="C40" i="19"/>
  <c r="B26" i="218"/>
  <c r="L43"/>
  <c r="L38"/>
  <c r="F48" i="209"/>
  <c r="F43"/>
  <c r="F38"/>
  <c r="BK39" i="19"/>
  <c r="BP39" s="1"/>
  <c r="H25" i="218"/>
  <c r="CE40" i="19"/>
  <c r="CJ40" s="1"/>
  <c r="J26" i="218"/>
  <c r="BF46" i="19"/>
  <c r="G32" i="209" s="1"/>
  <c r="BA44" i="19"/>
  <c r="BF44" s="1"/>
  <c r="G30" i="209" s="1"/>
  <c r="AG44" i="19"/>
  <c r="AL44" s="1"/>
  <c r="E30" i="209" s="1"/>
  <c r="CO44" i="19"/>
  <c r="CT44" s="1"/>
  <c r="K30" i="209" s="1"/>
  <c r="K32" l="1"/>
  <c r="CT68" i="19"/>
  <c r="E49" i="209"/>
  <c r="E39"/>
  <c r="E44"/>
  <c r="BR39" i="19"/>
  <c r="H25" i="209"/>
  <c r="M40" i="19"/>
  <c r="R40" s="1"/>
  <c r="C26" i="218"/>
  <c r="I48" i="209"/>
  <c r="I43"/>
  <c r="I38"/>
  <c r="C41" i="19"/>
  <c r="B27" i="218"/>
  <c r="H48" i="209"/>
  <c r="H38"/>
  <c r="H43"/>
  <c r="G49"/>
  <c r="G44"/>
  <c r="G39"/>
  <c r="H40" i="19"/>
  <c r="C43" i="133"/>
  <c r="K43" s="1"/>
  <c r="W41" i="19"/>
  <c r="AB41" s="1"/>
  <c r="D27" i="218"/>
  <c r="CB39" i="19"/>
  <c r="I25" i="209"/>
  <c r="BB43" i="10"/>
  <c r="BC42"/>
  <c r="CY40" i="19"/>
  <c r="DD40" s="1"/>
  <c r="L26" i="218"/>
  <c r="BU40" i="19"/>
  <c r="BZ40" s="1"/>
  <c r="I26" i="218"/>
  <c r="AX40" i="19"/>
  <c r="F26" i="209"/>
  <c r="AD40" i="19"/>
  <c r="D26" i="209"/>
  <c r="K44" i="218"/>
  <c r="K39"/>
  <c r="CL40" i="19"/>
  <c r="J26" i="209"/>
  <c r="E44" i="218"/>
  <c r="E39"/>
  <c r="R43" i="10"/>
  <c r="S42"/>
  <c r="G39" i="218"/>
  <c r="G44"/>
  <c r="CE41" i="19"/>
  <c r="CJ41" s="1"/>
  <c r="J27" i="218"/>
  <c r="L43" i="209"/>
  <c r="L38"/>
  <c r="L48"/>
  <c r="BN42" i="10"/>
  <c r="BO41"/>
  <c r="B48" i="209"/>
  <c r="B43"/>
  <c r="B38"/>
  <c r="AV42" i="10"/>
  <c r="AW41"/>
  <c r="AD43"/>
  <c r="AE42"/>
  <c r="BK40" i="19"/>
  <c r="BP40" s="1"/>
  <c r="H26" i="218"/>
  <c r="DF39" i="19"/>
  <c r="L25" i="209"/>
  <c r="M41" i="10"/>
  <c r="L42"/>
  <c r="AQ41" i="19"/>
  <c r="AV41" s="1"/>
  <c r="F27" i="218"/>
  <c r="J39" i="19"/>
  <c r="B25" i="209"/>
  <c r="G42" i="133"/>
  <c r="P42" s="1"/>
  <c r="AP42" i="10"/>
  <c r="AQ41"/>
  <c r="F43"/>
  <c r="G42"/>
  <c r="T39" i="19"/>
  <c r="C25" i="209"/>
  <c r="C48"/>
  <c r="C38"/>
  <c r="C43"/>
  <c r="AN46" i="19"/>
  <c r="CV46"/>
  <c r="BH46"/>
  <c r="K5" i="41"/>
  <c r="CV44" i="19"/>
  <c r="BH44"/>
  <c r="G5" i="41"/>
  <c r="E5"/>
  <c r="AN44" i="19"/>
  <c r="H27" i="218" l="1"/>
  <c r="BK41" i="19"/>
  <c r="BP41" s="1"/>
  <c r="M41"/>
  <c r="R41" s="1"/>
  <c r="C27" i="218"/>
  <c r="AW42" i="10"/>
  <c r="AV43"/>
  <c r="DF40" i="19"/>
  <c r="L26" i="209"/>
  <c r="J40" i="19"/>
  <c r="B26" i="209"/>
  <c r="G43" i="133"/>
  <c r="P43" s="1"/>
  <c r="H41" i="19"/>
  <c r="C44" i="133"/>
  <c r="K44" s="1"/>
  <c r="K49" i="209"/>
  <c r="K44"/>
  <c r="K39"/>
  <c r="L43" i="10"/>
  <c r="M42"/>
  <c r="C42" i="19"/>
  <c r="B28" i="218"/>
  <c r="AX41" i="19"/>
  <c r="F27" i="209"/>
  <c r="AD44" i="10"/>
  <c r="AE43"/>
  <c r="CL41" i="19"/>
  <c r="J27" i="209"/>
  <c r="R44" i="10"/>
  <c r="S43"/>
  <c r="CB40" i="19"/>
  <c r="I26" i="209"/>
  <c r="BB44" i="10"/>
  <c r="BC43"/>
  <c r="AD41" i="19"/>
  <c r="D27" i="209"/>
  <c r="BR40" i="19"/>
  <c r="H26" i="209"/>
  <c r="CY41" i="19"/>
  <c r="DD41" s="1"/>
  <c r="L27" i="218"/>
  <c r="G43" i="10"/>
  <c r="F44"/>
  <c r="BU41" i="19"/>
  <c r="BZ41" s="1"/>
  <c r="I27" i="218"/>
  <c r="AP43" i="10"/>
  <c r="AQ42"/>
  <c r="AQ42" i="19"/>
  <c r="AV42" s="1"/>
  <c r="F28" i="218"/>
  <c r="BN43" i="10"/>
  <c r="BO42"/>
  <c r="W42" i="19"/>
  <c r="AB42" s="1"/>
  <c r="D28" i="218"/>
  <c r="J28"/>
  <c r="CE42" i="19"/>
  <c r="CJ42" s="1"/>
  <c r="T40"/>
  <c r="C26" i="209"/>
  <c r="CO45" i="19"/>
  <c r="BA45"/>
  <c r="AG45"/>
  <c r="AX42" l="1"/>
  <c r="F28" i="209"/>
  <c r="DF41" i="19"/>
  <c r="L27" i="209"/>
  <c r="M42" i="19"/>
  <c r="R42" s="1"/>
  <c r="C28" i="218"/>
  <c r="BR41" i="19"/>
  <c r="H27" i="209"/>
  <c r="BN44" i="10"/>
  <c r="BO43"/>
  <c r="AP44"/>
  <c r="AQ43"/>
  <c r="C43" i="19"/>
  <c r="B29" i="218"/>
  <c r="BB45" i="10"/>
  <c r="BC44"/>
  <c r="R45"/>
  <c r="S44"/>
  <c r="AD45"/>
  <c r="AE44"/>
  <c r="H42" i="19"/>
  <c r="C45" i="133"/>
  <c r="K45" s="1"/>
  <c r="T41" i="19"/>
  <c r="C27" i="209"/>
  <c r="AD42" i="19"/>
  <c r="D28" i="209"/>
  <c r="CB41" i="19"/>
  <c r="I27" i="209"/>
  <c r="L44" i="10"/>
  <c r="M43"/>
  <c r="I28" i="218"/>
  <c r="BU42" i="19"/>
  <c r="BZ42" s="1"/>
  <c r="AW43" i="10"/>
  <c r="AV44"/>
  <c r="CL42" i="19"/>
  <c r="J28" i="209"/>
  <c r="CY42" i="19"/>
  <c r="DD42" s="1"/>
  <c r="L28" i="218"/>
  <c r="H28"/>
  <c r="BK42" i="19"/>
  <c r="BP42" s="1"/>
  <c r="F45" i="10"/>
  <c r="G44"/>
  <c r="J29" i="218"/>
  <c r="CE43" i="19"/>
  <c r="CJ43" s="1"/>
  <c r="D29" i="218"/>
  <c r="W43" i="19"/>
  <c r="AB43" s="1"/>
  <c r="F29" i="218"/>
  <c r="AQ43" i="19"/>
  <c r="AV43" s="1"/>
  <c r="J41"/>
  <c r="B27" i="209"/>
  <c r="G44" i="133"/>
  <c r="P44" s="1"/>
  <c r="CT45" i="19"/>
  <c r="K31" i="209" s="1"/>
  <c r="AL45" i="19"/>
  <c r="E31" i="209" s="1"/>
  <c r="BF45" i="19"/>
  <c r="G31" i="209" s="1"/>
  <c r="F46" i="10" l="1"/>
  <c r="G46" s="1"/>
  <c r="G45"/>
  <c r="I29" i="218"/>
  <c r="BU43" i="19"/>
  <c r="BZ43" s="1"/>
  <c r="R46" i="10"/>
  <c r="S46" s="1"/>
  <c r="S45"/>
  <c r="T42" i="19"/>
  <c r="C28" i="209"/>
  <c r="AD43" i="19"/>
  <c r="D29" i="209"/>
  <c r="M43" i="19"/>
  <c r="R43" s="1"/>
  <c r="C29" i="218"/>
  <c r="D30"/>
  <c r="W44" i="19"/>
  <c r="AB44" s="1"/>
  <c r="L29" i="218"/>
  <c r="CY43" i="19"/>
  <c r="DD43" s="1"/>
  <c r="AD46" i="10"/>
  <c r="AE45"/>
  <c r="BB46"/>
  <c r="BC46" s="1"/>
  <c r="BC45"/>
  <c r="AP45"/>
  <c r="AQ44"/>
  <c r="DF42" i="19"/>
  <c r="L28" i="209"/>
  <c r="L45" i="10"/>
  <c r="M44"/>
  <c r="J42" i="19"/>
  <c r="B28" i="209"/>
  <c r="G45" i="133"/>
  <c r="P45" s="1"/>
  <c r="H43" i="19"/>
  <c r="C46" i="133"/>
  <c r="K46" s="1"/>
  <c r="BN45" i="10"/>
  <c r="BO44"/>
  <c r="C44" i="19"/>
  <c r="B30" i="218"/>
  <c r="AV45" i="10"/>
  <c r="AW44"/>
  <c r="AX43" i="19"/>
  <c r="F29" i="209"/>
  <c r="CL43" i="19"/>
  <c r="J29" i="209"/>
  <c r="BR42" i="19"/>
  <c r="H28" i="209"/>
  <c r="CB42" i="19"/>
  <c r="I28" i="209"/>
  <c r="F30" i="218"/>
  <c r="AQ44" i="19"/>
  <c r="AV44" s="1"/>
  <c r="J30" i="218"/>
  <c r="CE44" i="19"/>
  <c r="CJ44" s="1"/>
  <c r="H29" i="218"/>
  <c r="BK43" i="19"/>
  <c r="BP43" s="1"/>
  <c r="BH45"/>
  <c r="AN45"/>
  <c r="CV45"/>
  <c r="I30" i="218" l="1"/>
  <c r="BU44" i="19"/>
  <c r="BZ44" s="1"/>
  <c r="AP46" i="10"/>
  <c r="AQ46" s="1"/>
  <c r="AQ45"/>
  <c r="C46" i="19"/>
  <c r="B32" i="218"/>
  <c r="H44" i="19"/>
  <c r="C47" i="133"/>
  <c r="K47" s="1"/>
  <c r="C30" i="218"/>
  <c r="M44" i="19"/>
  <c r="R44" s="1"/>
  <c r="D30" i="209"/>
  <c r="D5" i="41"/>
  <c r="AD44" i="19"/>
  <c r="B31" i="218"/>
  <c r="C45" i="19"/>
  <c r="BR43"/>
  <c r="H29" i="209"/>
  <c r="F30"/>
  <c r="F5" i="41"/>
  <c r="AX44" i="19"/>
  <c r="CE46"/>
  <c r="CJ46" s="1"/>
  <c r="J32" i="218"/>
  <c r="T43" i="19"/>
  <c r="C29" i="209"/>
  <c r="J30"/>
  <c r="J5" i="41"/>
  <c r="CL44" i="19"/>
  <c r="L30" i="218"/>
  <c r="CY44" i="19"/>
  <c r="DD44" s="1"/>
  <c r="M45" i="10"/>
  <c r="L46"/>
  <c r="M46" s="1"/>
  <c r="W46" i="19"/>
  <c r="AB46" s="1"/>
  <c r="D32" i="218"/>
  <c r="J43" i="19"/>
  <c r="B29" i="209"/>
  <c r="G46" i="133"/>
  <c r="P46" s="1"/>
  <c r="H30" i="218"/>
  <c r="BK44" i="19"/>
  <c r="BP44" s="1"/>
  <c r="F31" i="218"/>
  <c r="AE46" i="10"/>
  <c r="AQ45" i="19"/>
  <c r="AV45" s="1"/>
  <c r="D31" i="218"/>
  <c r="W45" i="19"/>
  <c r="AB45" s="1"/>
  <c r="AV46" i="10"/>
  <c r="AW46" s="1"/>
  <c r="AW45"/>
  <c r="BN46"/>
  <c r="BO46" s="1"/>
  <c r="BO45"/>
  <c r="J31" i="218"/>
  <c r="CE45" i="19"/>
  <c r="CJ45" s="1"/>
  <c r="DF43"/>
  <c r="L29" i="209"/>
  <c r="CB43" i="19"/>
  <c r="I29" i="209"/>
  <c r="D55" i="20"/>
  <c r="D56" s="1"/>
  <c r="D58" s="1"/>
  <c r="J31" i="209" l="1"/>
  <c r="CL45" i="19"/>
  <c r="F31" i="209"/>
  <c r="AX45" i="19"/>
  <c r="D44" i="218"/>
  <c r="D39"/>
  <c r="L30" i="209"/>
  <c r="DF44" i="19"/>
  <c r="L5" i="41"/>
  <c r="J32" i="209"/>
  <c r="CL46" i="19"/>
  <c r="C68"/>
  <c r="C49" i="133"/>
  <c r="K49" s="1"/>
  <c r="H46" i="19"/>
  <c r="CY46"/>
  <c r="DD46" s="1"/>
  <c r="L32" i="218"/>
  <c r="H30" i="209"/>
  <c r="H5" i="41"/>
  <c r="BR44" i="19"/>
  <c r="C31" i="218"/>
  <c r="M45" i="19"/>
  <c r="R45" s="1"/>
  <c r="J44" i="218"/>
  <c r="J39"/>
  <c r="C30" i="209"/>
  <c r="C5" i="41"/>
  <c r="T44" i="19"/>
  <c r="B44" i="218"/>
  <c r="B39"/>
  <c r="I30" i="209"/>
  <c r="I5" i="41"/>
  <c r="CB44" i="19"/>
  <c r="L31" i="218"/>
  <c r="CY45" i="19"/>
  <c r="DD45" s="1"/>
  <c r="D31" i="209"/>
  <c r="AD45" i="19"/>
  <c r="M46"/>
  <c r="R46" s="1"/>
  <c r="C32" i="218"/>
  <c r="H45" i="19"/>
  <c r="C48" i="133"/>
  <c r="K48" s="1"/>
  <c r="B30" i="209"/>
  <c r="G47" i="133"/>
  <c r="P47" s="1"/>
  <c r="B5" i="41"/>
  <c r="J44" i="19"/>
  <c r="BK46"/>
  <c r="BP46" s="1"/>
  <c r="H32" i="218"/>
  <c r="J6" i="41"/>
  <c r="J41" s="1"/>
  <c r="I31" i="218"/>
  <c r="BU45" i="19"/>
  <c r="BZ45" s="1"/>
  <c r="BU46"/>
  <c r="BZ46" s="1"/>
  <c r="I32" i="218"/>
  <c r="F32"/>
  <c r="AQ46" i="19"/>
  <c r="AV46" s="1"/>
  <c r="AE47" i="10"/>
  <c r="AD46" i="19"/>
  <c r="D32" i="209"/>
  <c r="H31" i="218"/>
  <c r="BK45" i="19"/>
  <c r="BP45" s="1"/>
  <c r="D57" i="20"/>
  <c r="C6" i="41" l="1"/>
  <c r="C41" s="1"/>
  <c r="L6"/>
  <c r="L41" s="1"/>
  <c r="F32" i="209"/>
  <c r="AX46" i="19"/>
  <c r="H44" i="218"/>
  <c r="H39"/>
  <c r="L31" i="209"/>
  <c r="DF45" i="19"/>
  <c r="C47" i="41"/>
  <c r="C46"/>
  <c r="C49"/>
  <c r="L49"/>
  <c r="L47"/>
  <c r="L46"/>
  <c r="H31" i="209"/>
  <c r="BR45" i="19"/>
  <c r="I32" i="209"/>
  <c r="CB46" i="19"/>
  <c r="B6" i="41"/>
  <c r="B41" s="1"/>
  <c r="K6"/>
  <c r="K41" s="1"/>
  <c r="E6"/>
  <c r="E41" s="1"/>
  <c r="G6"/>
  <c r="G41" s="1"/>
  <c r="B32" i="209"/>
  <c r="H68" i="19"/>
  <c r="G49" i="133"/>
  <c r="P49" s="1"/>
  <c r="J46" i="19"/>
  <c r="J49" i="209"/>
  <c r="J44"/>
  <c r="J39"/>
  <c r="I44" i="218"/>
  <c r="I39"/>
  <c r="L32" i="209"/>
  <c r="DF46" i="19"/>
  <c r="I6" i="41"/>
  <c r="I41" s="1"/>
  <c r="H6"/>
  <c r="H41" s="1"/>
  <c r="D6"/>
  <c r="D41" s="1"/>
  <c r="F6"/>
  <c r="F41" s="1"/>
  <c r="I31" i="209"/>
  <c r="CB45" i="19"/>
  <c r="C44" i="218"/>
  <c r="C39"/>
  <c r="C31" i="209"/>
  <c r="T45" i="19"/>
  <c r="AE48" i="10"/>
  <c r="F33" i="218"/>
  <c r="J46" i="41"/>
  <c r="J47"/>
  <c r="J49"/>
  <c r="J45" i="19"/>
  <c r="B31" i="209"/>
  <c r="G48" i="133"/>
  <c r="P48" s="1"/>
  <c r="D44" i="209"/>
  <c r="D49"/>
  <c r="D39"/>
  <c r="F39" i="218"/>
  <c r="F44"/>
  <c r="H32" i="209"/>
  <c r="BR46" i="19"/>
  <c r="T46"/>
  <c r="C32" i="209"/>
  <c r="R68" i="19"/>
  <c r="L44" i="218"/>
  <c r="L39"/>
  <c r="D59" i="20"/>
  <c r="W46" s="1"/>
  <c r="AF48" i="22" s="1"/>
  <c r="AH48" s="1"/>
  <c r="C45" i="20"/>
  <c r="Q28"/>
  <c r="W30" i="22" s="1"/>
  <c r="Y30" s="1"/>
  <c r="BJ30" i="62" s="1"/>
  <c r="Q7" i="20"/>
  <c r="W9" i="22" s="1"/>
  <c r="Y9" s="1"/>
  <c r="I32" i="20"/>
  <c r="K34" i="22" s="1"/>
  <c r="M34" s="1"/>
  <c r="K19" i="20"/>
  <c r="N21" i="22" s="1"/>
  <c r="P21" s="1"/>
  <c r="G8" i="20"/>
  <c r="H10" i="22" s="1"/>
  <c r="J10" s="1"/>
  <c r="V10" i="62" s="1"/>
  <c r="E39" i="20"/>
  <c r="E41" i="22" s="1"/>
  <c r="G41" s="1"/>
  <c r="I25" i="20"/>
  <c r="K27" i="22" s="1"/>
  <c r="M27" s="1"/>
  <c r="G15" i="20"/>
  <c r="H17" i="22" s="1"/>
  <c r="J17" s="1"/>
  <c r="G38" i="20"/>
  <c r="H40" i="22" s="1"/>
  <c r="J40" s="1"/>
  <c r="V40" i="38" s="1"/>
  <c r="D26" i="203" s="1"/>
  <c r="S6" i="20"/>
  <c r="Z8" i="22" s="1"/>
  <c r="AB8" s="1"/>
  <c r="S10" i="20"/>
  <c r="Z12" i="22" s="1"/>
  <c r="AB12" s="1"/>
  <c r="C15" i="20"/>
  <c r="B17" i="22" s="1"/>
  <c r="D17" s="1"/>
  <c r="M40" i="20"/>
  <c r="Q42" i="22" s="1"/>
  <c r="S42" s="1"/>
  <c r="AT42" i="38" s="1"/>
  <c r="G28" i="203" s="1"/>
  <c r="U35" i="20"/>
  <c r="AC37" i="22" s="1"/>
  <c r="AE37" s="1"/>
  <c r="Q12" i="20"/>
  <c r="W14" i="22" s="1"/>
  <c r="Y14" s="1"/>
  <c r="BJ14" i="62" s="1"/>
  <c r="W32" i="20"/>
  <c r="AF34" i="22" s="1"/>
  <c r="AH34" s="1"/>
  <c r="O22" i="20"/>
  <c r="T24" i="22" s="1"/>
  <c r="V24" s="1"/>
  <c r="BB24" i="62" s="1"/>
  <c r="G35" i="20"/>
  <c r="H37" i="22" s="1"/>
  <c r="J37" s="1"/>
  <c r="G28" i="20"/>
  <c r="H30" i="22" s="1"/>
  <c r="J30" s="1"/>
  <c r="V30" i="62" s="1"/>
  <c r="U17" i="20"/>
  <c r="AC19" i="22" s="1"/>
  <c r="AE19" s="1"/>
  <c r="K17" i="20"/>
  <c r="N19" i="22" s="1"/>
  <c r="P19" s="1"/>
  <c r="AL19" i="38" s="1"/>
  <c r="F5" i="203" s="1"/>
  <c r="I40" i="20"/>
  <c r="K42" i="22" s="1"/>
  <c r="M42" s="1"/>
  <c r="Q34" i="20"/>
  <c r="W36" i="22" s="1"/>
  <c r="Y36" s="1"/>
  <c r="BJ36" i="62" s="1"/>
  <c r="Q25" i="20"/>
  <c r="W27" i="22" s="1"/>
  <c r="Y27" s="1"/>
  <c r="M43" i="20"/>
  <c r="Q45" i="22" s="1"/>
  <c r="S45" s="1"/>
  <c r="AT45" i="38" s="1"/>
  <c r="G31" i="203" s="1"/>
  <c r="I9" i="20"/>
  <c r="K11" i="22" s="1"/>
  <c r="M11" s="1"/>
  <c r="E40" i="20"/>
  <c r="E42" i="22" s="1"/>
  <c r="G42" s="1"/>
  <c r="N42" i="62" s="1"/>
  <c r="K38" i="20"/>
  <c r="N40" i="22" s="1"/>
  <c r="P40" s="1"/>
  <c r="E30" i="20"/>
  <c r="E32" i="22" s="1"/>
  <c r="G32" s="1"/>
  <c r="N32" i="62" s="1"/>
  <c r="O15" i="20"/>
  <c r="T17" i="22" s="1"/>
  <c r="V17" s="1"/>
  <c r="BB17" i="38" s="1"/>
  <c r="W10" i="20"/>
  <c r="AF12" i="22" s="1"/>
  <c r="AH12" s="1"/>
  <c r="CH12" i="62" s="1"/>
  <c r="M35" i="20"/>
  <c r="Q37" i="22" s="1"/>
  <c r="S37" s="1"/>
  <c r="O21" i="20"/>
  <c r="T23" i="22" s="1"/>
  <c r="V23" s="1"/>
  <c r="BB23" i="62" s="1"/>
  <c r="U32" i="20"/>
  <c r="AC34" i="22" s="1"/>
  <c r="AE34" s="1"/>
  <c r="C32" i="20"/>
  <c r="B34" i="22" s="1"/>
  <c r="D34" s="1"/>
  <c r="F34" i="62" s="1"/>
  <c r="K29" i="20"/>
  <c r="N31" i="22" s="1"/>
  <c r="P31" s="1"/>
  <c r="S7" i="20"/>
  <c r="Z9" i="22" s="1"/>
  <c r="AB9" s="1"/>
  <c r="BR9" i="38" s="1"/>
  <c r="C20" i="20"/>
  <c r="B22" i="22" s="1"/>
  <c r="D22" s="1"/>
  <c r="W38" i="20"/>
  <c r="AF40" i="22" s="1"/>
  <c r="AH40" s="1"/>
  <c r="CH40" i="62" s="1"/>
  <c r="M32" i="20"/>
  <c r="Q34" i="22" s="1"/>
  <c r="S34" s="1"/>
  <c r="G40" i="20"/>
  <c r="H42" i="22" s="1"/>
  <c r="J42" s="1"/>
  <c r="V42" i="62" s="1"/>
  <c r="E8" i="20"/>
  <c r="E10" i="22" s="1"/>
  <c r="G10" s="1"/>
  <c r="Q19" i="20"/>
  <c r="W21" i="22" s="1"/>
  <c r="Y21" s="1"/>
  <c r="BJ21" i="62" s="1"/>
  <c r="S33" i="20"/>
  <c r="Z35" i="22" s="1"/>
  <c r="AB35" s="1"/>
  <c r="G9" i="20"/>
  <c r="H11" i="22" s="1"/>
  <c r="J11" s="1"/>
  <c r="V11" i="62" s="1"/>
  <c r="G27" i="20"/>
  <c r="H29" i="22" s="1"/>
  <c r="J29" s="1"/>
  <c r="K34" i="20"/>
  <c r="N36" i="22" s="1"/>
  <c r="P36" s="1"/>
  <c r="AL36" i="62" s="1"/>
  <c r="G24" i="20"/>
  <c r="H26" i="22" s="1"/>
  <c r="J26" s="1"/>
  <c r="U40" i="20"/>
  <c r="AC42" i="22" s="1"/>
  <c r="AE42" s="1"/>
  <c r="BZ42" i="38" s="1"/>
  <c r="K28" i="203" s="1"/>
  <c r="E15" i="20"/>
  <c r="E17" i="22" s="1"/>
  <c r="G17" s="1"/>
  <c r="E14" i="20"/>
  <c r="E16" i="22" s="1"/>
  <c r="G16" s="1"/>
  <c r="N16" i="38" s="1"/>
  <c r="G10" i="20"/>
  <c r="H12" i="22" s="1"/>
  <c r="J12" s="1"/>
  <c r="G7" i="20"/>
  <c r="H9" i="22" s="1"/>
  <c r="J9" s="1"/>
  <c r="V9" i="38" s="1"/>
  <c r="Q29" i="20"/>
  <c r="W31" i="22" s="1"/>
  <c r="Y31" s="1"/>
  <c r="O43" i="20"/>
  <c r="T45" i="22" s="1"/>
  <c r="V45" s="1"/>
  <c r="BB45" i="62" s="1"/>
  <c r="I42" i="20"/>
  <c r="K44" i="22" s="1"/>
  <c r="M44" s="1"/>
  <c r="E38" i="20"/>
  <c r="E40" i="22" s="1"/>
  <c r="G40" s="1"/>
  <c r="N40" i="38" s="1"/>
  <c r="C26" i="203" s="1"/>
  <c r="S38" i="20"/>
  <c r="Z40" i="22" s="1"/>
  <c r="AB40" s="1"/>
  <c r="U14" i="20"/>
  <c r="AC16" i="22" s="1"/>
  <c r="AE16" s="1"/>
  <c r="BZ16" i="62" s="1"/>
  <c r="M24" i="20"/>
  <c r="Q26" i="22" s="1"/>
  <c r="S26" s="1"/>
  <c r="S17" i="20"/>
  <c r="Z19" i="22" s="1"/>
  <c r="AB19" s="1"/>
  <c r="BR19" i="62" s="1"/>
  <c r="Q10" i="20"/>
  <c r="W12" i="22" s="1"/>
  <c r="Y12" s="1"/>
  <c r="BJ12" i="38" s="1"/>
  <c r="S32" i="20"/>
  <c r="Z34" i="22" s="1"/>
  <c r="AB34" s="1"/>
  <c r="BR34" i="62" s="1"/>
  <c r="W23" i="20"/>
  <c r="AF25" i="22" s="1"/>
  <c r="AH25" s="1"/>
  <c r="O9" i="20"/>
  <c r="T11" i="22" s="1"/>
  <c r="V11" s="1"/>
  <c r="BB11" i="38" s="1"/>
  <c r="K6" i="20"/>
  <c r="N8" i="22" s="1"/>
  <c r="P8" s="1"/>
  <c r="U10" i="20"/>
  <c r="AC12" i="22" s="1"/>
  <c r="AE12" s="1"/>
  <c r="K22" i="20"/>
  <c r="N24" i="22" s="1"/>
  <c r="P24" s="1"/>
  <c r="U33" i="20"/>
  <c r="AC35" i="22" s="1"/>
  <c r="AE35" s="1"/>
  <c r="BZ35" i="38" s="1"/>
  <c r="K21" i="203" s="1"/>
  <c r="Q39" i="20"/>
  <c r="W41" i="22" s="1"/>
  <c r="Y41" s="1"/>
  <c r="W15" i="20"/>
  <c r="AF17" i="22" s="1"/>
  <c r="AH17" s="1"/>
  <c r="Q17" i="20"/>
  <c r="W19" i="22" s="1"/>
  <c r="Y19" s="1"/>
  <c r="Q20" i="20"/>
  <c r="W22" i="22" s="1"/>
  <c r="Y22" s="1"/>
  <c r="BJ22" i="38" s="1"/>
  <c r="I8" i="203" s="1"/>
  <c r="W6" i="20"/>
  <c r="AF8" i="22" s="1"/>
  <c r="AH8" s="1"/>
  <c r="Q8" i="20"/>
  <c r="W10" i="22" s="1"/>
  <c r="Y10" s="1"/>
  <c r="C37" i="20"/>
  <c r="B39" i="22" s="1"/>
  <c r="D39" s="1"/>
  <c r="O11" i="20"/>
  <c r="T13" i="22" s="1"/>
  <c r="V13" s="1"/>
  <c r="BB13" i="38" s="1"/>
  <c r="I21" i="20"/>
  <c r="K23" i="22" s="1"/>
  <c r="M23" s="1"/>
  <c r="K23" i="20"/>
  <c r="N25" i="22" s="1"/>
  <c r="P25" s="1"/>
  <c r="M22" i="20"/>
  <c r="Q24" i="22" s="1"/>
  <c r="S24" s="1"/>
  <c r="U24" i="20"/>
  <c r="AC26" i="22" s="1"/>
  <c r="AE26" s="1"/>
  <c r="BZ26" i="62" s="1"/>
  <c r="C33" i="20"/>
  <c r="B35" i="22" s="1"/>
  <c r="D35" s="1"/>
  <c r="Q41" i="20"/>
  <c r="W43" i="22" s="1"/>
  <c r="Y43" s="1"/>
  <c r="G45" i="20"/>
  <c r="C6"/>
  <c r="B8" i="22" s="1"/>
  <c r="D8" s="1"/>
  <c r="F8" i="62" s="1"/>
  <c r="W17" i="20"/>
  <c r="AF19" i="22" s="1"/>
  <c r="AH19" s="1"/>
  <c r="I30" i="20"/>
  <c r="K32" i="22" s="1"/>
  <c r="M32" s="1"/>
  <c r="W11" i="20"/>
  <c r="AF13" i="22" s="1"/>
  <c r="AH13" s="1"/>
  <c r="I38" i="20"/>
  <c r="K40" i="22" s="1"/>
  <c r="M40" s="1"/>
  <c r="AD40" i="62" s="1"/>
  <c r="K31" i="20"/>
  <c r="N33" i="22" s="1"/>
  <c r="P33" s="1"/>
  <c r="M41" i="20"/>
  <c r="Q43" i="22" s="1"/>
  <c r="S43" s="1"/>
  <c r="I10" i="20"/>
  <c r="K12" i="22" s="1"/>
  <c r="M12" s="1"/>
  <c r="K42" i="20"/>
  <c r="N44" i="22" s="1"/>
  <c r="P44" s="1"/>
  <c r="AL44" i="62" s="1"/>
  <c r="U23" i="20"/>
  <c r="AC25" i="22" s="1"/>
  <c r="AE25" s="1"/>
  <c r="M13" i="20"/>
  <c r="Q15" i="22" s="1"/>
  <c r="S15" s="1"/>
  <c r="G19" i="20"/>
  <c r="H21" i="22" s="1"/>
  <c r="J21" s="1"/>
  <c r="E23" i="20"/>
  <c r="E25" i="22" s="1"/>
  <c r="G25" s="1"/>
  <c r="N25" i="62" s="1"/>
  <c r="K41" i="20"/>
  <c r="N43" i="22" s="1"/>
  <c r="P43" s="1"/>
  <c r="C7" i="20"/>
  <c r="B9" i="22" s="1"/>
  <c r="D9" s="1"/>
  <c r="K33" i="20"/>
  <c r="N35" i="22" s="1"/>
  <c r="P35" s="1"/>
  <c r="E35" i="20"/>
  <c r="E37" i="22" s="1"/>
  <c r="G37" s="1"/>
  <c r="N37" i="62" s="1"/>
  <c r="S14" i="20"/>
  <c r="Z16" i="22" s="1"/>
  <c r="AB16" s="1"/>
  <c r="BR16" i="38" s="1"/>
  <c r="K11" i="20"/>
  <c r="N13" i="22" s="1"/>
  <c r="P13" s="1"/>
  <c r="C38" i="20"/>
  <c r="B40" i="22" s="1"/>
  <c r="D40" s="1"/>
  <c r="I17" i="20"/>
  <c r="K19" i="22" s="1"/>
  <c r="M19" s="1"/>
  <c r="AD19" i="38" s="1"/>
  <c r="E5" i="203" s="1"/>
  <c r="M27" i="20"/>
  <c r="Q29" i="22" s="1"/>
  <c r="S29" s="1"/>
  <c r="Q30" i="20"/>
  <c r="W32" i="22" s="1"/>
  <c r="Y32" s="1"/>
  <c r="I36" i="20"/>
  <c r="K38" i="22" s="1"/>
  <c r="M38" s="1"/>
  <c r="U43" i="20"/>
  <c r="AC45" i="22" s="1"/>
  <c r="AE45" s="1"/>
  <c r="BZ45" i="62" s="1"/>
  <c r="W9" i="20"/>
  <c r="AF11" i="22" s="1"/>
  <c r="AH11" s="1"/>
  <c r="CH11" i="38" s="1"/>
  <c r="G41" i="20"/>
  <c r="H43" i="22" s="1"/>
  <c r="J43" s="1"/>
  <c r="U42" i="20"/>
  <c r="AC44" i="22" s="1"/>
  <c r="AE44" s="1"/>
  <c r="E17" i="20"/>
  <c r="E19" i="22" s="1"/>
  <c r="G19" s="1"/>
  <c r="N19" i="38" s="1"/>
  <c r="C5" i="203" s="1"/>
  <c r="W21" i="20"/>
  <c r="AF23" i="22" s="1"/>
  <c r="AH23" s="1"/>
  <c r="E43" i="20"/>
  <c r="E45" i="22" s="1"/>
  <c r="G45" s="1"/>
  <c r="W20" i="20"/>
  <c r="AF22" i="22" s="1"/>
  <c r="AH22" s="1"/>
  <c r="M12" i="20"/>
  <c r="Q14" i="22" s="1"/>
  <c r="S14" s="1"/>
  <c r="AT14" i="62" s="1"/>
  <c r="S36" i="20"/>
  <c r="Z38" i="22" s="1"/>
  <c r="AB38" s="1"/>
  <c r="S12" i="20"/>
  <c r="Z14" i="22" s="1"/>
  <c r="AB14" s="1"/>
  <c r="E21" i="20"/>
  <c r="E23" i="22" s="1"/>
  <c r="G23" s="1"/>
  <c r="S39" i="20"/>
  <c r="Z41" i="22" s="1"/>
  <c r="AB41" s="1"/>
  <c r="BR41" i="38" s="1"/>
  <c r="J27" i="203" s="1"/>
  <c r="G29" i="20"/>
  <c r="H31" i="22" s="1"/>
  <c r="J31" s="1"/>
  <c r="G39" i="20"/>
  <c r="H41" i="22" s="1"/>
  <c r="J41" s="1"/>
  <c r="S40" i="20"/>
  <c r="Z42" i="22" s="1"/>
  <c r="AB42" s="1"/>
  <c r="G17" i="20"/>
  <c r="H19" i="22" s="1"/>
  <c r="J19" s="1"/>
  <c r="V19" i="62" s="1"/>
  <c r="I11" i="20"/>
  <c r="K13" i="22" s="1"/>
  <c r="M13" s="1"/>
  <c r="AD13" i="38" s="1"/>
  <c r="O13" i="20"/>
  <c r="T15" i="22" s="1"/>
  <c r="V15" s="1"/>
  <c r="K37" i="20"/>
  <c r="N39" i="22" s="1"/>
  <c r="P39" s="1"/>
  <c r="S27" i="20"/>
  <c r="Z29" i="22" s="1"/>
  <c r="AB29" s="1"/>
  <c r="BR29" i="38" s="1"/>
  <c r="J15" i="203" s="1"/>
  <c r="M21" i="20"/>
  <c r="Q23" i="22" s="1"/>
  <c r="S23" s="1"/>
  <c r="G25" i="20"/>
  <c r="H27" i="22" s="1"/>
  <c r="J27" s="1"/>
  <c r="S28" i="20"/>
  <c r="Z30" i="22" s="1"/>
  <c r="AB30" s="1"/>
  <c r="S22" i="20"/>
  <c r="Z24" i="22" s="1"/>
  <c r="AB24" s="1"/>
  <c r="BR24" i="38" s="1"/>
  <c r="J10" i="203" s="1"/>
  <c r="Q15" i="20"/>
  <c r="W17" i="22" s="1"/>
  <c r="Y17" s="1"/>
  <c r="Q32" i="20"/>
  <c r="W34" i="22" s="1"/>
  <c r="Y34" s="1"/>
  <c r="W8" i="20"/>
  <c r="AF10" i="22" s="1"/>
  <c r="AH10" s="1"/>
  <c r="S35" i="20"/>
  <c r="Z37" i="22" s="1"/>
  <c r="AB37" s="1"/>
  <c r="BR37" i="62" s="1"/>
  <c r="G42" i="20"/>
  <c r="H44" i="22" s="1"/>
  <c r="J44" s="1"/>
  <c r="W28" i="20"/>
  <c r="AF30" i="22" s="1"/>
  <c r="AH30" s="1"/>
  <c r="M39" i="20"/>
  <c r="Q41" i="22" s="1"/>
  <c r="S41" s="1"/>
  <c r="O41" i="20"/>
  <c r="T43" i="22" s="1"/>
  <c r="V43" s="1"/>
  <c r="BB43" i="62" s="1"/>
  <c r="I35" i="20"/>
  <c r="K37" i="22" s="1"/>
  <c r="M37" s="1"/>
  <c r="M8" i="20"/>
  <c r="Q10" i="22" s="1"/>
  <c r="S10" s="1"/>
  <c r="E42" i="20"/>
  <c r="E44" i="22" s="1"/>
  <c r="G44" s="1"/>
  <c r="M42" i="20"/>
  <c r="Q44" i="22" s="1"/>
  <c r="S44" s="1"/>
  <c r="AT44" i="38" s="1"/>
  <c r="G30" i="203" s="1"/>
  <c r="K10" i="20"/>
  <c r="N12" i="22" s="1"/>
  <c r="P12" s="1"/>
  <c r="M33" i="20"/>
  <c r="Q35" i="22" s="1"/>
  <c r="S35" s="1"/>
  <c r="C31" i="20"/>
  <c r="B33" i="22" s="1"/>
  <c r="D33" s="1"/>
  <c r="G43" i="20"/>
  <c r="H45" i="22" s="1"/>
  <c r="J45" s="1"/>
  <c r="V45" i="38" s="1"/>
  <c r="D31" i="203" s="1"/>
  <c r="G22" i="20"/>
  <c r="H24" i="22" s="1"/>
  <c r="J24" s="1"/>
  <c r="E26" i="20"/>
  <c r="E28" i="22" s="1"/>
  <c r="G28" s="1"/>
  <c r="N28" i="62" s="1"/>
  <c r="S23" i="20"/>
  <c r="Z25" i="22" s="1"/>
  <c r="AB25" s="1"/>
  <c r="K24" i="20"/>
  <c r="N26" i="22" s="1"/>
  <c r="P26" s="1"/>
  <c r="U21" i="20"/>
  <c r="AC23" i="22" s="1"/>
  <c r="AE23" s="1"/>
  <c r="G37" i="20"/>
  <c r="H39" i="22" s="1"/>
  <c r="J39" s="1"/>
  <c r="V39" i="62" s="1"/>
  <c r="K7" i="20"/>
  <c r="N9" i="22" s="1"/>
  <c r="P9" s="1"/>
  <c r="Q40" i="20"/>
  <c r="W42" i="22" s="1"/>
  <c r="Y42" s="1"/>
  <c r="K18" i="20"/>
  <c r="N20" i="22" s="1"/>
  <c r="P20" s="1"/>
  <c r="S21" i="20"/>
  <c r="Z23" i="22" s="1"/>
  <c r="AB23" s="1"/>
  <c r="BR23" i="62" s="1"/>
  <c r="I29" i="20"/>
  <c r="K31" i="22" s="1"/>
  <c r="M31" s="1"/>
  <c r="Q9" i="20"/>
  <c r="W11" i="22" s="1"/>
  <c r="Y11" s="1"/>
  <c r="M30" i="20"/>
  <c r="Q32" i="22" s="1"/>
  <c r="S32" s="1"/>
  <c r="I7" i="20"/>
  <c r="K9" i="22" s="1"/>
  <c r="M9" s="1"/>
  <c r="AD9" i="38" s="1"/>
  <c r="E19" i="20"/>
  <c r="E21" i="22" s="1"/>
  <c r="G21" s="1"/>
  <c r="N21" i="62" s="1"/>
  <c r="W43" i="20"/>
  <c r="AF45" i="22" s="1"/>
  <c r="AH45" s="1"/>
  <c r="I31" i="20"/>
  <c r="K33" i="22" s="1"/>
  <c r="M33" s="1"/>
  <c r="C26" i="20"/>
  <c r="B28" i="22" s="1"/>
  <c r="D28" s="1"/>
  <c r="F28" i="38" s="1"/>
  <c r="AT32" i="62"/>
  <c r="BJ34" i="38"/>
  <c r="I20" i="203" s="1"/>
  <c r="AT23" i="62"/>
  <c r="AL39" i="38"/>
  <c r="F25" i="203" s="1"/>
  <c r="BR42" i="62"/>
  <c r="V31"/>
  <c r="N23" i="38"/>
  <c r="C9" i="203" s="1"/>
  <c r="BR38" i="38"/>
  <c r="J24" i="203" s="1"/>
  <c r="CH22" i="38"/>
  <c r="L8" i="203" s="1"/>
  <c r="CH23" i="38"/>
  <c r="L9" i="203" s="1"/>
  <c r="BZ44" i="38"/>
  <c r="K30" i="203" s="1"/>
  <c r="AD38" i="62"/>
  <c r="AT29"/>
  <c r="F40"/>
  <c r="AL35" i="38"/>
  <c r="F21" i="203" s="1"/>
  <c r="AL43" i="38"/>
  <c r="F29" i="203" s="1"/>
  <c r="V21" i="38"/>
  <c r="D7" i="203" s="1"/>
  <c r="BZ25" i="62"/>
  <c r="AD12" i="38"/>
  <c r="AL33"/>
  <c r="F19" i="203" s="1"/>
  <c r="CH13" i="38"/>
  <c r="CH19"/>
  <c r="L5" i="203" s="1"/>
  <c r="O45" i="20"/>
  <c r="W45"/>
  <c r="U45"/>
  <c r="I44"/>
  <c r="K44"/>
  <c r="S44"/>
  <c r="U8"/>
  <c r="AC10" i="22" s="1"/>
  <c r="AE10" s="1"/>
  <c r="E37" i="20"/>
  <c r="E39" i="22" s="1"/>
  <c r="G39" s="1"/>
  <c r="G6" i="20"/>
  <c r="H8" i="22" s="1"/>
  <c r="J8" s="1"/>
  <c r="S25" i="20"/>
  <c r="Z27" i="22" s="1"/>
  <c r="AB27" s="1"/>
  <c r="S24" i="20"/>
  <c r="Z26" i="22" s="1"/>
  <c r="AB26" s="1"/>
  <c r="G33" i="20"/>
  <c r="H35" i="22" s="1"/>
  <c r="J35" s="1"/>
  <c r="K30" i="20"/>
  <c r="N32" i="22" s="1"/>
  <c r="P32" s="1"/>
  <c r="M29" i="20"/>
  <c r="Q31" i="22" s="1"/>
  <c r="S31" s="1"/>
  <c r="O25" i="20"/>
  <c r="T27" i="22" s="1"/>
  <c r="V27" s="1"/>
  <c r="O37" i="20"/>
  <c r="T39" i="22" s="1"/>
  <c r="V39" s="1"/>
  <c r="G23" i="20"/>
  <c r="H25" i="22" s="1"/>
  <c r="J25" s="1"/>
  <c r="Q14" i="20"/>
  <c r="W16" i="22" s="1"/>
  <c r="Y16" s="1"/>
  <c r="K32" i="20"/>
  <c r="N34" i="22" s="1"/>
  <c r="P34" s="1"/>
  <c r="O12" i="20"/>
  <c r="T14" i="22" s="1"/>
  <c r="V14" s="1"/>
  <c r="Q38" i="20"/>
  <c r="W40" i="22" s="1"/>
  <c r="Y40" s="1"/>
  <c r="K36" i="20"/>
  <c r="N38" i="22" s="1"/>
  <c r="P38" s="1"/>
  <c r="U22" i="20"/>
  <c r="AC24" i="22" s="1"/>
  <c r="AE24" s="1"/>
  <c r="U38" i="20"/>
  <c r="AC40" i="22" s="1"/>
  <c r="AE40" s="1"/>
  <c r="F35" i="38"/>
  <c r="AT24"/>
  <c r="G10" i="203" s="1"/>
  <c r="AD23" i="38"/>
  <c r="E9" i="203" s="1"/>
  <c r="F39" i="38"/>
  <c r="CH8"/>
  <c r="BJ19"/>
  <c r="I5" i="203" s="1"/>
  <c r="BJ41" i="38"/>
  <c r="I27" i="203" s="1"/>
  <c r="AL24" i="62"/>
  <c r="AL8"/>
  <c r="CH25"/>
  <c r="AT26"/>
  <c r="BR40" i="38"/>
  <c r="J26" i="203" s="1"/>
  <c r="AD44" i="38"/>
  <c r="E30" i="203" s="1"/>
  <c r="BJ31" i="62"/>
  <c r="V12"/>
  <c r="N17"/>
  <c r="V26"/>
  <c r="V29"/>
  <c r="BR35" i="38"/>
  <c r="J21" i="203" s="1"/>
  <c r="N10" i="62"/>
  <c r="AT34"/>
  <c r="F22" i="38"/>
  <c r="AL31"/>
  <c r="F17" i="203" s="1"/>
  <c r="BZ34" i="38"/>
  <c r="K20" i="203" s="1"/>
  <c r="AT37" i="38"/>
  <c r="G23" i="203" s="1"/>
  <c r="AL40" i="38"/>
  <c r="F26" i="203" s="1"/>
  <c r="AD11" i="38"/>
  <c r="BJ27" i="62"/>
  <c r="AD42"/>
  <c r="BZ19"/>
  <c r="V37"/>
  <c r="CH34" i="38"/>
  <c r="L20" i="203" s="1"/>
  <c r="BZ37" i="38"/>
  <c r="K23" i="203" s="1"/>
  <c r="F17" i="38"/>
  <c r="BR8"/>
  <c r="V17" i="62"/>
  <c r="N41" i="38"/>
  <c r="C27" i="203" s="1"/>
  <c r="AL21" i="62"/>
  <c r="BJ9" i="38"/>
  <c r="I45" i="20"/>
  <c r="Q45"/>
  <c r="U44"/>
  <c r="G44"/>
  <c r="E34"/>
  <c r="E36" i="22" s="1"/>
  <c r="G36" s="1"/>
  <c r="I23" i="20"/>
  <c r="K25" i="22" s="1"/>
  <c r="M25" s="1"/>
  <c r="C12" i="20"/>
  <c r="B14" i="22" s="1"/>
  <c r="D14" s="1"/>
  <c r="M25" i="20"/>
  <c r="Q27" i="22" s="1"/>
  <c r="S27" s="1"/>
  <c r="O14" i="20"/>
  <c r="T16" i="22" s="1"/>
  <c r="V16" s="1"/>
  <c r="Q22" i="20"/>
  <c r="W24" i="22" s="1"/>
  <c r="Y24" s="1"/>
  <c r="O19" i="20"/>
  <c r="T21" i="22" s="1"/>
  <c r="V21" s="1"/>
  <c r="M37" i="20"/>
  <c r="Q39" i="22" s="1"/>
  <c r="S39" s="1"/>
  <c r="O32" i="20"/>
  <c r="T34" i="22" s="1"/>
  <c r="V34" s="1"/>
  <c r="S34" i="20"/>
  <c r="Z36" i="22" s="1"/>
  <c r="AB36" s="1"/>
  <c r="W7" i="20"/>
  <c r="AF9" i="22" s="1"/>
  <c r="AH9" s="1"/>
  <c r="O34" i="20"/>
  <c r="T36" i="22" s="1"/>
  <c r="V36" s="1"/>
  <c r="C10" i="20"/>
  <c r="B12" i="22" s="1"/>
  <c r="D12" s="1"/>
  <c r="U31" i="20"/>
  <c r="AC33" i="22" s="1"/>
  <c r="AE33" s="1"/>
  <c r="Q23" i="20"/>
  <c r="W25" i="22" s="1"/>
  <c r="Y25" s="1"/>
  <c r="M28" i="20"/>
  <c r="Q30" i="22" s="1"/>
  <c r="S30" s="1"/>
  <c r="K25" i="20"/>
  <c r="N27" i="22" s="1"/>
  <c r="P27" s="1"/>
  <c r="O23" i="20"/>
  <c r="T25" i="22" s="1"/>
  <c r="V25" s="1"/>
  <c r="E38" i="121" l="1"/>
  <c r="B14" i="203"/>
  <c r="E49" i="121"/>
  <c r="B25" i="203"/>
  <c r="H46" i="41"/>
  <c r="H47"/>
  <c r="H49"/>
  <c r="B49" i="209"/>
  <c r="B44"/>
  <c r="B39"/>
  <c r="B47" i="41"/>
  <c r="B46"/>
  <c r="B49"/>
  <c r="F49" i="209"/>
  <c r="F44"/>
  <c r="F39"/>
  <c r="C49"/>
  <c r="C44"/>
  <c r="C39"/>
  <c r="F34" i="218"/>
  <c r="AE50" i="10"/>
  <c r="AQ48" i="19"/>
  <c r="D47" i="41"/>
  <c r="D49"/>
  <c r="D46"/>
  <c r="L44" i="209"/>
  <c r="L49"/>
  <c r="L39"/>
  <c r="K49" i="41"/>
  <c r="K46"/>
  <c r="K47"/>
  <c r="H49" i="209"/>
  <c r="H39"/>
  <c r="H44"/>
  <c r="F46" i="41"/>
  <c r="F49"/>
  <c r="F47"/>
  <c r="E47"/>
  <c r="E46"/>
  <c r="E49"/>
  <c r="I44" i="209"/>
  <c r="I49"/>
  <c r="I39"/>
  <c r="W31" i="20"/>
  <c r="AF33" i="22" s="1"/>
  <c r="AH33" s="1"/>
  <c r="C18" i="20"/>
  <c r="B20" i="22" s="1"/>
  <c r="D20" s="1"/>
  <c r="O35" i="20"/>
  <c r="T37" i="22" s="1"/>
  <c r="V37" s="1"/>
  <c r="BB37" i="193" s="1"/>
  <c r="C42" i="20"/>
  <c r="B44" i="22" s="1"/>
  <c r="D44" s="1"/>
  <c r="F44" i="193" s="1"/>
  <c r="W19" i="20"/>
  <c r="AF21" i="22" s="1"/>
  <c r="AH21" s="1"/>
  <c r="E13" i="20"/>
  <c r="E15" i="22" s="1"/>
  <c r="G15" s="1"/>
  <c r="N15" i="192" s="1"/>
  <c r="U27" i="20"/>
  <c r="AC29" i="22" s="1"/>
  <c r="AE29" s="1"/>
  <c r="BZ29" i="193" s="1"/>
  <c r="W35" i="20"/>
  <c r="AF37" i="22" s="1"/>
  <c r="AH37" s="1"/>
  <c r="CH37" i="193" s="1"/>
  <c r="C8" i="20"/>
  <c r="B10" i="22" s="1"/>
  <c r="D10" s="1"/>
  <c r="F10" i="191" s="1"/>
  <c r="O44" i="20"/>
  <c r="E44"/>
  <c r="E46" i="22" s="1"/>
  <c r="S43" i="20"/>
  <c r="Z45" i="22" s="1"/>
  <c r="AB45" s="1"/>
  <c r="BR45" i="192" s="1"/>
  <c r="M31" i="20"/>
  <c r="Q33" i="22" s="1"/>
  <c r="S33" s="1"/>
  <c r="S18" i="20"/>
  <c r="Z20" i="22" s="1"/>
  <c r="AB20" s="1"/>
  <c r="E32" i="20"/>
  <c r="E34" i="22" s="1"/>
  <c r="G34" s="1"/>
  <c r="N34" i="191" s="1"/>
  <c r="M6" i="20"/>
  <c r="Q8" i="22" s="1"/>
  <c r="S8" s="1"/>
  <c r="AT8" i="191" s="1"/>
  <c r="I12" i="20"/>
  <c r="K14" i="22" s="1"/>
  <c r="M14" s="1"/>
  <c r="AD14" i="192" s="1"/>
  <c r="U19" i="20"/>
  <c r="AC21" i="22" s="1"/>
  <c r="AE21" s="1"/>
  <c r="K12" i="20"/>
  <c r="N14" i="22" s="1"/>
  <c r="P14" s="1"/>
  <c r="AL14" i="192" s="1"/>
  <c r="O8" i="20"/>
  <c r="T10" i="22" s="1"/>
  <c r="V10" s="1"/>
  <c r="BB10" i="193" s="1"/>
  <c r="G36" i="20"/>
  <c r="H38" i="22" s="1"/>
  <c r="J38" s="1"/>
  <c r="Q44" i="20"/>
  <c r="E45"/>
  <c r="E47" i="22" s="1"/>
  <c r="G20" i="20"/>
  <c r="H22" i="22" s="1"/>
  <c r="J22" s="1"/>
  <c r="V22" i="191" s="1"/>
  <c r="G12" i="20"/>
  <c r="H14" i="22" s="1"/>
  <c r="J14" s="1"/>
  <c r="V14" i="62" s="1"/>
  <c r="M20" i="20"/>
  <c r="Q22" i="22" s="1"/>
  <c r="S22" s="1"/>
  <c r="AT22" i="62" s="1"/>
  <c r="O40" i="20"/>
  <c r="T42" i="22" s="1"/>
  <c r="V42" s="1"/>
  <c r="BB42" i="38" s="1"/>
  <c r="H28" i="203" s="1"/>
  <c r="M9" i="20"/>
  <c r="Q11" i="22" s="1"/>
  <c r="S11" s="1"/>
  <c r="AT11" i="191" s="1"/>
  <c r="S31" i="20"/>
  <c r="Z33" i="22" s="1"/>
  <c r="AB33" s="1"/>
  <c r="O27" i="20"/>
  <c r="T29" i="22" s="1"/>
  <c r="V29" s="1"/>
  <c r="E41" i="20"/>
  <c r="E43" i="22" s="1"/>
  <c r="G43" s="1"/>
  <c r="N43" i="192" s="1"/>
  <c r="I34" i="20"/>
  <c r="K36" i="22" s="1"/>
  <c r="M36" s="1"/>
  <c r="AD36" i="191" s="1"/>
  <c r="C11" i="20"/>
  <c r="B13" i="22" s="1"/>
  <c r="D13" s="1"/>
  <c r="F13" i="192" s="1"/>
  <c r="G34" i="20"/>
  <c r="H36" i="22" s="1"/>
  <c r="J36" s="1"/>
  <c r="U30" i="20"/>
  <c r="AC32" i="22" s="1"/>
  <c r="AE32" s="1"/>
  <c r="BZ32" i="192" s="1"/>
  <c r="C14" i="20"/>
  <c r="B16" i="22" s="1"/>
  <c r="D16" s="1"/>
  <c r="F16" i="192" s="1"/>
  <c r="I27" i="20"/>
  <c r="K29" i="22" s="1"/>
  <c r="M29" s="1"/>
  <c r="C43" i="20"/>
  <c r="B45" i="22" s="1"/>
  <c r="D45" s="1"/>
  <c r="E12" i="20"/>
  <c r="E14" i="22" s="1"/>
  <c r="G14" s="1"/>
  <c r="N14" i="193" s="1"/>
  <c r="M26" i="20"/>
  <c r="Q28" i="22" s="1"/>
  <c r="S28" s="1"/>
  <c r="AT28" i="62" s="1"/>
  <c r="W33" i="20"/>
  <c r="AF35" i="22" s="1"/>
  <c r="AH35" s="1"/>
  <c r="G14" i="20"/>
  <c r="H16" i="22" s="1"/>
  <c r="J16" s="1"/>
  <c r="V16" i="62" s="1"/>
  <c r="W36" i="20"/>
  <c r="AF38" i="22" s="1"/>
  <c r="AH38" s="1"/>
  <c r="CH38" i="192" s="1"/>
  <c r="I14" i="20"/>
  <c r="K16" i="22" s="1"/>
  <c r="M16" s="1"/>
  <c r="AD16" i="38" s="1"/>
  <c r="U6" i="20"/>
  <c r="AC8" i="22" s="1"/>
  <c r="AE8" s="1"/>
  <c r="BZ8" i="191" s="1"/>
  <c r="E22" i="20"/>
  <c r="E24" i="22" s="1"/>
  <c r="G24" s="1"/>
  <c r="N24" i="62" s="1"/>
  <c r="M10" i="20"/>
  <c r="Q12" i="22" s="1"/>
  <c r="S12" s="1"/>
  <c r="AT12" i="191" s="1"/>
  <c r="Q21" i="20"/>
  <c r="W23" i="22" s="1"/>
  <c r="Y23" s="1"/>
  <c r="BJ23" i="38" s="1"/>
  <c r="I9" i="203" s="1"/>
  <c r="W18" i="20"/>
  <c r="AF20" i="22" s="1"/>
  <c r="AH20" s="1"/>
  <c r="I22" i="20"/>
  <c r="K24" i="22" s="1"/>
  <c r="M24" s="1"/>
  <c r="AD24" i="62" s="1"/>
  <c r="S19" i="20"/>
  <c r="Z21" i="22" s="1"/>
  <c r="AB21" s="1"/>
  <c r="BR21" i="191" s="1"/>
  <c r="E24" i="20"/>
  <c r="E26" i="22" s="1"/>
  <c r="G26" s="1"/>
  <c r="N26" i="38" s="1"/>
  <c r="C12" i="203" s="1"/>
  <c r="M17" i="20"/>
  <c r="Q19" i="22" s="1"/>
  <c r="S19" s="1"/>
  <c r="Q31" i="20"/>
  <c r="W33" i="22" s="1"/>
  <c r="Y33" s="1"/>
  <c r="BJ33" i="62" s="1"/>
  <c r="C17" i="20"/>
  <c r="B19" i="22" s="1"/>
  <c r="D19" s="1"/>
  <c r="F19" i="192" s="1"/>
  <c r="E28" i="20"/>
  <c r="E30" i="22" s="1"/>
  <c r="G30" s="1"/>
  <c r="N30" i="62" s="1"/>
  <c r="G31" i="20"/>
  <c r="H33" i="22" s="1"/>
  <c r="J33" s="1"/>
  <c r="K39" i="20"/>
  <c r="N41" i="22" s="1"/>
  <c r="P41" s="1"/>
  <c r="AL41" i="62" s="1"/>
  <c r="S37" i="20"/>
  <c r="Z39" i="22" s="1"/>
  <c r="AB39" s="1"/>
  <c r="BR39" i="38" s="1"/>
  <c r="O17" i="20"/>
  <c r="T19" i="22" s="1"/>
  <c r="V19" s="1"/>
  <c r="BB19" i="38" s="1"/>
  <c r="H5" i="203" s="1"/>
  <c r="M38" i="20"/>
  <c r="Q40" i="22" s="1"/>
  <c r="S40" s="1"/>
  <c r="U29" i="20"/>
  <c r="AC31" i="22" s="1"/>
  <c r="AE31" s="1"/>
  <c r="BZ31" i="38" s="1"/>
  <c r="K17" i="203" s="1"/>
  <c r="E36" i="20"/>
  <c r="E38" i="22" s="1"/>
  <c r="G38" s="1"/>
  <c r="N38" i="38" s="1"/>
  <c r="C24" i="203" s="1"/>
  <c r="U9" i="20"/>
  <c r="AC11" i="22" s="1"/>
  <c r="AE11" s="1"/>
  <c r="BZ11" i="38" s="1"/>
  <c r="AG8" i="40" s="1"/>
  <c r="Q35" i="20"/>
  <c r="W37" i="22" s="1"/>
  <c r="Y37" s="1"/>
  <c r="BJ37" i="38" s="1"/>
  <c r="I23" i="203" s="1"/>
  <c r="W22" i="20"/>
  <c r="AF24" i="22" s="1"/>
  <c r="AH24" s="1"/>
  <c r="O10" i="20"/>
  <c r="T12" i="22" s="1"/>
  <c r="V12" s="1"/>
  <c r="BB12" i="38" s="1"/>
  <c r="AD9" i="40" s="1"/>
  <c r="C40" i="20"/>
  <c r="B42" i="22" s="1"/>
  <c r="D42" s="1"/>
  <c r="F42" i="38" s="1"/>
  <c r="M14" i="20"/>
  <c r="Q16" i="22" s="1"/>
  <c r="S16" s="1"/>
  <c r="AT16" i="62" s="1"/>
  <c r="I19" i="20"/>
  <c r="K21" i="22" s="1"/>
  <c r="M21" s="1"/>
  <c r="AD21" i="62" s="1"/>
  <c r="K28" i="20"/>
  <c r="N30" i="22" s="1"/>
  <c r="P30" s="1"/>
  <c r="AL30" i="62" s="1"/>
  <c r="W29" i="20"/>
  <c r="AF31" i="22" s="1"/>
  <c r="AH31" s="1"/>
  <c r="CH31" i="38" s="1"/>
  <c r="L17" i="203" s="1"/>
  <c r="I28" i="20"/>
  <c r="K30" i="22" s="1"/>
  <c r="M30" s="1"/>
  <c r="AD30" i="38" s="1"/>
  <c r="E16" i="203" s="1"/>
  <c r="O20" i="20"/>
  <c r="T22" i="22" s="1"/>
  <c r="V22" s="1"/>
  <c r="BB22" i="62" s="1"/>
  <c r="U26" i="20"/>
  <c r="AC28" i="22" s="1"/>
  <c r="AE28" s="1"/>
  <c r="BZ28" i="38" s="1"/>
  <c r="K14" i="203" s="1"/>
  <c r="E27" i="20"/>
  <c r="E29" i="22" s="1"/>
  <c r="G29" s="1"/>
  <c r="N29" i="38" s="1"/>
  <c r="C15" i="203" s="1"/>
  <c r="C27" i="20"/>
  <c r="B29" i="22" s="1"/>
  <c r="D29" s="1"/>
  <c r="F29" i="38" s="1"/>
  <c r="I13" i="20"/>
  <c r="K15" i="22" s="1"/>
  <c r="M15" s="1"/>
  <c r="AD15" i="38" s="1"/>
  <c r="AA12" i="40" s="1"/>
  <c r="E10" i="20"/>
  <c r="E12" i="22" s="1"/>
  <c r="G12" s="1"/>
  <c r="N12" i="38" s="1"/>
  <c r="Y9" i="40" s="1"/>
  <c r="U12" i="20"/>
  <c r="AC14" i="22" s="1"/>
  <c r="AE14" s="1"/>
  <c r="BZ14" i="62" s="1"/>
  <c r="I43" i="20"/>
  <c r="K45" i="22" s="1"/>
  <c r="M45" s="1"/>
  <c r="AD45" i="38" s="1"/>
  <c r="E31" i="203" s="1"/>
  <c r="K21" i="20"/>
  <c r="N23" i="22" s="1"/>
  <c r="P23" s="1"/>
  <c r="AL23" i="62" s="1"/>
  <c r="K27" i="20"/>
  <c r="N29" i="22" s="1"/>
  <c r="P29" s="1"/>
  <c r="AL29" i="62" s="1"/>
  <c r="E6" i="20"/>
  <c r="E8" i="22" s="1"/>
  <c r="G8" s="1"/>
  <c r="N8" i="62" s="1"/>
  <c r="E29" i="20"/>
  <c r="E31" i="22" s="1"/>
  <c r="G31" s="1"/>
  <c r="W25" i="20"/>
  <c r="AF27" i="22" s="1"/>
  <c r="AH27" s="1"/>
  <c r="CH27" i="38" s="1"/>
  <c r="L13" i="203" s="1"/>
  <c r="G13" i="20"/>
  <c r="H15" i="22" s="1"/>
  <c r="J15" s="1"/>
  <c r="V15" i="38" s="1"/>
  <c r="Z12" i="40" s="1"/>
  <c r="O42" i="20"/>
  <c r="T44" i="22" s="1"/>
  <c r="V44" s="1"/>
  <c r="BB44" i="62" s="1"/>
  <c r="K35" i="20"/>
  <c r="N37" i="22" s="1"/>
  <c r="P37" s="1"/>
  <c r="E20" i="20"/>
  <c r="E22" i="22" s="1"/>
  <c r="G22" s="1"/>
  <c r="N22" i="38" s="1"/>
  <c r="C8" i="203" s="1"/>
  <c r="E11" i="20"/>
  <c r="E13" i="22" s="1"/>
  <c r="G13" s="1"/>
  <c r="N13" i="62" s="1"/>
  <c r="U13" i="20"/>
  <c r="AC15" i="22" s="1"/>
  <c r="AE15" s="1"/>
  <c r="BZ15" i="62" s="1"/>
  <c r="W13" i="20"/>
  <c r="AF15" i="22" s="1"/>
  <c r="AH15" s="1"/>
  <c r="CH15" i="38" s="1"/>
  <c r="AH12" i="40" s="1"/>
  <c r="M15" i="20"/>
  <c r="Q17" i="22" s="1"/>
  <c r="S17" s="1"/>
  <c r="AT17" i="38" s="1"/>
  <c r="K43" i="20"/>
  <c r="N45" i="22" s="1"/>
  <c r="P45" s="1"/>
  <c r="AL45" i="38" s="1"/>
  <c r="U15" i="20"/>
  <c r="AC17" i="22" s="1"/>
  <c r="AE17" s="1"/>
  <c r="BZ17" i="62" s="1"/>
  <c r="K8" i="20"/>
  <c r="N10" i="22" s="1"/>
  <c r="P10" s="1"/>
  <c r="AL10" i="191" s="1"/>
  <c r="O31" i="20"/>
  <c r="T33" i="22" s="1"/>
  <c r="V33" s="1"/>
  <c r="BB33" i="62" s="1"/>
  <c r="W24" i="20"/>
  <c r="AF26" i="22" s="1"/>
  <c r="AH26" s="1"/>
  <c r="CH26" i="62" s="1"/>
  <c r="K13" i="20"/>
  <c r="N15" i="22" s="1"/>
  <c r="P15" s="1"/>
  <c r="AL15" i="38" s="1"/>
  <c r="AB12" i="40" s="1"/>
  <c r="U37" i="20"/>
  <c r="AC39" i="22" s="1"/>
  <c r="AE39" s="1"/>
  <c r="E9" i="20"/>
  <c r="E11" i="22" s="1"/>
  <c r="G11" s="1"/>
  <c r="N11" i="62" s="1"/>
  <c r="Q13" i="20"/>
  <c r="W15" i="22" s="1"/>
  <c r="Y15" s="1"/>
  <c r="BJ15" i="62" s="1"/>
  <c r="S15" i="20"/>
  <c r="Z17" i="22" s="1"/>
  <c r="AB17" s="1"/>
  <c r="BR17" i="62" s="1"/>
  <c r="E31" i="20"/>
  <c r="E33" i="22" s="1"/>
  <c r="G33" s="1"/>
  <c r="Q26" i="20"/>
  <c r="W28" i="22" s="1"/>
  <c r="Y28" s="1"/>
  <c r="BJ28" i="38" s="1"/>
  <c r="I14" i="203" s="1"/>
  <c r="K15" i="20"/>
  <c r="N17" i="22" s="1"/>
  <c r="P17" s="1"/>
  <c r="AL17" i="38" s="1"/>
  <c r="Q43" i="20"/>
  <c r="W45" i="22" s="1"/>
  <c r="Y45" s="1"/>
  <c r="BJ45" i="38" s="1"/>
  <c r="E32" i="121"/>
  <c r="B8" i="203"/>
  <c r="E45" i="121"/>
  <c r="B21" i="203"/>
  <c r="I49" i="41"/>
  <c r="I46"/>
  <c r="I47"/>
  <c r="G46"/>
  <c r="G49"/>
  <c r="G47"/>
  <c r="G32" i="20"/>
  <c r="H34" i="22" s="1"/>
  <c r="J34" s="1"/>
  <c r="V34" i="192" s="1"/>
  <c r="W27" i="20"/>
  <c r="AF29" i="22" s="1"/>
  <c r="AH29" s="1"/>
  <c r="CH29" i="191" s="1"/>
  <c r="U28" i="20"/>
  <c r="AC30" i="22" s="1"/>
  <c r="AE30" s="1"/>
  <c r="Q37" i="20"/>
  <c r="W39" i="22" s="1"/>
  <c r="Y39" s="1"/>
  <c r="I6" i="20"/>
  <c r="K8" i="22" s="1"/>
  <c r="M8" s="1"/>
  <c r="AD8" i="191" s="1"/>
  <c r="E18" i="20"/>
  <c r="E20" i="22" s="1"/>
  <c r="G20" s="1"/>
  <c r="N20" i="193" s="1"/>
  <c r="Q36" i="20"/>
  <c r="W38" i="22" s="1"/>
  <c r="Y38" s="1"/>
  <c r="C13" i="20"/>
  <c r="B15" i="22" s="1"/>
  <c r="D15" s="1"/>
  <c r="F15" i="192" s="1"/>
  <c r="M7" i="20"/>
  <c r="Q9" i="22" s="1"/>
  <c r="S9" s="1"/>
  <c r="AT9" i="38" s="1"/>
  <c r="W44" i="20"/>
  <c r="M44"/>
  <c r="W37"/>
  <c r="AF39" i="22" s="1"/>
  <c r="AH39" s="1"/>
  <c r="U7" i="20"/>
  <c r="AC9" i="22" s="1"/>
  <c r="AE9" s="1"/>
  <c r="BZ9" i="193" s="1"/>
  <c r="C24" i="20"/>
  <c r="B26" i="22" s="1"/>
  <c r="D26" s="1"/>
  <c r="F26" i="192" s="1"/>
  <c r="C9" i="20"/>
  <c r="B11" i="22" s="1"/>
  <c r="D11" s="1"/>
  <c r="F11" i="38" s="1"/>
  <c r="S29" i="20"/>
  <c r="Z31" i="22" s="1"/>
  <c r="AB31" s="1"/>
  <c r="M19" i="20"/>
  <c r="Q21" i="22" s="1"/>
  <c r="S21" s="1"/>
  <c r="AT21" i="193" s="1"/>
  <c r="M18" i="20"/>
  <c r="Q20" i="22" s="1"/>
  <c r="S20" s="1"/>
  <c r="AT20" i="193" s="1"/>
  <c r="Q18" i="20"/>
  <c r="W20" i="22" s="1"/>
  <c r="Y20" s="1"/>
  <c r="K14" i="20"/>
  <c r="N16" i="22" s="1"/>
  <c r="P16" s="1"/>
  <c r="AL16" i="193" s="1"/>
  <c r="O29" i="20"/>
  <c r="T31" i="22" s="1"/>
  <c r="V31" s="1"/>
  <c r="BB31" i="192" s="1"/>
  <c r="C44" i="20"/>
  <c r="M45"/>
  <c r="K9"/>
  <c r="N11" i="22" s="1"/>
  <c r="P11" s="1"/>
  <c r="AL11" i="192" s="1"/>
  <c r="G11" i="20"/>
  <c r="H13" i="22" s="1"/>
  <c r="J13" s="1"/>
  <c r="V13" i="38" s="1"/>
  <c r="S41" i="20"/>
  <c r="Z43" i="22" s="1"/>
  <c r="AB43" s="1"/>
  <c r="BR43" i="38" s="1"/>
  <c r="J29" i="203" s="1"/>
  <c r="Q42" i="20"/>
  <c r="W44" i="22" s="1"/>
  <c r="Y44" s="1"/>
  <c r="W12" i="20"/>
  <c r="AF14" i="22" s="1"/>
  <c r="AH14" s="1"/>
  <c r="CH14" i="192" s="1"/>
  <c r="C19" i="20"/>
  <c r="B21" i="22" s="1"/>
  <c r="D21" s="1"/>
  <c r="C22" i="20"/>
  <c r="B24" i="22" s="1"/>
  <c r="D24" s="1"/>
  <c r="F24" i="193" s="1"/>
  <c r="C25" i="20"/>
  <c r="B27" i="22" s="1"/>
  <c r="D27" s="1"/>
  <c r="S11" i="20"/>
  <c r="Z13" i="22" s="1"/>
  <c r="AB13" s="1"/>
  <c r="BR13" i="192" s="1"/>
  <c r="M11" i="20"/>
  <c r="Q13" i="22" s="1"/>
  <c r="S13" s="1"/>
  <c r="AT13" i="193" s="1"/>
  <c r="W39" i="20"/>
  <c r="AF41" i="22" s="1"/>
  <c r="AH41" s="1"/>
  <c r="CH41" i="193" s="1"/>
  <c r="W30" i="20"/>
  <c r="AF32" i="22" s="1"/>
  <c r="AH32" s="1"/>
  <c r="E33" i="20"/>
  <c r="E35" i="22" s="1"/>
  <c r="G35" s="1"/>
  <c r="U20" i="20"/>
  <c r="AC22" i="22" s="1"/>
  <c r="AE22" s="1"/>
  <c r="W41" i="20"/>
  <c r="AF43" i="22" s="1"/>
  <c r="AH43" s="1"/>
  <c r="U34" i="20"/>
  <c r="AC36" i="22" s="1"/>
  <c r="AE36" s="1"/>
  <c r="K26" i="20"/>
  <c r="N28" i="22" s="1"/>
  <c r="P28" s="1"/>
  <c r="O39" i="20"/>
  <c r="T41" i="22" s="1"/>
  <c r="V41" s="1"/>
  <c r="BB41" i="192" s="1"/>
  <c r="E25" i="20"/>
  <c r="E27" i="22" s="1"/>
  <c r="G27" s="1"/>
  <c r="N27" i="193" s="1"/>
  <c r="M36" i="20"/>
  <c r="Q38" i="22" s="1"/>
  <c r="S38" s="1"/>
  <c r="W14" i="20"/>
  <c r="AF16" i="22" s="1"/>
  <c r="AH16" s="1"/>
  <c r="CH16" i="192" s="1"/>
  <c r="S13" i="20"/>
  <c r="Z15" i="22" s="1"/>
  <c r="AB15" s="1"/>
  <c r="G26" i="20"/>
  <c r="H28" i="22" s="1"/>
  <c r="J28" s="1"/>
  <c r="C39" i="20"/>
  <c r="B41" i="22" s="1"/>
  <c r="D41" s="1"/>
  <c r="W40" i="20"/>
  <c r="AF42" i="22" s="1"/>
  <c r="AH42" s="1"/>
  <c r="U36" i="20"/>
  <c r="AC38" i="22" s="1"/>
  <c r="AE38" s="1"/>
  <c r="BZ38" i="192" s="1"/>
  <c r="U18" i="20"/>
  <c r="AC20" i="22" s="1"/>
  <c r="AE20" s="1"/>
  <c r="BZ20" i="193" s="1"/>
  <c r="O6" i="20"/>
  <c r="T8" i="22" s="1"/>
  <c r="V8" s="1"/>
  <c r="BB8" i="191" s="1"/>
  <c r="O28" i="20"/>
  <c r="T30" i="22" s="1"/>
  <c r="V30" s="1"/>
  <c r="C29" i="20"/>
  <c r="B31" i="22" s="1"/>
  <c r="D31" s="1"/>
  <c r="I33" i="20"/>
  <c r="K35" i="22" s="1"/>
  <c r="M35" s="1"/>
  <c r="I20" i="20"/>
  <c r="K22" i="22" s="1"/>
  <c r="M22" s="1"/>
  <c r="S42" i="20"/>
  <c r="Z44" i="22" s="1"/>
  <c r="AB44" s="1"/>
  <c r="G18" i="20"/>
  <c r="H20" i="22" s="1"/>
  <c r="J20" s="1"/>
  <c r="V20" i="191" s="1"/>
  <c r="O24" i="20"/>
  <c r="T26" i="22" s="1"/>
  <c r="V26" s="1"/>
  <c r="BB26" i="193" s="1"/>
  <c r="W34" i="20"/>
  <c r="AF36" i="22" s="1"/>
  <c r="AH36" s="1"/>
  <c r="Q27" i="20"/>
  <c r="W29" i="22" s="1"/>
  <c r="Y29" s="1"/>
  <c r="O38" i="20"/>
  <c r="T40" i="22" s="1"/>
  <c r="V40" s="1"/>
  <c r="K40" i="20"/>
  <c r="N42" i="22" s="1"/>
  <c r="P42" s="1"/>
  <c r="Q6" i="20"/>
  <c r="W8" i="22" s="1"/>
  <c r="Y8" s="1"/>
  <c r="BJ8" i="193" s="1"/>
  <c r="I15" i="20"/>
  <c r="K17" i="22" s="1"/>
  <c r="M17" s="1"/>
  <c r="AD17" i="192" s="1"/>
  <c r="S45" i="20"/>
  <c r="Z47" i="22" s="1"/>
  <c r="C34" i="20"/>
  <c r="B36" i="22" s="1"/>
  <c r="D36" s="1"/>
  <c r="F36" i="192" s="1"/>
  <c r="I39" i="20"/>
  <c r="K41" i="22" s="1"/>
  <c r="M41" s="1"/>
  <c r="S20" i="20"/>
  <c r="Z22" i="22" s="1"/>
  <c r="AB22" s="1"/>
  <c r="I8" i="20"/>
  <c r="K10" i="22" s="1"/>
  <c r="M10" s="1"/>
  <c r="AD10" i="192" s="1"/>
  <c r="G21" i="20"/>
  <c r="H23" i="22" s="1"/>
  <c r="J23" s="1"/>
  <c r="C36" i="20"/>
  <c r="B38" i="22" s="1"/>
  <c r="D38" s="1"/>
  <c r="I26" i="20"/>
  <c r="K28" i="22" s="1"/>
  <c r="M28" s="1"/>
  <c r="C23" i="20"/>
  <c r="B25" i="22" s="1"/>
  <c r="D25" s="1"/>
  <c r="C30" i="20"/>
  <c r="B32" i="22" s="1"/>
  <c r="D32" s="1"/>
  <c r="F32" i="192" s="1"/>
  <c r="C41" i="20"/>
  <c r="B43" i="22" s="1"/>
  <c r="D43" s="1"/>
  <c r="O18" i="20"/>
  <c r="T20" i="22" s="1"/>
  <c r="V20" s="1"/>
  <c r="C35" i="20"/>
  <c r="B37" i="22" s="1"/>
  <c r="D37" s="1"/>
  <c r="F37" i="191" s="1"/>
  <c r="Q33" i="20"/>
  <c r="W35" i="22" s="1"/>
  <c r="Y35" s="1"/>
  <c r="O36" i="20"/>
  <c r="T38" i="22" s="1"/>
  <c r="V38" s="1"/>
  <c r="E7" i="20"/>
  <c r="E9" i="22" s="1"/>
  <c r="G9" s="1"/>
  <c r="N9" i="192" s="1"/>
  <c r="W26" i="20"/>
  <c r="AF28" i="22" s="1"/>
  <c r="AH28" s="1"/>
  <c r="O7" i="20"/>
  <c r="T9" i="22" s="1"/>
  <c r="V9" s="1"/>
  <c r="BB9" i="191" s="1"/>
  <c r="I18" i="20"/>
  <c r="K20" i="22" s="1"/>
  <c r="M20" s="1"/>
  <c r="I41" i="20"/>
  <c r="K43" i="22" s="1"/>
  <c r="M43" s="1"/>
  <c r="S9" i="20"/>
  <c r="Z11" i="22" s="1"/>
  <c r="AB11" s="1"/>
  <c r="BR11" i="192" s="1"/>
  <c r="U25" i="20"/>
  <c r="AC27" i="22" s="1"/>
  <c r="AE27" s="1"/>
  <c r="M23" i="20"/>
  <c r="Q25" i="22" s="1"/>
  <c r="S25" s="1"/>
  <c r="S26" i="20"/>
  <c r="Z28" i="22" s="1"/>
  <c r="AB28" s="1"/>
  <c r="C21" i="20"/>
  <c r="B23" i="22" s="1"/>
  <c r="D23" s="1"/>
  <c r="C28" i="20"/>
  <c r="B30" i="22" s="1"/>
  <c r="D30" s="1"/>
  <c r="F30" i="192" s="1"/>
  <c r="M34" i="20"/>
  <c r="Q36" i="22" s="1"/>
  <c r="S36" s="1"/>
  <c r="O30" i="20"/>
  <c r="T32" i="22" s="1"/>
  <c r="V32" s="1"/>
  <c r="I37" i="20"/>
  <c r="K39" i="22" s="1"/>
  <c r="M39" s="1"/>
  <c r="AD39" i="191" s="1"/>
  <c r="Q11" i="20"/>
  <c r="W13" i="22" s="1"/>
  <c r="Y13" s="1"/>
  <c r="U41" i="20"/>
  <c r="AC43" i="22" s="1"/>
  <c r="AE43" s="1"/>
  <c r="G30" i="20"/>
  <c r="H32" i="22" s="1"/>
  <c r="J32" s="1"/>
  <c r="O33" i="20"/>
  <c r="T35" i="22" s="1"/>
  <c r="V35" s="1"/>
  <c r="S8" i="20"/>
  <c r="Z10" i="22" s="1"/>
  <c r="AB10" s="1"/>
  <c r="BR10" i="193" s="1"/>
  <c r="Q24" i="20"/>
  <c r="W26" i="22" s="1"/>
  <c r="Y26" s="1"/>
  <c r="U39" i="20"/>
  <c r="AC41" i="22" s="1"/>
  <c r="AE41" s="1"/>
  <c r="I24" i="20"/>
  <c r="K26" i="22" s="1"/>
  <c r="M26" s="1"/>
  <c r="AD26" i="192" s="1"/>
  <c r="U11" i="20"/>
  <c r="AC13" i="22" s="1"/>
  <c r="AE13" s="1"/>
  <c r="S30" i="20"/>
  <c r="Z32" i="22" s="1"/>
  <c r="AB32" s="1"/>
  <c r="O26" i="20"/>
  <c r="T28" i="22" s="1"/>
  <c r="V28" s="1"/>
  <c r="K20" i="20"/>
  <c r="N22" i="22" s="1"/>
  <c r="P22" s="1"/>
  <c r="W42" i="20"/>
  <c r="AF44" i="22" s="1"/>
  <c r="AH44" s="1"/>
  <c r="CH44" i="192" s="1"/>
  <c r="K45" i="20"/>
  <c r="CH29" i="192"/>
  <c r="CH29" i="193"/>
  <c r="BJ39" i="191"/>
  <c r="BJ39" i="192"/>
  <c r="BJ39" i="193"/>
  <c r="N20" i="192"/>
  <c r="F15" i="193"/>
  <c r="F15" i="191"/>
  <c r="F26"/>
  <c r="F26" i="193"/>
  <c r="BR31" i="191"/>
  <c r="BR31" i="192"/>
  <c r="BR31" i="193"/>
  <c r="AT20" i="192"/>
  <c r="AL16"/>
  <c r="AL16" i="191"/>
  <c r="CH45" i="62"/>
  <c r="CH45" i="191"/>
  <c r="CH45" i="192"/>
  <c r="CH45" i="193"/>
  <c r="BJ11" i="192"/>
  <c r="BJ11" i="191"/>
  <c r="BJ11" i="193"/>
  <c r="BJ42" i="191"/>
  <c r="BJ42" i="192"/>
  <c r="BJ42" i="193"/>
  <c r="AL26" i="192"/>
  <c r="AL26" i="191"/>
  <c r="AL26" i="193"/>
  <c r="AT35" i="191"/>
  <c r="AT35" i="192"/>
  <c r="AT35" i="193"/>
  <c r="AT10" i="192"/>
  <c r="AT10" i="191"/>
  <c r="AT10" i="193"/>
  <c r="CH30" i="191"/>
  <c r="CH30" i="192"/>
  <c r="CH30" i="193"/>
  <c r="BJ34" i="191"/>
  <c r="BJ34" i="192"/>
  <c r="BJ34" i="193"/>
  <c r="V27" i="191"/>
  <c r="V27" i="192"/>
  <c r="V27" i="193"/>
  <c r="BB15" i="192"/>
  <c r="BB15" i="193"/>
  <c r="BB15" i="191"/>
  <c r="V41"/>
  <c r="V41" i="192"/>
  <c r="V41" i="193"/>
  <c r="BR14" i="192"/>
  <c r="BR14" i="191"/>
  <c r="BR14" i="193"/>
  <c r="N45" i="191"/>
  <c r="N45" i="192"/>
  <c r="N45" i="193"/>
  <c r="V43" i="191"/>
  <c r="V43" i="192"/>
  <c r="V43" i="193"/>
  <c r="BJ32" i="191"/>
  <c r="BJ32" i="192"/>
  <c r="BJ32" i="193"/>
  <c r="AL13" i="192"/>
  <c r="AL13" i="191"/>
  <c r="AL13" i="193"/>
  <c r="F9" i="192"/>
  <c r="F9" i="191"/>
  <c r="F9" i="193"/>
  <c r="AT15" i="192"/>
  <c r="AT15" i="191"/>
  <c r="AT15" i="193"/>
  <c r="AT43" i="191"/>
  <c r="AT43" i="192"/>
  <c r="AT43" i="193"/>
  <c r="AD32" i="191"/>
  <c r="AD32" i="192"/>
  <c r="AD32" i="193"/>
  <c r="BJ43" i="191"/>
  <c r="BJ43" i="192"/>
  <c r="BJ43" i="193"/>
  <c r="AL25" i="192"/>
  <c r="AL25" i="191"/>
  <c r="AL25" i="193"/>
  <c r="BJ10" i="192"/>
  <c r="BJ10" i="191"/>
  <c r="BJ10" i="193"/>
  <c r="CH17" i="192"/>
  <c r="CH17" i="193"/>
  <c r="CH17" i="191"/>
  <c r="BZ12" i="192"/>
  <c r="BZ12" i="191"/>
  <c r="BZ12" i="193"/>
  <c r="BR19" i="192"/>
  <c r="BR19" i="191"/>
  <c r="BR19" i="193"/>
  <c r="J21" i="168"/>
  <c r="N40" i="191"/>
  <c r="N40" i="192"/>
  <c r="N40" i="193"/>
  <c r="V9" i="192"/>
  <c r="V9" i="191"/>
  <c r="V9" i="193"/>
  <c r="BZ42" i="191"/>
  <c r="BZ42" i="192"/>
  <c r="BZ42" i="193"/>
  <c r="V11" i="192"/>
  <c r="V11" i="191"/>
  <c r="V11" i="193"/>
  <c r="V42" i="191"/>
  <c r="V42" i="192"/>
  <c r="V42" i="193"/>
  <c r="BR9" i="192"/>
  <c r="BR9" i="191"/>
  <c r="BR9" i="193"/>
  <c r="BB23" i="192"/>
  <c r="BB23" i="191"/>
  <c r="BB23" i="193"/>
  <c r="N32" i="191"/>
  <c r="N32" i="192"/>
  <c r="N32" i="193"/>
  <c r="AT45" i="191"/>
  <c r="AT45" i="192"/>
  <c r="AT45" i="193"/>
  <c r="AL19" i="192"/>
  <c r="AL19" i="191"/>
  <c r="AL19" i="193"/>
  <c r="F21" i="168"/>
  <c r="BB24" i="192"/>
  <c r="BB24" i="191"/>
  <c r="BB24" i="193"/>
  <c r="AT42" i="191"/>
  <c r="AT42" i="192"/>
  <c r="AT42" i="193"/>
  <c r="BR12" i="192"/>
  <c r="BR12" i="193"/>
  <c r="BR12" i="191"/>
  <c r="AD27"/>
  <c r="AD27" i="192"/>
  <c r="AD27" i="193"/>
  <c r="V10" i="192"/>
  <c r="V10" i="193"/>
  <c r="V10" i="191"/>
  <c r="AD34"/>
  <c r="AD34" i="192"/>
  <c r="AD34" i="193"/>
  <c r="CH48" i="192"/>
  <c r="CH48" i="191"/>
  <c r="CH48" i="193"/>
  <c r="L22" i="168"/>
  <c r="F12" i="192"/>
  <c r="F12" i="191"/>
  <c r="F12" i="193"/>
  <c r="BB34" i="191"/>
  <c r="BB34" i="192"/>
  <c r="BB34" i="193"/>
  <c r="BB21" i="192"/>
  <c r="BB21" i="191"/>
  <c r="BB21" i="193"/>
  <c r="F14" i="192"/>
  <c r="F14" i="191"/>
  <c r="F14" i="193"/>
  <c r="BJ40" i="191"/>
  <c r="BJ40" i="192"/>
  <c r="BJ40" i="193"/>
  <c r="V25" i="192"/>
  <c r="V25" i="191"/>
  <c r="V25" i="193"/>
  <c r="AL32" i="191"/>
  <c r="AL32" i="192"/>
  <c r="AL32" i="193"/>
  <c r="V8" i="192"/>
  <c r="V8" i="193"/>
  <c r="V8" i="191"/>
  <c r="V22" i="62"/>
  <c r="V22" i="193"/>
  <c r="AT22" i="38"/>
  <c r="G8" i="203" s="1"/>
  <c r="AT22" i="192"/>
  <c r="AT22" i="191"/>
  <c r="AT22" i="193"/>
  <c r="AT11" i="38"/>
  <c r="AT11" i="193"/>
  <c r="N43"/>
  <c r="F13"/>
  <c r="BZ32"/>
  <c r="AD29" i="62"/>
  <c r="AD29" i="191"/>
  <c r="AD29" i="192"/>
  <c r="AD29" i="193"/>
  <c r="N14" i="191"/>
  <c r="CH35" i="38"/>
  <c r="L21" i="203" s="1"/>
  <c r="CH35" i="191"/>
  <c r="CH35" i="192"/>
  <c r="CH35" i="193"/>
  <c r="CH38"/>
  <c r="BZ8" i="62"/>
  <c r="AT12" i="193"/>
  <c r="CH20" i="62"/>
  <c r="CH20" i="192"/>
  <c r="CH20" i="191"/>
  <c r="CH20" i="193"/>
  <c r="BR21"/>
  <c r="AT19" i="62"/>
  <c r="AT19" i="192"/>
  <c r="AT19" i="191"/>
  <c r="AT19" i="193"/>
  <c r="G21" i="168"/>
  <c r="F19" i="191"/>
  <c r="V33" i="62"/>
  <c r="V33" i="191"/>
  <c r="V33" i="192"/>
  <c r="V33" i="193"/>
  <c r="BR39" i="191"/>
  <c r="AT40" i="38"/>
  <c r="AT40" i="191"/>
  <c r="AT40" i="192"/>
  <c r="AT40" i="193"/>
  <c r="BZ11" i="192"/>
  <c r="BZ11" i="191"/>
  <c r="CH24" i="38"/>
  <c r="L10" i="203" s="1"/>
  <c r="CH24" i="192"/>
  <c r="CH24" i="191"/>
  <c r="CH24" i="193"/>
  <c r="F42" i="191"/>
  <c r="F42" i="192"/>
  <c r="AD21" i="38"/>
  <c r="E7" i="203" s="1"/>
  <c r="AD21" i="192"/>
  <c r="AD21" i="191"/>
  <c r="AD21" i="193"/>
  <c r="CH31" i="191"/>
  <c r="CH31" i="192"/>
  <c r="BB22" i="38"/>
  <c r="H8" i="203" s="1"/>
  <c r="BB22" i="192"/>
  <c r="BB22" i="191"/>
  <c r="BB22" i="193"/>
  <c r="N29" i="191"/>
  <c r="N29" i="192"/>
  <c r="AD15" i="62"/>
  <c r="AD15" i="193"/>
  <c r="BZ14" i="192"/>
  <c r="BZ14" i="193"/>
  <c r="AL23" i="38"/>
  <c r="F9" i="203" s="1"/>
  <c r="AL23" i="192"/>
  <c r="AL23" i="191"/>
  <c r="AL23" i="193"/>
  <c r="AL29" i="191"/>
  <c r="N31" i="62"/>
  <c r="N31" i="191"/>
  <c r="N31" i="192"/>
  <c r="N31" i="193"/>
  <c r="V15" i="192"/>
  <c r="AL37" i="38"/>
  <c r="AL37" i="191"/>
  <c r="AL37" i="192"/>
  <c r="AL37" i="193"/>
  <c r="N13" i="192"/>
  <c r="CH15" i="193"/>
  <c r="AL45" i="191"/>
  <c r="AL10" i="192"/>
  <c r="BB33" i="38"/>
  <c r="H19" i="203" s="1"/>
  <c r="BB33" i="191"/>
  <c r="BB33" i="192"/>
  <c r="BB33" i="193"/>
  <c r="CH26" i="191"/>
  <c r="AL15" i="192"/>
  <c r="AL15" i="193"/>
  <c r="BZ39" i="62"/>
  <c r="BZ39" i="191"/>
  <c r="BZ39" i="192"/>
  <c r="BZ39" i="193"/>
  <c r="N11"/>
  <c r="N11" i="191"/>
  <c r="BJ15" i="192"/>
  <c r="BR17"/>
  <c r="BR17" i="193"/>
  <c r="N33" i="62"/>
  <c r="N33" i="191"/>
  <c r="N33" i="192"/>
  <c r="N33" i="193"/>
  <c r="BJ28" i="62"/>
  <c r="BJ28" i="191"/>
  <c r="BJ28" i="192"/>
  <c r="BJ28" i="193"/>
  <c r="BJ45" i="191"/>
  <c r="BJ45" i="192"/>
  <c r="BB25"/>
  <c r="BB25" i="191"/>
  <c r="BB25" i="193"/>
  <c r="AT30" i="191"/>
  <c r="AT30" i="192"/>
  <c r="AT30" i="193"/>
  <c r="BZ33" i="191"/>
  <c r="BZ33" i="192"/>
  <c r="BZ33" i="193"/>
  <c r="BB36" i="191"/>
  <c r="BB36" i="192"/>
  <c r="BB36" i="193"/>
  <c r="BR36" i="191"/>
  <c r="BR36" i="192"/>
  <c r="BR36" i="193"/>
  <c r="AT39" i="191"/>
  <c r="AT39" i="192"/>
  <c r="AT39" i="193"/>
  <c r="BJ24" i="192"/>
  <c r="BJ24" i="191"/>
  <c r="BJ24" i="193"/>
  <c r="AT27" i="191"/>
  <c r="AT27" i="192"/>
  <c r="AT27" i="193"/>
  <c r="AD25" i="192"/>
  <c r="AD25" i="191"/>
  <c r="AD25" i="193"/>
  <c r="BZ40" i="191"/>
  <c r="BZ40" i="192"/>
  <c r="BZ40" i="193"/>
  <c r="AL38" i="191"/>
  <c r="AL38" i="192"/>
  <c r="AL38" i="193"/>
  <c r="BB14" i="192"/>
  <c r="BB14" i="193"/>
  <c r="BB14" i="191"/>
  <c r="BJ16" i="192"/>
  <c r="BJ16" i="193"/>
  <c r="BJ16" i="191"/>
  <c r="BB39"/>
  <c r="BB39" i="192"/>
  <c r="BB39" i="193"/>
  <c r="AT31" i="191"/>
  <c r="AT31" i="192"/>
  <c r="AT31" i="193"/>
  <c r="V35" i="191"/>
  <c r="V35" i="192"/>
  <c r="V35" i="193"/>
  <c r="BR27" i="191"/>
  <c r="BR27" i="192"/>
  <c r="BR27" i="193"/>
  <c r="N39" i="191"/>
  <c r="N39" i="192"/>
  <c r="N39" i="193"/>
  <c r="AL11" i="38"/>
  <c r="AB8" i="40" s="1"/>
  <c r="AL11" i="191"/>
  <c r="V13" i="192"/>
  <c r="BR43" i="191"/>
  <c r="BR43" i="192"/>
  <c r="BJ44" i="191"/>
  <c r="BJ44" i="192"/>
  <c r="BJ44" i="193"/>
  <c r="CH14" i="191"/>
  <c r="CH14" i="193"/>
  <c r="F24" i="192"/>
  <c r="F24" i="191"/>
  <c r="F27"/>
  <c r="F27" i="192"/>
  <c r="F27" i="193"/>
  <c r="BR13"/>
  <c r="BR13" i="191"/>
  <c r="CH41"/>
  <c r="CH41" i="192"/>
  <c r="CH32" i="191"/>
  <c r="CH32" i="192"/>
  <c r="CH32" i="193"/>
  <c r="N35" i="191"/>
  <c r="N35" i="192"/>
  <c r="N35" i="193"/>
  <c r="CH43" i="191"/>
  <c r="CH43" i="192"/>
  <c r="BZ36" i="191"/>
  <c r="BZ36" i="192"/>
  <c r="BZ36" i="193"/>
  <c r="AL28" i="191"/>
  <c r="AL28" i="192"/>
  <c r="AL28" i="193"/>
  <c r="N27" i="191"/>
  <c r="N27" i="192"/>
  <c r="AT38" i="191"/>
  <c r="AT38" i="192"/>
  <c r="AT38" i="193"/>
  <c r="CH16" i="191"/>
  <c r="CH16" i="193"/>
  <c r="V28" i="191"/>
  <c r="V28" i="192"/>
  <c r="F41" i="191"/>
  <c r="F41" i="192"/>
  <c r="F41" i="193"/>
  <c r="CH42" i="191"/>
  <c r="CH42" i="192"/>
  <c r="CH42" i="193"/>
  <c r="BZ20" i="192"/>
  <c r="BZ20" i="191"/>
  <c r="BB8" i="192"/>
  <c r="BB30" i="191"/>
  <c r="BB30" i="192"/>
  <c r="BB30" i="193"/>
  <c r="AD35" i="191"/>
  <c r="AD35" i="192"/>
  <c r="AD22"/>
  <c r="AD22" i="191"/>
  <c r="AD22" i="193"/>
  <c r="BR44" i="191"/>
  <c r="BR44" i="192"/>
  <c r="BR44" i="193"/>
  <c r="BB26" i="192"/>
  <c r="BB26" i="191"/>
  <c r="CH36"/>
  <c r="CH36" i="192"/>
  <c r="CH36" i="193"/>
  <c r="BJ29" i="191"/>
  <c r="BJ29" i="192"/>
  <c r="BJ29" i="193"/>
  <c r="AL42" i="191"/>
  <c r="AL42" i="192"/>
  <c r="BJ8"/>
  <c r="AD17" i="191"/>
  <c r="AD17" i="193"/>
  <c r="F36" i="191"/>
  <c r="AD41"/>
  <c r="AD41" i="192"/>
  <c r="AD41" i="193"/>
  <c r="BR22" i="192"/>
  <c r="BR22" i="191"/>
  <c r="BR22" i="193"/>
  <c r="AD10"/>
  <c r="V23" i="192"/>
  <c r="F38" i="191"/>
  <c r="F38" i="192"/>
  <c r="F38" i="193"/>
  <c r="AD28" i="191"/>
  <c r="AD28" i="192"/>
  <c r="AD28" i="193"/>
  <c r="F25"/>
  <c r="F32" i="191"/>
  <c r="F43"/>
  <c r="F43" i="192"/>
  <c r="F43" i="193"/>
  <c r="BB20" i="192"/>
  <c r="BB20" i="191"/>
  <c r="BB20" i="193"/>
  <c r="F37"/>
  <c r="BJ35" i="191"/>
  <c r="BB38"/>
  <c r="BB38" i="192"/>
  <c r="BB38" i="193"/>
  <c r="N9" i="191"/>
  <c r="CH28" i="193"/>
  <c r="BB9" i="192"/>
  <c r="AD20"/>
  <c r="AD20" i="191"/>
  <c r="AD20" i="193"/>
  <c r="AD43" i="191"/>
  <c r="AD43" i="192"/>
  <c r="AD43" i="193"/>
  <c r="BR11" i="191"/>
  <c r="BZ27"/>
  <c r="AT25" i="192"/>
  <c r="AT25" i="191"/>
  <c r="AT25" i="193"/>
  <c r="BR28" i="191"/>
  <c r="BR28" i="192"/>
  <c r="BR28" i="193"/>
  <c r="F23"/>
  <c r="F30" i="191"/>
  <c r="AT36"/>
  <c r="AT36" i="192"/>
  <c r="AT36" i="193"/>
  <c r="BB32" i="191"/>
  <c r="BB32" i="192"/>
  <c r="BB32" i="193"/>
  <c r="AD39"/>
  <c r="BJ13" i="192"/>
  <c r="BZ43" i="191"/>
  <c r="BZ43" i="192"/>
  <c r="BZ43" i="193"/>
  <c r="V32" i="191"/>
  <c r="V32" i="192"/>
  <c r="V32" i="193"/>
  <c r="BB35"/>
  <c r="BR10" i="192"/>
  <c r="BJ26"/>
  <c r="BJ26" i="191"/>
  <c r="BJ26" i="193"/>
  <c r="BZ41" i="191"/>
  <c r="BZ41" i="192"/>
  <c r="BZ41" i="193"/>
  <c r="AD26"/>
  <c r="BZ13" i="192"/>
  <c r="BR32" i="191"/>
  <c r="BR32" i="192"/>
  <c r="BR32" i="193"/>
  <c r="BB28" i="191"/>
  <c r="BB28" i="192"/>
  <c r="BB28" i="193"/>
  <c r="AL22"/>
  <c r="CH44" i="191"/>
  <c r="AD34" i="62"/>
  <c r="BR12" i="38"/>
  <c r="AF9" i="40" s="1"/>
  <c r="BJ36" i="38"/>
  <c r="CH40"/>
  <c r="L26" i="203" s="1"/>
  <c r="AL36" i="38"/>
  <c r="F22" i="203" s="1"/>
  <c r="BR34" i="38"/>
  <c r="J20" i="203" s="1"/>
  <c r="CH17" i="62"/>
  <c r="AL25" i="38"/>
  <c r="F11" i="203" s="1"/>
  <c r="BJ43" i="38"/>
  <c r="I29" i="203" s="1"/>
  <c r="AD32" i="62"/>
  <c r="F9" i="38"/>
  <c r="X6" i="40" s="1"/>
  <c r="V43" i="38"/>
  <c r="BR14" i="62"/>
  <c r="V27"/>
  <c r="AD34" i="38"/>
  <c r="N33"/>
  <c r="C19" i="203" s="1"/>
  <c r="AD27" i="62"/>
  <c r="BR12"/>
  <c r="BZ39" i="38"/>
  <c r="CH26"/>
  <c r="L12" i="203" s="1"/>
  <c r="CH15" i="62"/>
  <c r="N13" i="38"/>
  <c r="Y10" i="40" s="1"/>
  <c r="AL37" i="62"/>
  <c r="N31" i="38"/>
  <c r="C17" i="203" s="1"/>
  <c r="AL29" i="38"/>
  <c r="F15" i="203" s="1"/>
  <c r="BZ12" i="38"/>
  <c r="AG9" i="40" s="1"/>
  <c r="CH17" i="38"/>
  <c r="AH14" i="40" s="1"/>
  <c r="BJ10" i="62"/>
  <c r="AL25"/>
  <c r="BJ43"/>
  <c r="AD32" i="38"/>
  <c r="AT43" i="62"/>
  <c r="AT40"/>
  <c r="AT15" i="38"/>
  <c r="F9" i="62"/>
  <c r="V33" i="38"/>
  <c r="D19" i="203" s="1"/>
  <c r="AL13" i="62"/>
  <c r="BJ32"/>
  <c r="AT19" i="38"/>
  <c r="G5" i="203" s="1"/>
  <c r="V43" i="62"/>
  <c r="N45" i="38"/>
  <c r="C31" i="203" s="1"/>
  <c r="CH20" i="38"/>
  <c r="L6" i="203" s="1"/>
  <c r="BR14" i="38"/>
  <c r="V41"/>
  <c r="D27" i="203" s="1"/>
  <c r="BZ8" i="38"/>
  <c r="AG5" i="40" s="1"/>
  <c r="BB15" i="38"/>
  <c r="AD12" i="40" s="1"/>
  <c r="V27" i="38"/>
  <c r="D13" i="203" s="1"/>
  <c r="CH30" i="62"/>
  <c r="AT10" i="38"/>
  <c r="AC7" i="40" s="1"/>
  <c r="AT35" i="62"/>
  <c r="AL26"/>
  <c r="BJ42" i="38"/>
  <c r="I28" i="203" s="1"/>
  <c r="BJ11" i="38"/>
  <c r="AE8" i="40" s="1"/>
  <c r="CH45" i="38"/>
  <c r="V34" i="191"/>
  <c r="BZ30"/>
  <c r="BZ30" i="192"/>
  <c r="BZ30" i="193"/>
  <c r="AD8"/>
  <c r="BJ38" i="191"/>
  <c r="BJ38" i="192"/>
  <c r="BJ38" i="193"/>
  <c r="AT9" i="192"/>
  <c r="CH39" i="191"/>
  <c r="CH39" i="192"/>
  <c r="CH39" i="193"/>
  <c r="BZ9" i="191"/>
  <c r="F11"/>
  <c r="AT21" i="192"/>
  <c r="BJ20"/>
  <c r="BJ20" i="191"/>
  <c r="BJ20" i="193"/>
  <c r="BB31"/>
  <c r="F28" i="62"/>
  <c r="F28" i="191"/>
  <c r="F28" i="192"/>
  <c r="F28" i="193"/>
  <c r="AD9" i="62"/>
  <c r="AD9" i="192"/>
  <c r="AD9" i="193"/>
  <c r="AD9" i="191"/>
  <c r="BR23" i="192"/>
  <c r="BR23" i="191"/>
  <c r="BR23" i="193"/>
  <c r="V39" i="191"/>
  <c r="V39" i="192"/>
  <c r="V39" i="193"/>
  <c r="N28" i="191"/>
  <c r="N28" i="192"/>
  <c r="N28" i="193"/>
  <c r="V45" i="191"/>
  <c r="V45" i="192"/>
  <c r="V45" i="193"/>
  <c r="AT44" i="191"/>
  <c r="AT44" i="192"/>
  <c r="AT44" i="193"/>
  <c r="BB43" i="191"/>
  <c r="BB43" i="192"/>
  <c r="BB43" i="193"/>
  <c r="BR37" i="191"/>
  <c r="BR37" i="192"/>
  <c r="BR37" i="193"/>
  <c r="BR24" i="192"/>
  <c r="BR24" i="191"/>
  <c r="BR24" i="193"/>
  <c r="BR29" i="191"/>
  <c r="BR29" i="192"/>
  <c r="BR29" i="193"/>
  <c r="V19" i="192"/>
  <c r="V19" i="191"/>
  <c r="V19" i="193"/>
  <c r="D21" i="168"/>
  <c r="BR41" i="191"/>
  <c r="BR41" i="192"/>
  <c r="BR41" i="193"/>
  <c r="AT14" i="192"/>
  <c r="AT14" i="191"/>
  <c r="AT14" i="193"/>
  <c r="N19" i="192"/>
  <c r="N19" i="193"/>
  <c r="N19" i="191"/>
  <c r="C21" i="168"/>
  <c r="BZ45" i="191"/>
  <c r="BZ45" i="192"/>
  <c r="BZ45" i="193"/>
  <c r="AD19" i="192"/>
  <c r="AD19" i="193"/>
  <c r="AD19" i="191"/>
  <c r="E21" i="168"/>
  <c r="N37" i="191"/>
  <c r="N37" i="192"/>
  <c r="N37" i="193"/>
  <c r="N25" i="192"/>
  <c r="N25" i="191"/>
  <c r="N25" i="193"/>
  <c r="AL44" i="191"/>
  <c r="AL44" i="192"/>
  <c r="AL44" i="193"/>
  <c r="AD40" i="191"/>
  <c r="AD40" i="192"/>
  <c r="AD40" i="193"/>
  <c r="F8" i="192"/>
  <c r="F8" i="193"/>
  <c r="F8" i="191"/>
  <c r="BZ26"/>
  <c r="BZ26" i="192"/>
  <c r="BZ26" i="193"/>
  <c r="BB13" i="192"/>
  <c r="BB13" i="191"/>
  <c r="BB13" i="193"/>
  <c r="BJ22" i="192"/>
  <c r="BJ22" i="191"/>
  <c r="BJ22" i="193"/>
  <c r="BZ35" i="191"/>
  <c r="BZ35" i="192"/>
  <c r="BZ35" i="193"/>
  <c r="BB11" i="192"/>
  <c r="BB11" i="193"/>
  <c r="BB11" i="191"/>
  <c r="BR34"/>
  <c r="BR34" i="192"/>
  <c r="BR34" i="193"/>
  <c r="BZ16" i="192"/>
  <c r="BZ16" i="193"/>
  <c r="BZ16" i="191"/>
  <c r="BB45"/>
  <c r="BB45" i="192"/>
  <c r="BB45" i="193"/>
  <c r="N16" i="192"/>
  <c r="N16" i="193"/>
  <c r="N16" i="191"/>
  <c r="AL36"/>
  <c r="AL36" i="192"/>
  <c r="AL36" i="193"/>
  <c r="BJ21" i="192"/>
  <c r="BJ21" i="191"/>
  <c r="BJ21" i="193"/>
  <c r="CH40" i="191"/>
  <c r="CH40" i="192"/>
  <c r="CH40" i="193"/>
  <c r="F34" i="191"/>
  <c r="F34" i="192"/>
  <c r="F34" i="193"/>
  <c r="CH12" i="192"/>
  <c r="CH12" i="193"/>
  <c r="CH12" i="191"/>
  <c r="N42"/>
  <c r="N42" i="192"/>
  <c r="N42" i="193"/>
  <c r="BJ36" i="191"/>
  <c r="BJ36" i="192"/>
  <c r="BJ36" i="193"/>
  <c r="V30" i="191"/>
  <c r="V30" i="192"/>
  <c r="V30" i="193"/>
  <c r="BJ14" i="192"/>
  <c r="BJ14" i="193"/>
  <c r="BJ14" i="191"/>
  <c r="V40"/>
  <c r="V40" i="192"/>
  <c r="V40" i="193"/>
  <c r="BJ30" i="191"/>
  <c r="BJ30" i="192"/>
  <c r="BJ30" i="193"/>
  <c r="AL27" i="191"/>
  <c r="AL27" i="192"/>
  <c r="AL27" i="193"/>
  <c r="BJ25" i="192"/>
  <c r="BJ25" i="191"/>
  <c r="BJ25" i="193"/>
  <c r="CH9" i="192"/>
  <c r="CH9" i="191"/>
  <c r="CH9" i="193"/>
  <c r="BB16" i="192"/>
  <c r="BB16" i="191"/>
  <c r="BB16" i="193"/>
  <c r="N36" i="191"/>
  <c r="N36" i="192"/>
  <c r="N36" i="193"/>
  <c r="BZ24" i="192"/>
  <c r="BZ24" i="191"/>
  <c r="BZ24" i="193"/>
  <c r="AL34" i="191"/>
  <c r="AL34" i="192"/>
  <c r="AL34" i="193"/>
  <c r="BB27" i="191"/>
  <c r="BB27" i="192"/>
  <c r="BB27" i="193"/>
  <c r="BR26" i="192"/>
  <c r="BR26" i="191"/>
  <c r="BR26" i="193"/>
  <c r="BZ10" i="192"/>
  <c r="BZ10" i="191"/>
  <c r="BZ10" i="193"/>
  <c r="V14" i="38"/>
  <c r="Z11" i="40" s="1"/>
  <c r="BB42" i="192"/>
  <c r="BR33" i="62"/>
  <c r="BR33" i="191"/>
  <c r="BR33" i="192"/>
  <c r="BR33" i="193"/>
  <c r="BB29" i="62"/>
  <c r="BB29" i="191"/>
  <c r="BB29" i="192"/>
  <c r="BB29" i="193"/>
  <c r="AD36" i="192"/>
  <c r="AD36" i="193"/>
  <c r="V36" i="62"/>
  <c r="V36" i="191"/>
  <c r="V36" i="192"/>
  <c r="V36" i="193"/>
  <c r="F16" i="191"/>
  <c r="F16" i="193"/>
  <c r="F45" i="62"/>
  <c r="F45" i="191"/>
  <c r="F45" i="192"/>
  <c r="F45" i="193"/>
  <c r="AT28" i="192"/>
  <c r="AT28" i="193"/>
  <c r="V16" i="192"/>
  <c r="V16" i="191"/>
  <c r="AD16" i="193"/>
  <c r="AD16" i="191"/>
  <c r="N24" i="38"/>
  <c r="N24" i="192"/>
  <c r="N24" i="191"/>
  <c r="N24" i="193"/>
  <c r="BJ23" i="191"/>
  <c r="BJ23" i="193"/>
  <c r="AD24" i="38"/>
  <c r="AD24" i="192"/>
  <c r="AD24" i="191"/>
  <c r="AD24" i="193"/>
  <c r="N26" i="191"/>
  <c r="N26" i="193"/>
  <c r="BJ33" i="38"/>
  <c r="BJ33" i="191"/>
  <c r="BJ33" i="192"/>
  <c r="BJ33" i="193"/>
  <c r="N30" i="192"/>
  <c r="N30" i="193"/>
  <c r="AL41" i="38"/>
  <c r="F27" i="203" s="1"/>
  <c r="AL41" i="191"/>
  <c r="AL41" i="192"/>
  <c r="AL41" i="193"/>
  <c r="BB19" i="191"/>
  <c r="BB19" i="193"/>
  <c r="BZ31" i="62"/>
  <c r="BZ31" i="191"/>
  <c r="BZ31" i="192"/>
  <c r="BZ31" i="193"/>
  <c r="N38" i="191"/>
  <c r="BJ37" i="62"/>
  <c r="BJ37" i="191"/>
  <c r="BJ37" i="192"/>
  <c r="BJ37" i="193"/>
  <c r="BB12" i="192"/>
  <c r="AT16"/>
  <c r="AL30" i="191"/>
  <c r="AD30" i="62"/>
  <c r="AD30" i="191"/>
  <c r="AD30" i="192"/>
  <c r="AD30" i="193"/>
  <c r="BZ28" i="191"/>
  <c r="F29" i="62"/>
  <c r="F29" i="191"/>
  <c r="F29" i="192"/>
  <c r="F29" i="193"/>
  <c r="N12" i="192"/>
  <c r="AD45" i="62"/>
  <c r="AD45" i="191"/>
  <c r="AD45" i="192"/>
  <c r="AD45" i="193"/>
  <c r="N8" i="192"/>
  <c r="N8" i="191"/>
  <c r="CH27" i="62"/>
  <c r="CH27" i="191"/>
  <c r="CH27" i="192"/>
  <c r="CH27" i="193"/>
  <c r="BB44" i="191"/>
  <c r="BB44" i="192"/>
  <c r="N22" i="62"/>
  <c r="N22" i="192"/>
  <c r="N22" i="191"/>
  <c r="N22" i="193"/>
  <c r="BZ15" i="192"/>
  <c r="BZ15" i="191"/>
  <c r="AT17" i="62"/>
  <c r="AT17" i="192"/>
  <c r="BZ17"/>
  <c r="BZ17" i="191"/>
  <c r="AL17" i="192"/>
  <c r="CH33" i="191"/>
  <c r="CH33" i="192"/>
  <c r="CH33" i="193"/>
  <c r="F20" i="192"/>
  <c r="F20" i="191"/>
  <c r="F20" i="193"/>
  <c r="F44" i="191"/>
  <c r="F44" i="192"/>
  <c r="CH21"/>
  <c r="CH21" i="191"/>
  <c r="CH21" i="193"/>
  <c r="N15"/>
  <c r="CH37" i="191"/>
  <c r="CH37" i="192"/>
  <c r="F10" i="193"/>
  <c r="BR45"/>
  <c r="AT33" i="191"/>
  <c r="AT33" i="192"/>
  <c r="AT33" i="193"/>
  <c r="BR20" i="192"/>
  <c r="BR20" i="191"/>
  <c r="BR20" i="193"/>
  <c r="N34" i="192"/>
  <c r="AT8" i="193"/>
  <c r="AD14"/>
  <c r="BZ21" i="192"/>
  <c r="BZ21" i="191"/>
  <c r="BZ21" i="193"/>
  <c r="AL14"/>
  <c r="BB10" i="191"/>
  <c r="V38"/>
  <c r="V38" i="192"/>
  <c r="V38" i="193"/>
  <c r="AD33" i="62"/>
  <c r="AD33" i="191"/>
  <c r="AD33" i="192"/>
  <c r="AD33" i="193"/>
  <c r="N21" i="38"/>
  <c r="C7" i="203" s="1"/>
  <c r="N21" i="192"/>
  <c r="N21" i="191"/>
  <c r="N21" i="193"/>
  <c r="AT32" i="38"/>
  <c r="G18" i="203" s="1"/>
  <c r="AT32" i="191"/>
  <c r="AT32" i="192"/>
  <c r="AT32" i="193"/>
  <c r="AD31" i="62"/>
  <c r="AD31" i="191"/>
  <c r="AD31" i="192"/>
  <c r="AD31" i="193"/>
  <c r="AL20" i="62"/>
  <c r="AL20" i="192"/>
  <c r="AL20" i="191"/>
  <c r="AL20" i="193"/>
  <c r="AL9" i="62"/>
  <c r="AL9" i="192"/>
  <c r="AL9" i="191"/>
  <c r="AL9" i="193"/>
  <c r="BZ23" i="38"/>
  <c r="K9" i="203" s="1"/>
  <c r="BZ23" i="192"/>
  <c r="BZ23" i="191"/>
  <c r="BZ23" i="193"/>
  <c r="BR25" i="38"/>
  <c r="J11" i="203" s="1"/>
  <c r="BR25" i="192"/>
  <c r="BR25" i="191"/>
  <c r="BR25" i="193"/>
  <c r="V24" i="62"/>
  <c r="V24" i="192"/>
  <c r="V24" i="191"/>
  <c r="V24" i="193"/>
  <c r="F33" i="62"/>
  <c r="F33" i="191"/>
  <c r="F33" i="192"/>
  <c r="F33" i="193"/>
  <c r="AL12" i="38"/>
  <c r="AB9" i="40" s="1"/>
  <c r="AL12" i="192"/>
  <c r="AL12" i="193"/>
  <c r="AL12" i="191"/>
  <c r="N44" i="62"/>
  <c r="N44" i="191"/>
  <c r="N44" i="192"/>
  <c r="N44" i="193"/>
  <c r="AD37" i="62"/>
  <c r="AD37" i="191"/>
  <c r="AD37" i="192"/>
  <c r="AD37" i="193"/>
  <c r="AT41" i="62"/>
  <c r="AT41" i="191"/>
  <c r="AT41" i="192"/>
  <c r="AT41" i="193"/>
  <c r="V44" i="38"/>
  <c r="D30" i="203" s="1"/>
  <c r="V44" i="191"/>
  <c r="V44" i="192"/>
  <c r="V44" i="193"/>
  <c r="CH10" i="62"/>
  <c r="CH10" i="192"/>
  <c r="CH10" i="193"/>
  <c r="CH10" i="191"/>
  <c r="BJ17" i="38"/>
  <c r="AE14" i="40" s="1"/>
  <c r="BJ17" i="192"/>
  <c r="BJ17" i="191"/>
  <c r="BJ17" i="193"/>
  <c r="BR30" i="62"/>
  <c r="BR30" i="191"/>
  <c r="BR30" i="192"/>
  <c r="BR30" i="193"/>
  <c r="AT23" i="38"/>
  <c r="G9" i="203" s="1"/>
  <c r="AT23" i="192"/>
  <c r="AT23" i="191"/>
  <c r="AT23" i="193"/>
  <c r="AL39" i="62"/>
  <c r="AL39" i="191"/>
  <c r="AL39" i="192"/>
  <c r="AL39" i="193"/>
  <c r="AD13" i="62"/>
  <c r="AD13" i="192"/>
  <c r="AD13" i="193"/>
  <c r="AD13" i="191"/>
  <c r="BR42" i="38"/>
  <c r="J28" i="203" s="1"/>
  <c r="BR42" i="191"/>
  <c r="BR42" i="192"/>
  <c r="BR42" i="193"/>
  <c r="V31" i="38"/>
  <c r="D17" i="203" s="1"/>
  <c r="V31" i="191"/>
  <c r="V31" i="192"/>
  <c r="V31" i="193"/>
  <c r="N23" i="62"/>
  <c r="N23" i="192"/>
  <c r="N23" i="191"/>
  <c r="N23" i="193"/>
  <c r="BR38" i="62"/>
  <c r="BR38" i="191"/>
  <c r="BR38" i="192"/>
  <c r="BR38" i="193"/>
  <c r="CH22" i="62"/>
  <c r="CH22" i="192"/>
  <c r="CH22" i="191"/>
  <c r="CH22" i="193"/>
  <c r="CH23" i="62"/>
  <c r="CH23" i="192"/>
  <c r="CH23" i="191"/>
  <c r="CH23" i="193"/>
  <c r="BZ44" i="62"/>
  <c r="BZ44" i="191"/>
  <c r="BZ44" i="192"/>
  <c r="BZ44" i="193"/>
  <c r="CH11" i="62"/>
  <c r="CH11" i="192"/>
  <c r="CH11" i="193"/>
  <c r="CH11" i="191"/>
  <c r="AD38" i="38"/>
  <c r="E24" i="203" s="1"/>
  <c r="AD38" i="191"/>
  <c r="AD38" i="192"/>
  <c r="AD38" i="193"/>
  <c r="AT29" i="38"/>
  <c r="G15" i="203" s="1"/>
  <c r="AT29" i="191"/>
  <c r="AT29" i="192"/>
  <c r="AT29" i="193"/>
  <c r="F40" i="38"/>
  <c r="F40" i="191"/>
  <c r="F40" i="192"/>
  <c r="F40" i="193"/>
  <c r="BR16" i="62"/>
  <c r="BR16" i="192"/>
  <c r="BR16" i="191"/>
  <c r="BR16" i="193"/>
  <c r="AL35" i="62"/>
  <c r="AL35" i="191"/>
  <c r="AL35" i="192"/>
  <c r="AL35" i="193"/>
  <c r="AL43" i="62"/>
  <c r="AL43" i="191"/>
  <c r="AL43" i="192"/>
  <c r="AL43" i="193"/>
  <c r="V21" i="62"/>
  <c r="V21" i="192"/>
  <c r="V21" i="191"/>
  <c r="V21" i="193"/>
  <c r="BZ25" i="38"/>
  <c r="K11" i="203" s="1"/>
  <c r="BZ25" i="192"/>
  <c r="BZ25" i="191"/>
  <c r="BZ25" i="193"/>
  <c r="AD12" i="62"/>
  <c r="AD12" i="192"/>
  <c r="AD12" i="191"/>
  <c r="AD12" i="193"/>
  <c r="AL33" i="62"/>
  <c r="AL33" i="191"/>
  <c r="AL33" i="192"/>
  <c r="AL33" i="193"/>
  <c r="CH13" i="62"/>
  <c r="CH13" i="192"/>
  <c r="CH13" i="193"/>
  <c r="CH13" i="191"/>
  <c r="CH19" i="62"/>
  <c r="CH19" i="192"/>
  <c r="CH19" i="191"/>
  <c r="CH19" i="193"/>
  <c r="L21" i="168"/>
  <c r="F35" i="62"/>
  <c r="F35" i="191"/>
  <c r="F35" i="192"/>
  <c r="F35" i="193"/>
  <c r="AT24" i="62"/>
  <c r="AT24" i="192"/>
  <c r="AT24" i="191"/>
  <c r="AT24" i="193"/>
  <c r="AD23" i="62"/>
  <c r="AD23" i="192"/>
  <c r="AD23" i="191"/>
  <c r="AD23" i="193"/>
  <c r="F39" i="62"/>
  <c r="F39" i="191"/>
  <c r="F39" i="192"/>
  <c r="F39" i="193"/>
  <c r="CH8" i="62"/>
  <c r="CH8" i="192"/>
  <c r="CH8" i="193"/>
  <c r="CH8" i="191"/>
  <c r="BJ19" i="62"/>
  <c r="BJ19" i="192"/>
  <c r="BJ19" i="191"/>
  <c r="BJ19" i="193"/>
  <c r="I21" i="168"/>
  <c r="BJ41" i="62"/>
  <c r="BJ41" i="191"/>
  <c r="BJ41" i="192"/>
  <c r="BJ41" i="193"/>
  <c r="AL24" i="38"/>
  <c r="AL24" i="192"/>
  <c r="AL24" i="191"/>
  <c r="AL24" i="193"/>
  <c r="AL8" i="38"/>
  <c r="AB5" i="40" s="1"/>
  <c r="AL8" i="192"/>
  <c r="AL8" i="193"/>
  <c r="AL8" i="191"/>
  <c r="CH25" i="38"/>
  <c r="CH25" i="192"/>
  <c r="CH25" i="191"/>
  <c r="CH25" i="193"/>
  <c r="BJ12" i="62"/>
  <c r="BJ12" i="192"/>
  <c r="BJ12" i="191"/>
  <c r="BJ12" i="193"/>
  <c r="AT26" i="38"/>
  <c r="G12" i="203" s="1"/>
  <c r="AT26" i="192"/>
  <c r="AT26" i="191"/>
  <c r="AT26" i="193"/>
  <c r="BR40" i="62"/>
  <c r="BR40" i="191"/>
  <c r="BR40" i="192"/>
  <c r="BR40" i="193"/>
  <c r="AD44" i="62"/>
  <c r="AD44" i="191"/>
  <c r="AD44" i="192"/>
  <c r="AD44" i="193"/>
  <c r="BJ31" i="38"/>
  <c r="BJ31" i="191"/>
  <c r="BJ31" i="192"/>
  <c r="BJ31" i="193"/>
  <c r="V12" i="38"/>
  <c r="Z9" i="40" s="1"/>
  <c r="V12" i="192"/>
  <c r="V12" i="191"/>
  <c r="V12" i="193"/>
  <c r="N17" i="38"/>
  <c r="Y14" i="40" s="1"/>
  <c r="N17" i="192"/>
  <c r="N17" i="191"/>
  <c r="N17" i="193"/>
  <c r="V26" i="38"/>
  <c r="D12" i="203" s="1"/>
  <c r="V26" i="192"/>
  <c r="V26" i="191"/>
  <c r="V26" i="193"/>
  <c r="V29" i="38"/>
  <c r="V29" i="191"/>
  <c r="V29" i="192"/>
  <c r="V29" i="193"/>
  <c r="BR35" i="62"/>
  <c r="BR35" i="191"/>
  <c r="BR35" i="192"/>
  <c r="BR35" i="193"/>
  <c r="N10" i="38"/>
  <c r="Y7" i="40" s="1"/>
  <c r="N10" i="192"/>
  <c r="N10" i="191"/>
  <c r="N10" i="193"/>
  <c r="AT34" i="38"/>
  <c r="AT34" i="191"/>
  <c r="AT34" i="192"/>
  <c r="AT34" i="193"/>
  <c r="F22" i="62"/>
  <c r="F22" i="192"/>
  <c r="F22" i="191"/>
  <c r="F22" i="193"/>
  <c r="AL31" i="62"/>
  <c r="AL31" i="191"/>
  <c r="AL31" i="192"/>
  <c r="AL31" i="193"/>
  <c r="BZ34" i="62"/>
  <c r="BZ34" i="191"/>
  <c r="BZ34" i="192"/>
  <c r="BZ34" i="193"/>
  <c r="AT37" i="62"/>
  <c r="AT37" i="191"/>
  <c r="AT37" i="192"/>
  <c r="AT37" i="193"/>
  <c r="BB17" i="62"/>
  <c r="BB17" i="192"/>
  <c r="BB17" i="193"/>
  <c r="BB17" i="191"/>
  <c r="AL40" i="62"/>
  <c r="AL40" i="191"/>
  <c r="AL40" i="192"/>
  <c r="AL40" i="193"/>
  <c r="AD11" i="62"/>
  <c r="AD11" i="192"/>
  <c r="AD11" i="193"/>
  <c r="AD11" i="191"/>
  <c r="BJ27" i="38"/>
  <c r="BJ27" i="191"/>
  <c r="BJ27" i="192"/>
  <c r="BJ27" i="193"/>
  <c r="AD42" i="38"/>
  <c r="AD42" i="191"/>
  <c r="AD42" i="192"/>
  <c r="AD42" i="193"/>
  <c r="BZ19" i="38"/>
  <c r="BZ19" i="192"/>
  <c r="BZ19" i="191"/>
  <c r="BZ19" i="193"/>
  <c r="K21" i="168"/>
  <c r="V37" i="38"/>
  <c r="D23" i="203" s="1"/>
  <c r="V37" i="191"/>
  <c r="V37" i="192"/>
  <c r="V37" i="193"/>
  <c r="CH34" i="62"/>
  <c r="CH34" i="191"/>
  <c r="CH34" i="192"/>
  <c r="CH34" i="193"/>
  <c r="BZ37" i="62"/>
  <c r="BZ37" i="191"/>
  <c r="BZ37" i="192"/>
  <c r="BZ37" i="193"/>
  <c r="F17" i="62"/>
  <c r="F17" i="192"/>
  <c r="F17" i="193"/>
  <c r="F17" i="191"/>
  <c r="BR8" i="62"/>
  <c r="BR8" i="192"/>
  <c r="BR8" i="193"/>
  <c r="BR8" i="191"/>
  <c r="V17" i="38"/>
  <c r="Z14" i="40" s="1"/>
  <c r="V17" i="192"/>
  <c r="V17" i="193"/>
  <c r="V17" i="191"/>
  <c r="N41" i="62"/>
  <c r="N41" i="191"/>
  <c r="N41" i="192"/>
  <c r="N41" i="193"/>
  <c r="AL21" i="38"/>
  <c r="F7" i="203" s="1"/>
  <c r="AL21" i="192"/>
  <c r="AL21" i="191"/>
  <c r="AL21" i="193"/>
  <c r="BJ9" i="62"/>
  <c r="BJ9" i="192"/>
  <c r="BJ9" i="193"/>
  <c r="BJ9" i="191"/>
  <c r="AD27" i="38"/>
  <c r="BJ14"/>
  <c r="AE11" i="40" s="1"/>
  <c r="V30" i="38"/>
  <c r="D16" i="203" s="1"/>
  <c r="N42" i="38"/>
  <c r="C28" i="203" s="1"/>
  <c r="CH12" i="38"/>
  <c r="AH9" i="40" s="1"/>
  <c r="F34" i="38"/>
  <c r="X31" i="40" s="1"/>
  <c r="BJ21" i="38"/>
  <c r="I7" i="203" s="1"/>
  <c r="N16" i="62"/>
  <c r="BB45" i="38"/>
  <c r="H31" i="203" s="1"/>
  <c r="BZ16" i="38"/>
  <c r="BZ12" i="62"/>
  <c r="BJ10" i="38"/>
  <c r="AE7" i="40" s="1"/>
  <c r="AT43" i="38"/>
  <c r="G29" i="203" s="1"/>
  <c r="AT15" i="62"/>
  <c r="AL13" i="38"/>
  <c r="AB10" i="40" s="1"/>
  <c r="BJ32" i="38"/>
  <c r="N45" i="62"/>
  <c r="V41"/>
  <c r="BB15"/>
  <c r="BR24"/>
  <c r="BJ30" i="38"/>
  <c r="I16" i="203" s="1"/>
  <c r="V10" i="38"/>
  <c r="Z7" i="40" s="1"/>
  <c r="V40" i="62"/>
  <c r="AT42"/>
  <c r="BB24" i="38"/>
  <c r="H10" i="203" s="1"/>
  <c r="AL19" i="62"/>
  <c r="AT45"/>
  <c r="N32" i="38"/>
  <c r="C18" i="203" s="1"/>
  <c r="BB23" i="38"/>
  <c r="H9" i="203" s="1"/>
  <c r="BR9" i="62"/>
  <c r="V42" i="38"/>
  <c r="V11"/>
  <c r="Z8" i="40" s="1"/>
  <c r="BZ42" i="62"/>
  <c r="V9"/>
  <c r="N40"/>
  <c r="BR19" i="38"/>
  <c r="BB11" i="62"/>
  <c r="BZ35"/>
  <c r="BJ22"/>
  <c r="BB13"/>
  <c r="BZ26" i="38"/>
  <c r="K12" i="203" s="1"/>
  <c r="F8" i="38"/>
  <c r="X5" i="40" s="1"/>
  <c r="AD40" i="38"/>
  <c r="E26" i="203" s="1"/>
  <c r="AL44" i="38"/>
  <c r="N25"/>
  <c r="C11" i="203" s="1"/>
  <c r="N37" i="38"/>
  <c r="C23" i="203" s="1"/>
  <c r="AD19" i="62"/>
  <c r="BZ45" i="38"/>
  <c r="N19" i="62"/>
  <c r="AT14" i="38"/>
  <c r="AC11" i="40" s="1"/>
  <c r="BR41" i="62"/>
  <c r="V19" i="38"/>
  <c r="D5" i="203" s="1"/>
  <c r="BR29" i="62"/>
  <c r="CH35"/>
  <c r="BJ34"/>
  <c r="BR37" i="38"/>
  <c r="CH30"/>
  <c r="L16" i="203" s="1"/>
  <c r="BB43" i="38"/>
  <c r="H29" i="203" s="1"/>
  <c r="AT10" i="62"/>
  <c r="AT44"/>
  <c r="AT35" i="38"/>
  <c r="V45" i="62"/>
  <c r="N28" i="38"/>
  <c r="C14" i="203" s="1"/>
  <c r="AL26" i="38"/>
  <c r="V39"/>
  <c r="D25" i="203" s="1"/>
  <c r="BJ42" i="62"/>
  <c r="BR23" i="38"/>
  <c r="J9" i="203" s="1"/>
  <c r="BJ11" i="62"/>
  <c r="CH24"/>
  <c r="CH48"/>
  <c r="CH50" s="1"/>
  <c r="CH48" i="38"/>
  <c r="L34" i="203" s="1"/>
  <c r="W48" i="20"/>
  <c r="C46"/>
  <c r="B48" i="22" s="1"/>
  <c r="D48" s="1"/>
  <c r="E46" i="20"/>
  <c r="E48" i="22" s="1"/>
  <c r="G48" s="1"/>
  <c r="G46" i="20"/>
  <c r="H48" i="22" s="1"/>
  <c r="J48" s="1"/>
  <c r="I46" i="20"/>
  <c r="K48" i="22" s="1"/>
  <c r="M48" s="1"/>
  <c r="K46" i="20"/>
  <c r="N48" i="22" s="1"/>
  <c r="P48" s="1"/>
  <c r="M46" i="20"/>
  <c r="Q48" i="22" s="1"/>
  <c r="S48" s="1"/>
  <c r="O46" i="20"/>
  <c r="T48" i="22" s="1"/>
  <c r="V48" s="1"/>
  <c r="Q46" i="20"/>
  <c r="W48" i="22" s="1"/>
  <c r="Y48" s="1"/>
  <c r="S46" i="20"/>
  <c r="Z48" i="22" s="1"/>
  <c r="AB48" s="1"/>
  <c r="U46" i="20"/>
  <c r="AC48" i="22" s="1"/>
  <c r="AE48" s="1"/>
  <c r="F45" i="38"/>
  <c r="N14" i="62"/>
  <c r="AD37" i="38"/>
  <c r="E23" i="203" s="1"/>
  <c r="BR30" i="38"/>
  <c r="J16" i="203" s="1"/>
  <c r="BJ17" i="62"/>
  <c r="CH10" i="38"/>
  <c r="V44" i="62"/>
  <c r="AT41" i="38"/>
  <c r="V36"/>
  <c r="AC47" i="22"/>
  <c r="T47"/>
  <c r="H47"/>
  <c r="B47"/>
  <c r="K47"/>
  <c r="W47"/>
  <c r="Q47"/>
  <c r="AF47"/>
  <c r="N47"/>
  <c r="AD29" i="38"/>
  <c r="N44"/>
  <c r="C30" i="203" s="1"/>
  <c r="AD36" i="62"/>
  <c r="F13"/>
  <c r="BR33" i="38"/>
  <c r="BB29"/>
  <c r="AT11" i="62"/>
  <c r="AL12"/>
  <c r="F33" i="38"/>
  <c r="V24"/>
  <c r="BR25" i="62"/>
  <c r="BZ23"/>
  <c r="AL9" i="38"/>
  <c r="AB6" i="40" s="1"/>
  <c r="AL20" i="38"/>
  <c r="AD31"/>
  <c r="E17" i="203" s="1"/>
  <c r="AD33" i="38"/>
  <c r="E19" i="203" s="1"/>
  <c r="AL11" i="62"/>
  <c r="CH33"/>
  <c r="CH33" i="38"/>
  <c r="L19" i="203" s="1"/>
  <c r="AL27" i="62"/>
  <c r="AL27" i="38"/>
  <c r="F13" i="203" s="1"/>
  <c r="F20" i="62"/>
  <c r="F20" i="38"/>
  <c r="BJ25" i="62"/>
  <c r="BJ25" i="38"/>
  <c r="I11" i="203" s="1"/>
  <c r="BB37" i="62"/>
  <c r="F12"/>
  <c r="F12" i="38"/>
  <c r="F44" i="62"/>
  <c r="F44" i="38"/>
  <c r="CH9" i="62"/>
  <c r="CH9" i="38"/>
  <c r="CH21" i="62"/>
  <c r="CH21" i="38"/>
  <c r="L7" i="203" s="1"/>
  <c r="BB34" i="38"/>
  <c r="H20" i="203" s="1"/>
  <c r="BB34" i="62"/>
  <c r="N15"/>
  <c r="BB21"/>
  <c r="BB21" i="38"/>
  <c r="H7" i="203" s="1"/>
  <c r="BZ29" i="62"/>
  <c r="BB16" i="38"/>
  <c r="BB16" i="62"/>
  <c r="CH37"/>
  <c r="CH37" i="38"/>
  <c r="L23" i="203" s="1"/>
  <c r="F14" i="38"/>
  <c r="F14" i="62"/>
  <c r="F10" i="38"/>
  <c r="N36"/>
  <c r="C22" i="203" s="1"/>
  <c r="N36" i="62"/>
  <c r="T46" i="22"/>
  <c r="AC46"/>
  <c r="AE27" i="40"/>
  <c r="AB14"/>
  <c r="AE6"/>
  <c r="AE25"/>
  <c r="Y30"/>
  <c r="Y38"/>
  <c r="AF5"/>
  <c r="X14"/>
  <c r="AG34"/>
  <c r="AH31"/>
  <c r="AD21"/>
  <c r="AA8"/>
  <c r="Y39"/>
  <c r="AC14"/>
  <c r="AB37"/>
  <c r="Y29"/>
  <c r="AD14"/>
  <c r="AC34"/>
  <c r="AD20"/>
  <c r="AG31"/>
  <c r="Y19"/>
  <c r="AB28"/>
  <c r="X19"/>
  <c r="AH37"/>
  <c r="AE18"/>
  <c r="AH24"/>
  <c r="AF32"/>
  <c r="Y28"/>
  <c r="AB26"/>
  <c r="BB25" i="62"/>
  <c r="BB25" i="38"/>
  <c r="H11" i="203" s="1"/>
  <c r="CH29" i="62"/>
  <c r="AT30"/>
  <c r="AT30" i="38"/>
  <c r="G16" i="203" s="1"/>
  <c r="BZ30" i="62"/>
  <c r="BZ30" i="38"/>
  <c r="K16" i="203" s="1"/>
  <c r="BZ33" i="62"/>
  <c r="BZ33" i="38"/>
  <c r="K19" i="203" s="1"/>
  <c r="BJ39" i="62"/>
  <c r="BJ39" i="38"/>
  <c r="I25" i="203" s="1"/>
  <c r="BB36" i="62"/>
  <c r="BB36" i="38"/>
  <c r="H22" i="203" s="1"/>
  <c r="BR36" i="38"/>
  <c r="J22" i="203" s="1"/>
  <c r="BR36" i="62"/>
  <c r="N20" i="38"/>
  <c r="C6" i="203" s="1"/>
  <c r="AT39" i="38"/>
  <c r="G25" i="203" s="1"/>
  <c r="AT39" i="62"/>
  <c r="BJ38"/>
  <c r="BJ38" i="38"/>
  <c r="I24" i="203" s="1"/>
  <c r="BJ24" i="38"/>
  <c r="I10" i="203" s="1"/>
  <c r="BJ24" i="62"/>
  <c r="F15" i="38"/>
  <c r="F15" i="62"/>
  <c r="AT27" i="38"/>
  <c r="G13" i="203" s="1"/>
  <c r="AT27" i="62"/>
  <c r="AD25" i="38"/>
  <c r="E11" i="203" s="1"/>
  <c r="AD25" i="62"/>
  <c r="AF46" i="22"/>
  <c r="H46"/>
  <c r="Q46"/>
  <c r="AB18" i="40"/>
  <c r="Z37"/>
  <c r="AC39"/>
  <c r="Z34"/>
  <c r="AD30"/>
  <c r="AB16"/>
  <c r="AC42"/>
  <c r="AF6"/>
  <c r="Z23"/>
  <c r="AG39"/>
  <c r="AA42"/>
  <c r="AD42"/>
  <c r="AA41"/>
  <c r="AF37"/>
  <c r="AG13"/>
  <c r="X26"/>
  <c r="AE9"/>
  <c r="AA27"/>
  <c r="AE38"/>
  <c r="AH28"/>
  <c r="AE16"/>
  <c r="AH5"/>
  <c r="X36"/>
  <c r="AA20"/>
  <c r="AB22"/>
  <c r="AC21"/>
  <c r="AG23"/>
  <c r="X32"/>
  <c r="BZ24" i="62"/>
  <c r="BZ24" i="38"/>
  <c r="K10" i="203" s="1"/>
  <c r="AT33" i="38"/>
  <c r="G19" i="203" s="1"/>
  <c r="AT33" i="62"/>
  <c r="BJ40"/>
  <c r="BJ40" i="38"/>
  <c r="I26" i="203" s="1"/>
  <c r="BR20" i="62"/>
  <c r="BR20" i="38"/>
  <c r="J6" i="203" s="1"/>
  <c r="AL34" i="62"/>
  <c r="AL34" i="38"/>
  <c r="F20" i="203" s="1"/>
  <c r="V25" i="62"/>
  <c r="V25" i="38"/>
  <c r="D11" i="203" s="1"/>
  <c r="BB27" i="62"/>
  <c r="BB27" i="38"/>
  <c r="H13" i="203" s="1"/>
  <c r="AD14" i="62"/>
  <c r="AL32" i="38"/>
  <c r="F18" i="203" s="1"/>
  <c r="AL32" i="62"/>
  <c r="BZ21" i="38"/>
  <c r="K7" i="203" s="1"/>
  <c r="BZ21" i="62"/>
  <c r="BR26" i="38"/>
  <c r="J12" i="203" s="1"/>
  <c r="BR26" i="62"/>
  <c r="V8"/>
  <c r="V8" i="38"/>
  <c r="BZ10" i="62"/>
  <c r="BZ10" i="38"/>
  <c r="V38" i="62"/>
  <c r="V38" i="38"/>
  <c r="D24" i="203" s="1"/>
  <c r="N46" i="22"/>
  <c r="W46"/>
  <c r="AE34" i="40"/>
  <c r="AH16"/>
  <c r="AH10"/>
  <c r="AA37"/>
  <c r="AB30"/>
  <c r="AC40"/>
  <c r="AG28"/>
  <c r="AA9"/>
  <c r="AD16"/>
  <c r="Z18"/>
  <c r="Y22"/>
  <c r="AB40"/>
  <c r="AB32"/>
  <c r="AF13"/>
  <c r="AC16"/>
  <c r="AH8"/>
  <c r="AG41"/>
  <c r="AH20"/>
  <c r="AH19"/>
  <c r="AH17"/>
  <c r="AF35"/>
  <c r="Y20"/>
  <c r="Z16"/>
  <c r="AA10"/>
  <c r="AA13"/>
  <c r="AB36"/>
  <c r="AF27"/>
  <c r="AF21"/>
  <c r="AH7"/>
  <c r="AC41"/>
  <c r="Z42"/>
  <c r="AE39"/>
  <c r="AD39"/>
  <c r="AF40"/>
  <c r="AA6"/>
  <c r="Z10"/>
  <c r="X25"/>
  <c r="AH21"/>
  <c r="Y13"/>
  <c r="AB20"/>
  <c r="Z6"/>
  <c r="Y37"/>
  <c r="AC23"/>
  <c r="AD8"/>
  <c r="AD19"/>
  <c r="AG32"/>
  <c r="AE19"/>
  <c r="AA18"/>
  <c r="AD10"/>
  <c r="CH39" i="38"/>
  <c r="L25" i="203" s="1"/>
  <c r="CH39" i="62"/>
  <c r="BZ40"/>
  <c r="BZ40" i="38"/>
  <c r="K26" i="203" s="1"/>
  <c r="AL38" i="62"/>
  <c r="AL38" i="38"/>
  <c r="F24" i="203" s="1"/>
  <c r="F26" i="62"/>
  <c r="BB14"/>
  <c r="BB14" i="38"/>
  <c r="F11" i="62"/>
  <c r="BJ16"/>
  <c r="BJ16" i="38"/>
  <c r="BR31" i="62"/>
  <c r="BR31" i="38"/>
  <c r="J17" i="203" s="1"/>
  <c r="BB39" i="62"/>
  <c r="BB39" i="38"/>
  <c r="H25" i="203" s="1"/>
  <c r="AT31" i="38"/>
  <c r="G17" i="203" s="1"/>
  <c r="AT31" i="62"/>
  <c r="AT20" i="38"/>
  <c r="G6" i="203" s="1"/>
  <c r="V35" i="38"/>
  <c r="D21" i="203" s="1"/>
  <c r="V35" i="62"/>
  <c r="BJ20" i="38"/>
  <c r="I6" i="203" s="1"/>
  <c r="BJ20" i="62"/>
  <c r="BR27" i="38"/>
  <c r="J13" i="203" s="1"/>
  <c r="J48" s="1"/>
  <c r="BR27" i="62"/>
  <c r="AL16"/>
  <c r="N39" i="38"/>
  <c r="C25" i="203" s="1"/>
  <c r="N39" i="62"/>
  <c r="Z46" i="22"/>
  <c r="B46"/>
  <c r="K46"/>
  <c r="AC12" i="40"/>
  <c r="AB38"/>
  <c r="AA16"/>
  <c r="Y16"/>
  <c r="Y42"/>
  <c r="AF11"/>
  <c r="AF38"/>
  <c r="Z38"/>
  <c r="AF39"/>
  <c r="AF26"/>
  <c r="Z24"/>
  <c r="AE31"/>
  <c r="AH27"/>
  <c r="AD40"/>
  <c r="AF22"/>
  <c r="Z36"/>
  <c r="AC8"/>
  <c r="AC19"/>
  <c r="J38" i="203" l="1"/>
  <c r="CH50" i="192"/>
  <c r="J43" i="203"/>
  <c r="F10" i="62"/>
  <c r="AD14" i="191"/>
  <c r="F11" i="193"/>
  <c r="BB8"/>
  <c r="CH15" i="191"/>
  <c r="F13" i="38"/>
  <c r="X10" i="40" s="1"/>
  <c r="AD14" i="38"/>
  <c r="F10" i="192"/>
  <c r="N15" i="191"/>
  <c r="AT17" i="193"/>
  <c r="AT16" i="38"/>
  <c r="AC13" i="40" s="1"/>
  <c r="V16" i="38"/>
  <c r="Z13" i="40" s="1"/>
  <c r="V14" i="193"/>
  <c r="F11" i="192"/>
  <c r="AL10" i="62"/>
  <c r="N9" i="193"/>
  <c r="AL11"/>
  <c r="N11" i="192"/>
  <c r="AL10" i="38"/>
  <c r="AB7" i="40" s="1"/>
  <c r="CH15" i="192"/>
  <c r="AD15" i="191"/>
  <c r="BZ8" i="193"/>
  <c r="F13" i="191"/>
  <c r="AT16" i="193"/>
  <c r="V14" i="192"/>
  <c r="BJ8" i="191"/>
  <c r="AL10" i="193"/>
  <c r="BZ8" i="192"/>
  <c r="AL16" i="38"/>
  <c r="AB13" i="40" s="1"/>
  <c r="N15" i="38"/>
  <c r="AT17" i="191"/>
  <c r="AT16"/>
  <c r="V16" i="193"/>
  <c r="V14" i="191"/>
  <c r="N11" i="38"/>
  <c r="Y8" i="40" s="1"/>
  <c r="AD15" i="192"/>
  <c r="I31" i="203"/>
  <c r="AE42" i="40"/>
  <c r="AB42"/>
  <c r="F31" i="203"/>
  <c r="AF36" i="40"/>
  <c r="J25" i="203"/>
  <c r="E50" i="121"/>
  <c r="B26" i="203"/>
  <c r="AL22" i="38"/>
  <c r="AL22" i="62"/>
  <c r="BB35" i="38"/>
  <c r="BB35" i="62"/>
  <c r="F23"/>
  <c r="F23" i="38"/>
  <c r="CH28" i="62"/>
  <c r="CH28" i="38"/>
  <c r="F25"/>
  <c r="F25" i="62"/>
  <c r="BB40" i="38"/>
  <c r="BB40" i="62"/>
  <c r="F31"/>
  <c r="F31" i="38"/>
  <c r="BR15"/>
  <c r="AF12" i="40" s="1"/>
  <c r="BR15" i="62"/>
  <c r="BZ22" i="38"/>
  <c r="BZ22" i="62"/>
  <c r="F21"/>
  <c r="F21" i="38"/>
  <c r="H42" i="203"/>
  <c r="H47"/>
  <c r="H37"/>
  <c r="E30" i="121"/>
  <c r="B6" i="203"/>
  <c r="Z39" i="40"/>
  <c r="D28" i="203"/>
  <c r="BZ13" i="62"/>
  <c r="BZ13" i="38"/>
  <c r="AG10" i="40" s="1"/>
  <c r="BJ13" i="62"/>
  <c r="BJ13" i="38"/>
  <c r="AE10" i="40" s="1"/>
  <c r="BZ27" i="62"/>
  <c r="BZ27" i="38"/>
  <c r="BJ35" i="62"/>
  <c r="BJ35" i="38"/>
  <c r="V23"/>
  <c r="V23" i="62"/>
  <c r="AL42"/>
  <c r="AL42" i="38"/>
  <c r="AD35"/>
  <c r="AD35" i="62"/>
  <c r="V28"/>
  <c r="V28" i="38"/>
  <c r="CH43"/>
  <c r="CH43" i="62"/>
  <c r="E52" i="121"/>
  <c r="B28" i="203"/>
  <c r="E43" i="121"/>
  <c r="B19" i="203"/>
  <c r="AF30" i="40"/>
  <c r="J19" i="203"/>
  <c r="AC38" i="40"/>
  <c r="G27" i="203"/>
  <c r="AB23" i="40"/>
  <c r="F12" i="203"/>
  <c r="AF34" i="40"/>
  <c r="J23" i="203"/>
  <c r="AG42" i="40"/>
  <c r="K31" i="203"/>
  <c r="AB41" i="40"/>
  <c r="F30" i="203"/>
  <c r="AF16" i="40"/>
  <c r="J5" i="203"/>
  <c r="AE29" i="40"/>
  <c r="I18" i="203"/>
  <c r="AG16" i="40"/>
  <c r="K5" i="203"/>
  <c r="AA39" i="40"/>
  <c r="E28" i="203"/>
  <c r="AE24" i="40"/>
  <c r="I13" i="203"/>
  <c r="I38" s="1"/>
  <c r="AC31" i="40"/>
  <c r="G20" i="203"/>
  <c r="Z26" i="40"/>
  <c r="D15" i="203"/>
  <c r="AE28" i="40"/>
  <c r="I17" i="203"/>
  <c r="AH22" i="40"/>
  <c r="L11" i="203"/>
  <c r="AB21" i="40"/>
  <c r="F10" i="203"/>
  <c r="AE30" i="40"/>
  <c r="I19" i="203"/>
  <c r="AA21" i="40"/>
  <c r="E10" i="203"/>
  <c r="Y21" i="40"/>
  <c r="C10" i="203"/>
  <c r="AH42" i="40"/>
  <c r="L31" i="203"/>
  <c r="AA29" i="40"/>
  <c r="E18" i="203"/>
  <c r="AA31" i="40"/>
  <c r="E20" i="203"/>
  <c r="AE33" i="40"/>
  <c r="I22" i="203"/>
  <c r="BR32" i="62"/>
  <c r="BR32" i="38"/>
  <c r="BJ26" i="62"/>
  <c r="BJ26" i="38"/>
  <c r="BZ43" i="62"/>
  <c r="BZ43" i="38"/>
  <c r="AT36"/>
  <c r="AT36" i="62"/>
  <c r="AT25"/>
  <c r="AT25" i="38"/>
  <c r="AD20" i="62"/>
  <c r="AD20" i="38"/>
  <c r="BB38"/>
  <c r="BB38" i="62"/>
  <c r="F43" i="38"/>
  <c r="F43" i="62"/>
  <c r="F38"/>
  <c r="F38" i="38"/>
  <c r="AD41" i="62"/>
  <c r="AD41" i="38"/>
  <c r="BJ8"/>
  <c r="AE5" i="40" s="1"/>
  <c r="BJ8" i="62"/>
  <c r="CH36" i="38"/>
  <c r="CH36" i="62"/>
  <c r="AD22" i="38"/>
  <c r="AD22" i="62"/>
  <c r="BB8" i="38"/>
  <c r="AD5" i="40" s="1"/>
  <c r="BB8" i="62"/>
  <c r="F41"/>
  <c r="F41" i="38"/>
  <c r="AT38" i="62"/>
  <c r="AT38" i="38"/>
  <c r="BZ36" i="62"/>
  <c r="BZ36" i="38"/>
  <c r="CH32"/>
  <c r="CH32" i="62"/>
  <c r="F27"/>
  <c r="F27" i="38"/>
  <c r="BJ44"/>
  <c r="BJ44" i="62"/>
  <c r="E39" i="121"/>
  <c r="B15" i="203"/>
  <c r="F41" i="218"/>
  <c r="F36"/>
  <c r="AC26" i="40"/>
  <c r="BB31" i="62"/>
  <c r="AT21"/>
  <c r="Y18" i="40"/>
  <c r="AH23"/>
  <c r="BB37" i="38"/>
  <c r="H23" i="203" s="1"/>
  <c r="N34" i="193"/>
  <c r="BZ29" i="191"/>
  <c r="AL17" i="193"/>
  <c r="BZ28" i="192"/>
  <c r="AL30"/>
  <c r="BB12" i="193"/>
  <c r="N38" i="192"/>
  <c r="AT21" i="191"/>
  <c r="AT9" i="193"/>
  <c r="BJ15" i="38"/>
  <c r="AE12" i="40" s="1"/>
  <c r="BB40" i="191"/>
  <c r="F31"/>
  <c r="BR15" i="192"/>
  <c r="BZ22"/>
  <c r="F21"/>
  <c r="BJ15" i="191"/>
  <c r="CH26" i="192"/>
  <c r="V15" i="193"/>
  <c r="AL29" i="192"/>
  <c r="BR39"/>
  <c r="F19" i="193"/>
  <c r="CH38" i="38"/>
  <c r="N14"/>
  <c r="Y11" i="40" s="1"/>
  <c r="N43" i="38"/>
  <c r="Y25" i="40"/>
  <c r="Z41"/>
  <c r="X37"/>
  <c r="BB31" i="38"/>
  <c r="H17" i="203" s="1"/>
  <c r="AT20" i="62"/>
  <c r="AT21" i="38"/>
  <c r="G7" i="203" s="1"/>
  <c r="F26" i="38"/>
  <c r="BZ9" i="62"/>
  <c r="AA30" i="40"/>
  <c r="AC29"/>
  <c r="AA28"/>
  <c r="AA34"/>
  <c r="Y23"/>
  <c r="Y34"/>
  <c r="Y35"/>
  <c r="BB10" i="38"/>
  <c r="AD7" i="40" s="1"/>
  <c r="AL14" i="38"/>
  <c r="AT8" i="62"/>
  <c r="N34"/>
  <c r="BR45"/>
  <c r="X39" i="40"/>
  <c r="AF31"/>
  <c r="AT9" i="62"/>
  <c r="N20"/>
  <c r="AD8" i="38"/>
  <c r="CH29"/>
  <c r="L15" i="203" s="1"/>
  <c r="V34" i="38"/>
  <c r="D20" i="203" s="1"/>
  <c r="V22" i="38"/>
  <c r="F16" i="62"/>
  <c r="CH50" i="38"/>
  <c r="CH53" s="1"/>
  <c r="BB10" i="192"/>
  <c r="AT8"/>
  <c r="BR45" i="191"/>
  <c r="BZ29" i="192"/>
  <c r="BB37"/>
  <c r="AL17" i="191"/>
  <c r="BZ17" i="193"/>
  <c r="BZ15"/>
  <c r="BB44"/>
  <c r="N8"/>
  <c r="N12" i="191"/>
  <c r="BZ28" i="193"/>
  <c r="AL30"/>
  <c r="BB12" i="191"/>
  <c r="N38" i="193"/>
  <c r="H21" i="168"/>
  <c r="BB19" i="62"/>
  <c r="N30" i="38"/>
  <c r="N26" i="62"/>
  <c r="BJ23"/>
  <c r="AD16"/>
  <c r="AT28" i="38"/>
  <c r="F16"/>
  <c r="X13" i="40" s="1"/>
  <c r="AD36" i="38"/>
  <c r="BB42" i="62"/>
  <c r="BB31" i="191"/>
  <c r="BZ9" i="192"/>
  <c r="AT9" i="191"/>
  <c r="AD8" i="192"/>
  <c r="V34" i="193"/>
  <c r="CH38" i="62"/>
  <c r="AT12"/>
  <c r="BR21" i="38"/>
  <c r="F19"/>
  <c r="BR39" i="62"/>
  <c r="V15"/>
  <c r="AL45"/>
  <c r="AL22" i="192"/>
  <c r="BZ13" i="191"/>
  <c r="BB35"/>
  <c r="BJ13"/>
  <c r="F23" i="192"/>
  <c r="BZ27"/>
  <c r="CH28" i="191"/>
  <c r="BJ35" i="192"/>
  <c r="F25"/>
  <c r="V23" i="191"/>
  <c r="AL42" i="193"/>
  <c r="BB40" i="192"/>
  <c r="AD35" i="193"/>
  <c r="F31" i="192"/>
  <c r="V28" i="193"/>
  <c r="BR15"/>
  <c r="CH43"/>
  <c r="BZ22" i="191"/>
  <c r="F21"/>
  <c r="BR43" i="193"/>
  <c r="V13"/>
  <c r="BJ45"/>
  <c r="BR17" i="191"/>
  <c r="BJ15" i="193"/>
  <c r="AL15" i="191"/>
  <c r="CH26" i="193"/>
  <c r="AL45"/>
  <c r="N13" i="191"/>
  <c r="V15"/>
  <c r="AL29" i="193"/>
  <c r="BZ14" i="191"/>
  <c r="N29" i="193"/>
  <c r="CH31"/>
  <c r="F42"/>
  <c r="BZ11"/>
  <c r="BR39"/>
  <c r="B21" i="168"/>
  <c r="F19" i="62"/>
  <c r="BR21" i="192"/>
  <c r="AT12"/>
  <c r="CH38" i="191"/>
  <c r="N14" i="192"/>
  <c r="BZ32" i="191"/>
  <c r="N43"/>
  <c r="AT11" i="192"/>
  <c r="V22"/>
  <c r="AT20" i="191"/>
  <c r="N20"/>
  <c r="F38" i="203"/>
  <c r="F43"/>
  <c r="F48"/>
  <c r="E44" i="121"/>
  <c r="B20" i="203"/>
  <c r="AD26" i="38"/>
  <c r="AD26" i="62"/>
  <c r="AD39" i="38"/>
  <c r="AD39" i="62"/>
  <c r="BR11" i="38"/>
  <c r="AF8" i="40" s="1"/>
  <c r="BR11" i="62"/>
  <c r="F37" i="38"/>
  <c r="F37" i="62"/>
  <c r="AD10" i="38"/>
  <c r="AA7" i="40" s="1"/>
  <c r="AD10" i="62"/>
  <c r="V20" i="38"/>
  <c r="V20" i="62"/>
  <c r="BZ38" i="38"/>
  <c r="BZ38" i="62"/>
  <c r="BB41"/>
  <c r="BB41" i="38"/>
  <c r="AT13" i="62"/>
  <c r="AT13" i="38"/>
  <c r="AC10" i="40" s="1"/>
  <c r="F22" i="136"/>
  <c r="AQ50" i="19"/>
  <c r="AV48"/>
  <c r="E54" i="121"/>
  <c r="B30" i="203"/>
  <c r="L36"/>
  <c r="L46"/>
  <c r="L41"/>
  <c r="CH44" i="62"/>
  <c r="CH44" i="38"/>
  <c r="BR10" i="62"/>
  <c r="BR10" i="38"/>
  <c r="AF7" i="40" s="1"/>
  <c r="F30" i="38"/>
  <c r="F30" i="62"/>
  <c r="BB9" i="38"/>
  <c r="AD6" i="40" s="1"/>
  <c r="BB9" i="62"/>
  <c r="F32" i="38"/>
  <c r="F32" i="62"/>
  <c r="F36"/>
  <c r="F36" i="38"/>
  <c r="BB26" i="62"/>
  <c r="BB26" i="38"/>
  <c r="BZ20"/>
  <c r="BZ20" i="62"/>
  <c r="N27"/>
  <c r="N27" i="38"/>
  <c r="CH41" i="62"/>
  <c r="CH41" i="38"/>
  <c r="F24" i="62"/>
  <c r="F24" i="38"/>
  <c r="J37" i="203"/>
  <c r="J42"/>
  <c r="J47"/>
  <c r="D38"/>
  <c r="D43"/>
  <c r="D48"/>
  <c r="G37"/>
  <c r="G42"/>
  <c r="G47"/>
  <c r="F37"/>
  <c r="F47"/>
  <c r="F42"/>
  <c r="AB17" i="40"/>
  <c r="F6" i="203"/>
  <c r="Z21" i="40"/>
  <c r="D10" i="203"/>
  <c r="AD26" i="40"/>
  <c r="H15" i="203"/>
  <c r="AA26" i="40"/>
  <c r="E15" i="203"/>
  <c r="Z33" i="40"/>
  <c r="D22" i="203"/>
  <c r="E55" i="121"/>
  <c r="B31" i="203"/>
  <c r="AC32" i="40"/>
  <c r="G21" i="203"/>
  <c r="AA24" i="40"/>
  <c r="E13" i="203"/>
  <c r="E43" s="1"/>
  <c r="D37"/>
  <c r="D47"/>
  <c r="D42"/>
  <c r="AG36" i="40"/>
  <c r="K25" i="203"/>
  <c r="Z40" i="40"/>
  <c r="D29" i="203"/>
  <c r="AB34" i="40"/>
  <c r="F23" i="203"/>
  <c r="AC37" i="40"/>
  <c r="G26" i="203"/>
  <c r="BB28" i="62"/>
  <c r="BB28" i="38"/>
  <c r="BZ41" i="62"/>
  <c r="BZ41" i="38"/>
  <c r="V32"/>
  <c r="V32" i="62"/>
  <c r="BB32" i="38"/>
  <c r="BB32" i="62"/>
  <c r="BR28"/>
  <c r="BR28" i="38"/>
  <c r="AD43"/>
  <c r="AD43" i="62"/>
  <c r="N9" i="38"/>
  <c r="Y6" i="40" s="1"/>
  <c r="N9" i="62"/>
  <c r="BB20"/>
  <c r="BB20" i="38"/>
  <c r="AD28" i="62"/>
  <c r="AD28" i="38"/>
  <c r="BR22"/>
  <c r="BR22" i="62"/>
  <c r="AD17"/>
  <c r="AD17" i="38"/>
  <c r="AA14" i="40" s="1"/>
  <c r="BJ29" i="38"/>
  <c r="BJ29" i="62"/>
  <c r="BR44"/>
  <c r="BR44" i="38"/>
  <c r="BB30"/>
  <c r="BB30" i="62"/>
  <c r="CH42" i="38"/>
  <c r="CH42" i="62"/>
  <c r="CH16"/>
  <c r="CH16" i="38"/>
  <c r="AH13" i="40" s="1"/>
  <c r="AL28" i="38"/>
  <c r="AL28" i="62"/>
  <c r="N35"/>
  <c r="N35" i="38"/>
  <c r="BR13"/>
  <c r="AF10" i="40" s="1"/>
  <c r="BR13" i="62"/>
  <c r="CH14" i="38"/>
  <c r="AH11" i="40" s="1"/>
  <c r="CH14" i="62"/>
  <c r="L37" i="203"/>
  <c r="L47"/>
  <c r="L42"/>
  <c r="AC20" i="40"/>
  <c r="Z28"/>
  <c r="BZ9" i="38"/>
  <c r="Y41" i="40"/>
  <c r="AE40"/>
  <c r="AG25"/>
  <c r="AD8" i="62"/>
  <c r="V34"/>
  <c r="BZ29" i="38"/>
  <c r="K15" i="203" s="1"/>
  <c r="N43" i="62"/>
  <c r="AL14" i="191"/>
  <c r="BB37"/>
  <c r="N12" i="193"/>
  <c r="BB42"/>
  <c r="V20" i="192"/>
  <c r="BZ38" i="191"/>
  <c r="BB41"/>
  <c r="AT13" i="192"/>
  <c r="V13" i="191"/>
  <c r="AL45" i="192"/>
  <c r="N13" i="193"/>
  <c r="BR21" i="62"/>
  <c r="AT12" i="38"/>
  <c r="AC9" i="40" s="1"/>
  <c r="BZ32" i="62"/>
  <c r="AF20" i="40"/>
  <c r="AG20"/>
  <c r="AH32"/>
  <c r="AA35"/>
  <c r="AG22"/>
  <c r="AE20"/>
  <c r="Z30"/>
  <c r="BB10" i="62"/>
  <c r="AL14"/>
  <c r="AT8" i="38"/>
  <c r="N34"/>
  <c r="C20" i="203" s="1"/>
  <c r="BR45" i="38"/>
  <c r="J31" i="203" s="1"/>
  <c r="Y26" i="40"/>
  <c r="AB33"/>
  <c r="Z27"/>
  <c r="BZ32" i="38"/>
  <c r="AL17" i="62"/>
  <c r="BZ17" i="38"/>
  <c r="AG14" i="40" s="1"/>
  <c r="BZ15" i="38"/>
  <c r="AG12" i="40" s="1"/>
  <c r="BB44" i="38"/>
  <c r="N8"/>
  <c r="Y5" i="40" s="1"/>
  <c r="N12" i="62"/>
  <c r="BZ28"/>
  <c r="AL30" i="38"/>
  <c r="BB12" i="62"/>
  <c r="N38"/>
  <c r="BB19" i="192"/>
  <c r="N30" i="191"/>
  <c r="N26" i="192"/>
  <c r="BJ23"/>
  <c r="AD16"/>
  <c r="AT28" i="191"/>
  <c r="BB42"/>
  <c r="BJ45" i="62"/>
  <c r="CH44" i="193"/>
  <c r="AL22" i="191"/>
  <c r="BZ13" i="193"/>
  <c r="AD26" i="191"/>
  <c r="BR10"/>
  <c r="BB35" i="192"/>
  <c r="BJ13" i="193"/>
  <c r="AD39" i="192"/>
  <c r="F30" i="193"/>
  <c r="F23" i="191"/>
  <c r="BZ27" i="193"/>
  <c r="BR11"/>
  <c r="BB9"/>
  <c r="CH28" i="192"/>
  <c r="BJ35" i="193"/>
  <c r="F37" i="192"/>
  <c r="F32" i="193"/>
  <c r="F25" i="191"/>
  <c r="V23" i="193"/>
  <c r="AD10" i="191"/>
  <c r="F36" i="193"/>
  <c r="BB40"/>
  <c r="V20"/>
  <c r="F31"/>
  <c r="BZ38"/>
  <c r="BR15" i="191"/>
  <c r="BB41" i="193"/>
  <c r="BZ22"/>
  <c r="AT13" i="191"/>
  <c r="F21" i="193"/>
  <c r="BR43" i="62"/>
  <c r="V13"/>
  <c r="BR17" i="38"/>
  <c r="AF14" i="40" s="1"/>
  <c r="AL15" i="62"/>
  <c r="BZ14" i="38"/>
  <c r="AG11" i="40" s="1"/>
  <c r="N29" i="62"/>
  <c r="CH31"/>
  <c r="F42"/>
  <c r="BZ11"/>
  <c r="BZ48" i="192"/>
  <c r="BZ50" s="1"/>
  <c r="BZ48" i="191"/>
  <c r="BZ50" s="1"/>
  <c r="BZ48" i="193"/>
  <c r="BZ50" s="1"/>
  <c r="K22" i="168"/>
  <c r="AT48" i="192"/>
  <c r="AT50" s="1"/>
  <c r="AT48" i="191"/>
  <c r="AT50" s="1"/>
  <c r="AT48" i="193"/>
  <c r="AT50" s="1"/>
  <c r="G22" i="168"/>
  <c r="N48" i="192"/>
  <c r="N50" s="1"/>
  <c r="N48" i="191"/>
  <c r="N50" s="1"/>
  <c r="N48" i="193"/>
  <c r="N50" s="1"/>
  <c r="C22" i="168"/>
  <c r="BB48" i="192"/>
  <c r="BB50" s="1"/>
  <c r="BB48" i="191"/>
  <c r="BB50" s="1"/>
  <c r="BB48" i="193"/>
  <c r="BB50" s="1"/>
  <c r="H22" i="168"/>
  <c r="V48" i="192"/>
  <c r="V50" s="1"/>
  <c r="V48" i="191"/>
  <c r="V50" s="1"/>
  <c r="V48" i="193"/>
  <c r="V50" s="1"/>
  <c r="D22" i="168"/>
  <c r="BJ48" i="192"/>
  <c r="BJ50" s="1"/>
  <c r="BJ48" i="191"/>
  <c r="BJ50" s="1"/>
  <c r="BJ48" i="193"/>
  <c r="BJ50" s="1"/>
  <c r="I22" i="168"/>
  <c r="AD48" i="192"/>
  <c r="AD50" s="1"/>
  <c r="AD48" i="191"/>
  <c r="AD50" s="1"/>
  <c r="AD48" i="193"/>
  <c r="AD50" s="1"/>
  <c r="E22" i="168"/>
  <c r="CH50" i="191"/>
  <c r="BR48" i="192"/>
  <c r="BR50" s="1"/>
  <c r="BR48" i="191"/>
  <c r="BR50" s="1"/>
  <c r="BR48" i="193"/>
  <c r="BR50" s="1"/>
  <c r="J22" i="168"/>
  <c r="AL48" i="192"/>
  <c r="AL50" s="1"/>
  <c r="AL48" i="191"/>
  <c r="AL50" s="1"/>
  <c r="AL48" i="193"/>
  <c r="AL50" s="1"/>
  <c r="F22" i="168"/>
  <c r="F48" i="191"/>
  <c r="F50" s="1"/>
  <c r="F48" i="192"/>
  <c r="F50" s="1"/>
  <c r="F48" i="193"/>
  <c r="F50" s="1"/>
  <c r="B22" i="168"/>
  <c r="X16" i="40"/>
  <c r="X30"/>
  <c r="X42"/>
  <c r="CH50" i="193"/>
  <c r="BZ48" i="62"/>
  <c r="BZ48" i="38"/>
  <c r="K34" i="203" s="1"/>
  <c r="BR48" i="62"/>
  <c r="BR48" i="38"/>
  <c r="J34" i="203" s="1"/>
  <c r="BJ48" i="62"/>
  <c r="BJ48" i="38"/>
  <c r="I34" i="203" s="1"/>
  <c r="BB48" i="62"/>
  <c r="BB48" i="38"/>
  <c r="H34" i="203" s="1"/>
  <c r="AT48" i="62"/>
  <c r="AT48" i="38"/>
  <c r="G34" i="203" s="1"/>
  <c r="AL48" i="62"/>
  <c r="AL48" i="38"/>
  <c r="F34" i="203" s="1"/>
  <c r="AD48" i="62"/>
  <c r="AD48" i="38"/>
  <c r="V48" i="62"/>
  <c r="V48" i="38"/>
  <c r="D34" i="203" s="1"/>
  <c r="N48" i="62"/>
  <c r="N48" i="38"/>
  <c r="C34" i="203" s="1"/>
  <c r="F48" i="62"/>
  <c r="F48" i="38"/>
  <c r="B34" i="203" s="1"/>
  <c r="AH45" i="40"/>
  <c r="AH47" s="1"/>
  <c r="U48" i="20"/>
  <c r="S48"/>
  <c r="Q48"/>
  <c r="O48"/>
  <c r="M48"/>
  <c r="K48"/>
  <c r="I48"/>
  <c r="G48"/>
  <c r="E48"/>
  <c r="C48"/>
  <c r="AF50" i="22"/>
  <c r="AH50"/>
  <c r="AH53" s="1"/>
  <c r="M46"/>
  <c r="AB46"/>
  <c r="Y46"/>
  <c r="J46"/>
  <c r="AE46"/>
  <c r="D46"/>
  <c r="P46"/>
  <c r="S46"/>
  <c r="AH46"/>
  <c r="G46"/>
  <c r="V46"/>
  <c r="P47"/>
  <c r="AB47"/>
  <c r="AH47"/>
  <c r="S47"/>
  <c r="Y47"/>
  <c r="M47"/>
  <c r="D47"/>
  <c r="J47"/>
  <c r="V47"/>
  <c r="G47"/>
  <c r="AE47"/>
  <c r="AC18" i="40"/>
  <c r="AD36"/>
  <c r="AF28"/>
  <c r="AE13"/>
  <c r="X8"/>
  <c r="AD11"/>
  <c r="AB35"/>
  <c r="AG37"/>
  <c r="AB11"/>
  <c r="AF23"/>
  <c r="AG18"/>
  <c r="AB29"/>
  <c r="AA11"/>
  <c r="AC30"/>
  <c r="AE35"/>
  <c r="AA5"/>
  <c r="AD33"/>
  <c r="AE36"/>
  <c r="AG30"/>
  <c r="AG27"/>
  <c r="AC27"/>
  <c r="AH26"/>
  <c r="AD22"/>
  <c r="Y33"/>
  <c r="X7"/>
  <c r="X11"/>
  <c r="AD13"/>
  <c r="AD31"/>
  <c r="Y36"/>
  <c r="AF24"/>
  <c r="AE17"/>
  <c r="Z32"/>
  <c r="AC17"/>
  <c r="AC28"/>
  <c r="AG6"/>
  <c r="AH36"/>
  <c r="Z35"/>
  <c r="AG7"/>
  <c r="Z5"/>
  <c r="AD24"/>
  <c r="AC5"/>
  <c r="Z22"/>
  <c r="Y31"/>
  <c r="AB31"/>
  <c r="AF17"/>
  <c r="AE37"/>
  <c r="AG21"/>
  <c r="AF42"/>
  <c r="AA22"/>
  <c r="AC6"/>
  <c r="AC24"/>
  <c r="X12"/>
  <c r="AE21"/>
  <c r="AC36"/>
  <c r="Y17"/>
  <c r="AF33"/>
  <c r="AH34"/>
  <c r="AD18"/>
  <c r="Y12"/>
  <c r="AH18"/>
  <c r="AH6"/>
  <c r="X41"/>
  <c r="X9"/>
  <c r="AD34"/>
  <c r="AE22"/>
  <c r="X17"/>
  <c r="AB24"/>
  <c r="AH30"/>
  <c r="I43" i="203" l="1"/>
  <c r="C21"/>
  <c r="Y32" i="40"/>
  <c r="K27" i="203"/>
  <c r="AG38" i="40"/>
  <c r="E42" i="121"/>
  <c r="B18" i="203"/>
  <c r="X29" i="40"/>
  <c r="E47" i="121"/>
  <c r="B23" i="203"/>
  <c r="X34" i="40"/>
  <c r="H24" i="203"/>
  <c r="AD35" i="40"/>
  <c r="D14" i="203"/>
  <c r="Z25" i="40"/>
  <c r="I21" i="203"/>
  <c r="AE32" i="40"/>
  <c r="E41" i="121"/>
  <c r="B17" i="203"/>
  <c r="X28" i="40"/>
  <c r="E33" i="121"/>
  <c r="B9" i="203"/>
  <c r="X20" i="40"/>
  <c r="CJ55" i="38"/>
  <c r="E34" i="203"/>
  <c r="I41"/>
  <c r="I46"/>
  <c r="I36"/>
  <c r="F14"/>
  <c r="AB25" i="40"/>
  <c r="L28" i="203"/>
  <c r="AH39" i="40"/>
  <c r="D18" i="203"/>
  <c r="Z29" i="40"/>
  <c r="E42" i="203"/>
  <c r="E37"/>
  <c r="E47"/>
  <c r="C13"/>
  <c r="Y24" i="40"/>
  <c r="L30" i="203"/>
  <c r="AH41" i="40"/>
  <c r="F55" i="38"/>
  <c r="B5" i="203"/>
  <c r="B41" s="1"/>
  <c r="Y27" i="40"/>
  <c r="C16" i="203"/>
  <c r="J30"/>
  <c r="AF41" i="40"/>
  <c r="E14" i="203"/>
  <c r="AA25" i="40"/>
  <c r="J14" i="203"/>
  <c r="AF25" i="40"/>
  <c r="H14" i="203"/>
  <c r="AD25" i="40"/>
  <c r="K6" i="203"/>
  <c r="AG17" i="40"/>
  <c r="F34" i="209"/>
  <c r="F22" i="158"/>
  <c r="AX48" i="19"/>
  <c r="AX50" s="1"/>
  <c r="AV50"/>
  <c r="K24" i="203"/>
  <c r="AG35" i="40"/>
  <c r="E12" i="203"/>
  <c r="AA23" i="40"/>
  <c r="I30" i="203"/>
  <c r="AE41" i="40"/>
  <c r="L18" i="203"/>
  <c r="AH29" i="40"/>
  <c r="L22" i="203"/>
  <c r="AH33" i="40"/>
  <c r="E53" i="121"/>
  <c r="B29" i="203"/>
  <c r="X40" i="40"/>
  <c r="G22" i="203"/>
  <c r="AC33" i="40"/>
  <c r="K13" i="203"/>
  <c r="AG24" i="40"/>
  <c r="E31" i="121"/>
  <c r="B7" i="203"/>
  <c r="X18" i="40"/>
  <c r="L14" i="203"/>
  <c r="AH25" i="40"/>
  <c r="Z31"/>
  <c r="E21" i="120"/>
  <c r="E38" i="203"/>
  <c r="H6"/>
  <c r="AD17" i="40"/>
  <c r="E40" i="121"/>
  <c r="B16" i="203"/>
  <c r="X27" i="40"/>
  <c r="D6" i="203"/>
  <c r="Z17" i="40"/>
  <c r="E25" i="203"/>
  <c r="AA36" i="40"/>
  <c r="AF18"/>
  <c r="J7" i="203"/>
  <c r="E36" i="121"/>
  <c r="B12" i="203"/>
  <c r="E8"/>
  <c r="AA19" i="40"/>
  <c r="F28" i="203"/>
  <c r="AB39" i="40"/>
  <c r="C36" i="203"/>
  <c r="C46"/>
  <c r="C41"/>
  <c r="G36"/>
  <c r="G46"/>
  <c r="G41"/>
  <c r="K41"/>
  <c r="K36"/>
  <c r="K46"/>
  <c r="E34" i="121"/>
  <c r="B10" i="203"/>
  <c r="X21" i="40"/>
  <c r="H12" i="203"/>
  <c r="AD23" i="40"/>
  <c r="H27" i="203"/>
  <c r="AD38" i="40"/>
  <c r="AC25"/>
  <c r="G14" i="203"/>
  <c r="Z19" i="40"/>
  <c r="D8" i="203"/>
  <c r="C29"/>
  <c r="Y40" i="40"/>
  <c r="B13" i="203"/>
  <c r="X24" i="40"/>
  <c r="E37" i="121"/>
  <c r="K22" i="203"/>
  <c r="AG33" i="40"/>
  <c r="E51" i="121"/>
  <c r="B27" i="203"/>
  <c r="X38" i="40"/>
  <c r="B24" i="203"/>
  <c r="E48" i="121"/>
  <c r="F56" i="38"/>
  <c r="X35" i="40"/>
  <c r="G11" i="203"/>
  <c r="AC22" i="40"/>
  <c r="K29" i="203"/>
  <c r="AG40" i="40"/>
  <c r="J18" i="203"/>
  <c r="AF29" i="40"/>
  <c r="L29" i="203"/>
  <c r="AH40" i="40"/>
  <c r="E21" i="203"/>
  <c r="AA32" i="40"/>
  <c r="D9" i="203"/>
  <c r="Z20" i="40"/>
  <c r="H26" i="203"/>
  <c r="AD37" i="40"/>
  <c r="H21" i="203"/>
  <c r="AD32" i="40"/>
  <c r="B46" i="203"/>
  <c r="D41"/>
  <c r="D36"/>
  <c r="D46"/>
  <c r="F36"/>
  <c r="F41"/>
  <c r="F46"/>
  <c r="H36"/>
  <c r="H46"/>
  <c r="H41"/>
  <c r="J36"/>
  <c r="J41"/>
  <c r="J46"/>
  <c r="F16"/>
  <c r="AB27" i="40"/>
  <c r="AD41"/>
  <c r="H30" i="203"/>
  <c r="K18"/>
  <c r="AG29" i="40"/>
  <c r="H16" i="203"/>
  <c r="AD27" i="40"/>
  <c r="I15" i="203"/>
  <c r="AE26" i="40"/>
  <c r="J8" i="203"/>
  <c r="AF19" i="40"/>
  <c r="E29" i="203"/>
  <c r="AA40" i="40"/>
  <c r="H18" i="203"/>
  <c r="AD29" i="40"/>
  <c r="L27" i="203"/>
  <c r="AH38" i="40"/>
  <c r="E46" i="121"/>
  <c r="B22" i="203"/>
  <c r="X33" i="40"/>
  <c r="AA33"/>
  <c r="E22" i="203"/>
  <c r="L24"/>
  <c r="AH35" i="40"/>
  <c r="G24" i="203"/>
  <c r="AC35" i="40"/>
  <c r="E27" i="203"/>
  <c r="AA38" i="40"/>
  <c r="E6" i="203"/>
  <c r="AA17" i="40"/>
  <c r="I12" i="203"/>
  <c r="AE23" i="40"/>
  <c r="I37" i="203"/>
  <c r="I47"/>
  <c r="I42"/>
  <c r="K8"/>
  <c r="AG19" i="40"/>
  <c r="E35" i="121"/>
  <c r="B11" i="203"/>
  <c r="X22" i="40"/>
  <c r="F8" i="203"/>
  <c r="AB19" i="40"/>
  <c r="AG26"/>
  <c r="E48" i="203"/>
  <c r="X23" i="40"/>
  <c r="AD28"/>
  <c r="E29" i="121"/>
  <c r="I48" i="203"/>
  <c r="V47" i="191"/>
  <c r="V47" i="192"/>
  <c r="V47" i="193"/>
  <c r="BB46" i="191"/>
  <c r="BB46" i="192"/>
  <c r="BB46" i="193"/>
  <c r="BJ46" i="191"/>
  <c r="BJ46" i="192"/>
  <c r="BJ46" i="193"/>
  <c r="BJ47" i="191"/>
  <c r="BJ47" i="192"/>
  <c r="BJ47" i="193"/>
  <c r="AT46" i="191"/>
  <c r="AT46" i="192"/>
  <c r="AT46" i="193"/>
  <c r="N47" i="191"/>
  <c r="N47" i="192"/>
  <c r="N47" i="193"/>
  <c r="AD47" i="191"/>
  <c r="AD47" i="192"/>
  <c r="AD47" i="193"/>
  <c r="BR47" i="191"/>
  <c r="BR47" i="192"/>
  <c r="BR47" i="193"/>
  <c r="CH46" i="191"/>
  <c r="CH46" i="192"/>
  <c r="CH46" i="193"/>
  <c r="BZ46" i="191"/>
  <c r="BZ46" i="192"/>
  <c r="BZ46" i="193"/>
  <c r="AD46" i="191"/>
  <c r="AD46" i="192"/>
  <c r="AD46" i="193"/>
  <c r="AT47" i="191"/>
  <c r="AT47" i="192"/>
  <c r="AT47" i="193"/>
  <c r="AL46" i="191"/>
  <c r="AL46" i="192"/>
  <c r="AL46" i="193"/>
  <c r="BB47" i="191"/>
  <c r="BB47" i="192"/>
  <c r="BB47" i="193"/>
  <c r="AL47" i="191"/>
  <c r="AL47" i="192"/>
  <c r="AL47" i="193"/>
  <c r="V46" i="191"/>
  <c r="V46" i="192"/>
  <c r="V46" i="193"/>
  <c r="BZ47" i="191"/>
  <c r="BZ47" i="192"/>
  <c r="BZ47" i="193"/>
  <c r="F47" i="191"/>
  <c r="F47" i="192"/>
  <c r="F47" i="193"/>
  <c r="CH47" i="191"/>
  <c r="CH47" i="192"/>
  <c r="CH47" i="193"/>
  <c r="N46" i="191"/>
  <c r="N46" i="192"/>
  <c r="N46" i="193"/>
  <c r="F46" i="191"/>
  <c r="F46" i="192"/>
  <c r="F46" i="193"/>
  <c r="BR46" i="191"/>
  <c r="BR46" i="192"/>
  <c r="BR46" i="193"/>
  <c r="F54" i="38"/>
  <c r="E22" i="120"/>
  <c r="E58" i="121"/>
  <c r="X45" i="40"/>
  <c r="X47" s="1"/>
  <c r="F50" i="38"/>
  <c r="F53" s="1"/>
  <c r="F50" i="62"/>
  <c r="Y45" i="40"/>
  <c r="Y47" s="1"/>
  <c r="N50" i="38"/>
  <c r="N53" s="1"/>
  <c r="N50" i="62"/>
  <c r="Z45" i="40"/>
  <c r="Z47" s="1"/>
  <c r="V50" i="38"/>
  <c r="V50" i="62"/>
  <c r="AA45" i="40"/>
  <c r="AA47" s="1"/>
  <c r="AD50" i="38"/>
  <c r="AD53" s="1"/>
  <c r="AD50" i="62"/>
  <c r="AB45" i="40"/>
  <c r="AB47" s="1"/>
  <c r="AL50" i="38"/>
  <c r="AL50" i="62"/>
  <c r="AC45" i="40"/>
  <c r="AC47" s="1"/>
  <c r="AT50" i="38"/>
  <c r="AT53" s="1"/>
  <c r="AT50" i="62"/>
  <c r="AD45" i="40"/>
  <c r="AD47" s="1"/>
  <c r="BB50" i="38"/>
  <c r="BB53" s="1"/>
  <c r="BB50" i="62"/>
  <c r="AE45" i="40"/>
  <c r="AE47" s="1"/>
  <c r="BJ50" i="38"/>
  <c r="BJ50" i="62"/>
  <c r="AF45" i="40"/>
  <c r="AF47" s="1"/>
  <c r="BR50" i="38"/>
  <c r="BR50" i="62"/>
  <c r="AG45" i="40"/>
  <c r="AG47" s="1"/>
  <c r="BZ50" i="38"/>
  <c r="BZ53" s="1"/>
  <c r="BZ50" i="62"/>
  <c r="B50" i="22"/>
  <c r="D50"/>
  <c r="D53" s="1"/>
  <c r="E50"/>
  <c r="G50"/>
  <c r="H50"/>
  <c r="J50"/>
  <c r="J53" s="1"/>
  <c r="K50"/>
  <c r="M50"/>
  <c r="N50"/>
  <c r="P50"/>
  <c r="P53" s="1"/>
  <c r="Q50"/>
  <c r="S50"/>
  <c r="T50"/>
  <c r="V50"/>
  <c r="V53" s="1"/>
  <c r="W50"/>
  <c r="Y50"/>
  <c r="Y53" s="1"/>
  <c r="Z50"/>
  <c r="AB50"/>
  <c r="AB53" s="1"/>
  <c r="AC50"/>
  <c r="AE50"/>
  <c r="CH46" i="62"/>
  <c r="CH46" i="38"/>
  <c r="L32" i="203" s="1"/>
  <c r="BB46" i="62"/>
  <c r="BB46" i="38"/>
  <c r="H32" i="203" s="1"/>
  <c r="N46" i="62"/>
  <c r="N46" i="38"/>
  <c r="C32" i="203" s="1"/>
  <c r="AT46" i="62"/>
  <c r="AT46" i="38"/>
  <c r="G32" i="203" s="1"/>
  <c r="AL46" i="62"/>
  <c r="AL46" i="38"/>
  <c r="F32" i="203" s="1"/>
  <c r="F46" i="62"/>
  <c r="F46" i="38"/>
  <c r="B32" i="203" s="1"/>
  <c r="BZ46" i="62"/>
  <c r="BZ46" i="38"/>
  <c r="K32" i="203" s="1"/>
  <c r="V46" i="62"/>
  <c r="V46" i="38"/>
  <c r="D32" i="203" s="1"/>
  <c r="BJ46" i="62"/>
  <c r="BJ46" i="38"/>
  <c r="I32" i="203" s="1"/>
  <c r="BR46" i="62"/>
  <c r="BR46" i="38"/>
  <c r="J32" i="203" s="1"/>
  <c r="AD46" i="62"/>
  <c r="AD46" i="38"/>
  <c r="E32" i="203" s="1"/>
  <c r="BZ47" i="62"/>
  <c r="BZ47" i="38"/>
  <c r="K33" i="203" s="1"/>
  <c r="BB47" i="38"/>
  <c r="H33" i="203" s="1"/>
  <c r="BB47" i="62"/>
  <c r="F47" i="38"/>
  <c r="F47" i="62"/>
  <c r="BJ47"/>
  <c r="BJ47" i="38"/>
  <c r="I33" i="203" s="1"/>
  <c r="CH47" i="62"/>
  <c r="CH47" i="38"/>
  <c r="L33" i="203" s="1"/>
  <c r="AL47" i="38"/>
  <c r="F33" i="203" s="1"/>
  <c r="AL47" i="62"/>
  <c r="N47"/>
  <c r="N47" i="38"/>
  <c r="C33" i="203" s="1"/>
  <c r="V47" i="38"/>
  <c r="D33" i="203" s="1"/>
  <c r="V47" i="62"/>
  <c r="AD47"/>
  <c r="AD47" i="38"/>
  <c r="E33" i="203" s="1"/>
  <c r="AT47" i="62"/>
  <c r="AT47" i="38"/>
  <c r="G33" i="203" s="1"/>
  <c r="BR47" i="62"/>
  <c r="BR47" i="38"/>
  <c r="J33" i="203" s="1"/>
  <c r="J39" l="1"/>
  <c r="J49"/>
  <c r="J44"/>
  <c r="B39"/>
  <c r="B49"/>
  <c r="B44"/>
  <c r="H44"/>
  <c r="H49"/>
  <c r="H39"/>
  <c r="C37"/>
  <c r="C47"/>
  <c r="C42"/>
  <c r="C38"/>
  <c r="C48"/>
  <c r="C43"/>
  <c r="K37"/>
  <c r="K47"/>
  <c r="K42"/>
  <c r="E44"/>
  <c r="E49"/>
  <c r="E39"/>
  <c r="I44"/>
  <c r="I39"/>
  <c r="I49"/>
  <c r="K39"/>
  <c r="K49"/>
  <c r="K44"/>
  <c r="F39"/>
  <c r="F49"/>
  <c r="F44"/>
  <c r="C39"/>
  <c r="C49"/>
  <c r="C44"/>
  <c r="L44"/>
  <c r="L39"/>
  <c r="L49"/>
  <c r="G38"/>
  <c r="G48"/>
  <c r="G43"/>
  <c r="B38"/>
  <c r="B43"/>
  <c r="B48"/>
  <c r="B37"/>
  <c r="B47"/>
  <c r="B42"/>
  <c r="K38"/>
  <c r="K43"/>
  <c r="K48"/>
  <c r="F46" i="209"/>
  <c r="F36"/>
  <c r="F41"/>
  <c r="H38" i="203"/>
  <c r="H48"/>
  <c r="H43"/>
  <c r="B36"/>
  <c r="D44"/>
  <c r="D39"/>
  <c r="D49"/>
  <c r="G39"/>
  <c r="G49"/>
  <c r="G44"/>
  <c r="L38"/>
  <c r="L43"/>
  <c r="L48"/>
  <c r="E57" i="121"/>
  <c r="B33" i="203"/>
  <c r="E41"/>
  <c r="E46"/>
  <c r="E36"/>
  <c r="F57" i="38"/>
  <c r="E56" i="121"/>
  <c r="AF43" i="40"/>
  <c r="Z43"/>
  <c r="X43"/>
  <c r="AC43"/>
  <c r="AD43"/>
  <c r="AA43"/>
  <c r="AE43"/>
  <c r="AG43"/>
  <c r="AB43"/>
  <c r="Y43"/>
  <c r="AH43"/>
  <c r="AF44"/>
  <c r="AA44"/>
  <c r="Z44"/>
  <c r="Y44"/>
  <c r="AB44"/>
  <c r="AH44"/>
  <c r="AD44"/>
  <c r="AG44"/>
  <c r="AC44"/>
  <c r="AE44"/>
  <c r="X44"/>
  <c r="P47" i="10" l="1"/>
  <c r="J47"/>
  <c r="BB47" i="35"/>
  <c r="AW47"/>
  <c r="AM47"/>
  <c r="AC47"/>
  <c r="I47"/>
  <c r="D47"/>
  <c r="AC46" i="34"/>
  <c r="S47" i="35" s="1"/>
  <c r="BA47"/>
  <c r="AV47"/>
  <c r="AB47"/>
  <c r="H47"/>
  <c r="AQ47" i="19"/>
  <c r="N47" i="16"/>
  <c r="J47"/>
  <c r="F47"/>
  <c r="BF47" i="13"/>
  <c r="AU47"/>
  <c r="AP47"/>
  <c r="AK47"/>
  <c r="AA47"/>
  <c r="V47"/>
  <c r="L47"/>
  <c r="AN47" i="3"/>
  <c r="K33" i="211" s="1"/>
  <c r="AF47" i="3"/>
  <c r="I33" i="211" s="1"/>
  <c r="X47" i="3"/>
  <c r="G33" i="211" s="1"/>
  <c r="P47" i="3"/>
  <c r="E33" i="211" s="1"/>
  <c r="H47" i="3"/>
  <c r="C33" i="211" s="1"/>
  <c r="AR47" i="3"/>
  <c r="L33" i="211" s="1"/>
  <c r="AZ47" i="13"/>
  <c r="BA47" s="1"/>
  <c r="H46" i="34"/>
  <c r="V46"/>
  <c r="AJ46"/>
  <c r="AX46"/>
  <c r="BL46"/>
  <c r="BZ46"/>
  <c r="AS46"/>
  <c r="BG46"/>
  <c r="BS46"/>
  <c r="G47" i="13"/>
  <c r="O46" i="34"/>
  <c r="AE46"/>
  <c r="BJ47" i="7"/>
  <c r="AH47"/>
  <c r="AI47" s="1"/>
  <c r="AJ47" s="1"/>
  <c r="F33" i="213" s="1"/>
  <c r="F47" i="7"/>
  <c r="BC47"/>
  <c r="BD47" s="1"/>
  <c r="AA47"/>
  <c r="AB47" s="1"/>
  <c r="D47" i="10"/>
  <c r="J47" i="1"/>
  <c r="AH47"/>
  <c r="BL47"/>
  <c r="P47"/>
  <c r="AN47"/>
  <c r="BF47"/>
  <c r="V47" i="10"/>
  <c r="AB47"/>
  <c r="AS47" i="15"/>
  <c r="M47"/>
  <c r="Q47"/>
  <c r="U47"/>
  <c r="E47"/>
  <c r="Y47"/>
  <c r="BF47" i="10"/>
  <c r="AH47"/>
  <c r="AZ47"/>
  <c r="BL47"/>
  <c r="AT47"/>
  <c r="AN47"/>
  <c r="AR47" i="35"/>
  <c r="AH47"/>
  <c r="X47"/>
  <c r="N47"/>
  <c r="D47" i="15"/>
  <c r="BK47" i="7"/>
  <c r="BL47"/>
  <c r="J33" i="213" s="1"/>
  <c r="F47" i="5"/>
  <c r="BI46" i="34"/>
  <c r="J33" i="233" s="1"/>
  <c r="AQ47" i="35"/>
  <c r="AL47"/>
  <c r="AU46" i="34"/>
  <c r="H33" i="233" s="1"/>
  <c r="AG47" i="35"/>
  <c r="AG46" i="34"/>
  <c r="F33" i="233" s="1"/>
  <c r="W47" i="35"/>
  <c r="R47"/>
  <c r="M47"/>
  <c r="C47"/>
  <c r="AP47" i="16"/>
  <c r="AH47"/>
  <c r="AD47"/>
  <c r="Z47"/>
  <c r="V47"/>
  <c r="R47"/>
  <c r="AJ47" i="3"/>
  <c r="J33" i="211" s="1"/>
  <c r="AB47" i="3"/>
  <c r="H33" i="211" s="1"/>
  <c r="T47" i="3"/>
  <c r="F33" i="211" s="1"/>
  <c r="L47" i="3"/>
  <c r="D47"/>
  <c r="B33" i="211" s="1"/>
  <c r="J46" i="34"/>
  <c r="L46" s="1"/>
  <c r="C33" i="233" s="1"/>
  <c r="X46" i="34"/>
  <c r="Z46" s="1"/>
  <c r="E33" i="233" s="1"/>
  <c r="AL46" i="34"/>
  <c r="AN46" s="1"/>
  <c r="G33" i="233" s="1"/>
  <c r="AZ46" i="34"/>
  <c r="BB46" s="1"/>
  <c r="I33" i="233" s="1"/>
  <c r="BN46" i="34"/>
  <c r="AQ46"/>
  <c r="BE46"/>
  <c r="BU46"/>
  <c r="BW46" s="1"/>
  <c r="L33" i="233" s="1"/>
  <c r="G47" i="14"/>
  <c r="P47"/>
  <c r="C46" i="34"/>
  <c r="E46" s="1"/>
  <c r="B33" i="233" s="1"/>
  <c r="Q46" i="34"/>
  <c r="S46" s="1"/>
  <c r="D33" i="233" s="1"/>
  <c r="BX47" i="7"/>
  <c r="BY47" s="1"/>
  <c r="AV47"/>
  <c r="AW47" s="1"/>
  <c r="T47"/>
  <c r="U47" s="1"/>
  <c r="BQ47"/>
  <c r="AO47"/>
  <c r="AP47" s="1"/>
  <c r="M47"/>
  <c r="N47" s="1"/>
  <c r="V47" i="1"/>
  <c r="AT47"/>
  <c r="D47"/>
  <c r="AB47"/>
  <c r="AZ47"/>
  <c r="AC47" i="15"/>
  <c r="AG47"/>
  <c r="AK47"/>
  <c r="AO47"/>
  <c r="I47"/>
  <c r="G56" i="35"/>
  <c r="G57" s="1"/>
  <c r="G59" s="1"/>
  <c r="J47" i="2"/>
  <c r="C47" s="1"/>
  <c r="S47"/>
  <c r="L47" s="1"/>
  <c r="CV47"/>
  <c r="CO47" s="1"/>
  <c r="CM47"/>
  <c r="CF47" s="1"/>
  <c r="AK47"/>
  <c r="AD47" s="1"/>
  <c r="AB47"/>
  <c r="U47" s="1"/>
  <c r="BL47"/>
  <c r="BE47" s="1"/>
  <c r="CD47"/>
  <c r="BW47" s="1"/>
  <c r="BC47"/>
  <c r="AV47" s="1"/>
  <c r="AT47"/>
  <c r="AM47" s="1"/>
  <c r="BU47"/>
  <c r="BN47" s="1"/>
  <c r="S47" i="9"/>
  <c r="G33" i="217" s="1"/>
  <c r="M47" i="9"/>
  <c r="E33" i="217" s="1"/>
  <c r="G47" i="9"/>
  <c r="C33" i="217" s="1"/>
  <c r="Y47" i="9"/>
  <c r="I33" i="217" s="1"/>
  <c r="P47" i="9"/>
  <c r="F33" i="217" s="1"/>
  <c r="CD47" i="19"/>
  <c r="AH47" i="9"/>
  <c r="L33" i="217" s="1"/>
  <c r="J47" i="9"/>
  <c r="D33" i="217" s="1"/>
  <c r="V47" i="9"/>
  <c r="H33" i="217" s="1"/>
  <c r="AL47" i="16"/>
  <c r="BO47" i="1"/>
  <c r="L33" i="212" s="1"/>
  <c r="BC47" i="1"/>
  <c r="Y47"/>
  <c r="E33" i="212" s="1"/>
  <c r="AE47" i="1"/>
  <c r="S47"/>
  <c r="D33" i="212" s="1"/>
  <c r="C47" i="16"/>
  <c r="D47" i="9"/>
  <c r="B33" i="217" s="1"/>
  <c r="M47" i="1"/>
  <c r="C33" i="212" s="1"/>
  <c r="AQ47" i="1"/>
  <c r="H33" i="212" s="1"/>
  <c r="AW47" i="1"/>
  <c r="I33" i="212" s="1"/>
  <c r="AK47" i="1"/>
  <c r="G33" i="212" s="1"/>
  <c r="BP46" i="34"/>
  <c r="K33" i="233" s="1"/>
  <c r="G47" i="7"/>
  <c r="H47" s="1"/>
  <c r="B33" i="213" s="1"/>
  <c r="G47" i="1"/>
  <c r="BR47" i="7"/>
  <c r="AE47" i="9"/>
  <c r="K33" i="217" s="1"/>
  <c r="BI47" i="1"/>
  <c r="K33" i="212" s="1"/>
  <c r="CF47" i="58" l="1"/>
  <c r="CD47"/>
  <c r="J33" i="212"/>
  <c r="BT47" i="58"/>
  <c r="L47"/>
  <c r="AP47"/>
  <c r="F33" i="212"/>
  <c r="M47" i="3"/>
  <c r="D33" i="211"/>
  <c r="B47" i="58"/>
  <c r="B49" i="124" s="1"/>
  <c r="H49" s="1"/>
  <c r="B33" i="212"/>
  <c r="AP47" i="35"/>
  <c r="AZ47" i="58"/>
  <c r="AF47"/>
  <c r="E47" i="10"/>
  <c r="E48" s="1"/>
  <c r="E50" s="1"/>
  <c r="F47"/>
  <c r="F48" s="1"/>
  <c r="Q47" i="3"/>
  <c r="AG47" i="58" s="1"/>
  <c r="AS47" i="35"/>
  <c r="AP47" i="19"/>
  <c r="BT47"/>
  <c r="AZ47"/>
  <c r="G58" i="35"/>
  <c r="AC47" i="3"/>
  <c r="AR47" i="58"/>
  <c r="F47" i="15"/>
  <c r="AG47" i="3"/>
  <c r="BU47" i="58" s="1"/>
  <c r="AA47" i="5"/>
  <c r="CN47" i="58"/>
  <c r="CN47" i="19"/>
  <c r="D47" i="58"/>
  <c r="D49" i="124" s="1"/>
  <c r="J49" s="1"/>
  <c r="AU47" i="35"/>
  <c r="U47" i="5"/>
  <c r="B47" i="19"/>
  <c r="B50" i="133" s="1"/>
  <c r="J50" s="1"/>
  <c r="M47" i="5"/>
  <c r="O47"/>
  <c r="AC47"/>
  <c r="BS47" i="7"/>
  <c r="K33" i="213" s="1"/>
  <c r="I47" i="5"/>
  <c r="S47"/>
  <c r="W47"/>
  <c r="K47"/>
  <c r="B47" i="35"/>
  <c r="Q47" i="5"/>
  <c r="Y47"/>
  <c r="BJ47" i="58"/>
  <c r="D47" i="16"/>
  <c r="B33" i="220" s="1"/>
  <c r="V47" i="58"/>
  <c r="CX47"/>
  <c r="AM47" i="16"/>
  <c r="BJ47" i="19"/>
  <c r="V47"/>
  <c r="CX47"/>
  <c r="AK44" i="37"/>
  <c r="AA44"/>
  <c r="AF44"/>
  <c r="L47" i="19"/>
  <c r="AF47"/>
  <c r="V44" i="37"/>
  <c r="AP44"/>
  <c r="L44"/>
  <c r="O47" i="7"/>
  <c r="C33" i="213" s="1"/>
  <c r="AX47" i="7"/>
  <c r="H33" i="213" s="1"/>
  <c r="L47" i="35"/>
  <c r="BR47" i="2"/>
  <c r="BT47"/>
  <c r="BP47"/>
  <c r="AS47"/>
  <c r="AO47"/>
  <c r="AQ47"/>
  <c r="AZ47"/>
  <c r="BB47"/>
  <c r="AX47"/>
  <c r="CC47"/>
  <c r="CA47"/>
  <c r="BY47"/>
  <c r="BG47"/>
  <c r="BK47"/>
  <c r="BI47"/>
  <c r="AA47"/>
  <c r="Y47"/>
  <c r="W47"/>
  <c r="AJ47"/>
  <c r="AF47"/>
  <c r="AH47"/>
  <c r="CH47"/>
  <c r="CL47"/>
  <c r="CJ47"/>
  <c r="CU47"/>
  <c r="CS47"/>
  <c r="CQ47"/>
  <c r="N47"/>
  <c r="R47"/>
  <c r="P47"/>
  <c r="I47"/>
  <c r="E47"/>
  <c r="G47"/>
  <c r="AQ47" i="7"/>
  <c r="G33" i="213" s="1"/>
  <c r="V47" i="7"/>
  <c r="D33" i="213" s="1"/>
  <c r="BZ47" i="7"/>
  <c r="L33" i="213" s="1"/>
  <c r="AZ47" i="35"/>
  <c r="AK47"/>
  <c r="AA47"/>
  <c r="Q47"/>
  <c r="Q44" i="37"/>
  <c r="AU44"/>
  <c r="AZ44"/>
  <c r="G44"/>
  <c r="B44"/>
  <c r="L47" i="14"/>
  <c r="AO47" i="10"/>
  <c r="AO48" s="1"/>
  <c r="AO50" s="1"/>
  <c r="AP47"/>
  <c r="AP48" s="1"/>
  <c r="AU47"/>
  <c r="AU48" s="1"/>
  <c r="AU50" s="1"/>
  <c r="AV47"/>
  <c r="AV48" s="1"/>
  <c r="BM47"/>
  <c r="BM48" s="1"/>
  <c r="BM50" s="1"/>
  <c r="BN47"/>
  <c r="BN48" s="1"/>
  <c r="BA47"/>
  <c r="BA48" s="1"/>
  <c r="BA50" s="1"/>
  <c r="BB47"/>
  <c r="BB48" s="1"/>
  <c r="AI47"/>
  <c r="AI48" s="1"/>
  <c r="AI50" s="1"/>
  <c r="AJ47"/>
  <c r="AJ48" s="1"/>
  <c r="BG47"/>
  <c r="BG48" s="1"/>
  <c r="BG50" s="1"/>
  <c r="BH47"/>
  <c r="BH48" s="1"/>
  <c r="AS47" i="3"/>
  <c r="I47"/>
  <c r="Y47"/>
  <c r="AO47"/>
  <c r="AN47" i="15"/>
  <c r="K47" i="16"/>
  <c r="N47" i="14"/>
  <c r="J47"/>
  <c r="P47" i="15" s="1"/>
  <c r="H47" i="14"/>
  <c r="Q47"/>
  <c r="O47"/>
  <c r="M47"/>
  <c r="AB47" i="15" s="1"/>
  <c r="K47" i="14"/>
  <c r="E47" i="3"/>
  <c r="W47" i="58"/>
  <c r="U47" i="3"/>
  <c r="BK47" i="58"/>
  <c r="AK47" i="3"/>
  <c r="S47" i="16"/>
  <c r="W47"/>
  <c r="AA47"/>
  <c r="AE47"/>
  <c r="AI47"/>
  <c r="AQ47"/>
  <c r="V47" i="35"/>
  <c r="AF47"/>
  <c r="H47" i="5"/>
  <c r="B33" i="216" s="1"/>
  <c r="I47" i="14"/>
  <c r="G47" i="16"/>
  <c r="O47"/>
  <c r="G47" i="15"/>
  <c r="B33" i="219" s="1"/>
  <c r="AC47" i="7"/>
  <c r="E33" i="213" s="1"/>
  <c r="BE47" i="7"/>
  <c r="I33" i="213" s="1"/>
  <c r="G47" i="35"/>
  <c r="L47" i="10"/>
  <c r="L48" s="1"/>
  <c r="K47"/>
  <c r="K48" s="1"/>
  <c r="K50" s="1"/>
  <c r="R47"/>
  <c r="R48" s="1"/>
  <c r="Q47"/>
  <c r="Q48" s="1"/>
  <c r="Q50" s="1"/>
  <c r="AC47"/>
  <c r="AC48" s="1"/>
  <c r="AC50" s="1"/>
  <c r="AD47"/>
  <c r="AD48" s="1"/>
  <c r="AD50" s="1"/>
  <c r="W47"/>
  <c r="W48" s="1"/>
  <c r="W50" s="1"/>
  <c r="X47"/>
  <c r="X48" s="1"/>
  <c r="G60" i="35" l="1"/>
  <c r="BD48" s="1"/>
  <c r="Y48" i="10"/>
  <c r="E34" i="218" s="1"/>
  <c r="X50" i="10"/>
  <c r="S48"/>
  <c r="D34" i="218" s="1"/>
  <c r="R50" i="10"/>
  <c r="M48"/>
  <c r="C34" i="218" s="1"/>
  <c r="L50" i="10"/>
  <c r="BI48"/>
  <c r="K34" i="218" s="1"/>
  <c r="BH50" i="10"/>
  <c r="AK48"/>
  <c r="G34" i="218" s="1"/>
  <c r="AJ50" i="10"/>
  <c r="BC48"/>
  <c r="J34" i="218" s="1"/>
  <c r="BB50" i="10"/>
  <c r="BO48"/>
  <c r="L34" i="218" s="1"/>
  <c r="BN50" i="10"/>
  <c r="AW48"/>
  <c r="I34" i="218" s="1"/>
  <c r="AV50" i="10"/>
  <c r="AQ48"/>
  <c r="H34" i="218" s="1"/>
  <c r="AP50" i="10"/>
  <c r="G48"/>
  <c r="B34" i="218" s="1"/>
  <c r="F50" i="10"/>
  <c r="J47" i="35"/>
  <c r="AI47"/>
  <c r="T47"/>
  <c r="AD47"/>
  <c r="AN47"/>
  <c r="BC47"/>
  <c r="AX47"/>
  <c r="Y47"/>
  <c r="O47"/>
  <c r="E47"/>
  <c r="AH47" i="58"/>
  <c r="L47" i="15"/>
  <c r="AR47" i="16"/>
  <c r="L33" i="220" s="1"/>
  <c r="AF47" i="16"/>
  <c r="I33" i="220" s="1"/>
  <c r="X47" i="16"/>
  <c r="G33" i="220" s="1"/>
  <c r="CE47" i="58"/>
  <c r="AQ47"/>
  <c r="C47"/>
  <c r="AR47" i="15"/>
  <c r="CO47" i="58"/>
  <c r="BA47"/>
  <c r="M47"/>
  <c r="CZ47"/>
  <c r="X47"/>
  <c r="D44" i="37"/>
  <c r="E44"/>
  <c r="I44"/>
  <c r="H44"/>
  <c r="BA44"/>
  <c r="BC44"/>
  <c r="AW44"/>
  <c r="AV44"/>
  <c r="S44"/>
  <c r="T44"/>
  <c r="M44"/>
  <c r="O44"/>
  <c r="AH44"/>
  <c r="AG44"/>
  <c r="AQ44"/>
  <c r="AS44"/>
  <c r="AB44"/>
  <c r="AC44"/>
  <c r="X44"/>
  <c r="Y44"/>
  <c r="AL44"/>
  <c r="AM44"/>
  <c r="BL47" i="58"/>
  <c r="AN47" i="16"/>
  <c r="K33" i="220" s="1"/>
  <c r="E47" i="19"/>
  <c r="E50" i="133" s="1"/>
  <c r="M50" s="1"/>
  <c r="F46" i="35"/>
  <c r="B32" i="236" s="1"/>
  <c r="Z46" i="35"/>
  <c r="F32" i="236" s="1"/>
  <c r="Y47" i="10"/>
  <c r="E33" i="218" s="1"/>
  <c r="S47" i="10"/>
  <c r="D33" i="218" s="1"/>
  <c r="M47" i="10"/>
  <c r="C33" i="218" s="1"/>
  <c r="BV47" i="58"/>
  <c r="D47" i="19"/>
  <c r="D50" i="133" s="1"/>
  <c r="L50" s="1"/>
  <c r="P47" i="16"/>
  <c r="E33" i="220" s="1"/>
  <c r="H47" i="16"/>
  <c r="C33" i="220" s="1"/>
  <c r="AD47" i="15"/>
  <c r="R47"/>
  <c r="F47" i="58"/>
  <c r="E49" i="124" s="1"/>
  <c r="K49" s="1"/>
  <c r="J47" i="5"/>
  <c r="AJ47" i="16"/>
  <c r="J33" i="220" s="1"/>
  <c r="AB47" i="16"/>
  <c r="H33" i="220" s="1"/>
  <c r="T47" i="16"/>
  <c r="F33" i="220" s="1"/>
  <c r="T47" i="15"/>
  <c r="AJ47"/>
  <c r="H47"/>
  <c r="AF47"/>
  <c r="L47" i="16"/>
  <c r="D33" i="220" s="1"/>
  <c r="AP47" i="15"/>
  <c r="CY47" i="58"/>
  <c r="G47" i="10"/>
  <c r="B33" i="218" s="1"/>
  <c r="BI47" i="10"/>
  <c r="K33" i="218" s="1"/>
  <c r="AK47" i="10"/>
  <c r="G33" i="218" s="1"/>
  <c r="BC47" i="10"/>
  <c r="J33" i="218" s="1"/>
  <c r="BO47" i="10"/>
  <c r="L33" i="218" s="1"/>
  <c r="AW47" i="10"/>
  <c r="I33" i="218" s="1"/>
  <c r="AQ47" i="10"/>
  <c r="H33" i="218" s="1"/>
  <c r="X47" i="15"/>
  <c r="BB47" i="58"/>
  <c r="C44" i="37"/>
  <c r="J44"/>
  <c r="BB44"/>
  <c r="AX44"/>
  <c r="R44"/>
  <c r="N44"/>
  <c r="AI44"/>
  <c r="AR44"/>
  <c r="AD44"/>
  <c r="W44"/>
  <c r="AN44"/>
  <c r="N47" i="58"/>
  <c r="CP47"/>
  <c r="AE46" i="35"/>
  <c r="G32" i="236" s="1"/>
  <c r="P46" i="35"/>
  <c r="D32" i="236" s="1"/>
  <c r="AE41" i="35" l="1"/>
  <c r="G27" i="236" s="1"/>
  <c r="P20" i="35"/>
  <c r="D6" i="236" s="1"/>
  <c r="U26" i="35"/>
  <c r="E12" i="236" s="1"/>
  <c r="AT45" i="35"/>
  <c r="J31" i="236" s="1"/>
  <c r="Z33" i="35"/>
  <c r="F19" i="236" s="1"/>
  <c r="AY28" i="35"/>
  <c r="K14" i="236" s="1"/>
  <c r="Z42" i="35"/>
  <c r="F28" i="236" s="1"/>
  <c r="BD31" i="35"/>
  <c r="L17" i="236" s="1"/>
  <c r="Z12" i="35"/>
  <c r="BD26"/>
  <c r="L12" i="236" s="1"/>
  <c r="K31" i="35"/>
  <c r="C17" i="236" s="1"/>
  <c r="AE12" i="35"/>
  <c r="Z39"/>
  <c r="F25" i="236" s="1"/>
  <c r="Z26" i="35"/>
  <c r="F12" i="236" s="1"/>
  <c r="BD20" i="35"/>
  <c r="L6" i="236" s="1"/>
  <c r="AT23" i="35"/>
  <c r="J9" i="236" s="1"/>
  <c r="AY26" i="35"/>
  <c r="K12" i="236" s="1"/>
  <c r="AT20" i="35"/>
  <c r="J6" i="236" s="1"/>
  <c r="F40" i="35"/>
  <c r="B26" i="236" s="1"/>
  <c r="F27" i="35"/>
  <c r="B13" i="236" s="1"/>
  <c r="U35" i="35"/>
  <c r="E21" i="236" s="1"/>
  <c r="K20" i="35"/>
  <c r="C6" i="236" s="1"/>
  <c r="F19" i="35"/>
  <c r="AE30"/>
  <c r="G16" i="236" s="1"/>
  <c r="F23" i="35"/>
  <c r="B9" i="236" s="1"/>
  <c r="AT30" i="35"/>
  <c r="J16" i="236" s="1"/>
  <c r="F29" i="35"/>
  <c r="B15" i="236" s="1"/>
  <c r="K29" i="35"/>
  <c r="C15" i="236" s="1"/>
  <c r="K23" i="35"/>
  <c r="C9" i="236" s="1"/>
  <c r="P28" i="35"/>
  <c r="D14" i="236" s="1"/>
  <c r="AE34" i="35"/>
  <c r="G20" i="236" s="1"/>
  <c r="AJ33" i="35"/>
  <c r="H19" i="236" s="1"/>
  <c r="AY43" i="35"/>
  <c r="K29" i="236" s="1"/>
  <c r="F44" i="35"/>
  <c r="B30" i="236" s="1"/>
  <c r="Z28" i="35"/>
  <c r="F14" i="236" s="1"/>
  <c r="AT37" i="35"/>
  <c r="J23" i="236" s="1"/>
  <c r="AO37" i="35"/>
  <c r="I23" i="236" s="1"/>
  <c r="K36" i="35"/>
  <c r="C22" i="236" s="1"/>
  <c r="AJ48" i="35"/>
  <c r="F48"/>
  <c r="Z10"/>
  <c r="K35"/>
  <c r="C21" i="236" s="1"/>
  <c r="AE45" i="35"/>
  <c r="G31" i="236" s="1"/>
  <c r="P36" i="35"/>
  <c r="D22" i="236" s="1"/>
  <c r="BD16" i="35"/>
  <c r="AT17"/>
  <c r="AY27"/>
  <c r="K13" i="236" s="1"/>
  <c r="K27" i="35"/>
  <c r="C13" i="236" s="1"/>
  <c r="AO11" i="35"/>
  <c r="BD30"/>
  <c r="L16" i="236" s="1"/>
  <c r="K11" i="35"/>
  <c r="P25"/>
  <c r="D11" i="236" s="1"/>
  <c r="Z36" i="35"/>
  <c r="F22" i="236" s="1"/>
  <c r="P21" i="35"/>
  <c r="D7" i="236" s="1"/>
  <c r="K10" i="35"/>
  <c r="BD38"/>
  <c r="L24" i="236" s="1"/>
  <c r="U31" i="35"/>
  <c r="E17" i="236" s="1"/>
  <c r="U23" i="35"/>
  <c r="E9" i="236" s="1"/>
  <c r="AE37" i="35"/>
  <c r="G23" i="236" s="1"/>
  <c r="BD13" i="35"/>
  <c r="Z20"/>
  <c r="F6" i="236" s="1"/>
  <c r="K45" i="35"/>
  <c r="C31" i="236" s="1"/>
  <c r="AJ22" i="35"/>
  <c r="H8" i="236" s="1"/>
  <c r="AY16" i="35"/>
  <c r="AE8"/>
  <c r="K17"/>
  <c r="U21"/>
  <c r="E7" i="236" s="1"/>
  <c r="AJ9" i="35"/>
  <c r="K25"/>
  <c r="C11" i="236" s="1"/>
  <c r="P8" i="35"/>
  <c r="AO22"/>
  <c r="I8" i="236" s="1"/>
  <c r="AJ30" i="35"/>
  <c r="H16" i="236" s="1"/>
  <c r="F26" i="35"/>
  <c r="B12" i="236" s="1"/>
  <c r="U9" i="35"/>
  <c r="F20"/>
  <c r="B6" i="236" s="1"/>
  <c r="P37" i="35"/>
  <c r="D23" i="236" s="1"/>
  <c r="P35" i="35"/>
  <c r="D21" i="236" s="1"/>
  <c r="AY8" i="35"/>
  <c r="AT27"/>
  <c r="J13" i="236" s="1"/>
  <c r="I41" i="218"/>
  <c r="I36"/>
  <c r="K41"/>
  <c r="K36"/>
  <c r="B37" i="236"/>
  <c r="B5"/>
  <c r="B42" s="1"/>
  <c r="B26" i="170"/>
  <c r="B21" i="178"/>
  <c r="L34" i="236"/>
  <c r="L22" i="178"/>
  <c r="AY46" i="35"/>
  <c r="K32" i="236" s="1"/>
  <c r="K21" i="35"/>
  <c r="C7" i="236" s="1"/>
  <c r="AT47" i="35"/>
  <c r="J33" i="236" s="1"/>
  <c r="AY32" i="35"/>
  <c r="K18" i="236" s="1"/>
  <c r="AT44" i="35"/>
  <c r="J30" i="236" s="1"/>
  <c r="AT41" i="35"/>
  <c r="J27" i="236" s="1"/>
  <c r="BD40" i="35"/>
  <c r="L26" i="236" s="1"/>
  <c r="K41" i="35"/>
  <c r="C27" i="236" s="1"/>
  <c r="BD12" i="35"/>
  <c r="K19"/>
  <c r="AE27"/>
  <c r="G13" i="236" s="1"/>
  <c r="P29" i="35"/>
  <c r="D15" i="236" s="1"/>
  <c r="U14" i="35"/>
  <c r="P22"/>
  <c r="D8" i="236" s="1"/>
  <c r="AJ19" i="35"/>
  <c r="F45"/>
  <c r="B31" i="236" s="1"/>
  <c r="AO10" i="35"/>
  <c r="K12"/>
  <c r="F36"/>
  <c r="B22" i="236" s="1"/>
  <c r="U36" i="35"/>
  <c r="E22" i="236" s="1"/>
  <c r="AO29" i="35"/>
  <c r="I15" i="236" s="1"/>
  <c r="U41" i="35"/>
  <c r="E27" i="236" s="1"/>
  <c r="F37" i="35"/>
  <c r="B23" i="236" s="1"/>
  <c r="P41" i="35"/>
  <c r="D27" i="236" s="1"/>
  <c r="AO44" i="35"/>
  <c r="I30" i="236" s="1"/>
  <c r="K15" i="35"/>
  <c r="K43"/>
  <c r="C29" i="236" s="1"/>
  <c r="Z37" i="35"/>
  <c r="F23" i="236" s="1"/>
  <c r="AO27" i="35"/>
  <c r="I13" i="236" s="1"/>
  <c r="F15" i="35"/>
  <c r="AO30"/>
  <c r="I16" i="236" s="1"/>
  <c r="P23" i="35"/>
  <c r="D9" i="236" s="1"/>
  <c r="AY34" i="35"/>
  <c r="K20" i="236" s="1"/>
  <c r="AJ37" i="35"/>
  <c r="H23" i="236" s="1"/>
  <c r="P9" i="35"/>
  <c r="AO33"/>
  <c r="I19" i="236" s="1"/>
  <c r="AJ23" i="35"/>
  <c r="H9" i="236" s="1"/>
  <c r="AE20" i="35"/>
  <c r="G6" i="236" s="1"/>
  <c r="AT36" i="35"/>
  <c r="J22" i="236" s="1"/>
  <c r="AJ35" i="35"/>
  <c r="H21" i="236" s="1"/>
  <c r="BD28" i="35"/>
  <c r="L14" i="236" s="1"/>
  <c r="U13" i="35"/>
  <c r="Z9"/>
  <c r="F22"/>
  <c r="B8" i="236" s="1"/>
  <c r="AE17" i="35"/>
  <c r="F34"/>
  <c r="B20" i="236" s="1"/>
  <c r="K34" i="35"/>
  <c r="C20" i="236" s="1"/>
  <c r="K28" i="35"/>
  <c r="C14" i="236" s="1"/>
  <c r="F39" i="35"/>
  <c r="B25" i="236" s="1"/>
  <c r="BD41" i="35"/>
  <c r="L27" i="236" s="1"/>
  <c r="K37" i="35"/>
  <c r="C23" i="236" s="1"/>
  <c r="F43" i="35"/>
  <c r="B29" i="236" s="1"/>
  <c r="AO36" i="35"/>
  <c r="I22" i="236" s="1"/>
  <c r="BD21" i="35"/>
  <c r="L7" i="236" s="1"/>
  <c r="U20" i="35"/>
  <c r="E6" i="236" s="1"/>
  <c r="AY24" i="35"/>
  <c r="K10" i="236" s="1"/>
  <c r="P12" i="35"/>
  <c r="P27"/>
  <c r="D13" i="236" s="1"/>
  <c r="AJ26" i="35"/>
  <c r="H12" i="236" s="1"/>
  <c r="AO12" i="35"/>
  <c r="AE29"/>
  <c r="G15" i="236" s="1"/>
  <c r="AJ10" i="35"/>
  <c r="Z45"/>
  <c r="F31" i="236" s="1"/>
  <c r="AE19" i="35"/>
  <c r="U24"/>
  <c r="E10" i="236" s="1"/>
  <c r="AE32" i="35"/>
  <c r="G18" i="236" s="1"/>
  <c r="BD9" i="35"/>
  <c r="AJ17"/>
  <c r="BD19"/>
  <c r="BD53" s="1"/>
  <c r="AO45"/>
  <c r="I31" i="236" s="1"/>
  <c r="AT13" i="35"/>
  <c r="AJ24"/>
  <c r="H10" i="236" s="1"/>
  <c r="AT21" i="35"/>
  <c r="J7" i="236" s="1"/>
  <c r="AO16" i="35"/>
  <c r="F28"/>
  <c r="B14" i="236" s="1"/>
  <c r="AY44" i="35"/>
  <c r="K30" i="236" s="1"/>
  <c r="AO34" i="35"/>
  <c r="I20" i="236" s="1"/>
  <c r="Z29" i="35"/>
  <c r="F15" i="236" s="1"/>
  <c r="AT34" i="35"/>
  <c r="J20" i="236" s="1"/>
  <c r="U17" i="35"/>
  <c r="AJ25"/>
  <c r="H11" i="236" s="1"/>
  <c r="AY22" i="35"/>
  <c r="K8" i="236" s="1"/>
  <c r="BD32" i="35"/>
  <c r="L18" i="236" s="1"/>
  <c r="P11" i="35"/>
  <c r="F12"/>
  <c r="AO15"/>
  <c r="AY12"/>
  <c r="AT16"/>
  <c r="BD14"/>
  <c r="AJ15"/>
  <c r="BD23"/>
  <c r="L9" i="236" s="1"/>
  <c r="P15" i="35"/>
  <c r="P16"/>
  <c r="AT11"/>
  <c r="AJ34"/>
  <c r="H20" i="236" s="1"/>
  <c r="Z11" i="35"/>
  <c r="Z30"/>
  <c r="F16" i="236" s="1"/>
  <c r="AT39" i="35"/>
  <c r="J25" i="236" s="1"/>
  <c r="F32" i="35"/>
  <c r="B18" i="236" s="1"/>
  <c r="F24" i="35"/>
  <c r="B10" i="236" s="1"/>
  <c r="P42" i="35"/>
  <c r="D28" i="236" s="1"/>
  <c r="AT24" i="35"/>
  <c r="J10" i="236" s="1"/>
  <c r="AY11" i="35"/>
  <c r="H36" i="218"/>
  <c r="H41"/>
  <c r="L41"/>
  <c r="L36"/>
  <c r="G36"/>
  <c r="G41"/>
  <c r="C41"/>
  <c r="C36"/>
  <c r="E41"/>
  <c r="E36"/>
  <c r="AE23" i="35"/>
  <c r="G9" i="236" s="1"/>
  <c r="AT9" i="35"/>
  <c r="Z17"/>
  <c r="U19"/>
  <c r="AE13"/>
  <c r="Z35"/>
  <c r="F21" i="236" s="1"/>
  <c r="AT25" i="35"/>
  <c r="J11" i="236" s="1"/>
  <c r="AO20" i="35"/>
  <c r="I6" i="236" s="1"/>
  <c r="K40" i="35"/>
  <c r="C26" i="236" s="1"/>
  <c r="AJ44" i="35"/>
  <c r="H30" i="236" s="1"/>
  <c r="U43" i="35"/>
  <c r="E29" i="236" s="1"/>
  <c r="AY40" i="35"/>
  <c r="K26" i="236" s="1"/>
  <c r="AO41" i="35"/>
  <c r="I27" i="236" s="1"/>
  <c r="AT12" i="35"/>
  <c r="K22"/>
  <c r="C8" i="236" s="1"/>
  <c r="AO39" i="35"/>
  <c r="I25" i="236" s="1"/>
  <c r="AE36" i="35"/>
  <c r="G22" i="236" s="1"/>
  <c r="K26" i="35"/>
  <c r="C12" i="236" s="1"/>
  <c r="AO42" i="35"/>
  <c r="I28" i="236" s="1"/>
  <c r="AY29" i="35"/>
  <c r="K15" i="236" s="1"/>
  <c r="F33" i="35"/>
  <c r="B19" i="236" s="1"/>
  <c r="AY37" i="35"/>
  <c r="K23" i="236" s="1"/>
  <c r="K9" i="35"/>
  <c r="F9"/>
  <c r="AE35"/>
  <c r="G21" i="236" s="1"/>
  <c r="BD34" i="35"/>
  <c r="L20" i="236" s="1"/>
  <c r="AT33" i="35"/>
  <c r="J19" i="236" s="1"/>
  <c r="U10" i="35"/>
  <c r="K32"/>
  <c r="C18" i="236" s="1"/>
  <c r="BD8" i="35"/>
  <c r="AE14"/>
  <c r="P17"/>
  <c r="K13"/>
  <c r="K39"/>
  <c r="C25" i="236" s="1"/>
  <c r="AJ27" i="35"/>
  <c r="H13" i="236" s="1"/>
  <c r="K14" i="35"/>
  <c r="Z13"/>
  <c r="U25"/>
  <c r="E11" i="236" s="1"/>
  <c r="K48" i="35"/>
  <c r="AY48"/>
  <c r="AJ46"/>
  <c r="H32" i="236" s="1"/>
  <c r="AT46" i="35"/>
  <c r="J32" i="236" s="1"/>
  <c r="F11" i="35"/>
  <c r="BD35"/>
  <c r="L21" i="236" s="1"/>
  <c r="P14" i="35"/>
  <c r="AT35"/>
  <c r="J21" i="236" s="1"/>
  <c r="AT14" i="35"/>
  <c r="Z34"/>
  <c r="F20" i="236" s="1"/>
  <c r="U45" i="35"/>
  <c r="E31" i="236" s="1"/>
  <c r="AT10" i="35"/>
  <c r="K33"/>
  <c r="C19" i="236" s="1"/>
  <c r="P26" i="35"/>
  <c r="D12" i="236" s="1"/>
  <c r="U33" i="35"/>
  <c r="E19" i="236" s="1"/>
  <c r="BD37" i="35"/>
  <c r="L23" i="236" s="1"/>
  <c r="AO38" i="35"/>
  <c r="I24" i="236" s="1"/>
  <c r="F13" i="35"/>
  <c r="AJ14"/>
  <c r="AT31"/>
  <c r="J17" i="236" s="1"/>
  <c r="BD22" i="35"/>
  <c r="L8" i="236" s="1"/>
  <c r="U37" i="35"/>
  <c r="E23" i="236" s="1"/>
  <c r="AO32" i="35"/>
  <c r="I18" i="236" s="1"/>
  <c r="P13" i="35"/>
  <c r="AO31"/>
  <c r="I17" i="236" s="1"/>
  <c r="U28" i="35"/>
  <c r="E14" i="236" s="1"/>
  <c r="Z27" i="35"/>
  <c r="F13" i="236" s="1"/>
  <c r="P43" i="35"/>
  <c r="D29" i="236" s="1"/>
  <c r="K16" i="35"/>
  <c r="Z23"/>
  <c r="F9" i="236" s="1"/>
  <c r="U29" i="35"/>
  <c r="E15" i="236" s="1"/>
  <c r="BD45" i="35"/>
  <c r="L31" i="236" s="1"/>
  <c r="U38" i="35"/>
  <c r="E24" i="236" s="1"/>
  <c r="AY45" i="35"/>
  <c r="K31" i="236" s="1"/>
  <c r="AJ32" i="35"/>
  <c r="H18" i="236" s="1"/>
  <c r="AT26" i="35"/>
  <c r="J12" i="236" s="1"/>
  <c r="BD10" i="35"/>
  <c r="Z8"/>
  <c r="AY17"/>
  <c r="AJ8"/>
  <c r="BD39"/>
  <c r="L25" i="236" s="1"/>
  <c r="P24" i="35"/>
  <c r="D10" i="236" s="1"/>
  <c r="AO35" i="35"/>
  <c r="I21" i="236" s="1"/>
  <c r="Z21" i="35"/>
  <c r="F7" i="236" s="1"/>
  <c r="Z14" i="35"/>
  <c r="F35"/>
  <c r="B21" i="236" s="1"/>
  <c r="AJ16" i="35"/>
  <c r="K38"/>
  <c r="C24" i="236" s="1"/>
  <c r="P45" i="35"/>
  <c r="D31" i="236" s="1"/>
  <c r="AT8" i="35"/>
  <c r="P30"/>
  <c r="D16" i="236" s="1"/>
  <c r="AY23" i="35"/>
  <c r="K9" i="236" s="1"/>
  <c r="AO21" i="35"/>
  <c r="I7" i="236" s="1"/>
  <c r="U22" i="35"/>
  <c r="E8" i="236" s="1"/>
  <c r="AO17" i="35"/>
  <c r="U39"/>
  <c r="E25" i="236" s="1"/>
  <c r="U42" i="35"/>
  <c r="E28" i="236" s="1"/>
  <c r="BD25" i="35"/>
  <c r="L11" i="236" s="1"/>
  <c r="U40" i="35"/>
  <c r="E26" i="236" s="1"/>
  <c r="AE31" i="35"/>
  <c r="G17" i="236" s="1"/>
  <c r="AT29" i="35"/>
  <c r="J15" i="236" s="1"/>
  <c r="AJ13" i="35"/>
  <c r="AT28"/>
  <c r="J14" i="236" s="1"/>
  <c r="AE22" i="35"/>
  <c r="G8" i="236" s="1"/>
  <c r="Z15" i="35"/>
  <c r="AJ31"/>
  <c r="H17" i="236" s="1"/>
  <c r="BD15" i="35"/>
  <c r="AJ28"/>
  <c r="H14" i="236" s="1"/>
  <c r="K30" i="35"/>
  <c r="C16" i="236" s="1"/>
  <c r="F14" i="35"/>
  <c r="Z19"/>
  <c r="U27"/>
  <c r="E13" i="236" s="1"/>
  <c r="AY42" i="35"/>
  <c r="K28" i="236" s="1"/>
  <c r="AT40" i="35"/>
  <c r="J26" i="236" s="1"/>
  <c r="AT38" i="35"/>
  <c r="J24" i="236" s="1"/>
  <c r="AJ41" i="35"/>
  <c r="H27" i="236" s="1"/>
  <c r="AJ42" i="35"/>
  <c r="H28" i="236" s="1"/>
  <c r="AY25" i="35"/>
  <c r="K11" i="236" s="1"/>
  <c r="F31" i="35"/>
  <c r="B17" i="236" s="1"/>
  <c r="BD17" i="35"/>
  <c r="AE48"/>
  <c r="U48"/>
  <c r="AT48"/>
  <c r="B41" i="218"/>
  <c r="B36"/>
  <c r="J41"/>
  <c r="J36"/>
  <c r="D41"/>
  <c r="D36"/>
  <c r="H34" i="236"/>
  <c r="AJ53" i="35"/>
  <c r="H22" i="178"/>
  <c r="B34" i="236"/>
  <c r="F53" i="35"/>
  <c r="C26" i="170"/>
  <c r="B22" i="178"/>
  <c r="F45" i="37"/>
  <c r="BD29" i="35"/>
  <c r="L15" i="236" s="1"/>
  <c r="Z32" i="35"/>
  <c r="F18" i="236" s="1"/>
  <c r="AO13" i="35"/>
  <c r="K8"/>
  <c r="Z38"/>
  <c r="F24" i="236" s="1"/>
  <c r="F39" s="1"/>
  <c r="AO43" i="35"/>
  <c r="I29" i="236" s="1"/>
  <c r="AJ39" i="35"/>
  <c r="H25" i="236" s="1"/>
  <c r="AJ11" i="35"/>
  <c r="AT43"/>
  <c r="J29" i="236" s="1"/>
  <c r="U8" i="35"/>
  <c r="Z24"/>
  <c r="F10" i="236" s="1"/>
  <c r="Z31" i="35"/>
  <c r="F17" i="236" s="1"/>
  <c r="BD24" i="35"/>
  <c r="L10" i="236" s="1"/>
  <c r="AO19" i="35"/>
  <c r="U12"/>
  <c r="U30"/>
  <c r="E16" i="236" s="1"/>
  <c r="AO28" i="35"/>
  <c r="I14" i="236" s="1"/>
  <c r="AO14" i="35"/>
  <c r="AE42"/>
  <c r="G28" i="236" s="1"/>
  <c r="BD11" i="35"/>
  <c r="AY33"/>
  <c r="K19" i="236" s="1"/>
  <c r="P19" i="35"/>
  <c r="AY41"/>
  <c r="K27" i="236" s="1"/>
  <c r="AJ29" i="35"/>
  <c r="H15" i="236" s="1"/>
  <c r="BD42" i="35"/>
  <c r="L28" i="236" s="1"/>
  <c r="AE44" i="35"/>
  <c r="G30" i="236" s="1"/>
  <c r="AE28" i="35"/>
  <c r="G14" i="236" s="1"/>
  <c r="Z41" i="35"/>
  <c r="F27" i="236" s="1"/>
  <c r="Z40" i="35"/>
  <c r="F26" i="236" s="1"/>
  <c r="AE9" i="35"/>
  <c r="AY35"/>
  <c r="K21" i="236" s="1"/>
  <c r="U44" i="35"/>
  <c r="E30" i="236" s="1"/>
  <c r="AJ45" i="35"/>
  <c r="H31" i="236" s="1"/>
  <c r="P10" i="35"/>
  <c r="AE16"/>
  <c r="AE38"/>
  <c r="G24" i="236" s="1"/>
  <c r="G39" s="1"/>
  <c r="AJ20" i="35"/>
  <c r="H6" i="236" s="1"/>
  <c r="F30" i="35"/>
  <c r="B16" i="236" s="1"/>
  <c r="Z48" i="35"/>
  <c r="BD46"/>
  <c r="L32" i="236" s="1"/>
  <c r="K46" i="35"/>
  <c r="C32" i="236" s="1"/>
  <c r="AO46" i="35"/>
  <c r="I32" i="236" s="1"/>
  <c r="U46" i="35"/>
  <c r="E32" i="236" s="1"/>
  <c r="AY38" i="35"/>
  <c r="K24" i="236" s="1"/>
  <c r="AO24" i="35"/>
  <c r="I10" i="236" s="1"/>
  <c r="F10" i="35"/>
  <c r="P40"/>
  <c r="D26" i="236" s="1"/>
  <c r="AY19" i="35"/>
  <c r="AY15"/>
  <c r="AE26"/>
  <c r="G12" i="236" s="1"/>
  <c r="AO9" i="35"/>
  <c r="AE21"/>
  <c r="G7" i="236" s="1"/>
  <c r="AE11" i="35"/>
  <c r="P31"/>
  <c r="D17" i="236" s="1"/>
  <c r="P33" i="35"/>
  <c r="D19" i="236" s="1"/>
  <c r="AE43" i="35"/>
  <c r="G29" i="236" s="1"/>
  <c r="AY21" i="35"/>
  <c r="K7" i="236" s="1"/>
  <c r="K24" i="35"/>
  <c r="C10" i="236" s="1"/>
  <c r="AJ43" i="35"/>
  <c r="H29" i="236" s="1"/>
  <c r="P34" i="35"/>
  <c r="D20" i="236" s="1"/>
  <c r="U16" i="35"/>
  <c r="F21"/>
  <c r="B7" i="236" s="1"/>
  <c r="AY13" i="35"/>
  <c r="U11"/>
  <c r="AT42"/>
  <c r="J28" i="236" s="1"/>
  <c r="AY36" i="35"/>
  <c r="K22" i="236" s="1"/>
  <c r="AE25" i="35"/>
  <c r="G11" i="236" s="1"/>
  <c r="AY30" i="35"/>
  <c r="K16" i="236" s="1"/>
  <c r="AE10" i="35"/>
  <c r="Z16"/>
  <c r="U32"/>
  <c r="E18" i="236" s="1"/>
  <c r="AT22" i="35"/>
  <c r="J8" i="236" s="1"/>
  <c r="AE39" i="35"/>
  <c r="G25" i="236" s="1"/>
  <c r="P39" i="35"/>
  <c r="D25" i="236" s="1"/>
  <c r="AE40" i="35"/>
  <c r="G26" i="236" s="1"/>
  <c r="AE33" i="35"/>
  <c r="G19" i="236" s="1"/>
  <c r="AY20" i="35"/>
  <c r="K6" i="236" s="1"/>
  <c r="AO25" i="35"/>
  <c r="I11" i="236" s="1"/>
  <c r="AY9" i="35"/>
  <c r="BD36"/>
  <c r="L22" i="236" s="1"/>
  <c r="F17" i="35"/>
  <c r="F38"/>
  <c r="B24" i="236" s="1"/>
  <c r="AJ38" i="35"/>
  <c r="H24" i="236" s="1"/>
  <c r="P32" i="35"/>
  <c r="D18" i="236" s="1"/>
  <c r="AO23" i="35"/>
  <c r="I9" i="236" s="1"/>
  <c r="AT19" i="35"/>
  <c r="P44"/>
  <c r="D30" i="236" s="1"/>
  <c r="U34" i="35"/>
  <c r="E20" i="236" s="1"/>
  <c r="AO8" i="35"/>
  <c r="AY10"/>
  <c r="K42"/>
  <c r="C28" i="236" s="1"/>
  <c r="Z25" i="35"/>
  <c r="F11" i="236" s="1"/>
  <c r="AJ21" i="35"/>
  <c r="H7" i="236" s="1"/>
  <c r="AY31" i="35"/>
  <c r="K17" i="236" s="1"/>
  <c r="U15" i="35"/>
  <c r="K44"/>
  <c r="C30" i="236" s="1"/>
  <c r="AO40" i="35"/>
  <c r="I26" i="236" s="1"/>
  <c r="Z22" i="35"/>
  <c r="F8" i="236" s="1"/>
  <c r="F41" i="35"/>
  <c r="B27" i="236" s="1"/>
  <c r="F16" i="35"/>
  <c r="AJ40"/>
  <c r="H26" i="236" s="1"/>
  <c r="AT15" i="35"/>
  <c r="AY39"/>
  <c r="K25" i="236" s="1"/>
  <c r="BD33" i="35"/>
  <c r="L19" i="236" s="1"/>
  <c r="BD44" i="35"/>
  <c r="L30" i="236" s="1"/>
  <c r="F25" i="35"/>
  <c r="B11" i="236" s="1"/>
  <c r="AE24" i="35"/>
  <c r="G10" i="236" s="1"/>
  <c r="AT32" i="35"/>
  <c r="J18" i="236" s="1"/>
  <c r="P38" i="35"/>
  <c r="D24" i="236" s="1"/>
  <c r="AJ12" i="35"/>
  <c r="AY14"/>
  <c r="Z44"/>
  <c r="F30" i="236" s="1"/>
  <c r="AE15" i="35"/>
  <c r="BD27"/>
  <c r="L13" i="236" s="1"/>
  <c r="L43" s="1"/>
  <c r="Z43" i="35"/>
  <c r="F29" i="236" s="1"/>
  <c r="AO26" i="35"/>
  <c r="I12" i="236" s="1"/>
  <c r="F8" i="35"/>
  <c r="F42"/>
  <c r="B28" i="236" s="1"/>
  <c r="AJ36" i="35"/>
  <c r="H22" i="236" s="1"/>
  <c r="BD43" i="35"/>
  <c r="L29" i="236" s="1"/>
  <c r="AO48" i="35"/>
  <c r="P48"/>
  <c r="C48" i="19"/>
  <c r="G50" i="10"/>
  <c r="BD52" i="35"/>
  <c r="AJ52"/>
  <c r="AE52"/>
  <c r="P52"/>
  <c r="K52"/>
  <c r="F52"/>
  <c r="BK48" i="19"/>
  <c r="H22" i="136" s="1"/>
  <c r="AQ50" i="10"/>
  <c r="BU48" i="19"/>
  <c r="I22" i="136" s="1"/>
  <c r="AW50" i="10"/>
  <c r="CY48" i="19"/>
  <c r="L22" i="136" s="1"/>
  <c r="BO50" i="10"/>
  <c r="CE48" i="19"/>
  <c r="J22" i="136" s="1"/>
  <c r="BC50" i="10"/>
  <c r="BA48" i="19"/>
  <c r="AK50" i="10"/>
  <c r="CO48" i="19"/>
  <c r="K22" i="136" s="1"/>
  <c r="BI50" i="10"/>
  <c r="M48" i="19"/>
  <c r="C22" i="136" s="1"/>
  <c r="M50" i="10"/>
  <c r="W48" i="19"/>
  <c r="S50" i="10"/>
  <c r="AG48" i="19"/>
  <c r="E22" i="136" s="1"/>
  <c r="Y50" i="10"/>
  <c r="AY47" i="35"/>
  <c r="K33" i="236" s="1"/>
  <c r="BD47" i="35"/>
  <c r="L33" i="236" s="1"/>
  <c r="AO47" i="35"/>
  <c r="I33" i="236" s="1"/>
  <c r="AE47" i="35"/>
  <c r="G33" i="236" s="1"/>
  <c r="U47" i="35"/>
  <c r="E33" i="236" s="1"/>
  <c r="AJ47" i="35"/>
  <c r="H33" i="236" s="1"/>
  <c r="K47" i="35"/>
  <c r="C33" i="236" s="1"/>
  <c r="F47" i="35"/>
  <c r="B33" i="236" s="1"/>
  <c r="P47" i="35"/>
  <c r="D33" i="236" s="1"/>
  <c r="Z47" i="35"/>
  <c r="F33" i="236" s="1"/>
  <c r="Z47" i="15"/>
  <c r="BK47" i="19"/>
  <c r="BU47"/>
  <c r="CY47"/>
  <c r="CE47"/>
  <c r="BA47"/>
  <c r="CO47"/>
  <c r="C47"/>
  <c r="C50" i="133" s="1"/>
  <c r="K50" s="1"/>
  <c r="AQ47" i="15"/>
  <c r="K33" i="219" s="1"/>
  <c r="Y47" i="19"/>
  <c r="AH47" i="15"/>
  <c r="AL47"/>
  <c r="V47"/>
  <c r="AS47" i="19"/>
  <c r="BM47"/>
  <c r="CG47"/>
  <c r="Z47" i="5"/>
  <c r="J33" i="216" s="1"/>
  <c r="R47" i="5"/>
  <c r="F33" i="216" s="1"/>
  <c r="L47" i="5"/>
  <c r="C33" i="216" s="1"/>
  <c r="X47" i="5"/>
  <c r="I33" i="216" s="1"/>
  <c r="T47" i="5"/>
  <c r="G33" i="216" s="1"/>
  <c r="AD47" i="5"/>
  <c r="L33" i="216" s="1"/>
  <c r="P47" i="5"/>
  <c r="E33" i="216" s="1"/>
  <c r="N47" i="5"/>
  <c r="D33" i="216" s="1"/>
  <c r="V47" i="5"/>
  <c r="H33" i="216" s="1"/>
  <c r="AB47" i="5"/>
  <c r="K33" i="216" s="1"/>
  <c r="J47" i="15"/>
  <c r="S47"/>
  <c r="E33" i="219" s="1"/>
  <c r="AE47" i="15"/>
  <c r="H33" i="219" s="1"/>
  <c r="O47" i="19"/>
  <c r="AI47"/>
  <c r="M47"/>
  <c r="W47"/>
  <c r="AG47"/>
  <c r="AT47" i="15"/>
  <c r="N47"/>
  <c r="CQ47" i="19"/>
  <c r="BC47"/>
  <c r="BW47"/>
  <c r="DA47"/>
  <c r="H47" i="58"/>
  <c r="G44" i="236" l="1"/>
  <c r="Z52" i="35"/>
  <c r="I34" i="236"/>
  <c r="AO53" i="35"/>
  <c r="I22" i="178"/>
  <c r="D43" i="236"/>
  <c r="D38"/>
  <c r="C44"/>
  <c r="C39"/>
  <c r="E34"/>
  <c r="U53" i="35"/>
  <c r="E22" i="178"/>
  <c r="K34" i="236"/>
  <c r="AY53" i="35"/>
  <c r="K22" i="178"/>
  <c r="E5" i="236"/>
  <c r="E21" i="178"/>
  <c r="K44" i="236"/>
  <c r="K39"/>
  <c r="W56" i="19"/>
  <c r="D22" i="136"/>
  <c r="B38" i="236"/>
  <c r="B43"/>
  <c r="D5"/>
  <c r="D21" i="178"/>
  <c r="I5" i="236"/>
  <c r="I21" i="178"/>
  <c r="J34" i="236"/>
  <c r="AT53" i="35"/>
  <c r="J22" i="178"/>
  <c r="J38" i="236"/>
  <c r="J43"/>
  <c r="D37"/>
  <c r="D42"/>
  <c r="C5"/>
  <c r="C21" i="178"/>
  <c r="C56" i="19"/>
  <c r="D23" i="134"/>
  <c r="C51" i="133"/>
  <c r="K51" s="1"/>
  <c r="B22" i="136"/>
  <c r="H43" i="236"/>
  <c r="H38"/>
  <c r="E44"/>
  <c r="E39"/>
  <c r="F34"/>
  <c r="Z53" i="35"/>
  <c r="F22" i="178"/>
  <c r="E37" i="236"/>
  <c r="E42"/>
  <c r="C43"/>
  <c r="C38"/>
  <c r="J44"/>
  <c r="J39"/>
  <c r="H5"/>
  <c r="H36" s="1"/>
  <c r="H21" i="178"/>
  <c r="D44" i="236"/>
  <c r="AY52" i="35"/>
  <c r="L38" i="236"/>
  <c r="D39"/>
  <c r="AT52" i="35"/>
  <c r="B44" i="236"/>
  <c r="F43"/>
  <c r="F38"/>
  <c r="L5"/>
  <c r="L42" s="1"/>
  <c r="L21" i="178"/>
  <c r="I42" i="236"/>
  <c r="I37"/>
  <c r="D34"/>
  <c r="P53" i="35"/>
  <c r="D22" i="178"/>
  <c r="J5" i="236"/>
  <c r="J21" i="178"/>
  <c r="I44" i="236"/>
  <c r="I39"/>
  <c r="F5"/>
  <c r="F37" s="1"/>
  <c r="F21" i="178"/>
  <c r="H44" i="236"/>
  <c r="H39"/>
  <c r="F49" i="124"/>
  <c r="L49" s="1"/>
  <c r="B33" i="207"/>
  <c r="BA56" i="19"/>
  <c r="G22" i="136"/>
  <c r="K5" i="236"/>
  <c r="K21" i="178"/>
  <c r="K43" i="236"/>
  <c r="K38"/>
  <c r="L44"/>
  <c r="L39"/>
  <c r="G43"/>
  <c r="G38"/>
  <c r="G48" i="192"/>
  <c r="G48" i="191"/>
  <c r="G48" i="193"/>
  <c r="C23" i="170"/>
  <c r="B24" i="182"/>
  <c r="B41" i="236"/>
  <c r="B36"/>
  <c r="G34"/>
  <c r="AE53" i="35"/>
  <c r="G22" i="178"/>
  <c r="E43" i="236"/>
  <c r="E38"/>
  <c r="I38"/>
  <c r="I43"/>
  <c r="C34"/>
  <c r="K53" i="35"/>
  <c r="C22" i="178"/>
  <c r="H42" i="236"/>
  <c r="H37"/>
  <c r="G5"/>
  <c r="G37" s="1"/>
  <c r="G21" i="178"/>
  <c r="U52" i="35"/>
  <c r="AO52"/>
  <c r="F44" i="236"/>
  <c r="B39"/>
  <c r="AG50" i="19"/>
  <c r="AL48"/>
  <c r="W50"/>
  <c r="AB48"/>
  <c r="M50"/>
  <c r="R48"/>
  <c r="CO50"/>
  <c r="CT48"/>
  <c r="BA50"/>
  <c r="BF48"/>
  <c r="CE50"/>
  <c r="CJ48"/>
  <c r="CY50"/>
  <c r="DD48"/>
  <c r="BU50"/>
  <c r="BZ48"/>
  <c r="BK50"/>
  <c r="BP48"/>
  <c r="C50"/>
  <c r="H48"/>
  <c r="U45" i="37"/>
  <c r="Z35"/>
  <c r="AE32"/>
  <c r="AJ29"/>
  <c r="AO26"/>
  <c r="AT23"/>
  <c r="AY20"/>
  <c r="BD17"/>
  <c r="F14"/>
  <c r="K11"/>
  <c r="P8"/>
  <c r="U5"/>
  <c r="AE39"/>
  <c r="AJ36"/>
  <c r="AO33"/>
  <c r="AT30"/>
  <c r="Z28"/>
  <c r="BD26"/>
  <c r="AE25"/>
  <c r="F24"/>
  <c r="AJ22"/>
  <c r="K21"/>
  <c r="AO19"/>
  <c r="P18"/>
  <c r="U14"/>
  <c r="AY12"/>
  <c r="Z11"/>
  <c r="BD9"/>
  <c r="AJ7"/>
  <c r="AT42"/>
  <c r="AT7"/>
  <c r="BD42"/>
  <c r="P37"/>
  <c r="U34"/>
  <c r="Z31"/>
  <c r="AE28"/>
  <c r="AJ25"/>
  <c r="AO22"/>
  <c r="AT19"/>
  <c r="BD12"/>
  <c r="F10"/>
  <c r="K7"/>
  <c r="AE41"/>
  <c r="Z38"/>
  <c r="AE35"/>
  <c r="AJ32"/>
  <c r="AO29"/>
  <c r="AY27"/>
  <c r="Z26"/>
  <c r="BD24"/>
  <c r="AE23"/>
  <c r="F22"/>
  <c r="AJ20"/>
  <c r="K19"/>
  <c r="AO17"/>
  <c r="AT13"/>
  <c r="U12"/>
  <c r="AY10"/>
  <c r="Z9"/>
  <c r="AT5"/>
  <c r="AY8"/>
  <c r="BD5"/>
  <c r="U38"/>
  <c r="AE40"/>
  <c r="AO31"/>
  <c r="AJ34"/>
  <c r="AE37"/>
  <c r="Z40"/>
  <c r="P6"/>
  <c r="K9"/>
  <c r="F12"/>
  <c r="BD14"/>
  <c r="AY18"/>
  <c r="AT21"/>
  <c r="AO24"/>
  <c r="AJ27"/>
  <c r="AE30"/>
  <c r="Z33"/>
  <c r="U36"/>
  <c r="P39"/>
  <c r="Z41"/>
  <c r="K29"/>
  <c r="F32"/>
  <c r="BD34"/>
  <c r="AY37"/>
  <c r="AT40"/>
  <c r="AJ6"/>
  <c r="AE9"/>
  <c r="Z12"/>
  <c r="P19"/>
  <c r="K22"/>
  <c r="F25"/>
  <c r="BD27"/>
  <c r="AY30"/>
  <c r="AT33"/>
  <c r="AO36"/>
  <c r="AJ39"/>
  <c r="AJ41"/>
  <c r="BD7"/>
  <c r="AY42"/>
  <c r="K8"/>
  <c r="P5"/>
  <c r="AO38"/>
  <c r="AE29"/>
  <c r="Z32"/>
  <c r="U35"/>
  <c r="P38"/>
  <c r="U41"/>
  <c r="BD6"/>
  <c r="AY9"/>
  <c r="AT12"/>
  <c r="AJ19"/>
  <c r="AE22"/>
  <c r="Z25"/>
  <c r="U28"/>
  <c r="P31"/>
  <c r="K34"/>
  <c r="F37"/>
  <c r="BD39"/>
  <c r="F42"/>
  <c r="AY29"/>
  <c r="AT32"/>
  <c r="AO35"/>
  <c r="AJ38"/>
  <c r="AO41"/>
  <c r="U7"/>
  <c r="P10"/>
  <c r="K13"/>
  <c r="F17"/>
  <c r="BD19"/>
  <c r="AY22"/>
  <c r="AT25"/>
  <c r="AO28"/>
  <c r="AJ31"/>
  <c r="AE34"/>
  <c r="Z37"/>
  <c r="U40"/>
  <c r="AT41"/>
  <c r="AJ37"/>
  <c r="AO34"/>
  <c r="AT31"/>
  <c r="AY28"/>
  <c r="BD25"/>
  <c r="F23"/>
  <c r="K20"/>
  <c r="P17"/>
  <c r="U13"/>
  <c r="Z10"/>
  <c r="AE7"/>
  <c r="AY41"/>
  <c r="AT38"/>
  <c r="AY35"/>
  <c r="BD32"/>
  <c r="F30"/>
  <c r="F28"/>
  <c r="AJ26"/>
  <c r="K25"/>
  <c r="AO23"/>
  <c r="P22"/>
  <c r="AT20"/>
  <c r="U19"/>
  <c r="AY17"/>
  <c r="BD13"/>
  <c r="AE12"/>
  <c r="F11"/>
  <c r="AJ9"/>
  <c r="AY6"/>
  <c r="Z42"/>
  <c r="F7"/>
  <c r="U42"/>
  <c r="AE36"/>
  <c r="AJ33"/>
  <c r="AO30"/>
  <c r="AT27"/>
  <c r="AY24"/>
  <c r="BD21"/>
  <c r="F19"/>
  <c r="P12"/>
  <c r="U9"/>
  <c r="Z6"/>
  <c r="AJ40"/>
  <c r="AO37"/>
  <c r="AT34"/>
  <c r="AY31"/>
  <c r="BD28"/>
  <c r="AE27"/>
  <c r="F26"/>
  <c r="AJ24"/>
  <c r="K23"/>
  <c r="AO21"/>
  <c r="P20"/>
  <c r="AT18"/>
  <c r="U17"/>
  <c r="AY14"/>
  <c r="Z13"/>
  <c r="BD11"/>
  <c r="AE10"/>
  <c r="AO8"/>
  <c r="AY36"/>
  <c r="BD33"/>
  <c r="F31"/>
  <c r="K28"/>
  <c r="P25"/>
  <c r="U22"/>
  <c r="Z19"/>
  <c r="AJ12"/>
  <c r="AO9"/>
  <c r="AT6"/>
  <c r="BD40"/>
  <c r="F38"/>
  <c r="K35"/>
  <c r="P32"/>
  <c r="U29"/>
  <c r="AO27"/>
  <c r="P26"/>
  <c r="AT24"/>
  <c r="U23"/>
  <c r="AY21"/>
  <c r="Z20"/>
  <c r="BD18"/>
  <c r="AE17"/>
  <c r="AJ13"/>
  <c r="K12"/>
  <c r="AO10"/>
  <c r="F9"/>
  <c r="K6"/>
  <c r="P9"/>
  <c r="U6"/>
  <c r="P41"/>
  <c r="AT35"/>
  <c r="AY32"/>
  <c r="BD29"/>
  <c r="F27"/>
  <c r="K24"/>
  <c r="P21"/>
  <c r="U18"/>
  <c r="Z14"/>
  <c r="AE11"/>
  <c r="AJ8"/>
  <c r="AO5"/>
  <c r="AY39"/>
  <c r="BD36"/>
  <c r="F34"/>
  <c r="K31"/>
  <c r="AJ28"/>
  <c r="K27"/>
  <c r="AO25"/>
  <c r="P24"/>
  <c r="AT22"/>
  <c r="U21"/>
  <c r="AY19"/>
  <c r="Z18"/>
  <c r="AE14"/>
  <c r="F13"/>
  <c r="AJ11"/>
  <c r="K10"/>
  <c r="P7"/>
  <c r="AJ42"/>
  <c r="Z7"/>
  <c r="AO42"/>
  <c r="F39"/>
  <c r="P30"/>
  <c r="K33"/>
  <c r="F36"/>
  <c r="BD38"/>
  <c r="F5"/>
  <c r="AO7"/>
  <c r="AJ10"/>
  <c r="AE13"/>
  <c r="Z17"/>
  <c r="U20"/>
  <c r="P23"/>
  <c r="K26"/>
  <c r="F29"/>
  <c r="BD31"/>
  <c r="AY34"/>
  <c r="AT37"/>
  <c r="AO40"/>
  <c r="Z39"/>
  <c r="AJ30"/>
  <c r="AE33"/>
  <c r="Z36"/>
  <c r="U39"/>
  <c r="K5"/>
  <c r="F8"/>
  <c r="BD10"/>
  <c r="AY13"/>
  <c r="AT17"/>
  <c r="AO20"/>
  <c r="AJ23"/>
  <c r="AE26"/>
  <c r="Z29"/>
  <c r="U32"/>
  <c r="P35"/>
  <c r="K38"/>
  <c r="AE42"/>
  <c r="AE6"/>
  <c r="P42"/>
  <c r="AO6"/>
  <c r="K42"/>
  <c r="AT39"/>
  <c r="BD30"/>
  <c r="AY33"/>
  <c r="AT36"/>
  <c r="AO39"/>
  <c r="AE5"/>
  <c r="Z8"/>
  <c r="U11"/>
  <c r="P14"/>
  <c r="K18"/>
  <c r="F21"/>
  <c r="BD23"/>
  <c r="AY26"/>
  <c r="AT29"/>
  <c r="AO32"/>
  <c r="AJ35"/>
  <c r="AE38"/>
  <c r="AY40"/>
  <c r="K40"/>
  <c r="U31"/>
  <c r="P34"/>
  <c r="K37"/>
  <c r="F40"/>
  <c r="AY5"/>
  <c r="AT8"/>
  <c r="AO11"/>
  <c r="AJ14"/>
  <c r="AE18"/>
  <c r="Z21"/>
  <c r="U24"/>
  <c r="P27"/>
  <c r="K30"/>
  <c r="F33"/>
  <c r="BD35"/>
  <c r="AY38"/>
  <c r="F41"/>
  <c r="AO44"/>
  <c r="AT44"/>
  <c r="H47" i="19"/>
  <c r="K44" i="37"/>
  <c r="U44"/>
  <c r="BD44"/>
  <c r="P44"/>
  <c r="AJ44"/>
  <c r="AE44"/>
  <c r="F44"/>
  <c r="Z44"/>
  <c r="AY44"/>
  <c r="J47" i="58"/>
  <c r="O47" i="15"/>
  <c r="D33" i="219" s="1"/>
  <c r="AU47" i="15"/>
  <c r="L33" i="219" s="1"/>
  <c r="AH47" i="19"/>
  <c r="K47" i="15"/>
  <c r="C33" i="219" s="1"/>
  <c r="BN47" i="58"/>
  <c r="AJ47"/>
  <c r="BD47"/>
  <c r="P47"/>
  <c r="CH47"/>
  <c r="W47" i="15"/>
  <c r="F33" i="219" s="1"/>
  <c r="AM47" i="15"/>
  <c r="J33" i="219" s="1"/>
  <c r="AI47" i="15"/>
  <c r="I33" i="219" s="1"/>
  <c r="J47" i="19"/>
  <c r="AA47" i="15"/>
  <c r="G33" i="219" s="1"/>
  <c r="BL47" i="19"/>
  <c r="CR47" i="58"/>
  <c r="Z47"/>
  <c r="DB47"/>
  <c r="BX47"/>
  <c r="AT47"/>
  <c r="CP47" i="19"/>
  <c r="AL47"/>
  <c r="E33" i="209" s="1"/>
  <c r="L41" i="236" l="1"/>
  <c r="L37"/>
  <c r="G42"/>
  <c r="L36"/>
  <c r="H41"/>
  <c r="AE47" i="192"/>
  <c r="AE47" i="191"/>
  <c r="AE47" i="193"/>
  <c r="G36" i="192"/>
  <c r="G36" i="191"/>
  <c r="G36" i="193"/>
  <c r="BS11" i="192"/>
  <c r="BS11" i="191"/>
  <c r="BS11" i="193"/>
  <c r="W37" i="192"/>
  <c r="W37" i="191"/>
  <c r="W37" i="193"/>
  <c r="CA29" i="192"/>
  <c r="CA29" i="191"/>
  <c r="CA29" i="193"/>
  <c r="BK42" i="192"/>
  <c r="BK42" i="191"/>
  <c r="BK42" i="193"/>
  <c r="AU9" i="191"/>
  <c r="AU9" i="192"/>
  <c r="AU9" i="193"/>
  <c r="BK23" i="192"/>
  <c r="BK23" i="191"/>
  <c r="BK23" i="193"/>
  <c r="AU36" i="192"/>
  <c r="AU36" i="191"/>
  <c r="AU36" i="193"/>
  <c r="O29" i="192"/>
  <c r="O29" i="191"/>
  <c r="O29" i="193"/>
  <c r="CI41" i="192"/>
  <c r="CI41" i="191"/>
  <c r="CI41" i="193"/>
  <c r="W10" i="191"/>
  <c r="W10" i="192"/>
  <c r="W10" i="193"/>
  <c r="AU17" i="191"/>
  <c r="AU17" i="192"/>
  <c r="AU17" i="193"/>
  <c r="BC31" i="192"/>
  <c r="BC31" i="191"/>
  <c r="BC31" i="193"/>
  <c r="AM17" i="191"/>
  <c r="AM17" i="192"/>
  <c r="AM17" i="193"/>
  <c r="W44" i="192"/>
  <c r="W44" i="191"/>
  <c r="W44" i="193"/>
  <c r="AU20" i="192"/>
  <c r="AU20" i="191"/>
  <c r="AU20" i="193"/>
  <c r="AE32" i="192"/>
  <c r="AE32" i="191"/>
  <c r="AE32" i="193"/>
  <c r="AM22" i="192"/>
  <c r="AM22" i="191"/>
  <c r="AM22" i="193"/>
  <c r="AU13" i="192"/>
  <c r="AU13" i="191"/>
  <c r="AU13" i="193"/>
  <c r="O26" i="191"/>
  <c r="O26" i="192"/>
  <c r="O26" i="193"/>
  <c r="G22"/>
  <c r="G22" i="192"/>
  <c r="G22" i="191"/>
  <c r="G10" i="192"/>
  <c r="G10" i="191"/>
  <c r="G10" i="193"/>
  <c r="AE22" i="192"/>
  <c r="AE22" i="191"/>
  <c r="AE22" i="193"/>
  <c r="CI35" i="192"/>
  <c r="CI35" i="191"/>
  <c r="CI35" i="193"/>
  <c r="O23" i="192"/>
  <c r="O23" i="191"/>
  <c r="O23" i="193"/>
  <c r="AE43" i="192"/>
  <c r="AE43" i="191"/>
  <c r="AE43" i="193"/>
  <c r="G20" i="192"/>
  <c r="G20" i="191"/>
  <c r="G20" i="193"/>
  <c r="O37" i="192"/>
  <c r="O37" i="191"/>
  <c r="O37" i="193"/>
  <c r="AU25" i="192"/>
  <c r="AU25" i="191"/>
  <c r="AU25" i="193"/>
  <c r="AM35" i="192"/>
  <c r="AM35" i="191"/>
  <c r="AM35" i="193"/>
  <c r="BC42" i="192"/>
  <c r="BC42" i="191"/>
  <c r="BC42" i="193"/>
  <c r="AM15" i="192"/>
  <c r="AM15" i="191"/>
  <c r="AM15" i="193"/>
  <c r="AM44" i="192"/>
  <c r="AM44" i="191"/>
  <c r="AM44" i="193"/>
  <c r="CA21" i="192"/>
  <c r="CA21" i="191"/>
  <c r="CA21" i="193"/>
  <c r="BK34" i="192"/>
  <c r="BK34" i="191"/>
  <c r="BK34" i="193"/>
  <c r="AE15" i="191"/>
  <c r="AE15" i="192"/>
  <c r="AE15" i="193"/>
  <c r="AM29" i="191"/>
  <c r="AM29" i="192"/>
  <c r="AM29" i="193"/>
  <c r="G13" i="191"/>
  <c r="G13" i="193"/>
  <c r="G13" i="192"/>
  <c r="W40"/>
  <c r="W40" i="191"/>
  <c r="W40" i="193"/>
  <c r="AE17" i="192"/>
  <c r="AE17" i="191"/>
  <c r="AE17" i="193"/>
  <c r="AM31" i="192"/>
  <c r="AM31" i="191"/>
  <c r="AM31" i="193"/>
  <c r="AU42" i="192"/>
  <c r="AU42" i="193"/>
  <c r="AU42" i="191"/>
  <c r="BK29"/>
  <c r="BK29" i="192"/>
  <c r="BK29" i="193"/>
  <c r="K41" i="236"/>
  <c r="K36"/>
  <c r="I41"/>
  <c r="I36"/>
  <c r="G47" i="192"/>
  <c r="G47" i="191"/>
  <c r="G47" i="193"/>
  <c r="BS47" i="192"/>
  <c r="BS47" i="191"/>
  <c r="BS47" i="193"/>
  <c r="AE27" i="192"/>
  <c r="AE27" i="191"/>
  <c r="AE27" i="193"/>
  <c r="O40" i="192"/>
  <c r="O40" i="191"/>
  <c r="O40" i="193"/>
  <c r="BS32" i="192"/>
  <c r="BS32" i="191"/>
  <c r="BS32" i="193"/>
  <c r="AU8" i="192"/>
  <c r="AU8" i="191"/>
  <c r="AU8" i="193"/>
  <c r="W45" i="192"/>
  <c r="W45" i="191"/>
  <c r="W45" i="193"/>
  <c r="BC26" i="192"/>
  <c r="BC26" i="191"/>
  <c r="BC26" i="193"/>
  <c r="AM39" i="192"/>
  <c r="AM39" i="191"/>
  <c r="AM39" i="193"/>
  <c r="G32" i="192"/>
  <c r="G32" i="191"/>
  <c r="G32" i="193"/>
  <c r="G8" i="192"/>
  <c r="G8" i="191"/>
  <c r="G8" i="193"/>
  <c r="BC45" i="192"/>
  <c r="BC45" i="191"/>
  <c r="BC45" i="193"/>
  <c r="G16" i="192"/>
  <c r="G16" i="191"/>
  <c r="G16" i="193"/>
  <c r="O30" i="191"/>
  <c r="O30" i="192"/>
  <c r="O30" i="193"/>
  <c r="AU14" i="192"/>
  <c r="AU14" i="191"/>
  <c r="AU14" i="193"/>
  <c r="BS38" i="191"/>
  <c r="BS38" i="193"/>
  <c r="BS38" i="192"/>
  <c r="BC16"/>
  <c r="BC16" i="191"/>
  <c r="BC16" i="193"/>
  <c r="BK30" i="192"/>
  <c r="BK30" i="191"/>
  <c r="BK30" i="193"/>
  <c r="BC15" i="192"/>
  <c r="BC15" i="191"/>
  <c r="BC15" i="193"/>
  <c r="BK11" i="192"/>
  <c r="BK11" i="191"/>
  <c r="BK11" i="193"/>
  <c r="BK24" i="192"/>
  <c r="BK24" i="193"/>
  <c r="BK24" i="191"/>
  <c r="BK40" i="192"/>
  <c r="BK40" i="191"/>
  <c r="BK40" i="193"/>
  <c r="BS30" i="192"/>
  <c r="BS30" i="191"/>
  <c r="BS30" i="193"/>
  <c r="BC12" i="192"/>
  <c r="BC12" i="191"/>
  <c r="BC12" i="193"/>
  <c r="BK26" i="192"/>
  <c r="BK26" i="191"/>
  <c r="BK26" i="193"/>
  <c r="CA44" i="192"/>
  <c r="CA44" i="191"/>
  <c r="CA44" i="193"/>
  <c r="CA31"/>
  <c r="CA31" i="192"/>
  <c r="CA31" i="191"/>
  <c r="BC34" i="192"/>
  <c r="BC34" i="191"/>
  <c r="BC34" i="193"/>
  <c r="AE10" i="192"/>
  <c r="AE10" i="191"/>
  <c r="AE10" i="193"/>
  <c r="G40" i="192"/>
  <c r="G40" i="191"/>
  <c r="G40" i="193"/>
  <c r="CA12" i="192"/>
  <c r="CA12" i="191"/>
  <c r="CA12" i="193"/>
  <c r="W8" i="192"/>
  <c r="W8" i="191"/>
  <c r="W8" i="193"/>
  <c r="CA33" i="192"/>
  <c r="CA33" i="191"/>
  <c r="CA33" i="193"/>
  <c r="BS43" i="192"/>
  <c r="BS43" i="191"/>
  <c r="BS43" i="193"/>
  <c r="AM36" i="192"/>
  <c r="AM36" i="191"/>
  <c r="AM36" i="193"/>
  <c r="O12" i="192"/>
  <c r="O12" i="191"/>
  <c r="O12" i="193"/>
  <c r="CI8" i="192"/>
  <c r="CI8" i="191"/>
  <c r="CI8" i="193"/>
  <c r="O22" i="192"/>
  <c r="O22" i="191"/>
  <c r="O22" i="193"/>
  <c r="O10" i="192"/>
  <c r="O10" i="191"/>
  <c r="O10" i="193"/>
  <c r="AE37" i="192"/>
  <c r="AE37" i="193"/>
  <c r="AE37" i="191"/>
  <c r="CA15" i="192"/>
  <c r="CA15" i="191"/>
  <c r="CA15" i="193"/>
  <c r="O24" i="192"/>
  <c r="O24" i="191"/>
  <c r="O24" i="193"/>
  <c r="O14" i="192"/>
  <c r="O14" i="191"/>
  <c r="O14" i="193"/>
  <c r="AM38" i="192"/>
  <c r="AM38" i="191"/>
  <c r="AM38" i="193"/>
  <c r="L34" i="209"/>
  <c r="L22" i="158"/>
  <c r="C34" i="209"/>
  <c r="R56" i="19"/>
  <c r="C22" i="158"/>
  <c r="AM47" i="192"/>
  <c r="AM47" i="191"/>
  <c r="AM47" i="193"/>
  <c r="W47" i="191"/>
  <c r="W47" i="193"/>
  <c r="W47" i="192"/>
  <c r="B33" i="209"/>
  <c r="G50" i="133"/>
  <c r="P50" s="1"/>
  <c r="CA41" i="192"/>
  <c r="CA41" i="191"/>
  <c r="CA41" i="193"/>
  <c r="W30" i="192"/>
  <c r="W30" i="191"/>
  <c r="W30" i="193"/>
  <c r="BC17" i="192"/>
  <c r="BC17" i="191"/>
  <c r="BC17" i="193"/>
  <c r="G43" i="192"/>
  <c r="G43" i="191"/>
  <c r="G43" i="193"/>
  <c r="O43" i="191"/>
  <c r="O43" i="193"/>
  <c r="O43" i="192"/>
  <c r="BK35"/>
  <c r="BK35" i="191"/>
  <c r="BK35" i="193"/>
  <c r="G24" i="192"/>
  <c r="G24" i="191"/>
  <c r="G24" i="193"/>
  <c r="AM11" i="192"/>
  <c r="AM11" i="191"/>
  <c r="AM11" i="193"/>
  <c r="CA36" i="192"/>
  <c r="CA36" i="191"/>
  <c r="CA36" i="193"/>
  <c r="BK9" i="192"/>
  <c r="BK9" i="191"/>
  <c r="BK9" i="193"/>
  <c r="O41" i="192"/>
  <c r="O41" i="191"/>
  <c r="O41" i="193"/>
  <c r="AU29" i="192"/>
  <c r="AU29" i="191"/>
  <c r="AU29" i="193"/>
  <c r="CA16" i="192"/>
  <c r="CA16" i="191"/>
  <c r="CA16" i="193"/>
  <c r="AE42" i="192"/>
  <c r="AE42" i="191"/>
  <c r="AE42" i="193"/>
  <c r="AM42" i="191"/>
  <c r="AM42" i="193"/>
  <c r="AM42" i="192"/>
  <c r="CI34"/>
  <c r="CI34" i="191"/>
  <c r="CI34" i="193"/>
  <c r="AE23" i="192"/>
  <c r="AE23" i="191"/>
  <c r="AE23" i="193"/>
  <c r="BK10" i="192"/>
  <c r="BK10" i="191"/>
  <c r="BK10" i="193"/>
  <c r="O36" i="192"/>
  <c r="O36" i="191"/>
  <c r="O36" i="193"/>
  <c r="AM10" i="192"/>
  <c r="AM10" i="191"/>
  <c r="AM10" i="193"/>
  <c r="BC14" i="192"/>
  <c r="BC14" i="191"/>
  <c r="BC14" i="193"/>
  <c r="CA22" i="192"/>
  <c r="CA22" i="191"/>
  <c r="CA22" i="193"/>
  <c r="BK28" i="191"/>
  <c r="BK28" i="192"/>
  <c r="BK28" i="193"/>
  <c r="G37" i="191"/>
  <c r="G37" i="192"/>
  <c r="G37" i="193"/>
  <c r="BC11"/>
  <c r="BC11" i="192"/>
  <c r="BC11" i="191"/>
  <c r="W24" i="192"/>
  <c r="W24" i="191"/>
  <c r="W24" i="193"/>
  <c r="CA35" i="192"/>
  <c r="CA35" i="193"/>
  <c r="CA35" i="191"/>
  <c r="W12" i="192"/>
  <c r="W12" i="191"/>
  <c r="W12" i="193"/>
  <c r="O15" i="192"/>
  <c r="O15" i="191"/>
  <c r="O15" i="193"/>
  <c r="AM23" i="192"/>
  <c r="AM23" i="191"/>
  <c r="AM23" i="193"/>
  <c r="W29" i="192"/>
  <c r="W29" i="191"/>
  <c r="W29" i="193"/>
  <c r="O38" i="191"/>
  <c r="O38" i="192"/>
  <c r="O38" i="193"/>
  <c r="BK12" i="192"/>
  <c r="BK12" i="191"/>
  <c r="BK12" i="193"/>
  <c r="W28" i="191"/>
  <c r="W28" i="192"/>
  <c r="W28" i="193"/>
  <c r="CA39" i="192"/>
  <c r="CA39" i="193"/>
  <c r="CA39" i="191"/>
  <c r="AM16" i="192"/>
  <c r="AM16" i="191"/>
  <c r="AM16" i="193"/>
  <c r="W23" i="192"/>
  <c r="W23" i="191"/>
  <c r="W23" i="193"/>
  <c r="G29" i="192"/>
  <c r="G29" i="193"/>
  <c r="G29" i="191"/>
  <c r="BS37"/>
  <c r="BS37" i="193"/>
  <c r="BS37" i="192"/>
  <c r="AE12" i="193"/>
  <c r="AE12" i="192"/>
  <c r="AE12" i="191"/>
  <c r="CA27" i="192"/>
  <c r="CA27" i="191"/>
  <c r="CA27" i="193"/>
  <c r="AU39" i="191"/>
  <c r="AU39" i="192"/>
  <c r="AU39" i="193"/>
  <c r="CA9"/>
  <c r="CA9" i="192"/>
  <c r="CA9" i="191"/>
  <c r="CI16" i="192"/>
  <c r="CI16" i="191"/>
  <c r="CI16" i="193"/>
  <c r="W25" i="192"/>
  <c r="W25" i="191"/>
  <c r="W25" i="193"/>
  <c r="G31" i="192"/>
  <c r="G31" i="191"/>
  <c r="G31" i="193"/>
  <c r="BS41" i="192"/>
  <c r="BS41" i="191"/>
  <c r="BS41" i="193"/>
  <c r="AE16" i="192"/>
  <c r="AE16" i="191"/>
  <c r="AE16" i="193"/>
  <c r="CI28" i="192"/>
  <c r="CI28" i="191"/>
  <c r="CI28" i="193"/>
  <c r="BC40"/>
  <c r="BC40" i="192"/>
  <c r="BC40" i="191"/>
  <c r="AU37" i="192"/>
  <c r="AU37" i="191"/>
  <c r="AU37" i="193"/>
  <c r="CA25" i="192"/>
  <c r="CA25" i="191"/>
  <c r="CA25" i="193"/>
  <c r="W13" i="192"/>
  <c r="W13" i="191"/>
  <c r="W13" i="193"/>
  <c r="BK38" i="192"/>
  <c r="BK38" i="191"/>
  <c r="BK38" i="193"/>
  <c r="CI42" i="192"/>
  <c r="CI42" i="191"/>
  <c r="CI42" i="193"/>
  <c r="AE31" i="192"/>
  <c r="AE31" i="191"/>
  <c r="AE31" i="193"/>
  <c r="BS15" i="192"/>
  <c r="BS15" i="191"/>
  <c r="BS15" i="193"/>
  <c r="W41" i="192"/>
  <c r="W41" i="191"/>
  <c r="W41" i="193"/>
  <c r="BK41" i="191"/>
  <c r="BK41" i="193"/>
  <c r="BK41" i="192"/>
  <c r="CI10"/>
  <c r="CI10" i="191"/>
  <c r="CI10" i="193"/>
  <c r="BS36" i="192"/>
  <c r="BS36" i="191"/>
  <c r="BS36" i="193"/>
  <c r="O25" i="192"/>
  <c r="O25" i="191"/>
  <c r="O25" i="193"/>
  <c r="BC9" i="192"/>
  <c r="BC9" i="191"/>
  <c r="BC9" i="193"/>
  <c r="G35" i="192"/>
  <c r="G35" i="191"/>
  <c r="G35" i="193"/>
  <c r="AE39" i="192"/>
  <c r="AE39" i="191"/>
  <c r="AE39" i="193"/>
  <c r="BK27" i="192"/>
  <c r="BK27" i="191"/>
  <c r="BK27" i="193"/>
  <c r="G15" i="192"/>
  <c r="G15" i="191"/>
  <c r="G15" i="193"/>
  <c r="AU40" i="192"/>
  <c r="AU40" i="191"/>
  <c r="AU40" i="193"/>
  <c r="AE41" i="192"/>
  <c r="AE41" i="191"/>
  <c r="AE41" i="193"/>
  <c r="AM12" i="192"/>
  <c r="AM12" i="191"/>
  <c r="AM12" i="193"/>
  <c r="BK20" i="192"/>
  <c r="BK20" i="191"/>
  <c r="BK20" i="193"/>
  <c r="AU26" i="192"/>
  <c r="AU26" i="193"/>
  <c r="AU26" i="191"/>
  <c r="BK32"/>
  <c r="BK32" i="193"/>
  <c r="BK32" i="192"/>
  <c r="AU44"/>
  <c r="AU44" i="191"/>
  <c r="AU44" i="193"/>
  <c r="BS22" i="192"/>
  <c r="BS22" i="191"/>
  <c r="BS22" i="193"/>
  <c r="AM34" i="192"/>
  <c r="AM34" i="191"/>
  <c r="AM34" i="193"/>
  <c r="BS10" i="192"/>
  <c r="BS10" i="191"/>
  <c r="BS10" i="193"/>
  <c r="AM14" i="192"/>
  <c r="AM14" i="191"/>
  <c r="AM14" i="193"/>
  <c r="BK22" i="192"/>
  <c r="BK22" i="191"/>
  <c r="BK22" i="193"/>
  <c r="AU28" i="192"/>
  <c r="AU28" i="191"/>
  <c r="AU28" i="193"/>
  <c r="BK36" i="192"/>
  <c r="BK36" i="193"/>
  <c r="BK36" i="191"/>
  <c r="W11" i="192"/>
  <c r="W11" i="191"/>
  <c r="W11" i="193"/>
  <c r="CA23" i="192"/>
  <c r="CA23" i="193"/>
  <c r="CA23" i="191"/>
  <c r="AU35"/>
  <c r="AU35" i="193"/>
  <c r="AU35" i="192"/>
  <c r="G36" i="236"/>
  <c r="G41"/>
  <c r="K37"/>
  <c r="K42"/>
  <c r="J37"/>
  <c r="J42"/>
  <c r="F41"/>
  <c r="F36"/>
  <c r="C37"/>
  <c r="C42"/>
  <c r="F42"/>
  <c r="AU47" i="191"/>
  <c r="AU47" i="193"/>
  <c r="AU47" i="192"/>
  <c r="BK47"/>
  <c r="BK47" i="191"/>
  <c r="BK47" i="193"/>
  <c r="AM24" i="192"/>
  <c r="AM24" i="191"/>
  <c r="AM24" i="193"/>
  <c r="AU41" i="192"/>
  <c r="AU41" i="191"/>
  <c r="AU41" i="193"/>
  <c r="W17" i="192"/>
  <c r="W17" i="191"/>
  <c r="W17" i="193"/>
  <c r="BS42" i="192"/>
  <c r="BS42" i="191"/>
  <c r="BS42" i="193"/>
  <c r="AE35" i="192"/>
  <c r="AE35" i="191"/>
  <c r="AE35" i="193"/>
  <c r="G11" i="192"/>
  <c r="G11" i="191"/>
  <c r="G11" i="193"/>
  <c r="BS40" i="192"/>
  <c r="BS40" i="191"/>
  <c r="BS40" i="193"/>
  <c r="AU16" i="192"/>
  <c r="AU16" i="191"/>
  <c r="AU16" i="193"/>
  <c r="G42" i="192"/>
  <c r="G42" i="191"/>
  <c r="G42" i="193"/>
  <c r="BS25" i="192"/>
  <c r="BS25" i="193"/>
  <c r="BS25" i="191"/>
  <c r="CA42" i="192"/>
  <c r="CA42" i="191"/>
  <c r="CA42" i="193"/>
  <c r="G30" i="192"/>
  <c r="G30" i="191"/>
  <c r="G30" i="193"/>
  <c r="G12" i="192"/>
  <c r="G12" i="191"/>
  <c r="G12" i="193"/>
  <c r="AE26" i="192"/>
  <c r="AE26" i="191"/>
  <c r="AE26" i="193"/>
  <c r="CI43"/>
  <c r="CI43" i="192"/>
  <c r="CI43" i="191"/>
  <c r="G34"/>
  <c r="G34" i="193"/>
  <c r="G34" i="192"/>
  <c r="AE20"/>
  <c r="AE20" i="193"/>
  <c r="AE20" i="191"/>
  <c r="CI31" i="192"/>
  <c r="CI31" i="191"/>
  <c r="CI31" i="193"/>
  <c r="BC43" i="191"/>
  <c r="BC43" i="192"/>
  <c r="BC43" i="193"/>
  <c r="BK33" i="192"/>
  <c r="BK33" i="191"/>
  <c r="BK33" i="193"/>
  <c r="G14" i="192"/>
  <c r="G14" i="191"/>
  <c r="G14" i="193"/>
  <c r="O28" i="192"/>
  <c r="O28" i="191"/>
  <c r="O28" i="193"/>
  <c r="AU10"/>
  <c r="AU10" i="192"/>
  <c r="AU10" i="191"/>
  <c r="BS34"/>
  <c r="BS34" i="193"/>
  <c r="BS34" i="192"/>
  <c r="BK31"/>
  <c r="BK31" i="191"/>
  <c r="BK31" i="193"/>
  <c r="BK44"/>
  <c r="BK44" i="192"/>
  <c r="BK44" i="191"/>
  <c r="CA32" i="192"/>
  <c r="CA32" i="191"/>
  <c r="CA32" i="193"/>
  <c r="CI9" i="192"/>
  <c r="CI9" i="191"/>
  <c r="CI9" i="193"/>
  <c r="O11" i="192"/>
  <c r="O11" i="191"/>
  <c r="O11" i="193"/>
  <c r="CI30" i="192"/>
  <c r="CI30" i="191"/>
  <c r="CI30" i="193"/>
  <c r="CA40" i="192"/>
  <c r="CA40" i="191"/>
  <c r="CA40" i="193"/>
  <c r="AU33" i="192"/>
  <c r="AU33" i="191"/>
  <c r="AU33" i="193"/>
  <c r="W9" i="192"/>
  <c r="W9" i="191"/>
  <c r="W9" i="193"/>
  <c r="CA11" i="192"/>
  <c r="CA11" i="191"/>
  <c r="CA11" i="193"/>
  <c r="BC23" i="192"/>
  <c r="BC23" i="191"/>
  <c r="BC23" i="193"/>
  <c r="AU38" i="192"/>
  <c r="AU38" i="193"/>
  <c r="AU38" i="191"/>
  <c r="BC28" i="192"/>
  <c r="BC28" i="191"/>
  <c r="BC28" i="193"/>
  <c r="BC10" i="192"/>
  <c r="BC10" i="191"/>
  <c r="BC10" i="193"/>
  <c r="BC25" i="192"/>
  <c r="BC25" i="191"/>
  <c r="BC25" i="193"/>
  <c r="G17" i="191"/>
  <c r="G17" i="193"/>
  <c r="G17" i="192"/>
  <c r="AE48"/>
  <c r="AE48" i="191"/>
  <c r="AE48" i="193"/>
  <c r="E24" i="182"/>
  <c r="CI47" i="192"/>
  <c r="CI47" i="193"/>
  <c r="CI47" i="191"/>
  <c r="CI38" i="192"/>
  <c r="CI38" i="191"/>
  <c r="CI38" i="193"/>
  <c r="BK14" i="192"/>
  <c r="BK14" i="191"/>
  <c r="BK14" i="193"/>
  <c r="CA43" i="191"/>
  <c r="CA43" i="192"/>
  <c r="CA43" i="193"/>
  <c r="O21" i="192"/>
  <c r="O21" i="191"/>
  <c r="O21" i="193"/>
  <c r="CI33" i="192"/>
  <c r="CI33" i="191"/>
  <c r="CI33" i="193"/>
  <c r="W38" i="192"/>
  <c r="W38" i="191"/>
  <c r="W38" i="193"/>
  <c r="CI13" i="192"/>
  <c r="CI13" i="191"/>
  <c r="CI13" i="193"/>
  <c r="BK43" i="192"/>
  <c r="BK43" i="191"/>
  <c r="BK43" i="193"/>
  <c r="AM20" i="192"/>
  <c r="AM20" i="191"/>
  <c r="AM20" i="193"/>
  <c r="W33" i="192"/>
  <c r="W33" i="191"/>
  <c r="W33" i="193"/>
  <c r="AE24" i="192"/>
  <c r="AE24" i="191"/>
  <c r="AE24" i="193"/>
  <c r="CI39" i="192"/>
  <c r="CI39" i="191"/>
  <c r="CI39" i="193"/>
  <c r="O27" i="192"/>
  <c r="O27" i="191"/>
  <c r="O27" i="193"/>
  <c r="O9" i="192"/>
  <c r="O9" i="191"/>
  <c r="O9" i="193"/>
  <c r="CA24" i="192"/>
  <c r="CA24" i="191"/>
  <c r="CA24" i="193"/>
  <c r="G41" i="192"/>
  <c r="G41" i="193"/>
  <c r="G41" i="191"/>
  <c r="O31" i="192"/>
  <c r="O31" i="191"/>
  <c r="O31" i="193"/>
  <c r="CA17" i="192"/>
  <c r="CA17" i="193"/>
  <c r="CA17" i="191"/>
  <c r="AU30" i="192"/>
  <c r="AU30" i="191"/>
  <c r="AU30" i="193"/>
  <c r="W15" i="192"/>
  <c r="W15" i="191"/>
  <c r="W15" i="193"/>
  <c r="AE45"/>
  <c r="AE45" i="192"/>
  <c r="AE45" i="191"/>
  <c r="CA20" i="192"/>
  <c r="CA20" i="191"/>
  <c r="CA20" i="193"/>
  <c r="G33" i="192"/>
  <c r="G33" i="191"/>
  <c r="G33" i="193"/>
  <c r="W20" i="192"/>
  <c r="W20" i="191"/>
  <c r="W20" i="193"/>
  <c r="BS44" i="192"/>
  <c r="BS44" i="191"/>
  <c r="BS44" i="193"/>
  <c r="CI22" i="192"/>
  <c r="CI22" i="191"/>
  <c r="CI22" i="193"/>
  <c r="BS35" i="192"/>
  <c r="BS35" i="191"/>
  <c r="BS35" i="193"/>
  <c r="AM28" i="192"/>
  <c r="AM28" i="191"/>
  <c r="AM28" i="193"/>
  <c r="AE38" i="192"/>
  <c r="AE38" i="191"/>
  <c r="AE38" i="193"/>
  <c r="BC44" i="192"/>
  <c r="BC44" i="191"/>
  <c r="BC44" i="193"/>
  <c r="W22" i="192"/>
  <c r="W22" i="191"/>
  <c r="W22" i="193"/>
  <c r="O32" i="192"/>
  <c r="O32" i="191"/>
  <c r="O32" i="193"/>
  <c r="BS24" i="192"/>
  <c r="BS24" i="191"/>
  <c r="BS24" i="193"/>
  <c r="BC37" i="192"/>
  <c r="BC37" i="191"/>
  <c r="BC37" i="193"/>
  <c r="CA13" i="192"/>
  <c r="CA13" i="191"/>
  <c r="CA13" i="193"/>
  <c r="CI27" i="191"/>
  <c r="CI27" i="193"/>
  <c r="CI27" i="192"/>
  <c r="BC35"/>
  <c r="BC35" i="191"/>
  <c r="BC35" i="193"/>
  <c r="BK25" i="192"/>
  <c r="BK25" i="191"/>
  <c r="BK25" i="193"/>
  <c r="BS45" i="192"/>
  <c r="BS45" i="191"/>
  <c r="BS45" i="193"/>
  <c r="CI29" i="192"/>
  <c r="CI29" i="191"/>
  <c r="CI29" i="193"/>
  <c r="BC39"/>
  <c r="BC39" i="192"/>
  <c r="BC39" i="191"/>
  <c r="BS26" i="192"/>
  <c r="BS26" i="191"/>
  <c r="BS26" i="193"/>
  <c r="H34" i="209"/>
  <c r="H22" i="158"/>
  <c r="G34" i="209"/>
  <c r="G22" i="158"/>
  <c r="E34" i="209"/>
  <c r="E22" i="158"/>
  <c r="C41" i="236"/>
  <c r="C36"/>
  <c r="J41"/>
  <c r="J36"/>
  <c r="E41"/>
  <c r="E36"/>
  <c r="CA47" i="192"/>
  <c r="CA47" i="191"/>
  <c r="CA47" i="193"/>
  <c r="BC47" i="192"/>
  <c r="BC47" i="191"/>
  <c r="BC47" i="193"/>
  <c r="O47" i="192"/>
  <c r="O47" i="191"/>
  <c r="O47" i="193"/>
  <c r="G44" i="192"/>
  <c r="G44" i="191"/>
  <c r="G44" i="193"/>
  <c r="O33" i="192"/>
  <c r="O33" i="191"/>
  <c r="O33" i="193"/>
  <c r="AU21" i="192"/>
  <c r="AU21" i="191"/>
  <c r="AU21" i="193"/>
  <c r="CA8" i="192"/>
  <c r="CA8" i="191"/>
  <c r="CA8" i="193"/>
  <c r="AE34" i="192"/>
  <c r="AE34" i="191"/>
  <c r="AE34" i="193"/>
  <c r="BC38" i="192"/>
  <c r="BC38" i="191"/>
  <c r="BC38" i="193"/>
  <c r="CI26" i="192"/>
  <c r="CI26" i="191"/>
  <c r="CI26" i="193"/>
  <c r="AE14" i="192"/>
  <c r="AE14" i="191"/>
  <c r="AE14" i="193"/>
  <c r="BS39" i="192"/>
  <c r="BS39" i="191"/>
  <c r="BS39" i="193"/>
  <c r="O45" i="192"/>
  <c r="O45" i="191"/>
  <c r="O45" i="193"/>
  <c r="AU45" i="192"/>
  <c r="AU45" i="191"/>
  <c r="AU45" i="193"/>
  <c r="AM32" i="192"/>
  <c r="AM32" i="191"/>
  <c r="AM32" i="193"/>
  <c r="BS20" i="192"/>
  <c r="BS20" i="191"/>
  <c r="BS20" i="193"/>
  <c r="O8" i="192"/>
  <c r="O8" i="191"/>
  <c r="O8" i="193"/>
  <c r="BC33" i="192"/>
  <c r="BC33" i="191"/>
  <c r="BC33" i="193"/>
  <c r="CA37" i="192"/>
  <c r="CA37" i="191"/>
  <c r="CA37" i="193"/>
  <c r="W26" i="192"/>
  <c r="W26" i="191"/>
  <c r="W26" i="193"/>
  <c r="BC13" i="192"/>
  <c r="BC13" i="191"/>
  <c r="BC13" i="193"/>
  <c r="G39" i="192"/>
  <c r="G39" i="191"/>
  <c r="G39" i="193"/>
  <c r="BK45" i="191"/>
  <c r="BK45" i="193"/>
  <c r="BK45" i="192"/>
  <c r="O13"/>
  <c r="O13" i="191"/>
  <c r="O13" i="193"/>
  <c r="AM21" i="192"/>
  <c r="AM21" i="191"/>
  <c r="AM21" i="193"/>
  <c r="W27"/>
  <c r="W27" i="192"/>
  <c r="W27" i="191"/>
  <c r="O34" i="193"/>
  <c r="O34" i="192"/>
  <c r="O34" i="191"/>
  <c r="BK8" i="192"/>
  <c r="BK8" i="191"/>
  <c r="BK8" i="193"/>
  <c r="AE21" i="191"/>
  <c r="AE21" i="193"/>
  <c r="AE21" i="192"/>
  <c r="CI32" i="193"/>
  <c r="CI32" i="192"/>
  <c r="CI32" i="191"/>
  <c r="AE9" i="192"/>
  <c r="AE9" i="191"/>
  <c r="AE9" i="193"/>
  <c r="BK13" i="192"/>
  <c r="BK13" i="191"/>
  <c r="BK13" i="193"/>
  <c r="CI21" i="192"/>
  <c r="CI21" i="191"/>
  <c r="CI21" i="193"/>
  <c r="BS27" i="192"/>
  <c r="BS27" i="191"/>
  <c r="BS27" i="193"/>
  <c r="W35" i="191"/>
  <c r="W35" i="193"/>
  <c r="W35" i="192"/>
  <c r="BS9" i="193"/>
  <c r="BS9" i="192"/>
  <c r="BS9" i="191"/>
  <c r="AE25" i="193"/>
  <c r="AE25" i="192"/>
  <c r="AE25" i="191"/>
  <c r="CI36" i="192"/>
  <c r="CI36" i="191"/>
  <c r="CI36" i="193"/>
  <c r="CI14" i="192"/>
  <c r="CI14" i="191"/>
  <c r="CI14" i="193"/>
  <c r="BS21" i="191"/>
  <c r="BS21" i="193"/>
  <c r="BS21" i="192"/>
  <c r="BC27"/>
  <c r="BC27" i="191"/>
  <c r="BC27" i="193"/>
  <c r="CA34" i="192"/>
  <c r="CA34" i="191"/>
  <c r="CA34" i="193"/>
  <c r="AM9" i="192"/>
  <c r="AM9" i="191"/>
  <c r="AM9" i="193"/>
  <c r="CI24" i="192"/>
  <c r="CI24" i="191"/>
  <c r="CI24" i="193"/>
  <c r="BC36" i="191"/>
  <c r="BC36" i="193"/>
  <c r="BC36" i="192"/>
  <c r="AM45"/>
  <c r="AM45" i="191"/>
  <c r="AM45" i="193"/>
  <c r="AU15" i="192"/>
  <c r="AU15" i="191"/>
  <c r="AU15" i="193"/>
  <c r="BS23" i="192"/>
  <c r="BS23" i="191"/>
  <c r="BS23" i="193"/>
  <c r="BC29" i="192"/>
  <c r="BC29" i="191"/>
  <c r="BC29" i="193"/>
  <c r="CA38" i="192"/>
  <c r="CA38" i="191"/>
  <c r="CA38" i="193"/>
  <c r="AM13" i="192"/>
  <c r="AM13" i="193"/>
  <c r="AM13" i="191"/>
  <c r="G26" i="192"/>
  <c r="G26" i="191"/>
  <c r="G26" i="193"/>
  <c r="BK37" i="192"/>
  <c r="BK37" i="191"/>
  <c r="BK37" i="193"/>
  <c r="AM40" i="192"/>
  <c r="AM40" i="191"/>
  <c r="AM40" i="193"/>
  <c r="BS28" i="192"/>
  <c r="BS28" i="191"/>
  <c r="BS28" i="193"/>
  <c r="O16" i="192"/>
  <c r="O16" i="191"/>
  <c r="O16" i="193"/>
  <c r="BC41" i="192"/>
  <c r="BC41" i="191"/>
  <c r="BC41" i="193"/>
  <c r="G45" i="192"/>
  <c r="G45" i="191"/>
  <c r="G45" i="193"/>
  <c r="W34" i="192"/>
  <c r="W34" i="191"/>
  <c r="W34" i="193"/>
  <c r="BC22" i="192"/>
  <c r="BC22" i="191"/>
  <c r="BC22" i="193"/>
  <c r="AE44" i="192"/>
  <c r="AE44" i="191"/>
  <c r="AE44" i="193"/>
  <c r="AU32" i="192"/>
  <c r="AU32" i="191"/>
  <c r="AU32" i="193"/>
  <c r="CA45" i="192"/>
  <c r="CA45" i="191"/>
  <c r="CA45" i="193"/>
  <c r="BK39" i="192"/>
  <c r="BK39" i="191"/>
  <c r="BK39" i="193"/>
  <c r="G28" i="192"/>
  <c r="G28" i="191"/>
  <c r="G28" i="193"/>
  <c r="AU12" i="192"/>
  <c r="AU12" i="191"/>
  <c r="AU12" i="193"/>
  <c r="CI37" i="192"/>
  <c r="CI37" i="191"/>
  <c r="CI37" i="193"/>
  <c r="W42" i="192"/>
  <c r="W42" i="191"/>
  <c r="W42" i="193"/>
  <c r="BC30" i="192"/>
  <c r="BC30" i="191"/>
  <c r="BC30" i="193"/>
  <c r="CI17" i="192"/>
  <c r="CI17" i="191"/>
  <c r="CI17" i="193"/>
  <c r="AM43" i="192"/>
  <c r="AM43" i="191"/>
  <c r="AM43" i="193"/>
  <c r="AU43" i="192"/>
  <c r="AU43" i="191"/>
  <c r="AU43" i="193"/>
  <c r="BS8" i="191"/>
  <c r="BS8" i="193"/>
  <c r="BS8" i="192"/>
  <c r="BS16"/>
  <c r="BS16" i="191"/>
  <c r="BS16" i="193"/>
  <c r="G25" i="192"/>
  <c r="G25" i="191"/>
  <c r="G25" i="193"/>
  <c r="CA30" i="192"/>
  <c r="CA30" i="191"/>
  <c r="CA30" i="193"/>
  <c r="AM41" i="191"/>
  <c r="AM41" i="193"/>
  <c r="AM41" i="192"/>
  <c r="CI15" i="191"/>
  <c r="CI15" i="192"/>
  <c r="CI15" i="193"/>
  <c r="AU31" i="192"/>
  <c r="AU31" i="191"/>
  <c r="AU31" i="193"/>
  <c r="CI45" i="192"/>
  <c r="CI45" i="191"/>
  <c r="CI45" i="193"/>
  <c r="CI12" i="192"/>
  <c r="CI12" i="191"/>
  <c r="CI12" i="193"/>
  <c r="W21" i="192"/>
  <c r="W21" i="191"/>
  <c r="W21" i="193"/>
  <c r="G27" i="192"/>
  <c r="G27" i="191"/>
  <c r="G27" i="193"/>
  <c r="BS33" i="192"/>
  <c r="BS33" i="191"/>
  <c r="BS33" i="193"/>
  <c r="AE8" i="192"/>
  <c r="AE8" i="191"/>
  <c r="AE8" i="193"/>
  <c r="CI20" i="192"/>
  <c r="CI20" i="193"/>
  <c r="CI20" i="191"/>
  <c r="BC32"/>
  <c r="BC32" i="192"/>
  <c r="BC32" i="193"/>
  <c r="B34" i="209"/>
  <c r="H56" i="19"/>
  <c r="B23" i="134"/>
  <c r="G51" i="133"/>
  <c r="P51" s="1"/>
  <c r="B22" i="158"/>
  <c r="I34" i="209"/>
  <c r="BZ56" i="19"/>
  <c r="I22" i="158"/>
  <c r="J34" i="209"/>
  <c r="J22" i="158"/>
  <c r="K34" i="209"/>
  <c r="K22" i="158"/>
  <c r="D34" i="209"/>
  <c r="D22" i="158"/>
  <c r="D41" i="236"/>
  <c r="D36"/>
  <c r="AE48" i="62"/>
  <c r="AE48" i="38"/>
  <c r="E34" i="201" s="1"/>
  <c r="BD45" i="37"/>
  <c r="AY45"/>
  <c r="AT45"/>
  <c r="AO45"/>
  <c r="AJ45"/>
  <c r="AE45"/>
  <c r="Z45"/>
  <c r="K45"/>
  <c r="P45"/>
  <c r="BS47" i="62"/>
  <c r="BS47" i="38"/>
  <c r="J33" i="201" s="1"/>
  <c r="BK47" i="62"/>
  <c r="BK47" i="38"/>
  <c r="I33" i="201" s="1"/>
  <c r="G44" i="38"/>
  <c r="G44" i="62"/>
  <c r="CA41" i="38"/>
  <c r="CA41" i="62"/>
  <c r="CI38" i="38"/>
  <c r="CI38" i="62"/>
  <c r="G36" i="38"/>
  <c r="G36" i="62"/>
  <c r="O33" i="38"/>
  <c r="O33" i="62"/>
  <c r="W30" i="38"/>
  <c r="W30" i="62"/>
  <c r="AE27" i="38"/>
  <c r="AE27" i="62"/>
  <c r="AM24" i="38"/>
  <c r="AM24" i="62"/>
  <c r="AU21" i="38"/>
  <c r="AU21" i="62"/>
  <c r="BC17"/>
  <c r="BC17" i="38"/>
  <c r="AO14" i="40" s="1"/>
  <c r="BK14" i="38"/>
  <c r="AP11" i="40" s="1"/>
  <c r="BK14" i="62"/>
  <c r="BS11" i="38"/>
  <c r="AQ8" i="40" s="1"/>
  <c r="BS11" i="62"/>
  <c r="CA8" i="38"/>
  <c r="AR5" i="40" s="1"/>
  <c r="CA8" i="62"/>
  <c r="G43"/>
  <c r="G43" i="38"/>
  <c r="O40" i="62"/>
  <c r="O40" i="38"/>
  <c r="W37" i="62"/>
  <c r="W37" i="38"/>
  <c r="AE34" i="62"/>
  <c r="AE34" i="38"/>
  <c r="O43" i="62"/>
  <c r="O43" i="38"/>
  <c r="CA43" i="62"/>
  <c r="CA43" i="38"/>
  <c r="AU41" i="62"/>
  <c r="AU41" i="38"/>
  <c r="BC38" i="62"/>
  <c r="BC38" i="38"/>
  <c r="BK35"/>
  <c r="BK35" i="62"/>
  <c r="BS32"/>
  <c r="BS32" i="38"/>
  <c r="CA29" i="62"/>
  <c r="CA29" i="38"/>
  <c r="CI26" i="62"/>
  <c r="CI26" i="38"/>
  <c r="G24" i="62"/>
  <c r="G24" i="38"/>
  <c r="O21" i="62"/>
  <c r="O21" i="38"/>
  <c r="W17" i="62"/>
  <c r="W17" i="38"/>
  <c r="AK14" i="40" s="1"/>
  <c r="AE14" i="62"/>
  <c r="AE14" i="38"/>
  <c r="AL11" i="40" s="1"/>
  <c r="AM11" i="38"/>
  <c r="AM8" i="40" s="1"/>
  <c r="AM11" i="62"/>
  <c r="AU8" i="38"/>
  <c r="AN5" i="40" s="1"/>
  <c r="AU8" i="62"/>
  <c r="BK42" i="38"/>
  <c r="BK42" i="62"/>
  <c r="BS39" i="38"/>
  <c r="BS39" i="62"/>
  <c r="CA36" i="38"/>
  <c r="CA36" i="62"/>
  <c r="CI33" i="38"/>
  <c r="CI33" i="62"/>
  <c r="BS42" i="38"/>
  <c r="BS42" i="62"/>
  <c r="O45"/>
  <c r="O45" i="38"/>
  <c r="BK9"/>
  <c r="AP6" i="40" s="1"/>
  <c r="BK9" i="62"/>
  <c r="W45"/>
  <c r="W45" i="38"/>
  <c r="AU9"/>
  <c r="AN6" i="40" s="1"/>
  <c r="AU9" i="62"/>
  <c r="AU45"/>
  <c r="AU45" i="38"/>
  <c r="O41" i="62"/>
  <c r="O41" i="38"/>
  <c r="W38" i="62"/>
  <c r="W38" i="38"/>
  <c r="AE35" i="62"/>
  <c r="AE35" i="38"/>
  <c r="AM32" i="62"/>
  <c r="AM32" i="38"/>
  <c r="AU29" i="62"/>
  <c r="AU29" i="38"/>
  <c r="BC26" i="62"/>
  <c r="BC26" i="38"/>
  <c r="BK23" i="62"/>
  <c r="BK23" i="38"/>
  <c r="BS20"/>
  <c r="BS20" i="62"/>
  <c r="CA16" i="38"/>
  <c r="AR13" i="40" s="1"/>
  <c r="CA16" i="62"/>
  <c r="CI13" i="38"/>
  <c r="AS10" i="40" s="1"/>
  <c r="CI13" i="62"/>
  <c r="G11"/>
  <c r="G11" i="38"/>
  <c r="AI8" i="40" s="1"/>
  <c r="O8" i="38"/>
  <c r="AJ5" i="40" s="1"/>
  <c r="O8" i="62"/>
  <c r="AE42" i="38"/>
  <c r="AE42" i="62"/>
  <c r="AM39"/>
  <c r="AM39" i="38"/>
  <c r="AU36" i="62"/>
  <c r="AU36" i="38"/>
  <c r="BC33"/>
  <c r="BC33" i="62"/>
  <c r="AM42"/>
  <c r="AM42" i="38"/>
  <c r="BK43"/>
  <c r="BK43" i="62"/>
  <c r="BS40" i="38"/>
  <c r="BS40" i="62"/>
  <c r="CA37"/>
  <c r="CA37" i="38"/>
  <c r="CI34"/>
  <c r="CI34" i="62"/>
  <c r="G32" i="38"/>
  <c r="G32" i="62"/>
  <c r="O29"/>
  <c r="O29" i="38"/>
  <c r="W26" i="62"/>
  <c r="W26" i="38"/>
  <c r="AE23" i="62"/>
  <c r="AE23" i="38"/>
  <c r="AM20" i="62"/>
  <c r="AM20" i="38"/>
  <c r="AU16"/>
  <c r="AN13" i="40" s="1"/>
  <c r="AU16" i="62"/>
  <c r="BC13"/>
  <c r="BC13" i="38"/>
  <c r="AO10" i="40" s="1"/>
  <c r="BK10" i="62"/>
  <c r="BK10" i="38"/>
  <c r="AP7" i="40" s="1"/>
  <c r="G8" i="38"/>
  <c r="AI5" i="40" s="1"/>
  <c r="G8" i="62"/>
  <c r="CI41"/>
  <c r="CI41" i="38"/>
  <c r="G39"/>
  <c r="G39" i="62"/>
  <c r="O36" i="38"/>
  <c r="O36" i="62"/>
  <c r="W33" i="38"/>
  <c r="W33" i="62"/>
  <c r="G42"/>
  <c r="G42" i="38"/>
  <c r="BK45"/>
  <c r="BK45" i="62"/>
  <c r="AM10"/>
  <c r="AM10" i="38"/>
  <c r="AM7" i="40" s="1"/>
  <c r="BC45" i="62"/>
  <c r="BC45" i="38"/>
  <c r="W10"/>
  <c r="AK7" i="40" s="1"/>
  <c r="W10" i="62"/>
  <c r="O13"/>
  <c r="O13" i="38"/>
  <c r="AJ10" i="40" s="1"/>
  <c r="BC14" i="62"/>
  <c r="BC14" i="38"/>
  <c r="AO11" i="40" s="1"/>
  <c r="G16" i="62"/>
  <c r="G16" i="38"/>
  <c r="AI13" i="40" s="1"/>
  <c r="AU17" i="62"/>
  <c r="AU17" i="38"/>
  <c r="AN14" i="40" s="1"/>
  <c r="BD16" i="37"/>
  <c r="AM21" i="62"/>
  <c r="AM21" i="38"/>
  <c r="CA22"/>
  <c r="CA22" i="62"/>
  <c r="AE24"/>
  <c r="AE24" i="38"/>
  <c r="BS25" i="62"/>
  <c r="BS25" i="38"/>
  <c r="W27" i="62"/>
  <c r="W27" i="38"/>
  <c r="BK28"/>
  <c r="BK28" i="62"/>
  <c r="O30"/>
  <c r="O30" i="38"/>
  <c r="BC31" i="62"/>
  <c r="BC31" i="38"/>
  <c r="O34"/>
  <c r="O34" i="62"/>
  <c r="G37" i="38"/>
  <c r="G37" i="62"/>
  <c r="CI39"/>
  <c r="CI39" i="38"/>
  <c r="CA42"/>
  <c r="CA42" i="62"/>
  <c r="BK8"/>
  <c r="BK8" i="38"/>
  <c r="AP5" i="40" s="1"/>
  <c r="BC11" i="62"/>
  <c r="BC11" i="38"/>
  <c r="AO8" i="40" s="1"/>
  <c r="AU14" i="62"/>
  <c r="AU14" i="38"/>
  <c r="AN11" i="40" s="1"/>
  <c r="AM17" i="62"/>
  <c r="AM17" i="38"/>
  <c r="AM14" i="40" s="1"/>
  <c r="AE21" i="38"/>
  <c r="AE21" i="62"/>
  <c r="W24"/>
  <c r="W24" i="38"/>
  <c r="O27"/>
  <c r="O27" i="62"/>
  <c r="G30"/>
  <c r="G30" i="38"/>
  <c r="CI32" i="62"/>
  <c r="CI32" i="38"/>
  <c r="CA35"/>
  <c r="CA35" i="62"/>
  <c r="BS38"/>
  <c r="BS38" i="38"/>
  <c r="W44" i="62"/>
  <c r="W44" i="38"/>
  <c r="AE9" i="62"/>
  <c r="AE9" i="38"/>
  <c r="AL6" i="40" s="1"/>
  <c r="W12" i="62"/>
  <c r="W12" i="38"/>
  <c r="AK9" i="40" s="1"/>
  <c r="O9" i="62"/>
  <c r="O9" i="38"/>
  <c r="AJ6" i="40" s="1"/>
  <c r="G12" i="38"/>
  <c r="AI9" i="40" s="1"/>
  <c r="G12" i="62"/>
  <c r="BK13"/>
  <c r="BK13" i="38"/>
  <c r="AP10" i="40" s="1"/>
  <c r="O15" i="38"/>
  <c r="AJ12" i="40" s="1"/>
  <c r="O15" i="62"/>
  <c r="BC16"/>
  <c r="BC16" i="38"/>
  <c r="AO13" i="40" s="1"/>
  <c r="F16" i="37"/>
  <c r="AU20" i="62"/>
  <c r="AU20" i="38"/>
  <c r="CI21" i="62"/>
  <c r="CI21" i="38"/>
  <c r="AM23" i="62"/>
  <c r="AM23" i="38"/>
  <c r="CA24"/>
  <c r="CA24" i="62"/>
  <c r="AE26"/>
  <c r="AE26" i="38"/>
  <c r="BS27"/>
  <c r="BS27" i="62"/>
  <c r="W29"/>
  <c r="W29" i="38"/>
  <c r="BK30" i="62"/>
  <c r="BK30" i="38"/>
  <c r="AE32" i="62"/>
  <c r="AE32" i="38"/>
  <c r="W35"/>
  <c r="W35" i="62"/>
  <c r="O38"/>
  <c r="O38" i="38"/>
  <c r="G41" i="62"/>
  <c r="G41" i="38"/>
  <c r="CI43" i="62"/>
  <c r="CI43" i="38"/>
  <c r="BS9" i="62"/>
  <c r="BS9" i="38"/>
  <c r="AQ6" i="40" s="1"/>
  <c r="BK12" i="62"/>
  <c r="BK12" i="38"/>
  <c r="AP9" i="40" s="1"/>
  <c r="BC15" i="62"/>
  <c r="BC15" i="38"/>
  <c r="AO12" i="40" s="1"/>
  <c r="AE16" i="37"/>
  <c r="AM22" i="62"/>
  <c r="AM22" i="38"/>
  <c r="AE25"/>
  <c r="AE25" i="62"/>
  <c r="W28" i="38"/>
  <c r="W28" i="62"/>
  <c r="O31" i="38"/>
  <c r="O31" i="62"/>
  <c r="G34" i="38"/>
  <c r="G34" i="62"/>
  <c r="CI36" i="38"/>
  <c r="CI36" i="62"/>
  <c r="CA39" i="38"/>
  <c r="CA39" i="62"/>
  <c r="BK11"/>
  <c r="BK11" i="38"/>
  <c r="AP8" i="40" s="1"/>
  <c r="AU13" i="38"/>
  <c r="AN10" i="40" s="1"/>
  <c r="AU13" i="62"/>
  <c r="CI14"/>
  <c r="CI14" i="38"/>
  <c r="AS11" i="40" s="1"/>
  <c r="AM16" i="62"/>
  <c r="AM16" i="38"/>
  <c r="AM13" i="40" s="1"/>
  <c r="CA17" i="38"/>
  <c r="AR14" i="40" s="1"/>
  <c r="CA17" i="62"/>
  <c r="AE20"/>
  <c r="AE20" i="38"/>
  <c r="BS21"/>
  <c r="BS21" i="62"/>
  <c r="W23" i="38"/>
  <c r="W23" i="62"/>
  <c r="BK24"/>
  <c r="BK24" i="38"/>
  <c r="O26"/>
  <c r="O26" i="62"/>
  <c r="BC27" i="38"/>
  <c r="BC27" i="62"/>
  <c r="G29" i="38"/>
  <c r="G29" i="62"/>
  <c r="AU30" i="38"/>
  <c r="AU30" i="62"/>
  <c r="CI31" i="38"/>
  <c r="CI31" i="62"/>
  <c r="CA34" i="38"/>
  <c r="CA34" i="62"/>
  <c r="BS37" i="38"/>
  <c r="BS37" i="62"/>
  <c r="BK40" i="38"/>
  <c r="BK40" i="62"/>
  <c r="BC43" i="38"/>
  <c r="BC43" i="62"/>
  <c r="AM9"/>
  <c r="AM9" i="38"/>
  <c r="AM6" i="40" s="1"/>
  <c r="AE12" i="62"/>
  <c r="AE12" i="38"/>
  <c r="AL9" i="40" s="1"/>
  <c r="W15" i="38"/>
  <c r="AK12" i="40" s="1"/>
  <c r="W15" i="62"/>
  <c r="K16" i="37"/>
  <c r="G22" i="38"/>
  <c r="G22" i="62"/>
  <c r="CI24" i="38"/>
  <c r="CI24" i="62"/>
  <c r="CA27"/>
  <c r="CA27" i="38"/>
  <c r="BS30" i="62"/>
  <c r="BS30" i="38"/>
  <c r="BK33" i="62"/>
  <c r="BK33" i="38"/>
  <c r="BC36" i="62"/>
  <c r="BC36" i="38"/>
  <c r="AU39" i="62"/>
  <c r="AU39" i="38"/>
  <c r="AE45" i="62"/>
  <c r="AE45" i="38"/>
  <c r="G10" i="62"/>
  <c r="G10" i="38"/>
  <c r="AI7" i="40" s="1"/>
  <c r="AM45" i="62"/>
  <c r="AM45" i="38"/>
  <c r="CA9"/>
  <c r="AR6" i="40" s="1"/>
  <c r="CA9" i="62"/>
  <c r="BC12"/>
  <c r="BC12" i="38"/>
  <c r="AO9" i="40" s="1"/>
  <c r="G14" i="62"/>
  <c r="G14" i="38"/>
  <c r="AI11" i="40" s="1"/>
  <c r="AU15" i="62"/>
  <c r="AU15" i="38"/>
  <c r="AN12" i="40" s="1"/>
  <c r="CI16" i="38"/>
  <c r="AS13" i="40" s="1"/>
  <c r="CI16" i="62"/>
  <c r="Z16" i="37"/>
  <c r="CA20" i="38"/>
  <c r="CA20" i="62"/>
  <c r="AE22"/>
  <c r="AE22" i="38"/>
  <c r="BS23" i="62"/>
  <c r="BS23" i="38"/>
  <c r="W25"/>
  <c r="W25" i="62"/>
  <c r="BK26"/>
  <c r="BK26" i="38"/>
  <c r="O28"/>
  <c r="O28" i="62"/>
  <c r="BC29"/>
  <c r="BC29" i="38"/>
  <c r="G31"/>
  <c r="G31" i="62"/>
  <c r="G33"/>
  <c r="G33" i="38"/>
  <c r="CI35" i="62"/>
  <c r="CI35" i="38"/>
  <c r="CA38"/>
  <c r="CA38" i="62"/>
  <c r="BS41"/>
  <c r="BS41" i="38"/>
  <c r="CA44" i="62"/>
  <c r="CA44" i="38"/>
  <c r="AU10" i="62"/>
  <c r="AU10" i="38"/>
  <c r="AN7" i="40" s="1"/>
  <c r="AM13" i="62"/>
  <c r="AM13" i="38"/>
  <c r="AM10" i="40" s="1"/>
  <c r="AE16" i="62"/>
  <c r="AE16" i="38"/>
  <c r="AL13" i="40" s="1"/>
  <c r="W20" i="62"/>
  <c r="W20" i="38"/>
  <c r="O23" i="62"/>
  <c r="O23" i="38"/>
  <c r="G26" i="62"/>
  <c r="G26" i="38"/>
  <c r="CI28" i="62"/>
  <c r="CI28" i="38"/>
  <c r="CA31"/>
  <c r="CA31" i="62"/>
  <c r="BS34" i="38"/>
  <c r="BS34" i="62"/>
  <c r="BK37" i="38"/>
  <c r="BK37" i="62"/>
  <c r="BC40"/>
  <c r="BC40" i="38"/>
  <c r="BS44" i="62"/>
  <c r="BS44" i="38"/>
  <c r="AE43"/>
  <c r="AE43" i="62"/>
  <c r="AM40" i="38"/>
  <c r="AM40" i="62"/>
  <c r="AU37" i="38"/>
  <c r="AU37" i="62"/>
  <c r="BC34" i="38"/>
  <c r="BC34" i="62"/>
  <c r="BK31" i="38"/>
  <c r="BK31" i="62"/>
  <c r="BS28" i="38"/>
  <c r="BS28" i="62"/>
  <c r="CA25" i="38"/>
  <c r="CA25" i="62"/>
  <c r="CI22"/>
  <c r="CI22" i="38"/>
  <c r="G20" i="62"/>
  <c r="G20" i="38"/>
  <c r="O16"/>
  <c r="AJ13" i="40" s="1"/>
  <c r="O16" i="62"/>
  <c r="W13"/>
  <c r="W13" i="38"/>
  <c r="AK10" i="40" s="1"/>
  <c r="AE10" i="38"/>
  <c r="AL7" i="40" s="1"/>
  <c r="AE10" i="62"/>
  <c r="BK44" i="38"/>
  <c r="BK44" i="62"/>
  <c r="BC41"/>
  <c r="BC41" i="38"/>
  <c r="BK38" i="62"/>
  <c r="BK38" i="38"/>
  <c r="BS35" i="62"/>
  <c r="BS35" i="38"/>
  <c r="CA32" i="62"/>
  <c r="CA32" i="38"/>
  <c r="G45" i="62"/>
  <c r="G45" i="38"/>
  <c r="CI42" i="62"/>
  <c r="CI42" i="38"/>
  <c r="G40"/>
  <c r="G40" i="62"/>
  <c r="O37" i="38"/>
  <c r="O37" i="62"/>
  <c r="W34"/>
  <c r="W34" i="38"/>
  <c r="AE31" i="62"/>
  <c r="AE31" i="38"/>
  <c r="AM28"/>
  <c r="AM28" i="62"/>
  <c r="AU25"/>
  <c r="AU25" i="38"/>
  <c r="BC22" i="62"/>
  <c r="BC22" i="38"/>
  <c r="AO16" i="37"/>
  <c r="BS15" i="62"/>
  <c r="BS15" i="38"/>
  <c r="AQ12" i="40" s="1"/>
  <c r="CA12" i="62"/>
  <c r="CA12" i="38"/>
  <c r="AR9" i="40" s="1"/>
  <c r="CI9" i="62"/>
  <c r="CI9" i="38"/>
  <c r="AS6" i="40" s="1"/>
  <c r="AE44" i="62"/>
  <c r="AE44" i="38"/>
  <c r="W41" i="62"/>
  <c r="W41" i="38"/>
  <c r="AE38" i="62"/>
  <c r="AE38" i="38"/>
  <c r="AM35" i="62"/>
  <c r="AM35" i="38"/>
  <c r="AU32" i="62"/>
  <c r="AU32" i="38"/>
  <c r="BK41"/>
  <c r="BK41" i="62"/>
  <c r="W8"/>
  <c r="W8" i="38"/>
  <c r="AK5" i="40" s="1"/>
  <c r="O11" i="62"/>
  <c r="O11" i="38"/>
  <c r="AJ8" i="40" s="1"/>
  <c r="CA45" i="62"/>
  <c r="CA45" i="38"/>
  <c r="CI10" i="62"/>
  <c r="CI10" i="38"/>
  <c r="AS7" i="40" s="1"/>
  <c r="BC44" i="62"/>
  <c r="BC44" i="38"/>
  <c r="BC42" i="62"/>
  <c r="BC42" i="38"/>
  <c r="BK39" i="62"/>
  <c r="BK39" i="38"/>
  <c r="BS36" i="62"/>
  <c r="BS36" i="38"/>
  <c r="CA33" i="62"/>
  <c r="CA33" i="38"/>
  <c r="CI30" i="62"/>
  <c r="CI30" i="38"/>
  <c r="G28" i="62"/>
  <c r="G28" i="38"/>
  <c r="O25" i="62"/>
  <c r="O25" i="38"/>
  <c r="W22" i="62"/>
  <c r="W22" i="38"/>
  <c r="U16" i="37"/>
  <c r="AM15" i="38"/>
  <c r="AM12" i="40" s="1"/>
  <c r="AM15" i="62"/>
  <c r="AU12"/>
  <c r="AU12" i="38"/>
  <c r="AN9" i="40" s="1"/>
  <c r="BC9" i="38"/>
  <c r="AO6" i="40" s="1"/>
  <c r="BC9" i="62"/>
  <c r="BS43"/>
  <c r="BS43" i="38"/>
  <c r="CA40" i="62"/>
  <c r="CA40" i="38"/>
  <c r="CI37" i="62"/>
  <c r="CI37" i="38"/>
  <c r="G35" i="62"/>
  <c r="G35" i="38"/>
  <c r="O32"/>
  <c r="O32" i="62"/>
  <c r="AM44"/>
  <c r="AM44" i="38"/>
  <c r="W42" i="62"/>
  <c r="W42" i="38"/>
  <c r="AE39" i="62"/>
  <c r="AE39" i="38"/>
  <c r="AM36" i="62"/>
  <c r="AM36" i="38"/>
  <c r="AU33" i="62"/>
  <c r="AU33" i="38"/>
  <c r="BC30" i="62"/>
  <c r="BC30" i="38"/>
  <c r="BK27"/>
  <c r="BK27" i="62"/>
  <c r="BS24"/>
  <c r="BS24" i="38"/>
  <c r="CA21" i="62"/>
  <c r="CA21" i="38"/>
  <c r="CI17" i="62"/>
  <c r="CI17" i="38"/>
  <c r="AS14" i="40" s="1"/>
  <c r="G15" i="62"/>
  <c r="G15" i="38"/>
  <c r="AI12" i="40" s="1"/>
  <c r="O12" i="38"/>
  <c r="AJ9" i="40" s="1"/>
  <c r="O12" i="62"/>
  <c r="W9"/>
  <c r="W9" i="38"/>
  <c r="AK6" i="40" s="1"/>
  <c r="AM43" i="38"/>
  <c r="AM43" i="62"/>
  <c r="AU40" i="38"/>
  <c r="AU40" i="62"/>
  <c r="BC37" i="38"/>
  <c r="BC37" i="62"/>
  <c r="BK34" i="38"/>
  <c r="BK34" i="62"/>
  <c r="AU43" i="38"/>
  <c r="AU43" i="62"/>
  <c r="AE41" i="38"/>
  <c r="AE41" i="62"/>
  <c r="CI8"/>
  <c r="CI8" i="38"/>
  <c r="AS5" i="40" s="1"/>
  <c r="CA11" i="62"/>
  <c r="CA11" i="38"/>
  <c r="AR8" i="40" s="1"/>
  <c r="BS8" i="38"/>
  <c r="AQ5" i="40" s="1"/>
  <c r="BS8" i="62"/>
  <c r="AM12"/>
  <c r="AM12" i="38"/>
  <c r="AM9" i="40" s="1"/>
  <c r="CA13" i="38"/>
  <c r="AR10" i="40" s="1"/>
  <c r="CA13" i="62"/>
  <c r="AE15"/>
  <c r="AE15" i="38"/>
  <c r="AL12" i="40" s="1"/>
  <c r="BS16" i="62"/>
  <c r="BS16" i="38"/>
  <c r="AQ13" i="40" s="1"/>
  <c r="P16" i="37"/>
  <c r="BK20" i="62"/>
  <c r="BK20" i="38"/>
  <c r="O22" i="62"/>
  <c r="O22" i="38"/>
  <c r="BC23"/>
  <c r="BC23" i="62"/>
  <c r="G25"/>
  <c r="G25" i="38"/>
  <c r="AU26" i="62"/>
  <c r="AU26" i="38"/>
  <c r="CI27" i="62"/>
  <c r="CI27" i="38"/>
  <c r="AM29" i="62"/>
  <c r="AM29" i="38"/>
  <c r="CA30"/>
  <c r="CA30" i="62"/>
  <c r="BK32" i="38"/>
  <c r="BK32" i="62"/>
  <c r="BC35"/>
  <c r="BC35" i="38"/>
  <c r="AU38" i="62"/>
  <c r="AU38" i="38"/>
  <c r="AM41"/>
  <c r="AM41" i="62"/>
  <c r="AU44"/>
  <c r="AU44" i="38"/>
  <c r="O10" i="62"/>
  <c r="O10" i="38"/>
  <c r="AJ7" i="40" s="1"/>
  <c r="G13" i="38"/>
  <c r="AI10" i="40" s="1"/>
  <c r="G13" i="62"/>
  <c r="CI15" i="38"/>
  <c r="AS12" i="40" s="1"/>
  <c r="CI15" i="62"/>
  <c r="AY16" i="37"/>
  <c r="BS22" i="62"/>
  <c r="BS22" i="38"/>
  <c r="BK25"/>
  <c r="BK25" i="62"/>
  <c r="BC28"/>
  <c r="BC28" i="38"/>
  <c r="AU31" i="62"/>
  <c r="AU31" i="38"/>
  <c r="AM34" i="62"/>
  <c r="AM34" i="38"/>
  <c r="AE37"/>
  <c r="AE37" i="62"/>
  <c r="W40" i="38"/>
  <c r="W40" i="62"/>
  <c r="CI45"/>
  <c r="CI45" i="38"/>
  <c r="BS10" i="62"/>
  <c r="BS10" i="38"/>
  <c r="AQ7" i="40" s="1"/>
  <c r="BS45" i="38"/>
  <c r="BS45" i="62"/>
  <c r="BC10"/>
  <c r="BC10" i="38"/>
  <c r="AO7" i="40" s="1"/>
  <c r="CI12" i="62"/>
  <c r="CI12" i="38"/>
  <c r="AS9" i="40" s="1"/>
  <c r="AM14" i="62"/>
  <c r="AM14" i="38"/>
  <c r="AM11" i="40" s="1"/>
  <c r="CA15" i="62"/>
  <c r="CA15" i="38"/>
  <c r="AR12" i="40" s="1"/>
  <c r="AE17" i="38"/>
  <c r="AL14" i="40" s="1"/>
  <c r="AE17" i="62"/>
  <c r="AT16" i="37"/>
  <c r="W21" i="62"/>
  <c r="W21" i="38"/>
  <c r="BK22"/>
  <c r="BK22" i="62"/>
  <c r="O24"/>
  <c r="O24" i="38"/>
  <c r="BC25"/>
  <c r="BC25" i="62"/>
  <c r="G27"/>
  <c r="G27" i="38"/>
  <c r="AU28" i="62"/>
  <c r="AU28" i="38"/>
  <c r="CI29" i="62"/>
  <c r="CI29" i="38"/>
  <c r="AM31" i="62"/>
  <c r="AM31" i="38"/>
  <c r="BS33" i="62"/>
  <c r="BS33" i="38"/>
  <c r="BK36"/>
  <c r="BK36" i="62"/>
  <c r="BC39"/>
  <c r="BC39" i="38"/>
  <c r="AU42" i="62"/>
  <c r="AU42" i="38"/>
  <c r="AE8" i="62"/>
  <c r="AE8" i="38"/>
  <c r="AL5" i="40" s="1"/>
  <c r="W11" i="62"/>
  <c r="W11" i="38"/>
  <c r="AK8" i="40" s="1"/>
  <c r="O14" i="62"/>
  <c r="O14" i="38"/>
  <c r="AJ11" i="40" s="1"/>
  <c r="G17" i="62"/>
  <c r="G17" i="38"/>
  <c r="AI14" i="40" s="1"/>
  <c r="CI20" i="62"/>
  <c r="CI20" i="38"/>
  <c r="CA23"/>
  <c r="CA23" i="62"/>
  <c r="BS26"/>
  <c r="BS26" i="38"/>
  <c r="BK29"/>
  <c r="BK29" i="62"/>
  <c r="BC32" i="38"/>
  <c r="BC32" i="62"/>
  <c r="AU35" i="38"/>
  <c r="AU35" i="62"/>
  <c r="AM38" i="38"/>
  <c r="AM38" i="62"/>
  <c r="AY43" i="37"/>
  <c r="AT9"/>
  <c r="AO12"/>
  <c r="AE19"/>
  <c r="Z22"/>
  <c r="U25"/>
  <c r="P28"/>
  <c r="U33"/>
  <c r="K39"/>
  <c r="AY7"/>
  <c r="AO13"/>
  <c r="AE20"/>
  <c r="U26"/>
  <c r="K32"/>
  <c r="BD37"/>
  <c r="AE8"/>
  <c r="U8"/>
  <c r="AT11"/>
  <c r="AO14"/>
  <c r="AJ18"/>
  <c r="AE21"/>
  <c r="Z24"/>
  <c r="U27"/>
  <c r="AE31"/>
  <c r="U37"/>
  <c r="F6"/>
  <c r="AY11"/>
  <c r="AO18"/>
  <c r="AE24"/>
  <c r="U30"/>
  <c r="K36"/>
  <c r="F43"/>
  <c r="P43"/>
  <c r="Z43"/>
  <c r="AJ43"/>
  <c r="AT43"/>
  <c r="BD43"/>
  <c r="P11"/>
  <c r="K14"/>
  <c r="F18"/>
  <c r="BD20"/>
  <c r="AY23"/>
  <c r="AT26"/>
  <c r="Z30"/>
  <c r="P36"/>
  <c r="K41"/>
  <c r="AT10"/>
  <c r="AJ17"/>
  <c r="Z23"/>
  <c r="P29"/>
  <c r="F35"/>
  <c r="AJ5"/>
  <c r="Z5"/>
  <c r="U10"/>
  <c r="P13"/>
  <c r="K17"/>
  <c r="F20"/>
  <c r="BD22"/>
  <c r="AY25"/>
  <c r="AT28"/>
  <c r="Z34"/>
  <c r="P40"/>
  <c r="BD8"/>
  <c r="AT14"/>
  <c r="AJ21"/>
  <c r="Z27"/>
  <c r="P33"/>
  <c r="BD41"/>
  <c r="K43"/>
  <c r="U43"/>
  <c r="AE46" i="38" s="1"/>
  <c r="E32" i="201" s="1"/>
  <c r="AE43" i="37"/>
  <c r="AO43"/>
  <c r="J48" i="19"/>
  <c r="J50" s="1"/>
  <c r="H50"/>
  <c r="BR48"/>
  <c r="BR50" s="1"/>
  <c r="BP50"/>
  <c r="CB48"/>
  <c r="CB50" s="1"/>
  <c r="BZ50"/>
  <c r="DF48"/>
  <c r="DF50" s="1"/>
  <c r="DD50"/>
  <c r="CL48"/>
  <c r="CL50" s="1"/>
  <c r="CJ50"/>
  <c r="BH48"/>
  <c r="BH50" s="1"/>
  <c r="BF50"/>
  <c r="CV48"/>
  <c r="CV50" s="1"/>
  <c r="CT50"/>
  <c r="T48"/>
  <c r="T50" s="1"/>
  <c r="R50"/>
  <c r="AD48"/>
  <c r="AD50" s="1"/>
  <c r="AB50"/>
  <c r="AN48"/>
  <c r="AN50" s="1"/>
  <c r="AL50"/>
  <c r="CT47"/>
  <c r="K33" i="209" s="1"/>
  <c r="AV47" i="58"/>
  <c r="BZ47"/>
  <c r="DD47"/>
  <c r="L33" i="207" s="1"/>
  <c r="AB47" i="58"/>
  <c r="CT47"/>
  <c r="BP47" i="19"/>
  <c r="H33" i="209" s="1"/>
  <c r="CA47" i="38"/>
  <c r="K33" i="201" s="1"/>
  <c r="CA47" i="62"/>
  <c r="G47"/>
  <c r="G47" i="38"/>
  <c r="BC47"/>
  <c r="H33" i="201" s="1"/>
  <c r="BC47" i="62"/>
  <c r="CJ47" i="58"/>
  <c r="R47"/>
  <c r="BF47"/>
  <c r="G33" i="207" s="1"/>
  <c r="AL47" i="58"/>
  <c r="BP47"/>
  <c r="AM47" i="62"/>
  <c r="AM47" i="38"/>
  <c r="F33" i="201" s="1"/>
  <c r="AU47" i="38"/>
  <c r="G33" i="201" s="1"/>
  <c r="AU47" i="62"/>
  <c r="W47"/>
  <c r="W47" i="38"/>
  <c r="D33" i="201" s="1"/>
  <c r="CI47" i="62"/>
  <c r="CI47" i="38"/>
  <c r="L33" i="201" s="1"/>
  <c r="AE47" i="38"/>
  <c r="E33" i="201" s="1"/>
  <c r="AE47" i="62"/>
  <c r="O47"/>
  <c r="O47" i="38"/>
  <c r="C33" i="201" s="1"/>
  <c r="BR47" i="19"/>
  <c r="CV47"/>
  <c r="BK46" i="62"/>
  <c r="BK46" i="38"/>
  <c r="I32" i="201" s="1"/>
  <c r="BB47" i="19"/>
  <c r="BV47"/>
  <c r="CF47"/>
  <c r="AR47"/>
  <c r="N47"/>
  <c r="CZ47"/>
  <c r="O46" i="62"/>
  <c r="O46" i="38"/>
  <c r="C32" i="201" s="1"/>
  <c r="AN47" i="19"/>
  <c r="DF47" i="58"/>
  <c r="AE46" i="62"/>
  <c r="X47" i="19"/>
  <c r="T47" i="58" l="1"/>
  <c r="C33" i="207"/>
  <c r="B33" i="201"/>
  <c r="F57" i="121"/>
  <c r="CB47" i="58"/>
  <c r="I33" i="207"/>
  <c r="AU46" i="192"/>
  <c r="AU46" i="193"/>
  <c r="AU46" i="191"/>
  <c r="CI11" i="192"/>
  <c r="CI11" i="191"/>
  <c r="CI11" i="193"/>
  <c r="W16" i="192"/>
  <c r="W16" i="191"/>
  <c r="W16" i="193"/>
  <c r="BS13" i="192"/>
  <c r="BS13" i="191"/>
  <c r="BS13" i="193"/>
  <c r="O17" i="192"/>
  <c r="O17" i="193"/>
  <c r="O17" i="191"/>
  <c r="O39" i="192"/>
  <c r="O39" i="191"/>
  <c r="O39" i="193"/>
  <c r="AE30" i="192"/>
  <c r="AE30" i="191"/>
  <c r="AE30" i="193"/>
  <c r="CI40" i="191"/>
  <c r="CI40" i="192"/>
  <c r="CI40" i="193"/>
  <c r="W31" i="192"/>
  <c r="W31" i="191"/>
  <c r="W31" i="193"/>
  <c r="AM35" i="40"/>
  <c r="F24" i="201"/>
  <c r="AS42" i="40"/>
  <c r="L31" i="201"/>
  <c r="AN28" i="40"/>
  <c r="G17" i="201"/>
  <c r="AR18" i="40"/>
  <c r="K7" i="201"/>
  <c r="AN30" i="40"/>
  <c r="G19" i="201"/>
  <c r="AM41" i="40"/>
  <c r="F30" i="201"/>
  <c r="AR37" i="40"/>
  <c r="K26" i="201"/>
  <c r="AO19" i="40"/>
  <c r="H8" i="201"/>
  <c r="AK31" i="40"/>
  <c r="D20" i="201"/>
  <c r="AI42" i="40"/>
  <c r="B31" i="201"/>
  <c r="F55" i="121"/>
  <c r="AO38" i="40"/>
  <c r="H27" i="201"/>
  <c r="AI23" i="40"/>
  <c r="B12" i="201"/>
  <c r="F36" i="121"/>
  <c r="AO26" i="40"/>
  <c r="H15" i="201"/>
  <c r="AQ20" i="40"/>
  <c r="J9" i="201"/>
  <c r="AI19" i="40"/>
  <c r="B8" i="201"/>
  <c r="F32" i="121"/>
  <c r="AL17" i="40"/>
  <c r="E6" i="201"/>
  <c r="AM19" i="40"/>
  <c r="F8" i="201"/>
  <c r="AK32" i="40"/>
  <c r="D21" i="201"/>
  <c r="AQ24" i="40"/>
  <c r="J13" i="201"/>
  <c r="AQ35" i="40"/>
  <c r="J24" i="201"/>
  <c r="AJ27" i="40"/>
  <c r="C16" i="201"/>
  <c r="AL21" i="40"/>
  <c r="E10" i="201"/>
  <c r="AQ37" i="40"/>
  <c r="J26" i="201"/>
  <c r="AL39" i="40"/>
  <c r="E28" i="201"/>
  <c r="AQ39" i="40"/>
  <c r="J28" i="201"/>
  <c r="AP32" i="40"/>
  <c r="I21" i="201"/>
  <c r="AK27" i="40"/>
  <c r="D16" i="201"/>
  <c r="AR38" i="40"/>
  <c r="K27" i="201"/>
  <c r="AO52" i="37"/>
  <c r="BK48" i="191"/>
  <c r="BK48" i="193"/>
  <c r="BK48" i="192"/>
  <c r="I24" i="182"/>
  <c r="K46" i="209"/>
  <c r="K41"/>
  <c r="K36"/>
  <c r="CI44" i="192"/>
  <c r="CI44" i="191"/>
  <c r="CI44" i="193"/>
  <c r="BS31" i="192"/>
  <c r="BS31" i="191"/>
  <c r="BS31" i="193"/>
  <c r="O20" i="192"/>
  <c r="O20" i="191"/>
  <c r="O20" i="193"/>
  <c r="BC20" i="191"/>
  <c r="BC20" i="192"/>
  <c r="BC20" i="193"/>
  <c r="G21" i="192"/>
  <c r="G21" i="191"/>
  <c r="G21" i="193"/>
  <c r="G46" i="192"/>
  <c r="G46" i="193"/>
  <c r="G46" i="191"/>
  <c r="AU34" i="192"/>
  <c r="AU34" i="191"/>
  <c r="AU34" i="193"/>
  <c r="AU11" i="192"/>
  <c r="AU11" i="191"/>
  <c r="AU11" i="193"/>
  <c r="AE36" i="191"/>
  <c r="AE36" i="193"/>
  <c r="AE36" i="192"/>
  <c r="AQ23" i="40"/>
  <c r="J12" i="201"/>
  <c r="AQ30" i="40"/>
  <c r="J19" i="201"/>
  <c r="AJ21" i="40"/>
  <c r="C10" i="201"/>
  <c r="AK37" i="40"/>
  <c r="D26" i="201"/>
  <c r="AN35" i="40"/>
  <c r="G24" i="201"/>
  <c r="AN23" i="40"/>
  <c r="G12" i="201"/>
  <c r="AP17" i="40"/>
  <c r="I6" i="201"/>
  <c r="AN40" i="40"/>
  <c r="G29" i="201"/>
  <c r="AM40" i="40"/>
  <c r="F29" i="201"/>
  <c r="AI25" i="40"/>
  <c r="B14" i="201"/>
  <c r="F38" i="121"/>
  <c r="AO41" i="40"/>
  <c r="H30" i="201"/>
  <c r="AL35" i="40"/>
  <c r="E24" i="201"/>
  <c r="E44" s="1"/>
  <c r="AL41" i="40"/>
  <c r="E30" i="201"/>
  <c r="AJ34" i="40"/>
  <c r="C23" i="201"/>
  <c r="AR22" i="40"/>
  <c r="K11" i="201"/>
  <c r="AN34" i="40"/>
  <c r="G23" i="201"/>
  <c r="AJ25" i="40"/>
  <c r="C14" i="201"/>
  <c r="AN36" i="40"/>
  <c r="G25" i="201"/>
  <c r="AR24" i="40"/>
  <c r="K13" i="201"/>
  <c r="AP37" i="40"/>
  <c r="I26" i="201"/>
  <c r="AO24" i="40"/>
  <c r="H13" i="201"/>
  <c r="AJ28" i="40"/>
  <c r="C17" i="201"/>
  <c r="AI38" i="40"/>
  <c r="B27" i="201"/>
  <c r="F51" i="121"/>
  <c r="AP27" i="40"/>
  <c r="I16" i="201"/>
  <c r="AS18" i="40"/>
  <c r="L7" i="201"/>
  <c r="AR39" i="40"/>
  <c r="K28" i="201"/>
  <c r="AL20" i="40"/>
  <c r="E9" i="201"/>
  <c r="AM39" i="40"/>
  <c r="F28" i="201"/>
  <c r="AP20" i="40"/>
  <c r="I9" i="201"/>
  <c r="AL32" i="40"/>
  <c r="E21" i="201"/>
  <c r="AI21" i="40"/>
  <c r="B10" i="201"/>
  <c r="F34" i="121"/>
  <c r="AJ40" i="40"/>
  <c r="C29" i="201"/>
  <c r="AI40" i="40"/>
  <c r="B29" i="201"/>
  <c r="F53" i="121"/>
  <c r="CI48" i="192"/>
  <c r="BD52" i="37"/>
  <c r="CI48" i="191"/>
  <c r="CI48" i="193"/>
  <c r="L24" i="182"/>
  <c r="H46" i="209"/>
  <c r="H41"/>
  <c r="H36"/>
  <c r="AN47" i="58"/>
  <c r="E33" i="207"/>
  <c r="AD47" i="58"/>
  <c r="D33" i="207"/>
  <c r="O46" i="191"/>
  <c r="O46" i="192"/>
  <c r="O46" i="193"/>
  <c r="BC24"/>
  <c r="BC24" i="192"/>
  <c r="BC24" i="191"/>
  <c r="AM37" i="192"/>
  <c r="AM37" i="191"/>
  <c r="AM37" i="193"/>
  <c r="G23" i="192"/>
  <c r="G23" i="191"/>
  <c r="G23" i="193"/>
  <c r="AM8" i="192"/>
  <c r="AM8" i="191"/>
  <c r="AM8" i="193"/>
  <c r="AM26" i="192"/>
  <c r="AM26" i="191"/>
  <c r="AM26" i="193"/>
  <c r="W39" i="191"/>
  <c r="W39" i="193"/>
  <c r="W39" i="192"/>
  <c r="CI23"/>
  <c r="CI23" i="191"/>
  <c r="CI23" i="193"/>
  <c r="CI46" i="192"/>
  <c r="CI46" i="191"/>
  <c r="CI46" i="193"/>
  <c r="W46" i="192"/>
  <c r="W46" i="191"/>
  <c r="W46" i="193"/>
  <c r="AU27" i="191"/>
  <c r="AU27" i="192"/>
  <c r="AU27" i="193"/>
  <c r="AE40"/>
  <c r="AE40" i="192"/>
  <c r="AE40" i="191"/>
  <c r="AU24" i="192"/>
  <c r="AU24" i="191"/>
  <c r="AU24" i="193"/>
  <c r="AE11" i="192"/>
  <c r="AE11" i="193"/>
  <c r="AE11" i="191"/>
  <c r="AE29"/>
  <c r="AE29" i="192"/>
  <c r="AE29" i="193"/>
  <c r="O42" i="192"/>
  <c r="O42" i="191"/>
  <c r="O42" i="193"/>
  <c r="AM25"/>
  <c r="AM25" i="192"/>
  <c r="AM25" i="191"/>
  <c r="CA46" i="192"/>
  <c r="CA46" i="191"/>
  <c r="CA46" i="193"/>
  <c r="AN32" i="40"/>
  <c r="G21" i="201"/>
  <c r="AP26" i="40"/>
  <c r="I15" i="201"/>
  <c r="AR20" i="40"/>
  <c r="K9" i="201"/>
  <c r="AP33" i="40"/>
  <c r="I22" i="201"/>
  <c r="AO22" i="40"/>
  <c r="H11" i="201"/>
  <c r="AP19" i="40"/>
  <c r="I8" i="201"/>
  <c r="AM31" i="40"/>
  <c r="F20" i="201"/>
  <c r="AO25" i="40"/>
  <c r="H14" i="201"/>
  <c r="AQ19" i="40"/>
  <c r="J8" i="201"/>
  <c r="AM38" i="40"/>
  <c r="F27" i="201"/>
  <c r="AR27" i="40"/>
  <c r="K16" i="201"/>
  <c r="AQ21" i="40"/>
  <c r="J10" i="201"/>
  <c r="AO27" i="40"/>
  <c r="H16" i="201"/>
  <c r="AM33" i="40"/>
  <c r="F22" i="201"/>
  <c r="AK39" i="40"/>
  <c r="D28" i="201"/>
  <c r="AS34" i="40"/>
  <c r="L23" i="201"/>
  <c r="AQ40" i="40"/>
  <c r="J29" i="201"/>
  <c r="AE19" i="192"/>
  <c r="AE19" i="191"/>
  <c r="AE19" i="193"/>
  <c r="AE50" s="1"/>
  <c r="E23" i="182"/>
  <c r="AP38" i="40"/>
  <c r="I27" i="201"/>
  <c r="AN22" i="40"/>
  <c r="G11" i="201"/>
  <c r="AL28" i="40"/>
  <c r="E17" i="201"/>
  <c r="AS39" i="40"/>
  <c r="L28" i="201"/>
  <c r="AR29" i="40"/>
  <c r="K18" i="201"/>
  <c r="AP35" i="40"/>
  <c r="I24" i="201"/>
  <c r="I39" s="1"/>
  <c r="AI17" i="40"/>
  <c r="B6" i="201"/>
  <c r="F30" i="121"/>
  <c r="AO37" i="40"/>
  <c r="H26" i="201"/>
  <c r="AS25" i="40"/>
  <c r="L14" i="201"/>
  <c r="AJ20" i="40"/>
  <c r="C9" i="201"/>
  <c r="AQ38" i="40"/>
  <c r="J27" i="201"/>
  <c r="AS32" i="40"/>
  <c r="L21" i="201"/>
  <c r="AL19" i="40"/>
  <c r="E8" i="201"/>
  <c r="AM19" i="192"/>
  <c r="AM19" i="191"/>
  <c r="AM19" i="193"/>
  <c r="F23" i="182"/>
  <c r="AS21" i="40"/>
  <c r="L10" i="201"/>
  <c r="AP21" i="40"/>
  <c r="I10" i="201"/>
  <c r="AU19" i="193"/>
  <c r="AU19" i="192"/>
  <c r="AU19" i="191"/>
  <c r="G23" i="182"/>
  <c r="AK41" i="40"/>
  <c r="D30" i="201"/>
  <c r="AI27" i="40"/>
  <c r="B16" i="201"/>
  <c r="F40" i="121"/>
  <c r="AK21" i="40"/>
  <c r="D10" i="201"/>
  <c r="AO28" i="40"/>
  <c r="H17" i="201"/>
  <c r="AQ22" i="40"/>
  <c r="J11" i="201"/>
  <c r="CI19" i="191"/>
  <c r="CI19" i="192"/>
  <c r="CI19" i="193"/>
  <c r="L23" i="182"/>
  <c r="AP42" i="40"/>
  <c r="I31" i="201"/>
  <c r="AK30" i="40"/>
  <c r="D19" i="201"/>
  <c r="AI36" i="40"/>
  <c r="B25" i="201"/>
  <c r="F49" i="121"/>
  <c r="AI29" i="40"/>
  <c r="B18" i="201"/>
  <c r="F42" i="121"/>
  <c r="AP40" i="40"/>
  <c r="I29" i="201"/>
  <c r="AO30" i="40"/>
  <c r="H19" i="201"/>
  <c r="AQ17" i="40"/>
  <c r="J6" i="201"/>
  <c r="AS30" i="40"/>
  <c r="L19" i="201"/>
  <c r="AQ36" i="40"/>
  <c r="J25" i="201"/>
  <c r="AN18" i="40"/>
  <c r="G7" i="201"/>
  <c r="AL24" i="40"/>
  <c r="E13" i="201"/>
  <c r="AJ30" i="40"/>
  <c r="C19" i="201"/>
  <c r="AS35" i="40"/>
  <c r="L24" i="201"/>
  <c r="AI41" i="40"/>
  <c r="B30" i="201"/>
  <c r="F54" i="121"/>
  <c r="AU48" i="191"/>
  <c r="AU50" s="1"/>
  <c r="AU48" i="193"/>
  <c r="AU50" s="1"/>
  <c r="AE52" i="37"/>
  <c r="AU48" i="192"/>
  <c r="AU50" s="1"/>
  <c r="G24" i="182"/>
  <c r="CA48" i="191"/>
  <c r="CA48" i="193"/>
  <c r="AY52" i="37"/>
  <c r="CA48" i="192"/>
  <c r="K24" i="182"/>
  <c r="D46" i="209"/>
  <c r="D41"/>
  <c r="D36"/>
  <c r="J41"/>
  <c r="J46"/>
  <c r="J36"/>
  <c r="B41"/>
  <c r="B36"/>
  <c r="B46"/>
  <c r="C46"/>
  <c r="C41"/>
  <c r="C36"/>
  <c r="AE50" i="192"/>
  <c r="AE50" i="191"/>
  <c r="BH47" i="58"/>
  <c r="AU46" i="38"/>
  <c r="G32" i="201" s="1"/>
  <c r="W36" i="192"/>
  <c r="W36" i="191"/>
  <c r="W36" i="193"/>
  <c r="CA28" i="192"/>
  <c r="CA28" i="191"/>
  <c r="CA28" i="193"/>
  <c r="G38" i="192"/>
  <c r="G38" i="191"/>
  <c r="G38" i="193"/>
  <c r="BS29" i="192"/>
  <c r="BS29" i="191"/>
  <c r="BS29" i="193"/>
  <c r="BC46" i="192"/>
  <c r="BC46" i="191"/>
  <c r="BC46" i="193"/>
  <c r="CA14" i="192"/>
  <c r="CA14" i="191"/>
  <c r="CA14" i="193"/>
  <c r="BK17" i="192"/>
  <c r="BK17" i="191"/>
  <c r="BK17" i="193"/>
  <c r="BK16" i="192"/>
  <c r="BK16" i="191"/>
  <c r="BK16" i="193"/>
  <c r="BK15" i="192"/>
  <c r="BK15" i="191"/>
  <c r="BK15" i="193"/>
  <c r="AO29" i="40"/>
  <c r="H18" i="201"/>
  <c r="CA19" i="191"/>
  <c r="CA19" i="192"/>
  <c r="CA19" i="193"/>
  <c r="K23" i="182"/>
  <c r="AP29" i="40"/>
  <c r="I18" i="201"/>
  <c r="AO20" i="40"/>
  <c r="H9" i="201"/>
  <c r="AL36" i="40"/>
  <c r="E25" i="201"/>
  <c r="AI32" i="40"/>
  <c r="B21" i="201"/>
  <c r="F45" i="121"/>
  <c r="AQ32" i="40"/>
  <c r="J21" i="201"/>
  <c r="AS19" i="40"/>
  <c r="L8" i="201"/>
  <c r="AQ41" i="40"/>
  <c r="J30" i="201"/>
  <c r="AK17" i="40"/>
  <c r="D6" i="201"/>
  <c r="AR41" i="40"/>
  <c r="K30" i="201"/>
  <c r="AI30" i="40"/>
  <c r="B19" i="201"/>
  <c r="F43" i="121"/>
  <c r="AP23" i="40"/>
  <c r="I12" i="201"/>
  <c r="AR21" i="40"/>
  <c r="K10" i="201"/>
  <c r="AS29" i="40"/>
  <c r="L18" i="201"/>
  <c r="AS36" i="40"/>
  <c r="L25" i="201"/>
  <c r="AK24" i="40"/>
  <c r="D13" i="201"/>
  <c r="AM18" i="40"/>
  <c r="F7" i="201"/>
  <c r="AJ33" i="40"/>
  <c r="C22" i="201"/>
  <c r="AS31" i="40"/>
  <c r="L20" i="201"/>
  <c r="AR33" i="40"/>
  <c r="K22" i="201"/>
  <c r="AP39" i="40"/>
  <c r="I28" i="201"/>
  <c r="AM21" i="40"/>
  <c r="F10" i="201"/>
  <c r="AI33" i="40"/>
  <c r="B22" i="201"/>
  <c r="F46" i="121"/>
  <c r="O48" i="191"/>
  <c r="O48" i="193"/>
  <c r="K52" i="37"/>
  <c r="O48" i="192"/>
  <c r="C24" i="182"/>
  <c r="L46" i="209"/>
  <c r="L41"/>
  <c r="L36"/>
  <c r="BK46" i="192"/>
  <c r="BK46" i="191"/>
  <c r="BK46" i="193"/>
  <c r="BS17" i="191"/>
  <c r="BS17" i="193"/>
  <c r="BS17" i="192"/>
  <c r="BC8"/>
  <c r="BC8" i="191"/>
  <c r="BC8" i="193"/>
  <c r="AM33"/>
  <c r="AM33" i="192"/>
  <c r="AM33" i="191"/>
  <c r="BS46" i="192"/>
  <c r="BS46" i="191"/>
  <c r="BS46" i="193"/>
  <c r="BK21" i="192"/>
  <c r="BK21" i="191"/>
  <c r="BK21" i="193"/>
  <c r="BC21" i="192"/>
  <c r="BC21" i="191"/>
  <c r="BC21" i="193"/>
  <c r="AU23"/>
  <c r="AU23" i="192"/>
  <c r="AU23" i="191"/>
  <c r="AU22"/>
  <c r="AU22" i="193"/>
  <c r="AU22" i="192"/>
  <c r="AS17" i="40"/>
  <c r="L6" i="201"/>
  <c r="AO36" i="40"/>
  <c r="H25" i="201"/>
  <c r="AS26" i="40"/>
  <c r="L15" i="201"/>
  <c r="AI24" i="40"/>
  <c r="B13" i="201"/>
  <c r="F37" i="121"/>
  <c r="AK18" i="40"/>
  <c r="D7" i="201"/>
  <c r="AN41" i="40"/>
  <c r="G30" i="201"/>
  <c r="AM26" i="40"/>
  <c r="F15" i="201"/>
  <c r="AO34" i="40"/>
  <c r="H23" i="201"/>
  <c r="AJ29" i="40"/>
  <c r="C18" i="201"/>
  <c r="AK19" i="40"/>
  <c r="D8" i="201"/>
  <c r="AR30" i="40"/>
  <c r="K19" i="201"/>
  <c r="AP36" i="40"/>
  <c r="I25" i="201"/>
  <c r="AR42" i="40"/>
  <c r="K31" i="201"/>
  <c r="AN29" i="40"/>
  <c r="G18" i="201"/>
  <c r="BK19" i="192"/>
  <c r="BK19" i="191"/>
  <c r="BK19" i="193"/>
  <c r="I23" i="182"/>
  <c r="AP41" i="40"/>
  <c r="I30" i="201"/>
  <c r="AP28" i="40"/>
  <c r="I17" i="201"/>
  <c r="AL40" i="40"/>
  <c r="E29" i="201"/>
  <c r="AQ31" i="40"/>
  <c r="J20" i="201"/>
  <c r="AI28" i="40"/>
  <c r="B17" i="201"/>
  <c r="F41" i="121"/>
  <c r="AK22" i="40"/>
  <c r="D11" i="201"/>
  <c r="AP30" i="40"/>
  <c r="I19" i="201"/>
  <c r="AR31" i="40"/>
  <c r="K20" i="201"/>
  <c r="AN27" i="40"/>
  <c r="G16" i="201"/>
  <c r="AQ18" i="40"/>
  <c r="J7" i="201"/>
  <c r="AS33" i="40"/>
  <c r="L22" i="201"/>
  <c r="AL22" i="40"/>
  <c r="E11" i="201"/>
  <c r="G19" i="192"/>
  <c r="G50" s="1"/>
  <c r="G19" i="191"/>
  <c r="G50" s="1"/>
  <c r="G19" i="193"/>
  <c r="G50" s="1"/>
  <c r="B23" i="182"/>
  <c r="B23" i="170"/>
  <c r="F52" i="37"/>
  <c r="AR32" i="40"/>
  <c r="K21" i="201"/>
  <c r="AI34" i="40"/>
  <c r="B23" i="201"/>
  <c r="F47" i="121"/>
  <c r="AP25" i="40"/>
  <c r="I14" i="201"/>
  <c r="AR19" i="40"/>
  <c r="K8" i="201"/>
  <c r="AI39" i="40"/>
  <c r="B28" i="201"/>
  <c r="F52" i="121"/>
  <c r="AS38" i="40"/>
  <c r="L27" i="201"/>
  <c r="AJ26" i="40"/>
  <c r="C15" i="201"/>
  <c r="AN33" i="40"/>
  <c r="G22" i="201"/>
  <c r="AN26" i="40"/>
  <c r="G15" i="201"/>
  <c r="AJ38" i="40"/>
  <c r="C27" i="201"/>
  <c r="AR26" i="40"/>
  <c r="K15" i="201"/>
  <c r="AN38" i="40"/>
  <c r="G27" i="201"/>
  <c r="AK34" i="40"/>
  <c r="D23" i="201"/>
  <c r="W48" i="192"/>
  <c r="P52" i="37"/>
  <c r="W48" i="191"/>
  <c r="W48" i="193"/>
  <c r="D24" i="182"/>
  <c r="BC48" i="192"/>
  <c r="BC48" i="191"/>
  <c r="BC48" i="193"/>
  <c r="H24" i="182"/>
  <c r="E41" i="209"/>
  <c r="E36"/>
  <c r="E46"/>
  <c r="BR47" i="58"/>
  <c r="H33" i="207"/>
  <c r="CL47" i="58"/>
  <c r="J33" i="207"/>
  <c r="CV47" i="58"/>
  <c r="K33" i="207"/>
  <c r="AX47" i="58"/>
  <c r="F33" i="207"/>
  <c r="AE46" i="192"/>
  <c r="AE46" i="191"/>
  <c r="AE46" i="193"/>
  <c r="AM30" i="192"/>
  <c r="AM30" i="191"/>
  <c r="AM30" i="193"/>
  <c r="W43" i="192"/>
  <c r="W43" i="193"/>
  <c r="W43" i="191"/>
  <c r="CI25" i="192"/>
  <c r="CI25" i="191"/>
  <c r="CI25" i="193"/>
  <c r="AE13" i="192"/>
  <c r="AE13" i="191"/>
  <c r="AE13" i="193"/>
  <c r="W32" i="192"/>
  <c r="W32" i="191"/>
  <c r="W32" i="193"/>
  <c r="O44" i="192"/>
  <c r="O44" i="191"/>
  <c r="O44" i="193"/>
  <c r="CA26" i="191"/>
  <c r="CA26" i="192"/>
  <c r="CA26" i="193"/>
  <c r="W14" i="192"/>
  <c r="W14" i="191"/>
  <c r="W14" i="193"/>
  <c r="AM46" i="192"/>
  <c r="AM46" i="191"/>
  <c r="AM46" i="193"/>
  <c r="AE33" i="191"/>
  <c r="AE33" i="192"/>
  <c r="AE33" i="193"/>
  <c r="G9" i="191"/>
  <c r="G9" i="193"/>
  <c r="G9" i="192"/>
  <c r="AM27"/>
  <c r="AM27" i="191"/>
  <c r="AM27" i="193"/>
  <c r="BS14" i="192"/>
  <c r="BS14" i="191"/>
  <c r="BS14" i="193"/>
  <c r="O35" i="192"/>
  <c r="O35" i="191"/>
  <c r="O35" i="193"/>
  <c r="CA10" i="191"/>
  <c r="CA10" i="193"/>
  <c r="CA10" i="192"/>
  <c r="AE28"/>
  <c r="AE28" i="191"/>
  <c r="AE28" i="193"/>
  <c r="BS12"/>
  <c r="BS12" i="192"/>
  <c r="BS12" i="191"/>
  <c r="AN39" i="40"/>
  <c r="G28" i="201"/>
  <c r="AM28" i="40"/>
  <c r="F17" i="201"/>
  <c r="AN25" i="40"/>
  <c r="G14" i="201"/>
  <c r="BS19" i="192"/>
  <c r="BS19" i="191"/>
  <c r="BS19" i="193"/>
  <c r="J23" i="182"/>
  <c r="AQ42" i="40"/>
  <c r="J31" i="201"/>
  <c r="AL34" i="40"/>
  <c r="E23" i="201"/>
  <c r="AP22" i="40"/>
  <c r="I11" i="201"/>
  <c r="AO32" i="40"/>
  <c r="H21" i="201"/>
  <c r="AS24" i="40"/>
  <c r="L13" i="201"/>
  <c r="AI22" i="40"/>
  <c r="B11" i="201"/>
  <c r="F35" i="121"/>
  <c r="AJ19" i="40"/>
  <c r="C8" i="201"/>
  <c r="W19" i="191"/>
  <c r="W19" i="193"/>
  <c r="W50" s="1"/>
  <c r="W19" i="192"/>
  <c r="D23" i="182"/>
  <c r="AL38" i="40"/>
  <c r="E27" i="201"/>
  <c r="AP31" i="40"/>
  <c r="I20" i="201"/>
  <c r="AN37" i="40"/>
  <c r="G26" i="201"/>
  <c r="AP24" i="40"/>
  <c r="I13" i="201"/>
  <c r="AJ22" i="40"/>
  <c r="C11" i="201"/>
  <c r="AS27" i="40"/>
  <c r="L16" i="201"/>
  <c r="AQ33" i="40"/>
  <c r="J22" i="201"/>
  <c r="AO39" i="40"/>
  <c r="H28" i="201"/>
  <c r="AM32" i="40"/>
  <c r="F21" i="201"/>
  <c r="AK38" i="40"/>
  <c r="D27" i="201"/>
  <c r="AM25" i="40"/>
  <c r="F14" i="201"/>
  <c r="AI37" i="40"/>
  <c r="B26" i="201"/>
  <c r="F50" i="121"/>
  <c r="AQ25" i="40"/>
  <c r="J14" i="201"/>
  <c r="AO31" i="40"/>
  <c r="H20" i="201"/>
  <c r="AM37" i="40"/>
  <c r="F26" i="201"/>
  <c r="AP34" i="40"/>
  <c r="I23" i="201"/>
  <c r="AR28" i="40"/>
  <c r="K17" i="201"/>
  <c r="AR35" i="40"/>
  <c r="K24" i="201"/>
  <c r="AR17" i="40"/>
  <c r="K6" i="201"/>
  <c r="AM42" i="40"/>
  <c r="F31" i="201"/>
  <c r="AL42" i="40"/>
  <c r="E31" i="201"/>
  <c r="AO33" i="40"/>
  <c r="H22" i="201"/>
  <c r="AQ27" i="40"/>
  <c r="J16" i="201"/>
  <c r="O19" i="191"/>
  <c r="O19" i="192"/>
  <c r="O19" i="193"/>
  <c r="C23" i="182"/>
  <c r="AO40" i="40"/>
  <c r="H29" i="201"/>
  <c r="AQ34" i="40"/>
  <c r="J23" i="201"/>
  <c r="AS28" i="40"/>
  <c r="L17" i="201"/>
  <c r="AI26" i="40"/>
  <c r="B15" i="201"/>
  <c r="F39" i="121"/>
  <c r="AJ23" i="40"/>
  <c r="C12" i="201"/>
  <c r="AK20" i="40"/>
  <c r="D9" i="201"/>
  <c r="AR36" i="40"/>
  <c r="K25" i="201"/>
  <c r="AI31" i="40"/>
  <c r="B20" i="201"/>
  <c r="F44" i="121"/>
  <c r="AK25" i="40"/>
  <c r="D14" i="201"/>
  <c r="AS40" i="40"/>
  <c r="L29" i="201"/>
  <c r="AJ35" i="40"/>
  <c r="C24" i="201"/>
  <c r="C44" s="1"/>
  <c r="AL29" i="40"/>
  <c r="E18" i="201"/>
  <c r="AK26" i="40"/>
  <c r="D15" i="201"/>
  <c r="AL23" i="40"/>
  <c r="E12" i="201"/>
  <c r="AM20" i="40"/>
  <c r="F9" i="201"/>
  <c r="AN17" i="40"/>
  <c r="G6" i="201"/>
  <c r="AJ24" i="40"/>
  <c r="C13" i="201"/>
  <c r="AL18" i="40"/>
  <c r="E7" i="201"/>
  <c r="AJ31" i="40"/>
  <c r="C20" i="201"/>
  <c r="AO42" i="40"/>
  <c r="H31" i="201"/>
  <c r="AM17" i="40"/>
  <c r="F6" i="201"/>
  <c r="AK23" i="40"/>
  <c r="D12" i="201"/>
  <c r="AR34" i="40"/>
  <c r="K23" i="201"/>
  <c r="AM36" i="40"/>
  <c r="F25" i="201"/>
  <c r="AO23" i="40"/>
  <c r="H12" i="201"/>
  <c r="AM29" i="40"/>
  <c r="F18" i="201"/>
  <c r="AK35" i="40"/>
  <c r="D24" i="201"/>
  <c r="AN42" i="40"/>
  <c r="G31" i="201"/>
  <c r="AK42" i="40"/>
  <c r="D31" i="201"/>
  <c r="AJ42" i="40"/>
  <c r="C31" i="201"/>
  <c r="AJ18" i="40"/>
  <c r="C7" i="201"/>
  <c r="AS23" i="40"/>
  <c r="L12" i="201"/>
  <c r="AQ29" i="40"/>
  <c r="J18" i="201"/>
  <c r="AO35" i="40"/>
  <c r="H24" i="201"/>
  <c r="AR40" i="40"/>
  <c r="K29" i="201"/>
  <c r="AL31" i="40"/>
  <c r="E20" i="201"/>
  <c r="AJ37" i="40"/>
  <c r="C26" i="201"/>
  <c r="AM48" i="192"/>
  <c r="Z52" i="37"/>
  <c r="AM48" i="191"/>
  <c r="AM50" s="1"/>
  <c r="AM48" i="193"/>
  <c r="F24" i="182"/>
  <c r="BS48" i="192"/>
  <c r="BS50" s="1"/>
  <c r="AT52" i="37"/>
  <c r="BS48" i="191"/>
  <c r="BS50" s="1"/>
  <c r="BS48" i="193"/>
  <c r="J24" i="182"/>
  <c r="I46" i="209"/>
  <c r="I36"/>
  <c r="I41"/>
  <c r="G46"/>
  <c r="G41"/>
  <c r="G36"/>
  <c r="AU46" i="62"/>
  <c r="U52" i="37"/>
  <c r="AM48" i="62"/>
  <c r="AM48" i="38"/>
  <c r="F34" i="201" s="1"/>
  <c r="AU48" i="62"/>
  <c r="AU48" i="38"/>
  <c r="G34" i="201" s="1"/>
  <c r="BC48" i="62"/>
  <c r="BC48" i="38"/>
  <c r="H34" i="201" s="1"/>
  <c r="BK48" i="62"/>
  <c r="BK48" i="38"/>
  <c r="I34" i="201" s="1"/>
  <c r="BS48" i="62"/>
  <c r="BS48" i="38"/>
  <c r="J34" i="201" s="1"/>
  <c r="CA48" i="62"/>
  <c r="CA48" i="38"/>
  <c r="K34" i="201" s="1"/>
  <c r="CI48" i="62"/>
  <c r="CI48" i="38"/>
  <c r="L34" i="201" s="1"/>
  <c r="AL45" i="40"/>
  <c r="W48" i="62"/>
  <c r="W48" i="38"/>
  <c r="D34" i="201" s="1"/>
  <c r="O48" i="62"/>
  <c r="O48" i="38"/>
  <c r="C34" i="201" s="1"/>
  <c r="G48" i="62"/>
  <c r="G48" i="38"/>
  <c r="B34" i="201" s="1"/>
  <c r="D56" i="58"/>
  <c r="D57"/>
  <c r="CI44" i="38"/>
  <c r="CI44" i="62"/>
  <c r="W36"/>
  <c r="W36" i="38"/>
  <c r="AM30" i="62"/>
  <c r="AM30" i="38"/>
  <c r="BC24" i="62"/>
  <c r="BC24" i="38"/>
  <c r="BS17"/>
  <c r="AQ14" i="40" s="1"/>
  <c r="BS17" i="62"/>
  <c r="CI11" i="38"/>
  <c r="AS8" i="40" s="1"/>
  <c r="CI11" i="62"/>
  <c r="W43"/>
  <c r="W43" i="38"/>
  <c r="AM37" i="62"/>
  <c r="AM37" i="38"/>
  <c r="BS31"/>
  <c r="BS31" i="62"/>
  <c r="CA28" i="38"/>
  <c r="CA28" i="62"/>
  <c r="CI25" i="38"/>
  <c r="CI25" i="62"/>
  <c r="G23" i="38"/>
  <c r="G23" i="62"/>
  <c r="O20"/>
  <c r="O20" i="38"/>
  <c r="W16" i="62"/>
  <c r="W16" i="38"/>
  <c r="AK13" i="40" s="1"/>
  <c r="AE13" i="62"/>
  <c r="AE13" i="38"/>
  <c r="AL10" i="40" s="1"/>
  <c r="AM8" i="38"/>
  <c r="AM5" i="40" s="1"/>
  <c r="AM8" i="62"/>
  <c r="BC8"/>
  <c r="BC8" i="38"/>
  <c r="AO5" i="40" s="1"/>
  <c r="G38" i="62"/>
  <c r="G38" i="38"/>
  <c r="W32" i="62"/>
  <c r="W32" i="38"/>
  <c r="AM26"/>
  <c r="AM26" i="62"/>
  <c r="BC20" i="38"/>
  <c r="BC20" i="62"/>
  <c r="BS13"/>
  <c r="BS13" i="38"/>
  <c r="AQ10" i="40" s="1"/>
  <c r="O44" i="62"/>
  <c r="O44" i="38"/>
  <c r="W39"/>
  <c r="W39" i="62"/>
  <c r="AM33" i="38"/>
  <c r="AM33" i="62"/>
  <c r="BS29"/>
  <c r="BS29" i="38"/>
  <c r="CA26"/>
  <c r="CA26" i="62"/>
  <c r="CI23"/>
  <c r="CI23" i="38"/>
  <c r="G21" i="62"/>
  <c r="G21" i="38"/>
  <c r="O17"/>
  <c r="AJ14" i="40" s="1"/>
  <c r="O17" i="62"/>
  <c r="W14"/>
  <c r="W14" i="38"/>
  <c r="AK11" i="40" s="1"/>
  <c r="CI46" i="62"/>
  <c r="CI46" i="38"/>
  <c r="BS46" i="62"/>
  <c r="BS46" i="38"/>
  <c r="BC46" i="62"/>
  <c r="BC46" i="38"/>
  <c r="AM46"/>
  <c r="AM46" i="62"/>
  <c r="W46" i="38"/>
  <c r="D32" i="201" s="1"/>
  <c r="W46" i="62"/>
  <c r="G46" i="38"/>
  <c r="G46" i="62"/>
  <c r="O39"/>
  <c r="O39" i="38"/>
  <c r="AE33" i="62"/>
  <c r="AE33" i="38"/>
  <c r="AU27" i="62"/>
  <c r="AU27" i="38"/>
  <c r="BK21" i="62"/>
  <c r="BK21" i="38"/>
  <c r="CA14"/>
  <c r="AR11" i="40" s="1"/>
  <c r="CA14" i="62"/>
  <c r="G9" i="38"/>
  <c r="AI6" i="40" s="1"/>
  <c r="G9" i="62"/>
  <c r="AE40" i="38"/>
  <c r="AE40" i="62"/>
  <c r="AU34"/>
  <c r="AU34" i="38"/>
  <c r="AE30"/>
  <c r="AE30" i="62"/>
  <c r="AM27" i="38"/>
  <c r="AM27" i="62"/>
  <c r="AU24"/>
  <c r="AU24" i="38"/>
  <c r="BC21"/>
  <c r="BC21" i="62"/>
  <c r="BK17"/>
  <c r="BK17" i="38"/>
  <c r="AP14" i="40" s="1"/>
  <c r="BS14" i="62"/>
  <c r="BS14" i="38"/>
  <c r="AQ11" i="40" s="1"/>
  <c r="AE11" i="38"/>
  <c r="AL8" i="40" s="1"/>
  <c r="AE11" i="62"/>
  <c r="AU11"/>
  <c r="AU11" i="38"/>
  <c r="AN8" i="40" s="1"/>
  <c r="CI40" i="62"/>
  <c r="CI40" i="38"/>
  <c r="O35" i="62"/>
  <c r="O35" i="38"/>
  <c r="AE29" i="62"/>
  <c r="AE29" i="38"/>
  <c r="AU23" i="62"/>
  <c r="AU23" i="38"/>
  <c r="BK16"/>
  <c r="AP13" i="40" s="1"/>
  <c r="BK16" i="62"/>
  <c r="CA10"/>
  <c r="CA10" i="38"/>
  <c r="AR7" i="40" s="1"/>
  <c r="O42" i="38"/>
  <c r="O42" i="62"/>
  <c r="AE36" i="38"/>
  <c r="AE36" i="62"/>
  <c r="W31" i="38"/>
  <c r="W31" i="62"/>
  <c r="AE28"/>
  <c r="AE28" i="38"/>
  <c r="AM25"/>
  <c r="AM25" i="62"/>
  <c r="AU22" i="38"/>
  <c r="AU22" i="62"/>
  <c r="AJ16" i="37"/>
  <c r="AJ52" s="1"/>
  <c r="BK15" i="38"/>
  <c r="AP12" i="40" s="1"/>
  <c r="BK15" i="62"/>
  <c r="BS12"/>
  <c r="BS12" i="38"/>
  <c r="AQ9" i="40" s="1"/>
  <c r="CA46" i="62"/>
  <c r="CA46" i="38"/>
  <c r="BS19" i="62"/>
  <c r="BS19" i="38"/>
  <c r="J5" i="201" s="1"/>
  <c r="AT50" i="37"/>
  <c r="AT49"/>
  <c r="CA19" i="62"/>
  <c r="CA50" s="1"/>
  <c r="CA19" i="38"/>
  <c r="K5" i="201" s="1"/>
  <c r="AY50" i="37"/>
  <c r="AY49"/>
  <c r="W19" i="62"/>
  <c r="W19" i="38"/>
  <c r="D5" i="201" s="1"/>
  <c r="P50" i="37"/>
  <c r="P49"/>
  <c r="AE19" i="62"/>
  <c r="AE50" s="1"/>
  <c r="AE19" i="38"/>
  <c r="E5" i="201" s="1"/>
  <c r="E36" s="1"/>
  <c r="U50" i="37"/>
  <c r="U49"/>
  <c r="BK19" i="62"/>
  <c r="BK50" s="1"/>
  <c r="BK19" i="38"/>
  <c r="I5" i="201" s="1"/>
  <c r="AO50" i="37"/>
  <c r="AO49"/>
  <c r="AM19" i="62"/>
  <c r="AM19" i="38"/>
  <c r="F5" i="201" s="1"/>
  <c r="Z50" i="37"/>
  <c r="Z49"/>
  <c r="O19" i="62"/>
  <c r="O50" s="1"/>
  <c r="O19" i="38"/>
  <c r="C5" i="201" s="1"/>
  <c r="K50" i="37"/>
  <c r="K49"/>
  <c r="AU19" i="62"/>
  <c r="AU50" s="1"/>
  <c r="AU19" i="38"/>
  <c r="G5" i="201" s="1"/>
  <c r="AE50" i="37"/>
  <c r="AE49"/>
  <c r="G19" i="62"/>
  <c r="G19" i="38"/>
  <c r="F50" i="37"/>
  <c r="F49"/>
  <c r="CI19" i="62"/>
  <c r="CI19" i="38"/>
  <c r="L5" i="201" s="1"/>
  <c r="BD50" i="37"/>
  <c r="BD49"/>
  <c r="AP44" i="40"/>
  <c r="AQ44"/>
  <c r="G56" i="58"/>
  <c r="AB47" i="19"/>
  <c r="D33" i="209" s="1"/>
  <c r="DD47" i="19"/>
  <c r="L33" i="209" s="1"/>
  <c r="R47" i="19"/>
  <c r="C33" i="209" s="1"/>
  <c r="AV47" i="19"/>
  <c r="F33" i="209" s="1"/>
  <c r="BF47" i="19"/>
  <c r="G33" i="209" s="1"/>
  <c r="AJ44" i="40"/>
  <c r="AL44"/>
  <c r="AS44"/>
  <c r="CJ47" i="19"/>
  <c r="J33" i="209" s="1"/>
  <c r="BZ47" i="19"/>
  <c r="I33" i="209" s="1"/>
  <c r="AK44" i="40"/>
  <c r="AN44"/>
  <c r="AM44"/>
  <c r="AO44"/>
  <c r="AI44"/>
  <c r="AR44"/>
  <c r="AL43"/>
  <c r="DF47" i="19"/>
  <c r="BH47"/>
  <c r="AJ43" i="40"/>
  <c r="T47" i="19"/>
  <c r="CL47"/>
  <c r="AP43" i="40"/>
  <c r="W50" i="192" l="1"/>
  <c r="O50" i="191"/>
  <c r="C39" i="201"/>
  <c r="BK50" i="191"/>
  <c r="CB47" i="19"/>
  <c r="E41" i="201"/>
  <c r="CA50" i="191"/>
  <c r="G57" i="58"/>
  <c r="AL26" i="40"/>
  <c r="E15" i="201"/>
  <c r="AS37" i="40"/>
  <c r="L26" i="201"/>
  <c r="AN21" i="40"/>
  <c r="G10" i="201"/>
  <c r="AN24" i="40"/>
  <c r="G13" i="201"/>
  <c r="AJ36" i="40"/>
  <c r="C25" i="201"/>
  <c r="AO43" i="40"/>
  <c r="H32" i="201"/>
  <c r="AS43" i="40"/>
  <c r="L32" i="201"/>
  <c r="AS20" i="40"/>
  <c r="L9" i="201"/>
  <c r="AQ26" i="40"/>
  <c r="J15" i="201"/>
  <c r="AI35" i="40"/>
  <c r="B24" i="201"/>
  <c r="G56" i="38"/>
  <c r="F48" i="121"/>
  <c r="AM34" i="40"/>
  <c r="F23" i="201"/>
  <c r="AO21" i="40"/>
  <c r="H10" i="201"/>
  <c r="AK33" i="40"/>
  <c r="D22" i="201"/>
  <c r="I41"/>
  <c r="I46"/>
  <c r="I36"/>
  <c r="K43"/>
  <c r="K48"/>
  <c r="K38"/>
  <c r="J47"/>
  <c r="J37"/>
  <c r="J42"/>
  <c r="AN19" i="40"/>
  <c r="G8" i="201"/>
  <c r="AO18" i="40"/>
  <c r="H7" i="201"/>
  <c r="AM30" i="40"/>
  <c r="F19" i="201"/>
  <c r="AS22" i="40"/>
  <c r="L11" i="201"/>
  <c r="AS41" i="40"/>
  <c r="L30" i="201"/>
  <c r="D46"/>
  <c r="D41"/>
  <c r="D36"/>
  <c r="D47"/>
  <c r="D42"/>
  <c r="D37"/>
  <c r="I48"/>
  <c r="I43"/>
  <c r="I38"/>
  <c r="E48"/>
  <c r="E43"/>
  <c r="E38"/>
  <c r="AL25" i="40"/>
  <c r="E14" i="201"/>
  <c r="AN20" i="40"/>
  <c r="G9" i="201"/>
  <c r="AJ32" i="40"/>
  <c r="C21" i="201"/>
  <c r="AN31" i="40"/>
  <c r="G20" i="201"/>
  <c r="AP18" i="40"/>
  <c r="I7" i="201"/>
  <c r="AL30" i="40"/>
  <c r="E19" i="201"/>
  <c r="AQ43" i="40"/>
  <c r="J32" i="201"/>
  <c r="AI18" i="40"/>
  <c r="B7" i="201"/>
  <c r="F31" i="121"/>
  <c r="AJ41" i="40"/>
  <c r="C30" i="201"/>
  <c r="AK29" i="40"/>
  <c r="D18" i="201"/>
  <c r="AJ17" i="40"/>
  <c r="C6" i="201"/>
  <c r="AK40" i="40"/>
  <c r="D29" i="201"/>
  <c r="AM27" i="40"/>
  <c r="F16" i="201"/>
  <c r="L46"/>
  <c r="L41"/>
  <c r="L36"/>
  <c r="J46"/>
  <c r="J36"/>
  <c r="J41"/>
  <c r="F41"/>
  <c r="F46"/>
  <c r="F36"/>
  <c r="D48"/>
  <c r="D38"/>
  <c r="D43"/>
  <c r="C42"/>
  <c r="C37"/>
  <c r="C47"/>
  <c r="C43"/>
  <c r="C48"/>
  <c r="C38"/>
  <c r="L47"/>
  <c r="L42"/>
  <c r="L37"/>
  <c r="G48"/>
  <c r="G38"/>
  <c r="G43"/>
  <c r="J48"/>
  <c r="J43"/>
  <c r="J38"/>
  <c r="O50" i="192"/>
  <c r="AN43" i="40"/>
  <c r="CA50" i="193"/>
  <c r="CI50" i="191"/>
  <c r="I44" i="201"/>
  <c r="E49"/>
  <c r="AD47" i="19"/>
  <c r="CI50" i="62"/>
  <c r="G50"/>
  <c r="AM50"/>
  <c r="W50"/>
  <c r="BS50"/>
  <c r="W50" i="191"/>
  <c r="E46" i="201"/>
  <c r="O50" i="193"/>
  <c r="CI50"/>
  <c r="BK50" i="192"/>
  <c r="E39" i="201"/>
  <c r="K46"/>
  <c r="K41"/>
  <c r="K36"/>
  <c r="G46"/>
  <c r="G41"/>
  <c r="G36"/>
  <c r="H43"/>
  <c r="H38"/>
  <c r="H48"/>
  <c r="G49"/>
  <c r="G44"/>
  <c r="G39"/>
  <c r="AR43" i="40"/>
  <c r="K32" i="201"/>
  <c r="AL33" i="40"/>
  <c r="E22" i="201"/>
  <c r="AM24" i="40"/>
  <c r="F13" i="201"/>
  <c r="F43" s="1"/>
  <c r="AI43" i="40"/>
  <c r="B32" i="201"/>
  <c r="G57" i="38"/>
  <c r="F56" i="121"/>
  <c r="AM43" i="40"/>
  <c r="F32" i="201"/>
  <c r="AR23" i="40"/>
  <c r="K12" i="201"/>
  <c r="AO17" i="40"/>
  <c r="H6" i="201"/>
  <c r="AQ28" i="40"/>
  <c r="J17" i="201"/>
  <c r="B5"/>
  <c r="B42" s="1"/>
  <c r="F29" i="121"/>
  <c r="F21" i="120"/>
  <c r="BC19" i="192"/>
  <c r="BC50" s="1"/>
  <c r="BC19" i="191"/>
  <c r="BC19" i="193"/>
  <c r="BC50" s="1"/>
  <c r="H23" i="182"/>
  <c r="AM22" i="40"/>
  <c r="F11" i="201"/>
  <c r="AK28" i="40"/>
  <c r="D17" i="201"/>
  <c r="AJ39" i="40"/>
  <c r="C28" i="201"/>
  <c r="AL27" i="40"/>
  <c r="E16" i="201"/>
  <c r="AL37" i="40"/>
  <c r="E26" i="201"/>
  <c r="D49"/>
  <c r="D39"/>
  <c r="D44"/>
  <c r="AK36" i="40"/>
  <c r="D25" i="201"/>
  <c r="AM23" i="40"/>
  <c r="F12" i="201"/>
  <c r="AI20" i="40"/>
  <c r="B9" i="201"/>
  <c r="F33" i="121"/>
  <c r="AR25" i="40"/>
  <c r="K14" i="201"/>
  <c r="C46"/>
  <c r="C41"/>
  <c r="C36"/>
  <c r="I47"/>
  <c r="I42"/>
  <c r="I37"/>
  <c r="L48"/>
  <c r="L38"/>
  <c r="L43"/>
  <c r="E47"/>
  <c r="E42"/>
  <c r="E37"/>
  <c r="K42"/>
  <c r="K47"/>
  <c r="K37"/>
  <c r="AX47" i="19"/>
  <c r="AM50" i="192"/>
  <c r="BS50" i="193"/>
  <c r="BC50" i="191"/>
  <c r="BK50" i="193"/>
  <c r="G55" i="38"/>
  <c r="CA50" i="192"/>
  <c r="AM50" i="193"/>
  <c r="C49" i="201"/>
  <c r="CI50" i="192"/>
  <c r="I49" i="201"/>
  <c r="G54" i="38"/>
  <c r="F22" i="120"/>
  <c r="F58" i="121"/>
  <c r="G58" i="58"/>
  <c r="G59" s="1"/>
  <c r="G60" s="1"/>
  <c r="AS45" i="40"/>
  <c r="AR45"/>
  <c r="AQ45"/>
  <c r="AP45"/>
  <c r="AO45"/>
  <c r="AN45"/>
  <c r="AM45"/>
  <c r="AJ45"/>
  <c r="AK45"/>
  <c r="AI45"/>
  <c r="AS16"/>
  <c r="CI50" i="38"/>
  <c r="CI53" s="1"/>
  <c r="AI16" i="40"/>
  <c r="G50" i="38"/>
  <c r="G53" s="1"/>
  <c r="AN16" i="40"/>
  <c r="AU50" i="38"/>
  <c r="AU53" s="1"/>
  <c r="AJ16" i="40"/>
  <c r="O50" i="38"/>
  <c r="O53" s="1"/>
  <c r="AM16" i="40"/>
  <c r="AM47" s="1"/>
  <c r="AM50" i="38"/>
  <c r="AM53" s="1"/>
  <c r="AP16" i="40"/>
  <c r="BK50" i="38"/>
  <c r="BK53" s="1"/>
  <c r="AL16" i="40"/>
  <c r="AL47" s="1"/>
  <c r="AE50" i="38"/>
  <c r="AE53" s="1"/>
  <c r="AK16" i="40"/>
  <c r="AK47" s="1"/>
  <c r="W50" i="38"/>
  <c r="AR16" i="40"/>
  <c r="CA50" i="38"/>
  <c r="CA53" s="1"/>
  <c r="AQ16" i="40"/>
  <c r="AQ47" s="1"/>
  <c r="BS50" i="38"/>
  <c r="BS53" s="1"/>
  <c r="BC19" i="62"/>
  <c r="BC50" s="1"/>
  <c r="BC19" i="38"/>
  <c r="AJ50" i="37"/>
  <c r="AJ49"/>
  <c r="AK43" i="40"/>
  <c r="D58" i="58"/>
  <c r="D59" s="1"/>
  <c r="D61" s="1"/>
  <c r="H58" i="19"/>
  <c r="H57"/>
  <c r="D58"/>
  <c r="D57"/>
  <c r="D59" s="1"/>
  <c r="D60" s="1"/>
  <c r="D61" s="1"/>
  <c r="AR47" i="40" l="1"/>
  <c r="AN47"/>
  <c r="B36" i="201"/>
  <c r="F38"/>
  <c r="B46"/>
  <c r="B47"/>
  <c r="AJ47" i="40"/>
  <c r="H59" i="19"/>
  <c r="H60" s="1"/>
  <c r="H61" s="1"/>
  <c r="B41" i="201"/>
  <c r="B37"/>
  <c r="BC50" i="38"/>
  <c r="BC53" s="1"/>
  <c r="H5" i="201"/>
  <c r="F49"/>
  <c r="F44"/>
  <c r="F39"/>
  <c r="B49"/>
  <c r="B44"/>
  <c r="B39"/>
  <c r="L49"/>
  <c r="L39"/>
  <c r="L44"/>
  <c r="F42"/>
  <c r="F37"/>
  <c r="F47"/>
  <c r="K49"/>
  <c r="K44"/>
  <c r="K39"/>
  <c r="J49"/>
  <c r="J44"/>
  <c r="J39"/>
  <c r="B48"/>
  <c r="B43"/>
  <c r="B38"/>
  <c r="H44"/>
  <c r="H49"/>
  <c r="H39"/>
  <c r="G47"/>
  <c r="G37"/>
  <c r="G42"/>
  <c r="AP47" i="40"/>
  <c r="AS47"/>
  <c r="F48" i="201"/>
  <c r="AI47" i="40"/>
  <c r="D60" i="58"/>
  <c r="G61"/>
  <c r="AO16" i="40"/>
  <c r="AO47" s="1"/>
  <c r="G62" i="58"/>
  <c r="K46" s="1"/>
  <c r="D62"/>
  <c r="AW37" s="1"/>
  <c r="D62" i="19"/>
  <c r="H46" i="201" l="1"/>
  <c r="H36"/>
  <c r="H42"/>
  <c r="H37"/>
  <c r="H41"/>
  <c r="H47"/>
  <c r="H62" i="19"/>
  <c r="AH37" i="192"/>
  <c r="AH37" i="191"/>
  <c r="AH37" i="193"/>
  <c r="C46" i="192"/>
  <c r="C46" i="191"/>
  <c r="C46" i="193"/>
  <c r="AH37" i="62"/>
  <c r="AH37" i="38"/>
  <c r="F23" i="205" s="1"/>
  <c r="C46" i="62"/>
  <c r="C46" i="38"/>
  <c r="CU47" i="58"/>
  <c r="AC47"/>
  <c r="DE47"/>
  <c r="CA47"/>
  <c r="AW47"/>
  <c r="BQ47"/>
  <c r="AM47"/>
  <c r="BG47"/>
  <c r="S47"/>
  <c r="CK47"/>
  <c r="I47"/>
  <c r="DE33"/>
  <c r="BQ16"/>
  <c r="CU33"/>
  <c r="S20"/>
  <c r="AW32"/>
  <c r="AC8"/>
  <c r="AC38"/>
  <c r="I26"/>
  <c r="I11"/>
  <c r="BQ34"/>
  <c r="AC34"/>
  <c r="AW34"/>
  <c r="CA16"/>
  <c r="AW16"/>
  <c r="S15"/>
  <c r="BQ25"/>
  <c r="CK36"/>
  <c r="AC14"/>
  <c r="S43"/>
  <c r="I27"/>
  <c r="AC45"/>
  <c r="I45"/>
  <c r="CA34"/>
  <c r="CK24"/>
  <c r="BQ41"/>
  <c r="CK15"/>
  <c r="AC28"/>
  <c r="CK38"/>
  <c r="CU38"/>
  <c r="S26"/>
  <c r="CU45"/>
  <c r="BG29"/>
  <c r="CK44"/>
  <c r="BG40"/>
  <c r="CU31"/>
  <c r="AM40"/>
  <c r="DE19"/>
  <c r="I39"/>
  <c r="AM28"/>
  <c r="I37"/>
  <c r="CU16"/>
  <c r="CA35"/>
  <c r="S40"/>
  <c r="AC9"/>
  <c r="AW23"/>
  <c r="CK43"/>
  <c r="AM36"/>
  <c r="BG35"/>
  <c r="DE32"/>
  <c r="S14"/>
  <c r="BQ15"/>
  <c r="S24"/>
  <c r="AM24"/>
  <c r="I31"/>
  <c r="BG15"/>
  <c r="I36"/>
  <c r="AM23"/>
  <c r="DE17"/>
  <c r="CU35"/>
  <c r="CU12"/>
  <c r="BQ11"/>
  <c r="CA12"/>
  <c r="BQ9"/>
  <c r="AM20"/>
  <c r="CK35"/>
  <c r="I46"/>
  <c r="AM46"/>
  <c r="CA46"/>
  <c r="S46"/>
  <c r="BQ46"/>
  <c r="CK46"/>
  <c r="AW22"/>
  <c r="CA15"/>
  <c r="CA14"/>
  <c r="AC37"/>
  <c r="CU43"/>
  <c r="CU34"/>
  <c r="CK28"/>
  <c r="AC42"/>
  <c r="S31"/>
  <c r="CA22"/>
  <c r="BQ30"/>
  <c r="BG12"/>
  <c r="DE35"/>
  <c r="I24"/>
  <c r="CK19"/>
  <c r="I25"/>
  <c r="CA37"/>
  <c r="AW42"/>
  <c r="AW35"/>
  <c r="CU44"/>
  <c r="DE20"/>
  <c r="AM13"/>
  <c r="S27"/>
  <c r="BG28"/>
  <c r="AM29"/>
  <c r="CA42"/>
  <c r="CA44"/>
  <c r="BG32"/>
  <c r="AC17"/>
  <c r="CK12"/>
  <c r="AC30"/>
  <c r="AM39"/>
  <c r="CA28"/>
  <c r="CK17"/>
  <c r="S11"/>
  <c r="BQ33"/>
  <c r="AC32"/>
  <c r="I23"/>
  <c r="CA9"/>
  <c r="AC40"/>
  <c r="AW40"/>
  <c r="DE12"/>
  <c r="S13"/>
  <c r="DE40"/>
  <c r="S10"/>
  <c r="DE27"/>
  <c r="AC26"/>
  <c r="S19"/>
  <c r="BQ43"/>
  <c r="AW30"/>
  <c r="I42"/>
  <c r="BG24"/>
  <c r="BQ12"/>
  <c r="AM17"/>
  <c r="AM12"/>
  <c r="S37"/>
  <c r="CA32"/>
  <c r="BQ8"/>
  <c r="CK14"/>
  <c r="CA17"/>
  <c r="CU32"/>
  <c r="CK13"/>
  <c r="AW9"/>
  <c r="AC13"/>
  <c r="DE45"/>
  <c r="S33"/>
  <c r="BG42"/>
  <c r="CA26"/>
  <c r="AW10"/>
  <c r="BQ44"/>
  <c r="CA30"/>
  <c r="AC10"/>
  <c r="I17"/>
  <c r="DE26"/>
  <c r="CU17"/>
  <c r="CA13"/>
  <c r="S42"/>
  <c r="DE15"/>
  <c r="DE21"/>
  <c r="BQ21"/>
  <c r="BG39"/>
  <c r="CU24"/>
  <c r="S34"/>
  <c r="AM14"/>
  <c r="AW14"/>
  <c r="CU40"/>
  <c r="CK31"/>
  <c r="S36"/>
  <c r="I15"/>
  <c r="BG9"/>
  <c r="CK45"/>
  <c r="AC25"/>
  <c r="CU10"/>
  <c r="AC35"/>
  <c r="DE29"/>
  <c r="DE39"/>
  <c r="AW27"/>
  <c r="S39"/>
  <c r="DE24"/>
  <c r="AM9"/>
  <c r="AW26"/>
  <c r="S28"/>
  <c r="BG10"/>
  <c r="S35"/>
  <c r="DE30"/>
  <c r="CK37"/>
  <c r="AC27"/>
  <c r="DE38"/>
  <c r="AC19"/>
  <c r="AC41"/>
  <c r="S23"/>
  <c r="AC43"/>
  <c r="I19"/>
  <c r="CK16"/>
  <c r="I9"/>
  <c r="AW44"/>
  <c r="CK22"/>
  <c r="CA10"/>
  <c r="I38"/>
  <c r="I67" s="1"/>
  <c r="AM30"/>
  <c r="I43"/>
  <c r="CA31"/>
  <c r="DE28"/>
  <c r="AC22"/>
  <c r="AW11"/>
  <c r="BG22"/>
  <c r="BG11"/>
  <c r="I13"/>
  <c r="CU8"/>
  <c r="S30"/>
  <c r="AW43"/>
  <c r="BQ19"/>
  <c r="BQ40"/>
  <c r="I8"/>
  <c r="BQ13"/>
  <c r="DE25"/>
  <c r="BG26"/>
  <c r="S9"/>
  <c r="AC12"/>
  <c r="S16"/>
  <c r="AC29"/>
  <c r="CK11"/>
  <c r="I22"/>
  <c r="S22"/>
  <c r="BG36"/>
  <c r="I20"/>
  <c r="DE37"/>
  <c r="BG30"/>
  <c r="CA38"/>
  <c r="BG33"/>
  <c r="CK26"/>
  <c r="BQ14"/>
  <c r="BQ39"/>
  <c r="BG20"/>
  <c r="I12"/>
  <c r="CA39"/>
  <c r="BQ27"/>
  <c r="BQ10"/>
  <c r="CK27"/>
  <c r="DE9"/>
  <c r="I14"/>
  <c r="BQ31"/>
  <c r="DE14"/>
  <c r="AC39"/>
  <c r="AC24"/>
  <c r="CU36"/>
  <c r="CK30"/>
  <c r="BG23"/>
  <c r="AW39"/>
  <c r="DE42"/>
  <c r="S45"/>
  <c r="CK21"/>
  <c r="DE11"/>
  <c r="AW13"/>
  <c r="BQ26"/>
  <c r="DE13"/>
  <c r="DE8"/>
  <c r="AW24"/>
  <c r="AW8"/>
  <c r="S29"/>
  <c r="AM15"/>
  <c r="CK40"/>
  <c r="S12"/>
  <c r="BQ38"/>
  <c r="AM45"/>
  <c r="AM33"/>
  <c r="CA11"/>
  <c r="I33"/>
  <c r="BG44"/>
  <c r="CK29"/>
  <c r="CK42"/>
  <c r="CA23"/>
  <c r="AM19"/>
  <c r="AC20"/>
  <c r="AC21"/>
  <c r="CA29"/>
  <c r="AW33"/>
  <c r="CA8"/>
  <c r="AM21"/>
  <c r="I32"/>
  <c r="CU14"/>
  <c r="CU42"/>
  <c r="AW36"/>
  <c r="DE46"/>
  <c r="AC46"/>
  <c r="AW46"/>
  <c r="CU46"/>
  <c r="BG46"/>
  <c r="AW17"/>
  <c r="BQ28"/>
  <c r="CU37"/>
  <c r="AW15"/>
  <c r="CA36"/>
  <c r="S32"/>
  <c r="AW31"/>
  <c r="BG34"/>
  <c r="CU27"/>
  <c r="BQ22"/>
  <c r="CA33"/>
  <c r="CU20"/>
  <c r="AC16"/>
  <c r="BG13"/>
  <c r="AM44"/>
  <c r="BQ20"/>
  <c r="CA19"/>
  <c r="S38"/>
  <c r="S25"/>
  <c r="AC33"/>
  <c r="DE22"/>
  <c r="AC31"/>
  <c r="BG38"/>
  <c r="AW28"/>
  <c r="BG41"/>
  <c r="AC36"/>
  <c r="AW20"/>
  <c r="AM31"/>
  <c r="S41"/>
  <c r="CU13"/>
  <c r="CU39"/>
  <c r="BG45"/>
  <c r="BQ32"/>
  <c r="AW21"/>
  <c r="CK8"/>
  <c r="BQ24"/>
  <c r="BQ35"/>
  <c r="CA27"/>
  <c r="AM43"/>
  <c r="AM27"/>
  <c r="CK10"/>
  <c r="BQ17"/>
  <c r="BQ23"/>
  <c r="I34"/>
  <c r="AC15"/>
  <c r="CA21"/>
  <c r="S8"/>
  <c r="AW41"/>
  <c r="CK41"/>
  <c r="I29"/>
  <c r="AW25"/>
  <c r="AM41"/>
  <c r="CU26"/>
  <c r="CA43"/>
  <c r="CU11"/>
  <c r="DE36"/>
  <c r="AM35"/>
  <c r="BG19"/>
  <c r="DE23"/>
  <c r="DE16"/>
  <c r="I16"/>
  <c r="DE41"/>
  <c r="CK25"/>
  <c r="CK33"/>
  <c r="S21"/>
  <c r="DE44"/>
  <c r="CK32"/>
  <c r="CU41"/>
  <c r="CU19"/>
  <c r="AM42"/>
  <c r="AW29"/>
  <c r="AM34"/>
  <c r="AM26"/>
  <c r="DE34"/>
  <c r="AW19"/>
  <c r="AW45"/>
  <c r="AM11"/>
  <c r="BG17"/>
  <c r="BQ37"/>
  <c r="CU30"/>
  <c r="BQ36"/>
  <c r="CK20"/>
  <c r="BG8"/>
  <c r="CU21"/>
  <c r="CU9"/>
  <c r="BG21"/>
  <c r="CA20"/>
  <c r="CA25"/>
  <c r="CA24"/>
  <c r="BG27"/>
  <c r="AM25"/>
  <c r="CA40"/>
  <c r="AW38"/>
  <c r="BG31"/>
  <c r="CU29"/>
  <c r="I10"/>
  <c r="AM8"/>
  <c r="I44"/>
  <c r="CA45"/>
  <c r="CK23"/>
  <c r="BQ29"/>
  <c r="AW12"/>
  <c r="AM37"/>
  <c r="CU22"/>
  <c r="DE43"/>
  <c r="DE10"/>
  <c r="I41"/>
  <c r="AM22"/>
  <c r="AM32"/>
  <c r="AM10"/>
  <c r="AC23"/>
  <c r="CA41"/>
  <c r="CK34"/>
  <c r="BQ45"/>
  <c r="I28"/>
  <c r="BQ42"/>
  <c r="I21"/>
  <c r="CU23"/>
  <c r="S44"/>
  <c r="AC44"/>
  <c r="AM16"/>
  <c r="BG14"/>
  <c r="AM38"/>
  <c r="I40"/>
  <c r="CK39"/>
  <c r="CU25"/>
  <c r="BG43"/>
  <c r="I35"/>
  <c r="BG16"/>
  <c r="DE31"/>
  <c r="CU28"/>
  <c r="S17"/>
  <c r="AC11"/>
  <c r="BG25"/>
  <c r="CK9"/>
  <c r="I30"/>
  <c r="BG37"/>
  <c r="CU15"/>
  <c r="DE48"/>
  <c r="CU48"/>
  <c r="CU53" s="1"/>
  <c r="CK48"/>
  <c r="CA48"/>
  <c r="BQ48"/>
  <c r="BG48"/>
  <c r="AW48"/>
  <c r="AM48"/>
  <c r="AC48"/>
  <c r="S48"/>
  <c r="I48"/>
  <c r="AY47"/>
  <c r="CC47"/>
  <c r="DG47"/>
  <c r="AE47"/>
  <c r="CW47"/>
  <c r="CM47"/>
  <c r="U47"/>
  <c r="BI47"/>
  <c r="AO47"/>
  <c r="BS47"/>
  <c r="K47"/>
  <c r="CC46"/>
  <c r="AO46"/>
  <c r="CW46"/>
  <c r="CM46"/>
  <c r="BS46"/>
  <c r="AO26"/>
  <c r="CW17"/>
  <c r="U42"/>
  <c r="AY21"/>
  <c r="AO42"/>
  <c r="BI36"/>
  <c r="U9"/>
  <c r="K39"/>
  <c r="CW45"/>
  <c r="CM15"/>
  <c r="AO37"/>
  <c r="AE40"/>
  <c r="CC27"/>
  <c r="U22"/>
  <c r="AE29"/>
  <c r="AY22"/>
  <c r="CC15"/>
  <c r="AY15"/>
  <c r="AY31"/>
  <c r="DG17"/>
  <c r="CC8"/>
  <c r="CW25"/>
  <c r="U37"/>
  <c r="CW8"/>
  <c r="DG32"/>
  <c r="K13"/>
  <c r="CM43"/>
  <c r="BS38"/>
  <c r="AO15"/>
  <c r="AY8"/>
  <c r="DG19"/>
  <c r="CW31"/>
  <c r="AO35"/>
  <c r="U45"/>
  <c r="U23"/>
  <c r="DG16"/>
  <c r="CW36"/>
  <c r="K27"/>
  <c r="CC30"/>
  <c r="K17"/>
  <c r="BS35"/>
  <c r="DG40"/>
  <c r="U31"/>
  <c r="U8"/>
  <c r="CW42"/>
  <c r="BS28"/>
  <c r="CW41"/>
  <c r="AE37"/>
  <c r="CC36"/>
  <c r="U32"/>
  <c r="CC28"/>
  <c r="DG15"/>
  <c r="CM9"/>
  <c r="K30"/>
  <c r="BI25"/>
  <c r="CC35"/>
  <c r="CC41"/>
  <c r="CM16"/>
  <c r="CM21"/>
  <c r="CM24"/>
  <c r="AE10"/>
  <c r="AO11"/>
  <c r="U33"/>
  <c r="CW39"/>
  <c r="AE42"/>
  <c r="BS9"/>
  <c r="CW35"/>
  <c r="AO21"/>
  <c r="BS19"/>
  <c r="U30"/>
  <c r="DG22"/>
  <c r="BI38"/>
  <c r="BI44"/>
  <c r="CW23"/>
  <c r="CC44"/>
  <c r="BI22"/>
  <c r="CC45"/>
  <c r="CW16"/>
  <c r="DG8"/>
  <c r="BI16"/>
  <c r="BS26"/>
  <c r="AY13"/>
  <c r="K31"/>
  <c r="CW38"/>
  <c r="BI23"/>
  <c r="CC34"/>
  <c r="CW22"/>
  <c r="AY12"/>
  <c r="U28"/>
  <c r="K24"/>
  <c r="DG24"/>
  <c r="BI17"/>
  <c r="BS17"/>
  <c r="CC21"/>
  <c r="AY36"/>
  <c r="AO34"/>
  <c r="CW13"/>
  <c r="CC14"/>
  <c r="AE32"/>
  <c r="AO39"/>
  <c r="K12"/>
  <c r="U36"/>
  <c r="AO25"/>
  <c r="BI31"/>
  <c r="CM27"/>
  <c r="AY27"/>
  <c r="U20"/>
  <c r="AE8"/>
  <c r="AE38"/>
  <c r="CW33"/>
  <c r="AO14"/>
  <c r="CW40"/>
  <c r="AE35"/>
  <c r="BS37"/>
  <c r="AE34"/>
  <c r="CM45"/>
  <c r="BS27"/>
  <c r="BS10"/>
  <c r="BS39"/>
  <c r="BS31"/>
  <c r="BI32"/>
  <c r="AY20"/>
  <c r="AY9"/>
  <c r="U44"/>
  <c r="CM29"/>
  <c r="AO13"/>
  <c r="CW20"/>
  <c r="AY43"/>
  <c r="DG36"/>
  <c r="BS12"/>
  <c r="AY30"/>
  <c r="CW12"/>
  <c r="BS11"/>
  <c r="CC12"/>
  <c r="CC31"/>
  <c r="AE13"/>
  <c r="CM23"/>
  <c r="K45"/>
  <c r="CC17"/>
  <c r="DG38"/>
  <c r="DG42"/>
  <c r="CM44"/>
  <c r="AY41"/>
  <c r="AO12"/>
  <c r="DG13"/>
  <c r="CC37"/>
  <c r="K37"/>
  <c r="AO44"/>
  <c r="AE15"/>
  <c r="CM28"/>
  <c r="CC25"/>
  <c r="BS25"/>
  <c r="CC39"/>
  <c r="BI20"/>
  <c r="U39"/>
  <c r="DG9"/>
  <c r="CC38"/>
  <c r="BI21"/>
  <c r="K44"/>
  <c r="DG37"/>
  <c r="BI39"/>
  <c r="BI8"/>
  <c r="BS34"/>
  <c r="DG29"/>
  <c r="CC24"/>
  <c r="CC40"/>
  <c r="AE25"/>
  <c r="CC16"/>
  <c r="BI11"/>
  <c r="CM33"/>
  <c r="K33"/>
  <c r="CW32"/>
  <c r="BI14"/>
  <c r="AO38"/>
  <c r="BI15"/>
  <c r="CW11"/>
  <c r="AO17"/>
  <c r="BI24"/>
  <c r="K29"/>
  <c r="CW14"/>
  <c r="AE39"/>
  <c r="DG41"/>
  <c r="U35"/>
  <c r="CM37"/>
  <c r="AE27"/>
  <c r="CM41"/>
  <c r="DG23"/>
  <c r="U26"/>
  <c r="CC33"/>
  <c r="AY42"/>
  <c r="K36"/>
  <c r="CM22"/>
  <c r="CC22"/>
  <c r="K25"/>
  <c r="BI34"/>
  <c r="BS23"/>
  <c r="AY46"/>
  <c r="AE46"/>
  <c r="DG46"/>
  <c r="U46"/>
  <c r="BI46"/>
  <c r="CM32"/>
  <c r="DG26"/>
  <c r="BI45"/>
  <c r="K22"/>
  <c r="BS24"/>
  <c r="CC13"/>
  <c r="U17"/>
  <c r="AE23"/>
  <c r="AO22"/>
  <c r="AE28"/>
  <c r="DG10"/>
  <c r="AE24"/>
  <c r="DG34"/>
  <c r="CW15"/>
  <c r="AE11"/>
  <c r="DG44"/>
  <c r="U41"/>
  <c r="U11"/>
  <c r="AE30"/>
  <c r="CW28"/>
  <c r="AY25"/>
  <c r="BI43"/>
  <c r="CM39"/>
  <c r="BI19"/>
  <c r="BS15"/>
  <c r="BI35"/>
  <c r="DG14"/>
  <c r="AE22"/>
  <c r="U12"/>
  <c r="CM34"/>
  <c r="AO30"/>
  <c r="AO40"/>
  <c r="K40"/>
  <c r="AE43"/>
  <c r="CM38"/>
  <c r="AE19"/>
  <c r="CM30"/>
  <c r="BI10"/>
  <c r="BS29"/>
  <c r="CM17"/>
  <c r="CW37"/>
  <c r="K23"/>
  <c r="CW27"/>
  <c r="AO43"/>
  <c r="AE26"/>
  <c r="CC9"/>
  <c r="AE17"/>
  <c r="CC26"/>
  <c r="AY19"/>
  <c r="AY45"/>
  <c r="DG12"/>
  <c r="AY10"/>
  <c r="BI37"/>
  <c r="CW19"/>
  <c r="AY37"/>
  <c r="CM11"/>
  <c r="U29"/>
  <c r="K38"/>
  <c r="AO19"/>
  <c r="K41"/>
  <c r="AE44"/>
  <c r="CM8"/>
  <c r="AO20"/>
  <c r="CM12"/>
  <c r="U13"/>
  <c r="AY29"/>
  <c r="DG25"/>
  <c r="CC19"/>
  <c r="BS13"/>
  <c r="AE21"/>
  <c r="AO24"/>
  <c r="CC23"/>
  <c r="DG43"/>
  <c r="U43"/>
  <c r="K21"/>
  <c r="CC11"/>
  <c r="K28"/>
  <c r="AE12"/>
  <c r="AY24"/>
  <c r="AO10"/>
  <c r="AY44"/>
  <c r="K9"/>
  <c r="K19"/>
  <c r="DG11"/>
  <c r="AY39"/>
  <c r="BS41"/>
  <c r="U14"/>
  <c r="BS43"/>
  <c r="AE45"/>
  <c r="AY26"/>
  <c r="AY11"/>
  <c r="CM10"/>
  <c r="AY40"/>
  <c r="CW34"/>
  <c r="CM35"/>
  <c r="AY17"/>
  <c r="AO27"/>
  <c r="BI42"/>
  <c r="BS33"/>
  <c r="CW43"/>
  <c r="BS32"/>
  <c r="CW29"/>
  <c r="CM36"/>
  <c r="CW10"/>
  <c r="AY38"/>
  <c r="DG33"/>
  <c r="K10"/>
  <c r="CM20"/>
  <c r="K26"/>
  <c r="CW30"/>
  <c r="BS36"/>
  <c r="BI33"/>
  <c r="CM26"/>
  <c r="CM31"/>
  <c r="DG21"/>
  <c r="BI27"/>
  <c r="U34"/>
  <c r="CW21"/>
  <c r="BS14"/>
  <c r="AY16"/>
  <c r="AO33"/>
  <c r="U21"/>
  <c r="AO31"/>
  <c r="CM25"/>
  <c r="AE36"/>
  <c r="AO29"/>
  <c r="AY28"/>
  <c r="CM42"/>
  <c r="AE31"/>
  <c r="CM14"/>
  <c r="CC32"/>
  <c r="AY35"/>
  <c r="CC29"/>
  <c r="BS40"/>
  <c r="U38"/>
  <c r="K8"/>
  <c r="K42"/>
  <c r="DG31"/>
  <c r="BI26"/>
  <c r="DG28"/>
  <c r="AO9"/>
  <c r="CC42"/>
  <c r="BI41"/>
  <c r="DG30"/>
  <c r="BI28"/>
  <c r="AE16"/>
  <c r="DG20"/>
  <c r="BS8"/>
  <c r="CC43"/>
  <c r="CW26"/>
  <c r="AO28"/>
  <c r="BS22"/>
  <c r="K43"/>
  <c r="CM19"/>
  <c r="CM40"/>
  <c r="DG27"/>
  <c r="BS44"/>
  <c r="K34"/>
  <c r="U15"/>
  <c r="K14"/>
  <c r="K15"/>
  <c r="DG39"/>
  <c r="BS21"/>
  <c r="BI30"/>
  <c r="AY32"/>
  <c r="K20"/>
  <c r="CW24"/>
  <c r="AY14"/>
  <c r="K11"/>
  <c r="BS16"/>
  <c r="AO8"/>
  <c r="BI9"/>
  <c r="AY34"/>
  <c r="CW9"/>
  <c r="CC20"/>
  <c r="AE14"/>
  <c r="BS42"/>
  <c r="AO36"/>
  <c r="CM13"/>
  <c r="K16"/>
  <c r="U27"/>
  <c r="AO16"/>
  <c r="U24"/>
  <c r="BI12"/>
  <c r="CW44"/>
  <c r="BS30"/>
  <c r="BI29"/>
  <c r="AE33"/>
  <c r="U25"/>
  <c r="BI40"/>
  <c r="AY33"/>
  <c r="K35"/>
  <c r="AO23"/>
  <c r="K32"/>
  <c r="U40"/>
  <c r="AE9"/>
  <c r="U16"/>
  <c r="DG45"/>
  <c r="BI13"/>
  <c r="DG35"/>
  <c r="AE41"/>
  <c r="U19"/>
  <c r="AE20"/>
  <c r="AO32"/>
  <c r="AO41"/>
  <c r="CC10"/>
  <c r="BS20"/>
  <c r="BS45"/>
  <c r="AO45"/>
  <c r="AY23"/>
  <c r="U10"/>
  <c r="K48"/>
  <c r="U48"/>
  <c r="AE48"/>
  <c r="AO48"/>
  <c r="AY48"/>
  <c r="BI48"/>
  <c r="BS48"/>
  <c r="CC48"/>
  <c r="CM48"/>
  <c r="CW48"/>
  <c r="DG48"/>
  <c r="H63" i="19"/>
  <c r="CC45" s="1"/>
  <c r="D63"/>
  <c r="CK22" s="1"/>
  <c r="DE53" i="58" l="1"/>
  <c r="BP22" i="192"/>
  <c r="BP22" i="191"/>
  <c r="BP22" i="193"/>
  <c r="BI45" i="192"/>
  <c r="BI45" i="191"/>
  <c r="BI45" i="193"/>
  <c r="I65" i="58"/>
  <c r="I53"/>
  <c r="I68"/>
  <c r="I66"/>
  <c r="BO48" i="192"/>
  <c r="BO48" i="191"/>
  <c r="BO48" i="193"/>
  <c r="C48" i="192"/>
  <c r="C48" i="191"/>
  <c r="C48" i="193"/>
  <c r="AA32" i="192"/>
  <c r="AA32" i="193"/>
  <c r="AA32" i="191"/>
  <c r="S9" i="192"/>
  <c r="S9" i="191"/>
  <c r="S9" i="193"/>
  <c r="S33" i="192"/>
  <c r="S33" i="191"/>
  <c r="S33" i="193"/>
  <c r="C16" i="192"/>
  <c r="C16" i="193"/>
  <c r="C16" i="191"/>
  <c r="AQ9" i="192"/>
  <c r="AQ9" i="191"/>
  <c r="AQ9" i="193"/>
  <c r="AQ30" i="192"/>
  <c r="AQ30" i="193"/>
  <c r="AQ30" i="191"/>
  <c r="CE27" i="192"/>
  <c r="CE27" i="193"/>
  <c r="CE27" i="191"/>
  <c r="AY8" i="192"/>
  <c r="AY8" i="191"/>
  <c r="AY8" i="193"/>
  <c r="CE28" i="192"/>
  <c r="CE28" i="191"/>
  <c r="CE28" i="193"/>
  <c r="AI35" i="192"/>
  <c r="AI35" i="191"/>
  <c r="AI35" i="193"/>
  <c r="BO25" i="192"/>
  <c r="BO25" i="193"/>
  <c r="BO25" i="191"/>
  <c r="AQ27" i="192"/>
  <c r="AQ27" i="191"/>
  <c r="AQ27" i="193"/>
  <c r="BO20" i="192"/>
  <c r="BO20" i="191"/>
  <c r="BO20" i="193"/>
  <c r="BW43" i="191"/>
  <c r="BW43" i="192"/>
  <c r="BW43" i="193"/>
  <c r="BO10" i="192"/>
  <c r="BO10" i="193"/>
  <c r="BO10" i="191"/>
  <c r="CE11" i="192"/>
  <c r="CE11" i="191"/>
  <c r="CE11" i="193"/>
  <c r="BG11" i="192"/>
  <c r="BG11" i="193"/>
  <c r="BG11" i="191"/>
  <c r="BG19" i="192"/>
  <c r="BG19" i="191"/>
  <c r="BG19" i="193"/>
  <c r="C41" i="192"/>
  <c r="C41" i="193"/>
  <c r="C41" i="191"/>
  <c r="BG26" i="192"/>
  <c r="BG26" i="191"/>
  <c r="BG26" i="193"/>
  <c r="BO17" i="192"/>
  <c r="BO17" i="191"/>
  <c r="BO17" i="193"/>
  <c r="AA40" i="192"/>
  <c r="AA40" i="193"/>
  <c r="AA40" i="191"/>
  <c r="AQ19" i="192"/>
  <c r="AQ19" i="191"/>
  <c r="AQ19" i="193"/>
  <c r="CE44" i="192"/>
  <c r="CE44" i="191"/>
  <c r="CE44" i="193"/>
  <c r="S23" i="192"/>
  <c r="S23" i="193"/>
  <c r="S23" i="191"/>
  <c r="AQ46" i="192"/>
  <c r="AQ46" i="193"/>
  <c r="AQ46" i="191"/>
  <c r="BG22" i="192"/>
  <c r="BG22" i="191"/>
  <c r="BG22" i="193"/>
  <c r="S27" i="192"/>
  <c r="S27" i="193"/>
  <c r="S27" i="191"/>
  <c r="S39" i="192"/>
  <c r="S39" i="193"/>
  <c r="S39" i="191"/>
  <c r="AQ11" i="192"/>
  <c r="AQ11" i="193"/>
  <c r="AQ11" i="191"/>
  <c r="AQ39"/>
  <c r="AQ39" i="192"/>
  <c r="AQ39" i="193"/>
  <c r="BG39" i="192"/>
  <c r="BG39" i="191"/>
  <c r="BG39" i="193"/>
  <c r="CE13" i="192"/>
  <c r="CE13" i="191"/>
  <c r="CE13" i="193"/>
  <c r="BO23" i="192"/>
  <c r="BO23" i="191"/>
  <c r="BO23" i="193"/>
  <c r="CE36" i="192"/>
  <c r="CE36" i="191"/>
  <c r="CE36" i="193"/>
  <c r="AQ32" i="192"/>
  <c r="AQ32" i="191"/>
  <c r="AQ32" i="193"/>
  <c r="S35" i="192"/>
  <c r="S35" i="193"/>
  <c r="S35" i="191"/>
  <c r="BO27" i="192"/>
  <c r="BO27" i="191"/>
  <c r="BO27" i="193"/>
  <c r="BW13" i="192"/>
  <c r="BW13" i="193"/>
  <c r="BW13" i="191"/>
  <c r="K28" i="192"/>
  <c r="K28" i="191"/>
  <c r="K28" i="193"/>
  <c r="AY26" i="192"/>
  <c r="AY26" i="191"/>
  <c r="AY26" i="193"/>
  <c r="AQ44" i="192"/>
  <c r="AQ44" i="191"/>
  <c r="AQ44" i="193"/>
  <c r="S42" i="192"/>
  <c r="S42" i="191"/>
  <c r="S42" i="193"/>
  <c r="BG41" i="192"/>
  <c r="BG41" i="191"/>
  <c r="BG41" i="193"/>
  <c r="BG36" i="192"/>
  <c r="BG36" i="193"/>
  <c r="BG36" i="191"/>
  <c r="AY35" i="192"/>
  <c r="AY35" i="193"/>
  <c r="AY35" i="191"/>
  <c r="AA35" i="192"/>
  <c r="AA35" i="191"/>
  <c r="AA35" i="193"/>
  <c r="CE32" i="192"/>
  <c r="CE32" i="191"/>
  <c r="CE32" i="193"/>
  <c r="BG15" i="192"/>
  <c r="BG15" i="191"/>
  <c r="BG15" i="193"/>
  <c r="BW45" i="192"/>
  <c r="BW45" i="191"/>
  <c r="BW45" i="193"/>
  <c r="AA26" i="191"/>
  <c r="AA26" i="193"/>
  <c r="AA26" i="192"/>
  <c r="AA47"/>
  <c r="AA47" i="191"/>
  <c r="AA47" i="193"/>
  <c r="AI47" i="192"/>
  <c r="AI47" i="191"/>
  <c r="AI47" i="193"/>
  <c r="BF48" i="192"/>
  <c r="BF48" i="191"/>
  <c r="BF48" i="193"/>
  <c r="AP25" i="192"/>
  <c r="AP25" i="193"/>
  <c r="AP25" i="191"/>
  <c r="BV25" i="192"/>
  <c r="BV25" i="193"/>
  <c r="BV25" i="191"/>
  <c r="BV23" i="192"/>
  <c r="BV23" i="191"/>
  <c r="BV23" i="193"/>
  <c r="Z10" i="192"/>
  <c r="Z10" i="193"/>
  <c r="Z10" i="191"/>
  <c r="AH12"/>
  <c r="AH12" i="193"/>
  <c r="AH12" i="192"/>
  <c r="AP31"/>
  <c r="AP31" i="191"/>
  <c r="AP31" i="193"/>
  <c r="AP27" i="192"/>
  <c r="AP27" i="191"/>
  <c r="AP27" i="193"/>
  <c r="BN20" i="192"/>
  <c r="BN20" i="193"/>
  <c r="BN20" i="191"/>
  <c r="CD34" i="192"/>
  <c r="CD34" i="193"/>
  <c r="CD34" i="191"/>
  <c r="CD44" i="192"/>
  <c r="CD44" i="191"/>
  <c r="CD44" i="193"/>
  <c r="AP19" i="192"/>
  <c r="AP19" i="191"/>
  <c r="AP19" i="193"/>
  <c r="B29" i="192"/>
  <c r="B29" i="191"/>
  <c r="B29" i="193"/>
  <c r="AX17" i="192"/>
  <c r="AX17" i="193"/>
  <c r="AX17" i="191"/>
  <c r="AH21" i="192"/>
  <c r="AH21" i="191"/>
  <c r="AH21" i="193"/>
  <c r="R36" i="192"/>
  <c r="R36" i="191"/>
  <c r="R36" i="193"/>
  <c r="J38" i="192"/>
  <c r="J38" i="191"/>
  <c r="J38" i="193"/>
  <c r="AX22" i="192"/>
  <c r="AX22" i="193"/>
  <c r="AX22" i="191"/>
  <c r="AX28" i="192"/>
  <c r="AX28" i="191"/>
  <c r="AX28" i="193"/>
  <c r="BV42" i="192"/>
  <c r="BV42" i="191"/>
  <c r="BV42" i="193"/>
  <c r="R20" i="192"/>
  <c r="R20" i="191"/>
  <c r="R20" i="193"/>
  <c r="Z33" i="192"/>
  <c r="Z33" i="191"/>
  <c r="Z33" i="193"/>
  <c r="AH24" i="192"/>
  <c r="AH24" i="193"/>
  <c r="AH24" i="191"/>
  <c r="CD42" i="192"/>
  <c r="CD42" i="193"/>
  <c r="CD42" i="191"/>
  <c r="AX31" i="192"/>
  <c r="AX31" i="191"/>
  <c r="AX31" i="193"/>
  <c r="AP33" i="192"/>
  <c r="AP33" i="193"/>
  <c r="AP33" i="191"/>
  <c r="BN11" i="192"/>
  <c r="BN11" i="193"/>
  <c r="BN11" i="191"/>
  <c r="B8" i="192"/>
  <c r="B8" i="193"/>
  <c r="B8" i="191"/>
  <c r="AP22" i="192"/>
  <c r="AP22" i="191"/>
  <c r="AP22" i="193"/>
  <c r="BF10" i="192"/>
  <c r="BF10" i="191"/>
  <c r="BF10" i="193"/>
  <c r="R41" i="192"/>
  <c r="R41" i="191"/>
  <c r="R41" i="193"/>
  <c r="J28" i="192"/>
  <c r="J28" i="191"/>
  <c r="J28" i="193"/>
  <c r="R35" i="192"/>
  <c r="R35" i="191"/>
  <c r="R35" i="193"/>
  <c r="BV40" i="192"/>
  <c r="BV40" i="191"/>
  <c r="BV40" i="193"/>
  <c r="CD15" i="192"/>
  <c r="CD15" i="191"/>
  <c r="CD15" i="193"/>
  <c r="AX44" i="192"/>
  <c r="AX44" i="191"/>
  <c r="AX44" i="193"/>
  <c r="AX8"/>
  <c r="AX8" i="192"/>
  <c r="AX8" i="191"/>
  <c r="AH30" i="192"/>
  <c r="AH30" i="191"/>
  <c r="AH30" i="193"/>
  <c r="CD12" i="192"/>
  <c r="CD12" i="191"/>
  <c r="CD12" i="193"/>
  <c r="BN17" i="192"/>
  <c r="BN17" i="191"/>
  <c r="BN17" i="193"/>
  <c r="BF42" i="192"/>
  <c r="BF42" i="191"/>
  <c r="BF42" i="193"/>
  <c r="B24" i="192"/>
  <c r="B24" i="193"/>
  <c r="B24" i="191"/>
  <c r="BV34" i="192"/>
  <c r="BV34" i="191"/>
  <c r="BV34" i="193"/>
  <c r="J46" i="192"/>
  <c r="J46" i="191"/>
  <c r="J46" i="193"/>
  <c r="AX11" i="192"/>
  <c r="AX11" i="191"/>
  <c r="AX11" i="193"/>
  <c r="Z24" i="192"/>
  <c r="Z24" i="191"/>
  <c r="Z24" i="193"/>
  <c r="AH23" i="192"/>
  <c r="AH23" i="191"/>
  <c r="AH23" i="193"/>
  <c r="CD19" i="192"/>
  <c r="CD19" i="191"/>
  <c r="CD19" i="193"/>
  <c r="BV38" i="192"/>
  <c r="BV38" i="191"/>
  <c r="BV38" i="193"/>
  <c r="BN36" i="192"/>
  <c r="BN36" i="193"/>
  <c r="BN36" i="191"/>
  <c r="B11" i="192"/>
  <c r="B11" i="193"/>
  <c r="B11" i="191"/>
  <c r="CD33" i="192"/>
  <c r="CD33" i="191"/>
  <c r="CD33" i="193"/>
  <c r="AQ48" i="192"/>
  <c r="AQ48" i="191"/>
  <c r="AQ48" i="193"/>
  <c r="AA45" i="191"/>
  <c r="AA45" i="192"/>
  <c r="AA45" i="193"/>
  <c r="S41" i="192"/>
  <c r="S41" i="191"/>
  <c r="S41" i="193"/>
  <c r="AA23" i="192"/>
  <c r="AA23" i="191"/>
  <c r="AA23" i="193"/>
  <c r="BW44" i="192"/>
  <c r="BW44" i="191"/>
  <c r="BW44" i="193"/>
  <c r="AY42" i="192"/>
  <c r="AY42" i="191"/>
  <c r="AY42" i="193"/>
  <c r="C11" i="192"/>
  <c r="C11" i="191"/>
  <c r="C11" i="193"/>
  <c r="C15" i="192"/>
  <c r="C15" i="191"/>
  <c r="C15" i="193"/>
  <c r="C43" i="192"/>
  <c r="C43" i="191"/>
  <c r="C43" i="193"/>
  <c r="AQ28" i="192"/>
  <c r="AQ28" i="191"/>
  <c r="AQ28" i="193"/>
  <c r="C42" i="192"/>
  <c r="C42" i="191"/>
  <c r="C42" i="193"/>
  <c r="S31"/>
  <c r="S31" i="192"/>
  <c r="S31" i="191"/>
  <c r="AA33" i="192"/>
  <c r="AA33" i="191"/>
  <c r="AA33" i="193"/>
  <c r="BO26" i="192"/>
  <c r="BO26" i="191"/>
  <c r="BO26" i="193"/>
  <c r="AY32" i="192"/>
  <c r="AY32" i="191"/>
  <c r="AY32" i="193"/>
  <c r="S45" i="192"/>
  <c r="S45" i="191"/>
  <c r="S45" i="193"/>
  <c r="AI44" i="192"/>
  <c r="AI44" i="191"/>
  <c r="AI44" i="193"/>
  <c r="CE43" i="192"/>
  <c r="CE43" i="193"/>
  <c r="CE43" i="191"/>
  <c r="K13" i="192"/>
  <c r="K13" i="193"/>
  <c r="K13" i="191"/>
  <c r="K29" i="192"/>
  <c r="K29" i="191"/>
  <c r="K29" i="193"/>
  <c r="AI19" i="192"/>
  <c r="AI19" i="191"/>
  <c r="AI19" i="193"/>
  <c r="S26" i="192"/>
  <c r="S26" i="191"/>
  <c r="S26" i="193"/>
  <c r="BO30" i="191"/>
  <c r="BO30" i="192"/>
  <c r="BO30" i="193"/>
  <c r="K12" i="192"/>
  <c r="K12" i="191"/>
  <c r="K12" i="193"/>
  <c r="AI25" i="192"/>
  <c r="AI25" i="193"/>
  <c r="AI25" i="191"/>
  <c r="CE34" i="192"/>
  <c r="CE34" i="191"/>
  <c r="CE34" i="193"/>
  <c r="AY24" i="192"/>
  <c r="AY24" i="191"/>
  <c r="AY24" i="193"/>
  <c r="S46" i="192"/>
  <c r="S46" i="191"/>
  <c r="S46" i="193"/>
  <c r="AI42" i="191"/>
  <c r="AI42" i="192"/>
  <c r="AI42" i="193"/>
  <c r="CE41" i="192"/>
  <c r="CE41" i="191"/>
  <c r="CE41" i="193"/>
  <c r="AA38" i="192"/>
  <c r="AA38" i="191"/>
  <c r="AA38" i="193"/>
  <c r="BG40" i="192"/>
  <c r="BG40" i="193"/>
  <c r="BG40" i="191"/>
  <c r="AQ21" i="192"/>
  <c r="AQ21" i="191"/>
  <c r="AQ21" i="193"/>
  <c r="BO28" i="191"/>
  <c r="BO28" i="192"/>
  <c r="BO28" i="193"/>
  <c r="BO44" i="192"/>
  <c r="BO44" i="191"/>
  <c r="BO44" i="193"/>
  <c r="BG12" i="192"/>
  <c r="BG12" i="193"/>
  <c r="BG12" i="191"/>
  <c r="AA13" i="192"/>
  <c r="AA13" i="191"/>
  <c r="AA13" i="193"/>
  <c r="AY10" i="191"/>
  <c r="AY10" i="193"/>
  <c r="AY10" i="192"/>
  <c r="BW33"/>
  <c r="BW33" i="191"/>
  <c r="BW33" i="193"/>
  <c r="K36" i="192"/>
  <c r="K36" i="191"/>
  <c r="K36" i="193"/>
  <c r="BG21" i="192"/>
  <c r="BG21" i="191"/>
  <c r="BG21" i="193"/>
  <c r="BG34" i="192"/>
  <c r="BG34" i="191"/>
  <c r="BG34" i="193"/>
  <c r="BW16" i="192"/>
  <c r="BW16" i="191"/>
  <c r="BW16" i="193"/>
  <c r="K30" i="192"/>
  <c r="K30" i="193"/>
  <c r="K30" i="191"/>
  <c r="AA11" i="192"/>
  <c r="AA11" i="191"/>
  <c r="AA11" i="193"/>
  <c r="C30" i="192"/>
  <c r="C30" i="191"/>
  <c r="C30" i="193"/>
  <c r="AY28" i="192"/>
  <c r="AY28" i="191"/>
  <c r="AY28" i="193"/>
  <c r="C27" i="192"/>
  <c r="C27" i="191"/>
  <c r="C27" i="193"/>
  <c r="AI8" i="192"/>
  <c r="AI8" i="191"/>
  <c r="AI8" i="193"/>
  <c r="AI15" i="192"/>
  <c r="AI15" i="191"/>
  <c r="AI15" i="193"/>
  <c r="BO15" i="192"/>
  <c r="BO15" i="193"/>
  <c r="BO15" i="191"/>
  <c r="BW17" i="192"/>
  <c r="BW17" i="193"/>
  <c r="BW17" i="191"/>
  <c r="AY47" i="192"/>
  <c r="AY47" i="193"/>
  <c r="AY47" i="191"/>
  <c r="BO47" i="192"/>
  <c r="BO47" i="191"/>
  <c r="BO47" i="193"/>
  <c r="R48" i="192"/>
  <c r="R48" i="191"/>
  <c r="R48" i="193"/>
  <c r="CD48" i="192"/>
  <c r="CD48" i="191"/>
  <c r="CD48" i="193"/>
  <c r="BV28" i="192"/>
  <c r="BV28" i="191"/>
  <c r="BV28" i="193"/>
  <c r="Z38" i="192"/>
  <c r="Z38" i="191"/>
  <c r="Z38" i="193"/>
  <c r="B28" i="192"/>
  <c r="B28" i="193"/>
  <c r="B28" i="191"/>
  <c r="B41" i="192"/>
  <c r="B41" i="191"/>
  <c r="B41" i="193"/>
  <c r="BF45" i="192"/>
  <c r="BF45" i="191"/>
  <c r="BF45" i="193"/>
  <c r="Z25" i="192"/>
  <c r="Z25" i="191"/>
  <c r="Z25" i="193"/>
  <c r="AP8" i="192"/>
  <c r="AP8" i="191"/>
  <c r="AP8" i="193"/>
  <c r="AH19" i="191"/>
  <c r="AH19" i="193"/>
  <c r="AH19" i="192"/>
  <c r="BN32"/>
  <c r="BN32" i="193"/>
  <c r="BN32" i="191"/>
  <c r="CD23" i="192"/>
  <c r="CD23" i="191"/>
  <c r="CD23" i="193"/>
  <c r="AH25" i="192"/>
  <c r="AH25" i="191"/>
  <c r="AH25" i="193"/>
  <c r="AX23" i="192"/>
  <c r="AX23" i="191"/>
  <c r="AX23" i="193"/>
  <c r="BN8" i="192"/>
  <c r="BN8" i="191"/>
  <c r="BN8" i="193"/>
  <c r="AH20" i="192"/>
  <c r="AH20" i="193"/>
  <c r="AH20" i="191"/>
  <c r="J25" i="192"/>
  <c r="J25" i="193"/>
  <c r="J25" i="191"/>
  <c r="BF33" i="192"/>
  <c r="BF33" i="191"/>
  <c r="BF33" i="193"/>
  <c r="BV37" i="192"/>
  <c r="BV37" i="193"/>
  <c r="BV37" i="191"/>
  <c r="AH36" i="192"/>
  <c r="AH36" i="193"/>
  <c r="AH36" i="191"/>
  <c r="R21" i="192"/>
  <c r="R21" i="191"/>
  <c r="R21" i="193"/>
  <c r="J12" i="192"/>
  <c r="J12" i="191"/>
  <c r="J12" i="193"/>
  <c r="AX26" i="192"/>
  <c r="AX26" i="193"/>
  <c r="AX26" i="191"/>
  <c r="BN30" i="192"/>
  <c r="BN30" i="191"/>
  <c r="BN30" i="193"/>
  <c r="BN27" i="192"/>
  <c r="BN27" i="191"/>
  <c r="BN27" i="193"/>
  <c r="BN26" i="192"/>
  <c r="BN26" i="191"/>
  <c r="BN26" i="193"/>
  <c r="B22" i="192"/>
  <c r="B22" i="191"/>
  <c r="B22" i="193"/>
  <c r="AH43" i="192"/>
  <c r="AH43" i="191"/>
  <c r="AH43" i="193"/>
  <c r="R27" i="192"/>
  <c r="R27" i="191"/>
  <c r="R27" i="193"/>
  <c r="B38" i="192"/>
  <c r="B38" i="191"/>
  <c r="B38" i="193"/>
  <c r="AI48" i="191"/>
  <c r="AI48" i="192"/>
  <c r="AI48" i="193"/>
  <c r="AY45" i="192"/>
  <c r="AY45" i="191"/>
  <c r="AY45" i="193"/>
  <c r="CE35" i="192"/>
  <c r="CE35" i="193"/>
  <c r="CE35" i="191"/>
  <c r="C35" i="192"/>
  <c r="C35" i="191"/>
  <c r="C35" i="193"/>
  <c r="AQ12" i="192"/>
  <c r="AQ12" i="191"/>
  <c r="AQ12" i="193"/>
  <c r="S14" i="192"/>
  <c r="S14" i="191"/>
  <c r="S14" i="193"/>
  <c r="AI14" i="192"/>
  <c r="AI14" i="193"/>
  <c r="AI14" i="191"/>
  <c r="C14" i="192"/>
  <c r="C14" i="191"/>
  <c r="C14" i="193"/>
  <c r="AY22" i="192"/>
  <c r="AY22" i="191"/>
  <c r="AY22" i="193"/>
  <c r="CE30" i="192"/>
  <c r="CE30" i="191"/>
  <c r="CE30" i="193"/>
  <c r="C8" i="192"/>
  <c r="C8" i="191"/>
  <c r="C8" i="193"/>
  <c r="BO42" i="192"/>
  <c r="BO42" i="191"/>
  <c r="BO42" i="193"/>
  <c r="AI16" i="192"/>
  <c r="AI16" i="193"/>
  <c r="AI16" i="191"/>
  <c r="AQ33" i="192"/>
  <c r="AQ33" i="191"/>
  <c r="AQ33" i="193"/>
  <c r="BW10" i="192"/>
  <c r="BW10" i="191"/>
  <c r="BW10" i="193"/>
  <c r="AI17" i="192"/>
  <c r="AI17" i="191"/>
  <c r="AI17" i="193"/>
  <c r="AY43" i="192"/>
  <c r="AY43" i="193"/>
  <c r="AY43" i="191"/>
  <c r="AA10" i="192"/>
  <c r="AA10" i="191"/>
  <c r="AA10" i="193"/>
  <c r="BG23" i="192"/>
  <c r="BG23" i="191"/>
  <c r="BG23" i="193"/>
  <c r="BO12" i="192"/>
  <c r="BO12" i="191"/>
  <c r="BO12" i="193"/>
  <c r="BO11" i="192"/>
  <c r="BO11" i="191"/>
  <c r="BO11" i="193"/>
  <c r="AI10" i="192"/>
  <c r="AI10" i="193"/>
  <c r="AI10" i="191"/>
  <c r="AA43" i="192"/>
  <c r="AA43" i="191"/>
  <c r="AA43" i="193"/>
  <c r="S19" i="192"/>
  <c r="S19" i="193"/>
  <c r="S19" i="191"/>
  <c r="S22" i="192"/>
  <c r="S22" i="191"/>
  <c r="S22" i="193"/>
  <c r="BW28" i="192"/>
  <c r="BW28" i="191"/>
  <c r="BW28" i="193"/>
  <c r="S24" i="192"/>
  <c r="S24" i="191"/>
  <c r="S24" i="193"/>
  <c r="C22" i="192"/>
  <c r="C22" i="191"/>
  <c r="C22" i="193"/>
  <c r="AI46" i="192"/>
  <c r="AI46" i="191"/>
  <c r="AI46" i="193"/>
  <c r="BG33" i="191"/>
  <c r="BG33" i="192"/>
  <c r="BG33" i="193"/>
  <c r="AA17" i="192"/>
  <c r="AA17" i="191"/>
  <c r="AA17" i="193"/>
  <c r="AQ14" i="192"/>
  <c r="AQ14" i="191"/>
  <c r="AQ14" i="193"/>
  <c r="BG24" i="192"/>
  <c r="BG24" i="193"/>
  <c r="BG24" i="191"/>
  <c r="BG38" i="192"/>
  <c r="BG38" i="191"/>
  <c r="BG38" i="193"/>
  <c r="S15" i="192"/>
  <c r="S15" i="191"/>
  <c r="S15" i="193"/>
  <c r="CE42" i="192"/>
  <c r="CE42" i="191"/>
  <c r="CE42" i="193"/>
  <c r="AY11" i="192"/>
  <c r="AY11" i="191"/>
  <c r="AY11" i="193"/>
  <c r="BO29" i="192"/>
  <c r="BO29" i="193"/>
  <c r="BO29" i="191"/>
  <c r="AY27" i="192"/>
  <c r="AY27" i="193"/>
  <c r="AY27" i="191"/>
  <c r="S38" i="192"/>
  <c r="S38" i="191"/>
  <c r="S38" i="193"/>
  <c r="C12" i="192"/>
  <c r="C12" i="191"/>
  <c r="C12" i="193"/>
  <c r="AY17" i="192"/>
  <c r="AY17" i="191"/>
  <c r="AY17" i="193"/>
  <c r="AQ23" i="192"/>
  <c r="AQ23" i="191"/>
  <c r="AQ23" i="193"/>
  <c r="BG45" i="192"/>
  <c r="BM45" s="1"/>
  <c r="BG45" i="191"/>
  <c r="BM45" s="1"/>
  <c r="BG45" i="193"/>
  <c r="BM45" s="1"/>
  <c r="AY19" i="192"/>
  <c r="AY19" i="193"/>
  <c r="AY19" i="191"/>
  <c r="S10" i="192"/>
  <c r="S10" i="193"/>
  <c r="S10" i="191"/>
  <c r="BO9" i="192"/>
  <c r="BO9" i="193"/>
  <c r="BO9" i="191"/>
  <c r="BW42" i="192"/>
  <c r="BW42" i="193"/>
  <c r="BW42" i="191"/>
  <c r="BW36" i="192"/>
  <c r="BW36" i="191"/>
  <c r="BW36" i="193"/>
  <c r="AA15" i="192"/>
  <c r="AA15" i="193"/>
  <c r="AA15" i="191"/>
  <c r="BG8" i="193"/>
  <c r="BG8" i="192"/>
  <c r="BG8" i="191"/>
  <c r="BG27" i="192"/>
  <c r="BG27" i="191"/>
  <c r="BG27" i="193"/>
  <c r="AA42" i="192"/>
  <c r="AA42" i="191"/>
  <c r="AA42" i="193"/>
  <c r="AA46" i="192"/>
  <c r="AA46" i="191"/>
  <c r="AA46" i="193"/>
  <c r="BW47" i="192"/>
  <c r="BW47" i="191"/>
  <c r="BW47" i="193"/>
  <c r="Z48" i="192"/>
  <c r="Z48" i="191"/>
  <c r="Z48" i="193"/>
  <c r="BV15" i="192"/>
  <c r="BV15" i="191"/>
  <c r="BV15" i="193"/>
  <c r="CD31" i="192"/>
  <c r="CD31" i="191"/>
  <c r="CD31" i="193"/>
  <c r="AP14" i="192"/>
  <c r="AP14" i="191"/>
  <c r="AP14" i="193"/>
  <c r="AX45" i="192"/>
  <c r="AX45" i="191"/>
  <c r="AX45" i="193"/>
  <c r="CD10" i="191"/>
  <c r="CD10" i="193"/>
  <c r="CD10" i="192"/>
  <c r="B44"/>
  <c r="B44" i="193"/>
  <c r="B44" i="191"/>
  <c r="AP21" i="192"/>
  <c r="AP21" i="193"/>
  <c r="AP21" i="191"/>
  <c r="AP17" i="192"/>
  <c r="AP17" i="191"/>
  <c r="AP17" i="193"/>
  <c r="Z42" i="192"/>
  <c r="Z42" i="191"/>
  <c r="Z42" i="193"/>
  <c r="CD41" i="192"/>
  <c r="CD41" i="191"/>
  <c r="CD41" i="193"/>
  <c r="BF43" i="192"/>
  <c r="BF43" i="193"/>
  <c r="BF43" i="191"/>
  <c r="BF21" i="192"/>
  <c r="BF21" i="191"/>
  <c r="BF21" i="193"/>
  <c r="BF27" i="192"/>
  <c r="BF27" i="193"/>
  <c r="BF27" i="191"/>
  <c r="BV13" i="192"/>
  <c r="BV13" i="191"/>
  <c r="BV13" i="193"/>
  <c r="R31" i="192"/>
  <c r="R31" i="191"/>
  <c r="R31" i="193"/>
  <c r="AP13" i="192"/>
  <c r="AP13" i="191"/>
  <c r="AP13" i="193"/>
  <c r="J32" i="192"/>
  <c r="J32" i="191"/>
  <c r="J32" i="193"/>
  <c r="AH46" i="192"/>
  <c r="AH46" i="191"/>
  <c r="AH46" i="193"/>
  <c r="BF8" i="192"/>
  <c r="BF8" i="193"/>
  <c r="BF8" i="191"/>
  <c r="BN29" i="192"/>
  <c r="BN29" i="191"/>
  <c r="BN29" i="193"/>
  <c r="BN40" i="192"/>
  <c r="BN40" i="193"/>
  <c r="BN40" i="191"/>
  <c r="AH13" i="192"/>
  <c r="AH13" i="191"/>
  <c r="AH13" i="193"/>
  <c r="BV36" i="192"/>
  <c r="BV36" i="191"/>
  <c r="BV36" i="193"/>
  <c r="AX10" i="192"/>
  <c r="AX10" i="191"/>
  <c r="AX10" i="193"/>
  <c r="AP20" i="192"/>
  <c r="AP20" i="191"/>
  <c r="AP20" i="193"/>
  <c r="B20" i="192"/>
  <c r="B20" i="193"/>
  <c r="B20" i="191"/>
  <c r="J9" i="192"/>
  <c r="J9" i="191"/>
  <c r="J9" i="193"/>
  <c r="J30" i="192"/>
  <c r="J30" i="191"/>
  <c r="J30" i="193"/>
  <c r="BF31" i="192"/>
  <c r="BF31" i="193"/>
  <c r="BF31" i="191"/>
  <c r="BN16" i="192"/>
  <c r="BN16" i="191"/>
  <c r="BN16" i="193"/>
  <c r="BN37" i="192"/>
  <c r="BN37" i="191"/>
  <c r="BN37" i="193"/>
  <c r="J39" i="192"/>
  <c r="J39" i="191"/>
  <c r="J39" i="193"/>
  <c r="AP9" i="192"/>
  <c r="AP9" i="193"/>
  <c r="AP9" i="191"/>
  <c r="BV24" i="192"/>
  <c r="BV24" i="191"/>
  <c r="BV24" i="193"/>
  <c r="CD26" i="192"/>
  <c r="CD26" i="193"/>
  <c r="CD26" i="191"/>
  <c r="J33" i="192"/>
  <c r="J33" i="193"/>
  <c r="J33" i="191"/>
  <c r="BN13" i="192"/>
  <c r="BN13" i="191"/>
  <c r="BN13" i="193"/>
  <c r="Z17" i="192"/>
  <c r="Z17" i="191"/>
  <c r="Z17" i="193"/>
  <c r="CD27" i="192"/>
  <c r="CD27" i="191"/>
  <c r="CD27" i="193"/>
  <c r="B23" i="191"/>
  <c r="B23" i="193"/>
  <c r="B23" i="192"/>
  <c r="BN12" i="191"/>
  <c r="BN12" i="193"/>
  <c r="BN12" i="192"/>
  <c r="Z13" i="191"/>
  <c r="Z13" i="193"/>
  <c r="Z13" i="192"/>
  <c r="AH42"/>
  <c r="AH42" i="191"/>
  <c r="AH42" i="193"/>
  <c r="BF22" i="192"/>
  <c r="BF22" i="191"/>
  <c r="BF22" i="193"/>
  <c r="BF15" i="192"/>
  <c r="BF15" i="191"/>
  <c r="BF15" i="193"/>
  <c r="BN35" i="192"/>
  <c r="BN35" i="191"/>
  <c r="BN35" i="193"/>
  <c r="Z23" i="192"/>
  <c r="Z23" i="193"/>
  <c r="Z23" i="191"/>
  <c r="CD32" i="192"/>
  <c r="CD32" i="191"/>
  <c r="CD32" i="193"/>
  <c r="BV16" i="192"/>
  <c r="BV16" i="193"/>
  <c r="BV16" i="191"/>
  <c r="BN44" i="192"/>
  <c r="BN44" i="193"/>
  <c r="BN44" i="191"/>
  <c r="AX41" i="192"/>
  <c r="AX41" i="191"/>
  <c r="AX41" i="193"/>
  <c r="R45" i="192"/>
  <c r="R45" i="191"/>
  <c r="R45" i="193"/>
  <c r="BF16" i="192"/>
  <c r="BF16" i="191"/>
  <c r="BF16" i="193"/>
  <c r="AH32" i="192"/>
  <c r="AH32" i="193"/>
  <c r="AH32" i="191"/>
  <c r="AP47" i="192"/>
  <c r="AP47" i="191"/>
  <c r="AP47" i="193"/>
  <c r="BF47" i="192"/>
  <c r="BF47" i="193"/>
  <c r="BF47" i="191"/>
  <c r="BW48" i="192"/>
  <c r="BW48" i="193"/>
  <c r="BW48" i="191"/>
  <c r="K48" i="192"/>
  <c r="K48" i="191"/>
  <c r="K48" i="193"/>
  <c r="AA41" i="192"/>
  <c r="AA41" i="191"/>
  <c r="AA41" i="193"/>
  <c r="K16" i="192"/>
  <c r="K16" i="191"/>
  <c r="K16" i="193"/>
  <c r="K25" i="192"/>
  <c r="K25" i="191"/>
  <c r="K25" i="193"/>
  <c r="K27" i="192"/>
  <c r="K27" i="191"/>
  <c r="K27" i="193"/>
  <c r="AI34" i="192"/>
  <c r="AI34" i="191"/>
  <c r="AI34" i="193"/>
  <c r="AI32" i="192"/>
  <c r="AI32" i="191"/>
  <c r="AI32" i="193"/>
  <c r="AY44" i="192"/>
  <c r="AY44" i="191"/>
  <c r="AY44" i="193"/>
  <c r="BG43" i="192"/>
  <c r="BG43" i="191"/>
  <c r="BG43" i="193"/>
  <c r="AA9" i="192"/>
  <c r="AA9" i="193"/>
  <c r="AA9" i="191"/>
  <c r="BG29" i="192"/>
  <c r="BG29" i="191"/>
  <c r="BG29" i="193"/>
  <c r="S36" i="192"/>
  <c r="S36" i="191"/>
  <c r="S36" i="193"/>
  <c r="K34" i="192"/>
  <c r="K34" i="193"/>
  <c r="K34" i="191"/>
  <c r="C26" i="192"/>
  <c r="C26" i="191"/>
  <c r="C26" i="193"/>
  <c r="AI38" i="192"/>
  <c r="AI38" i="191"/>
  <c r="AI38" i="193"/>
  <c r="AA27" i="192"/>
  <c r="AA27" i="191"/>
  <c r="AA27" i="193"/>
  <c r="AI40" i="192"/>
  <c r="AI40" i="191"/>
  <c r="AI40" i="193"/>
  <c r="AI39" i="192"/>
  <c r="AI39" i="191"/>
  <c r="AI39" i="193"/>
  <c r="C28" i="192"/>
  <c r="C28" i="191"/>
  <c r="C28" i="193"/>
  <c r="AY13" i="192"/>
  <c r="AY13" i="191"/>
  <c r="AY13" i="193"/>
  <c r="S44" i="192"/>
  <c r="S44" i="191"/>
  <c r="S44" i="193"/>
  <c r="AQ37" i="192"/>
  <c r="AQ37" i="191"/>
  <c r="AQ37" i="193"/>
  <c r="BW37" i="192"/>
  <c r="BW37" i="191"/>
  <c r="BW37" i="193"/>
  <c r="C40" i="192"/>
  <c r="C40" i="191"/>
  <c r="C40" i="193"/>
  <c r="AY15" i="192"/>
  <c r="AY15" i="193"/>
  <c r="AY15" i="191"/>
  <c r="K41" i="192"/>
  <c r="K41" i="191"/>
  <c r="K41" i="193"/>
  <c r="AA22" i="192"/>
  <c r="AA22" i="191"/>
  <c r="AA22" i="193"/>
  <c r="BO32" i="192"/>
  <c r="BO32" i="191"/>
  <c r="BO32" i="193"/>
  <c r="C25" i="192"/>
  <c r="C25" i="191"/>
  <c r="C25" i="193"/>
  <c r="BO41" i="192"/>
  <c r="BO41" i="193"/>
  <c r="BO41" i="191"/>
  <c r="AQ24" i="192"/>
  <c r="AQ24" i="191"/>
  <c r="AQ24" i="193"/>
  <c r="BO33" i="192"/>
  <c r="BO33" i="193"/>
  <c r="BO33" i="191"/>
  <c r="AQ8" i="192"/>
  <c r="AQ8" i="193"/>
  <c r="AQ8" i="191"/>
  <c r="AQ20"/>
  <c r="AQ20" i="193"/>
  <c r="AQ20" i="192"/>
  <c r="BG37"/>
  <c r="BG37" i="191"/>
  <c r="BG37" i="193"/>
  <c r="C45" i="192"/>
  <c r="C45" i="193"/>
  <c r="C45" i="191"/>
  <c r="AY12"/>
  <c r="AY12" i="193"/>
  <c r="AY12" i="192"/>
  <c r="AI20"/>
  <c r="AI20" i="191"/>
  <c r="AI20" i="193"/>
  <c r="AY37" i="192"/>
  <c r="AY37" i="191"/>
  <c r="AY37" i="193"/>
  <c r="AI27" i="192"/>
  <c r="AI27" i="191"/>
  <c r="AI27" i="193"/>
  <c r="BG14" i="192"/>
  <c r="BG14" i="191"/>
  <c r="BG14" i="193"/>
  <c r="C24" i="192"/>
  <c r="C24" i="191"/>
  <c r="C24" i="193"/>
  <c r="AI13" i="192"/>
  <c r="AI13" i="191"/>
  <c r="AI13" i="193"/>
  <c r="BW23" i="192"/>
  <c r="BW23" i="191"/>
  <c r="BW23" i="193"/>
  <c r="AY9" i="191"/>
  <c r="AY9" i="193"/>
  <c r="AY9" i="192"/>
  <c r="BO16"/>
  <c r="BO16" i="193"/>
  <c r="BO16" i="191"/>
  <c r="K32" i="192"/>
  <c r="K32" i="191"/>
  <c r="K32" i="193"/>
  <c r="CE40" i="191"/>
  <c r="CE40" i="192"/>
  <c r="CE40" i="193"/>
  <c r="K45" i="192"/>
  <c r="K45" i="191"/>
  <c r="K45" i="193"/>
  <c r="C13" i="192"/>
  <c r="C13" i="191"/>
  <c r="C13" i="193"/>
  <c r="BW25" i="192"/>
  <c r="BW25" i="191"/>
  <c r="BW25" i="193"/>
  <c r="K22" i="192"/>
  <c r="K22" i="193"/>
  <c r="K22" i="191"/>
  <c r="AQ36" i="192"/>
  <c r="AQ36" i="191"/>
  <c r="AQ36" i="193"/>
  <c r="BW46" i="192"/>
  <c r="BW46" i="193"/>
  <c r="BW46" i="191"/>
  <c r="BG47" i="192"/>
  <c r="BG47" i="191"/>
  <c r="BG47" i="193"/>
  <c r="AX48" i="192"/>
  <c r="AX48" i="191"/>
  <c r="AX48" i="193"/>
  <c r="BN9" i="192"/>
  <c r="BN9" i="191"/>
  <c r="BN9" i="193"/>
  <c r="AP43" i="192"/>
  <c r="AP43" i="191"/>
  <c r="AP43" i="193"/>
  <c r="J44" i="192"/>
  <c r="J44" i="191"/>
  <c r="J44" i="193"/>
  <c r="R23" i="192"/>
  <c r="R23" i="191"/>
  <c r="R23" i="193"/>
  <c r="Z37" i="191"/>
  <c r="Z37" i="193"/>
  <c r="Z37" i="192"/>
  <c r="BV29" i="193"/>
  <c r="BV29" i="192"/>
  <c r="BV29" i="191"/>
  <c r="BF20" i="192"/>
  <c r="BF20" i="191"/>
  <c r="BF20" i="193"/>
  <c r="AX37" i="192"/>
  <c r="AX37" i="191"/>
  <c r="AX37" i="193"/>
  <c r="AH29" i="192"/>
  <c r="AH29" i="191"/>
  <c r="AH29" i="193"/>
  <c r="BN25" i="192"/>
  <c r="BN25" i="191"/>
  <c r="BN25" i="193"/>
  <c r="BV11" i="192"/>
  <c r="BV11" i="191"/>
  <c r="BV11" i="193"/>
  <c r="J8" i="192"/>
  <c r="J8" i="191"/>
  <c r="J8" i="193"/>
  <c r="Z43" i="192"/>
  <c r="Z43" i="193"/>
  <c r="Z43" i="191"/>
  <c r="BV39" i="192"/>
  <c r="BV39" i="191"/>
  <c r="BV39" i="193"/>
  <c r="AP38" i="192"/>
  <c r="AP38" i="191"/>
  <c r="AP38" i="193"/>
  <c r="Z44" i="192"/>
  <c r="Z44" i="191"/>
  <c r="Z44" i="193"/>
  <c r="AH31" i="192"/>
  <c r="AH31" i="191"/>
  <c r="AH31" i="193"/>
  <c r="BV46" i="192"/>
  <c r="BV46" i="191"/>
  <c r="BV46" i="193"/>
  <c r="Z21" i="192"/>
  <c r="Z21" i="191"/>
  <c r="Z21" i="193"/>
  <c r="BN42" i="192"/>
  <c r="BN42" i="191"/>
  <c r="BN42" i="193"/>
  <c r="BF11" i="191"/>
  <c r="BF11" i="193"/>
  <c r="BF11" i="192"/>
  <c r="AH8"/>
  <c r="AH8" i="193"/>
  <c r="AH8" i="191"/>
  <c r="J45" i="192"/>
  <c r="J45" i="193"/>
  <c r="J45" i="191"/>
  <c r="CD14" i="192"/>
  <c r="CD14" i="191"/>
  <c r="CD14" i="193"/>
  <c r="B12" i="191"/>
  <c r="B12" i="193"/>
  <c r="B12" i="192"/>
  <c r="CD37"/>
  <c r="CD37" i="191"/>
  <c r="CD37" i="193"/>
  <c r="R12" i="192"/>
  <c r="R12" i="191"/>
  <c r="R12" i="193"/>
  <c r="AX13" i="192"/>
  <c r="AX13" i="191"/>
  <c r="AX13" i="193"/>
  <c r="AP11" i="192"/>
  <c r="AP11" i="191"/>
  <c r="AP11" i="193"/>
  <c r="CD28" i="192"/>
  <c r="CD28" i="191"/>
  <c r="CD28" i="193"/>
  <c r="B9" i="192"/>
  <c r="B9" i="193"/>
  <c r="B9" i="191"/>
  <c r="CD29" i="192"/>
  <c r="CD29" i="191"/>
  <c r="CD29" i="193"/>
  <c r="BN31" i="192"/>
  <c r="BN31" i="191"/>
  <c r="BN31" i="193"/>
  <c r="CD21" i="192"/>
  <c r="CD21" i="191"/>
  <c r="CD21" i="193"/>
  <c r="BF30" i="192"/>
  <c r="BF30" i="191"/>
  <c r="BF30" i="193"/>
  <c r="AH9" i="192"/>
  <c r="AH9" i="191"/>
  <c r="AH9" i="193"/>
  <c r="Z12" i="192"/>
  <c r="Z12" i="191"/>
  <c r="Z12" i="193"/>
  <c r="R26" i="192"/>
  <c r="R26" i="193"/>
  <c r="R26" i="191"/>
  <c r="J13" i="192"/>
  <c r="J13" i="191"/>
  <c r="J13" i="193"/>
  <c r="J11" i="192"/>
  <c r="J11" i="191"/>
  <c r="J11" i="193"/>
  <c r="R30" i="192"/>
  <c r="R30" i="193"/>
  <c r="R30" i="191"/>
  <c r="J27" i="192"/>
  <c r="J27" i="191"/>
  <c r="J27" i="193"/>
  <c r="AH35" i="192"/>
  <c r="AH35" i="191"/>
  <c r="AH35" i="193"/>
  <c r="BN19" i="192"/>
  <c r="BN19" i="191"/>
  <c r="BN19" i="193"/>
  <c r="AX30" i="192"/>
  <c r="AX30" i="193"/>
  <c r="AX30" i="191"/>
  <c r="BN28" i="192"/>
  <c r="BN28" i="193"/>
  <c r="BN28" i="191"/>
  <c r="BF14" i="192"/>
  <c r="BF14" i="193"/>
  <c r="BF14" i="191"/>
  <c r="AX46" i="192"/>
  <c r="AX46" i="193"/>
  <c r="AX46" i="191"/>
  <c r="B46"/>
  <c r="B46" i="193"/>
  <c r="B46" i="192"/>
  <c r="BF12"/>
  <c r="BF12" i="191"/>
  <c r="BF12" i="193"/>
  <c r="CD17" i="192"/>
  <c r="CD17" i="193"/>
  <c r="CD17" i="191"/>
  <c r="B31" i="192"/>
  <c r="B31" i="191"/>
  <c r="B31" i="193"/>
  <c r="J14" i="192"/>
  <c r="J14" i="191"/>
  <c r="J14" i="193"/>
  <c r="BN43" i="192"/>
  <c r="BN43" i="191"/>
  <c r="BN43" i="193"/>
  <c r="BF35" i="192"/>
  <c r="BF35" i="193"/>
  <c r="BF35" i="191"/>
  <c r="B39" i="192"/>
  <c r="B39" i="191"/>
  <c r="B39" i="193"/>
  <c r="AP40" i="192"/>
  <c r="AP40" i="191"/>
  <c r="AP40" i="193"/>
  <c r="J26" i="192"/>
  <c r="J26" i="191"/>
  <c r="J26" i="193"/>
  <c r="BN15" i="192"/>
  <c r="BN15" i="191"/>
  <c r="BN15" i="193"/>
  <c r="B45" i="192"/>
  <c r="B45" i="191"/>
  <c r="B45" i="193"/>
  <c r="R14" i="192"/>
  <c r="R14" i="191"/>
  <c r="R14" i="193"/>
  <c r="AH16" i="192"/>
  <c r="AH16" i="191"/>
  <c r="AH16" i="193"/>
  <c r="AX34" i="192"/>
  <c r="AX34" i="193"/>
  <c r="AX34" i="191"/>
  <c r="R8" i="192"/>
  <c r="R8" i="193"/>
  <c r="R8" i="191"/>
  <c r="AX16" i="192"/>
  <c r="AX16" i="191"/>
  <c r="AX16" i="193"/>
  <c r="J47" i="192"/>
  <c r="J47" i="191"/>
  <c r="J47" i="193"/>
  <c r="AH47" i="192"/>
  <c r="AH47" i="191"/>
  <c r="AH47" i="193"/>
  <c r="BV47" i="192"/>
  <c r="BV47" i="191"/>
  <c r="BV47" i="193"/>
  <c r="BG48" i="192"/>
  <c r="BG48" i="193"/>
  <c r="BG48" i="191"/>
  <c r="AA48" i="192"/>
  <c r="AA48" i="193"/>
  <c r="AA48" i="191"/>
  <c r="K10" i="192"/>
  <c r="K10" i="191"/>
  <c r="K10" i="193"/>
  <c r="AY20" i="192"/>
  <c r="AY20" i="191"/>
  <c r="AY20" i="193"/>
  <c r="S20" i="192"/>
  <c r="S20" i="191"/>
  <c r="S20" i="193"/>
  <c r="AQ13" i="192"/>
  <c r="AQ13" i="191"/>
  <c r="AQ13" i="193"/>
  <c r="K40" i="192"/>
  <c r="K40" i="191"/>
  <c r="K40" i="193"/>
  <c r="AI33" i="192"/>
  <c r="AI33" i="193"/>
  <c r="AI33" i="191"/>
  <c r="AQ29" i="192"/>
  <c r="AQ29" i="191"/>
  <c r="AQ29" i="193"/>
  <c r="K24" i="192"/>
  <c r="K24" i="191"/>
  <c r="K24" i="193"/>
  <c r="BO13" i="192"/>
  <c r="BO13" i="191"/>
  <c r="BO13" i="193"/>
  <c r="BG20" i="192"/>
  <c r="BG20" i="193"/>
  <c r="BG20" i="191"/>
  <c r="AA8" i="192"/>
  <c r="AA8" i="193"/>
  <c r="AA8" i="191"/>
  <c r="BW24"/>
  <c r="BW24" i="193"/>
  <c r="BW24" i="192"/>
  <c r="AY21"/>
  <c r="AY21" i="191"/>
  <c r="AY21" i="193"/>
  <c r="K15"/>
  <c r="K15" i="192"/>
  <c r="K15" i="191"/>
  <c r="BO40" i="192"/>
  <c r="BO40" i="191"/>
  <c r="BO40" i="193"/>
  <c r="AA28"/>
  <c r="AA28" i="192"/>
  <c r="AA28" i="191"/>
  <c r="CE20" i="192"/>
  <c r="CE20" i="191"/>
  <c r="CE20" i="193"/>
  <c r="AQ41" i="192"/>
  <c r="AQ41" i="191"/>
  <c r="AQ41" i="193"/>
  <c r="AQ26" i="192"/>
  <c r="AQ26" i="193"/>
  <c r="AQ26" i="191"/>
  <c r="K38" i="192"/>
  <c r="K38" i="193"/>
  <c r="K38" i="191"/>
  <c r="BG32" i="192"/>
  <c r="BG32" i="193"/>
  <c r="BG32" i="191"/>
  <c r="AI28" i="192"/>
  <c r="AI28" i="191"/>
  <c r="AI28" i="193"/>
  <c r="AA31" i="192"/>
  <c r="AA31" i="191"/>
  <c r="AA31" i="193"/>
  <c r="AY14" i="192"/>
  <c r="AY14" i="193"/>
  <c r="AY14" i="191"/>
  <c r="CE21"/>
  <c r="CE21" i="193"/>
  <c r="CE21" i="192"/>
  <c r="AY36" i="191"/>
  <c r="AY36" i="192"/>
  <c r="AY36" i="193"/>
  <c r="C10" i="192"/>
  <c r="C10" i="191"/>
  <c r="C10" i="193"/>
  <c r="BO36" i="192"/>
  <c r="BO36" i="191"/>
  <c r="BO36" i="193"/>
  <c r="AY33" i="192"/>
  <c r="AY33" i="191"/>
  <c r="AY33" i="193"/>
  <c r="BO35" i="192"/>
  <c r="BO35" i="191"/>
  <c r="BO35" i="193"/>
  <c r="AI11" i="192"/>
  <c r="AI11" i="193"/>
  <c r="AI11" i="191"/>
  <c r="K14" i="192"/>
  <c r="K14" i="191"/>
  <c r="K14" i="193"/>
  <c r="C19" i="191"/>
  <c r="C19" i="193"/>
  <c r="C19" i="192"/>
  <c r="AI24"/>
  <c r="AI24" i="191"/>
  <c r="AI24" i="193"/>
  <c r="C21" i="192"/>
  <c r="C21" i="193"/>
  <c r="C21" i="191"/>
  <c r="AA24" i="192"/>
  <c r="AA24" i="193"/>
  <c r="AA24" i="191"/>
  <c r="CE25" i="192"/>
  <c r="CE25" i="191"/>
  <c r="CE25" i="193"/>
  <c r="AA20" i="192"/>
  <c r="AA20" i="193"/>
  <c r="AA20" i="191"/>
  <c r="AA19" i="192"/>
  <c r="AA19" i="191"/>
  <c r="AA19" i="193"/>
  <c r="AI37" i="192"/>
  <c r="AI37" i="193"/>
  <c r="AI37" i="191"/>
  <c r="CE12" i="192"/>
  <c r="CE12" i="193"/>
  <c r="CE12" i="191"/>
  <c r="S17" i="192"/>
  <c r="S17" i="191"/>
  <c r="S17" i="193"/>
  <c r="BW27" i="191"/>
  <c r="BW27" i="192"/>
  <c r="BW27" i="193"/>
  <c r="AY29" i="192"/>
  <c r="AY29" i="191"/>
  <c r="AY29" i="193"/>
  <c r="BO38" i="192"/>
  <c r="BO38" i="191"/>
  <c r="BO38" i="193"/>
  <c r="AA30" i="192"/>
  <c r="AA30" i="191"/>
  <c r="AA30" i="193"/>
  <c r="CE14" i="192"/>
  <c r="CE14" i="191"/>
  <c r="CE14" i="193"/>
  <c r="BO39" i="192"/>
  <c r="BO39" i="191"/>
  <c r="BO39" i="193"/>
  <c r="S30" i="191"/>
  <c r="S30" i="193"/>
  <c r="S30" i="192"/>
  <c r="S11"/>
  <c r="S11" i="193"/>
  <c r="S11" i="191"/>
  <c r="CE10" i="192"/>
  <c r="CE10" i="193"/>
  <c r="CE10" i="191"/>
  <c r="K17" i="192"/>
  <c r="K17" i="193"/>
  <c r="K17" i="191"/>
  <c r="AQ45" i="192"/>
  <c r="AQ45" i="191"/>
  <c r="AQ45" i="193"/>
  <c r="K46" i="192"/>
  <c r="K46" i="193"/>
  <c r="K46" i="191"/>
  <c r="AY23" i="192"/>
  <c r="AY23" i="193"/>
  <c r="AY23" i="191"/>
  <c r="BO22" i="192"/>
  <c r="BO22" i="191"/>
  <c r="BO22" i="193"/>
  <c r="K26" i="192"/>
  <c r="K26" i="193"/>
  <c r="K26" i="191"/>
  <c r="BO37" i="192"/>
  <c r="BO37" i="193"/>
  <c r="BO37" i="191"/>
  <c r="BW14" i="192"/>
  <c r="BW14" i="193"/>
  <c r="BW14" i="191"/>
  <c r="BW11"/>
  <c r="BW11" i="193"/>
  <c r="BW11" i="192"/>
  <c r="BW32"/>
  <c r="BW32" i="191"/>
  <c r="BW32" i="193"/>
  <c r="BG16" i="192"/>
  <c r="BG16" i="191"/>
  <c r="BG16" i="193"/>
  <c r="CE29" i="192"/>
  <c r="CE29" i="191"/>
  <c r="CE29" i="193"/>
  <c r="CE37" i="192"/>
  <c r="CE37" i="191"/>
  <c r="CE37" i="193"/>
  <c r="CE9" i="191"/>
  <c r="CE9" i="193"/>
  <c r="CE9" i="192"/>
  <c r="AY25"/>
  <c r="AY25" i="191"/>
  <c r="AY25" i="193"/>
  <c r="AA44" i="192"/>
  <c r="AA44" i="193"/>
  <c r="AA44" i="191"/>
  <c r="AA12" i="192"/>
  <c r="AA12" i="191"/>
  <c r="AA12" i="193"/>
  <c r="CE38" i="192"/>
  <c r="CE38" i="191"/>
  <c r="CE38" i="193"/>
  <c r="S13" i="192"/>
  <c r="S13" i="191"/>
  <c r="S13" i="193"/>
  <c r="BW12" i="192"/>
  <c r="BW12" i="193"/>
  <c r="BW12" i="191"/>
  <c r="AI43" i="192"/>
  <c r="AI43" i="191"/>
  <c r="AI43" i="193"/>
  <c r="K44" i="192"/>
  <c r="K44" i="191"/>
  <c r="K44" i="193"/>
  <c r="AY31" i="192"/>
  <c r="AY31" i="193"/>
  <c r="AY31" i="191"/>
  <c r="BO45" i="192"/>
  <c r="BO45" i="193"/>
  <c r="BO45" i="191"/>
  <c r="BW40" i="192"/>
  <c r="BW40" i="191"/>
  <c r="BW40" i="193"/>
  <c r="S8" i="192"/>
  <c r="S8" i="191"/>
  <c r="S8" i="193"/>
  <c r="AQ31" i="192"/>
  <c r="AQ31" i="191"/>
  <c r="AQ31" i="193"/>
  <c r="AA39" i="192"/>
  <c r="AA39" i="191"/>
  <c r="AA39" i="193"/>
  <c r="AA34" i="192"/>
  <c r="AA34" i="191"/>
  <c r="AA34" i="193"/>
  <c r="AQ17" i="192"/>
  <c r="AQ17" i="193"/>
  <c r="AQ17" i="191"/>
  <c r="AI12" i="192"/>
  <c r="AI12" i="193"/>
  <c r="AI12" i="191"/>
  <c r="BW38" i="192"/>
  <c r="BW38" i="193"/>
  <c r="BW38" i="191"/>
  <c r="AQ16" i="192"/>
  <c r="AQ16" i="191"/>
  <c r="AQ16" i="193"/>
  <c r="AQ22" i="192"/>
  <c r="AQ22" i="193"/>
  <c r="AQ22" i="191"/>
  <c r="AQ38" i="192"/>
  <c r="AQ38" i="193"/>
  <c r="AQ38" i="191"/>
  <c r="AA21" i="192"/>
  <c r="AA21" i="191"/>
  <c r="AA21" i="193"/>
  <c r="BW39" i="192"/>
  <c r="BW39" i="191"/>
  <c r="BW39" i="193"/>
  <c r="BO24" i="192"/>
  <c r="BO24" i="191"/>
  <c r="BO24" i="193"/>
  <c r="BG35" i="192"/>
  <c r="BG35" i="191"/>
  <c r="BG35" i="193"/>
  <c r="CE15" i="192"/>
  <c r="CE15" i="191"/>
  <c r="CE15" i="193"/>
  <c r="S37" i="192"/>
  <c r="S37" i="191"/>
  <c r="S37" i="193"/>
  <c r="K8" i="192"/>
  <c r="K8" i="191"/>
  <c r="K8" i="193"/>
  <c r="C17" i="192"/>
  <c r="C17" i="191"/>
  <c r="C17" i="193"/>
  <c r="CE16" i="192"/>
  <c r="CE16" i="191"/>
  <c r="CE16" i="193"/>
  <c r="BW31" i="192"/>
  <c r="BW31" i="191"/>
  <c r="BW31" i="193"/>
  <c r="AY38" i="192"/>
  <c r="AY38" i="191"/>
  <c r="AY38" i="193"/>
  <c r="BW8" i="192"/>
  <c r="BW8" i="191"/>
  <c r="BW8" i="193"/>
  <c r="CE17" i="192"/>
  <c r="CE17" i="191"/>
  <c r="CE17" i="193"/>
  <c r="AI22" i="192"/>
  <c r="AI22" i="191"/>
  <c r="AI22" i="193"/>
  <c r="S40" i="192"/>
  <c r="S40" i="191"/>
  <c r="S40" i="193"/>
  <c r="C39" i="192"/>
  <c r="C39" i="191"/>
  <c r="C39" i="193"/>
  <c r="AI21" i="192"/>
  <c r="AI21" i="193"/>
  <c r="AI21" i="191"/>
  <c r="AY46" i="192"/>
  <c r="AY46" i="191"/>
  <c r="AY46" i="193"/>
  <c r="BG46" i="192"/>
  <c r="BG46" i="191"/>
  <c r="BG46" i="193"/>
  <c r="AQ47" i="192"/>
  <c r="AQ47" i="191"/>
  <c r="AQ47" i="193"/>
  <c r="S47" i="192"/>
  <c r="S47" i="193"/>
  <c r="S47" i="191"/>
  <c r="B48" i="192"/>
  <c r="B48" i="193"/>
  <c r="B48" i="191"/>
  <c r="AH48" i="192"/>
  <c r="AH48" i="193"/>
  <c r="AH48" i="191"/>
  <c r="BN48" i="192"/>
  <c r="BN48" i="193"/>
  <c r="BN48" i="191"/>
  <c r="AP37" i="192"/>
  <c r="AP37" i="193"/>
  <c r="AP37" i="191"/>
  <c r="R11" i="192"/>
  <c r="R11" i="191"/>
  <c r="R11" i="193"/>
  <c r="AP16" i="192"/>
  <c r="AP16" i="193"/>
  <c r="AP16" i="191"/>
  <c r="BN39" i="192"/>
  <c r="BN39" i="191"/>
  <c r="BN39" i="193"/>
  <c r="Z16" i="192"/>
  <c r="Z16" i="191"/>
  <c r="Z16" i="193"/>
  <c r="B21" i="192"/>
  <c r="B21" i="191"/>
  <c r="B21" i="193"/>
  <c r="BN34" i="192"/>
  <c r="BN34" i="191"/>
  <c r="BN34" i="193"/>
  <c r="Z32" i="192"/>
  <c r="Z32" i="191"/>
  <c r="Z32" i="193"/>
  <c r="CD43" i="192"/>
  <c r="CD43" i="191"/>
  <c r="CD43" i="193"/>
  <c r="AX29" i="192"/>
  <c r="AX29" i="191"/>
  <c r="AX29" i="193"/>
  <c r="Z8" i="192"/>
  <c r="Z8" i="191"/>
  <c r="Z8" i="193"/>
  <c r="AH38" i="192"/>
  <c r="AH38" i="191"/>
  <c r="AH38" i="193"/>
  <c r="BF24" i="192"/>
  <c r="BF24" i="191"/>
  <c r="BF24" i="193"/>
  <c r="BV9" i="192"/>
  <c r="BV9" i="191"/>
  <c r="BV9" i="193"/>
  <c r="AX36" i="192"/>
  <c r="AX36" i="191"/>
  <c r="AX36" i="193"/>
  <c r="Z11" i="191"/>
  <c r="Z11" i="193"/>
  <c r="Z11" i="192"/>
  <c r="Z26"/>
  <c r="Z26" i="191"/>
  <c r="Z26" i="193"/>
  <c r="BV19" i="192"/>
  <c r="BV19" i="191"/>
  <c r="BV19" i="193"/>
  <c r="J21" i="192"/>
  <c r="J21" i="193"/>
  <c r="J21" i="191"/>
  <c r="B16" i="192"/>
  <c r="B16" i="191"/>
  <c r="B16" i="193"/>
  <c r="Z35" i="192"/>
  <c r="Z35" i="193"/>
  <c r="Z35" i="191"/>
  <c r="BV26" i="192"/>
  <c r="BV26" i="191"/>
  <c r="BV26" i="193"/>
  <c r="BN41" i="192"/>
  <c r="BN41" i="191"/>
  <c r="BN41" i="193"/>
  <c r="R15" i="192"/>
  <c r="R15" i="191"/>
  <c r="R15" i="193"/>
  <c r="BN10" i="192"/>
  <c r="BN10" i="191"/>
  <c r="BN10" i="193"/>
  <c r="AX35" i="192"/>
  <c r="AX35" i="191"/>
  <c r="AX35" i="193"/>
  <c r="AX32" i="192"/>
  <c r="AX32" i="191"/>
  <c r="AX32" i="193"/>
  <c r="J41" i="192"/>
  <c r="J41" i="193"/>
  <c r="J41" i="191"/>
  <c r="AP41" i="192"/>
  <c r="AP41" i="193"/>
  <c r="AP41" i="191"/>
  <c r="CD22" i="192"/>
  <c r="CD22" i="193"/>
  <c r="CD22" i="191"/>
  <c r="BF19" i="192"/>
  <c r="BF19" i="193"/>
  <c r="BF19" i="191"/>
  <c r="R16"/>
  <c r="R16" i="193"/>
  <c r="R16" i="192"/>
  <c r="BV27"/>
  <c r="BV27" i="191"/>
  <c r="BV27" i="193"/>
  <c r="BF36" i="192"/>
  <c r="BF36" i="191"/>
  <c r="BF36" i="193"/>
  <c r="AH17" i="192"/>
  <c r="AH17" i="191"/>
  <c r="AH17" i="193"/>
  <c r="R46" i="192"/>
  <c r="R46" i="193"/>
  <c r="R46" i="191"/>
  <c r="BV14" i="192"/>
  <c r="BV14" i="191"/>
  <c r="BV14" i="193"/>
  <c r="AH33" i="192"/>
  <c r="AH33" i="191"/>
  <c r="AH33" i="193"/>
  <c r="Z19" i="192"/>
  <c r="Z19" i="193"/>
  <c r="Z19" i="191"/>
  <c r="AP44" i="192"/>
  <c r="AP44" i="191"/>
  <c r="AP44" i="193"/>
  <c r="Z45" i="192"/>
  <c r="Z45" i="191"/>
  <c r="Z45" i="193"/>
  <c r="Z15" i="192"/>
  <c r="Z15" i="191"/>
  <c r="Z15" i="193"/>
  <c r="CD8" i="192"/>
  <c r="CD8" i="191"/>
  <c r="CD8" i="193"/>
  <c r="CD11" i="192"/>
  <c r="CD11" i="191"/>
  <c r="CD11" i="193"/>
  <c r="AH39" i="192"/>
  <c r="AH39" i="191"/>
  <c r="AH39" i="193"/>
  <c r="R24" i="192"/>
  <c r="R24" i="191"/>
  <c r="R24" i="193"/>
  <c r="B14" i="191"/>
  <c r="B14" i="193"/>
  <c r="B14" i="192"/>
  <c r="AX27"/>
  <c r="AX27" i="191"/>
  <c r="AX27" i="193"/>
  <c r="AX39" i="192"/>
  <c r="AX39" i="191"/>
  <c r="AX39" i="193"/>
  <c r="BF38" i="192"/>
  <c r="BF38" i="191"/>
  <c r="BF38" i="193"/>
  <c r="AP36" i="192"/>
  <c r="AP36" i="191"/>
  <c r="AP36" i="193"/>
  <c r="R29" i="192"/>
  <c r="R29" i="191"/>
  <c r="R29" i="193"/>
  <c r="AP26" i="192"/>
  <c r="AP26" i="191"/>
  <c r="AP26" i="193"/>
  <c r="AX40" i="192"/>
  <c r="AX40" i="191"/>
  <c r="AX40" i="193"/>
  <c r="BV8" i="192"/>
  <c r="BV8" i="193"/>
  <c r="BV8" i="191"/>
  <c r="AH11" i="192"/>
  <c r="AH11" i="191"/>
  <c r="AH11" i="193"/>
  <c r="B43" i="192"/>
  <c r="B43" i="191"/>
  <c r="B43" i="193"/>
  <c r="BN22" i="192"/>
  <c r="BT22" s="1"/>
  <c r="J8" i="241" s="1"/>
  <c r="BN22" i="191"/>
  <c r="BT22" s="1"/>
  <c r="J8" i="242" s="1"/>
  <c r="BN22" i="193"/>
  <c r="BT22" s="1"/>
  <c r="J8" i="243" s="1"/>
  <c r="B19" i="192"/>
  <c r="B19" i="191"/>
  <c r="B19" i="193"/>
  <c r="R19" i="192"/>
  <c r="R19" i="191"/>
  <c r="R19" i="193"/>
  <c r="CD30" i="192"/>
  <c r="CD30" i="193"/>
  <c r="CD30" i="191"/>
  <c r="AH26" i="192"/>
  <c r="AH26" i="191"/>
  <c r="AH26" i="193"/>
  <c r="AH27" i="191"/>
  <c r="AH27" i="192"/>
  <c r="AH27" i="193"/>
  <c r="BV10" i="192"/>
  <c r="BV10" i="191"/>
  <c r="BV10" i="193"/>
  <c r="B15" i="192"/>
  <c r="B15" i="191"/>
  <c r="B15" i="193"/>
  <c r="AH14" i="192"/>
  <c r="AH14" i="191"/>
  <c r="AH14" i="193"/>
  <c r="AP39" i="192"/>
  <c r="AP39" i="191"/>
  <c r="AP39" i="193"/>
  <c r="J42" i="192"/>
  <c r="J42" i="191"/>
  <c r="J42" i="193"/>
  <c r="B17" i="192"/>
  <c r="B17" i="191"/>
  <c r="B17" i="193"/>
  <c r="AH10" i="192"/>
  <c r="AH10" i="191"/>
  <c r="AH10" i="193"/>
  <c r="CD45" i="192"/>
  <c r="CD45" i="191"/>
  <c r="CD45" i="193"/>
  <c r="BV32" i="192"/>
  <c r="BV32" i="191"/>
  <c r="BV32" i="193"/>
  <c r="BF32" i="192"/>
  <c r="BF32" i="191"/>
  <c r="BF32" i="193"/>
  <c r="AX12" i="192"/>
  <c r="AX12" i="191"/>
  <c r="AX12" i="193"/>
  <c r="AX43" i="192"/>
  <c r="AX43" i="191"/>
  <c r="AX43" i="193"/>
  <c r="J10" i="192"/>
  <c r="J10" i="193"/>
  <c r="J10" i="191"/>
  <c r="AH40" i="192"/>
  <c r="AH40" i="193"/>
  <c r="AH40" i="191"/>
  <c r="R32"/>
  <c r="R32" i="193"/>
  <c r="R32" i="192"/>
  <c r="BF28"/>
  <c r="BF28" i="191"/>
  <c r="BF28" i="193"/>
  <c r="R17" i="192"/>
  <c r="R17" i="193"/>
  <c r="R17" i="191"/>
  <c r="Z29" i="192"/>
  <c r="Z29" i="191"/>
  <c r="Z29" i="193"/>
  <c r="CD20" i="192"/>
  <c r="CD20" i="191"/>
  <c r="CD20" i="193"/>
  <c r="BF37" i="192"/>
  <c r="BF37" i="191"/>
  <c r="BF37" i="193"/>
  <c r="CD35" i="192"/>
  <c r="CD35" i="191"/>
  <c r="CD35" i="193"/>
  <c r="J31" i="192"/>
  <c r="J31" i="191"/>
  <c r="J31" i="193"/>
  <c r="BV43" i="192"/>
  <c r="BV43" i="191"/>
  <c r="BV43" i="193"/>
  <c r="AH22" i="192"/>
  <c r="AH22" i="191"/>
  <c r="AH22" i="193"/>
  <c r="BF46" i="192"/>
  <c r="BF46" i="191"/>
  <c r="BF46" i="193"/>
  <c r="Z20" i="192"/>
  <c r="Z20" i="191"/>
  <c r="Z20" i="193"/>
  <c r="BV12" i="192"/>
  <c r="BV12" i="191"/>
  <c r="BV12" i="193"/>
  <c r="B36" i="192"/>
  <c r="B36" i="193"/>
  <c r="B36" i="191"/>
  <c r="J24" i="192"/>
  <c r="J24" i="191"/>
  <c r="J24" i="193"/>
  <c r="AP35" i="192"/>
  <c r="AP35" i="191"/>
  <c r="AP35" i="193"/>
  <c r="R9" i="192"/>
  <c r="R9" i="193"/>
  <c r="R9" i="191"/>
  <c r="B37" i="192"/>
  <c r="B37" i="191"/>
  <c r="B37" i="193"/>
  <c r="Z40" i="192"/>
  <c r="Z40" i="191"/>
  <c r="Z40" i="193"/>
  <c r="AP29" i="192"/>
  <c r="AP29" i="193"/>
  <c r="AP29" i="191"/>
  <c r="BN38" i="192"/>
  <c r="BN38" i="191"/>
  <c r="BN38" i="193"/>
  <c r="BN24" i="192"/>
  <c r="BN24" i="193"/>
  <c r="BN24" i="191"/>
  <c r="B27" i="192"/>
  <c r="B27" i="191"/>
  <c r="B27" i="193"/>
  <c r="AX25" i="192"/>
  <c r="AX25" i="191"/>
  <c r="AX25" i="193"/>
  <c r="AH34" i="191"/>
  <c r="AH34" i="193"/>
  <c r="AH34" i="192"/>
  <c r="B26"/>
  <c r="B26" i="191"/>
  <c r="B26" i="193"/>
  <c r="J20" i="191"/>
  <c r="J20" i="193"/>
  <c r="J20" i="192"/>
  <c r="B47"/>
  <c r="B47" i="191"/>
  <c r="B47" i="193"/>
  <c r="Z47" i="192"/>
  <c r="Z47" i="193"/>
  <c r="Z47" i="191"/>
  <c r="CD47" i="192"/>
  <c r="CD47" i="191"/>
  <c r="CD47" i="193"/>
  <c r="J23" i="192"/>
  <c r="J23" i="191"/>
  <c r="J23" i="193"/>
  <c r="AP10"/>
  <c r="AP10" i="192"/>
  <c r="AP10" i="191"/>
  <c r="CD24" i="192"/>
  <c r="CD24" i="191"/>
  <c r="CD24" i="193"/>
  <c r="BN45" i="192"/>
  <c r="BN45" i="191"/>
  <c r="BN45" i="193"/>
  <c r="J34" i="192"/>
  <c r="J34" i="191"/>
  <c r="J34" i="193"/>
  <c r="BV17" i="192"/>
  <c r="BV17" i="191"/>
  <c r="BV17" i="193"/>
  <c r="AP42" i="192"/>
  <c r="AP42" i="191"/>
  <c r="AP42" i="193"/>
  <c r="BN14" i="191"/>
  <c r="BN14" i="193"/>
  <c r="BN14" i="192"/>
  <c r="B42"/>
  <c r="B42" i="191"/>
  <c r="B42" i="193"/>
  <c r="BF9" i="192"/>
  <c r="BF9" i="193"/>
  <c r="BF9" i="191"/>
  <c r="BF44" i="192"/>
  <c r="BF44" i="191"/>
  <c r="BF44" i="193"/>
  <c r="CE48" i="192"/>
  <c r="CE48" i="191"/>
  <c r="CE48" i="193"/>
  <c r="AY48" i="192"/>
  <c r="AY48" i="191"/>
  <c r="AY48" i="193"/>
  <c r="S48" i="192"/>
  <c r="S48" i="191"/>
  <c r="S48" i="193"/>
  <c r="AI23" i="191"/>
  <c r="AI23" i="193"/>
  <c r="AI23" i="192"/>
  <c r="BG10"/>
  <c r="BG10" i="191"/>
  <c r="BG10" i="193"/>
  <c r="K19" i="192"/>
  <c r="K19" i="191"/>
  <c r="K19" i="193"/>
  <c r="CE45" i="192"/>
  <c r="CE45" i="191"/>
  <c r="CE45" i="193"/>
  <c r="C32" i="192"/>
  <c r="C32" i="191"/>
  <c r="C32" i="193"/>
  <c r="AQ40" i="192"/>
  <c r="AQ40" i="191"/>
  <c r="AQ40" i="193"/>
  <c r="AY30" i="192"/>
  <c r="AY30" i="191"/>
  <c r="AY30" i="193"/>
  <c r="AA16" i="192"/>
  <c r="AA16" i="191"/>
  <c r="AA16" i="193"/>
  <c r="AA36" i="192"/>
  <c r="AA36" i="193"/>
  <c r="AA36" i="191"/>
  <c r="BW9" i="192"/>
  <c r="BW9" i="193"/>
  <c r="BW9" i="191"/>
  <c r="AY16"/>
  <c r="AY16" i="193"/>
  <c r="AY16" i="192"/>
  <c r="C20"/>
  <c r="C20" i="191"/>
  <c r="C20" i="193"/>
  <c r="CE39" i="192"/>
  <c r="CE39" i="193"/>
  <c r="CE39" i="191"/>
  <c r="C34" i="192"/>
  <c r="C34" i="191"/>
  <c r="C34" i="193"/>
  <c r="BO19" i="192"/>
  <c r="BO19" i="191"/>
  <c r="BO19" i="193"/>
  <c r="BW26" i="192"/>
  <c r="BW26" i="193"/>
  <c r="BW26" i="191"/>
  <c r="S16" i="192"/>
  <c r="S16" i="191"/>
  <c r="S16" i="193"/>
  <c r="BG42" i="192"/>
  <c r="BG42" i="191"/>
  <c r="BG42" i="193"/>
  <c r="CE31" i="192"/>
  <c r="CE31" i="193"/>
  <c r="CE31" i="191"/>
  <c r="AY40" i="192"/>
  <c r="AY40" i="191"/>
  <c r="AY40" i="193"/>
  <c r="BO14" i="192"/>
  <c r="BO14" i="191"/>
  <c r="BO14" i="193"/>
  <c r="AA29" i="192"/>
  <c r="AA29" i="191"/>
  <c r="AA29" i="193"/>
  <c r="K21" i="192"/>
  <c r="K21" i="191"/>
  <c r="K21" i="193"/>
  <c r="BW21" i="192"/>
  <c r="BW21" i="191"/>
  <c r="BW21" i="193"/>
  <c r="BO31" i="191"/>
  <c r="BO31" i="193"/>
  <c r="BO31" i="192"/>
  <c r="BW30"/>
  <c r="BW30" i="193"/>
  <c r="BW30" i="191"/>
  <c r="CE33" i="192"/>
  <c r="CE33" i="191"/>
  <c r="CE33" i="193"/>
  <c r="BW29" i="192"/>
  <c r="BW29" i="191"/>
  <c r="BW29" i="193"/>
  <c r="AQ42" i="192"/>
  <c r="AQ42" i="193"/>
  <c r="AQ42" i="191"/>
  <c r="BW34" i="192"/>
  <c r="BW34" i="193"/>
  <c r="BW34" i="191"/>
  <c r="AI26" i="192"/>
  <c r="AI26" i="191"/>
  <c r="AI26" i="193"/>
  <c r="AY41" i="192"/>
  <c r="AY41" i="191"/>
  <c r="AY41" i="193"/>
  <c r="C9" i="192"/>
  <c r="C9" i="191"/>
  <c r="C9" i="193"/>
  <c r="S12" i="192"/>
  <c r="S12" i="193"/>
  <c r="S12" i="191"/>
  <c r="K43" i="192"/>
  <c r="K43" i="191"/>
  <c r="K43" i="193"/>
  <c r="S21" i="192"/>
  <c r="S21" i="191"/>
  <c r="S21" i="193"/>
  <c r="AI29" i="192"/>
  <c r="AI29" i="193"/>
  <c r="AI29" i="191"/>
  <c r="BO8" i="192"/>
  <c r="BO8" i="191"/>
  <c r="BO8" i="193"/>
  <c r="C38" i="191"/>
  <c r="C38" i="192"/>
  <c r="C38" i="193"/>
  <c r="BW19" i="192"/>
  <c r="BW19" i="191"/>
  <c r="BW19" i="193"/>
  <c r="AI45" i="192"/>
  <c r="AI45" i="193"/>
  <c r="AI45" i="191"/>
  <c r="BG9" i="192"/>
  <c r="BG9" i="191"/>
  <c r="BG9" i="193"/>
  <c r="C23" i="192"/>
  <c r="C23" i="191"/>
  <c r="C23" i="193"/>
  <c r="AQ10" i="192"/>
  <c r="AQ10" i="193"/>
  <c r="AQ10" i="191"/>
  <c r="S43" i="192"/>
  <c r="S43" i="193"/>
  <c r="S43" i="191"/>
  <c r="BO34" i="192"/>
  <c r="BO34" i="191"/>
  <c r="BO34" i="193"/>
  <c r="AQ35" i="192"/>
  <c r="AQ35" i="191"/>
  <c r="AQ35" i="193"/>
  <c r="AQ43" i="192"/>
  <c r="AQ43" i="191"/>
  <c r="AQ43" i="193"/>
  <c r="K11" i="191"/>
  <c r="K11" i="193"/>
  <c r="K11" i="192"/>
  <c r="BW15"/>
  <c r="BW15" i="193"/>
  <c r="BW15" i="191"/>
  <c r="S28" i="192"/>
  <c r="S28" i="191"/>
  <c r="S28" i="193"/>
  <c r="BG13"/>
  <c r="BG13" i="191"/>
  <c r="BG13" i="192"/>
  <c r="CE26"/>
  <c r="CE26" i="191"/>
  <c r="CE26" i="193"/>
  <c r="CE46" i="192"/>
  <c r="CE46" i="191"/>
  <c r="CE46" i="193"/>
  <c r="AQ34" i="192"/>
  <c r="AQ34" i="193"/>
  <c r="AQ34" i="191"/>
  <c r="C36" i="192"/>
  <c r="C36" i="191"/>
  <c r="C36" i="193"/>
  <c r="CE23" i="192"/>
  <c r="CE23" i="193"/>
  <c r="CE23" i="191"/>
  <c r="K35"/>
  <c r="K35" i="192"/>
  <c r="K35" i="193"/>
  <c r="C29" i="192"/>
  <c r="C29" i="193"/>
  <c r="C29" i="191"/>
  <c r="AQ15" i="192"/>
  <c r="AQ15" i="191"/>
  <c r="AQ15" i="193"/>
  <c r="C33" i="192"/>
  <c r="C33" i="193"/>
  <c r="C33" i="191"/>
  <c r="S25" i="192"/>
  <c r="S25" i="191"/>
  <c r="S25" i="193"/>
  <c r="AY34" i="192"/>
  <c r="AY34" i="191"/>
  <c r="AY34" i="193"/>
  <c r="C44" i="192"/>
  <c r="C44" i="191"/>
  <c r="C44" i="193"/>
  <c r="K39" i="192"/>
  <c r="K39" i="191"/>
  <c r="K39" i="193"/>
  <c r="BG25" i="192"/>
  <c r="BG25" i="191"/>
  <c r="BG25" i="193"/>
  <c r="C37" i="192"/>
  <c r="C37" i="193"/>
  <c r="C37" i="191"/>
  <c r="AI41" i="192"/>
  <c r="AI41" i="193"/>
  <c r="AI41" i="191"/>
  <c r="BG17" i="192"/>
  <c r="BG17" i="191"/>
  <c r="BG17" i="193"/>
  <c r="BG31" i="191"/>
  <c r="BG31" i="192"/>
  <c r="BG31" i="193"/>
  <c r="AI30" i="192"/>
  <c r="AI30" i="191"/>
  <c r="AI30" i="193"/>
  <c r="BW20" i="192"/>
  <c r="BW20" i="191"/>
  <c r="BW20" i="193"/>
  <c r="AI9" i="192"/>
  <c r="AI9" i="191"/>
  <c r="AI9" i="193"/>
  <c r="AY39" i="192"/>
  <c r="AY39" i="193"/>
  <c r="AY39" i="191"/>
  <c r="S34" i="192"/>
  <c r="S34" i="191"/>
  <c r="S34" i="193"/>
  <c r="AA14" i="192"/>
  <c r="AA14" i="193"/>
  <c r="AA14" i="191"/>
  <c r="K20" i="192"/>
  <c r="K20" i="191"/>
  <c r="K20" i="193"/>
  <c r="AA25" i="192"/>
  <c r="AA25" i="191"/>
  <c r="AA25" i="193"/>
  <c r="S32" i="192"/>
  <c r="S32" i="191"/>
  <c r="S32" i="193"/>
  <c r="AI36" i="192"/>
  <c r="AI36" i="191"/>
  <c r="AI36" i="193"/>
  <c r="CE24" i="192"/>
  <c r="CE24" i="191"/>
  <c r="CE24" i="193"/>
  <c r="BW22" i="192"/>
  <c r="BW22" i="193"/>
  <c r="BW22" i="191"/>
  <c r="C31" i="192"/>
  <c r="C31" i="191"/>
  <c r="C31" i="193"/>
  <c r="CE8" i="192"/>
  <c r="CE8" i="193"/>
  <c r="CE8" i="191"/>
  <c r="BG44" i="192"/>
  <c r="BG44" i="193"/>
  <c r="BG44" i="191"/>
  <c r="CE22" i="192"/>
  <c r="CE22" i="191"/>
  <c r="CE22" i="193"/>
  <c r="BW35" i="192"/>
  <c r="BW35" i="191"/>
  <c r="BW35" i="193"/>
  <c r="K33" i="191"/>
  <c r="K33" i="192"/>
  <c r="K33" i="193"/>
  <c r="BO21" i="192"/>
  <c r="BO21" i="193"/>
  <c r="BO21" i="191"/>
  <c r="AQ25" i="192"/>
  <c r="AQ25" i="191"/>
  <c r="AQ25" i="193"/>
  <c r="BG28" i="192"/>
  <c r="BG28" i="193"/>
  <c r="BG28" i="191"/>
  <c r="BW41" i="192"/>
  <c r="BW41" i="191"/>
  <c r="BW41" i="193"/>
  <c r="K31" i="192"/>
  <c r="K31" i="191"/>
  <c r="K31" i="193"/>
  <c r="BG30" i="192"/>
  <c r="BG30" i="191"/>
  <c r="BG30" i="193"/>
  <c r="K23" i="192"/>
  <c r="K23" i="191"/>
  <c r="K23" i="193"/>
  <c r="CE19" i="192"/>
  <c r="CE19" i="193"/>
  <c r="CE19" i="191"/>
  <c r="BO43" i="192"/>
  <c r="BO43" i="191"/>
  <c r="BO43" i="193"/>
  <c r="K37" i="192"/>
  <c r="K37" i="191"/>
  <c r="K37" i="193"/>
  <c r="AI31" i="192"/>
  <c r="AI31" i="191"/>
  <c r="AI31" i="193"/>
  <c r="S29" i="192"/>
  <c r="S29" i="191"/>
  <c r="S29" i="193"/>
  <c r="AA37" i="192"/>
  <c r="AA37" i="191"/>
  <c r="AA37" i="193"/>
  <c r="K9" i="192"/>
  <c r="K9" i="193"/>
  <c r="K9" i="191"/>
  <c r="K42" i="192"/>
  <c r="K42" i="193"/>
  <c r="K42" i="191"/>
  <c r="BO46"/>
  <c r="BO46" i="192"/>
  <c r="BO46" i="193"/>
  <c r="C47" i="192"/>
  <c r="C47" i="191"/>
  <c r="C47" i="193"/>
  <c r="K47" i="192"/>
  <c r="K47" i="191"/>
  <c r="K47" i="193"/>
  <c r="CE47" i="192"/>
  <c r="CE47" i="193"/>
  <c r="CE47" i="191"/>
  <c r="J48" i="192"/>
  <c r="J48" i="191"/>
  <c r="J48" i="193"/>
  <c r="AP48" i="192"/>
  <c r="AP48" i="191"/>
  <c r="AP48" i="193"/>
  <c r="BV48" i="192"/>
  <c r="BV48" i="191"/>
  <c r="BV48" i="193"/>
  <c r="B30" i="192"/>
  <c r="B30" i="191"/>
  <c r="B30" i="193"/>
  <c r="J17" i="192"/>
  <c r="J17" i="191"/>
  <c r="J17" i="193"/>
  <c r="B35" i="192"/>
  <c r="B35" i="191"/>
  <c r="B35" i="193"/>
  <c r="B40" i="192"/>
  <c r="B40" i="193"/>
  <c r="B40" i="191"/>
  <c r="R44" i="192"/>
  <c r="R44" i="191"/>
  <c r="R44" i="193"/>
  <c r="AX42" i="192"/>
  <c r="AX42" i="193"/>
  <c r="AX42" i="191"/>
  <c r="BF41" i="192"/>
  <c r="BF41" i="191"/>
  <c r="BF41" i="193"/>
  <c r="Z22" i="191"/>
  <c r="Z22" i="193"/>
  <c r="Z22" i="192"/>
  <c r="BV22"/>
  <c r="BV22" i="191"/>
  <c r="BV22" i="193"/>
  <c r="BN23" i="191"/>
  <c r="BN23" i="193"/>
  <c r="BN23" i="192"/>
  <c r="B10"/>
  <c r="B10" i="193"/>
  <c r="B10" i="191"/>
  <c r="BF40" i="192"/>
  <c r="BF40" i="191"/>
  <c r="BF40" i="193"/>
  <c r="BF25" i="192"/>
  <c r="BF25" i="191"/>
  <c r="BF25" i="193"/>
  <c r="BV21" i="192"/>
  <c r="BV21" i="193"/>
  <c r="BV21" i="191"/>
  <c r="BV30" i="192"/>
  <c r="BV30" i="191"/>
  <c r="BV30" i="193"/>
  <c r="AH45" i="192"/>
  <c r="AH45" i="191"/>
  <c r="AH45" i="193"/>
  <c r="Z34" i="192"/>
  <c r="Z34" i="191"/>
  <c r="Z34" i="193"/>
  <c r="BV41" i="192"/>
  <c r="BV41" i="193"/>
  <c r="BV41" i="191"/>
  <c r="BN33" i="192"/>
  <c r="BN33" i="191"/>
  <c r="BN33" i="193"/>
  <c r="CD16" i="191"/>
  <c r="CD16" i="193"/>
  <c r="CD16" i="192"/>
  <c r="CD36"/>
  <c r="CD36" i="191"/>
  <c r="CD36" i="193"/>
  <c r="Z41" i="192"/>
  <c r="Z41" i="191"/>
  <c r="Z41" i="193"/>
  <c r="AH41" i="192"/>
  <c r="AH41" i="191"/>
  <c r="AH41" i="193"/>
  <c r="B34" i="192"/>
  <c r="B34" i="191"/>
  <c r="B34" i="193"/>
  <c r="Z27" i="192"/>
  <c r="Z27" i="193"/>
  <c r="Z27" i="191"/>
  <c r="AX24" i="192"/>
  <c r="AX24" i="191"/>
  <c r="AX24" i="193"/>
  <c r="AP45" i="192"/>
  <c r="AP45" i="193"/>
  <c r="AP45" i="191"/>
  <c r="Z31" i="192"/>
  <c r="Z31" i="193"/>
  <c r="Z31" i="191"/>
  <c r="AH28" i="192"/>
  <c r="AH28" i="193"/>
  <c r="AH28" i="191"/>
  <c r="R33" i="192"/>
  <c r="R33" i="191"/>
  <c r="R33" i="193"/>
  <c r="AX20" i="192"/>
  <c r="AX20" i="191"/>
  <c r="AX20" i="193"/>
  <c r="BV20" i="191"/>
  <c r="BV20" i="193"/>
  <c r="BV20" i="192"/>
  <c r="AP34"/>
  <c r="AP34" i="191"/>
  <c r="AP34" i="193"/>
  <c r="AH15" i="192"/>
  <c r="AH15" i="193"/>
  <c r="AH15" i="191"/>
  <c r="AP46" i="192"/>
  <c r="AP46" i="191"/>
  <c r="AP46" i="193"/>
  <c r="CD46" i="192"/>
  <c r="CD46" i="193"/>
  <c r="CD46" i="191"/>
  <c r="B32" i="192"/>
  <c r="B32" i="193"/>
  <c r="B32" i="191"/>
  <c r="BF29" i="192"/>
  <c r="BF29" i="191"/>
  <c r="BF29" i="193"/>
  <c r="BF23" i="192"/>
  <c r="BF23" i="193"/>
  <c r="BF23" i="191"/>
  <c r="B33" i="192"/>
  <c r="B33" i="191"/>
  <c r="B33" i="193"/>
  <c r="AX38" i="192"/>
  <c r="AX38" i="193"/>
  <c r="AX38" i="191"/>
  <c r="J29" i="192"/>
  <c r="J29" i="193"/>
  <c r="J29" i="191"/>
  <c r="CD13" i="192"/>
  <c r="CD13" i="193"/>
  <c r="CD13" i="191"/>
  <c r="BN21" i="192"/>
  <c r="BN21" i="191"/>
  <c r="BN21" i="193"/>
  <c r="AP23" i="192"/>
  <c r="AP23" i="191"/>
  <c r="AP23" i="193"/>
  <c r="R39" i="192"/>
  <c r="R39" i="191"/>
  <c r="R39" i="193"/>
  <c r="CD9" i="192"/>
  <c r="CD9" i="191"/>
  <c r="CD9" i="193"/>
  <c r="BF39" i="192"/>
  <c r="BF39" i="193"/>
  <c r="BF39" i="191"/>
  <c r="AX14" i="192"/>
  <c r="AX14" i="191"/>
  <c r="AX14" i="193"/>
  <c r="AP30" i="192"/>
  <c r="AP30" i="191"/>
  <c r="AP30" i="193"/>
  <c r="J22" i="192"/>
  <c r="J22" i="191"/>
  <c r="J22" i="193"/>
  <c r="J16" i="192"/>
  <c r="J16" i="193"/>
  <c r="J16" i="191"/>
  <c r="CD25"/>
  <c r="CD25" i="192"/>
  <c r="CD25" i="193"/>
  <c r="AX19" i="192"/>
  <c r="AX19" i="191"/>
  <c r="AX19" i="193"/>
  <c r="B13" i="192"/>
  <c r="B13" i="191"/>
  <c r="B13" i="193"/>
  <c r="R22" i="192"/>
  <c r="R22" i="193"/>
  <c r="R22" i="191"/>
  <c r="Z30" i="192"/>
  <c r="Z30" i="191"/>
  <c r="Z30" i="193"/>
  <c r="AH44" i="192"/>
  <c r="AH44" i="193"/>
  <c r="AH44" i="191"/>
  <c r="R43" i="192"/>
  <c r="R43" i="191"/>
  <c r="R43" i="193"/>
  <c r="CD38" i="192"/>
  <c r="CD38" i="193"/>
  <c r="CD38" i="191"/>
  <c r="J35" i="192"/>
  <c r="J35" i="191"/>
  <c r="J35" i="193"/>
  <c r="Z9"/>
  <c r="Z9" i="191"/>
  <c r="Z9" i="192"/>
  <c r="CD39"/>
  <c r="CD39" i="191"/>
  <c r="CD39" i="193"/>
  <c r="R25" i="191"/>
  <c r="R25" i="192"/>
  <c r="R25" i="193"/>
  <c r="J36" i="192"/>
  <c r="J36" i="191"/>
  <c r="J36" i="193"/>
  <c r="Z14" i="192"/>
  <c r="Z14" i="191"/>
  <c r="Z14" i="193"/>
  <c r="AX21" i="191"/>
  <c r="AX21" i="193"/>
  <c r="AX21" i="192"/>
  <c r="BF13"/>
  <c r="BF13" i="191"/>
  <c r="BF13" i="193"/>
  <c r="R10" i="192"/>
  <c r="R10" i="191"/>
  <c r="R10" i="193"/>
  <c r="BF26" i="191"/>
  <c r="BF26" i="193"/>
  <c r="BF26" i="192"/>
  <c r="R13"/>
  <c r="R13" i="193"/>
  <c r="R13" i="191"/>
  <c r="BF17"/>
  <c r="BF17" i="193"/>
  <c r="BF17" i="192"/>
  <c r="J37"/>
  <c r="J37" i="193"/>
  <c r="J37" i="191"/>
  <c r="AP24"/>
  <c r="AP24" i="193"/>
  <c r="AP24" i="192"/>
  <c r="J19"/>
  <c r="J19" i="191"/>
  <c r="J19" i="193"/>
  <c r="CD40" i="192"/>
  <c r="CD40" i="191"/>
  <c r="CD40" i="193"/>
  <c r="R40" i="191"/>
  <c r="R40" i="193"/>
  <c r="R40" i="192"/>
  <c r="AX33"/>
  <c r="AX33" i="191"/>
  <c r="AX33" i="193"/>
  <c r="Z39" i="192"/>
  <c r="Z39" i="193"/>
  <c r="Z39" i="191"/>
  <c r="AP32" i="192"/>
  <c r="AP32" i="191"/>
  <c r="AP32" i="193"/>
  <c r="AP28" i="192"/>
  <c r="AP28" i="191"/>
  <c r="AP28" i="193"/>
  <c r="BV44" i="192"/>
  <c r="BV44" i="191"/>
  <c r="BV44" i="193"/>
  <c r="B25" i="192"/>
  <c r="B25" i="191"/>
  <c r="B25" i="193"/>
  <c r="AP12" i="192"/>
  <c r="AP12" i="193"/>
  <c r="AP12" i="191"/>
  <c r="R42" i="192"/>
  <c r="R42" i="193"/>
  <c r="R42" i="191"/>
  <c r="R37" i="192"/>
  <c r="R37" i="191"/>
  <c r="R37" i="193"/>
  <c r="BN46" i="192"/>
  <c r="BN46" i="191"/>
  <c r="BN46" i="193"/>
  <c r="Z46" i="192"/>
  <c r="Z46" i="191"/>
  <c r="Z46" i="193"/>
  <c r="AX9" i="192"/>
  <c r="AX9" i="191"/>
  <c r="AX9" i="193"/>
  <c r="BV35" i="192"/>
  <c r="BV35" i="191"/>
  <c r="BV35" i="193"/>
  <c r="AP15" i="191"/>
  <c r="AP15" i="193"/>
  <c r="AP15" i="192"/>
  <c r="AX15"/>
  <c r="AX15" i="191"/>
  <c r="AX15" i="193"/>
  <c r="Z36" i="192"/>
  <c r="Z36" i="191"/>
  <c r="Z36" i="193"/>
  <c r="J40" i="192"/>
  <c r="J40" i="191"/>
  <c r="J40" i="193"/>
  <c r="Z28" i="192"/>
  <c r="Z28" i="191"/>
  <c r="Z28" i="193"/>
  <c r="BV31" i="192"/>
  <c r="BV31" i="191"/>
  <c r="BV31" i="193"/>
  <c r="BV45" i="192"/>
  <c r="BV45" i="193"/>
  <c r="BV45" i="191"/>
  <c r="R28" i="192"/>
  <c r="R28" i="191"/>
  <c r="R28" i="193"/>
  <c r="BF34" i="192"/>
  <c r="BF34" i="191"/>
  <c r="BF34" i="193"/>
  <c r="J43" i="191"/>
  <c r="J43" i="193"/>
  <c r="J43" i="192"/>
  <c r="J15"/>
  <c r="J15" i="191"/>
  <c r="J15" i="193"/>
  <c r="R34" i="192"/>
  <c r="R34" i="193"/>
  <c r="R34" i="191"/>
  <c r="R38" i="192"/>
  <c r="R38" i="193"/>
  <c r="R38" i="191"/>
  <c r="BV33" i="192"/>
  <c r="BV33" i="193"/>
  <c r="BV33" i="191"/>
  <c r="BN47" i="192"/>
  <c r="BN47" i="191"/>
  <c r="BN47" i="193"/>
  <c r="AX47" i="192"/>
  <c r="AX47" i="191"/>
  <c r="AX47" i="193"/>
  <c r="R47" i="192"/>
  <c r="R47" i="191"/>
  <c r="R47" i="193"/>
  <c r="CE48" i="62"/>
  <c r="CE48" i="38"/>
  <c r="DG52" i="58"/>
  <c r="BW48" i="62"/>
  <c r="BW48" i="38"/>
  <c r="CW52" i="58"/>
  <c r="BO48" i="62"/>
  <c r="BO48" i="38"/>
  <c r="CM52" i="58"/>
  <c r="BG48" i="62"/>
  <c r="BG48" i="38"/>
  <c r="CC52" i="58"/>
  <c r="AY48" i="62"/>
  <c r="AY48" i="38"/>
  <c r="BS52" i="58"/>
  <c r="AQ48" i="62"/>
  <c r="AQ48" i="38"/>
  <c r="BI52" i="58"/>
  <c r="AI48" i="62"/>
  <c r="AI48" i="38"/>
  <c r="AY52" i="58"/>
  <c r="AA48" i="62"/>
  <c r="AA48" i="38"/>
  <c r="AO52" i="58"/>
  <c r="S48" i="62"/>
  <c r="S48" i="38"/>
  <c r="AE52" i="58"/>
  <c r="K48" i="62"/>
  <c r="K48" i="38"/>
  <c r="U52" i="58"/>
  <c r="C48" i="62"/>
  <c r="C48" i="38"/>
  <c r="K52" i="58"/>
  <c r="B48" i="62"/>
  <c r="B48" i="38"/>
  <c r="B34" i="205" s="1"/>
  <c r="I52" i="58"/>
  <c r="J48" i="62"/>
  <c r="J48" i="38"/>
  <c r="C34" i="205" s="1"/>
  <c r="S52" i="58"/>
  <c r="R48" i="62"/>
  <c r="R48" i="38"/>
  <c r="D34" i="205" s="1"/>
  <c r="AC52" i="58"/>
  <c r="Z48" i="62"/>
  <c r="Z48" i="38"/>
  <c r="E34" i="205" s="1"/>
  <c r="AM52" i="58"/>
  <c r="AH48" i="62"/>
  <c r="AH48" i="38"/>
  <c r="F34" i="205" s="1"/>
  <c r="AW52" i="58"/>
  <c r="AP48" i="62"/>
  <c r="AP48" i="38"/>
  <c r="G34" i="205" s="1"/>
  <c r="BG52" i="58"/>
  <c r="AX48" i="62"/>
  <c r="AX48" i="38"/>
  <c r="H34" i="205" s="1"/>
  <c r="BQ52" i="58"/>
  <c r="BF48" i="62"/>
  <c r="BF48" i="38"/>
  <c r="I34" i="205" s="1"/>
  <c r="CA52" i="58"/>
  <c r="BN48" i="62"/>
  <c r="BN48" i="38"/>
  <c r="J34" i="205" s="1"/>
  <c r="CK52" i="58"/>
  <c r="BV48" i="62"/>
  <c r="BV48" i="38"/>
  <c r="K34" i="205" s="1"/>
  <c r="CU52" i="58"/>
  <c r="CD48" i="62"/>
  <c r="CD48" i="38"/>
  <c r="L34" i="205" s="1"/>
  <c r="DE52" i="58"/>
  <c r="K10" i="62"/>
  <c r="K10" i="38"/>
  <c r="AI23"/>
  <c r="AI23" i="62"/>
  <c r="AA45"/>
  <c r="AA45" i="38"/>
  <c r="AY45" i="62"/>
  <c r="AY45" i="38"/>
  <c r="AY20" i="62"/>
  <c r="AY20" i="38"/>
  <c r="BG10" i="62"/>
  <c r="BG10" i="38"/>
  <c r="AA41"/>
  <c r="AA41" i="62"/>
  <c r="AA32" i="38"/>
  <c r="AA32" i="62"/>
  <c r="S20"/>
  <c r="S20" i="38"/>
  <c r="K19"/>
  <c r="K19" i="62"/>
  <c r="S41" i="38"/>
  <c r="S41" i="62"/>
  <c r="CE35" i="38"/>
  <c r="CE35" i="62"/>
  <c r="AQ13"/>
  <c r="AQ13" i="38"/>
  <c r="CE45" i="62"/>
  <c r="CE45" i="38"/>
  <c r="K16" i="62"/>
  <c r="K16" i="38"/>
  <c r="S9" i="62"/>
  <c r="S9" i="38"/>
  <c r="K40" i="62"/>
  <c r="K40" i="38"/>
  <c r="C32"/>
  <c r="C32" i="62"/>
  <c r="AA23" i="38"/>
  <c r="AA23" i="62"/>
  <c r="C35" i="38"/>
  <c r="C35" i="62"/>
  <c r="AI33" i="38"/>
  <c r="AI33" i="62"/>
  <c r="AQ40"/>
  <c r="AQ40" i="38"/>
  <c r="K25"/>
  <c r="K25" i="62"/>
  <c r="S33" i="38"/>
  <c r="S33" i="62"/>
  <c r="AQ29"/>
  <c r="AQ29" i="38"/>
  <c r="AY30" i="62"/>
  <c r="AY30" i="38"/>
  <c r="BW44"/>
  <c r="BW44" i="62"/>
  <c r="AQ12"/>
  <c r="AQ12" i="38"/>
  <c r="K24" i="62"/>
  <c r="K24" i="38"/>
  <c r="AA16"/>
  <c r="AA16" i="62"/>
  <c r="K27" i="38"/>
  <c r="K27" i="62"/>
  <c r="C16"/>
  <c r="C16" i="38"/>
  <c r="BO13"/>
  <c r="BO13" i="62"/>
  <c r="AA36"/>
  <c r="AA36" i="38"/>
  <c r="AY42"/>
  <c r="AY42" i="62"/>
  <c r="S14"/>
  <c r="S14" i="38"/>
  <c r="BG20" i="62"/>
  <c r="BG20" i="38"/>
  <c r="BW9" i="62"/>
  <c r="BW9" i="38"/>
  <c r="AI34"/>
  <c r="AI34" i="62"/>
  <c r="AQ9" i="38"/>
  <c r="AQ9" i="62"/>
  <c r="AA8" i="38"/>
  <c r="AA8" i="62"/>
  <c r="AY16"/>
  <c r="AY16" i="38"/>
  <c r="C11"/>
  <c r="C11" i="62"/>
  <c r="AI14" i="38"/>
  <c r="AI14" i="62"/>
  <c r="BW24"/>
  <c r="BW24" i="38"/>
  <c r="C20" i="62"/>
  <c r="C20" i="38"/>
  <c r="AI32" i="62"/>
  <c r="AI32" i="38"/>
  <c r="AQ30" i="62"/>
  <c r="AQ30" i="38"/>
  <c r="AY21"/>
  <c r="AY21" i="62"/>
  <c r="CE39"/>
  <c r="CE39" i="38"/>
  <c r="C15" i="62"/>
  <c r="C15" i="38"/>
  <c r="C14"/>
  <c r="C14" i="62"/>
  <c r="K15"/>
  <c r="K15" i="38"/>
  <c r="C34"/>
  <c r="C34" i="62"/>
  <c r="AY44"/>
  <c r="AY44" i="38"/>
  <c r="CE27"/>
  <c r="CE27" i="62"/>
  <c r="BO40"/>
  <c r="BO40" i="38"/>
  <c r="BO19" i="62"/>
  <c r="BO19" i="38"/>
  <c r="C43" i="62"/>
  <c r="C43" i="38"/>
  <c r="AY22"/>
  <c r="AY22" i="62"/>
  <c r="AA28" i="38"/>
  <c r="AA28" i="62"/>
  <c r="BW26" i="38"/>
  <c r="BW26" i="62"/>
  <c r="BG43" i="38"/>
  <c r="BG43" i="62"/>
  <c r="AY8"/>
  <c r="AY8" i="38"/>
  <c r="CE20"/>
  <c r="CE20" i="62"/>
  <c r="S16" i="38"/>
  <c r="S16" i="62"/>
  <c r="AQ28"/>
  <c r="AQ28" i="38"/>
  <c r="CE30" i="62"/>
  <c r="CE30" i="38"/>
  <c r="AQ41" i="62"/>
  <c r="AQ41" i="38"/>
  <c r="BG42" i="62"/>
  <c r="BG42" i="38"/>
  <c r="AA9" i="62"/>
  <c r="AA9" i="38"/>
  <c r="CE28" i="62"/>
  <c r="CE28" i="38"/>
  <c r="AQ26" i="62"/>
  <c r="AQ26" i="38"/>
  <c r="CE31"/>
  <c r="CE31" i="62"/>
  <c r="C42" i="38"/>
  <c r="C42" i="62"/>
  <c r="C8" i="38"/>
  <c r="C8" i="62"/>
  <c r="K38" i="38"/>
  <c r="K38" i="62"/>
  <c r="AY40" i="38"/>
  <c r="AY40" i="62"/>
  <c r="BG29"/>
  <c r="BG29" i="38"/>
  <c r="AI35"/>
  <c r="AI35" i="62"/>
  <c r="BG32" i="38"/>
  <c r="BG32" i="62"/>
  <c r="BO14" i="38"/>
  <c r="BO14" i="62"/>
  <c r="S31"/>
  <c r="S31" i="38"/>
  <c r="BO42" i="62"/>
  <c r="BO42" i="38"/>
  <c r="AI28"/>
  <c r="AI28" i="62"/>
  <c r="AA29" i="38"/>
  <c r="AA29" i="62"/>
  <c r="S36" i="38"/>
  <c r="S36" i="62"/>
  <c r="BO25"/>
  <c r="BO25" i="38"/>
  <c r="AA31" i="62"/>
  <c r="AA31" i="38"/>
  <c r="K21"/>
  <c r="K21" i="62"/>
  <c r="AA33" i="38"/>
  <c r="AA33" i="62"/>
  <c r="AI16" i="38"/>
  <c r="AI16" i="62"/>
  <c r="AY14" i="38"/>
  <c r="AY14" i="62"/>
  <c r="BW21"/>
  <c r="BW21" i="38"/>
  <c r="K34"/>
  <c r="K34" i="62"/>
  <c r="AQ27" i="38"/>
  <c r="AQ27" i="62"/>
  <c r="CE21"/>
  <c r="CE21" i="38"/>
  <c r="BO31" i="62"/>
  <c r="BO31" i="38"/>
  <c r="BO26"/>
  <c r="BO26" i="62"/>
  <c r="AQ33" i="38"/>
  <c r="AQ33" i="62"/>
  <c r="AY36" i="38"/>
  <c r="AY36" i="62"/>
  <c r="BW30" i="38"/>
  <c r="BW30" i="62"/>
  <c r="C26"/>
  <c r="C26" i="38"/>
  <c r="BO20"/>
  <c r="BO20" i="62"/>
  <c r="C10"/>
  <c r="C10" i="38"/>
  <c r="CE33" i="62"/>
  <c r="CE33" i="38"/>
  <c r="AI38"/>
  <c r="AI38" i="62"/>
  <c r="BW10"/>
  <c r="BW10" i="38"/>
  <c r="BO36" i="62"/>
  <c r="BO36" i="38"/>
  <c r="BW29" i="62"/>
  <c r="BW29" i="38"/>
  <c r="AY32" i="62"/>
  <c r="AY32" i="38"/>
  <c r="BW43" i="62"/>
  <c r="BW43" i="38"/>
  <c r="AY33"/>
  <c r="AY33" i="62"/>
  <c r="AQ42"/>
  <c r="AQ42" i="38"/>
  <c r="AA27"/>
  <c r="AA27" i="62"/>
  <c r="AI17"/>
  <c r="AI17" i="38"/>
  <c r="BO35" i="62"/>
  <c r="BO35" i="38"/>
  <c r="BW34"/>
  <c r="BW34" i="62"/>
  <c r="AI40" i="38"/>
  <c r="AI40" i="62"/>
  <c r="BO10" i="38"/>
  <c r="BO10" i="62"/>
  <c r="AI11" i="38"/>
  <c r="AI11" i="62"/>
  <c r="AI26" i="38"/>
  <c r="AI26" i="62"/>
  <c r="S45"/>
  <c r="S45" i="38"/>
  <c r="AY43"/>
  <c r="AY43" i="62"/>
  <c r="K14"/>
  <c r="K14" i="38"/>
  <c r="AY41" i="62"/>
  <c r="AY41" i="38"/>
  <c r="AI39" i="62"/>
  <c r="AI39" i="38"/>
  <c r="CE11" i="62"/>
  <c r="CE11" i="38"/>
  <c r="C19"/>
  <c r="C19" i="62"/>
  <c r="C9"/>
  <c r="C9" i="38"/>
  <c r="AI44"/>
  <c r="AI44" i="62"/>
  <c r="AA10"/>
  <c r="AA10" i="38"/>
  <c r="AI24"/>
  <c r="AI24" i="62"/>
  <c r="S12" i="38"/>
  <c r="S12" i="62"/>
  <c r="C28" i="38"/>
  <c r="C28" i="62"/>
  <c r="BG11"/>
  <c r="BG11" i="38"/>
  <c r="C21" i="62"/>
  <c r="C21" i="38"/>
  <c r="K43" i="62"/>
  <c r="K43" i="38"/>
  <c r="CE43" i="62"/>
  <c r="CE43" i="38"/>
  <c r="BG23" i="62"/>
  <c r="BG23" i="38"/>
  <c r="AA24"/>
  <c r="AA24" i="62"/>
  <c r="S21"/>
  <c r="S21" i="38"/>
  <c r="AY13" i="62"/>
  <c r="AY13" i="38"/>
  <c r="BG19"/>
  <c r="BG19" i="62"/>
  <c r="CE25"/>
  <c r="CE25" i="38"/>
  <c r="AI29"/>
  <c r="AI29" i="62"/>
  <c r="K13"/>
  <c r="K13" i="38"/>
  <c r="BO12"/>
  <c r="BO12" i="62"/>
  <c r="AA20"/>
  <c r="AA20" i="38"/>
  <c r="BO8" i="62"/>
  <c r="BO8" i="38"/>
  <c r="S44" i="62"/>
  <c r="S44" i="38"/>
  <c r="C41" i="62"/>
  <c r="C41" i="38"/>
  <c r="AA19"/>
  <c r="AA19" i="62"/>
  <c r="C38" i="38"/>
  <c r="C38" i="62"/>
  <c r="K29"/>
  <c r="K29" i="38"/>
  <c r="BO11" i="62"/>
  <c r="BO11" i="38"/>
  <c r="AI37" i="62"/>
  <c r="AI37" i="38"/>
  <c r="BW19" i="62"/>
  <c r="BW19" i="38"/>
  <c r="AQ37"/>
  <c r="AQ37" i="62"/>
  <c r="AI10"/>
  <c r="AI10" i="38"/>
  <c r="CE12"/>
  <c r="CE12" i="62"/>
  <c r="AI45"/>
  <c r="AI45" i="38"/>
  <c r="AI19" i="62"/>
  <c r="AI19" i="38"/>
  <c r="BG26" i="62"/>
  <c r="BG26" i="38"/>
  <c r="S17" i="62"/>
  <c r="S17" i="38"/>
  <c r="BG9"/>
  <c r="BG9" i="62"/>
  <c r="S26"/>
  <c r="S26" i="38"/>
  <c r="AA43"/>
  <c r="AA43" i="62"/>
  <c r="BW27" i="38"/>
  <c r="BW27" i="62"/>
  <c r="C23" i="38"/>
  <c r="C23" i="62"/>
  <c r="BW37"/>
  <c r="BW37" i="38"/>
  <c r="BO17"/>
  <c r="BO17" i="62"/>
  <c r="AY29" i="38"/>
  <c r="AY29" i="62"/>
  <c r="AQ10"/>
  <c r="AQ10" i="38"/>
  <c r="BO30"/>
  <c r="BO30" i="62"/>
  <c r="S19" i="38"/>
  <c r="S19" i="62"/>
  <c r="BO38" i="38"/>
  <c r="BO38" i="62"/>
  <c r="S43" i="38"/>
  <c r="S43" i="62"/>
  <c r="C40"/>
  <c r="C40" i="38"/>
  <c r="AA40" i="62"/>
  <c r="AA40" i="38"/>
  <c r="AA30"/>
  <c r="AA30" i="62"/>
  <c r="BO34" i="38"/>
  <c r="BO34" i="62"/>
  <c r="K12" i="38"/>
  <c r="K12" i="62"/>
  <c r="S22" i="38"/>
  <c r="S22" i="62"/>
  <c r="CE14"/>
  <c r="CE14" i="38"/>
  <c r="AQ35" i="62"/>
  <c r="AQ35" i="38"/>
  <c r="AY15" i="62"/>
  <c r="AY15" i="38"/>
  <c r="AQ19"/>
  <c r="AQ19" i="62"/>
  <c r="BO39"/>
  <c r="BO39" i="38"/>
  <c r="AQ43"/>
  <c r="AQ43" i="62"/>
  <c r="AI25" i="38"/>
  <c r="AI25" i="62"/>
  <c r="BW28" i="38"/>
  <c r="BW28" i="62"/>
  <c r="S30" i="38"/>
  <c r="S30" i="62"/>
  <c r="K11"/>
  <c r="K11" i="38"/>
  <c r="K41"/>
  <c r="K41" i="62"/>
  <c r="CE44" i="38"/>
  <c r="CE44" i="62"/>
  <c r="S11"/>
  <c r="S11" i="38"/>
  <c r="BW15"/>
  <c r="BW15" i="62"/>
  <c r="CE34"/>
  <c r="CE34" i="38"/>
  <c r="S24"/>
  <c r="S24" i="62"/>
  <c r="CE10" i="38"/>
  <c r="CE10" i="62"/>
  <c r="S28"/>
  <c r="S28" i="38"/>
  <c r="AA22"/>
  <c r="AA22" i="62"/>
  <c r="S23" i="38"/>
  <c r="S23" i="62"/>
  <c r="K17"/>
  <c r="K17" i="38"/>
  <c r="BG13"/>
  <c r="BG13" i="62"/>
  <c r="AY24" i="38"/>
  <c r="AY24" i="62"/>
  <c r="C22" i="38"/>
  <c r="C22" i="62"/>
  <c r="AQ45" i="38"/>
  <c r="AQ45" i="62"/>
  <c r="CE26"/>
  <c r="CE26" i="38"/>
  <c r="BO32" i="62"/>
  <c r="BO32" i="38"/>
  <c r="AQ46" i="62"/>
  <c r="AQ46" i="38"/>
  <c r="K46" i="62"/>
  <c r="K46" i="38"/>
  <c r="CE46" i="62"/>
  <c r="CE46" i="38"/>
  <c r="S46" i="62"/>
  <c r="S46" i="38"/>
  <c r="AI46" i="62"/>
  <c r="AI46" i="38"/>
  <c r="AY23"/>
  <c r="AY23" i="62"/>
  <c r="AQ34"/>
  <c r="AQ34" i="38"/>
  <c r="C25"/>
  <c r="C25" i="62"/>
  <c r="BG22" i="38"/>
  <c r="BG22" i="62"/>
  <c r="BO22"/>
  <c r="BO22" i="38"/>
  <c r="C36"/>
  <c r="C36" i="62"/>
  <c r="AI42" i="38"/>
  <c r="AI42" i="62"/>
  <c r="BG33" i="38"/>
  <c r="BG33" i="62"/>
  <c r="K26"/>
  <c r="K26" i="38"/>
  <c r="CE23" i="62"/>
  <c r="CE23" i="38"/>
  <c r="BO41"/>
  <c r="BO41" i="62"/>
  <c r="S27" i="38"/>
  <c r="S27" i="62"/>
  <c r="BO37" i="38"/>
  <c r="BO37" i="62"/>
  <c r="K35" i="38"/>
  <c r="K35" i="62"/>
  <c r="CE41"/>
  <c r="CE41" i="38"/>
  <c r="S39"/>
  <c r="S39" i="62"/>
  <c r="BW14"/>
  <c r="BW14" i="38"/>
  <c r="C29"/>
  <c r="C29" i="62"/>
  <c r="AQ24" i="38"/>
  <c r="AQ24" i="62"/>
  <c r="AA17" i="38"/>
  <c r="AA17" i="62"/>
  <c r="BW11" i="38"/>
  <c r="BW11" i="62"/>
  <c r="AQ15"/>
  <c r="AQ15" i="38"/>
  <c r="AA38" i="62"/>
  <c r="AA38" i="38"/>
  <c r="AQ14"/>
  <c r="AQ14" i="62"/>
  <c r="BW32" i="38"/>
  <c r="BW32" i="62"/>
  <c r="C33" i="38"/>
  <c r="C33" i="62"/>
  <c r="BO33" i="38"/>
  <c r="BO33" i="62"/>
  <c r="AQ11"/>
  <c r="AQ11" i="38"/>
  <c r="BG16"/>
  <c r="BG16" i="62"/>
  <c r="S25" i="38"/>
  <c r="S25" i="62"/>
  <c r="BG40"/>
  <c r="BG40" i="38"/>
  <c r="BG24"/>
  <c r="BG24" i="62"/>
  <c r="CE29" i="38"/>
  <c r="CE29" i="62"/>
  <c r="AY34" i="38"/>
  <c r="AY34" i="62"/>
  <c r="AQ8"/>
  <c r="AQ8" i="38"/>
  <c r="AQ39"/>
  <c r="AQ39" i="62"/>
  <c r="CE37"/>
  <c r="CE37" i="38"/>
  <c r="C44" i="62"/>
  <c r="C44" i="38"/>
  <c r="AQ21" i="62"/>
  <c r="AQ21" i="38"/>
  <c r="BG38" i="62"/>
  <c r="BG38" i="38"/>
  <c r="CE9"/>
  <c r="CE9" i="62"/>
  <c r="K39"/>
  <c r="K39" i="38"/>
  <c r="AQ20" i="62"/>
  <c r="AQ20" i="38"/>
  <c r="BG39"/>
  <c r="BG39" i="62"/>
  <c r="AY25" i="38"/>
  <c r="AY25" i="62"/>
  <c r="BG25"/>
  <c r="BG25" i="38"/>
  <c r="BO28"/>
  <c r="BO28" i="62"/>
  <c r="S15"/>
  <c r="S15" i="38"/>
  <c r="AA44"/>
  <c r="AA44" i="62"/>
  <c r="C37"/>
  <c r="C37" i="38"/>
  <c r="BG37" i="62"/>
  <c r="BG37" i="38"/>
  <c r="CE13" i="62"/>
  <c r="CE13" i="38"/>
  <c r="AA12" i="62"/>
  <c r="AA12" i="38"/>
  <c r="AI41"/>
  <c r="AI41" i="62"/>
  <c r="BO44"/>
  <c r="BO44" i="38"/>
  <c r="CE42" i="62"/>
  <c r="CE42" i="38"/>
  <c r="CE38"/>
  <c r="CE38" i="62"/>
  <c r="BG17" i="38"/>
  <c r="BG17" i="62"/>
  <c r="C45"/>
  <c r="C45" i="38"/>
  <c r="BO23"/>
  <c r="BO23" i="62"/>
  <c r="S13"/>
  <c r="S13" i="38"/>
  <c r="BG31" i="62"/>
  <c r="BG31" i="38"/>
  <c r="BG12"/>
  <c r="BG12" i="62"/>
  <c r="AY11"/>
  <c r="AY11" i="38"/>
  <c r="BW12" i="62"/>
  <c r="BW12" i="38"/>
  <c r="AI30"/>
  <c r="AI30" i="62"/>
  <c r="AY12" i="38"/>
  <c r="AY12" i="62"/>
  <c r="CE36" i="38"/>
  <c r="CE36" i="62"/>
  <c r="AI43" i="38"/>
  <c r="AI43" i="62"/>
  <c r="BW20"/>
  <c r="BW20" i="38"/>
  <c r="AA13"/>
  <c r="AA13" i="62"/>
  <c r="BO29"/>
  <c r="BO29" i="38"/>
  <c r="K44"/>
  <c r="K44" i="62"/>
  <c r="AI9" i="38"/>
  <c r="AI9" i="62"/>
  <c r="AI20" i="38"/>
  <c r="AI20" i="62"/>
  <c r="AQ32" i="38"/>
  <c r="AQ32" i="62"/>
  <c r="AY31" i="38"/>
  <c r="AY31" i="62"/>
  <c r="AY39" i="38"/>
  <c r="AY39" i="62"/>
  <c r="AY10" i="38"/>
  <c r="AY10" i="62"/>
  <c r="AY27" i="38"/>
  <c r="AY27" i="62"/>
  <c r="BO45" i="38"/>
  <c r="BO45" i="62"/>
  <c r="S34" i="38"/>
  <c r="S34" i="62"/>
  <c r="AY37" i="38"/>
  <c r="AY37" i="62"/>
  <c r="S35"/>
  <c r="S35" i="38"/>
  <c r="BW40" i="62"/>
  <c r="BW40" i="38"/>
  <c r="AA14" i="62"/>
  <c r="AA14" i="38"/>
  <c r="BW33" i="62"/>
  <c r="BW33" i="38"/>
  <c r="S38" i="62"/>
  <c r="S38" i="38"/>
  <c r="S8"/>
  <c r="S8" i="62"/>
  <c r="K20" i="38"/>
  <c r="K20" i="62"/>
  <c r="AI27"/>
  <c r="AI27" i="38"/>
  <c r="BO27" i="62"/>
  <c r="BO27" i="38"/>
  <c r="AQ31" i="62"/>
  <c r="AQ31" i="38"/>
  <c r="AA25" i="62"/>
  <c r="AA25" i="38"/>
  <c r="K36"/>
  <c r="K36" i="62"/>
  <c r="C12" i="38"/>
  <c r="C12" i="62"/>
  <c r="AA39"/>
  <c r="AA39" i="38"/>
  <c r="S32"/>
  <c r="S32" i="62"/>
  <c r="BG14"/>
  <c r="BG14" i="38"/>
  <c r="BW13" i="62"/>
  <c r="BW13" i="38"/>
  <c r="AA34"/>
  <c r="AA34" i="62"/>
  <c r="AI36" i="38"/>
  <c r="AI36" i="62"/>
  <c r="BG21" i="38"/>
  <c r="BG21" i="62"/>
  <c r="AY17" i="38"/>
  <c r="AY17" i="62"/>
  <c r="AQ17" i="38"/>
  <c r="AQ17" i="62"/>
  <c r="CE24"/>
  <c r="CE24" i="38"/>
  <c r="C24"/>
  <c r="C24" i="62"/>
  <c r="K28" i="38"/>
  <c r="K28" i="62"/>
  <c r="AI12" i="38"/>
  <c r="AI12" i="62"/>
  <c r="BW22"/>
  <c r="BW22" i="38"/>
  <c r="BG34"/>
  <c r="BG34" i="62"/>
  <c r="AQ23" i="38"/>
  <c r="AQ23" i="62"/>
  <c r="BW38"/>
  <c r="BW38" i="38"/>
  <c r="C31"/>
  <c r="C31" i="62"/>
  <c r="AI13"/>
  <c r="AI13" i="38"/>
  <c r="AY26"/>
  <c r="AY26" i="62"/>
  <c r="AQ16" i="38"/>
  <c r="AQ16" i="62"/>
  <c r="CE8"/>
  <c r="CE8" i="38"/>
  <c r="BW16" i="62"/>
  <c r="BW16" i="38"/>
  <c r="BG45"/>
  <c r="BG45" i="62"/>
  <c r="AQ22" i="38"/>
  <c r="AQ22" i="62"/>
  <c r="BG44"/>
  <c r="BG44" i="38"/>
  <c r="BW23" i="62"/>
  <c r="BW23" i="38"/>
  <c r="AQ44" i="62"/>
  <c r="AQ44" i="38"/>
  <c r="AQ38" i="62"/>
  <c r="AQ38" i="38"/>
  <c r="CE22" i="62"/>
  <c r="CE22" i="38"/>
  <c r="K30" i="62"/>
  <c r="K30" i="38"/>
  <c r="AY19"/>
  <c r="AY19" i="62"/>
  <c r="AA21" i="38"/>
  <c r="AA21" i="62"/>
  <c r="BW35"/>
  <c r="BW35" i="38"/>
  <c r="AY9" i="62"/>
  <c r="AY9" i="38"/>
  <c r="S42"/>
  <c r="S42" i="62"/>
  <c r="BW39" i="38"/>
  <c r="BW39" i="62"/>
  <c r="K33" i="38"/>
  <c r="K33" i="62"/>
  <c r="AA11" i="38"/>
  <c r="AA11" i="62"/>
  <c r="S10" i="38"/>
  <c r="S10" i="62"/>
  <c r="BO24" i="38"/>
  <c r="BO24" i="62"/>
  <c r="BO21" i="38"/>
  <c r="BO21" i="62"/>
  <c r="BO16" i="38"/>
  <c r="BO16" i="62"/>
  <c r="BG41" i="38"/>
  <c r="BG41" i="62"/>
  <c r="BG35" i="38"/>
  <c r="BG35" i="62"/>
  <c r="AQ25"/>
  <c r="AQ25" i="38"/>
  <c r="C30" i="62"/>
  <c r="C30" i="38"/>
  <c r="BO9" i="62"/>
  <c r="BO9" i="38"/>
  <c r="CE15"/>
  <c r="CE15" i="62"/>
  <c r="BG28"/>
  <c r="BG28" i="38"/>
  <c r="K32"/>
  <c r="K32" i="62"/>
  <c r="BG36" i="38"/>
  <c r="BG36" i="62"/>
  <c r="S37"/>
  <c r="S37" i="38"/>
  <c r="BW41"/>
  <c r="BW41" i="62"/>
  <c r="AY28" i="38"/>
  <c r="AY28" i="62"/>
  <c r="BW42" i="38"/>
  <c r="BW42" i="62"/>
  <c r="K8" i="38"/>
  <c r="K8" i="62"/>
  <c r="K31" i="38"/>
  <c r="K31" i="62"/>
  <c r="CE40"/>
  <c r="CE40" i="38"/>
  <c r="AY35" i="62"/>
  <c r="AY35" i="38"/>
  <c r="C17" i="62"/>
  <c r="C17" i="38"/>
  <c r="BG30" i="62"/>
  <c r="BG30" i="38"/>
  <c r="C27" i="62"/>
  <c r="C27" i="38"/>
  <c r="BW36" i="62"/>
  <c r="BW36" i="38"/>
  <c r="CE16"/>
  <c r="CE16" i="62"/>
  <c r="K23" i="38"/>
  <c r="K23" i="62"/>
  <c r="K45" i="38"/>
  <c r="K45" i="62"/>
  <c r="AA35"/>
  <c r="AA35" i="38"/>
  <c r="BW31"/>
  <c r="BW31" i="62"/>
  <c r="CE19" i="38"/>
  <c r="CE19" i="62"/>
  <c r="AI8"/>
  <c r="AI8" i="38"/>
  <c r="AA15"/>
  <c r="AA15" i="62"/>
  <c r="AY38"/>
  <c r="AY38" i="38"/>
  <c r="BO43" i="62"/>
  <c r="BO43" i="38"/>
  <c r="C13" i="62"/>
  <c r="C13" i="38"/>
  <c r="CE32"/>
  <c r="CE32" i="62"/>
  <c r="BW8" i="38"/>
  <c r="BW8" i="62"/>
  <c r="K37" i="38"/>
  <c r="K37" i="62"/>
  <c r="BW25"/>
  <c r="BW25" i="38"/>
  <c r="BG8"/>
  <c r="BG8" i="62"/>
  <c r="CE17"/>
  <c r="CE17" i="38"/>
  <c r="AI31"/>
  <c r="AI31" i="62"/>
  <c r="AI15" i="38"/>
  <c r="AI15" i="62"/>
  <c r="BG15" i="38"/>
  <c r="BG15" i="62"/>
  <c r="AI22" i="38"/>
  <c r="AI22" i="62"/>
  <c r="S29" i="38"/>
  <c r="S29" i="62"/>
  <c r="K22"/>
  <c r="K22" i="38"/>
  <c r="BG27"/>
  <c r="BG27" i="62"/>
  <c r="S40" i="38"/>
  <c r="S40" i="62"/>
  <c r="AA37" i="38"/>
  <c r="AA37" i="62"/>
  <c r="BO15"/>
  <c r="BO15" i="38"/>
  <c r="BW45"/>
  <c r="BW45" i="62"/>
  <c r="C39" i="38"/>
  <c r="C39" i="62"/>
  <c r="K9"/>
  <c r="K9" i="38"/>
  <c r="AQ36"/>
  <c r="AQ36" i="62"/>
  <c r="AA42"/>
  <c r="AA42" i="38"/>
  <c r="AI21" i="62"/>
  <c r="AI21" i="38"/>
  <c r="K42" i="62"/>
  <c r="K42" i="38"/>
  <c r="BW17"/>
  <c r="BW17" i="62"/>
  <c r="AA26"/>
  <c r="AA26" i="38"/>
  <c r="AY46" i="62"/>
  <c r="AY46" i="38"/>
  <c r="BO46" i="62"/>
  <c r="BO46" i="38"/>
  <c r="BW46" i="62"/>
  <c r="BW46" i="38"/>
  <c r="AA46" i="62"/>
  <c r="AA46" i="38"/>
  <c r="BG46" i="62"/>
  <c r="BG46" i="38"/>
  <c r="C47" i="62"/>
  <c r="C47" i="38"/>
  <c r="AY47"/>
  <c r="AY47" i="62"/>
  <c r="AA47"/>
  <c r="AA47" i="38"/>
  <c r="AQ47"/>
  <c r="AQ47" i="62"/>
  <c r="K47" i="38"/>
  <c r="K47" i="62"/>
  <c r="BO47"/>
  <c r="BO47" i="38"/>
  <c r="BW47"/>
  <c r="BW47" i="62"/>
  <c r="S47" i="38"/>
  <c r="S47" i="62"/>
  <c r="CE47" i="38"/>
  <c r="CE47" i="62"/>
  <c r="BG47"/>
  <c r="BG47" i="38"/>
  <c r="AI47" i="62"/>
  <c r="AI47" i="38"/>
  <c r="BV15"/>
  <c r="BV15" i="62"/>
  <c r="AP37" i="38"/>
  <c r="G23" i="205" s="1"/>
  <c r="AP37" i="62"/>
  <c r="B30"/>
  <c r="B30" i="38"/>
  <c r="BN9" i="62"/>
  <c r="BN9" i="38"/>
  <c r="AP25" i="62"/>
  <c r="AP25" i="38"/>
  <c r="G11" i="205" s="1"/>
  <c r="R11" i="38"/>
  <c r="R11" i="62"/>
  <c r="J17" i="38"/>
  <c r="J17" i="62"/>
  <c r="BV28"/>
  <c r="BV28" i="38"/>
  <c r="K14" i="205" s="1"/>
  <c r="CD31" i="62"/>
  <c r="CD31" i="38"/>
  <c r="L17" i="205" s="1"/>
  <c r="AP16" i="38"/>
  <c r="AP16" i="62"/>
  <c r="B35"/>
  <c r="B35" i="38"/>
  <c r="AP43" i="62"/>
  <c r="AP43" i="38"/>
  <c r="G29" i="205" s="1"/>
  <c r="BV25" i="38"/>
  <c r="K11" i="205" s="1"/>
  <c r="BV25" i="62"/>
  <c r="BN39" i="38"/>
  <c r="J25" i="205" s="1"/>
  <c r="BN39" i="62"/>
  <c r="B40" i="38"/>
  <c r="B40" i="62"/>
  <c r="Z38" i="38"/>
  <c r="E24" i="205" s="1"/>
  <c r="Z38" i="62"/>
  <c r="AP14"/>
  <c r="AP14" i="38"/>
  <c r="Z16" i="62"/>
  <c r="Z16" i="38"/>
  <c r="R44"/>
  <c r="D30" i="205" s="1"/>
  <c r="R44" i="62"/>
  <c r="J44"/>
  <c r="J44" i="38"/>
  <c r="C30" i="205" s="1"/>
  <c r="BV23" i="38"/>
  <c r="K9" i="205" s="1"/>
  <c r="BV23" i="62"/>
  <c r="B21" i="38"/>
  <c r="B21" i="62"/>
  <c r="AX42"/>
  <c r="AX42" i="38"/>
  <c r="H28" i="205" s="1"/>
  <c r="B28" i="62"/>
  <c r="B28" i="38"/>
  <c r="AX45"/>
  <c r="H31" i="205" s="1"/>
  <c r="AX45" i="62"/>
  <c r="BN34" i="38"/>
  <c r="J20" i="205" s="1"/>
  <c r="BN34" i="62"/>
  <c r="BF41" i="38"/>
  <c r="I27" i="205" s="1"/>
  <c r="BF41" i="62"/>
  <c r="R23" i="38"/>
  <c r="D9" i="205" s="1"/>
  <c r="R23" i="62"/>
  <c r="Z10"/>
  <c r="Z10" i="38"/>
  <c r="Z32" i="62"/>
  <c r="Z32" i="38"/>
  <c r="E18" i="205" s="1"/>
  <c r="Z22" i="38"/>
  <c r="E8" i="205" s="1"/>
  <c r="Z22" i="62"/>
  <c r="B41" i="38"/>
  <c r="B41" i="62"/>
  <c r="CD10" i="38"/>
  <c r="CD10" i="62"/>
  <c r="CD43"/>
  <c r="CD43" i="38"/>
  <c r="L29" i="205" s="1"/>
  <c r="BV22" i="38"/>
  <c r="K8" i="205" s="1"/>
  <c r="BV22" i="62"/>
  <c r="Z37" i="38"/>
  <c r="E23" i="205" s="1"/>
  <c r="Z37" i="62"/>
  <c r="AH12"/>
  <c r="AH12" i="38"/>
  <c r="AX29"/>
  <c r="H15" i="205" s="1"/>
  <c r="AX29" i="62"/>
  <c r="BN23"/>
  <c r="BN23" i="38"/>
  <c r="J9" i="205" s="1"/>
  <c r="BF45" i="38"/>
  <c r="I31" i="205" s="1"/>
  <c r="BF45" i="62"/>
  <c r="B44" i="38"/>
  <c r="B44" i="62"/>
  <c r="Z8" i="38"/>
  <c r="Z8" i="62"/>
  <c r="B10" i="38"/>
  <c r="B10" i="62"/>
  <c r="BV29"/>
  <c r="BV29" i="38"/>
  <c r="K15" i="205" s="1"/>
  <c r="AP31" i="38"/>
  <c r="G17" i="205" s="1"/>
  <c r="AP31" i="62"/>
  <c r="AH38"/>
  <c r="AH38" i="38"/>
  <c r="F24" i="205" s="1"/>
  <c r="BF40" i="38"/>
  <c r="I26" i="205" s="1"/>
  <c r="BF40" i="62"/>
  <c r="Z25" i="38"/>
  <c r="E11" i="205" s="1"/>
  <c r="Z25" i="62"/>
  <c r="AP27" i="38"/>
  <c r="G13" i="205" s="1"/>
  <c r="AP27" i="62"/>
  <c r="BF24" i="38"/>
  <c r="I10" i="205" s="1"/>
  <c r="BF24" i="62"/>
  <c r="BF25" i="38"/>
  <c r="I11" i="205" s="1"/>
  <c r="BF25" i="62"/>
  <c r="BF20"/>
  <c r="BF20" i="38"/>
  <c r="I6" i="205" s="1"/>
  <c r="AP21" i="38"/>
  <c r="G7" i="205" s="1"/>
  <c r="AP21" i="62"/>
  <c r="BV9"/>
  <c r="BV9" i="38"/>
  <c r="BV21"/>
  <c r="K7" i="205" s="1"/>
  <c r="BV21" i="62"/>
  <c r="AP8"/>
  <c r="AP8" i="38"/>
  <c r="BN20" i="62"/>
  <c r="BN20" i="38"/>
  <c r="J6" i="205" s="1"/>
  <c r="AX36" i="38"/>
  <c r="H22" i="205" s="1"/>
  <c r="AX36" i="62"/>
  <c r="BV30" i="38"/>
  <c r="K16" i="205" s="1"/>
  <c r="BV30" i="62"/>
  <c r="AX37"/>
  <c r="AX37" i="38"/>
  <c r="H23" i="205" s="1"/>
  <c r="AP17" i="38"/>
  <c r="AP17" i="62"/>
  <c r="Z11" i="38"/>
  <c r="Z11" i="62"/>
  <c r="AH45" i="38"/>
  <c r="F31" i="205" s="1"/>
  <c r="AH45" i="62"/>
  <c r="AH19"/>
  <c r="AH19" i="38"/>
  <c r="F5" i="205" s="1"/>
  <c r="CD34" i="38"/>
  <c r="L20" i="205" s="1"/>
  <c r="CD34" i="62"/>
  <c r="Z26"/>
  <c r="Z26" i="38"/>
  <c r="E12" i="205" s="1"/>
  <c r="Z34" i="38"/>
  <c r="E20" i="205" s="1"/>
  <c r="Z34" i="62"/>
  <c r="AH29"/>
  <c r="AH29" i="38"/>
  <c r="F15" i="205" s="1"/>
  <c r="Z42" i="62"/>
  <c r="Z42" i="38"/>
  <c r="E28" i="205" s="1"/>
  <c r="BV19" i="38"/>
  <c r="K5" i="205" s="1"/>
  <c r="BV19" i="62"/>
  <c r="BV41" i="38"/>
  <c r="K27" i="205" s="1"/>
  <c r="BV41" i="62"/>
  <c r="BN32" i="38"/>
  <c r="J18" i="205" s="1"/>
  <c r="BN32" i="62"/>
  <c r="CD44" i="38"/>
  <c r="L30" i="205" s="1"/>
  <c r="CD44" i="62"/>
  <c r="J21"/>
  <c r="J21" i="38"/>
  <c r="C7" i="205" s="1"/>
  <c r="BN33" i="38"/>
  <c r="J19" i="205" s="1"/>
  <c r="BN33" i="62"/>
  <c r="BN25" i="38"/>
  <c r="J11" i="205" s="1"/>
  <c r="BN25" i="62"/>
  <c r="CD41" i="38"/>
  <c r="L27" i="205" s="1"/>
  <c r="CD41" i="62"/>
  <c r="B16"/>
  <c r="B16" i="38"/>
  <c r="CD16"/>
  <c r="CD16" i="62"/>
  <c r="CD23"/>
  <c r="CD23" i="38"/>
  <c r="L9" i="205" s="1"/>
  <c r="AP19" i="62"/>
  <c r="AP19" i="38"/>
  <c r="G5" i="205" s="1"/>
  <c r="Z35" i="62"/>
  <c r="Z35" i="38"/>
  <c r="E21" i="205" s="1"/>
  <c r="CD36" i="38"/>
  <c r="L22" i="205" s="1"/>
  <c r="CD36" i="62"/>
  <c r="BV11"/>
  <c r="BV11" i="38"/>
  <c r="BF43"/>
  <c r="I29" i="205" s="1"/>
  <c r="BF43" i="62"/>
  <c r="BV26" i="38"/>
  <c r="K12" i="205" s="1"/>
  <c r="BV26" i="62"/>
  <c r="Z41" i="38"/>
  <c r="E27" i="205" s="1"/>
  <c r="Z41" i="62"/>
  <c r="AH25" i="38"/>
  <c r="F11" i="205" s="1"/>
  <c r="AH25" i="62"/>
  <c r="B29" i="38"/>
  <c r="B29" i="62"/>
  <c r="BN41" i="38"/>
  <c r="J27" i="205" s="1"/>
  <c r="BN41" i="62"/>
  <c r="AH41" i="38"/>
  <c r="F27" i="205" s="1"/>
  <c r="AH41" i="62"/>
  <c r="J8" i="38"/>
  <c r="J8" i="62"/>
  <c r="BF21"/>
  <c r="BF21" i="38"/>
  <c r="I7" i="205" s="1"/>
  <c r="R15" i="62"/>
  <c r="R15" i="38"/>
  <c r="B34"/>
  <c r="B34" i="62"/>
  <c r="AX23" i="38"/>
  <c r="H9" i="205" s="1"/>
  <c r="AX23" i="62"/>
  <c r="AX17" i="38"/>
  <c r="AX17" i="62"/>
  <c r="BN10"/>
  <c r="BN10" i="38"/>
  <c r="Z27"/>
  <c r="E13" i="205" s="1"/>
  <c r="Z27" i="62"/>
  <c r="Z43" i="38"/>
  <c r="E29" i="205" s="1"/>
  <c r="Z43" i="62"/>
  <c r="BF27"/>
  <c r="BF27" i="38"/>
  <c r="I13" i="205" s="1"/>
  <c r="AX35" i="38"/>
  <c r="H21" i="205" s="1"/>
  <c r="AX35" i="62"/>
  <c r="AX24" i="38"/>
  <c r="H10" i="205" s="1"/>
  <c r="AX24" i="62"/>
  <c r="BN8" i="38"/>
  <c r="BN8" i="62"/>
  <c r="AH21"/>
  <c r="AH21" i="38"/>
  <c r="F7" i="205" s="1"/>
  <c r="AX32" i="38"/>
  <c r="H18" i="205" s="1"/>
  <c r="AX32" i="62"/>
  <c r="AP45" i="38"/>
  <c r="G31" i="205" s="1"/>
  <c r="AP45" i="62"/>
  <c r="BV39"/>
  <c r="BV39" i="38"/>
  <c r="K25" i="205" s="1"/>
  <c r="BV13" i="62"/>
  <c r="BV13" i="38"/>
  <c r="J41" i="62"/>
  <c r="J41" i="38"/>
  <c r="C27" i="205" s="1"/>
  <c r="Z31" i="38"/>
  <c r="E17" i="205" s="1"/>
  <c r="Z31" i="62"/>
  <c r="AH20" i="38"/>
  <c r="F6" i="205" s="1"/>
  <c r="AH20" i="62"/>
  <c r="R36" i="38"/>
  <c r="D22" i="205" s="1"/>
  <c r="R36" i="62"/>
  <c r="AP41" i="38"/>
  <c r="G27" i="205" s="1"/>
  <c r="AP41" i="62"/>
  <c r="AH28"/>
  <c r="AH28" i="38"/>
  <c r="F14" i="205" s="1"/>
  <c r="AP38" i="38"/>
  <c r="G24" i="205" s="1"/>
  <c r="AP38" i="62"/>
  <c r="R31"/>
  <c r="R31" i="38"/>
  <c r="D17" i="205" s="1"/>
  <c r="CD22" i="38"/>
  <c r="L8" i="205" s="1"/>
  <c r="CD22" i="62"/>
  <c r="R33" i="38"/>
  <c r="D19" i="205" s="1"/>
  <c r="R33" i="62"/>
  <c r="J25" i="38"/>
  <c r="C11" i="205" s="1"/>
  <c r="J25" i="62"/>
  <c r="J38" i="38"/>
  <c r="C24" i="205" s="1"/>
  <c r="J38" i="62"/>
  <c r="BF19" i="38"/>
  <c r="I5" i="205" s="1"/>
  <c r="BF19" i="62"/>
  <c r="AX20" i="38"/>
  <c r="H6" i="205" s="1"/>
  <c r="AX20" i="62"/>
  <c r="Z44" i="38"/>
  <c r="E30" i="205" s="1"/>
  <c r="Z44" i="62"/>
  <c r="AP13" i="38"/>
  <c r="AP13" i="62"/>
  <c r="R16" i="38"/>
  <c r="R16" i="62"/>
  <c r="BV20" i="38"/>
  <c r="K6" i="205" s="1"/>
  <c r="BV20" i="62"/>
  <c r="BF33" i="38"/>
  <c r="I19" i="205" s="1"/>
  <c r="BF33" i="62"/>
  <c r="AX22" i="38"/>
  <c r="H8" i="205" s="1"/>
  <c r="AX22" i="62"/>
  <c r="BV27" i="38"/>
  <c r="K13" i="205" s="1"/>
  <c r="BV27" i="62"/>
  <c r="AP34"/>
  <c r="AP34" i="38"/>
  <c r="G20" i="205" s="1"/>
  <c r="AH31" i="38"/>
  <c r="F17" i="205" s="1"/>
  <c r="AH31" i="62"/>
  <c r="J32" i="38"/>
  <c r="C18" i="205" s="1"/>
  <c r="J32" i="62"/>
  <c r="BF36" i="38"/>
  <c r="I22" i="205" s="1"/>
  <c r="BF36" i="62"/>
  <c r="AH15" i="38"/>
  <c r="AH15" i="62"/>
  <c r="BV37" i="38"/>
  <c r="K23" i="205" s="1"/>
  <c r="BV37" i="62"/>
  <c r="AX28" i="38"/>
  <c r="H14" i="205" s="1"/>
  <c r="AX28" i="62"/>
  <c r="AH17" i="38"/>
  <c r="AH17" i="62"/>
  <c r="AP46"/>
  <c r="AP46" i="38"/>
  <c r="G32" i="205" s="1"/>
  <c r="BV46" i="62"/>
  <c r="BV46" i="38"/>
  <c r="K32" i="205" s="1"/>
  <c r="AH46" i="62"/>
  <c r="AH46" i="38"/>
  <c r="F32" i="205" s="1"/>
  <c r="R46" i="62"/>
  <c r="R46" i="38"/>
  <c r="D32" i="205" s="1"/>
  <c r="CD46" i="62"/>
  <c r="CD46" i="38"/>
  <c r="L32" i="205" s="1"/>
  <c r="AH36" i="38"/>
  <c r="F22" i="205" s="1"/>
  <c r="AH36" i="62"/>
  <c r="BV42"/>
  <c r="BV42" i="38"/>
  <c r="K28" i="205" s="1"/>
  <c r="BV14" i="38"/>
  <c r="BV14" i="62"/>
  <c r="B32"/>
  <c r="B32" i="38"/>
  <c r="Z21"/>
  <c r="E7" i="205" s="1"/>
  <c r="Z21" i="62"/>
  <c r="BF8"/>
  <c r="BF8" i="38"/>
  <c r="AH33" i="62"/>
  <c r="AH33" i="38"/>
  <c r="F19" i="205" s="1"/>
  <c r="BF29" i="38"/>
  <c r="I15" i="205" s="1"/>
  <c r="BF29" i="62"/>
  <c r="R21"/>
  <c r="R21" i="38"/>
  <c r="D7" i="205" s="1"/>
  <c r="R20" i="62"/>
  <c r="R20" i="38"/>
  <c r="D6" i="205" s="1"/>
  <c r="Z19" i="38"/>
  <c r="E5" i="205" s="1"/>
  <c r="Z19" i="62"/>
  <c r="BF23"/>
  <c r="BF23" i="38"/>
  <c r="I9" i="205" s="1"/>
  <c r="BN42" i="38"/>
  <c r="J28" i="205" s="1"/>
  <c r="BN42" i="62"/>
  <c r="BN29" i="38"/>
  <c r="J15" i="205" s="1"/>
  <c r="BN29" i="62"/>
  <c r="AP44"/>
  <c r="AP44" i="38"/>
  <c r="G30" i="205" s="1"/>
  <c r="B33" i="62"/>
  <c r="B33" i="38"/>
  <c r="BF11" i="62"/>
  <c r="BF11" i="38"/>
  <c r="Z33" i="62"/>
  <c r="Z33" i="38"/>
  <c r="E19" i="205" s="1"/>
  <c r="Z45" i="62"/>
  <c r="Z45" i="38"/>
  <c r="E31" i="205" s="1"/>
  <c r="AX38" i="38"/>
  <c r="H24" i="205" s="1"/>
  <c r="AX38" i="62"/>
  <c r="J12"/>
  <c r="J12" i="38"/>
  <c r="BN40"/>
  <c r="J26" i="205" s="1"/>
  <c r="BN40" i="62"/>
  <c r="Z15" i="38"/>
  <c r="Z15" i="62"/>
  <c r="J29" i="38"/>
  <c r="C15" i="205" s="1"/>
  <c r="J29" i="62"/>
  <c r="AH8"/>
  <c r="AH8" i="38"/>
  <c r="AH24" i="62"/>
  <c r="AH24" i="38"/>
  <c r="F10" i="205" s="1"/>
  <c r="CD8" i="38"/>
  <c r="CD8" i="62"/>
  <c r="CD13" i="38"/>
  <c r="CD13" i="62"/>
  <c r="AX26" i="38"/>
  <c r="H12" i="205" s="1"/>
  <c r="AX26" i="62"/>
  <c r="AH13"/>
  <c r="AH13" i="38"/>
  <c r="CD11"/>
  <c r="CD11" i="62"/>
  <c r="BN21"/>
  <c r="BN21" i="38"/>
  <c r="J7" i="205" s="1"/>
  <c r="J45" i="62"/>
  <c r="J45" i="38"/>
  <c r="C31" i="205" s="1"/>
  <c r="CD42" i="38"/>
  <c r="L28" i="205" s="1"/>
  <c r="CD42" i="62"/>
  <c r="AH39" i="38"/>
  <c r="F25" i="205" s="1"/>
  <c r="AH39" i="62"/>
  <c r="AP23"/>
  <c r="AP23" i="38"/>
  <c r="G9" i="205" s="1"/>
  <c r="BN30" i="38"/>
  <c r="J16" i="205" s="1"/>
  <c r="BN30" i="62"/>
  <c r="BV36"/>
  <c r="BV36" i="38"/>
  <c r="K22" i="205" s="1"/>
  <c r="R24" i="38"/>
  <c r="D10" i="205" s="1"/>
  <c r="R24" i="62"/>
  <c r="R39"/>
  <c r="R39" i="38"/>
  <c r="D25" i="205" s="1"/>
  <c r="CD14" i="62"/>
  <c r="CD14" i="38"/>
  <c r="AX31" i="62"/>
  <c r="AX31" i="38"/>
  <c r="H17" i="205" s="1"/>
  <c r="B14" i="38"/>
  <c r="B14" i="62"/>
  <c r="CD9"/>
  <c r="CD9" i="38"/>
  <c r="BN27"/>
  <c r="J13" i="205" s="1"/>
  <c r="BN27" i="62"/>
  <c r="AX10" i="38"/>
  <c r="AX10" i="62"/>
  <c r="AX27"/>
  <c r="AX27" i="38"/>
  <c r="H13" i="205" s="1"/>
  <c r="BF39" i="62"/>
  <c r="BF39" i="38"/>
  <c r="I25" i="205" s="1"/>
  <c r="B12" i="62"/>
  <c r="B12" i="38"/>
  <c r="AP20"/>
  <c r="G6" i="205" s="1"/>
  <c r="AP20" i="62"/>
  <c r="AX39"/>
  <c r="AX39" i="38"/>
  <c r="H25" i="205" s="1"/>
  <c r="AX14" i="38"/>
  <c r="AX14" i="62"/>
  <c r="BN26" i="38"/>
  <c r="J12" i="205" s="1"/>
  <c r="BN26" i="62"/>
  <c r="AP33"/>
  <c r="AP33" i="38"/>
  <c r="G19" i="205" s="1"/>
  <c r="BF38" i="62"/>
  <c r="BF38" i="38"/>
  <c r="I24" i="205" s="1"/>
  <c r="AP30" i="38"/>
  <c r="G16" i="205" s="1"/>
  <c r="AP30" i="62"/>
  <c r="CD37"/>
  <c r="CD37" i="38"/>
  <c r="L23" i="205" s="1"/>
  <c r="B20" i="38"/>
  <c r="B20" i="62"/>
  <c r="AP36" i="38"/>
  <c r="G22" i="205" s="1"/>
  <c r="AP36" i="62"/>
  <c r="J22" i="38"/>
  <c r="C8" i="205" s="1"/>
  <c r="J22" i="62"/>
  <c r="B22" i="38"/>
  <c r="B22" i="62"/>
  <c r="BN11" i="38"/>
  <c r="BN11" i="62"/>
  <c r="R29"/>
  <c r="R29" i="38"/>
  <c r="D15" i="205" s="1"/>
  <c r="J16" i="38"/>
  <c r="J16" i="62"/>
  <c r="R12" i="38"/>
  <c r="R12" i="62"/>
  <c r="J9" i="38"/>
  <c r="J9" i="62"/>
  <c r="AP26" i="38"/>
  <c r="G12" i="205" s="1"/>
  <c r="AP26" i="62"/>
  <c r="CD25" i="38"/>
  <c r="L11" i="205" s="1"/>
  <c r="CD25" i="62"/>
  <c r="AX13" i="38"/>
  <c r="AX13" i="62"/>
  <c r="B8"/>
  <c r="B8" i="38"/>
  <c r="AX40" i="62"/>
  <c r="AX40" i="38"/>
  <c r="H26" i="205" s="1"/>
  <c r="AX19" i="62"/>
  <c r="AX19" i="38"/>
  <c r="H5" i="205" s="1"/>
  <c r="AH43" i="62"/>
  <c r="AH43" i="38"/>
  <c r="F29" i="205" s="1"/>
  <c r="J30" i="38"/>
  <c r="C16" i="205" s="1"/>
  <c r="J30" i="62"/>
  <c r="BV8"/>
  <c r="BV8" i="38"/>
  <c r="B13"/>
  <c r="B13" i="62"/>
  <c r="AP11" i="38"/>
  <c r="AP11" i="62"/>
  <c r="AP22" i="38"/>
  <c r="G8" i="205" s="1"/>
  <c r="AP22" i="62"/>
  <c r="AH11" i="38"/>
  <c r="AH11" i="62"/>
  <c r="R22" i="38"/>
  <c r="D8" i="205" s="1"/>
  <c r="R22" i="62"/>
  <c r="CD28"/>
  <c r="CD28" i="38"/>
  <c r="L14" i="205" s="1"/>
  <c r="BF31" i="62"/>
  <c r="BF31" i="38"/>
  <c r="I17" i="205" s="1"/>
  <c r="B43" i="38"/>
  <c r="B43" i="62"/>
  <c r="Z30" i="38"/>
  <c r="E16" i="205" s="1"/>
  <c r="Z30" i="62"/>
  <c r="B38" i="38"/>
  <c r="B24" i="205" s="1"/>
  <c r="B38" i="62"/>
  <c r="BF10" i="38"/>
  <c r="BF10" i="62"/>
  <c r="BN22" i="38"/>
  <c r="J8" i="205" s="1"/>
  <c r="BN22" i="62"/>
  <c r="AH44" i="38"/>
  <c r="F30" i="205" s="1"/>
  <c r="AH44" i="62"/>
  <c r="B9" i="38"/>
  <c r="B9" i="62"/>
  <c r="BN16" i="38"/>
  <c r="BN16" i="62"/>
  <c r="B19" i="38"/>
  <c r="B5" i="205" s="1"/>
  <c r="B19" i="62"/>
  <c r="R43" i="38"/>
  <c r="D29" i="205" s="1"/>
  <c r="R43" i="62"/>
  <c r="J23" i="38"/>
  <c r="C9" i="205" s="1"/>
  <c r="J23" i="62"/>
  <c r="R41"/>
  <c r="R41" i="38"/>
  <c r="D27" i="205" s="1"/>
  <c r="R19" i="38"/>
  <c r="D5" i="205" s="1"/>
  <c r="R19" i="62"/>
  <c r="CD38"/>
  <c r="CD38" i="38"/>
  <c r="L24" i="205" s="1"/>
  <c r="R27" i="62"/>
  <c r="R27" i="38"/>
  <c r="D13" i="205" s="1"/>
  <c r="BN37" i="62"/>
  <c r="BN37" i="38"/>
  <c r="J23" i="205" s="1"/>
  <c r="CD30" i="62"/>
  <c r="CD30" i="38"/>
  <c r="L16" i="205" s="1"/>
  <c r="J35" i="62"/>
  <c r="J35" i="38"/>
  <c r="C21" i="205" s="1"/>
  <c r="AP10" i="38"/>
  <c r="AP10" i="62"/>
  <c r="J28"/>
  <c r="J28" i="38"/>
  <c r="C14" i="205" s="1"/>
  <c r="AH26" i="62"/>
  <c r="AH26" i="38"/>
  <c r="F12" i="205" s="1"/>
  <c r="Z9" i="38"/>
  <c r="Z9" i="62"/>
  <c r="CD24" i="38"/>
  <c r="L10" i="205" s="1"/>
  <c r="CD24" i="62"/>
  <c r="J39" i="38"/>
  <c r="C25" i="205" s="1"/>
  <c r="J39" i="62"/>
  <c r="AH27" i="38"/>
  <c r="F13" i="205" s="1"/>
  <c r="AH27" i="62"/>
  <c r="CD39"/>
  <c r="CD39" i="38"/>
  <c r="L25" i="205" s="1"/>
  <c r="CD29" i="38"/>
  <c r="L15" i="205" s="1"/>
  <c r="CD29" i="62"/>
  <c r="R35" i="38"/>
  <c r="D21" i="205" s="1"/>
  <c r="R35" i="62"/>
  <c r="BV10" i="38"/>
  <c r="BV10" i="62"/>
  <c r="R25" i="38"/>
  <c r="D11" i="205" s="1"/>
  <c r="R25" i="62"/>
  <c r="BN45" i="38"/>
  <c r="J31" i="205" s="1"/>
  <c r="BN45" i="62"/>
  <c r="AP9" i="38"/>
  <c r="AP9" i="62"/>
  <c r="B15" i="38"/>
  <c r="B15" i="62"/>
  <c r="J36"/>
  <c r="J36" i="38"/>
  <c r="C22" i="205" s="1"/>
  <c r="BN31" i="38"/>
  <c r="J17" i="205" s="1"/>
  <c r="BN31" i="62"/>
  <c r="BV40" i="38"/>
  <c r="K26" i="205" s="1"/>
  <c r="BV40" i="62"/>
  <c r="AH14" i="38"/>
  <c r="AH14" i="62"/>
  <c r="Z14" i="38"/>
  <c r="Z14" i="62"/>
  <c r="J34"/>
  <c r="J34" i="38"/>
  <c r="C20" i="205" s="1"/>
  <c r="BV24" i="62"/>
  <c r="BV24" i="38"/>
  <c r="K10" i="205" s="1"/>
  <c r="AP39" i="62"/>
  <c r="AP39" i="38"/>
  <c r="G25" i="205" s="1"/>
  <c r="AX21" i="62"/>
  <c r="AX21" i="38"/>
  <c r="H7" i="205" s="1"/>
  <c r="CD21" i="62"/>
  <c r="CD21" i="38"/>
  <c r="L7" i="205" s="1"/>
  <c r="CD15" i="62"/>
  <c r="CD15" i="38"/>
  <c r="J42" i="62"/>
  <c r="J42" i="38"/>
  <c r="C28" i="205" s="1"/>
  <c r="BF13" i="62"/>
  <c r="BF13" i="38"/>
  <c r="BV17" i="62"/>
  <c r="BV17" i="38"/>
  <c r="CD26"/>
  <c r="L12" i="205" s="1"/>
  <c r="CD26" i="62"/>
  <c r="B17"/>
  <c r="B17" i="38"/>
  <c r="R10"/>
  <c r="R10" i="62"/>
  <c r="BF30"/>
  <c r="BF30" i="38"/>
  <c r="I16" i="205" s="1"/>
  <c r="AX44" i="38"/>
  <c r="H30" i="205" s="1"/>
  <c r="AX44" i="62"/>
  <c r="AH10"/>
  <c r="AH10" i="38"/>
  <c r="BF26"/>
  <c r="I12" i="205" s="1"/>
  <c r="BF26" i="62"/>
  <c r="AP42"/>
  <c r="AP42" i="38"/>
  <c r="G28" i="205" s="1"/>
  <c r="J33" i="38"/>
  <c r="C19" i="205" s="1"/>
  <c r="J33" i="62"/>
  <c r="CD45" i="38"/>
  <c r="L31" i="205" s="1"/>
  <c r="CD45" i="62"/>
  <c r="R13" i="38"/>
  <c r="R13" i="62"/>
  <c r="AH9" i="38"/>
  <c r="AH9" i="62"/>
  <c r="BN13" i="38"/>
  <c r="BN13" i="62"/>
  <c r="BV32" i="38"/>
  <c r="K18" i="205" s="1"/>
  <c r="BV32" i="62"/>
  <c r="BF17" i="38"/>
  <c r="BF17" i="62"/>
  <c r="BN14" i="38"/>
  <c r="BN14" i="62"/>
  <c r="AX8" i="38"/>
  <c r="AX8" i="62"/>
  <c r="BF32" i="38"/>
  <c r="I18" i="205" s="1"/>
  <c r="BF32" i="62"/>
  <c r="J37" i="38"/>
  <c r="C23" i="205" s="1"/>
  <c r="J37" i="62"/>
  <c r="Z12"/>
  <c r="Z12" i="38"/>
  <c r="Z17" i="62"/>
  <c r="Z17" i="38"/>
  <c r="AX12"/>
  <c r="AX12" i="62"/>
  <c r="AP24"/>
  <c r="AP24" i="38"/>
  <c r="G10" i="205" s="1"/>
  <c r="B42" i="38"/>
  <c r="B42" i="62"/>
  <c r="AH30" i="38"/>
  <c r="F16" i="205" s="1"/>
  <c r="AH30" i="62"/>
  <c r="AX43" i="38"/>
  <c r="H29" i="205" s="1"/>
  <c r="AX43" i="62"/>
  <c r="J19" i="38"/>
  <c r="C5" i="205" s="1"/>
  <c r="J19" i="62"/>
  <c r="R26" i="38"/>
  <c r="D12" i="205" s="1"/>
  <c r="R26" i="62"/>
  <c r="CD27" i="38"/>
  <c r="L13" i="205" s="1"/>
  <c r="CD27" i="62"/>
  <c r="J10" i="38"/>
  <c r="J10" i="62"/>
  <c r="CD40"/>
  <c r="CD40" i="38"/>
  <c r="L26" i="205" s="1"/>
  <c r="J13" i="38"/>
  <c r="J13" i="62"/>
  <c r="CD12" i="38"/>
  <c r="CD12" i="62"/>
  <c r="AH40"/>
  <c r="AH40" i="38"/>
  <c r="F26" i="205" s="1"/>
  <c r="R40" i="62"/>
  <c r="R40" i="38"/>
  <c r="D26" i="205" s="1"/>
  <c r="BF9" i="38"/>
  <c r="BF9" i="62"/>
  <c r="B23" i="38"/>
  <c r="B23" i="62"/>
  <c r="R32"/>
  <c r="R32" i="38"/>
  <c r="D18" i="205" s="1"/>
  <c r="AX33" i="62"/>
  <c r="AX33" i="38"/>
  <c r="H19" i="205" s="1"/>
  <c r="J11" i="62"/>
  <c r="J11" i="38"/>
  <c r="BN17" i="62"/>
  <c r="BN17" i="38"/>
  <c r="BF28"/>
  <c r="I14" i="205" s="1"/>
  <c r="BF28" i="62"/>
  <c r="Z39"/>
  <c r="Z39" i="38"/>
  <c r="E25" i="205" s="1"/>
  <c r="R30" i="62"/>
  <c r="R30" i="38"/>
  <c r="D16" i="205" s="1"/>
  <c r="BN12" i="62"/>
  <c r="BN12" i="38"/>
  <c r="R17"/>
  <c r="R17" i="62"/>
  <c r="AP32" i="38"/>
  <c r="G18" i="205" s="1"/>
  <c r="AP32" i="62"/>
  <c r="BF44" i="38"/>
  <c r="I30" i="205" s="1"/>
  <c r="BF44" i="62"/>
  <c r="BF42" i="38"/>
  <c r="I28" i="205" s="1"/>
  <c r="BF42" i="62"/>
  <c r="Z29" i="38"/>
  <c r="E15" i="205" s="1"/>
  <c r="Z29" i="62"/>
  <c r="AP28"/>
  <c r="AP28" i="38"/>
  <c r="G14" i="205" s="1"/>
  <c r="J27" i="38"/>
  <c r="C13" i="205" s="1"/>
  <c r="J27" i="62"/>
  <c r="Z13" i="38"/>
  <c r="Z13" i="62"/>
  <c r="CD20" i="38"/>
  <c r="L6" i="205" s="1"/>
  <c r="CD20" i="62"/>
  <c r="BV44" i="38"/>
  <c r="K30" i="205" s="1"/>
  <c r="BV44" i="62"/>
  <c r="AH35" i="38"/>
  <c r="F21" i="205" s="1"/>
  <c r="AH35" i="62"/>
  <c r="AH42" i="38"/>
  <c r="F28" i="205" s="1"/>
  <c r="AH42" i="62"/>
  <c r="BF37" i="38"/>
  <c r="I23" i="205" s="1"/>
  <c r="BF37" i="62"/>
  <c r="B25"/>
  <c r="B25" i="38"/>
  <c r="BN19"/>
  <c r="J5" i="205" s="1"/>
  <c r="BN19" i="62"/>
  <c r="B24" i="38"/>
  <c r="B24" i="62"/>
  <c r="CD35" i="38"/>
  <c r="L21" i="205" s="1"/>
  <c r="CD35" i="62"/>
  <c r="AP12" i="38"/>
  <c r="AP12" i="62"/>
  <c r="AX30" i="38"/>
  <c r="H16" i="205" s="1"/>
  <c r="AX30" i="62"/>
  <c r="BF22" i="38"/>
  <c r="I8" i="205" s="1"/>
  <c r="BF22" i="62"/>
  <c r="J31" i="38"/>
  <c r="C17" i="205" s="1"/>
  <c r="J31" i="62"/>
  <c r="R42" i="38"/>
  <c r="D28" i="205" s="1"/>
  <c r="R42" i="62"/>
  <c r="BN28" i="38"/>
  <c r="J14" i="205" s="1"/>
  <c r="BN28" i="62"/>
  <c r="BV34" i="38"/>
  <c r="K20" i="205" s="1"/>
  <c r="BV34" i="62"/>
  <c r="BV43"/>
  <c r="BV43" i="38"/>
  <c r="K29" i="205" s="1"/>
  <c r="R37" i="62"/>
  <c r="R37" i="38"/>
  <c r="D23" i="205" s="1"/>
  <c r="BF14" i="38"/>
  <c r="BF14" i="62"/>
  <c r="BF15" i="38"/>
  <c r="BF15" i="62"/>
  <c r="AH22" i="38"/>
  <c r="F8" i="205" s="1"/>
  <c r="AH22" i="62"/>
  <c r="BN46"/>
  <c r="BN46" i="38"/>
  <c r="J32" i="205" s="1"/>
  <c r="AX46" i="62"/>
  <c r="AX46" i="38"/>
  <c r="H32" i="205" s="1"/>
  <c r="J46" i="62"/>
  <c r="J46" i="38"/>
  <c r="C32" i="205" s="1"/>
  <c r="BF46" i="62"/>
  <c r="BF46" i="38"/>
  <c r="I32" i="205" s="1"/>
  <c r="Z46" i="62"/>
  <c r="Z46" i="38"/>
  <c r="E32" i="205" s="1"/>
  <c r="B46" i="62"/>
  <c r="B46" i="38"/>
  <c r="B32" i="205" s="1"/>
  <c r="BN35" i="38"/>
  <c r="J21" i="205" s="1"/>
  <c r="BN35" i="62"/>
  <c r="Z20"/>
  <c r="Z20" i="38"/>
  <c r="E6" i="205" s="1"/>
  <c r="AX9" i="62"/>
  <c r="AX9" i="38"/>
  <c r="BF12" i="62"/>
  <c r="BF12" i="38"/>
  <c r="AX11"/>
  <c r="AX11" i="62"/>
  <c r="BV12" i="38"/>
  <c r="BV12" i="62"/>
  <c r="BV35" i="38"/>
  <c r="K21" i="205" s="1"/>
  <c r="BV35" i="62"/>
  <c r="CD17" i="38"/>
  <c r="CD17" i="62"/>
  <c r="Z23"/>
  <c r="Z23" i="38"/>
  <c r="E9" i="205" s="1"/>
  <c r="B36" i="62"/>
  <c r="B36" i="38"/>
  <c r="AP15"/>
  <c r="AP15" i="62"/>
  <c r="B31" i="38"/>
  <c r="B31" i="62"/>
  <c r="Z24" i="38"/>
  <c r="E10" i="205" s="1"/>
  <c r="Z24" i="62"/>
  <c r="J24" i="38"/>
  <c r="C10" i="205" s="1"/>
  <c r="J24" i="62"/>
  <c r="AX15" i="38"/>
  <c r="AX15" i="62"/>
  <c r="J14" i="38"/>
  <c r="J14" i="62"/>
  <c r="CD32"/>
  <c r="CD32" i="38"/>
  <c r="L18" i="205" s="1"/>
  <c r="AP35" i="38"/>
  <c r="G21" i="205" s="1"/>
  <c r="AP35" i="62"/>
  <c r="Z36" i="38"/>
  <c r="E22" i="205" s="1"/>
  <c r="Z36" i="62"/>
  <c r="BN43"/>
  <c r="BN43" i="38"/>
  <c r="J29" i="205" s="1"/>
  <c r="AH23" i="62"/>
  <c r="AH23" i="38"/>
  <c r="F9" i="205" s="1"/>
  <c r="R9" i="62"/>
  <c r="R9" i="38"/>
  <c r="J40" i="62"/>
  <c r="J40" i="38"/>
  <c r="C26" i="205" s="1"/>
  <c r="BF35" i="38"/>
  <c r="I21" i="205" s="1"/>
  <c r="BF35" i="62"/>
  <c r="BV16" i="38"/>
  <c r="BV16" i="62"/>
  <c r="B37" i="38"/>
  <c r="B37" i="62"/>
  <c r="Z28"/>
  <c r="Z28" i="38"/>
  <c r="E14" i="205" s="1"/>
  <c r="B39" i="38"/>
  <c r="B39" i="62"/>
  <c r="CD19" i="38"/>
  <c r="L5" i="205" s="1"/>
  <c r="CD19" i="62"/>
  <c r="Z40" i="38"/>
  <c r="E26" i="205" s="1"/>
  <c r="Z40" i="62"/>
  <c r="BV31" i="38"/>
  <c r="K17" i="205" s="1"/>
  <c r="BV31" i="62"/>
  <c r="AP40"/>
  <c r="AP40" i="38"/>
  <c r="G26" i="205" s="1"/>
  <c r="BN44" i="38"/>
  <c r="J30" i="205" s="1"/>
  <c r="BN44" i="62"/>
  <c r="AP29"/>
  <c r="AP29" i="38"/>
  <c r="G15" i="205" s="1"/>
  <c r="BV45" i="62"/>
  <c r="BV45" i="38"/>
  <c r="K31" i="205" s="1"/>
  <c r="J26" i="38"/>
  <c r="C12" i="205" s="1"/>
  <c r="J26" i="62"/>
  <c r="BV38"/>
  <c r="BV38" i="38"/>
  <c r="K24" i="205" s="1"/>
  <c r="BN38" i="38"/>
  <c r="J24" i="205" s="1"/>
  <c r="BN38" i="62"/>
  <c r="R28" i="38"/>
  <c r="D14" i="205" s="1"/>
  <c r="R28" i="62"/>
  <c r="BN15"/>
  <c r="BN15" i="38"/>
  <c r="AX41"/>
  <c r="H27" i="205" s="1"/>
  <c r="AX41" i="62"/>
  <c r="BN24"/>
  <c r="BN24" i="38"/>
  <c r="J10" i="205" s="1"/>
  <c r="BF34" i="62"/>
  <c r="BF34" i="38"/>
  <c r="I20" i="205" s="1"/>
  <c r="B45" i="38"/>
  <c r="B45" i="62"/>
  <c r="R45" i="38"/>
  <c r="D31" i="205" s="1"/>
  <c r="R45" i="62"/>
  <c r="B27"/>
  <c r="B27" i="38"/>
  <c r="B13" i="205" s="1"/>
  <c r="J43" i="62"/>
  <c r="J43" i="38"/>
  <c r="C29" i="205" s="1"/>
  <c r="R14" i="38"/>
  <c r="R14" i="62"/>
  <c r="BN36"/>
  <c r="BN36" i="38"/>
  <c r="J22" i="205" s="1"/>
  <c r="AX25" i="38"/>
  <c r="H11" i="205" s="1"/>
  <c r="AX25" i="62"/>
  <c r="J15"/>
  <c r="J15" i="38"/>
  <c r="AH16" i="62"/>
  <c r="AH16" i="38"/>
  <c r="BF16" i="62"/>
  <c r="BF16" i="38"/>
  <c r="AH34"/>
  <c r="F20" i="205" s="1"/>
  <c r="AH34" i="62"/>
  <c r="R34"/>
  <c r="R34" i="38"/>
  <c r="D20" i="205" s="1"/>
  <c r="AX34" i="62"/>
  <c r="AX34" i="38"/>
  <c r="H20" i="205" s="1"/>
  <c r="B11" i="38"/>
  <c r="B11" i="62"/>
  <c r="B26" i="38"/>
  <c r="B26" i="62"/>
  <c r="R38" i="38"/>
  <c r="D24" i="205" s="1"/>
  <c r="R38" i="62"/>
  <c r="R8"/>
  <c r="R8" i="38"/>
  <c r="AH32"/>
  <c r="F18" i="205" s="1"/>
  <c r="AH32" i="62"/>
  <c r="J20" i="38"/>
  <c r="C6" i="205" s="1"/>
  <c r="J20" i="62"/>
  <c r="BV33" i="38"/>
  <c r="K19" i="205" s="1"/>
  <c r="BV33" i="62"/>
  <c r="AX16" i="38"/>
  <c r="AX16" i="62"/>
  <c r="CD33"/>
  <c r="CD33" i="38"/>
  <c r="L19" i="205" s="1"/>
  <c r="B47" i="62"/>
  <c r="B47" i="38"/>
  <c r="BN47"/>
  <c r="J33" i="205" s="1"/>
  <c r="BN47" i="62"/>
  <c r="J47"/>
  <c r="J47" i="38"/>
  <c r="C33" i="205" s="1"/>
  <c r="AP47" i="38"/>
  <c r="G33" i="205" s="1"/>
  <c r="AP47" i="62"/>
  <c r="Z47" i="38"/>
  <c r="E33" i="205" s="1"/>
  <c r="Z47" i="62"/>
  <c r="AX47"/>
  <c r="AX47" i="38"/>
  <c r="H33" i="205" s="1"/>
  <c r="AH47" i="38"/>
  <c r="F33" i="205" s="1"/>
  <c r="AH47" i="62"/>
  <c r="BF47" i="38"/>
  <c r="I33" i="205" s="1"/>
  <c r="BF47" i="62"/>
  <c r="CD47" i="38"/>
  <c r="L33" i="205" s="1"/>
  <c r="CD47" i="62"/>
  <c r="R47"/>
  <c r="R47" i="38"/>
  <c r="D33" i="205" s="1"/>
  <c r="BV47" i="38"/>
  <c r="K33" i="205" s="1"/>
  <c r="BV47" i="62"/>
  <c r="F34" i="40"/>
  <c r="BP22" i="38"/>
  <c r="BP22" i="62"/>
  <c r="BI45" i="38"/>
  <c r="BI45" i="62"/>
  <c r="CA47" i="19"/>
  <c r="CK47"/>
  <c r="S47"/>
  <c r="AC47"/>
  <c r="BG47"/>
  <c r="AW47"/>
  <c r="DE47"/>
  <c r="AM47"/>
  <c r="CU47"/>
  <c r="BQ47"/>
  <c r="I47"/>
  <c r="AC34"/>
  <c r="S36"/>
  <c r="CA25"/>
  <c r="BQ37"/>
  <c r="AW26"/>
  <c r="CU20"/>
  <c r="CK15"/>
  <c r="S24"/>
  <c r="CA22"/>
  <c r="AW34"/>
  <c r="I25"/>
  <c r="CU38"/>
  <c r="BQ21"/>
  <c r="I21"/>
  <c r="BG41"/>
  <c r="CK9"/>
  <c r="I28"/>
  <c r="AM44"/>
  <c r="I10"/>
  <c r="BQ39"/>
  <c r="AM15"/>
  <c r="DE19"/>
  <c r="S32"/>
  <c r="BG20"/>
  <c r="CU34"/>
  <c r="AW32"/>
  <c r="CA23"/>
  <c r="AM21"/>
  <c r="CU17"/>
  <c r="AW45"/>
  <c r="BQ11"/>
  <c r="I13"/>
  <c r="I41"/>
  <c r="BQ34"/>
  <c r="I32"/>
  <c r="AW21"/>
  <c r="DE10"/>
  <c r="AM26"/>
  <c r="CA9"/>
  <c r="AM45"/>
  <c r="CK12"/>
  <c r="CA37"/>
  <c r="CK16"/>
  <c r="S31"/>
  <c r="CK33"/>
  <c r="AW30"/>
  <c r="BQ15"/>
  <c r="CK45"/>
  <c r="BG38"/>
  <c r="CU9"/>
  <c r="AM13"/>
  <c r="BG23"/>
  <c r="S46"/>
  <c r="BQ46"/>
  <c r="I46"/>
  <c r="CU46"/>
  <c r="BG46"/>
  <c r="S9"/>
  <c r="S41"/>
  <c r="CA29"/>
  <c r="AW10"/>
  <c r="AW15"/>
  <c r="CK37"/>
  <c r="DE22"/>
  <c r="AM8"/>
  <c r="CA38"/>
  <c r="AW12"/>
  <c r="CA13"/>
  <c r="CU25"/>
  <c r="AW13"/>
  <c r="S8"/>
  <c r="CK35"/>
  <c r="CK30"/>
  <c r="I27"/>
  <c r="S27"/>
  <c r="CU43"/>
  <c r="CK17"/>
  <c r="CK29"/>
  <c r="BG21"/>
  <c r="S42"/>
  <c r="CK24"/>
  <c r="AC32"/>
  <c r="AW37"/>
  <c r="CA14"/>
  <c r="AC24"/>
  <c r="AW38"/>
  <c r="BG25"/>
  <c r="I22"/>
  <c r="BG33"/>
  <c r="CU13"/>
  <c r="CA15"/>
  <c r="I8"/>
  <c r="AM27"/>
  <c r="S33"/>
  <c r="BQ35"/>
  <c r="AW17"/>
  <c r="CA26"/>
  <c r="AC30"/>
  <c r="CA20"/>
  <c r="AW25"/>
  <c r="CU19"/>
  <c r="I15"/>
  <c r="BG9"/>
  <c r="S45"/>
  <c r="BG44"/>
  <c r="CU12"/>
  <c r="AW16"/>
  <c r="DE15"/>
  <c r="CU26"/>
  <c r="DE42"/>
  <c r="S13"/>
  <c r="DE20"/>
  <c r="CK26"/>
  <c r="CK10"/>
  <c r="BG37"/>
  <c r="AC35"/>
  <c r="AC11"/>
  <c r="AM34"/>
  <c r="CA33"/>
  <c r="I29"/>
  <c r="BG14"/>
  <c r="BG13"/>
  <c r="AM10"/>
  <c r="BG12"/>
  <c r="BQ32"/>
  <c r="AW24"/>
  <c r="I20"/>
  <c r="BQ19"/>
  <c r="I26"/>
  <c r="CU24"/>
  <c r="CU32"/>
  <c r="S38"/>
  <c r="S16"/>
  <c r="AW35"/>
  <c r="AW42"/>
  <c r="BG19"/>
  <c r="BG42"/>
  <c r="CK44"/>
  <c r="BQ33"/>
  <c r="S30"/>
  <c r="BG36"/>
  <c r="BG22"/>
  <c r="BQ45"/>
  <c r="DE12"/>
  <c r="CU21"/>
  <c r="S21"/>
  <c r="BQ30"/>
  <c r="S10"/>
  <c r="BQ10"/>
  <c r="I37"/>
  <c r="CA12"/>
  <c r="CK43"/>
  <c r="AM42"/>
  <c r="BQ31"/>
  <c r="AC38"/>
  <c r="AC41"/>
  <c r="CU33"/>
  <c r="AC14"/>
  <c r="CU10"/>
  <c r="CK42"/>
  <c r="DE29"/>
  <c r="AM23"/>
  <c r="S34"/>
  <c r="AC8"/>
  <c r="DE11"/>
  <c r="AM28"/>
  <c r="AM11"/>
  <c r="AW39"/>
  <c r="CK25"/>
  <c r="AM36"/>
  <c r="CU44"/>
  <c r="I16"/>
  <c r="S39"/>
  <c r="S28"/>
  <c r="CK38"/>
  <c r="I39"/>
  <c r="S29"/>
  <c r="CA44"/>
  <c r="BG11"/>
  <c r="AC12"/>
  <c r="AC45"/>
  <c r="S22"/>
  <c r="S20"/>
  <c r="AM14"/>
  <c r="DE38"/>
  <c r="S23"/>
  <c r="CK36"/>
  <c r="AC37"/>
  <c r="CA28"/>
  <c r="I17"/>
  <c r="BG43"/>
  <c r="DE36"/>
  <c r="AW22"/>
  <c r="DE43"/>
  <c r="AM17"/>
  <c r="CK32"/>
  <c r="AM40"/>
  <c r="BQ40"/>
  <c r="CA30"/>
  <c r="AC28"/>
  <c r="AM29"/>
  <c r="BQ29"/>
  <c r="BG34"/>
  <c r="AC15"/>
  <c r="AC19"/>
  <c r="CK20"/>
  <c r="CA43"/>
  <c r="CA24"/>
  <c r="S35"/>
  <c r="AC22"/>
  <c r="CU23"/>
  <c r="AM30"/>
  <c r="CA39"/>
  <c r="BQ22"/>
  <c r="BG26"/>
  <c r="DE17"/>
  <c r="I24"/>
  <c r="DE16"/>
  <c r="CK11"/>
  <c r="BG10"/>
  <c r="CK8"/>
  <c r="DE31"/>
  <c r="I38"/>
  <c r="AC43"/>
  <c r="BQ8"/>
  <c r="AM39"/>
  <c r="AM33"/>
  <c r="AW40"/>
  <c r="AW11"/>
  <c r="S19"/>
  <c r="BQ12"/>
  <c r="CK34"/>
  <c r="CK31"/>
  <c r="AM31"/>
  <c r="I43"/>
  <c r="I33"/>
  <c r="DE25"/>
  <c r="CU42"/>
  <c r="BG31"/>
  <c r="CA10"/>
  <c r="CU28"/>
  <c r="I42"/>
  <c r="BQ27"/>
  <c r="AW31"/>
  <c r="DE13"/>
  <c r="BG45"/>
  <c r="DE26"/>
  <c r="AC17"/>
  <c r="AW43"/>
  <c r="AM32"/>
  <c r="DE34"/>
  <c r="AW33"/>
  <c r="AM24"/>
  <c r="CA21"/>
  <c r="AM16"/>
  <c r="S12"/>
  <c r="AC39"/>
  <c r="AW27"/>
  <c r="CU27"/>
  <c r="CU40"/>
  <c r="AC46"/>
  <c r="AM46"/>
  <c r="CA46"/>
  <c r="DE46"/>
  <c r="CK46"/>
  <c r="AW46"/>
  <c r="CA27"/>
  <c r="AM43"/>
  <c r="AM19"/>
  <c r="AC29"/>
  <c r="CA31"/>
  <c r="AC9"/>
  <c r="CK41"/>
  <c r="AW8"/>
  <c r="BG16"/>
  <c r="CU29"/>
  <c r="S25"/>
  <c r="BG40"/>
  <c r="AC20"/>
  <c r="AC40"/>
  <c r="DE21"/>
  <c r="BG8"/>
  <c r="AC25"/>
  <c r="AM20"/>
  <c r="AM38"/>
  <c r="S11"/>
  <c r="AC10"/>
  <c r="S26"/>
  <c r="AC26"/>
  <c r="I23"/>
  <c r="CU8"/>
  <c r="AC42"/>
  <c r="BQ13"/>
  <c r="BG30"/>
  <c r="DE33"/>
  <c r="BG32"/>
  <c r="DE40"/>
  <c r="I35"/>
  <c r="BQ41"/>
  <c r="AM35"/>
  <c r="AW29"/>
  <c r="CU31"/>
  <c r="I9"/>
  <c r="AC33"/>
  <c r="CU39"/>
  <c r="BQ24"/>
  <c r="AC13"/>
  <c r="AM9"/>
  <c r="AW14"/>
  <c r="CU15"/>
  <c r="CK27"/>
  <c r="AM41"/>
  <c r="BQ17"/>
  <c r="DE23"/>
  <c r="S44"/>
  <c r="I14"/>
  <c r="CU22"/>
  <c r="I30"/>
  <c r="BG35"/>
  <c r="CA16"/>
  <c r="BQ20"/>
  <c r="AW36"/>
  <c r="S17"/>
  <c r="BG29"/>
  <c r="AM22"/>
  <c r="AW23"/>
  <c r="S14"/>
  <c r="AC27"/>
  <c r="AC44"/>
  <c r="S15"/>
  <c r="BG28"/>
  <c r="CK14"/>
  <c r="AW19"/>
  <c r="BQ43"/>
  <c r="I11"/>
  <c r="BQ25"/>
  <c r="CK28"/>
  <c r="DE27"/>
  <c r="AC16"/>
  <c r="CA34"/>
  <c r="S37"/>
  <c r="AC21"/>
  <c r="I45"/>
  <c r="CU45"/>
  <c r="CU41"/>
  <c r="AM12"/>
  <c r="I19"/>
  <c r="DE28"/>
  <c r="BQ16"/>
  <c r="I36"/>
  <c r="BQ9"/>
  <c r="AW28"/>
  <c r="CK19"/>
  <c r="DE37"/>
  <c r="BG27"/>
  <c r="BG24"/>
  <c r="DE45"/>
  <c r="CK21"/>
  <c r="BQ42"/>
  <c r="CA32"/>
  <c r="BQ23"/>
  <c r="DE24"/>
  <c r="CA40"/>
  <c r="AC31"/>
  <c r="S43"/>
  <c r="CU14"/>
  <c r="BQ44"/>
  <c r="CA41"/>
  <c r="CA42"/>
  <c r="CA19"/>
  <c r="CU35"/>
  <c r="BQ36"/>
  <c r="BG15"/>
  <c r="BQ38"/>
  <c r="DE14"/>
  <c r="AW9"/>
  <c r="AM37"/>
  <c r="AM25"/>
  <c r="CK40"/>
  <c r="CU16"/>
  <c r="DE9"/>
  <c r="DE32"/>
  <c r="CA11"/>
  <c r="AC36"/>
  <c r="BG39"/>
  <c r="I34"/>
  <c r="CU36"/>
  <c r="CA36"/>
  <c r="AW41"/>
  <c r="CK23"/>
  <c r="CA17"/>
  <c r="DE8"/>
  <c r="AW20"/>
  <c r="CK13"/>
  <c r="AC23"/>
  <c r="CA35"/>
  <c r="CA45"/>
  <c r="DE30"/>
  <c r="AW44"/>
  <c r="I40"/>
  <c r="DE44"/>
  <c r="CK39"/>
  <c r="CA8"/>
  <c r="CU37"/>
  <c r="CU11"/>
  <c r="BQ26"/>
  <c r="BQ28"/>
  <c r="I31"/>
  <c r="S40"/>
  <c r="BG17"/>
  <c r="DE39"/>
  <c r="I12"/>
  <c r="BQ14"/>
  <c r="CU30"/>
  <c r="I44"/>
  <c r="DE35"/>
  <c r="DE41"/>
  <c r="I48"/>
  <c r="S48"/>
  <c r="AC48"/>
  <c r="AM48"/>
  <c r="AW48"/>
  <c r="BG48"/>
  <c r="BQ48"/>
  <c r="CA48"/>
  <c r="CK48"/>
  <c r="CU48"/>
  <c r="DE48"/>
  <c r="AE47"/>
  <c r="DG47"/>
  <c r="AY47"/>
  <c r="BI47"/>
  <c r="U47"/>
  <c r="CM47"/>
  <c r="CC47"/>
  <c r="BS47"/>
  <c r="CW47"/>
  <c r="AO47"/>
  <c r="K47"/>
  <c r="CM41"/>
  <c r="AY40"/>
  <c r="U8"/>
  <c r="AO44"/>
  <c r="CW33"/>
  <c r="CW12"/>
  <c r="K15"/>
  <c r="CC14"/>
  <c r="CC44"/>
  <c r="BS19"/>
  <c r="CC16"/>
  <c r="CM13"/>
  <c r="CM21"/>
  <c r="BI8"/>
  <c r="CC11"/>
  <c r="DG39"/>
  <c r="BS39"/>
  <c r="AY8"/>
  <c r="AE24"/>
  <c r="DG33"/>
  <c r="DG19"/>
  <c r="K23"/>
  <c r="U14"/>
  <c r="BI30"/>
  <c r="BS14"/>
  <c r="CW40"/>
  <c r="K11"/>
  <c r="K35"/>
  <c r="AE10"/>
  <c r="BS8"/>
  <c r="K16"/>
  <c r="K37"/>
  <c r="AO24"/>
  <c r="DG17"/>
  <c r="CC8"/>
  <c r="CM38"/>
  <c r="K32"/>
  <c r="U19"/>
  <c r="CM30"/>
  <c r="K22"/>
  <c r="K26"/>
  <c r="BS37"/>
  <c r="DG11"/>
  <c r="BI28"/>
  <c r="AY16"/>
  <c r="AO43"/>
  <c r="AE37"/>
  <c r="CM43"/>
  <c r="BI45"/>
  <c r="DG28"/>
  <c r="AY31"/>
  <c r="AE23"/>
  <c r="U46"/>
  <c r="BI46"/>
  <c r="CW46"/>
  <c r="K46"/>
  <c r="BS46"/>
  <c r="AY46"/>
  <c r="BS26"/>
  <c r="CW29"/>
  <c r="U22"/>
  <c r="CM27"/>
  <c r="CC31"/>
  <c r="U20"/>
  <c r="CM11"/>
  <c r="CM12"/>
  <c r="AY25"/>
  <c r="DG14"/>
  <c r="BI15"/>
  <c r="AO20"/>
  <c r="CW17"/>
  <c r="CM44"/>
  <c r="AO31"/>
  <c r="CC38"/>
  <c r="K41"/>
  <c r="K33"/>
  <c r="K27"/>
  <c r="AO34"/>
  <c r="BS45"/>
  <c r="AY39"/>
  <c r="AY14"/>
  <c r="U11"/>
  <c r="AY28"/>
  <c r="AO22"/>
  <c r="CM17"/>
  <c r="AE33"/>
  <c r="AE9"/>
  <c r="U31"/>
  <c r="DG10"/>
  <c r="AO26"/>
  <c r="CM32"/>
  <c r="BS40"/>
  <c r="DG24"/>
  <c r="AO40"/>
  <c r="AY41"/>
  <c r="AE29"/>
  <c r="AY27"/>
  <c r="AO27"/>
  <c r="CW28"/>
  <c r="BS10"/>
  <c r="U12"/>
  <c r="AO42"/>
  <c r="CM34"/>
  <c r="AO11"/>
  <c r="K13"/>
  <c r="AE41"/>
  <c r="BI31"/>
  <c r="CW32"/>
  <c r="U17"/>
  <c r="K45"/>
  <c r="BS43"/>
  <c r="U9"/>
  <c r="CC20"/>
  <c r="BS29"/>
  <c r="AE14"/>
  <c r="DG43"/>
  <c r="U23"/>
  <c r="BI34"/>
  <c r="BI41"/>
  <c r="CW27"/>
  <c r="AO45"/>
  <c r="CC33"/>
  <c r="AY38"/>
  <c r="AY22"/>
  <c r="CM22"/>
  <c r="AE30"/>
  <c r="AE40"/>
  <c r="CW11"/>
  <c r="K14"/>
  <c r="U26"/>
  <c r="AO28"/>
  <c r="CM45"/>
  <c r="CC30"/>
  <c r="AE38"/>
  <c r="U24"/>
  <c r="CM10"/>
  <c r="CM16"/>
  <c r="CW36"/>
  <c r="AY44"/>
  <c r="BI14"/>
  <c r="AE17"/>
  <c r="AO21"/>
  <c r="CW30"/>
  <c r="CM23"/>
  <c r="BS33"/>
  <c r="BS41"/>
  <c r="DG44"/>
  <c r="CW21"/>
  <c r="BI13"/>
  <c r="CM19"/>
  <c r="U30"/>
  <c r="AO17"/>
  <c r="CM20"/>
  <c r="AO38"/>
  <c r="U45"/>
  <c r="AE21"/>
  <c r="CM39"/>
  <c r="BI24"/>
  <c r="AE35"/>
  <c r="U37"/>
  <c r="AY10"/>
  <c r="BS31"/>
  <c r="AY43"/>
  <c r="CW20"/>
  <c r="AY35"/>
  <c r="K12"/>
  <c r="U25"/>
  <c r="AO8"/>
  <c r="AY29"/>
  <c r="BS13"/>
  <c r="BS11"/>
  <c r="DG41"/>
  <c r="AO10"/>
  <c r="U41"/>
  <c r="CM35"/>
  <c r="CC41"/>
  <c r="CW19"/>
  <c r="BS20"/>
  <c r="K20"/>
  <c r="AO13"/>
  <c r="K30"/>
  <c r="CC42"/>
  <c r="AE31"/>
  <c r="CC9"/>
  <c r="AO32"/>
  <c r="BI44"/>
  <c r="BS28"/>
  <c r="CC19"/>
  <c r="K29"/>
  <c r="CC32"/>
  <c r="BI19"/>
  <c r="CW41"/>
  <c r="BS21"/>
  <c r="K43"/>
  <c r="AY34"/>
  <c r="DG20"/>
  <c r="K44"/>
  <c r="CC29"/>
  <c r="CC27"/>
  <c r="AY21"/>
  <c r="BS17"/>
  <c r="U35"/>
  <c r="AY11"/>
  <c r="BS38"/>
  <c r="CW15"/>
  <c r="AO33"/>
  <c r="AY42"/>
  <c r="BS30"/>
  <c r="CC34"/>
  <c r="BI17"/>
  <c r="DG9"/>
  <c r="BI37"/>
  <c r="CM36"/>
  <c r="DG13"/>
  <c r="CC36"/>
  <c r="K31"/>
  <c r="AO12"/>
  <c r="K21"/>
  <c r="AE22"/>
  <c r="BS35"/>
  <c r="K8"/>
  <c r="BI35"/>
  <c r="AO19"/>
  <c r="K38"/>
  <c r="AO37"/>
  <c r="AE25"/>
  <c r="CW43"/>
  <c r="CW8"/>
  <c r="U39"/>
  <c r="DG12"/>
  <c r="AO16"/>
  <c r="CC37"/>
  <c r="BI20"/>
  <c r="CC21"/>
  <c r="BI39"/>
  <c r="BI38"/>
  <c r="CC23"/>
  <c r="CM8"/>
  <c r="K28"/>
  <c r="CC15"/>
  <c r="BI21"/>
  <c r="AO41"/>
  <c r="U43"/>
  <c r="K36"/>
  <c r="BS36"/>
  <c r="CW37"/>
  <c r="BI36"/>
  <c r="DG15"/>
  <c r="BS32"/>
  <c r="BI43"/>
  <c r="BI32"/>
  <c r="AE13"/>
  <c r="DG23"/>
  <c r="K25"/>
  <c r="CM9"/>
  <c r="AE34"/>
  <c r="CM40"/>
  <c r="DG27"/>
  <c r="AO9"/>
  <c r="AE46"/>
  <c r="CM46"/>
  <c r="DG46"/>
  <c r="CC46"/>
  <c r="AO46"/>
  <c r="BI23"/>
  <c r="AY12"/>
  <c r="AE27"/>
  <c r="U33"/>
  <c r="DG35"/>
  <c r="DG42"/>
  <c r="U16"/>
  <c r="AE8"/>
  <c r="U42"/>
  <c r="DG32"/>
  <c r="CW13"/>
  <c r="CC43"/>
  <c r="BI25"/>
  <c r="CM14"/>
  <c r="K39"/>
  <c r="AY37"/>
  <c r="CM42"/>
  <c r="AY13"/>
  <c r="BS22"/>
  <c r="CW25"/>
  <c r="DG16"/>
  <c r="DG38"/>
  <c r="CM26"/>
  <c r="K24"/>
  <c r="AY9"/>
  <c r="BI22"/>
  <c r="BI11"/>
  <c r="AE43"/>
  <c r="AO36"/>
  <c r="CW35"/>
  <c r="CC25"/>
  <c r="AE45"/>
  <c r="AO15"/>
  <c r="U40"/>
  <c r="AO35"/>
  <c r="AY24"/>
  <c r="AE26"/>
  <c r="BS16"/>
  <c r="AY17"/>
  <c r="CM24"/>
  <c r="U13"/>
  <c r="DG40"/>
  <c r="AY45"/>
  <c r="BS12"/>
  <c r="AE16"/>
  <c r="AY30"/>
  <c r="AE20"/>
  <c r="BS9"/>
  <c r="DG36"/>
  <c r="BI10"/>
  <c r="CC13"/>
  <c r="U10"/>
  <c r="CW22"/>
  <c r="CM33"/>
  <c r="AO25"/>
  <c r="U27"/>
  <c r="U44"/>
  <c r="AE15"/>
  <c r="AY20"/>
  <c r="AY15"/>
  <c r="K17"/>
  <c r="K42"/>
  <c r="BS42"/>
  <c r="AO23"/>
  <c r="CW31"/>
  <c r="U29"/>
  <c r="AE28"/>
  <c r="BS44"/>
  <c r="BS27"/>
  <c r="U34"/>
  <c r="K10"/>
  <c r="BI9"/>
  <c r="CW34"/>
  <c r="BS25"/>
  <c r="CW24"/>
  <c r="DG30"/>
  <c r="CM31"/>
  <c r="CW26"/>
  <c r="CW42"/>
  <c r="AE39"/>
  <c r="DG26"/>
  <c r="AO14"/>
  <c r="AO39"/>
  <c r="CM15"/>
  <c r="U36"/>
  <c r="BI27"/>
  <c r="DG31"/>
  <c r="DG37"/>
  <c r="K19"/>
  <c r="K40"/>
  <c r="BS34"/>
  <c r="AO29"/>
  <c r="CC40"/>
  <c r="BS24"/>
  <c r="AY26"/>
  <c r="BI40"/>
  <c r="CC26"/>
  <c r="BI26"/>
  <c r="DG29"/>
  <c r="K34"/>
  <c r="BS15"/>
  <c r="CW14"/>
  <c r="AY33"/>
  <c r="AE19"/>
  <c r="K9"/>
  <c r="BI33"/>
  <c r="CC28"/>
  <c r="CM25"/>
  <c r="CW44"/>
  <c r="BI42"/>
  <c r="AO30"/>
  <c r="U15"/>
  <c r="DG45"/>
  <c r="DG8"/>
  <c r="CW23"/>
  <c r="CM28"/>
  <c r="CW38"/>
  <c r="CM29"/>
  <c r="CW10"/>
  <c r="U38"/>
  <c r="AE36"/>
  <c r="DG25"/>
  <c r="U21"/>
  <c r="CW39"/>
  <c r="BI29"/>
  <c r="CC17"/>
  <c r="CW16"/>
  <c r="DG21"/>
  <c r="U32"/>
  <c r="CC24"/>
  <c r="AY23"/>
  <c r="AE44"/>
  <c r="BS23"/>
  <c r="CC10"/>
  <c r="CW9"/>
  <c r="AE42"/>
  <c r="DG34"/>
  <c r="CC35"/>
  <c r="CC12"/>
  <c r="CC39"/>
  <c r="AE12"/>
  <c r="BI16"/>
  <c r="AY19"/>
  <c r="AY36"/>
  <c r="CM37"/>
  <c r="CC22"/>
  <c r="AY32"/>
  <c r="DG22"/>
  <c r="BI12"/>
  <c r="AE11"/>
  <c r="U28"/>
  <c r="AE32"/>
  <c r="CW45"/>
  <c r="K48"/>
  <c r="U48"/>
  <c r="AE48"/>
  <c r="AO48"/>
  <c r="AY48"/>
  <c r="BI48"/>
  <c r="BS48"/>
  <c r="CC48"/>
  <c r="CM48"/>
  <c r="CW48"/>
  <c r="DG48"/>
  <c r="BI48" i="192" l="1"/>
  <c r="BI48" i="191"/>
  <c r="BI48" i="193"/>
  <c r="BI48" i="62"/>
  <c r="BI48" i="38"/>
  <c r="BY45" i="192"/>
  <c r="BY45" i="191"/>
  <c r="BY45" i="193"/>
  <c r="BQ37" i="192"/>
  <c r="BU37" s="1"/>
  <c r="BQ37" i="191"/>
  <c r="BU37" s="1"/>
  <c r="BQ37" i="193"/>
  <c r="CG34" i="192"/>
  <c r="CG34" i="191"/>
  <c r="CK34" s="1"/>
  <c r="CG34" i="193"/>
  <c r="CK34" s="1"/>
  <c r="M32"/>
  <c r="M32" i="192"/>
  <c r="M32" i="191"/>
  <c r="Q32" s="1"/>
  <c r="U36" i="192"/>
  <c r="U36" i="191"/>
  <c r="U36" i="193"/>
  <c r="BY38" i="192"/>
  <c r="CC38" s="1"/>
  <c r="BY38" i="191"/>
  <c r="BY38" i="193"/>
  <c r="BY44" i="192"/>
  <c r="BY44" i="191"/>
  <c r="CC44" s="1"/>
  <c r="BY44" i="193"/>
  <c r="CC44" s="1"/>
  <c r="BA15" i="192"/>
  <c r="BA15" i="191"/>
  <c r="BA15" i="193"/>
  <c r="BE15" s="1"/>
  <c r="BI40" i="192"/>
  <c r="BM40" s="1"/>
  <c r="BI40" i="191"/>
  <c r="BI40" i="193"/>
  <c r="M36"/>
  <c r="M36" i="192"/>
  <c r="M36" i="191"/>
  <c r="BQ31" i="192"/>
  <c r="BQ31" i="191"/>
  <c r="BU31" s="1"/>
  <c r="BQ31" i="193"/>
  <c r="BA27" i="192"/>
  <c r="BA27" i="191"/>
  <c r="BA27" i="193"/>
  <c r="E17" i="191"/>
  <c r="E17" i="192"/>
  <c r="E17" i="193"/>
  <c r="BY22" i="192"/>
  <c r="CC22" s="1"/>
  <c r="BY22" i="191"/>
  <c r="BY22" i="193"/>
  <c r="U16"/>
  <c r="U16" i="192"/>
  <c r="U16" i="191"/>
  <c r="Y16" s="1"/>
  <c r="U26" i="192"/>
  <c r="U26" i="191"/>
  <c r="U26" i="193"/>
  <c r="Y26" s="1"/>
  <c r="AC36" i="192"/>
  <c r="AG36" s="1"/>
  <c r="AC36" i="191"/>
  <c r="AC36" i="193"/>
  <c r="CG16" i="192"/>
  <c r="CG16" i="191"/>
  <c r="CK16" s="1"/>
  <c r="CG16" i="193"/>
  <c r="AS25" i="192"/>
  <c r="AS25" i="191"/>
  <c r="AW25" s="1"/>
  <c r="AS25" i="193"/>
  <c r="AW25" s="1"/>
  <c r="CG35" i="192"/>
  <c r="CG35" i="191"/>
  <c r="CG35" i="193"/>
  <c r="CK35" s="1"/>
  <c r="BQ46"/>
  <c r="BQ46" i="192"/>
  <c r="BQ46" i="191"/>
  <c r="CG23" i="192"/>
  <c r="CK23" s="1"/>
  <c r="CG23" i="191"/>
  <c r="CK23" s="1"/>
  <c r="CG23" i="193"/>
  <c r="BA36" i="191"/>
  <c r="BA36" i="192"/>
  <c r="BA36" i="193"/>
  <c r="BE36" s="1"/>
  <c r="BI23" i="192"/>
  <c r="BI23" i="191"/>
  <c r="BI23" i="193"/>
  <c r="BM23" s="1"/>
  <c r="M39" i="192"/>
  <c r="M39" i="191"/>
  <c r="M39" i="193"/>
  <c r="E8" i="192"/>
  <c r="I8" s="1"/>
  <c r="E8" i="191"/>
  <c r="E8" i="193"/>
  <c r="BQ36" i="192"/>
  <c r="BQ36" i="191"/>
  <c r="BU36" s="1"/>
  <c r="BQ36" i="193"/>
  <c r="BY15" i="192"/>
  <c r="BY15" i="193"/>
  <c r="BY15" i="191"/>
  <c r="CC15" s="1"/>
  <c r="E44" i="192"/>
  <c r="I44" s="1"/>
  <c r="E44" i="191"/>
  <c r="E44" i="193"/>
  <c r="E29" i="192"/>
  <c r="I29" s="1"/>
  <c r="E29" i="191"/>
  <c r="I29" s="1"/>
  <c r="E29" i="193"/>
  <c r="E30" i="192"/>
  <c r="E30" i="193"/>
  <c r="I30" s="1"/>
  <c r="E30" i="191"/>
  <c r="I30" s="1"/>
  <c r="BY19" i="192"/>
  <c r="BY19" i="193"/>
  <c r="BY19" i="191"/>
  <c r="AK29" i="192"/>
  <c r="AK29" i="191"/>
  <c r="AK29" i="193"/>
  <c r="AK10" i="192"/>
  <c r="AO10" s="1"/>
  <c r="AK10" i="191"/>
  <c r="AK10" i="193"/>
  <c r="AS13" i="192"/>
  <c r="AS13" i="191"/>
  <c r="AS13" i="193"/>
  <c r="AW13" s="1"/>
  <c r="U17" i="192"/>
  <c r="U17" i="191"/>
  <c r="U17" i="193"/>
  <c r="BQ16" i="192"/>
  <c r="BU16" s="1"/>
  <c r="BQ16" i="191"/>
  <c r="BQ16" i="193"/>
  <c r="E14" i="192"/>
  <c r="I14" s="1"/>
  <c r="E14" i="191"/>
  <c r="E14" i="193"/>
  <c r="AC45" i="191"/>
  <c r="AC45" i="193"/>
  <c r="AC45" i="192"/>
  <c r="BI20"/>
  <c r="BI20" i="191"/>
  <c r="BI20" i="193"/>
  <c r="E13" i="191"/>
  <c r="I13" s="1"/>
  <c r="E13" i="193"/>
  <c r="E13" i="192"/>
  <c r="AK27"/>
  <c r="AK27" i="191"/>
  <c r="AO27" s="1"/>
  <c r="AK27" i="193"/>
  <c r="CG10" i="192"/>
  <c r="CG10" i="191"/>
  <c r="CK10" s="1"/>
  <c r="CG10" i="193"/>
  <c r="AK14" i="192"/>
  <c r="AK14" i="191"/>
  <c r="AK14" i="193"/>
  <c r="AC31" i="192"/>
  <c r="AG31" s="1"/>
  <c r="AC31" i="191"/>
  <c r="AC31" i="193"/>
  <c r="BQ11" i="192"/>
  <c r="BU11" s="1"/>
  <c r="BQ11" i="191"/>
  <c r="BQ11" i="193"/>
  <c r="BA46" i="192"/>
  <c r="BA46" i="191"/>
  <c r="BE46" s="1"/>
  <c r="BA46" i="193"/>
  <c r="AS45" i="192"/>
  <c r="AS45" i="191"/>
  <c r="AS45" i="193"/>
  <c r="AW45" s="1"/>
  <c r="E26" i="192"/>
  <c r="I26" s="1"/>
  <c r="E26" i="193"/>
  <c r="E26" i="191"/>
  <c r="AC24" i="192"/>
  <c r="AG24" s="1"/>
  <c r="AC24" i="191"/>
  <c r="AG24" s="1"/>
  <c r="AC24" i="193"/>
  <c r="BA14" i="192"/>
  <c r="BA14" i="191"/>
  <c r="BA14" i="193"/>
  <c r="BQ21" i="192"/>
  <c r="BQ21" i="191"/>
  <c r="BQ21" i="193"/>
  <c r="BY33" i="192"/>
  <c r="BY33" i="191"/>
  <c r="BY33" i="193"/>
  <c r="BA47" i="192"/>
  <c r="BE47" s="1"/>
  <c r="BA47" i="191"/>
  <c r="BE47" s="1"/>
  <c r="BA47" i="193"/>
  <c r="DE56" i="19"/>
  <c r="CF48" i="192"/>
  <c r="CF48" i="191"/>
  <c r="CF48" i="193"/>
  <c r="L22" i="157"/>
  <c r="CF48" i="62"/>
  <c r="CF48" i="38"/>
  <c r="T48" i="192"/>
  <c r="AC56" i="19"/>
  <c r="T48" i="191"/>
  <c r="T48" i="193"/>
  <c r="D22" i="157"/>
  <c r="T48" i="62"/>
  <c r="T48" i="38"/>
  <c r="D12" i="192"/>
  <c r="D12" i="191"/>
  <c r="D12" i="193"/>
  <c r="D40" i="191"/>
  <c r="D40" i="192"/>
  <c r="D40" i="193"/>
  <c r="CF8" i="192"/>
  <c r="CF8" i="191"/>
  <c r="CJ8" s="1"/>
  <c r="CF8" i="193"/>
  <c r="CJ8" s="1"/>
  <c r="T36" i="192"/>
  <c r="T36" i="191"/>
  <c r="T36" i="193"/>
  <c r="X36" s="1"/>
  <c r="D22" i="243" s="1"/>
  <c r="AJ9" i="192"/>
  <c r="AN9" s="1"/>
  <c r="AJ9" i="191"/>
  <c r="AJ9" i="193"/>
  <c r="BH41" i="192"/>
  <c r="BL41" s="1"/>
  <c r="I27" i="241" s="1"/>
  <c r="BH41" i="191"/>
  <c r="BL41" s="1"/>
  <c r="I27" i="242" s="1"/>
  <c r="BH41" i="193"/>
  <c r="BH32" i="192"/>
  <c r="BH32" i="191"/>
  <c r="BH32" i="193"/>
  <c r="AJ28" i="192"/>
  <c r="AJ28" i="191"/>
  <c r="AJ28" i="193"/>
  <c r="AN28" s="1"/>
  <c r="F14" i="243" s="1"/>
  <c r="BX45" i="192"/>
  <c r="BX45" i="191"/>
  <c r="BX45" i="193"/>
  <c r="AZ25" i="192"/>
  <c r="AZ25" i="191"/>
  <c r="BD25" s="1"/>
  <c r="H11" i="242" s="1"/>
  <c r="AZ25" i="193"/>
  <c r="T27" i="192"/>
  <c r="T27" i="191"/>
  <c r="X27" s="1"/>
  <c r="D13" i="242" s="1"/>
  <c r="T27" i="193"/>
  <c r="BH16" i="192"/>
  <c r="BH16" i="191"/>
  <c r="BH16" i="193"/>
  <c r="AB41" i="192"/>
  <c r="AF41" s="1"/>
  <c r="E27" i="241" s="1"/>
  <c r="AB41" i="191"/>
  <c r="AB41" i="193"/>
  <c r="T33" i="192"/>
  <c r="X33" s="1"/>
  <c r="D19" i="241" s="1"/>
  <c r="T33" i="191"/>
  <c r="X33" s="1"/>
  <c r="D19" i="242" s="1"/>
  <c r="T33" i="193"/>
  <c r="AR32" i="192"/>
  <c r="AR32" i="191"/>
  <c r="AR32" i="193"/>
  <c r="AV32" s="1"/>
  <c r="G18" i="243" s="1"/>
  <c r="L26" i="192"/>
  <c r="L26" i="191"/>
  <c r="L26" i="193"/>
  <c r="P26" s="1"/>
  <c r="C12" i="243" s="1"/>
  <c r="T40" i="192"/>
  <c r="T40" i="191"/>
  <c r="T40" i="193"/>
  <c r="T9" i="192"/>
  <c r="T9" i="191"/>
  <c r="T9" i="193"/>
  <c r="CF46" i="192"/>
  <c r="CF46" i="191"/>
  <c r="CF46" i="193"/>
  <c r="L12"/>
  <c r="L12" i="192"/>
  <c r="L12" i="191"/>
  <c r="P12" s="1"/>
  <c r="T17" i="192"/>
  <c r="X17" s="1"/>
  <c r="T17" i="191"/>
  <c r="T17" i="193"/>
  <c r="BH10" i="191"/>
  <c r="BL10" s="1"/>
  <c r="BH10" i="192"/>
  <c r="BL10" s="1"/>
  <c r="BH10" i="193"/>
  <c r="BP34" i="192"/>
  <c r="BP34" i="191"/>
  <c r="BP34" i="193"/>
  <c r="T43" i="192"/>
  <c r="T43" i="191"/>
  <c r="T43" i="193"/>
  <c r="X43" s="1"/>
  <c r="D29" i="243" s="1"/>
  <c r="CF17" i="192"/>
  <c r="CF17" i="191"/>
  <c r="CF17" i="193"/>
  <c r="BH24" i="192"/>
  <c r="BL24" s="1"/>
  <c r="I10" i="241" s="1"/>
  <c r="BH24" i="191"/>
  <c r="BH24" i="193"/>
  <c r="T28" i="192"/>
  <c r="T28" i="191"/>
  <c r="T28" i="193"/>
  <c r="CF36" i="192"/>
  <c r="CF36" i="191"/>
  <c r="CF36" i="193"/>
  <c r="CJ36" s="1"/>
  <c r="L22" i="243" s="1"/>
  <c r="AB14" i="192"/>
  <c r="AF14" s="1"/>
  <c r="AB14" i="191"/>
  <c r="AB14" i="193"/>
  <c r="D39" i="192"/>
  <c r="H39" s="1"/>
  <c r="D39" i="191"/>
  <c r="D39" i="193"/>
  <c r="AJ39" i="192"/>
  <c r="AJ39" i="191"/>
  <c r="AJ39" i="193"/>
  <c r="BP42" i="192"/>
  <c r="BP42" i="191"/>
  <c r="BP42" i="193"/>
  <c r="BT42" s="1"/>
  <c r="J28" i="243" s="1"/>
  <c r="L10" i="192"/>
  <c r="P10" s="1"/>
  <c r="L10" i="191"/>
  <c r="L10" i="193"/>
  <c r="L30" i="192"/>
  <c r="L30" i="191"/>
  <c r="L30" i="193"/>
  <c r="L38" i="192"/>
  <c r="L38" i="191"/>
  <c r="P38" s="1"/>
  <c r="C24" i="242" s="1"/>
  <c r="L38" i="193"/>
  <c r="P38" s="1"/>
  <c r="C24" i="243" s="1"/>
  <c r="AR12" i="192"/>
  <c r="AR12" i="191"/>
  <c r="AR12" i="193"/>
  <c r="AV12" s="1"/>
  <c r="T35" i="192"/>
  <c r="X35" s="1"/>
  <c r="D21" i="241" s="1"/>
  <c r="T35" i="191"/>
  <c r="T35" i="193"/>
  <c r="CF15" i="192"/>
  <c r="CJ15" s="1"/>
  <c r="CF15" i="191"/>
  <c r="CJ15" s="1"/>
  <c r="CF15" i="193"/>
  <c r="AJ25" i="192"/>
  <c r="AJ25" i="191"/>
  <c r="AN25" s="1"/>
  <c r="F11" i="242" s="1"/>
  <c r="AJ25" i="193"/>
  <c r="D8" i="192"/>
  <c r="D8" i="191"/>
  <c r="D8" i="193"/>
  <c r="H8" s="1"/>
  <c r="BH14" i="192"/>
  <c r="BH14" i="191"/>
  <c r="BH14" i="193"/>
  <c r="BX43" i="192"/>
  <c r="CB43" s="1"/>
  <c r="K29" i="241" s="1"/>
  <c r="BX43" i="191"/>
  <c r="CB43" s="1"/>
  <c r="K29" i="242" s="1"/>
  <c r="BX43" i="193"/>
  <c r="BH13" i="192"/>
  <c r="BH13" i="191"/>
  <c r="BH13" i="193"/>
  <c r="BH29" i="192"/>
  <c r="BH29" i="191"/>
  <c r="BH29" i="193"/>
  <c r="BL29" s="1"/>
  <c r="I15" i="243" s="1"/>
  <c r="BP45" i="192"/>
  <c r="BP45" i="191"/>
  <c r="BP45" i="193"/>
  <c r="AB45" i="192"/>
  <c r="AB45" i="191"/>
  <c r="AF45" s="1"/>
  <c r="E31" i="242" s="1"/>
  <c r="AB45" i="193"/>
  <c r="D13" i="192"/>
  <c r="D13" i="191"/>
  <c r="H13" s="1"/>
  <c r="D13" i="193"/>
  <c r="AR20" i="192"/>
  <c r="AR20" i="191"/>
  <c r="AR20" i="193"/>
  <c r="AV20" s="1"/>
  <c r="G6" i="243" s="1"/>
  <c r="BP9" i="192"/>
  <c r="BP9" i="191"/>
  <c r="BP9" i="193"/>
  <c r="L24" i="192"/>
  <c r="P24" s="1"/>
  <c r="C10" i="241" s="1"/>
  <c r="L24" i="191"/>
  <c r="P24" s="1"/>
  <c r="C10" i="242" s="1"/>
  <c r="L24" i="193"/>
  <c r="D47" i="191"/>
  <c r="D47" i="193"/>
  <c r="D47" i="192"/>
  <c r="L47"/>
  <c r="L47" i="191"/>
  <c r="L47" i="193"/>
  <c r="P47" s="1"/>
  <c r="C33" i="243" s="1"/>
  <c r="C46" i="121"/>
  <c r="B22" i="205"/>
  <c r="H44"/>
  <c r="H49"/>
  <c r="H39"/>
  <c r="I48"/>
  <c r="I43"/>
  <c r="I38"/>
  <c r="K49"/>
  <c r="K44"/>
  <c r="K39"/>
  <c r="F48"/>
  <c r="F43"/>
  <c r="F38"/>
  <c r="C38" i="121"/>
  <c r="B14" i="205"/>
  <c r="K46"/>
  <c r="K41"/>
  <c r="K36"/>
  <c r="C46"/>
  <c r="C41"/>
  <c r="C36"/>
  <c r="AK48" i="191"/>
  <c r="AK48" i="193"/>
  <c r="AK48" i="192"/>
  <c r="AK48" i="38"/>
  <c r="AK48" i="62"/>
  <c r="U11" i="191"/>
  <c r="Y11" s="1"/>
  <c r="U11" i="192"/>
  <c r="U11" i="193"/>
  <c r="AS16" i="192"/>
  <c r="AS16" i="191"/>
  <c r="AS16" i="193"/>
  <c r="AW16" s="1"/>
  <c r="BI10" i="192"/>
  <c r="BI10" i="191"/>
  <c r="BI10" i="193"/>
  <c r="BM10" s="1"/>
  <c r="BI17" i="192"/>
  <c r="BM17" s="1"/>
  <c r="BI17" i="191"/>
  <c r="BI17" i="193"/>
  <c r="BQ29" i="192"/>
  <c r="BU29" s="1"/>
  <c r="BQ29" i="191"/>
  <c r="BQ29" i="193"/>
  <c r="AS33" i="192"/>
  <c r="AS33" i="191"/>
  <c r="AW33" s="1"/>
  <c r="AS33" i="193"/>
  <c r="AW33" s="1"/>
  <c r="AS26" i="192"/>
  <c r="AS26" i="191"/>
  <c r="AS26" i="193"/>
  <c r="BA24" i="191"/>
  <c r="BE24" s="1"/>
  <c r="BA24" i="192"/>
  <c r="BA24" i="193"/>
  <c r="AS27" i="192"/>
  <c r="AW27" s="1"/>
  <c r="AS27" i="191"/>
  <c r="AS27" i="193"/>
  <c r="BA25" i="191"/>
  <c r="BA25" i="192"/>
  <c r="BE25" s="1"/>
  <c r="BA25" i="193"/>
  <c r="M29" i="192"/>
  <c r="M29" i="191"/>
  <c r="M29" i="193"/>
  <c r="Q29" s="1"/>
  <c r="U15" i="192"/>
  <c r="Y15" s="1"/>
  <c r="U15" i="193"/>
  <c r="U15" i="191"/>
  <c r="AS10"/>
  <c r="AW10" s="1"/>
  <c r="AS10" i="192"/>
  <c r="AW10" s="1"/>
  <c r="AS10" i="193"/>
  <c r="BA16" i="192"/>
  <c r="BA16" i="191"/>
  <c r="BE16" s="1"/>
  <c r="BA16" i="193"/>
  <c r="BE16" s="1"/>
  <c r="BY35" i="191"/>
  <c r="BY35" i="193"/>
  <c r="BY35" i="192"/>
  <c r="CC35" s="1"/>
  <c r="CG38"/>
  <c r="CG38" i="191"/>
  <c r="CG38" i="193"/>
  <c r="BQ14" i="192"/>
  <c r="BU14" s="1"/>
  <c r="BQ14" i="191"/>
  <c r="BU14" s="1"/>
  <c r="BQ14" i="193"/>
  <c r="AK12" i="192"/>
  <c r="AK12" i="191"/>
  <c r="AO12" s="1"/>
  <c r="AK12" i="193"/>
  <c r="AO12" s="1"/>
  <c r="CG27" i="192"/>
  <c r="CG27" i="191"/>
  <c r="CG27" i="193"/>
  <c r="CK27" s="1"/>
  <c r="AS43" i="192"/>
  <c r="AW43" s="1"/>
  <c r="AS43" i="193"/>
  <c r="AS43" i="191"/>
  <c r="AC41" i="192"/>
  <c r="AG41" s="1"/>
  <c r="AC41" i="191"/>
  <c r="AG41" s="1"/>
  <c r="AC41" i="193"/>
  <c r="BI21" i="192"/>
  <c r="BI21" i="191"/>
  <c r="BM21" s="1"/>
  <c r="BI21" i="193"/>
  <c r="BM21" s="1"/>
  <c r="U25" i="192"/>
  <c r="U25" i="191"/>
  <c r="U25" i="193"/>
  <c r="AS35" i="192"/>
  <c r="AW35" s="1"/>
  <c r="AS35" i="191"/>
  <c r="AS35" i="193"/>
  <c r="AS17" i="192"/>
  <c r="AW17" s="1"/>
  <c r="AS17" i="191"/>
  <c r="AW17" s="1"/>
  <c r="AS17" i="193"/>
  <c r="M35" i="192"/>
  <c r="M35" i="191"/>
  <c r="M35" i="193"/>
  <c r="Q35" s="1"/>
  <c r="E43" i="192"/>
  <c r="E43" i="191"/>
  <c r="E43" i="193"/>
  <c r="AS44" i="192"/>
  <c r="AW44" s="1"/>
  <c r="AS44" i="191"/>
  <c r="AS44" i="193"/>
  <c r="BA20" i="191"/>
  <c r="BE20" s="1"/>
  <c r="BA20" i="193"/>
  <c r="BE20" s="1"/>
  <c r="BA20" i="192"/>
  <c r="BA13"/>
  <c r="BA13" i="191"/>
  <c r="BE13" s="1"/>
  <c r="BA13" i="193"/>
  <c r="BA31" i="192"/>
  <c r="BA31" i="191"/>
  <c r="BA31" i="193"/>
  <c r="BQ19" i="192"/>
  <c r="BU19" s="1"/>
  <c r="BQ19" i="193"/>
  <c r="BQ19" i="191"/>
  <c r="AC21"/>
  <c r="AG21" s="1"/>
  <c r="AC21" i="193"/>
  <c r="AG21" s="1"/>
  <c r="AC21" i="192"/>
  <c r="M26"/>
  <c r="M26" i="191"/>
  <c r="M26" i="193"/>
  <c r="Q26" s="1"/>
  <c r="BI33"/>
  <c r="BI33" i="192"/>
  <c r="BI33" i="191"/>
  <c r="BM33" s="1"/>
  <c r="BA29" i="192"/>
  <c r="BA29" i="191"/>
  <c r="BA29" i="193"/>
  <c r="AC42" i="192"/>
  <c r="AG42" s="1"/>
  <c r="AC42" i="191"/>
  <c r="AG42" s="1"/>
  <c r="AC42" i="193"/>
  <c r="AC40" i="192"/>
  <c r="AC40" i="191"/>
  <c r="AG40" s="1"/>
  <c r="AC40" i="193"/>
  <c r="AG40" s="1"/>
  <c r="U33" i="192"/>
  <c r="U33" i="193"/>
  <c r="U33" i="191"/>
  <c r="AC34"/>
  <c r="AG34" s="1"/>
  <c r="AC34" i="193"/>
  <c r="AC34" i="192"/>
  <c r="AC20"/>
  <c r="AG20" s="1"/>
  <c r="AC20" i="191"/>
  <c r="AG20" s="1"/>
  <c r="AC20" i="193"/>
  <c r="AK46" i="191"/>
  <c r="AK46" i="192"/>
  <c r="AO46" s="1"/>
  <c r="AK46" i="193"/>
  <c r="CG28" i="191"/>
  <c r="CG28" i="192"/>
  <c r="CG28" i="193"/>
  <c r="CK28" s="1"/>
  <c r="BA37"/>
  <c r="BE37" s="1"/>
  <c r="BA37" i="192"/>
  <c r="BA37" i="191"/>
  <c r="BA8"/>
  <c r="BE8" s="1"/>
  <c r="BA8" i="193"/>
  <c r="BA8" i="192"/>
  <c r="E23" i="191"/>
  <c r="E23" i="193"/>
  <c r="I23" s="1"/>
  <c r="E23" i="192"/>
  <c r="I23" s="1"/>
  <c r="AS8"/>
  <c r="AS8" i="191"/>
  <c r="AS8" i="193"/>
  <c r="AW8" s="1"/>
  <c r="BY12" i="192"/>
  <c r="CC12" s="1"/>
  <c r="BY12" i="191"/>
  <c r="BY12" i="193"/>
  <c r="M47" i="192"/>
  <c r="M47" i="191"/>
  <c r="M47" i="193"/>
  <c r="BH48" i="191"/>
  <c r="BH48" i="193"/>
  <c r="CA56" i="19"/>
  <c r="BH48" i="192"/>
  <c r="I22" i="157"/>
  <c r="BH48" i="38"/>
  <c r="BL48" s="1"/>
  <c r="I34" i="202" s="1"/>
  <c r="BH48" i="62"/>
  <c r="AZ14" i="192"/>
  <c r="AZ14" i="191"/>
  <c r="AZ14" i="193"/>
  <c r="CF44" i="192"/>
  <c r="CJ44" s="1"/>
  <c r="L30" i="241" s="1"/>
  <c r="CF44" i="191"/>
  <c r="CF44" i="193"/>
  <c r="AJ20" i="191"/>
  <c r="AN20" s="1"/>
  <c r="F6" i="242" s="1"/>
  <c r="AJ20" i="193"/>
  <c r="AN20" s="1"/>
  <c r="F6" i="243" s="1"/>
  <c r="AJ20" i="192"/>
  <c r="AR39"/>
  <c r="AR39" i="191"/>
  <c r="AV39" s="1"/>
  <c r="G25" i="242" s="1"/>
  <c r="AR39" i="193"/>
  <c r="AR15" i="192"/>
  <c r="AR15" i="193"/>
  <c r="AR15" i="191"/>
  <c r="AZ23" i="192"/>
  <c r="AZ23" i="191"/>
  <c r="AZ23" i="193"/>
  <c r="AZ16" i="192"/>
  <c r="BD16" s="1"/>
  <c r="AZ16" i="191"/>
  <c r="AZ16" i="193"/>
  <c r="AJ19" i="192"/>
  <c r="AJ19" i="191"/>
  <c r="AN19" s="1"/>
  <c r="AJ19" i="193"/>
  <c r="AN19" s="1"/>
  <c r="F21" i="157"/>
  <c r="AZ20" i="192"/>
  <c r="AZ20" i="191"/>
  <c r="AZ20" i="193"/>
  <c r="BD20" s="1"/>
  <c r="H6" i="243" s="1"/>
  <c r="AJ14" i="192"/>
  <c r="AJ14" i="191"/>
  <c r="AJ14" i="193"/>
  <c r="AN14" s="1"/>
  <c r="CF40" i="192"/>
  <c r="CJ40" s="1"/>
  <c r="L26" i="241" s="1"/>
  <c r="CF40" i="191"/>
  <c r="CF40" i="193"/>
  <c r="T26" i="192"/>
  <c r="X26" s="1"/>
  <c r="D12" i="241" s="1"/>
  <c r="T26" i="191"/>
  <c r="T26" i="193"/>
  <c r="CF21" i="192"/>
  <c r="CF21" i="191"/>
  <c r="CF21" i="193"/>
  <c r="CJ21" s="1"/>
  <c r="L7" i="243" s="1"/>
  <c r="AB19" i="192"/>
  <c r="AB19" i="193"/>
  <c r="AB19" i="191"/>
  <c r="AF19" s="1"/>
  <c r="E21" i="157"/>
  <c r="T46" i="191"/>
  <c r="T46" i="192"/>
  <c r="T46" i="193"/>
  <c r="AB24" i="192"/>
  <c r="AF24" s="1"/>
  <c r="E10" i="241" s="1"/>
  <c r="AB24" i="191"/>
  <c r="AB24" i="193"/>
  <c r="CF13" i="191"/>
  <c r="CJ13" s="1"/>
  <c r="CF13" i="193"/>
  <c r="CJ13" s="1"/>
  <c r="CF13" i="192"/>
  <c r="BX28"/>
  <c r="BX28" i="193"/>
  <c r="BX28" i="191"/>
  <c r="CF25"/>
  <c r="CF25" i="192"/>
  <c r="CF25" i="193"/>
  <c r="CJ25" s="1"/>
  <c r="L11" i="243" s="1"/>
  <c r="BP31" i="191"/>
  <c r="BP31" i="192"/>
  <c r="BP31" i="193"/>
  <c r="AJ11" i="191"/>
  <c r="AN11" s="1"/>
  <c r="AJ11" i="193"/>
  <c r="AN11" s="1"/>
  <c r="AJ11" i="192"/>
  <c r="AZ8" i="191"/>
  <c r="AZ8" i="192"/>
  <c r="AZ8" i="193"/>
  <c r="BP8" i="192"/>
  <c r="BP8" i="191"/>
  <c r="BP8" i="193"/>
  <c r="BT8" s="1"/>
  <c r="D24" i="192"/>
  <c r="H24" s="1"/>
  <c r="D24" i="191"/>
  <c r="D24" i="193"/>
  <c r="BH39" i="192"/>
  <c r="BL39" s="1"/>
  <c r="I25" i="241" s="1"/>
  <c r="BH39" i="193"/>
  <c r="BH39" i="191"/>
  <c r="L35" i="192"/>
  <c r="L35" i="191"/>
  <c r="P35" s="1"/>
  <c r="C21" i="242" s="1"/>
  <c r="L35" i="193"/>
  <c r="T19" i="192"/>
  <c r="T19" i="191"/>
  <c r="T19" i="193"/>
  <c r="D21" i="157"/>
  <c r="AB40" i="192"/>
  <c r="AB40" i="191"/>
  <c r="AB40" i="193"/>
  <c r="AF40" s="1"/>
  <c r="E26" i="243" s="1"/>
  <c r="AJ22" i="192"/>
  <c r="AN22" s="1"/>
  <c r="F8" i="241" s="1"/>
  <c r="AJ22" i="191"/>
  <c r="AJ22" i="193"/>
  <c r="BH28" i="192"/>
  <c r="BH28" i="191"/>
  <c r="BL28" s="1"/>
  <c r="I14" i="242" s="1"/>
  <c r="BH28" i="193"/>
  <c r="CF38" i="192"/>
  <c r="CF38" i="191"/>
  <c r="CJ38" s="1"/>
  <c r="L24" i="242" s="1"/>
  <c r="CF38" i="193"/>
  <c r="CJ38" s="1"/>
  <c r="L24" i="243" s="1"/>
  <c r="T45" i="192"/>
  <c r="T45" i="193"/>
  <c r="T45" i="191"/>
  <c r="X45" s="1"/>
  <c r="D31" i="242" s="1"/>
  <c r="L29" i="191"/>
  <c r="P29" s="1"/>
  <c r="C15" i="242" s="1"/>
  <c r="L29" i="192"/>
  <c r="L29" i="193"/>
  <c r="L39" i="192"/>
  <c r="P39" s="1"/>
  <c r="C25" i="241" s="1"/>
  <c r="L39" i="191"/>
  <c r="P39" s="1"/>
  <c r="C25" i="242" s="1"/>
  <c r="L39" i="193"/>
  <c r="BP25" i="192"/>
  <c r="BP25" i="191"/>
  <c r="BT25" s="1"/>
  <c r="J11" i="242" s="1"/>
  <c r="BP25" i="193"/>
  <c r="CF11" i="192"/>
  <c r="CF11" i="191"/>
  <c r="CF11" i="193"/>
  <c r="CJ11" s="1"/>
  <c r="CF29" i="191"/>
  <c r="CJ29" s="1"/>
  <c r="L15" i="242" s="1"/>
  <c r="CF29" i="192"/>
  <c r="CF29" i="193"/>
  <c r="BX33" i="191"/>
  <c r="CB33" s="1"/>
  <c r="K19" i="242" s="1"/>
  <c r="BX33" i="193"/>
  <c r="CB33" s="1"/>
  <c r="K19" i="243" s="1"/>
  <c r="BX33" i="192"/>
  <c r="AB42"/>
  <c r="AB42" i="191"/>
  <c r="AF42" s="1"/>
  <c r="E28" i="242" s="1"/>
  <c r="AB42" i="193"/>
  <c r="AZ10" i="192"/>
  <c r="AZ10" i="191"/>
  <c r="AZ10" i="193"/>
  <c r="BD10" s="1"/>
  <c r="BX21"/>
  <c r="CB21" s="1"/>
  <c r="K7" i="243" s="1"/>
  <c r="BX21" i="192"/>
  <c r="BX21" i="191"/>
  <c r="AR36" i="192"/>
  <c r="AV36" s="1"/>
  <c r="G22" i="241" s="1"/>
  <c r="AR36" i="193"/>
  <c r="AR36" i="191"/>
  <c r="AR42" i="192"/>
  <c r="AR42" i="191"/>
  <c r="AV42" s="1"/>
  <c r="G28" i="242" s="1"/>
  <c r="AR42" i="193"/>
  <c r="L16" i="192"/>
  <c r="L16" i="191"/>
  <c r="L16" i="193"/>
  <c r="P16" s="1"/>
  <c r="D26" i="192"/>
  <c r="H26" s="1"/>
  <c r="D26" i="191"/>
  <c r="D26" i="193"/>
  <c r="AZ32" i="192"/>
  <c r="BD32" s="1"/>
  <c r="H18" i="241" s="1"/>
  <c r="AZ32" i="191"/>
  <c r="AZ32" i="193"/>
  <c r="AR14" i="192"/>
  <c r="AR14" i="191"/>
  <c r="AV14" s="1"/>
  <c r="AR14" i="193"/>
  <c r="T11" i="192"/>
  <c r="T11" i="191"/>
  <c r="T11" i="193"/>
  <c r="BP26" i="192"/>
  <c r="BT26" s="1"/>
  <c r="J12" i="241" s="1"/>
  <c r="BP26" i="191"/>
  <c r="BP26" i="193"/>
  <c r="BX26" i="192"/>
  <c r="CB26" s="1"/>
  <c r="K12" i="241" s="1"/>
  <c r="BX26" i="191"/>
  <c r="CB26" s="1"/>
  <c r="K12" i="242" s="1"/>
  <c r="BX26" i="193"/>
  <c r="AR44" i="191"/>
  <c r="AR44" i="193"/>
  <c r="AV44" s="1"/>
  <c r="G30" i="243" s="1"/>
  <c r="AR44" i="192"/>
  <c r="BX19"/>
  <c r="BX19" i="191"/>
  <c r="BX19" i="193"/>
  <c r="K21" i="157"/>
  <c r="BH26" i="191"/>
  <c r="BH26" i="192"/>
  <c r="BH26" i="193"/>
  <c r="BL26" s="1"/>
  <c r="I12" i="243" s="1"/>
  <c r="AB27" i="192"/>
  <c r="AF27" s="1"/>
  <c r="E13" i="241" s="1"/>
  <c r="AB27" i="191"/>
  <c r="AB27" i="193"/>
  <c r="AR33" i="192"/>
  <c r="AV33" s="1"/>
  <c r="G19" i="241" s="1"/>
  <c r="AR33" i="191"/>
  <c r="AR33" i="193"/>
  <c r="T24" i="192"/>
  <c r="T24" i="191"/>
  <c r="T24" i="193"/>
  <c r="X24" s="1"/>
  <c r="D10" i="243" s="1"/>
  <c r="BP24" i="192"/>
  <c r="BP24" i="191"/>
  <c r="BP24" i="193"/>
  <c r="BT24" s="1"/>
  <c r="J10" i="243" s="1"/>
  <c r="BP17" i="192"/>
  <c r="BT17" s="1"/>
  <c r="BP17" i="191"/>
  <c r="BP17" i="193"/>
  <c r="BP30" i="192"/>
  <c r="BT30" s="1"/>
  <c r="J16" i="241" s="1"/>
  <c r="BP30" i="191"/>
  <c r="BP30" i="193"/>
  <c r="BX25" i="191"/>
  <c r="BX25" i="192"/>
  <c r="CB25" s="1"/>
  <c r="K11" i="241" s="1"/>
  <c r="BX25" i="193"/>
  <c r="CB25" s="1"/>
  <c r="K11" i="243" s="1"/>
  <c r="AB8" i="192"/>
  <c r="AB8" i="191"/>
  <c r="AB8" i="193"/>
  <c r="AF8" s="1"/>
  <c r="AJ10" i="192"/>
  <c r="AJ10" i="193"/>
  <c r="AJ10" i="191"/>
  <c r="AR46" i="192"/>
  <c r="AV46" s="1"/>
  <c r="G32" i="241" s="1"/>
  <c r="AR46" i="191"/>
  <c r="AR46" i="193"/>
  <c r="L46" i="192"/>
  <c r="L46" i="191"/>
  <c r="P46" s="1"/>
  <c r="C32" i="242" s="1"/>
  <c r="L46" i="193"/>
  <c r="AR38" i="192"/>
  <c r="AR38" i="191"/>
  <c r="AR38" i="193"/>
  <c r="AV38" s="1"/>
  <c r="G24" i="243" s="1"/>
  <c r="BP33" i="192"/>
  <c r="BP33" i="191"/>
  <c r="BP33" i="193"/>
  <c r="BP12" i="192"/>
  <c r="BP12" i="191"/>
  <c r="BP12" i="193"/>
  <c r="CF10" i="192"/>
  <c r="CF10" i="191"/>
  <c r="CJ10" s="1"/>
  <c r="CF10" i="193"/>
  <c r="D41" i="192"/>
  <c r="D41" i="191"/>
  <c r="D41" i="193"/>
  <c r="H41" s="1"/>
  <c r="BX17" i="192"/>
  <c r="CB17" s="1"/>
  <c r="BX17" i="191"/>
  <c r="BX17" i="193"/>
  <c r="BX34" i="192"/>
  <c r="CB34" s="1"/>
  <c r="K20" i="241" s="1"/>
  <c r="BX34" i="191"/>
  <c r="BX34" i="193"/>
  <c r="AB15" i="192"/>
  <c r="AB15" i="191"/>
  <c r="AF15" s="1"/>
  <c r="AB15" i="193"/>
  <c r="AF15" s="1"/>
  <c r="D28" i="191"/>
  <c r="D28" i="192"/>
  <c r="D28" i="193"/>
  <c r="AZ21" i="191"/>
  <c r="BD21" s="1"/>
  <c r="H7" i="242" s="1"/>
  <c r="AZ21" i="193"/>
  <c r="AZ21" i="192"/>
  <c r="BH22"/>
  <c r="BH22" i="191"/>
  <c r="BL22" s="1"/>
  <c r="I8" i="242" s="1"/>
  <c r="BH22" i="193"/>
  <c r="AJ26" i="192"/>
  <c r="AJ26" i="191"/>
  <c r="AN26" s="1"/>
  <c r="F12" i="242" s="1"/>
  <c r="AJ26" i="193"/>
  <c r="T34" i="192"/>
  <c r="T34" i="191"/>
  <c r="T34" i="193"/>
  <c r="X34" s="1"/>
  <c r="D20" i="243" s="1"/>
  <c r="AB47" i="191"/>
  <c r="AF47" s="1"/>
  <c r="E33" i="242" s="1"/>
  <c r="AB47" i="193"/>
  <c r="AB47" i="192"/>
  <c r="T47"/>
  <c r="X47" s="1"/>
  <c r="D33" i="241" s="1"/>
  <c r="T47" i="191"/>
  <c r="X47" s="1"/>
  <c r="D33" i="242" s="1"/>
  <c r="T47" i="193"/>
  <c r="D48" i="205"/>
  <c r="D38"/>
  <c r="D43"/>
  <c r="C34" i="121"/>
  <c r="B10" i="205"/>
  <c r="C33" i="121"/>
  <c r="B9" i="205"/>
  <c r="L47"/>
  <c r="L42"/>
  <c r="L37"/>
  <c r="C30" i="121"/>
  <c r="B6" i="205"/>
  <c r="H43"/>
  <c r="H38"/>
  <c r="H48"/>
  <c r="C43"/>
  <c r="C38"/>
  <c r="C48"/>
  <c r="E47"/>
  <c r="E42"/>
  <c r="E37"/>
  <c r="C44" i="121"/>
  <c r="B20" i="205"/>
  <c r="C39" i="121"/>
  <c r="B15" i="205"/>
  <c r="G47"/>
  <c r="G37"/>
  <c r="G42"/>
  <c r="C54" i="121"/>
  <c r="B30" i="205"/>
  <c r="C50" i="121"/>
  <c r="B26" i="205"/>
  <c r="J46"/>
  <c r="J36"/>
  <c r="J41"/>
  <c r="F41"/>
  <c r="F46"/>
  <c r="F36"/>
  <c r="B46"/>
  <c r="B36"/>
  <c r="B41"/>
  <c r="BY48" i="192"/>
  <c r="BY50" s="1"/>
  <c r="BY48" i="191"/>
  <c r="BY48" i="193"/>
  <c r="BY50" s="1"/>
  <c r="BY48" i="62"/>
  <c r="BY48" i="38"/>
  <c r="AS48" i="193"/>
  <c r="AS48" i="192"/>
  <c r="AS48" i="191"/>
  <c r="AS48" i="62"/>
  <c r="AS48" i="38"/>
  <c r="M48" i="191"/>
  <c r="M48" i="193"/>
  <c r="M48" i="192"/>
  <c r="M48" i="62"/>
  <c r="M48" i="38"/>
  <c r="M28" i="192"/>
  <c r="M28" i="191"/>
  <c r="Q28" s="1"/>
  <c r="M28" i="193"/>
  <c r="AK32" i="192"/>
  <c r="AK32" i="191"/>
  <c r="AK32" i="193"/>
  <c r="AO32" s="1"/>
  <c r="AK19" i="192"/>
  <c r="AO19" s="1"/>
  <c r="AK19" i="191"/>
  <c r="AK19" i="193"/>
  <c r="BI12" i="192"/>
  <c r="BM12" s="1"/>
  <c r="BI12" i="191"/>
  <c r="BM12" s="1"/>
  <c r="BI12" i="193"/>
  <c r="BY9" i="192"/>
  <c r="BY9" i="191"/>
  <c r="CC9" s="1"/>
  <c r="BY9" i="193"/>
  <c r="CC9" s="1"/>
  <c r="AK23" i="192"/>
  <c r="AK23" i="191"/>
  <c r="AK23" i="193"/>
  <c r="AO23" s="1"/>
  <c r="BY16" i="192"/>
  <c r="CC16" s="1"/>
  <c r="BY16" i="191"/>
  <c r="BY16" i="193"/>
  <c r="M21" i="192"/>
  <c r="Q21" s="1"/>
  <c r="M21" i="191"/>
  <c r="Q21" s="1"/>
  <c r="M21" i="193"/>
  <c r="BY10"/>
  <c r="BY10" i="192"/>
  <c r="CC10" s="1"/>
  <c r="BY10" i="191"/>
  <c r="CC10" s="1"/>
  <c r="BY23" i="192"/>
  <c r="BY23" i="191"/>
  <c r="BY23" i="193"/>
  <c r="AC30" i="191"/>
  <c r="AC30" i="192"/>
  <c r="AC30" i="193"/>
  <c r="BI28" i="192"/>
  <c r="BM28" s="1"/>
  <c r="BI28" i="191"/>
  <c r="BM28" s="1"/>
  <c r="BI28" i="193"/>
  <c r="AK33" i="192"/>
  <c r="AK33" i="191"/>
  <c r="AO33" s="1"/>
  <c r="AK33" i="193"/>
  <c r="AO33" s="1"/>
  <c r="CG29" i="192"/>
  <c r="CG29" i="191"/>
  <c r="CG29" i="193"/>
  <c r="AK26" i="192"/>
  <c r="AO26" s="1"/>
  <c r="AK26" i="191"/>
  <c r="AK26" i="193"/>
  <c r="BA34" i="192"/>
  <c r="BE34" s="1"/>
  <c r="BA34" i="191"/>
  <c r="BA34" i="193"/>
  <c r="CG31" i="192"/>
  <c r="CG31" i="191"/>
  <c r="CK31" s="1"/>
  <c r="CG31" i="193"/>
  <c r="AC39" i="192"/>
  <c r="AC39" i="191"/>
  <c r="AC39" i="193"/>
  <c r="BY42" i="192"/>
  <c r="CC42" s="1"/>
  <c r="BY42" i="191"/>
  <c r="BY42" i="193"/>
  <c r="BY24" i="192"/>
  <c r="CC24" s="1"/>
  <c r="BY24" i="191"/>
  <c r="BY24" i="193"/>
  <c r="E10" i="191"/>
  <c r="E10" i="193"/>
  <c r="I10" s="1"/>
  <c r="E10" i="192"/>
  <c r="I10" s="1"/>
  <c r="U28" i="191"/>
  <c r="U28" i="193"/>
  <c r="U28" i="192"/>
  <c r="BA42"/>
  <c r="BE42" s="1"/>
  <c r="BA42" i="191"/>
  <c r="BA42" i="193"/>
  <c r="AK20" i="192"/>
  <c r="AO20" s="1"/>
  <c r="AK20" i="191"/>
  <c r="AO20" s="1"/>
  <c r="AK20" i="193"/>
  <c r="AC25" i="192"/>
  <c r="AC25" i="191"/>
  <c r="AG25" s="1"/>
  <c r="AC25" i="193"/>
  <c r="BI13" i="191"/>
  <c r="BI13" i="193"/>
  <c r="BI13" i="192"/>
  <c r="U20" i="191"/>
  <c r="U20" i="192"/>
  <c r="U20" i="193"/>
  <c r="AK45" i="192"/>
  <c r="AO45" s="1"/>
  <c r="AK45" i="191"/>
  <c r="AO45" s="1"/>
  <c r="AK45" i="193"/>
  <c r="AK17" i="192"/>
  <c r="AK17" i="193"/>
  <c r="AO17" s="1"/>
  <c r="AK17" i="191"/>
  <c r="AC35" i="192"/>
  <c r="AC35" i="191"/>
  <c r="AC35" i="193"/>
  <c r="AG35" s="1"/>
  <c r="BI25" i="192"/>
  <c r="BM25" s="1"/>
  <c r="BI25" i="191"/>
  <c r="BI25" i="193"/>
  <c r="AS11" i="192"/>
  <c r="AS11" i="191"/>
  <c r="AW11" s="1"/>
  <c r="AS11" i="193"/>
  <c r="BQ26" i="192"/>
  <c r="BQ26" i="193"/>
  <c r="BU26" s="1"/>
  <c r="BQ26" i="191"/>
  <c r="BU26" s="1"/>
  <c r="BA22" i="192"/>
  <c r="BA22" i="191"/>
  <c r="BA22" i="193"/>
  <c r="E39" i="191"/>
  <c r="I39" s="1"/>
  <c r="E39" i="193"/>
  <c r="E39" i="192"/>
  <c r="BY13"/>
  <c r="BY13" i="191"/>
  <c r="BY13" i="193"/>
  <c r="M16" i="192"/>
  <c r="M16" i="191"/>
  <c r="Q16" s="1"/>
  <c r="M16" i="193"/>
  <c r="U27" i="192"/>
  <c r="U27" i="191"/>
  <c r="U27" i="193"/>
  <c r="BI46" i="192"/>
  <c r="BI46" i="191"/>
  <c r="BI46" i="193"/>
  <c r="AC9" i="191"/>
  <c r="AG9" s="1"/>
  <c r="AC9" i="193"/>
  <c r="AC9" i="192"/>
  <c r="BQ9" i="191"/>
  <c r="BQ9" i="192"/>
  <c r="BU9" s="1"/>
  <c r="BQ9" i="193"/>
  <c r="BU9" s="1"/>
  <c r="AS32" i="192"/>
  <c r="AS32" i="193"/>
  <c r="AS32" i="191"/>
  <c r="AW32" s="1"/>
  <c r="AS36" i="192"/>
  <c r="AS36" i="191"/>
  <c r="AS36" i="193"/>
  <c r="M43" i="192"/>
  <c r="M43" i="191"/>
  <c r="M43" i="193"/>
  <c r="E28" i="192"/>
  <c r="E28" i="191"/>
  <c r="I28" s="1"/>
  <c r="E28" i="193"/>
  <c r="AS39" i="192"/>
  <c r="AS39" i="191"/>
  <c r="AS39" i="193"/>
  <c r="AW39" s="1"/>
  <c r="AC16" i="192"/>
  <c r="AC16" i="191"/>
  <c r="AC16" i="193"/>
  <c r="BY43" i="192"/>
  <c r="BY43" i="191"/>
  <c r="BY43" i="193"/>
  <c r="AC19" i="192"/>
  <c r="AC19" i="191"/>
  <c r="AG19" s="1"/>
  <c r="AC19" i="193"/>
  <c r="AG19" s="1"/>
  <c r="U22" i="192"/>
  <c r="U22" i="191"/>
  <c r="U22" i="193"/>
  <c r="Y22" s="1"/>
  <c r="BI36" i="192"/>
  <c r="BI36" i="191"/>
  <c r="BI36" i="193"/>
  <c r="CG9" i="192"/>
  <c r="CK9" s="1"/>
  <c r="CG9" i="191"/>
  <c r="CK9" s="1"/>
  <c r="CG9" i="193"/>
  <c r="AK42" i="192"/>
  <c r="AK42" i="191"/>
  <c r="AK42" i="193"/>
  <c r="AK11" i="192"/>
  <c r="AK11" i="191"/>
  <c r="AK11" i="193"/>
  <c r="AO11" s="1"/>
  <c r="BI27" i="192"/>
  <c r="BM27" s="1"/>
  <c r="BI27" i="191"/>
  <c r="BI27" i="193"/>
  <c r="AK34"/>
  <c r="AO34" s="1"/>
  <c r="AK34" i="192"/>
  <c r="AO34" s="1"/>
  <c r="AK34" i="191"/>
  <c r="AS19"/>
  <c r="AS19" i="193"/>
  <c r="AW19" s="1"/>
  <c r="AS19" i="192"/>
  <c r="BA28"/>
  <c r="BA28" i="193"/>
  <c r="BA28" i="191"/>
  <c r="BE28" s="1"/>
  <c r="U31" i="192"/>
  <c r="Y31" s="1"/>
  <c r="U31" i="191"/>
  <c r="U31" i="193"/>
  <c r="E20" i="192"/>
  <c r="I20" s="1"/>
  <c r="E20" i="191"/>
  <c r="E20" i="193"/>
  <c r="BQ35" i="191"/>
  <c r="BQ35" i="193"/>
  <c r="BU35" s="1"/>
  <c r="BQ35" i="192"/>
  <c r="BA11" i="193"/>
  <c r="BA11" i="192"/>
  <c r="BA11" i="191"/>
  <c r="BE11" s="1"/>
  <c r="M25" i="192"/>
  <c r="Q25" s="1"/>
  <c r="M25" i="191"/>
  <c r="M25" i="193"/>
  <c r="AK43" i="192"/>
  <c r="AO43" s="1"/>
  <c r="AK43" i="191"/>
  <c r="AK43" i="193"/>
  <c r="U35" i="192"/>
  <c r="U35" i="191"/>
  <c r="Y35" s="1"/>
  <c r="U35" i="193"/>
  <c r="Y35" s="1"/>
  <c r="M45" i="192"/>
  <c r="M45" i="191"/>
  <c r="M45" i="193"/>
  <c r="Q45" s="1"/>
  <c r="M30" i="192"/>
  <c r="M30" i="191"/>
  <c r="M30" i="193"/>
  <c r="CG44"/>
  <c r="CG44" i="192"/>
  <c r="CG44" i="191"/>
  <c r="BY30" i="192"/>
  <c r="BY30" i="191"/>
  <c r="CC30" s="1"/>
  <c r="BY30" i="193"/>
  <c r="AK44" i="192"/>
  <c r="AK44" i="191"/>
  <c r="AK44" i="193"/>
  <c r="AO44" s="1"/>
  <c r="M24" i="191"/>
  <c r="M24" i="193"/>
  <c r="M24" i="192"/>
  <c r="AC28"/>
  <c r="AG28" s="1"/>
  <c r="AC28" i="191"/>
  <c r="AG28" s="1"/>
  <c r="AC28" i="193"/>
  <c r="U40" i="192"/>
  <c r="U40" i="191"/>
  <c r="Y40" s="1"/>
  <c r="U40" i="193"/>
  <c r="Y40" s="1"/>
  <c r="AK38" i="191"/>
  <c r="AK38" i="192"/>
  <c r="AK38" i="193"/>
  <c r="AS41" i="192"/>
  <c r="AS41" i="191"/>
  <c r="AS41" i="193"/>
  <c r="U14" i="192"/>
  <c r="Y14" s="1"/>
  <c r="U14" i="191"/>
  <c r="U14" i="193"/>
  <c r="BA43" i="192"/>
  <c r="BA43" i="191"/>
  <c r="BE43" s="1"/>
  <c r="BA43" i="193"/>
  <c r="AS31" i="192"/>
  <c r="AS31" i="191"/>
  <c r="AS31" i="193"/>
  <c r="AW31" s="1"/>
  <c r="BQ34" i="191"/>
  <c r="BU34" s="1"/>
  <c r="BQ34" i="193"/>
  <c r="BQ34" i="192"/>
  <c r="BY28" i="191"/>
  <c r="CC28" s="1"/>
  <c r="BY28" i="192"/>
  <c r="CC28" s="1"/>
  <c r="BY28" i="193"/>
  <c r="AK41" i="192"/>
  <c r="AK41" i="191"/>
  <c r="AK41" i="193"/>
  <c r="AO41" s="1"/>
  <c r="BQ32" i="192"/>
  <c r="BQ32" i="191"/>
  <c r="BQ32" i="193"/>
  <c r="BU32" s="1"/>
  <c r="U9" i="192"/>
  <c r="U9" i="191"/>
  <c r="U9" i="193"/>
  <c r="AK28" i="192"/>
  <c r="AO28" s="1"/>
  <c r="AK28" i="191"/>
  <c r="AO28" s="1"/>
  <c r="AK28" i="193"/>
  <c r="BA45" i="192"/>
  <c r="BA45" i="191"/>
  <c r="BE45" s="1"/>
  <c r="BA45" i="193"/>
  <c r="BE45" s="1"/>
  <c r="E41" i="192"/>
  <c r="E41" i="191"/>
  <c r="E41" i="193"/>
  <c r="BY17" i="192"/>
  <c r="CC17" s="1"/>
  <c r="BY17" i="191"/>
  <c r="BY17" i="193"/>
  <c r="AK25" i="192"/>
  <c r="AO25" s="1"/>
  <c r="AK25" i="191"/>
  <c r="AO25" s="1"/>
  <c r="AK25" i="193"/>
  <c r="BI31" i="192"/>
  <c r="BI31" i="191"/>
  <c r="BM31" s="1"/>
  <c r="BI31" i="193"/>
  <c r="BM31" s="1"/>
  <c r="BA26" i="192"/>
  <c r="BA26" i="191"/>
  <c r="BA26" i="193"/>
  <c r="BE26" s="1"/>
  <c r="BY46" i="192"/>
  <c r="BY46" i="191"/>
  <c r="BY46" i="193"/>
  <c r="AK31" i="192"/>
  <c r="AK31" i="191"/>
  <c r="AK31" i="193"/>
  <c r="U37" i="191"/>
  <c r="U37" i="192"/>
  <c r="Y37" s="1"/>
  <c r="U37" i="193"/>
  <c r="CG11"/>
  <c r="CG11" i="192"/>
  <c r="CG11" i="191"/>
  <c r="CK11" s="1"/>
  <c r="BQ30" i="193"/>
  <c r="BQ30" i="192"/>
  <c r="BQ30" i="191"/>
  <c r="BI8" i="192"/>
  <c r="BI8" i="191"/>
  <c r="BM8" s="1"/>
  <c r="BI8" i="193"/>
  <c r="E16" i="192"/>
  <c r="E16" i="191"/>
  <c r="I16" s="1"/>
  <c r="E16" i="193"/>
  <c r="I16" s="1"/>
  <c r="E11" i="192"/>
  <c r="E11" i="191"/>
  <c r="E11" i="193"/>
  <c r="M14" i="192"/>
  <c r="M14" i="191"/>
  <c r="M14" i="193"/>
  <c r="U24" i="192"/>
  <c r="Y24" s="1"/>
  <c r="U24" i="191"/>
  <c r="U24" i="193"/>
  <c r="BI11" i="192"/>
  <c r="BI11" i="191"/>
  <c r="BI11" i="193"/>
  <c r="BI16" i="192"/>
  <c r="BI16" i="191"/>
  <c r="BI16" i="193"/>
  <c r="BM16" s="1"/>
  <c r="E15" i="192"/>
  <c r="E15" i="191"/>
  <c r="E15" i="193"/>
  <c r="M8" i="192"/>
  <c r="Q8" s="1"/>
  <c r="M8" i="191"/>
  <c r="M8" i="193"/>
  <c r="AC47" i="192"/>
  <c r="AC47" i="191"/>
  <c r="AG47" s="1"/>
  <c r="AC47" i="193"/>
  <c r="AG47" s="1"/>
  <c r="BQ47" i="192"/>
  <c r="BQ47" i="191"/>
  <c r="BQ47" i="193"/>
  <c r="BU47" s="1"/>
  <c r="CG47" i="192"/>
  <c r="CK47" s="1"/>
  <c r="CG47" i="191"/>
  <c r="CG47" i="193"/>
  <c r="CK56" i="19"/>
  <c r="BP48" i="192"/>
  <c r="BP48" i="191"/>
  <c r="BP48" i="193"/>
  <c r="J22" i="157"/>
  <c r="BP48" i="62"/>
  <c r="BP48" i="38"/>
  <c r="AJ48" i="192"/>
  <c r="AJ50" s="1"/>
  <c r="AW56" i="19"/>
  <c r="AJ48" i="191"/>
  <c r="AJ48" i="193"/>
  <c r="F22" i="157"/>
  <c r="AJ48" i="62"/>
  <c r="AJ48" i="38"/>
  <c r="I56" i="19"/>
  <c r="D48" i="192"/>
  <c r="D48" i="193"/>
  <c r="D48" i="191"/>
  <c r="B22" i="157"/>
  <c r="D48" i="62"/>
  <c r="D48" i="38"/>
  <c r="BX30" i="192"/>
  <c r="CB30" s="1"/>
  <c r="K16" i="241" s="1"/>
  <c r="BX30" i="191"/>
  <c r="BX30" i="193"/>
  <c r="AR17" i="192"/>
  <c r="AV17" s="1"/>
  <c r="AR17" i="191"/>
  <c r="AR17" i="193"/>
  <c r="AZ26" i="192"/>
  <c r="AZ26" i="191"/>
  <c r="BD26" s="1"/>
  <c r="H12" i="242" s="1"/>
  <c r="AZ26" i="193"/>
  <c r="BP39" i="192"/>
  <c r="BP39" i="191"/>
  <c r="BP39" i="193"/>
  <c r="BT39" s="1"/>
  <c r="J25" i="243" s="1"/>
  <c r="CF30" i="192"/>
  <c r="CJ30" s="1"/>
  <c r="L16" i="241" s="1"/>
  <c r="CF30" i="191"/>
  <c r="CF30" i="193"/>
  <c r="BP13" i="192"/>
  <c r="BT13" s="1"/>
  <c r="BP13" i="191"/>
  <c r="BP13" i="193"/>
  <c r="BP23"/>
  <c r="BP23" i="192"/>
  <c r="BT23" s="1"/>
  <c r="J9" i="241" s="1"/>
  <c r="BP23" i="191"/>
  <c r="D34" i="192"/>
  <c r="D34" i="191"/>
  <c r="D34" i="193"/>
  <c r="H34" s="1"/>
  <c r="CF32" i="192"/>
  <c r="CF32" i="191"/>
  <c r="CF32" i="193"/>
  <c r="AB25" i="192"/>
  <c r="AF25" s="1"/>
  <c r="E11" i="241" s="1"/>
  <c r="AB25" i="191"/>
  <c r="AB25" i="193"/>
  <c r="AZ38" i="191"/>
  <c r="AZ38" i="192"/>
  <c r="BD38" s="1"/>
  <c r="H24" i="241" s="1"/>
  <c r="AZ38" i="193"/>
  <c r="BH19" i="192"/>
  <c r="BH19" i="191"/>
  <c r="BH19" i="193"/>
  <c r="BL19" s="1"/>
  <c r="I21" i="157"/>
  <c r="BX14" i="192"/>
  <c r="BX14" i="191"/>
  <c r="BX14" i="193"/>
  <c r="CB14" s="1"/>
  <c r="CF24" i="192"/>
  <c r="CF24" i="191"/>
  <c r="CF24" i="193"/>
  <c r="BP21" i="192"/>
  <c r="BT21" s="1"/>
  <c r="J7" i="241" s="1"/>
  <c r="BP21" i="191"/>
  <c r="BT21" s="1"/>
  <c r="J7" i="242" s="1"/>
  <c r="BP21" i="193"/>
  <c r="CF37" i="192"/>
  <c r="CF37" i="191"/>
  <c r="CJ37" s="1"/>
  <c r="L23" i="242" s="1"/>
  <c r="CF37" i="193"/>
  <c r="D36" i="192"/>
  <c r="D36" i="191"/>
  <c r="D36" i="193"/>
  <c r="H36" s="1"/>
  <c r="AB12" i="192"/>
  <c r="AF12" s="1"/>
  <c r="AB12" i="191"/>
  <c r="AB12" i="193"/>
  <c r="T21" i="192"/>
  <c r="X21" s="1"/>
  <c r="D7" i="241" s="1"/>
  <c r="T21" i="191"/>
  <c r="T21" i="193"/>
  <c r="CF27" i="192"/>
  <c r="CF27" i="191"/>
  <c r="CF27" i="193"/>
  <c r="AZ43" i="192"/>
  <c r="AZ43" i="191"/>
  <c r="AZ43" i="193"/>
  <c r="BD43" s="1"/>
  <c r="H29" i="243" s="1"/>
  <c r="L15" i="191"/>
  <c r="P15" s="1"/>
  <c r="L15" i="192"/>
  <c r="L15" i="193"/>
  <c r="AJ23" i="191"/>
  <c r="AN23" s="1"/>
  <c r="F9" i="242" s="1"/>
  <c r="AJ23" i="192"/>
  <c r="AJ23" i="193"/>
  <c r="AJ36"/>
  <c r="AJ36" i="192"/>
  <c r="AN36" s="1"/>
  <c r="F22" i="241" s="1"/>
  <c r="AJ36" i="191"/>
  <c r="AN36" s="1"/>
  <c r="F22" i="242" s="1"/>
  <c r="D30" i="192"/>
  <c r="D30" i="191"/>
  <c r="D30" i="193"/>
  <c r="H30" s="1"/>
  <c r="CF23" i="192"/>
  <c r="CJ23" s="1"/>
  <c r="L9" i="241" s="1"/>
  <c r="CF23" i="191"/>
  <c r="CF23" i="193"/>
  <c r="BX15" i="192"/>
  <c r="CB15" s="1"/>
  <c r="BX15" i="191"/>
  <c r="BX15" i="193"/>
  <c r="AZ24" i="192"/>
  <c r="AZ24" i="191"/>
  <c r="BD24" s="1"/>
  <c r="H10" i="242" s="1"/>
  <c r="AZ24" i="193"/>
  <c r="BD24" s="1"/>
  <c r="H10" i="243" s="1"/>
  <c r="BX31" i="192"/>
  <c r="BX31" i="191"/>
  <c r="BX31" i="193"/>
  <c r="CB31" s="1"/>
  <c r="K17" i="243" s="1"/>
  <c r="D35" i="191"/>
  <c r="D35" i="193"/>
  <c r="D35" i="192"/>
  <c r="AR30"/>
  <c r="AV30" s="1"/>
  <c r="G16" i="241" s="1"/>
  <c r="AR30" i="191"/>
  <c r="AR30" i="193"/>
  <c r="D23" i="192"/>
  <c r="D23" i="191"/>
  <c r="H23" s="1"/>
  <c r="D23" i="193"/>
  <c r="L11" i="192"/>
  <c r="L11" i="193"/>
  <c r="L11" i="191"/>
  <c r="P11" s="1"/>
  <c r="AR8" i="192"/>
  <c r="AV8" s="1"/>
  <c r="AR8" i="191"/>
  <c r="AR8" i="193"/>
  <c r="AR40" i="192"/>
  <c r="AV40" s="1"/>
  <c r="G26" i="241" s="1"/>
  <c r="AR40" i="191"/>
  <c r="AV40" s="1"/>
  <c r="G26" i="242" s="1"/>
  <c r="AR40" i="193"/>
  <c r="AJ8" i="192"/>
  <c r="AJ8" i="191"/>
  <c r="AJ8" i="193"/>
  <c r="T29" i="191"/>
  <c r="T29" i="192"/>
  <c r="T29" i="193"/>
  <c r="X29" s="1"/>
  <c r="D15" i="243" s="1"/>
  <c r="AJ46" i="192"/>
  <c r="AJ46" i="191"/>
  <c r="AJ46" i="193"/>
  <c r="AB46" i="192"/>
  <c r="AF46" s="1"/>
  <c r="E32" i="241" s="1"/>
  <c r="AB46" i="193"/>
  <c r="AB46" i="191"/>
  <c r="AJ27" i="192"/>
  <c r="AJ27" i="191"/>
  <c r="AJ27" i="193"/>
  <c r="BH21" i="192"/>
  <c r="BH21" i="191"/>
  <c r="BH21" i="193"/>
  <c r="AB32" i="192"/>
  <c r="AB32" i="191"/>
  <c r="AB32" i="193"/>
  <c r="AR45" i="192"/>
  <c r="AR45" i="191"/>
  <c r="AR45" i="193"/>
  <c r="D42" i="192"/>
  <c r="D42" i="191"/>
  <c r="D42" i="193"/>
  <c r="BX42" i="192"/>
  <c r="BX42" i="191"/>
  <c r="BX42" i="193"/>
  <c r="CB42" s="1"/>
  <c r="K28" i="243" s="1"/>
  <c r="AB31" i="191"/>
  <c r="AF31" s="1"/>
  <c r="E17" i="242" s="1"/>
  <c r="AB31" i="192"/>
  <c r="AB31" i="193"/>
  <c r="L19" i="192"/>
  <c r="P19" s="1"/>
  <c r="L19" i="191"/>
  <c r="P19" s="1"/>
  <c r="L19" i="193"/>
  <c r="C21" i="157"/>
  <c r="AB39" i="191"/>
  <c r="AF39" s="1"/>
  <c r="E25" i="242" s="1"/>
  <c r="AB39" i="193"/>
  <c r="AB39" i="192"/>
  <c r="CF31"/>
  <c r="CF31" i="191"/>
  <c r="CJ31" s="1"/>
  <c r="L17" i="242" s="1"/>
  <c r="CF31" i="193"/>
  <c r="CJ31" s="1"/>
  <c r="L17" i="243" s="1"/>
  <c r="CF16" i="193"/>
  <c r="CF16" i="192"/>
  <c r="CF16" i="191"/>
  <c r="AZ22" i="193"/>
  <c r="BD22" s="1"/>
  <c r="H8" i="243" s="1"/>
  <c r="AZ22" i="192"/>
  <c r="AZ22" i="191"/>
  <c r="T22" i="192"/>
  <c r="X22" s="1"/>
  <c r="D8" i="241" s="1"/>
  <c r="T22" i="191"/>
  <c r="T22" i="193"/>
  <c r="BP20" i="192"/>
  <c r="BP20" i="193"/>
  <c r="BT20" s="1"/>
  <c r="J6" i="243" s="1"/>
  <c r="BP20" i="191"/>
  <c r="AZ29" i="192"/>
  <c r="AZ29" i="193"/>
  <c r="AZ29" i="191"/>
  <c r="BD29" s="1"/>
  <c r="H15" i="242" s="1"/>
  <c r="AZ40" i="192"/>
  <c r="BD40" s="1"/>
  <c r="H26" i="241" s="1"/>
  <c r="AZ40" i="191"/>
  <c r="AZ40" i="193"/>
  <c r="CF43" i="192"/>
  <c r="CF43" i="191"/>
  <c r="CJ43" s="1"/>
  <c r="L29" i="242" s="1"/>
  <c r="CF43" i="193"/>
  <c r="D17" i="192"/>
  <c r="D17" i="191"/>
  <c r="H17" s="1"/>
  <c r="D17" i="193"/>
  <c r="H17" s="1"/>
  <c r="L23" i="192"/>
  <c r="L23" i="191"/>
  <c r="L23" i="193"/>
  <c r="P23" s="1"/>
  <c r="C9" i="243" s="1"/>
  <c r="L22" i="192"/>
  <c r="P22" s="1"/>
  <c r="C8" i="241" s="1"/>
  <c r="L22" i="191"/>
  <c r="L22" i="193"/>
  <c r="BH44" i="192"/>
  <c r="BL44" s="1"/>
  <c r="I30" i="241" s="1"/>
  <c r="BH44" i="191"/>
  <c r="BL44" s="1"/>
  <c r="I30" i="242" s="1"/>
  <c r="BH44" i="193"/>
  <c r="L28" i="192"/>
  <c r="L28" i="191"/>
  <c r="P28" s="1"/>
  <c r="C14" i="242" s="1"/>
  <c r="L28" i="193"/>
  <c r="AB36" i="192"/>
  <c r="AB36" i="191"/>
  <c r="AB36" i="193"/>
  <c r="AF36" s="1"/>
  <c r="E22" i="243" s="1"/>
  <c r="AB28" i="192"/>
  <c r="AF28" s="1"/>
  <c r="E14" i="241" s="1"/>
  <c r="AB28" i="191"/>
  <c r="AB28" i="193"/>
  <c r="AB23" i="191"/>
  <c r="AF23" s="1"/>
  <c r="E9" i="242" s="1"/>
  <c r="AB23" i="193"/>
  <c r="AF23" s="1"/>
  <c r="E9" i="243" s="1"/>
  <c r="AB23" i="192"/>
  <c r="T14"/>
  <c r="T14" i="191"/>
  <c r="X14" s="1"/>
  <c r="T14" i="193"/>
  <c r="AZ31" i="192"/>
  <c r="AZ31" i="191"/>
  <c r="AZ31" i="193"/>
  <c r="D37" i="192"/>
  <c r="D37" i="191"/>
  <c r="D37" i="193"/>
  <c r="L21" i="191"/>
  <c r="L21" i="193"/>
  <c r="P21" s="1"/>
  <c r="C7" i="243" s="1"/>
  <c r="L21" i="192"/>
  <c r="AR22"/>
  <c r="AR22" i="191"/>
  <c r="AV22" s="1"/>
  <c r="G8" i="242" s="1"/>
  <c r="AR22" i="193"/>
  <c r="BP44" i="192"/>
  <c r="BP44" i="191"/>
  <c r="BP44" i="193"/>
  <c r="BT44" s="1"/>
  <c r="J30" i="243" s="1"/>
  <c r="AJ35" i="192"/>
  <c r="AN35" s="1"/>
  <c r="F21" i="241" s="1"/>
  <c r="AJ35" i="193"/>
  <c r="AJ35" i="191"/>
  <c r="BX24"/>
  <c r="CB24" s="1"/>
  <c r="K10" i="242" s="1"/>
  <c r="BX24" i="192"/>
  <c r="BX24" i="193"/>
  <c r="AJ24" i="191"/>
  <c r="AJ24" i="193"/>
  <c r="AJ24" i="192"/>
  <c r="AN24" s="1"/>
  <c r="F10" i="241" s="1"/>
  <c r="AR13" i="192"/>
  <c r="AR13" i="191"/>
  <c r="AR13" i="193"/>
  <c r="AV13" s="1"/>
  <c r="AB34" i="192"/>
  <c r="AB34" i="191"/>
  <c r="AB34" i="193"/>
  <c r="BP10" i="191"/>
  <c r="BT10" s="1"/>
  <c r="BP10" i="193"/>
  <c r="BP10" i="192"/>
  <c r="CF42" i="191"/>
  <c r="CF42" i="193"/>
  <c r="CJ42" s="1"/>
  <c r="L28" i="243" s="1"/>
  <c r="CF42" i="192"/>
  <c r="CJ42" s="1"/>
  <c r="L28" i="241" s="1"/>
  <c r="BX12" i="193"/>
  <c r="BX12" i="192"/>
  <c r="BX12" i="191"/>
  <c r="D15" i="192"/>
  <c r="H15" s="1"/>
  <c r="D15" i="191"/>
  <c r="D15" i="193"/>
  <c r="T30" i="192"/>
  <c r="X30" s="1"/>
  <c r="D16" i="241" s="1"/>
  <c r="T30" i="191"/>
  <c r="T30" i="193"/>
  <c r="L33" i="192"/>
  <c r="L33" i="191"/>
  <c r="P33" s="1"/>
  <c r="C19" i="242" s="1"/>
  <c r="L33" i="193"/>
  <c r="P33" s="1"/>
  <c r="C19" i="243" s="1"/>
  <c r="BX13" i="192"/>
  <c r="BX13" i="191"/>
  <c r="BX13" i="193"/>
  <c r="CB13" s="1"/>
  <c r="AJ38" i="192"/>
  <c r="AJ38" i="191"/>
  <c r="AJ38" i="193"/>
  <c r="T32" i="192"/>
  <c r="T32" i="191"/>
  <c r="T32" i="193"/>
  <c r="BP29" i="192"/>
  <c r="BP29" i="191"/>
  <c r="BP29" i="193"/>
  <c r="BT29" s="1"/>
  <c r="J15" i="243" s="1"/>
  <c r="D27" i="192"/>
  <c r="D27" i="193"/>
  <c r="D27" i="191"/>
  <c r="AJ13" i="192"/>
  <c r="AJ13" i="191"/>
  <c r="AJ13" i="193"/>
  <c r="BH38" i="191"/>
  <c r="BL38" s="1"/>
  <c r="I24" i="242" s="1"/>
  <c r="BH38" i="192"/>
  <c r="BL38" s="1"/>
  <c r="I24" i="241" s="1"/>
  <c r="BH38" i="193"/>
  <c r="AJ15" i="192"/>
  <c r="AJ15" i="191"/>
  <c r="AN15" s="1"/>
  <c r="AJ15" i="193"/>
  <c r="L9" i="192"/>
  <c r="L9" i="191"/>
  <c r="L9" i="193"/>
  <c r="P9" s="1"/>
  <c r="AZ46" i="192"/>
  <c r="AZ46" i="191"/>
  <c r="AZ46" i="193"/>
  <c r="BX9" i="192"/>
  <c r="CB9" s="1"/>
  <c r="BX9" i="191"/>
  <c r="BX9" i="193"/>
  <c r="AJ30" i="192"/>
  <c r="AJ30" i="191"/>
  <c r="AN30" s="1"/>
  <c r="F16" i="242" s="1"/>
  <c r="AJ30" i="193"/>
  <c r="AN30" s="1"/>
  <c r="F16" i="243" s="1"/>
  <c r="BH37" i="192"/>
  <c r="BH37" i="191"/>
  <c r="BH37" i="193"/>
  <c r="BL37" s="1"/>
  <c r="I23" i="243" s="1"/>
  <c r="AB26" i="193"/>
  <c r="AF26" s="1"/>
  <c r="E12" i="243" s="1"/>
  <c r="AB26" i="192"/>
  <c r="AB26" i="191"/>
  <c r="AZ34"/>
  <c r="BD34" s="1"/>
  <c r="H20" i="242" s="1"/>
  <c r="AZ34" i="193"/>
  <c r="BD34" s="1"/>
  <c r="H20" i="243" s="1"/>
  <c r="AZ34" i="192"/>
  <c r="AJ45"/>
  <c r="AJ45" i="191"/>
  <c r="AN45" s="1"/>
  <c r="F31" i="242" s="1"/>
  <c r="AJ45" i="193"/>
  <c r="AN45" s="1"/>
  <c r="F31" i="243" s="1"/>
  <c r="AJ32" i="193"/>
  <c r="AJ32" i="192"/>
  <c r="AJ32" i="191"/>
  <c r="CF19" i="192"/>
  <c r="CF19" i="191"/>
  <c r="CF19" i="193"/>
  <c r="L21" i="157"/>
  <c r="AB44" i="192"/>
  <c r="AB44" i="191"/>
  <c r="AB44" i="193"/>
  <c r="D21" i="192"/>
  <c r="H21" s="1"/>
  <c r="D21" i="191"/>
  <c r="H21" s="1"/>
  <c r="D21" i="193"/>
  <c r="AJ34" i="192"/>
  <c r="AJ34" i="191"/>
  <c r="AN34" s="1"/>
  <c r="F20" i="242" s="1"/>
  <c r="AJ34" i="193"/>
  <c r="AN34" s="1"/>
  <c r="F20" i="243" s="1"/>
  <c r="BX20" i="192"/>
  <c r="BX20" i="191"/>
  <c r="BX20" i="193"/>
  <c r="CB20" s="1"/>
  <c r="K6" i="243" s="1"/>
  <c r="L36" i="191"/>
  <c r="P36" s="1"/>
  <c r="C22" i="242" s="1"/>
  <c r="L36" i="193"/>
  <c r="L36" i="192"/>
  <c r="BX47"/>
  <c r="CB47" s="1"/>
  <c r="K33" i="241" s="1"/>
  <c r="BX47" i="191"/>
  <c r="BX47" i="193"/>
  <c r="AR47" i="192"/>
  <c r="AR47" i="191"/>
  <c r="AR47" i="193"/>
  <c r="BH47" i="192"/>
  <c r="BH47" i="191"/>
  <c r="BH47" i="193"/>
  <c r="BL47" s="1"/>
  <c r="I33" i="243" s="1"/>
  <c r="U19" i="40"/>
  <c r="J8" i="204"/>
  <c r="K43" i="205"/>
  <c r="K38"/>
  <c r="K48"/>
  <c r="E44"/>
  <c r="E49"/>
  <c r="E39"/>
  <c r="C49"/>
  <c r="C44"/>
  <c r="C39"/>
  <c r="J49"/>
  <c r="J44"/>
  <c r="J39"/>
  <c r="C35" i="121"/>
  <c r="B11" i="205"/>
  <c r="L48"/>
  <c r="L38"/>
  <c r="L43"/>
  <c r="C43" i="121"/>
  <c r="B19" i="205"/>
  <c r="C42" i="121"/>
  <c r="B18" i="205"/>
  <c r="L49"/>
  <c r="L39"/>
  <c r="L44"/>
  <c r="F49"/>
  <c r="F44"/>
  <c r="F39"/>
  <c r="G49"/>
  <c r="G44"/>
  <c r="G39"/>
  <c r="I47"/>
  <c r="I42"/>
  <c r="I37"/>
  <c r="C45" i="121"/>
  <c r="B21" i="205"/>
  <c r="C40" i="121"/>
  <c r="B16" i="205"/>
  <c r="I41"/>
  <c r="I46"/>
  <c r="I36"/>
  <c r="E46"/>
  <c r="E36"/>
  <c r="E41"/>
  <c r="CB45" i="191"/>
  <c r="K31" i="242" s="1"/>
  <c r="AF39" i="192"/>
  <c r="E25" i="241" s="1"/>
  <c r="CJ40" i="191"/>
  <c r="L26" i="242" s="1"/>
  <c r="P35" i="193"/>
  <c r="C21" i="243" s="1"/>
  <c r="X43" i="192"/>
  <c r="D29" i="241" s="1"/>
  <c r="X22" i="193"/>
  <c r="D8" i="243" s="1"/>
  <c r="BD14" i="193"/>
  <c r="CJ13" i="192"/>
  <c r="BD20"/>
  <c r="H6" i="241" s="1"/>
  <c r="AF31" i="193"/>
  <c r="E17" i="243" s="1"/>
  <c r="AF27" i="191"/>
  <c r="E13" i="242" s="1"/>
  <c r="BT33" i="192"/>
  <c r="J19" i="241" s="1"/>
  <c r="AF34" i="193"/>
  <c r="E20" i="243" s="1"/>
  <c r="H40" i="193"/>
  <c r="Q47" i="191"/>
  <c r="AO31" i="193"/>
  <c r="BU21" i="192"/>
  <c r="BM25" i="191"/>
  <c r="Y25"/>
  <c r="Y28" i="193"/>
  <c r="AW35"/>
  <c r="AO29" i="192"/>
  <c r="AO26" i="193"/>
  <c r="CC30"/>
  <c r="Q21"/>
  <c r="Y16" i="192"/>
  <c r="BE16"/>
  <c r="AO23" i="191"/>
  <c r="CJ24" i="192"/>
  <c r="L10" i="241" s="1"/>
  <c r="AF47" i="192"/>
  <c r="E33" i="241" s="1"/>
  <c r="H26" i="191"/>
  <c r="H27" i="193"/>
  <c r="H37" i="191"/>
  <c r="P24" i="193"/>
  <c r="C10" i="243" s="1"/>
  <c r="BL37" i="191"/>
  <c r="I23" i="242" s="1"/>
  <c r="P10" i="191"/>
  <c r="AN14" i="192"/>
  <c r="AN27"/>
  <c r="F13" i="241" s="1"/>
  <c r="X24" i="192"/>
  <c r="D10" i="241" s="1"/>
  <c r="AF8" i="191"/>
  <c r="AF32" i="193"/>
  <c r="E18" i="243" s="1"/>
  <c r="BM46" i="191"/>
  <c r="I17" i="193"/>
  <c r="AW16" i="192"/>
  <c r="AW17" i="193"/>
  <c r="BE31" i="191"/>
  <c r="CK9" i="193"/>
  <c r="AW45" i="191"/>
  <c r="Y17" i="193"/>
  <c r="Q14" i="192"/>
  <c r="BU36"/>
  <c r="AO28" i="193"/>
  <c r="AW41"/>
  <c r="CC24" i="191"/>
  <c r="BM20"/>
  <c r="Q24" i="192"/>
  <c r="CB47" i="193"/>
  <c r="K33" i="243" s="1"/>
  <c r="P26" i="192"/>
  <c r="C12" i="241" s="1"/>
  <c r="BD46" i="191"/>
  <c r="H32" i="242" s="1"/>
  <c r="AN35" i="191"/>
  <c r="F21" i="242" s="1"/>
  <c r="P11" i="193"/>
  <c r="AN9"/>
  <c r="CJ21" i="192"/>
  <c r="L7" i="241" s="1"/>
  <c r="AN8" i="192"/>
  <c r="AF44" i="193"/>
  <c r="E30" i="243" s="1"/>
  <c r="CC46" i="192"/>
  <c r="CC23" i="193"/>
  <c r="BE37" i="191"/>
  <c r="AO38"/>
  <c r="Y36" i="193"/>
  <c r="AG9" i="192"/>
  <c r="Q25" i="193"/>
  <c r="AV47" i="192"/>
  <c r="G33" i="241" s="1"/>
  <c r="AF23" i="192"/>
  <c r="E9" i="241" s="1"/>
  <c r="H23" i="193"/>
  <c r="CJ27" i="192"/>
  <c r="L13" i="241" s="1"/>
  <c r="P30" i="191"/>
  <c r="C16" i="242" s="1"/>
  <c r="BD10" i="191"/>
  <c r="AV13"/>
  <c r="AV17"/>
  <c r="CJ10" i="192"/>
  <c r="AV14"/>
  <c r="AG42" i="193"/>
  <c r="BM27" i="191"/>
  <c r="BE27" i="192"/>
  <c r="AO46" i="193"/>
  <c r="BU11"/>
  <c r="BM23" i="192"/>
  <c r="AO17" i="191"/>
  <c r="I14"/>
  <c r="CK35" i="192"/>
  <c r="H28"/>
  <c r="BE28"/>
  <c r="CC33"/>
  <c r="BM12" i="193"/>
  <c r="BM40"/>
  <c r="AO42"/>
  <c r="BE24" i="192"/>
  <c r="AO19" i="193"/>
  <c r="I43"/>
  <c r="I15" i="191"/>
  <c r="AN23" i="192"/>
  <c r="F9" i="241" s="1"/>
  <c r="BT17" i="191"/>
  <c r="BD8"/>
  <c r="X35" i="193"/>
  <c r="D21" i="243" s="1"/>
  <c r="AV22" i="193"/>
  <c r="G8" i="243" s="1"/>
  <c r="BD31" i="193"/>
  <c r="H17" i="243" s="1"/>
  <c r="CB42" i="191"/>
  <c r="K28" i="242" s="1"/>
  <c r="X36" i="191"/>
  <c r="D22" i="242" s="1"/>
  <c r="BT20" i="191"/>
  <c r="J6" i="242" s="1"/>
  <c r="AG47" i="192"/>
  <c r="CC45" i="193"/>
  <c r="BM36"/>
  <c r="AW44"/>
  <c r="BE26" i="191"/>
  <c r="Q28" i="192"/>
  <c r="AW32"/>
  <c r="Y27"/>
  <c r="CK44"/>
  <c r="BM11" i="193"/>
  <c r="CK11" i="192"/>
  <c r="CC43" i="193"/>
  <c r="CK28" i="191"/>
  <c r="BE8" i="192"/>
  <c r="I16"/>
  <c r="Y9" i="193"/>
  <c r="BM45" i="62"/>
  <c r="X34" i="192"/>
  <c r="D20" i="241" s="1"/>
  <c r="X28" i="192"/>
  <c r="D14" i="241" s="1"/>
  <c r="AF28" i="191"/>
  <c r="E14" i="242" s="1"/>
  <c r="AV15" i="193"/>
  <c r="AF46"/>
  <c r="E32" i="243" s="1"/>
  <c r="AV12" i="191"/>
  <c r="AF39" i="193"/>
  <c r="E25" i="243" s="1"/>
  <c r="CJ40" i="193"/>
  <c r="L26" i="243" s="1"/>
  <c r="BL26" i="191"/>
  <c r="I12" i="242" s="1"/>
  <c r="BL13" i="193"/>
  <c r="BD21"/>
  <c r="H7" i="243" s="1"/>
  <c r="X43" i="191"/>
  <c r="D29" i="242" s="1"/>
  <c r="X22" i="191"/>
  <c r="D8" i="242" s="1"/>
  <c r="P16" i="191"/>
  <c r="P22"/>
  <c r="C8" i="242" s="1"/>
  <c r="BL39" i="191"/>
  <c r="I25" i="242" s="1"/>
  <c r="BT21" i="193"/>
  <c r="J7" i="243" s="1"/>
  <c r="P29" i="192"/>
  <c r="C15" i="241" s="1"/>
  <c r="BL29" i="192"/>
  <c r="I15" i="241" s="1"/>
  <c r="CJ46" i="191"/>
  <c r="L32" i="242" s="1"/>
  <c r="AV46" i="191"/>
  <c r="G32" i="242" s="1"/>
  <c r="AN15" i="192"/>
  <c r="CB20"/>
  <c r="K6" i="241" s="1"/>
  <c r="BD20" i="191"/>
  <c r="H6" i="242" s="1"/>
  <c r="AV45" i="193"/>
  <c r="G31" i="243" s="1"/>
  <c r="BD24" i="192"/>
  <c r="H10" i="241" s="1"/>
  <c r="CJ16" i="192"/>
  <c r="BT33" i="191"/>
  <c r="J19" i="242" s="1"/>
  <c r="CB30" i="191"/>
  <c r="K16" i="242" s="1"/>
  <c r="CB21" i="192"/>
  <c r="K7" i="241" s="1"/>
  <c r="BT23" i="191"/>
  <c r="J9" i="242" s="1"/>
  <c r="H40" i="191"/>
  <c r="H35"/>
  <c r="Q47" i="193"/>
  <c r="BU46" i="191"/>
  <c r="BU21" i="193"/>
  <c r="CC22" i="191"/>
  <c r="AG25" i="193"/>
  <c r="BM17" i="191"/>
  <c r="AO41" i="192"/>
  <c r="BM25" i="193"/>
  <c r="Q39" i="191"/>
  <c r="Y25" i="193"/>
  <c r="CK23"/>
  <c r="BM13"/>
  <c r="BU34"/>
  <c r="AO45"/>
  <c r="CC19" i="192"/>
  <c r="AO29" i="193"/>
  <c r="BU31"/>
  <c r="AG36"/>
  <c r="AG16" i="192"/>
  <c r="BT45" i="193"/>
  <c r="J31" i="243" s="1"/>
  <c r="CJ24" i="191"/>
  <c r="L10" i="242" s="1"/>
  <c r="AF47" i="193"/>
  <c r="E33" i="243" s="1"/>
  <c r="H47" i="192"/>
  <c r="H26" i="193"/>
  <c r="BD25" i="192"/>
  <c r="H11" i="241" s="1"/>
  <c r="BT24" i="191"/>
  <c r="J10" i="242" s="1"/>
  <c r="H37" i="193"/>
  <c r="X9"/>
  <c r="H36" i="191"/>
  <c r="CB12"/>
  <c r="AN22" i="193"/>
  <c r="F8" i="243" s="1"/>
  <c r="BL28" i="193"/>
  <c r="I14" i="243" s="1"/>
  <c r="X32" i="193"/>
  <c r="D18" i="243" s="1"/>
  <c r="BL32" i="192"/>
  <c r="I18" i="241" s="1"/>
  <c r="AN10" i="191"/>
  <c r="H17" i="192"/>
  <c r="AV39" i="193"/>
  <c r="G25" i="243" s="1"/>
  <c r="AN14" i="191"/>
  <c r="AN27" i="193"/>
  <c r="F13" i="243" s="1"/>
  <c r="BD40" i="191"/>
  <c r="H26" i="242" s="1"/>
  <c r="AV36" i="193"/>
  <c r="G22" i="243" s="1"/>
  <c r="X24" i="191"/>
  <c r="D10" i="242" s="1"/>
  <c r="AN39" i="192"/>
  <c r="F25" i="241" s="1"/>
  <c r="AF45" i="192"/>
  <c r="E31" i="241" s="1"/>
  <c r="CB14" i="192"/>
  <c r="BL19" i="191"/>
  <c r="BD32" i="193"/>
  <c r="H18" i="243" s="1"/>
  <c r="BT10" i="192"/>
  <c r="P21" i="191"/>
  <c r="C7" i="242" s="1"/>
  <c r="CB19" i="191"/>
  <c r="AF26" i="192"/>
  <c r="E12" i="241" s="1"/>
  <c r="CB9" i="191"/>
  <c r="CJ43" i="192"/>
  <c r="L29" i="241" s="1"/>
  <c r="BT34" i="193"/>
  <c r="J20" i="243" s="1"/>
  <c r="X11" i="191"/>
  <c r="BM46" i="193"/>
  <c r="CK16" i="192"/>
  <c r="Q8" i="193"/>
  <c r="Y37" i="191"/>
  <c r="AG21" i="192"/>
  <c r="AW16" i="191"/>
  <c r="AG39" i="192"/>
  <c r="AO43" i="191"/>
  <c r="CK38" i="193"/>
  <c r="CK29" i="192"/>
  <c r="Q26" i="191"/>
  <c r="CK10" i="192"/>
  <c r="BE29" i="191"/>
  <c r="AG19" i="192"/>
  <c r="AG24" i="193"/>
  <c r="Q14" i="191"/>
  <c r="AO11" i="192"/>
  <c r="BE14" i="193"/>
  <c r="AW26" i="192"/>
  <c r="CC24" i="193"/>
  <c r="Q24" i="191"/>
  <c r="AW13"/>
  <c r="Y20" i="192"/>
  <c r="P47" i="191"/>
  <c r="C33" i="242" s="1"/>
  <c r="X14" i="192"/>
  <c r="P26" i="191"/>
  <c r="C12" i="242" s="1"/>
  <c r="CJ17" i="191"/>
  <c r="BL14"/>
  <c r="AN35" i="193"/>
  <c r="F21" i="243" s="1"/>
  <c r="X26" i="193"/>
  <c r="D12" i="243" s="1"/>
  <c r="CJ21" i="191"/>
  <c r="L7" i="242" s="1"/>
  <c r="BT31" i="192"/>
  <c r="J17" i="241" s="1"/>
  <c r="H12" i="191"/>
  <c r="AN8" i="193"/>
  <c r="BT9" i="192"/>
  <c r="CC46" i="193"/>
  <c r="AW36" i="192"/>
  <c r="Q45"/>
  <c r="Q32" i="193"/>
  <c r="BU16"/>
  <c r="AW8" i="192"/>
  <c r="BE15"/>
  <c r="I28" i="193"/>
  <c r="AO38"/>
  <c r="I26" i="191"/>
  <c r="AG9" i="193"/>
  <c r="AO34" i="191"/>
  <c r="Q16" i="193"/>
  <c r="BL47" i="191"/>
  <c r="I33" i="242" s="1"/>
  <c r="AV47" i="191"/>
  <c r="G33" i="242" s="1"/>
  <c r="AN32" i="192"/>
  <c r="F18" i="241" s="1"/>
  <c r="X45" i="193"/>
  <c r="D31" i="243" s="1"/>
  <c r="BT44" i="192"/>
  <c r="J30" i="241" s="1"/>
  <c r="CJ32" i="193"/>
  <c r="L18" i="243" s="1"/>
  <c r="BL22" i="193"/>
  <c r="I8" i="243" s="1"/>
  <c r="H23" i="192"/>
  <c r="CJ27" i="191"/>
  <c r="L13" i="242" s="1"/>
  <c r="CB24" i="192"/>
  <c r="K10" i="241" s="1"/>
  <c r="P39" i="193"/>
  <c r="C25" i="243" s="1"/>
  <c r="P30" i="193"/>
  <c r="C16" i="243" s="1"/>
  <c r="P9" i="191"/>
  <c r="AN13" i="192"/>
  <c r="AN46"/>
  <c r="F32" i="241" s="1"/>
  <c r="CB13" i="192"/>
  <c r="BL21" i="193"/>
  <c r="I7" i="243" s="1"/>
  <c r="AV17" i="193"/>
  <c r="CJ31" i="192"/>
  <c r="L17" i="241" s="1"/>
  <c r="BM27" i="193"/>
  <c r="BM8" i="192"/>
  <c r="CC42" i="191"/>
  <c r="BE27" i="193"/>
  <c r="Y15" i="191"/>
  <c r="Y24"/>
  <c r="BM23"/>
  <c r="AW33" i="192"/>
  <c r="I8" i="191"/>
  <c r="I14" i="193"/>
  <c r="AO14"/>
  <c r="BE45" i="192"/>
  <c r="BT26" i="193"/>
  <c r="J12" i="243" s="1"/>
  <c r="P12" i="193"/>
  <c r="X21" i="191"/>
  <c r="D7" i="242" s="1"/>
  <c r="AN20" i="192"/>
  <c r="F6" i="241" s="1"/>
  <c r="BD23" i="193"/>
  <c r="H9" i="243" s="1"/>
  <c r="AN19" i="192"/>
  <c r="AV8" i="191"/>
  <c r="H28" i="193"/>
  <c r="BU47" i="192"/>
  <c r="CC17" i="191"/>
  <c r="I30" i="192"/>
  <c r="Q30" i="191"/>
  <c r="CC16"/>
  <c r="Q36" i="193"/>
  <c r="CC33" i="191"/>
  <c r="BM40"/>
  <c r="CK34" i="192"/>
  <c r="BU30"/>
  <c r="Y26"/>
  <c r="BU26"/>
  <c r="Y31" i="191"/>
  <c r="I15" i="193"/>
  <c r="I11" i="191"/>
  <c r="AG45"/>
  <c r="CJ19" i="193"/>
  <c r="P46"/>
  <c r="C32" i="243" s="1"/>
  <c r="CB34" i="191"/>
  <c r="K20" i="242" s="1"/>
  <c r="BT17" i="193"/>
  <c r="AN30" i="192"/>
  <c r="F16" i="241" s="1"/>
  <c r="P28" i="193"/>
  <c r="C14" i="243" s="1"/>
  <c r="H8" i="191"/>
  <c r="CJ42"/>
  <c r="L28" i="242" s="1"/>
  <c r="AN24" i="193"/>
  <c r="F10" i="243" s="1"/>
  <c r="BD22" i="192"/>
  <c r="H8" i="241" s="1"/>
  <c r="CJ44" i="191"/>
  <c r="L30" i="242" s="1"/>
  <c r="AG35" i="192"/>
  <c r="BM36" i="191"/>
  <c r="CC13" i="192"/>
  <c r="AW39" i="191"/>
  <c r="Y27" i="193"/>
  <c r="CK44" i="191"/>
  <c r="AW19" i="192"/>
  <c r="I41"/>
  <c r="BM11" i="191"/>
  <c r="AW27"/>
  <c r="CK27" i="192"/>
  <c r="Y33"/>
  <c r="X47" i="193"/>
  <c r="D33" i="243" s="1"/>
  <c r="P15" i="192"/>
  <c r="X28" i="191"/>
  <c r="D14" i="242" s="1"/>
  <c r="CB45" i="192"/>
  <c r="K31" i="241" s="1"/>
  <c r="AF28" i="193"/>
  <c r="E14" i="243" s="1"/>
  <c r="AF36" i="192"/>
  <c r="E22" i="241" s="1"/>
  <c r="AV15" i="192"/>
  <c r="X40" i="191"/>
  <c r="D26" i="242" s="1"/>
  <c r="P19" i="193"/>
  <c r="BD21" i="192"/>
  <c r="H7" i="241" s="1"/>
  <c r="AF14" i="191"/>
  <c r="P36" i="192"/>
  <c r="C22" i="241" s="1"/>
  <c r="P35" i="192"/>
  <c r="C21" i="241" s="1"/>
  <c r="H13" i="193"/>
  <c r="CJ25" i="191"/>
  <c r="L11" i="242" s="1"/>
  <c r="P22" i="193"/>
  <c r="C8" i="243" s="1"/>
  <c r="AV30" i="191"/>
  <c r="G16" i="242" s="1"/>
  <c r="BD14" i="192"/>
  <c r="P29" i="193"/>
  <c r="C15" i="243" s="1"/>
  <c r="BL29" i="191"/>
  <c r="I15" i="242" s="1"/>
  <c r="AV46" i="193"/>
  <c r="G32" i="243" s="1"/>
  <c r="AN15" i="193"/>
  <c r="AN28" i="192"/>
  <c r="F14" i="241" s="1"/>
  <c r="AV45" i="191"/>
  <c r="G31" i="242" s="1"/>
  <c r="AF41" i="191"/>
  <c r="E27" i="242" s="1"/>
  <c r="CJ36" i="192"/>
  <c r="L22" i="241" s="1"/>
  <c r="BT33" i="193"/>
  <c r="J19" i="243" s="1"/>
  <c r="AF34" i="192"/>
  <c r="E20" i="241" s="1"/>
  <c r="CB30" i="193"/>
  <c r="K16" i="243" s="1"/>
  <c r="BT23" i="193"/>
  <c r="J9" i="243" s="1"/>
  <c r="BL41" i="193"/>
  <c r="I27" i="243" s="1"/>
  <c r="H35" i="193"/>
  <c r="H30" i="192"/>
  <c r="BU46"/>
  <c r="AO31"/>
  <c r="BU21" i="191"/>
  <c r="BM17" i="193"/>
  <c r="Q39"/>
  <c r="I44" i="191"/>
  <c r="BM13"/>
  <c r="Y28" i="192"/>
  <c r="AW43" i="191"/>
  <c r="AW10" i="193"/>
  <c r="CC19" i="191"/>
  <c r="AO29"/>
  <c r="Q43" i="192"/>
  <c r="BU31"/>
  <c r="BU14" i="193"/>
  <c r="CK31" i="192"/>
  <c r="Y16" i="193"/>
  <c r="I20" i="191"/>
  <c r="AG36"/>
  <c r="AG16"/>
  <c r="AO23" i="192"/>
  <c r="BL44" i="193"/>
  <c r="I30" i="243" s="1"/>
  <c r="H42" i="192"/>
  <c r="AV42" i="193"/>
  <c r="G28" i="243" s="1"/>
  <c r="CB17" i="191"/>
  <c r="CJ24" i="193"/>
  <c r="L10" i="243" s="1"/>
  <c r="P23" i="192"/>
  <c r="C9" i="241" s="1"/>
  <c r="H47" i="191"/>
  <c r="AN34" i="192"/>
  <c r="F20" i="241" s="1"/>
  <c r="H27" i="192"/>
  <c r="AF40"/>
  <c r="E26" i="241" s="1"/>
  <c r="X9" i="191"/>
  <c r="CB12" i="193"/>
  <c r="CB43"/>
  <c r="K29" i="243" s="1"/>
  <c r="X32" i="192"/>
  <c r="D18" i="241" s="1"/>
  <c r="BL32" i="191"/>
  <c r="I18" i="242" s="1"/>
  <c r="AN10" i="193"/>
  <c r="H15" i="191"/>
  <c r="AN26" i="193"/>
  <c r="F12" i="243" s="1"/>
  <c r="CJ30" i="193"/>
  <c r="L16" i="243" s="1"/>
  <c r="X19" i="192"/>
  <c r="AN11"/>
  <c r="BD40" i="193"/>
  <c r="H26" i="243" s="1"/>
  <c r="X29" i="192"/>
  <c r="D15" i="241" s="1"/>
  <c r="BL38" i="193"/>
  <c r="I24" i="243" s="1"/>
  <c r="AN39" i="191"/>
  <c r="F25" i="242" s="1"/>
  <c r="CJ11" i="192"/>
  <c r="AV44"/>
  <c r="G30" i="241" s="1"/>
  <c r="CB14" i="191"/>
  <c r="X46" i="192"/>
  <c r="D32" i="241" s="1"/>
  <c r="CB26" i="193"/>
  <c r="K12" i="243" s="1"/>
  <c r="CB19" i="193"/>
  <c r="AF26" i="191"/>
  <c r="E12" i="242" s="1"/>
  <c r="CB9" i="193"/>
  <c r="BL24" i="191"/>
  <c r="I10" i="242" s="1"/>
  <c r="AN38" i="192"/>
  <c r="F24" i="241" s="1"/>
  <c r="BD29" i="193"/>
  <c r="H15" i="243" s="1"/>
  <c r="AF32" i="192"/>
  <c r="E18" i="241" s="1"/>
  <c r="H21" i="193"/>
  <c r="BT39" i="192"/>
  <c r="J25" i="241" s="1"/>
  <c r="X11" i="193"/>
  <c r="BE46"/>
  <c r="I39" i="192"/>
  <c r="I17"/>
  <c r="Y37" i="193"/>
  <c r="CC38"/>
  <c r="AO12" i="192"/>
  <c r="AG34" i="193"/>
  <c r="AG39" i="191"/>
  <c r="AW31" i="192"/>
  <c r="BE31"/>
  <c r="AO43" i="193"/>
  <c r="CC12"/>
  <c r="CK29" i="191"/>
  <c r="BM16" i="192"/>
  <c r="CK10" i="193"/>
  <c r="Y11" i="192"/>
  <c r="AG30"/>
  <c r="BE29" i="193"/>
  <c r="Y17" i="192"/>
  <c r="Q14" i="193"/>
  <c r="BU35" i="192"/>
  <c r="BU36" i="193"/>
  <c r="I10" i="191"/>
  <c r="BE36"/>
  <c r="BE14"/>
  <c r="AG31"/>
  <c r="AW26" i="193"/>
  <c r="AW41" i="192"/>
  <c r="BM20"/>
  <c r="Q24" i="193"/>
  <c r="AO33" i="192"/>
  <c r="Y20" i="191"/>
  <c r="BE20" i="192"/>
  <c r="BD16" i="191"/>
  <c r="BD46" i="192"/>
  <c r="H32" i="241" s="1"/>
  <c r="X30" i="193"/>
  <c r="D16" i="243" s="1"/>
  <c r="P11" i="192"/>
  <c r="X26" i="191"/>
  <c r="D12" i="242" s="1"/>
  <c r="AF12" i="191"/>
  <c r="BT31"/>
  <c r="J17" i="242" s="1"/>
  <c r="CJ29" i="192"/>
  <c r="L15" i="241" s="1"/>
  <c r="CJ37" i="193"/>
  <c r="L23" i="243" s="1"/>
  <c r="H12" i="193"/>
  <c r="AN8" i="191"/>
  <c r="BT42" i="192"/>
  <c r="J28" i="241" s="1"/>
  <c r="AF44" i="192"/>
  <c r="E30" i="241" s="1"/>
  <c r="BT25" i="193"/>
  <c r="J11" i="243" s="1"/>
  <c r="BT9" i="191"/>
  <c r="CC46"/>
  <c r="AW36"/>
  <c r="I13" i="193"/>
  <c r="Q45" i="191"/>
  <c r="BU16"/>
  <c r="CC23" i="192"/>
  <c r="AO27"/>
  <c r="AO20" i="193"/>
  <c r="BU32" i="192"/>
  <c r="BE13"/>
  <c r="I26" i="193"/>
  <c r="Y36" i="192"/>
  <c r="AG41" i="193"/>
  <c r="AV47"/>
  <c r="G33" i="243" s="1"/>
  <c r="AN32" i="193"/>
  <c r="F18" i="243" s="1"/>
  <c r="BL16" i="192"/>
  <c r="BT12" i="191"/>
  <c r="CJ27" i="193"/>
  <c r="L13" i="243" s="1"/>
  <c r="AV20" i="192"/>
  <c r="G6" i="241" s="1"/>
  <c r="AN13" i="191"/>
  <c r="AN46"/>
  <c r="F32" i="242" s="1"/>
  <c r="CB13" i="191"/>
  <c r="AF42" i="192"/>
  <c r="E28" i="241" s="1"/>
  <c r="AV14" i="193"/>
  <c r="BU9" i="191"/>
  <c r="BE27"/>
  <c r="BU29" i="193"/>
  <c r="BE11" i="192"/>
  <c r="Y15" i="193"/>
  <c r="BM33" i="192"/>
  <c r="Y24" i="193"/>
  <c r="Y22" i="192"/>
  <c r="AO10" i="193"/>
  <c r="BE43" i="192"/>
  <c r="CC10" i="193"/>
  <c r="I8"/>
  <c r="BE22" i="192"/>
  <c r="AO14" i="191"/>
  <c r="Y14"/>
  <c r="CK35"/>
  <c r="X27" i="193"/>
  <c r="D13" i="243" s="1"/>
  <c r="BT30" i="191"/>
  <c r="J16" i="242" s="1"/>
  <c r="BD26" i="192"/>
  <c r="H12" i="241" s="1"/>
  <c r="X21" i="193"/>
  <c r="D7" i="243" s="1"/>
  <c r="AN36" i="193"/>
  <c r="F22" i="243" s="1"/>
  <c r="BT8" i="192"/>
  <c r="AN25" i="193"/>
  <c r="F11" i="243" s="1"/>
  <c r="CJ23" i="191"/>
  <c r="L9" i="242" s="1"/>
  <c r="AV8" i="193"/>
  <c r="AF25" i="191"/>
  <c r="E11" i="242" s="1"/>
  <c r="H28" i="191"/>
  <c r="CB28" i="192"/>
  <c r="K14" i="241" s="1"/>
  <c r="BU47" i="191"/>
  <c r="BE28" i="193"/>
  <c r="CC16"/>
  <c r="BM21" i="192"/>
  <c r="CC33" i="193"/>
  <c r="AO42" i="191"/>
  <c r="BE24" i="193"/>
  <c r="BU30"/>
  <c r="Y26" i="191"/>
  <c r="AO44" i="192"/>
  <c r="I43"/>
  <c r="I11" i="193"/>
  <c r="BE42" i="191"/>
  <c r="CC44" i="192"/>
  <c r="AG45"/>
  <c r="AN23" i="193"/>
  <c r="F9" i="243" s="1"/>
  <c r="AF24" i="191"/>
  <c r="E10" i="242" s="1"/>
  <c r="CB34" i="193"/>
  <c r="K20" i="243" s="1"/>
  <c r="H24" i="193"/>
  <c r="BD8"/>
  <c r="CJ15"/>
  <c r="AV22" i="192"/>
  <c r="G8" i="241" s="1"/>
  <c r="AV33" i="193"/>
  <c r="G19" i="243" s="1"/>
  <c r="BD31" i="192"/>
  <c r="H17" i="241" s="1"/>
  <c r="AN24" i="191"/>
  <c r="F10" i="242" s="1"/>
  <c r="P38" i="192"/>
  <c r="C24" i="241" s="1"/>
  <c r="CJ44" i="193"/>
  <c r="L30" i="243" s="1"/>
  <c r="BT20" i="192"/>
  <c r="J6" i="241" s="1"/>
  <c r="CB25" i="191"/>
  <c r="K11" i="242" s="1"/>
  <c r="CC45" i="192"/>
  <c r="AG35" i="191"/>
  <c r="Q28" i="193"/>
  <c r="CC13"/>
  <c r="AW32"/>
  <c r="AW39" i="192"/>
  <c r="AW11"/>
  <c r="Y27" i="191"/>
  <c r="CK44" i="193"/>
  <c r="AW19" i="191"/>
  <c r="AG40" i="192"/>
  <c r="I41" i="193"/>
  <c r="CK11"/>
  <c r="CC43" i="191"/>
  <c r="AW27" i="193"/>
  <c r="BE8"/>
  <c r="Y33" i="191"/>
  <c r="Y9" i="192"/>
  <c r="AC48"/>
  <c r="AC50" s="1"/>
  <c r="AC48" i="191"/>
  <c r="AC48" i="193"/>
  <c r="AC50" s="1"/>
  <c r="AC48" i="62"/>
  <c r="AC48" i="38"/>
  <c r="AS12" i="192"/>
  <c r="AW12" s="1"/>
  <c r="AS12" i="191"/>
  <c r="AW12" s="1"/>
  <c r="AS12" i="193"/>
  <c r="AW12" s="1"/>
  <c r="U12" i="192"/>
  <c r="U12" i="191"/>
  <c r="Y12" s="1"/>
  <c r="U12" i="193"/>
  <c r="Y12" s="1"/>
  <c r="BA23" i="192"/>
  <c r="BE23" s="1"/>
  <c r="BA23" i="191"/>
  <c r="BA23" i="193"/>
  <c r="BE23" s="1"/>
  <c r="AS29" i="192"/>
  <c r="AW29" s="1"/>
  <c r="AS29" i="191"/>
  <c r="AW29" s="1"/>
  <c r="AS29" i="193"/>
  <c r="CG45" i="191"/>
  <c r="CK45" s="1"/>
  <c r="CG45" i="193"/>
  <c r="CG45" i="192"/>
  <c r="CK45" s="1"/>
  <c r="E9" i="193"/>
  <c r="I9" s="1"/>
  <c r="E9" i="192"/>
  <c r="E9" i="191"/>
  <c r="I9" s="1"/>
  <c r="BI26" i="192"/>
  <c r="BM26" s="1"/>
  <c r="BI26" i="191"/>
  <c r="BM26" s="1"/>
  <c r="BI26" i="193"/>
  <c r="BM26" s="1"/>
  <c r="E19" i="192"/>
  <c r="I19" s="1"/>
  <c r="E19" i="193"/>
  <c r="E19" i="191"/>
  <c r="CG26" i="192"/>
  <c r="CG26" i="191"/>
  <c r="CK26" s="1"/>
  <c r="CG26" i="193"/>
  <c r="CK26" s="1"/>
  <c r="BY34" i="192"/>
  <c r="BY34" i="191"/>
  <c r="CC34" s="1"/>
  <c r="BY34" i="193"/>
  <c r="BY31" i="192"/>
  <c r="CC31" s="1"/>
  <c r="BY31" i="193"/>
  <c r="CC31" s="1"/>
  <c r="BY31" i="191"/>
  <c r="CC31" s="1"/>
  <c r="M44" i="192"/>
  <c r="Q44" s="1"/>
  <c r="M44" i="191"/>
  <c r="M44" i="193"/>
  <c r="Q44" s="1"/>
  <c r="CG36" i="192"/>
  <c r="CK36" s="1"/>
  <c r="CG36" i="193"/>
  <c r="CG36" i="191"/>
  <c r="CK36" s="1"/>
  <c r="M13" i="192"/>
  <c r="Q13" s="1"/>
  <c r="M13" i="191"/>
  <c r="Q13" s="1"/>
  <c r="M13" i="193"/>
  <c r="Q13" s="1"/>
  <c r="AC15" i="192"/>
  <c r="AG15" s="1"/>
  <c r="AC15" i="191"/>
  <c r="AC15" i="193"/>
  <c r="AG15" s="1"/>
  <c r="AK9" i="192"/>
  <c r="AO9" s="1"/>
  <c r="AK9" i="191"/>
  <c r="AO9" s="1"/>
  <c r="AK9" i="193"/>
  <c r="AO9" s="1"/>
  <c r="BQ42" i="192"/>
  <c r="BQ42" i="193"/>
  <c r="BU42" s="1"/>
  <c r="BQ42" i="191"/>
  <c r="BU42" s="1"/>
  <c r="M42" i="192"/>
  <c r="Q42" s="1"/>
  <c r="M42" i="191"/>
  <c r="Q42" s="1"/>
  <c r="M42" i="193"/>
  <c r="Q42" s="1"/>
  <c r="AS23"/>
  <c r="AW23" s="1"/>
  <c r="AS23" i="192"/>
  <c r="AS23" i="191"/>
  <c r="AW23" s="1"/>
  <c r="BQ40" i="192"/>
  <c r="BU40" s="1"/>
  <c r="BQ40" i="191"/>
  <c r="BU40" s="1"/>
  <c r="BQ40" i="193"/>
  <c r="BA32" i="192"/>
  <c r="BE32" s="1"/>
  <c r="BA32" i="191"/>
  <c r="BE32" s="1"/>
  <c r="BA32" i="193"/>
  <c r="BE32" s="1"/>
  <c r="AS21" i="192"/>
  <c r="AW21" s="1"/>
  <c r="AS21" i="191"/>
  <c r="AS21" i="193"/>
  <c r="AW21" s="1"/>
  <c r="AS20" i="192"/>
  <c r="AW20" s="1"/>
  <c r="AS20" i="191"/>
  <c r="AW20" s="1"/>
  <c r="AS20" i="193"/>
  <c r="AW20" s="1"/>
  <c r="AC37" i="191"/>
  <c r="AG37" s="1"/>
  <c r="AC37" i="193"/>
  <c r="AG37" s="1"/>
  <c r="AC37" i="192"/>
  <c r="AG37" s="1"/>
  <c r="AC12" i="193"/>
  <c r="AG12" s="1"/>
  <c r="AC12" i="192"/>
  <c r="AG12" s="1"/>
  <c r="AC12" i="191"/>
  <c r="AG12" s="1"/>
  <c r="BI34" i="192"/>
  <c r="BM34" s="1"/>
  <c r="BI34" i="191"/>
  <c r="BM34" s="1"/>
  <c r="BI34" i="193"/>
  <c r="BM34" s="1"/>
  <c r="BA17" i="192"/>
  <c r="BE17" s="1"/>
  <c r="BA17" i="191"/>
  <c r="BE17" s="1"/>
  <c r="BA17" i="193"/>
  <c r="BA21" i="191"/>
  <c r="BE21" s="1"/>
  <c r="BA21" i="193"/>
  <c r="BE21" s="1"/>
  <c r="BA21" i="192"/>
  <c r="AC32"/>
  <c r="AC32" i="191"/>
  <c r="AG32" s="1"/>
  <c r="AC32" i="193"/>
  <c r="AG32" s="1"/>
  <c r="AC10" i="192"/>
  <c r="AG10" s="1"/>
  <c r="AC10" i="191"/>
  <c r="AG10" s="1"/>
  <c r="AC10" i="193"/>
  <c r="AG10" s="1"/>
  <c r="AK35" i="192"/>
  <c r="AO35" s="1"/>
  <c r="AK35" i="191"/>
  <c r="AK35" i="193"/>
  <c r="AO35" s="1"/>
  <c r="BQ39" i="191"/>
  <c r="BU39" s="1"/>
  <c r="BQ39" i="192"/>
  <c r="BU39" s="1"/>
  <c r="BQ39" i="193"/>
  <c r="BU39" s="1"/>
  <c r="BQ20" i="192"/>
  <c r="BQ20" i="191"/>
  <c r="BU20" s="1"/>
  <c r="BQ20" i="193"/>
  <c r="BU20" s="1"/>
  <c r="BA33" i="191"/>
  <c r="BA33" i="193"/>
  <c r="BE33" s="1"/>
  <c r="BA33" i="192"/>
  <c r="BE33" s="1"/>
  <c r="BI30"/>
  <c r="BI30" i="191"/>
  <c r="BM30" s="1"/>
  <c r="BI30" i="193"/>
  <c r="BM30" s="1"/>
  <c r="BQ22" i="192"/>
  <c r="BU22" s="1"/>
  <c r="BQ22" i="193"/>
  <c r="BU22" s="1"/>
  <c r="BQ22" i="191"/>
  <c r="BU22" s="1"/>
  <c r="M23" i="192"/>
  <c r="Q23" s="1"/>
  <c r="M23" i="191"/>
  <c r="M23" i="193"/>
  <c r="M17" i="192"/>
  <c r="M17" i="191"/>
  <c r="Q17" s="1"/>
  <c r="M17" i="193"/>
  <c r="Q17" s="1"/>
  <c r="M12" i="192"/>
  <c r="M12" i="191"/>
  <c r="Q12" s="1"/>
  <c r="M12" i="193"/>
  <c r="Q12" s="1"/>
  <c r="CG24" i="191"/>
  <c r="CK24" s="1"/>
  <c r="CG24" i="193"/>
  <c r="CK24" s="1"/>
  <c r="CG24" i="192"/>
  <c r="CK24" s="1"/>
  <c r="BQ17" i="191"/>
  <c r="BU17" s="1"/>
  <c r="BQ17" i="192"/>
  <c r="BU17" s="1"/>
  <c r="BQ17" i="193"/>
  <c r="BU17" s="1"/>
  <c r="E27" i="191"/>
  <c r="I27" s="1"/>
  <c r="E27" i="192"/>
  <c r="E27" i="193"/>
  <c r="I27" s="1"/>
  <c r="AS15" i="192"/>
  <c r="AW15" s="1"/>
  <c r="AS15" i="191"/>
  <c r="AW15" s="1"/>
  <c r="AS15" i="193"/>
  <c r="M22" i="192"/>
  <c r="Q22" s="1"/>
  <c r="M22" i="191"/>
  <c r="M22" i="193"/>
  <c r="M46" i="192"/>
  <c r="Q46" s="1"/>
  <c r="M46" i="191"/>
  <c r="M46" i="193"/>
  <c r="Q46" s="1"/>
  <c r="AK16" i="192"/>
  <c r="AO16" s="1"/>
  <c r="AK16" i="191"/>
  <c r="AK16" i="193"/>
  <c r="AO16" s="1"/>
  <c r="E32" i="192"/>
  <c r="E32" i="191"/>
  <c r="I32" s="1"/>
  <c r="E32" i="193"/>
  <c r="I32" s="1"/>
  <c r="U10" i="192"/>
  <c r="Y10" s="1"/>
  <c r="U10" i="191"/>
  <c r="Y10" s="1"/>
  <c r="U10" i="193"/>
  <c r="Y10" s="1"/>
  <c r="CG19" i="192"/>
  <c r="CK19" s="1"/>
  <c r="CG19" i="191"/>
  <c r="CK19" s="1"/>
  <c r="CG19" i="193"/>
  <c r="CK19" s="1"/>
  <c r="BA39" i="192"/>
  <c r="BA39" i="191"/>
  <c r="BE39" s="1"/>
  <c r="BA39" i="193"/>
  <c r="BE39" s="1"/>
  <c r="BI44" i="192"/>
  <c r="BI44" i="191"/>
  <c r="BM44" s="1"/>
  <c r="BI44" i="193"/>
  <c r="BM44" s="1"/>
  <c r="BQ41" i="192"/>
  <c r="BU41" s="1"/>
  <c r="BQ41" i="191"/>
  <c r="BU41" s="1"/>
  <c r="BQ41" i="193"/>
  <c r="BU41" s="1"/>
  <c r="AS47" i="191"/>
  <c r="AS47" i="193"/>
  <c r="AW47" s="1"/>
  <c r="AS47" i="192"/>
  <c r="AW47" s="1"/>
  <c r="AZ48"/>
  <c r="BQ56" i="19"/>
  <c r="AZ48" i="191"/>
  <c r="AZ48" i="193"/>
  <c r="H22" i="157"/>
  <c r="AZ48" i="62"/>
  <c r="AZ48" i="38"/>
  <c r="CF35" i="192"/>
  <c r="CJ35" s="1"/>
  <c r="L21" i="241" s="1"/>
  <c r="CF35" i="191"/>
  <c r="CF35" i="193"/>
  <c r="D31"/>
  <c r="H31" s="1"/>
  <c r="D31" i="192"/>
  <c r="H31" s="1"/>
  <c r="D31" i="191"/>
  <c r="BX37" i="193"/>
  <c r="BX37" i="192"/>
  <c r="CB37" s="1"/>
  <c r="K23" i="241" s="1"/>
  <c r="BX37" i="191"/>
  <c r="CB37" s="1"/>
  <c r="K23" i="242" s="1"/>
  <c r="BH35" i="192"/>
  <c r="BH35" i="191"/>
  <c r="BL35" s="1"/>
  <c r="I21" i="242" s="1"/>
  <c r="BH35" i="193"/>
  <c r="BL35" s="1"/>
  <c r="I21" i="243" s="1"/>
  <c r="BH36" i="192"/>
  <c r="BL36" s="1"/>
  <c r="I22" i="241" s="1"/>
  <c r="BH36" i="191"/>
  <c r="BL36" s="1"/>
  <c r="I22" i="242" s="1"/>
  <c r="BH36" i="193"/>
  <c r="BL36" s="1"/>
  <c r="I22" i="243" s="1"/>
  <c r="BX16" i="192"/>
  <c r="CB16" s="1"/>
  <c r="BX16" i="191"/>
  <c r="CB16" s="1"/>
  <c r="BX16" i="193"/>
  <c r="AZ36" i="192"/>
  <c r="AZ36" i="191"/>
  <c r="BD36" s="1"/>
  <c r="H22" i="242" s="1"/>
  <c r="AZ36" i="193"/>
  <c r="BD36" s="1"/>
  <c r="H22" i="243" s="1"/>
  <c r="T31" i="192"/>
  <c r="T31" i="191"/>
  <c r="X31" s="1"/>
  <c r="D17" i="242" s="1"/>
  <c r="T31" i="193"/>
  <c r="X31" s="1"/>
  <c r="D17" i="243" s="1"/>
  <c r="AR24" i="193"/>
  <c r="AV24" s="1"/>
  <c r="G10" i="243" s="1"/>
  <c r="AR24" i="192"/>
  <c r="AR24" i="191"/>
  <c r="AV24" s="1"/>
  <c r="G10" i="242" s="1"/>
  <c r="CF28" i="192"/>
  <c r="CJ28" s="1"/>
  <c r="L14" i="241" s="1"/>
  <c r="CF28" i="191"/>
  <c r="CJ28" s="1"/>
  <c r="L14" i="242" s="1"/>
  <c r="CF28" i="193"/>
  <c r="CJ28" s="1"/>
  <c r="L14" i="243" s="1"/>
  <c r="BH34" i="192"/>
  <c r="BH34" i="191"/>
  <c r="BL34" s="1"/>
  <c r="I20" i="242" s="1"/>
  <c r="BH34" i="193"/>
  <c r="BL34" s="1"/>
  <c r="I20" i="243" s="1"/>
  <c r="BP14" i="191"/>
  <c r="BP14" i="193"/>
  <c r="BT14" s="1"/>
  <c r="BP14" i="192"/>
  <c r="BT14" s="1"/>
  <c r="AR29"/>
  <c r="AV29" s="1"/>
  <c r="G15" i="241" s="1"/>
  <c r="AR29" i="191"/>
  <c r="AR29" i="193"/>
  <c r="AV29" s="1"/>
  <c r="G15" i="243" s="1"/>
  <c r="D14" i="192"/>
  <c r="H14" s="1"/>
  <c r="D14" i="191"/>
  <c r="D14" i="193"/>
  <c r="H14" s="1"/>
  <c r="AB9"/>
  <c r="AF9" s="1"/>
  <c r="AB9" i="192"/>
  <c r="AB9" i="191"/>
  <c r="AF9" s="1"/>
  <c r="AB35" i="192"/>
  <c r="AF35" s="1"/>
  <c r="E21" i="241" s="1"/>
  <c r="AB35" i="191"/>
  <c r="AB35" i="193"/>
  <c r="AF35" s="1"/>
  <c r="E21" i="243" s="1"/>
  <c r="T42" i="191"/>
  <c r="X42" s="1"/>
  <c r="D28" i="242" s="1"/>
  <c r="T42" i="193"/>
  <c r="T42" i="192"/>
  <c r="X42" s="1"/>
  <c r="D28" i="241" s="1"/>
  <c r="AB20" i="192"/>
  <c r="AF20" s="1"/>
  <c r="E6" i="241" s="1"/>
  <c r="AB20" i="191"/>
  <c r="AF20" s="1"/>
  <c r="E6" i="242" s="1"/>
  <c r="AB20" i="193"/>
  <c r="BX29" i="192"/>
  <c r="CB29" s="1"/>
  <c r="K15" i="241" s="1"/>
  <c r="BX29" i="191"/>
  <c r="CB29" s="1"/>
  <c r="K15" i="242" s="1"/>
  <c r="BX29" i="193"/>
  <c r="CB29" s="1"/>
  <c r="K15" i="243" s="1"/>
  <c r="AB43" i="192"/>
  <c r="AF43" s="1"/>
  <c r="E29" i="241" s="1"/>
  <c r="AB43" i="191"/>
  <c r="AB43" i="193"/>
  <c r="AF43" s="1"/>
  <c r="E29" i="243" s="1"/>
  <c r="BX40" i="191"/>
  <c r="CB40" s="1"/>
  <c r="K26" i="242" s="1"/>
  <c r="BX40" i="193"/>
  <c r="BX40" i="192"/>
  <c r="CB40" s="1"/>
  <c r="K26" i="241" s="1"/>
  <c r="AJ33" i="192"/>
  <c r="AN33" s="1"/>
  <c r="F19" i="241" s="1"/>
  <c r="AJ33" i="191"/>
  <c r="AN33" s="1"/>
  <c r="F19" i="242" s="1"/>
  <c r="AJ33" i="193"/>
  <c r="AN33" s="1"/>
  <c r="F19" i="243" s="1"/>
  <c r="AJ31" i="192"/>
  <c r="AN31" s="1"/>
  <c r="F17" i="241" s="1"/>
  <c r="AJ31" i="191"/>
  <c r="AN31" s="1"/>
  <c r="F17" i="242" s="1"/>
  <c r="AJ31" i="193"/>
  <c r="AN31" s="1"/>
  <c r="F17" i="243" s="1"/>
  <c r="D33" i="192"/>
  <c r="D33" i="191"/>
  <c r="H33" s="1"/>
  <c r="D33" i="193"/>
  <c r="H33" s="1"/>
  <c r="AJ40"/>
  <c r="AN40" s="1"/>
  <c r="F26" i="243" s="1"/>
  <c r="AJ40" i="192"/>
  <c r="AN40" s="1"/>
  <c r="F26" i="241" s="1"/>
  <c r="AJ40" i="191"/>
  <c r="AR10" i="192"/>
  <c r="AV10" s="1"/>
  <c r="AR10" i="191"/>
  <c r="AR10" i="193"/>
  <c r="AV10" s="1"/>
  <c r="AB30" i="192"/>
  <c r="AF30" s="1"/>
  <c r="E16" i="241" s="1"/>
  <c r="AB30" i="191"/>
  <c r="AB30" i="193"/>
  <c r="T15" i="192"/>
  <c r="X15" s="1"/>
  <c r="T15" i="191"/>
  <c r="T15" i="193"/>
  <c r="X15" s="1"/>
  <c r="BP32" i="192"/>
  <c r="BT32" s="1"/>
  <c r="J18" i="241" s="1"/>
  <c r="BP32" i="193"/>
  <c r="BP32" i="191"/>
  <c r="BT32" s="1"/>
  <c r="J18" i="242" s="1"/>
  <c r="T37" i="192"/>
  <c r="X37" s="1"/>
  <c r="D23" i="241" s="1"/>
  <c r="T37" i="191"/>
  <c r="X37" s="1"/>
  <c r="D23" i="242" s="1"/>
  <c r="T37" i="193"/>
  <c r="T12" i="191"/>
  <c r="T12" i="192"/>
  <c r="X12" s="1"/>
  <c r="T12" i="193"/>
  <c r="X12" s="1"/>
  <c r="D16" i="192"/>
  <c r="H16" s="1"/>
  <c r="D16" i="191"/>
  <c r="D16" i="193"/>
  <c r="H16" s="1"/>
  <c r="T8" i="192"/>
  <c r="X8" s="1"/>
  <c r="T8" i="191"/>
  <c r="X8" s="1"/>
  <c r="T8" i="193"/>
  <c r="T41" i="191"/>
  <c r="X41" s="1"/>
  <c r="D27" i="242" s="1"/>
  <c r="T41" i="193"/>
  <c r="X41" s="1"/>
  <c r="D27" i="243" s="1"/>
  <c r="T41" i="192"/>
  <c r="X41" s="1"/>
  <c r="D27" i="241" s="1"/>
  <c r="BP43" i="192"/>
  <c r="BP43" i="193"/>
  <c r="BT43" s="1"/>
  <c r="J29" i="243" s="1"/>
  <c r="BP43" i="191"/>
  <c r="BT43" s="1"/>
  <c r="J29" i="242" s="1"/>
  <c r="CF12" i="192"/>
  <c r="CJ12" s="1"/>
  <c r="CF12" i="191"/>
  <c r="CJ12" s="1"/>
  <c r="CF12" i="193"/>
  <c r="CJ12" s="1"/>
  <c r="AR19" i="192"/>
  <c r="AV19" s="1"/>
  <c r="AR19" i="191"/>
  <c r="AV19" s="1"/>
  <c r="AR19" i="193"/>
  <c r="AV19" s="1"/>
  <c r="G21" i="157"/>
  <c r="AZ19" i="192"/>
  <c r="BD19" s="1"/>
  <c r="AZ19" i="191"/>
  <c r="BD19" s="1"/>
  <c r="AZ19" i="193"/>
  <c r="H21" i="157"/>
  <c r="D29" i="192"/>
  <c r="H29" s="1"/>
  <c r="D29" i="191"/>
  <c r="D29" i="193"/>
  <c r="H29" s="1"/>
  <c r="CF20" i="192"/>
  <c r="CJ20" s="1"/>
  <c r="L6" i="241" s="1"/>
  <c r="CF20" i="191"/>
  <c r="CJ20" s="1"/>
  <c r="L6" i="242" s="1"/>
  <c r="CF20" i="193"/>
  <c r="CJ20" s="1"/>
  <c r="L6" i="243" s="1"/>
  <c r="L45" i="191"/>
  <c r="P45" s="1"/>
  <c r="C31" i="242" s="1"/>
  <c r="L45" i="193"/>
  <c r="P45" s="1"/>
  <c r="C31" i="243" s="1"/>
  <c r="L45" i="192"/>
  <c r="P45" s="1"/>
  <c r="C31" i="241" s="1"/>
  <c r="AJ17" i="192"/>
  <c r="AJ17" i="191"/>
  <c r="AN17" s="1"/>
  <c r="AJ17" i="193"/>
  <c r="AN17" s="1"/>
  <c r="D22" i="192"/>
  <c r="H22" s="1"/>
  <c r="D22" i="191"/>
  <c r="D22" i="193"/>
  <c r="H22" s="1"/>
  <c r="L42" i="192"/>
  <c r="P42" s="1"/>
  <c r="C28" i="241" s="1"/>
  <c r="L42" i="191"/>
  <c r="L42" i="193"/>
  <c r="P42" s="1"/>
  <c r="C28" i="243" s="1"/>
  <c r="BP35" i="192"/>
  <c r="BT35" s="1"/>
  <c r="J21" i="241" s="1"/>
  <c r="BP35" i="191"/>
  <c r="BT35" s="1"/>
  <c r="J21" i="242" s="1"/>
  <c r="BP35" i="193"/>
  <c r="BT35" s="1"/>
  <c r="J21" i="243" s="1"/>
  <c r="CF22" i="192"/>
  <c r="CF22" i="191"/>
  <c r="CJ22" s="1"/>
  <c r="L8" i="242" s="1"/>
  <c r="CF22" i="193"/>
  <c r="CJ22" s="1"/>
  <c r="L8" i="243" s="1"/>
  <c r="BX46" i="192"/>
  <c r="CB46" s="1"/>
  <c r="K32" i="241" s="1"/>
  <c r="BX46" i="191"/>
  <c r="CB46" s="1"/>
  <c r="K32" i="242" s="1"/>
  <c r="BX46" i="193"/>
  <c r="CB46" s="1"/>
  <c r="K32" i="243" s="1"/>
  <c r="AR23" i="192"/>
  <c r="AV23" s="1"/>
  <c r="G9" i="241" s="1"/>
  <c r="AR23" i="191"/>
  <c r="AR23" i="193"/>
  <c r="L31" i="192"/>
  <c r="P31" s="1"/>
  <c r="C17" i="241" s="1"/>
  <c r="L31" i="191"/>
  <c r="P31" s="1"/>
  <c r="C17" i="242" s="1"/>
  <c r="L31" i="193"/>
  <c r="P31" s="1"/>
  <c r="C17" i="243" s="1"/>
  <c r="AJ21" i="192"/>
  <c r="AN21" s="1"/>
  <c r="F7" i="241" s="1"/>
  <c r="AJ21" i="191"/>
  <c r="AN21" s="1"/>
  <c r="F7" i="242" s="1"/>
  <c r="AJ21" i="193"/>
  <c r="AN21" s="1"/>
  <c r="F7" i="243" s="1"/>
  <c r="AB21" i="192"/>
  <c r="AB21" i="191"/>
  <c r="AB21" i="193"/>
  <c r="AF21" s="1"/>
  <c r="E7" i="243" s="1"/>
  <c r="AZ39" i="192"/>
  <c r="BD39" s="1"/>
  <c r="H25" i="241" s="1"/>
  <c r="AZ39" i="191"/>
  <c r="BD39" s="1"/>
  <c r="H25" i="242" s="1"/>
  <c r="AZ39" i="193"/>
  <c r="BX38" i="192"/>
  <c r="CB38" s="1"/>
  <c r="K24" i="241" s="1"/>
  <c r="BX38" i="191"/>
  <c r="CB38" s="1"/>
  <c r="K24" i="242" s="1"/>
  <c r="BX38" i="193"/>
  <c r="CB38" s="1"/>
  <c r="K24" i="243" s="1"/>
  <c r="AZ37" i="192"/>
  <c r="BD37" s="1"/>
  <c r="H23" i="241" s="1"/>
  <c r="AZ37" i="191"/>
  <c r="AZ37" i="193"/>
  <c r="BD37" s="1"/>
  <c r="H23" i="243" s="1"/>
  <c r="CF47" i="192"/>
  <c r="CJ47" s="1"/>
  <c r="L33" i="241" s="1"/>
  <c r="CF47" i="191"/>
  <c r="CJ47" s="1"/>
  <c r="L33" i="242" s="1"/>
  <c r="CF47" i="193"/>
  <c r="CJ47" s="1"/>
  <c r="L33" i="243" s="1"/>
  <c r="C57" i="121"/>
  <c r="B33" i="205"/>
  <c r="B47"/>
  <c r="B37"/>
  <c r="B42"/>
  <c r="B49"/>
  <c r="B44"/>
  <c r="B39"/>
  <c r="I49"/>
  <c r="I39"/>
  <c r="I44"/>
  <c r="D47"/>
  <c r="D42"/>
  <c r="D37"/>
  <c r="H47"/>
  <c r="H42"/>
  <c r="H37"/>
  <c r="D49"/>
  <c r="D39"/>
  <c r="D44"/>
  <c r="G46"/>
  <c r="G41"/>
  <c r="G36"/>
  <c r="BQ48" i="191"/>
  <c r="BQ50" s="1"/>
  <c r="BQ48" i="193"/>
  <c r="BQ50" s="1"/>
  <c r="BQ48" i="192"/>
  <c r="BQ50" s="1"/>
  <c r="BQ48" i="38"/>
  <c r="BQ48" i="62"/>
  <c r="E48" i="192"/>
  <c r="E50" s="1"/>
  <c r="E48" i="191"/>
  <c r="E50" s="1"/>
  <c r="E48" i="193"/>
  <c r="E48" i="38"/>
  <c r="E48" i="62"/>
  <c r="BI22" i="192"/>
  <c r="BM22" s="1"/>
  <c r="BI22" i="191"/>
  <c r="BM22" s="1"/>
  <c r="BI22" i="193"/>
  <c r="BI35" i="192"/>
  <c r="BM35" s="1"/>
  <c r="BI35" i="191"/>
  <c r="BI35" i="193"/>
  <c r="BI24" i="192"/>
  <c r="BM24" s="1"/>
  <c r="BI24" i="191"/>
  <c r="BM24" s="1"/>
  <c r="BI24" i="193"/>
  <c r="CG25" i="192"/>
  <c r="CG25" i="191"/>
  <c r="CK25" s="1"/>
  <c r="CG25" i="193"/>
  <c r="CK25" s="1"/>
  <c r="CG8" i="192"/>
  <c r="CK8" s="1"/>
  <c r="CG8" i="191"/>
  <c r="CG8" i="193"/>
  <c r="CK8" s="1"/>
  <c r="AS42" i="192"/>
  <c r="AW42" s="1"/>
  <c r="AS42" i="191"/>
  <c r="AW42" s="1"/>
  <c r="AS42" i="193"/>
  <c r="AW42" s="1"/>
  <c r="BY14" i="192"/>
  <c r="CC14" s="1"/>
  <c r="BY14" i="191"/>
  <c r="CC14" s="1"/>
  <c r="BY14" i="193"/>
  <c r="CC14" s="1"/>
  <c r="E40" i="192"/>
  <c r="I40" s="1"/>
  <c r="E40" i="191"/>
  <c r="E40" i="193"/>
  <c r="I40" s="1"/>
  <c r="AC14" i="192"/>
  <c r="AG14" s="1"/>
  <c r="AC14" i="191"/>
  <c r="AC14" i="193"/>
  <c r="AG14" s="1"/>
  <c r="BY26" i="192"/>
  <c r="CC26" s="1"/>
  <c r="BY26" i="191"/>
  <c r="CC26" s="1"/>
  <c r="BY26" i="193"/>
  <c r="CC26" s="1"/>
  <c r="M34" i="192"/>
  <c r="Q34" s="1"/>
  <c r="M34" i="191"/>
  <c r="Q34" s="1"/>
  <c r="M34" i="193"/>
  <c r="Q34" s="1"/>
  <c r="E42" i="192"/>
  <c r="E42" i="191"/>
  <c r="I42" s="1"/>
  <c r="E42" i="193"/>
  <c r="I42" s="1"/>
  <c r="BQ33" i="192"/>
  <c r="BU33" s="1"/>
  <c r="BQ33" i="191"/>
  <c r="BQ33" i="193"/>
  <c r="AK30" i="191"/>
  <c r="AO30" s="1"/>
  <c r="AK30" i="193"/>
  <c r="AO30" s="1"/>
  <c r="AK30" i="192"/>
  <c r="AO30" s="1"/>
  <c r="CG40" i="191"/>
  <c r="CK40" s="1"/>
  <c r="CG40" i="192"/>
  <c r="CG40" i="193"/>
  <c r="CK40" s="1"/>
  <c r="M40"/>
  <c r="Q40" s="1"/>
  <c r="M40" i="192"/>
  <c r="M40" i="191"/>
  <c r="Q40" s="1"/>
  <c r="AS22" i="192"/>
  <c r="AS22" i="191"/>
  <c r="AW22" s="1"/>
  <c r="AS22" i="193"/>
  <c r="AK13" i="192"/>
  <c r="AK13" i="191"/>
  <c r="AK13" i="193"/>
  <c r="AO13" s="1"/>
  <c r="CG32" i="192"/>
  <c r="CK32" s="1"/>
  <c r="CG32" i="191"/>
  <c r="CK32" s="1"/>
  <c r="CG32" i="193"/>
  <c r="CK32" s="1"/>
  <c r="CG42" i="192"/>
  <c r="CG42" i="191"/>
  <c r="CK42" s="1"/>
  <c r="CG42" i="193"/>
  <c r="CK42" s="1"/>
  <c r="CG46" i="192"/>
  <c r="CK46" s="1"/>
  <c r="CG46" i="191"/>
  <c r="CK46" s="1"/>
  <c r="CG46" i="193"/>
  <c r="CK46" s="1"/>
  <c r="E25" i="192"/>
  <c r="I25" s="1"/>
  <c r="E25" i="191"/>
  <c r="I25" s="1"/>
  <c r="E25" i="193"/>
  <c r="BY37" i="192"/>
  <c r="BY37" i="191"/>
  <c r="CC37" s="1"/>
  <c r="BY37" i="193"/>
  <c r="CC37" s="1"/>
  <c r="BQ8" i="192"/>
  <c r="BQ8" i="191"/>
  <c r="BQ8" i="193"/>
  <c r="BU8" s="1"/>
  <c r="CG12" i="192"/>
  <c r="CG12" i="191"/>
  <c r="CK12" s="1"/>
  <c r="CG12" i="193"/>
  <c r="E21" i="192"/>
  <c r="I21" s="1"/>
  <c r="E21" i="191"/>
  <c r="E21" i="193"/>
  <c r="I21" s="1"/>
  <c r="CG13" i="192"/>
  <c r="CG13" i="191"/>
  <c r="CK13" s="1"/>
  <c r="CG13" i="193"/>
  <c r="CK13" s="1"/>
  <c r="AC33" i="192"/>
  <c r="AG33" s="1"/>
  <c r="AC33" i="191"/>
  <c r="AC33" i="193"/>
  <c r="AG33" s="1"/>
  <c r="BI29" i="192"/>
  <c r="BI29" i="191"/>
  <c r="BI29" i="193"/>
  <c r="BM29" s="1"/>
  <c r="BI32" i="192"/>
  <c r="BI32" i="191"/>
  <c r="BM32" s="1"/>
  <c r="BI32" i="193"/>
  <c r="BI42"/>
  <c r="BM42" s="1"/>
  <c r="BI42" i="192"/>
  <c r="BM42" s="1"/>
  <c r="BI42" i="191"/>
  <c r="M41" i="192"/>
  <c r="Q41" s="1"/>
  <c r="M41" i="191"/>
  <c r="Q41" s="1"/>
  <c r="M41" i="193"/>
  <c r="Q41" s="1"/>
  <c r="E12" i="192"/>
  <c r="I12" s="1"/>
  <c r="E12" i="191"/>
  <c r="E12" i="193"/>
  <c r="I12" s="1"/>
  <c r="AS24" i="192"/>
  <c r="AW24" s="1"/>
  <c r="AS24" i="191"/>
  <c r="AW24" s="1"/>
  <c r="AS24" i="193"/>
  <c r="AW24" s="1"/>
  <c r="AC38" i="192"/>
  <c r="AC38" i="191"/>
  <c r="AG38" s="1"/>
  <c r="AC38" i="193"/>
  <c r="AG38" s="1"/>
  <c r="BA41" i="192"/>
  <c r="BE41" s="1"/>
  <c r="BA41" i="191"/>
  <c r="BE41" s="1"/>
  <c r="BA41" i="193"/>
  <c r="BE41" s="1"/>
  <c r="BY36"/>
  <c r="CC36" s="1"/>
  <c r="BY36" i="192"/>
  <c r="CC36" s="1"/>
  <c r="BY36" i="191"/>
  <c r="U38" i="192"/>
  <c r="Y38" s="1"/>
  <c r="U38" i="191"/>
  <c r="U38" i="193"/>
  <c r="Y38" s="1"/>
  <c r="U30" i="192"/>
  <c r="Y30" s="1"/>
  <c r="U30" i="191"/>
  <c r="Y30" s="1"/>
  <c r="U30" i="193"/>
  <c r="Y30" s="1"/>
  <c r="AS34" i="192"/>
  <c r="AW34" s="1"/>
  <c r="AS34" i="191"/>
  <c r="AS34" i="193"/>
  <c r="AW34" s="1"/>
  <c r="E45" i="192"/>
  <c r="I45" s="1"/>
  <c r="E45" i="191"/>
  <c r="I45" s="1"/>
  <c r="E45" i="193"/>
  <c r="U41" i="191"/>
  <c r="Y41" s="1"/>
  <c r="U41" i="192"/>
  <c r="Y41" s="1"/>
  <c r="U41" i="193"/>
  <c r="Y41" s="1"/>
  <c r="AC27" i="192"/>
  <c r="AG27" s="1"/>
  <c r="AC27" i="191"/>
  <c r="AC27" i="193"/>
  <c r="AG27" s="1"/>
  <c r="AC26" i="192"/>
  <c r="AC26" i="191"/>
  <c r="AG26" s="1"/>
  <c r="AC26" i="193"/>
  <c r="AG26" s="1"/>
  <c r="M11" i="191"/>
  <c r="Q11" s="1"/>
  <c r="M11" i="193"/>
  <c r="Q11" s="1"/>
  <c r="M11" i="192"/>
  <c r="Q11" s="1"/>
  <c r="BI38"/>
  <c r="BM38" s="1"/>
  <c r="BI38" i="193"/>
  <c r="BM38" s="1"/>
  <c r="BI38" i="191"/>
  <c r="BM38" s="1"/>
  <c r="BQ12" i="192"/>
  <c r="BQ12" i="191"/>
  <c r="BQ12" i="193"/>
  <c r="BU12" s="1"/>
  <c r="BQ27" i="191"/>
  <c r="BQ27" i="192"/>
  <c r="BU27" s="1"/>
  <c r="BQ27" i="193"/>
  <c r="BU27" s="1"/>
  <c r="AS46" i="192"/>
  <c r="AW46" s="1"/>
  <c r="AS46" i="191"/>
  <c r="AW46" s="1"/>
  <c r="AS46" i="193"/>
  <c r="AC43" i="192"/>
  <c r="AG43" s="1"/>
  <c r="AC43" i="191"/>
  <c r="AG43" s="1"/>
  <c r="AC43" i="193"/>
  <c r="AG43" s="1"/>
  <c r="M19" i="192"/>
  <c r="Q19" s="1"/>
  <c r="M19" i="191"/>
  <c r="Q19" s="1"/>
  <c r="M19" i="193"/>
  <c r="Q19" s="1"/>
  <c r="CG17" i="192"/>
  <c r="CK17" s="1"/>
  <c r="CG17" i="191"/>
  <c r="CK17" s="1"/>
  <c r="CG17" i="193"/>
  <c r="CK17" s="1"/>
  <c r="BY40" i="192"/>
  <c r="BY40" i="193"/>
  <c r="CC40" s="1"/>
  <c r="BY40" i="191"/>
  <c r="CC40" s="1"/>
  <c r="AK8" i="192"/>
  <c r="AO8" s="1"/>
  <c r="AK8" i="191"/>
  <c r="AK8" i="193"/>
  <c r="BA19" i="192"/>
  <c r="BE19" s="1"/>
  <c r="BA19" i="191"/>
  <c r="BE19" s="1"/>
  <c r="BA19" i="193"/>
  <c r="AK40" i="192"/>
  <c r="AO40" s="1"/>
  <c r="AK40" i="191"/>
  <c r="AO40" s="1"/>
  <c r="AK40" i="193"/>
  <c r="AO40" s="1"/>
  <c r="BY47" i="192"/>
  <c r="BY47" i="191"/>
  <c r="CC47" s="1"/>
  <c r="BY47" i="193"/>
  <c r="CC47" s="1"/>
  <c r="U47" i="192"/>
  <c r="Y47" s="1"/>
  <c r="U47" i="191"/>
  <c r="Y47" s="1"/>
  <c r="U47" i="193"/>
  <c r="Y47" s="1"/>
  <c r="AM56" i="19"/>
  <c r="AB48" i="191"/>
  <c r="AB50" s="1"/>
  <c r="AB48" i="193"/>
  <c r="AB50" s="1"/>
  <c r="AB48" i="192"/>
  <c r="AB50" s="1"/>
  <c r="E22" i="157"/>
  <c r="AB48" i="38"/>
  <c r="AF48" s="1"/>
  <c r="E34" i="202" s="1"/>
  <c r="AB48" i="62"/>
  <c r="CF41" i="191"/>
  <c r="CJ41" s="1"/>
  <c r="L27" i="242" s="1"/>
  <c r="CF41" i="193"/>
  <c r="CF41" i="192"/>
  <c r="CJ41" s="1"/>
  <c r="L27" i="241" s="1"/>
  <c r="L40" i="192"/>
  <c r="P40" s="1"/>
  <c r="C26" i="241" s="1"/>
  <c r="L40" i="191"/>
  <c r="P40" s="1"/>
  <c r="C26" i="242" s="1"/>
  <c r="L40" i="193"/>
  <c r="BX11" i="191"/>
  <c r="CB11" s="1"/>
  <c r="BX11" i="192"/>
  <c r="CB11" s="1"/>
  <c r="BX11" i="193"/>
  <c r="CB11" s="1"/>
  <c r="BH45" i="192"/>
  <c r="BL45" s="1"/>
  <c r="I31" i="241" s="1"/>
  <c r="BH45" i="191"/>
  <c r="BL45" s="1"/>
  <c r="I31" i="242" s="1"/>
  <c r="BH45" i="193"/>
  <c r="BL45" s="1"/>
  <c r="I31" i="243" s="1"/>
  <c r="AJ41" i="192"/>
  <c r="AN41" s="1"/>
  <c r="F27" i="241" s="1"/>
  <c r="AJ41" i="191"/>
  <c r="AN41" s="1"/>
  <c r="F27" i="242" s="1"/>
  <c r="AJ41" i="193"/>
  <c r="AN41" s="1"/>
  <c r="F27" i="243" s="1"/>
  <c r="CF9" i="192"/>
  <c r="CJ9" s="1"/>
  <c r="CF9" i="191"/>
  <c r="CJ9" s="1"/>
  <c r="CF9" i="193"/>
  <c r="CJ9" s="1"/>
  <c r="AB37" i="192"/>
  <c r="AF37" s="1"/>
  <c r="E23" i="241" s="1"/>
  <c r="AB37" i="191"/>
  <c r="AF37" s="1"/>
  <c r="E23" i="242" s="1"/>
  <c r="AB37" i="193"/>
  <c r="AF37" s="1"/>
  <c r="E23" i="243" s="1"/>
  <c r="BH42" i="191"/>
  <c r="BH42" i="192"/>
  <c r="BL42" s="1"/>
  <c r="I28" i="241" s="1"/>
  <c r="BH42" i="193"/>
  <c r="BL42" s="1"/>
  <c r="I28" i="243" s="1"/>
  <c r="L43" i="192"/>
  <c r="P43" s="1"/>
  <c r="C29" i="241" s="1"/>
  <c r="L43" i="191"/>
  <c r="L43" i="193"/>
  <c r="P43" s="1"/>
  <c r="C29" i="243" s="1"/>
  <c r="CF45" i="191"/>
  <c r="CJ45" s="1"/>
  <c r="L31" i="242" s="1"/>
  <c r="CF45" i="192"/>
  <c r="CF45" i="193"/>
  <c r="CJ45" s="1"/>
  <c r="L31" i="243" s="1"/>
  <c r="BP19" i="191"/>
  <c r="BT19" s="1"/>
  <c r="BP19" i="193"/>
  <c r="BP19" i="192"/>
  <c r="BT19" s="1"/>
  <c r="J21" i="157"/>
  <c r="BX41" i="192"/>
  <c r="CB41" s="1"/>
  <c r="K27" i="241" s="1"/>
  <c r="BX41" i="191"/>
  <c r="BX41" i="193"/>
  <c r="CB41" s="1"/>
  <c r="K27" i="243" s="1"/>
  <c r="L37" i="193"/>
  <c r="L37" i="192"/>
  <c r="P37" s="1"/>
  <c r="C23" i="241" s="1"/>
  <c r="L37" i="191"/>
  <c r="P37" s="1"/>
  <c r="C23" i="242" s="1"/>
  <c r="BP28" i="191"/>
  <c r="BT28" s="1"/>
  <c r="J14" i="242" s="1"/>
  <c r="BP28" i="192"/>
  <c r="BT28" s="1"/>
  <c r="J14" i="241" s="1"/>
  <c r="BP28" i="193"/>
  <c r="BT28" s="1"/>
  <c r="J14" i="243" s="1"/>
  <c r="T44" i="192"/>
  <c r="X44" s="1"/>
  <c r="D30" i="241" s="1"/>
  <c r="T44" i="191"/>
  <c r="T44" i="193"/>
  <c r="AB22" i="191"/>
  <c r="AF22" s="1"/>
  <c r="E8" i="242" s="1"/>
  <c r="AB22" i="193"/>
  <c r="AF22" s="1"/>
  <c r="E8" i="243" s="1"/>
  <c r="AB22" i="192"/>
  <c r="AF22" s="1"/>
  <c r="E8" i="241" s="1"/>
  <c r="BX22" i="192"/>
  <c r="CB22" s="1"/>
  <c r="K8" i="241" s="1"/>
  <c r="BX22" i="191"/>
  <c r="BX22" i="193"/>
  <c r="CB22" s="1"/>
  <c r="K8" i="243" s="1"/>
  <c r="AZ17" i="192"/>
  <c r="BD17" s="1"/>
  <c r="AZ17" i="193"/>
  <c r="BD17" s="1"/>
  <c r="AZ17" i="191"/>
  <c r="BD17" s="1"/>
  <c r="BX39" i="192"/>
  <c r="CB39" s="1"/>
  <c r="K25" i="241" s="1"/>
  <c r="BX39" i="191"/>
  <c r="CB39" s="1"/>
  <c r="K25" i="242" s="1"/>
  <c r="BX39" i="193"/>
  <c r="CB39" s="1"/>
  <c r="K25" i="243" s="1"/>
  <c r="AJ29" i="192"/>
  <c r="AN29" s="1"/>
  <c r="F15" i="241" s="1"/>
  <c r="AJ29" i="191"/>
  <c r="AN29" s="1"/>
  <c r="F15" i="242" s="1"/>
  <c r="AJ29" i="193"/>
  <c r="AZ13" i="192"/>
  <c r="BD13" s="1"/>
  <c r="AZ13" i="191"/>
  <c r="BD13" s="1"/>
  <c r="AZ13" i="193"/>
  <c r="BD13" s="1"/>
  <c r="AB38" i="192"/>
  <c r="AF38" s="1"/>
  <c r="E24" i="241" s="1"/>
  <c r="AB38" i="193"/>
  <c r="AB38" i="191"/>
  <c r="AF38" s="1"/>
  <c r="E24" i="242" s="1"/>
  <c r="L25" i="192"/>
  <c r="P25" s="1"/>
  <c r="C11" i="241" s="1"/>
  <c r="L25" i="191"/>
  <c r="P25" s="1"/>
  <c r="C11" i="242" s="1"/>
  <c r="L25" i="193"/>
  <c r="P25" s="1"/>
  <c r="C11" i="243" s="1"/>
  <c r="BP41" i="192"/>
  <c r="BT41" s="1"/>
  <c r="J27" i="241" s="1"/>
  <c r="BP41" i="191"/>
  <c r="BT41" s="1"/>
  <c r="J27" i="242" s="1"/>
  <c r="BP41" i="193"/>
  <c r="BT41" s="1"/>
  <c r="J27" i="243" s="1"/>
  <c r="BP46" i="192"/>
  <c r="BT46" s="1"/>
  <c r="J32" i="241" s="1"/>
  <c r="BP46" i="191"/>
  <c r="BT46" s="1"/>
  <c r="J32" i="242" s="1"/>
  <c r="BP46" i="193"/>
  <c r="BT46" s="1"/>
  <c r="J32" i="243" s="1"/>
  <c r="T39" i="192"/>
  <c r="X39" s="1"/>
  <c r="D25" i="241" s="1"/>
  <c r="T39" i="191"/>
  <c r="X39" s="1"/>
  <c r="D25" i="242" s="1"/>
  <c r="T39" i="193"/>
  <c r="AJ43" i="191"/>
  <c r="AN43" s="1"/>
  <c r="F29" i="242" s="1"/>
  <c r="AJ43" i="192"/>
  <c r="AN43" s="1"/>
  <c r="F29" i="241" s="1"/>
  <c r="AJ43" i="193"/>
  <c r="AB29" i="192"/>
  <c r="AF29" s="1"/>
  <c r="E15" i="241" s="1"/>
  <c r="AB29" i="191"/>
  <c r="AF29" s="1"/>
  <c r="E15" i="242" s="1"/>
  <c r="AB29" i="193"/>
  <c r="CG48" i="191"/>
  <c r="CG48" i="193"/>
  <c r="CG50" s="1"/>
  <c r="CG48" i="192"/>
  <c r="CG50" s="1"/>
  <c r="CG48" i="62"/>
  <c r="CG48" i="38"/>
  <c r="BA48" i="192"/>
  <c r="BA50" s="1"/>
  <c r="BA48" i="191"/>
  <c r="BA48" i="193"/>
  <c r="BA48" i="62"/>
  <c r="BA48" i="38"/>
  <c r="BE48" s="1"/>
  <c r="U48" i="193"/>
  <c r="U48" i="192"/>
  <c r="U48" i="191"/>
  <c r="U48" i="62"/>
  <c r="U48" i="38"/>
  <c r="U32" i="192"/>
  <c r="Y32" s="1"/>
  <c r="U32" i="191"/>
  <c r="U32" i="193"/>
  <c r="Y32" s="1"/>
  <c r="CG22" i="192"/>
  <c r="CK22" s="1"/>
  <c r="CG22" i="191"/>
  <c r="CK22" s="1"/>
  <c r="CG22" i="193"/>
  <c r="CK22" s="1"/>
  <c r="AK36" i="192"/>
  <c r="AO36" s="1"/>
  <c r="AK36" i="191"/>
  <c r="AO36" s="1"/>
  <c r="AK36" i="193"/>
  <c r="BI39" i="192"/>
  <c r="BM39" s="1"/>
  <c r="BI39" i="191"/>
  <c r="BM39" s="1"/>
  <c r="BI39" i="193"/>
  <c r="BM39" s="1"/>
  <c r="U42" i="192"/>
  <c r="Y42" s="1"/>
  <c r="U42" i="191"/>
  <c r="Y42" s="1"/>
  <c r="U42" i="193"/>
  <c r="Y42" s="1"/>
  <c r="U44" i="191"/>
  <c r="Y44" s="1"/>
  <c r="U44" i="193"/>
  <c r="U44" i="192"/>
  <c r="Y44" s="1"/>
  <c r="CG21"/>
  <c r="CK21" s="1"/>
  <c r="CG21" i="191"/>
  <c r="CG21" i="193"/>
  <c r="CK21" s="1"/>
  <c r="BY39" i="192"/>
  <c r="BY39" i="191"/>
  <c r="CC39" s="1"/>
  <c r="BY39" i="193"/>
  <c r="CC39" s="1"/>
  <c r="M38" i="192"/>
  <c r="Q38" s="1"/>
  <c r="M38" i="191"/>
  <c r="Q38" s="1"/>
  <c r="M38" i="193"/>
  <c r="Q38" s="1"/>
  <c r="BQ28" i="192"/>
  <c r="BU28" s="1"/>
  <c r="BQ28" i="191"/>
  <c r="BU28" s="1"/>
  <c r="BQ28" i="193"/>
  <c r="M15" i="192"/>
  <c r="Q15" s="1"/>
  <c r="M15" i="191"/>
  <c r="Q15" s="1"/>
  <c r="M15" i="193"/>
  <c r="Q15" s="1"/>
  <c r="BQ25" i="192"/>
  <c r="BU25" s="1"/>
  <c r="BQ25" i="191"/>
  <c r="BU25" s="1"/>
  <c r="BQ25" i="193"/>
  <c r="BU25" s="1"/>
  <c r="U19" i="192"/>
  <c r="U19" i="191"/>
  <c r="Y19" s="1"/>
  <c r="U19" i="193"/>
  <c r="Y19" s="1"/>
  <c r="E34" i="192"/>
  <c r="E34" i="191"/>
  <c r="I34" s="1"/>
  <c r="E34" i="193"/>
  <c r="I34" s="1"/>
  <c r="AS40" i="192"/>
  <c r="AW40" s="1"/>
  <c r="AS40" i="191"/>
  <c r="AW40" s="1"/>
  <c r="AS40" i="193"/>
  <c r="AW40" s="1"/>
  <c r="AC29" i="192"/>
  <c r="AC29" i="193"/>
  <c r="AG29" s="1"/>
  <c r="AC29" i="191"/>
  <c r="AG29" s="1"/>
  <c r="CG37" i="192"/>
  <c r="CK37" s="1"/>
  <c r="CG37" i="191"/>
  <c r="CK37" s="1"/>
  <c r="CG37" i="193"/>
  <c r="CK37" s="1"/>
  <c r="BQ15" i="192"/>
  <c r="BU15" s="1"/>
  <c r="BQ15" i="191"/>
  <c r="BU15" s="1"/>
  <c r="BQ15" i="193"/>
  <c r="BU15" s="1"/>
  <c r="U39" i="192"/>
  <c r="Y39" s="1"/>
  <c r="U39" i="191"/>
  <c r="Y39" s="1"/>
  <c r="U39" i="193"/>
  <c r="Y39" s="1"/>
  <c r="CG30" i="192"/>
  <c r="CK30" s="1"/>
  <c r="CG30" i="191"/>
  <c r="CK30" s="1"/>
  <c r="CG30" i="193"/>
  <c r="AS9" i="192"/>
  <c r="AS9" i="191"/>
  <c r="AW9" s="1"/>
  <c r="AS9" i="193"/>
  <c r="AW9" s="1"/>
  <c r="BA44" i="192"/>
  <c r="BE44" s="1"/>
  <c r="BA44" i="191"/>
  <c r="BA44" i="193"/>
  <c r="BE44" s="1"/>
  <c r="AC23" i="192"/>
  <c r="AG23" s="1"/>
  <c r="AC23" i="191"/>
  <c r="AG23" s="1"/>
  <c r="AC23" i="193"/>
  <c r="AG23" s="1"/>
  <c r="AK15" i="192"/>
  <c r="AO15" s="1"/>
  <c r="AK15" i="191"/>
  <c r="AO15" s="1"/>
  <c r="AK15" i="193"/>
  <c r="M27" i="192"/>
  <c r="Q27" s="1"/>
  <c r="M27" i="191"/>
  <c r="Q27" s="1"/>
  <c r="M27" i="193"/>
  <c r="M10"/>
  <c r="Q10" s="1"/>
  <c r="M10" i="192"/>
  <c r="M10" i="191"/>
  <c r="Q10" s="1"/>
  <c r="BA9" i="192"/>
  <c r="BE9" s="1"/>
  <c r="BA9" i="191"/>
  <c r="BE9" s="1"/>
  <c r="BA9" i="193"/>
  <c r="BE9" s="1"/>
  <c r="BA12" i="192"/>
  <c r="BA12" i="191"/>
  <c r="BE12" s="1"/>
  <c r="BA12" i="193"/>
  <c r="BE12" s="1"/>
  <c r="BQ24" i="192"/>
  <c r="BQ24" i="191"/>
  <c r="BU24" s="1"/>
  <c r="BQ24" i="193"/>
  <c r="BU24" s="1"/>
  <c r="AK24" i="192"/>
  <c r="AO24" s="1"/>
  <c r="AK24" i="191"/>
  <c r="AK24" i="193"/>
  <c r="AO24" s="1"/>
  <c r="U45" i="192"/>
  <c r="Y45" s="1"/>
  <c r="U45" i="191"/>
  <c r="U45" i="193"/>
  <c r="Y45" s="1"/>
  <c r="U43" i="192"/>
  <c r="Y43" s="1"/>
  <c r="U43" i="191"/>
  <c r="Y43" s="1"/>
  <c r="U43" i="193"/>
  <c r="Y43" s="1"/>
  <c r="E24" i="192"/>
  <c r="I24" s="1"/>
  <c r="E24" i="191"/>
  <c r="I24" s="1"/>
  <c r="E24" i="193"/>
  <c r="I24" s="1"/>
  <c r="BY25" i="192"/>
  <c r="CC25" s="1"/>
  <c r="BY25" i="191"/>
  <c r="CC25" s="1"/>
  <c r="BY25" i="193"/>
  <c r="CC25" s="1"/>
  <c r="AK37" i="192"/>
  <c r="AO37" s="1"/>
  <c r="AK37" i="191"/>
  <c r="AO37" s="1"/>
  <c r="AK37" i="193"/>
  <c r="AO37" s="1"/>
  <c r="BI43" i="192"/>
  <c r="BM43" s="1"/>
  <c r="BI43" i="191"/>
  <c r="BM43" s="1"/>
  <c r="BI43" i="193"/>
  <c r="U8" i="192"/>
  <c r="U8" i="191"/>
  <c r="Y8" s="1"/>
  <c r="U8" i="193"/>
  <c r="Y8" s="1"/>
  <c r="M33" i="192"/>
  <c r="Q33" s="1"/>
  <c r="M33" i="191"/>
  <c r="Q33" s="1"/>
  <c r="M33" i="193"/>
  <c r="AC46" i="192"/>
  <c r="AG46" s="1"/>
  <c r="AC46" i="191"/>
  <c r="AG46" s="1"/>
  <c r="AC46" i="193"/>
  <c r="U46" i="192"/>
  <c r="U46" i="191"/>
  <c r="Y46" s="1"/>
  <c r="U46" i="193"/>
  <c r="Y46" s="1"/>
  <c r="U34" i="192"/>
  <c r="Y34" s="1"/>
  <c r="U34" i="191"/>
  <c r="U34" i="193"/>
  <c r="U13" i="192"/>
  <c r="Y13" s="1"/>
  <c r="U13" i="191"/>
  <c r="U13" i="193"/>
  <c r="Y13" s="1"/>
  <c r="CG15" i="192"/>
  <c r="CK15" s="1"/>
  <c r="CG15" i="191"/>
  <c r="CK15" s="1"/>
  <c r="CG15" i="193"/>
  <c r="E36" i="192"/>
  <c r="I36" s="1"/>
  <c r="E36" i="191"/>
  <c r="I36" s="1"/>
  <c r="E36" i="193"/>
  <c r="BI15" i="192"/>
  <c r="BI15" i="191"/>
  <c r="BM15" s="1"/>
  <c r="BI15" i="193"/>
  <c r="BM15" s="1"/>
  <c r="AS38" i="192"/>
  <c r="AW38" s="1"/>
  <c r="AS38" i="191"/>
  <c r="AW38" s="1"/>
  <c r="AS38" i="193"/>
  <c r="BI37" i="192"/>
  <c r="BM37" s="1"/>
  <c r="BI37" i="191"/>
  <c r="BM37" s="1"/>
  <c r="BI37" i="193"/>
  <c r="BM37" s="1"/>
  <c r="BY8" i="192"/>
  <c r="CC8" s="1"/>
  <c r="BY8" i="191"/>
  <c r="CC8" s="1"/>
  <c r="BY8" i="193"/>
  <c r="CC8" s="1"/>
  <c r="E38" i="191"/>
  <c r="I38" s="1"/>
  <c r="E38" i="193"/>
  <c r="I38" s="1"/>
  <c r="E38" i="192"/>
  <c r="I38" s="1"/>
  <c r="BA35"/>
  <c r="BE35" s="1"/>
  <c r="BA35" i="191"/>
  <c r="BE35" s="1"/>
  <c r="BA35" i="193"/>
  <c r="E31" i="191"/>
  <c r="I31" s="1"/>
  <c r="E31" i="192"/>
  <c r="I31" s="1"/>
  <c r="E31" i="193"/>
  <c r="I31" s="1"/>
  <c r="AS37" i="192"/>
  <c r="AW37" s="1"/>
  <c r="AS37" i="191"/>
  <c r="AW37" s="1"/>
  <c r="AS37" i="193"/>
  <c r="AW37" s="1"/>
  <c r="BA30" i="192"/>
  <c r="BE30" s="1"/>
  <c r="BA30" i="191"/>
  <c r="BA30" i="193"/>
  <c r="BA38" i="192"/>
  <c r="BE38" s="1"/>
  <c r="BA38" i="191"/>
  <c r="BE38" s="1"/>
  <c r="BA38" i="193"/>
  <c r="BE38" s="1"/>
  <c r="AK21" i="192"/>
  <c r="AO21" s="1"/>
  <c r="AK21" i="191"/>
  <c r="AO21" s="1"/>
  <c r="AK21" i="193"/>
  <c r="AO21" s="1"/>
  <c r="CG20" i="192"/>
  <c r="CG20" i="191"/>
  <c r="CK20" s="1"/>
  <c r="CG20" i="193"/>
  <c r="CK20" s="1"/>
  <c r="BY41" i="192"/>
  <c r="CC41" s="1"/>
  <c r="BY41" i="191"/>
  <c r="CC41" s="1"/>
  <c r="BY41" i="193"/>
  <c r="CC41" s="1"/>
  <c r="BI19" i="192"/>
  <c r="BM19" s="1"/>
  <c r="BI19" i="191"/>
  <c r="BI19" i="193"/>
  <c r="BM19" s="1"/>
  <c r="BI9" i="192"/>
  <c r="BI9" i="191"/>
  <c r="BI9" i="193"/>
  <c r="BM9" s="1"/>
  <c r="AC13" i="191"/>
  <c r="AC13" i="192"/>
  <c r="AG13" s="1"/>
  <c r="AC13" i="193"/>
  <c r="AG13" s="1"/>
  <c r="BI41" i="191"/>
  <c r="BM41" s="1"/>
  <c r="BI41" i="193"/>
  <c r="BM41" s="1"/>
  <c r="BI41" i="192"/>
  <c r="BM41" s="1"/>
  <c r="CG41" i="191"/>
  <c r="CK41" s="1"/>
  <c r="CG41" i="193"/>
  <c r="CG41" i="192"/>
  <c r="CK41" s="1"/>
  <c r="AC8"/>
  <c r="AG8" s="1"/>
  <c r="AC8" i="191"/>
  <c r="AG8" s="1"/>
  <c r="AC8" i="193"/>
  <c r="AG8" s="1"/>
  <c r="BY20" i="191"/>
  <c r="CC20" s="1"/>
  <c r="BY20" i="192"/>
  <c r="CC20" s="1"/>
  <c r="BY20" i="193"/>
  <c r="M37" i="192"/>
  <c r="M37" i="191"/>
  <c r="M37" i="193"/>
  <c r="Q37" s="1"/>
  <c r="U21" i="192"/>
  <c r="Y21" s="1"/>
  <c r="U21" i="191"/>
  <c r="Y21" s="1"/>
  <c r="U21" i="193"/>
  <c r="AC17" i="192"/>
  <c r="AC17" i="193"/>
  <c r="AG17" s="1"/>
  <c r="AC17" i="191"/>
  <c r="AG17" s="1"/>
  <c r="BY21" i="192"/>
  <c r="CC21" s="1"/>
  <c r="BY21" i="191"/>
  <c r="CC21" s="1"/>
  <c r="BY21" i="193"/>
  <c r="BQ23" i="191"/>
  <c r="BQ23" i="192"/>
  <c r="BU23" s="1"/>
  <c r="BQ23" i="193"/>
  <c r="BU23" s="1"/>
  <c r="AS14" i="192"/>
  <c r="AS14" i="191"/>
  <c r="AW14" s="1"/>
  <c r="AS14" i="193"/>
  <c r="AW14" s="1"/>
  <c r="BQ10" i="192"/>
  <c r="BU10" s="1"/>
  <c r="BQ10" i="191"/>
  <c r="BU10" s="1"/>
  <c r="BQ10" i="193"/>
  <c r="BU10" s="1"/>
  <c r="BQ45" i="192"/>
  <c r="BU45" s="1"/>
  <c r="BQ45" i="191"/>
  <c r="BU45" s="1"/>
  <c r="BQ45" i="193"/>
  <c r="BU45" s="1"/>
  <c r="BY11"/>
  <c r="CC11" s="1"/>
  <c r="BY11" i="192"/>
  <c r="CC11" s="1"/>
  <c r="BY11" i="191"/>
  <c r="CC11" s="1"/>
  <c r="AK22" i="192"/>
  <c r="AO22" s="1"/>
  <c r="AK22" i="191"/>
  <c r="AO22" s="1"/>
  <c r="AK22" i="193"/>
  <c r="AO22" s="1"/>
  <c r="BY27" i="192"/>
  <c r="CC27" s="1"/>
  <c r="BY27" i="191"/>
  <c r="CC27" s="1"/>
  <c r="BY27" i="193"/>
  <c r="CG43" i="192"/>
  <c r="CK43" s="1"/>
  <c r="CG43" i="191"/>
  <c r="CG43" i="193"/>
  <c r="CK43" s="1"/>
  <c r="M9" i="192"/>
  <c r="M9" i="191"/>
  <c r="Q9" s="1"/>
  <c r="M9" i="193"/>
  <c r="Q9" s="1"/>
  <c r="BY32" i="192"/>
  <c r="CC32" s="1"/>
  <c r="BY32" i="191"/>
  <c r="CC32" s="1"/>
  <c r="BY32" i="193"/>
  <c r="CC32" s="1"/>
  <c r="AC11" i="192"/>
  <c r="AG11" s="1"/>
  <c r="AC11" i="191"/>
  <c r="AC11" i="193"/>
  <c r="BA10" i="192"/>
  <c r="BA10" i="191"/>
  <c r="BE10" s="1"/>
  <c r="BA10" i="193"/>
  <c r="BE10" s="1"/>
  <c r="U29" i="192"/>
  <c r="Y29" s="1"/>
  <c r="U29" i="191"/>
  <c r="Y29" s="1"/>
  <c r="U29" i="193"/>
  <c r="BA40" i="191"/>
  <c r="BE40" s="1"/>
  <c r="BA40" i="193"/>
  <c r="BA40" i="192"/>
  <c r="BE40" s="1"/>
  <c r="M31"/>
  <c r="Q31" s="1"/>
  <c r="M31" i="191"/>
  <c r="Q31" s="1"/>
  <c r="M31" i="193"/>
  <c r="Q31" s="1"/>
  <c r="AC22"/>
  <c r="AG22" s="1"/>
  <c r="AC22" i="192"/>
  <c r="AC22" i="191"/>
  <c r="AG22" s="1"/>
  <c r="AK39" i="192"/>
  <c r="AK39" i="193"/>
  <c r="AO39" s="1"/>
  <c r="AK39" i="191"/>
  <c r="AO39" s="1"/>
  <c r="E33" i="192"/>
  <c r="I33" s="1"/>
  <c r="E33" i="191"/>
  <c r="I33" s="1"/>
  <c r="E33" i="193"/>
  <c r="I33" s="1"/>
  <c r="BQ44" i="192"/>
  <c r="BU44" s="1"/>
  <c r="BQ44" i="191"/>
  <c r="BU44" s="1"/>
  <c r="BQ44" i="193"/>
  <c r="BU44" s="1"/>
  <c r="CG14" i="192"/>
  <c r="CK14" s="1"/>
  <c r="CG14" i="191"/>
  <c r="CK14" s="1"/>
  <c r="CG14" i="193"/>
  <c r="M20" i="191"/>
  <c r="Q20" s="1"/>
  <c r="M20" i="193"/>
  <c r="Q20" s="1"/>
  <c r="M20" i="192"/>
  <c r="Q20" s="1"/>
  <c r="BY29"/>
  <c r="CC29" s="1"/>
  <c r="BY29" i="191"/>
  <c r="CC29" s="1"/>
  <c r="BY29" i="193"/>
  <c r="E46" i="192"/>
  <c r="I46" s="1"/>
  <c r="E46" i="193"/>
  <c r="I46" s="1"/>
  <c r="E46" i="191"/>
  <c r="I46" s="1"/>
  <c r="U23" i="192"/>
  <c r="U23" i="191"/>
  <c r="Y23" s="1"/>
  <c r="U23" i="193"/>
  <c r="Y23" s="1"/>
  <c r="BQ43" i="192"/>
  <c r="BU43" s="1"/>
  <c r="BQ43" i="191"/>
  <c r="BU43" s="1"/>
  <c r="BQ43" i="193"/>
  <c r="BU43" s="1"/>
  <c r="AS28" i="191"/>
  <c r="AW28" s="1"/>
  <c r="AS28" i="192"/>
  <c r="AW28" s="1"/>
  <c r="AS28" i="193"/>
  <c r="E22" i="191"/>
  <c r="I22" s="1"/>
  <c r="E22" i="193"/>
  <c r="I22" s="1"/>
  <c r="E22" i="192"/>
  <c r="BQ38"/>
  <c r="BQ38" i="193"/>
  <c r="BU38" s="1"/>
  <c r="BQ38" i="191"/>
  <c r="BU38" s="1"/>
  <c r="E37" i="192"/>
  <c r="I37" s="1"/>
  <c r="E37" i="191"/>
  <c r="E37" i="193"/>
  <c r="I37" s="1"/>
  <c r="E35" i="192"/>
  <c r="I35" s="1"/>
  <c r="E35" i="191"/>
  <c r="E35" i="193"/>
  <c r="I35" s="1"/>
  <c r="AS30" i="192"/>
  <c r="AW30" s="1"/>
  <c r="AS30" i="191"/>
  <c r="AW30" s="1"/>
  <c r="AS30" i="193"/>
  <c r="CG33" i="192"/>
  <c r="CK33" s="1"/>
  <c r="CG33" i="191"/>
  <c r="CK33" s="1"/>
  <c r="CG33" i="193"/>
  <c r="CG39" i="192"/>
  <c r="CG39" i="191"/>
  <c r="CK39" s="1"/>
  <c r="CG39" i="193"/>
  <c r="CK39" s="1"/>
  <c r="BQ13" i="192"/>
  <c r="BQ13" i="191"/>
  <c r="BQ13" i="193"/>
  <c r="BU13" s="1"/>
  <c r="BI14" i="192"/>
  <c r="BM14" s="1"/>
  <c r="BI14" i="191"/>
  <c r="BM14" s="1"/>
  <c r="BI14" i="193"/>
  <c r="AC44" i="192"/>
  <c r="AG44" s="1"/>
  <c r="AC44" i="191"/>
  <c r="AG44" s="1"/>
  <c r="AC44" i="193"/>
  <c r="AG44" s="1"/>
  <c r="E47" i="191"/>
  <c r="I47" s="1"/>
  <c r="E47" i="193"/>
  <c r="I47" s="1"/>
  <c r="E47" i="192"/>
  <c r="I47" s="1"/>
  <c r="BI47"/>
  <c r="BM47" s="1"/>
  <c r="BI47" i="191"/>
  <c r="BI47" i="193"/>
  <c r="BM47" s="1"/>
  <c r="AK47" i="192"/>
  <c r="AO47" s="1"/>
  <c r="AK47" i="191"/>
  <c r="AO47" s="1"/>
  <c r="AK47" i="193"/>
  <c r="AO47" s="1"/>
  <c r="CU56" i="19"/>
  <c r="BX48" i="192"/>
  <c r="BX50" s="1"/>
  <c r="BX48" i="191"/>
  <c r="BX50" s="1"/>
  <c r="BX48" i="193"/>
  <c r="K22" i="157"/>
  <c r="BX48" i="62"/>
  <c r="BX48" i="38"/>
  <c r="BG56" i="19"/>
  <c r="AR48" i="191"/>
  <c r="AR50" s="1"/>
  <c r="AR48" i="193"/>
  <c r="AR50" s="1"/>
  <c r="AR48" i="192"/>
  <c r="AR50" s="1"/>
  <c r="G22" i="157"/>
  <c r="AR48" i="62"/>
  <c r="AR48" i="38"/>
  <c r="S56" i="19"/>
  <c r="L48" i="191"/>
  <c r="L48" i="192"/>
  <c r="L48" i="193"/>
  <c r="L50" s="1"/>
  <c r="C22" i="157"/>
  <c r="L48" i="62"/>
  <c r="L48" i="38"/>
  <c r="D44" i="192"/>
  <c r="H44" s="1"/>
  <c r="D44" i="193"/>
  <c r="H44" s="1"/>
  <c r="D44" i="191"/>
  <c r="CF39" i="192"/>
  <c r="CJ39" s="1"/>
  <c r="L25" i="241" s="1"/>
  <c r="CF39" i="191"/>
  <c r="CJ39" s="1"/>
  <c r="L25" i="242" s="1"/>
  <c r="CF39" i="193"/>
  <c r="CJ39" s="1"/>
  <c r="L25" i="243" s="1"/>
  <c r="AZ28" i="192"/>
  <c r="BD28" s="1"/>
  <c r="H14" i="241" s="1"/>
  <c r="AZ28" i="191"/>
  <c r="BD28" s="1"/>
  <c r="H14" i="242" s="1"/>
  <c r="AZ28" i="193"/>
  <c r="BD28" s="1"/>
  <c r="H14" i="243" s="1"/>
  <c r="BH8" i="192"/>
  <c r="BL8" s="1"/>
  <c r="BH8" i="191"/>
  <c r="BL8" s="1"/>
  <c r="BH8" i="193"/>
  <c r="BL8" s="1"/>
  <c r="AJ44" i="192"/>
  <c r="AN44" s="1"/>
  <c r="F30" i="241" s="1"/>
  <c r="AJ44" i="191"/>
  <c r="AN44" s="1"/>
  <c r="F30" i="242" s="1"/>
  <c r="AJ44" i="193"/>
  <c r="AN44" s="1"/>
  <c r="F30" i="243" s="1"/>
  <c r="T23" i="192"/>
  <c r="X23" s="1"/>
  <c r="D9" i="241" s="1"/>
  <c r="T23" i="191"/>
  <c r="T23" i="193"/>
  <c r="X23" s="1"/>
  <c r="D9" i="243" s="1"/>
  <c r="BH17" i="192"/>
  <c r="BL17" s="1"/>
  <c r="BH17" i="193"/>
  <c r="BL17" s="1"/>
  <c r="BH17" i="191"/>
  <c r="BL17" s="1"/>
  <c r="BX36"/>
  <c r="CB36" s="1"/>
  <c r="K22" i="242" s="1"/>
  <c r="BX36" i="192"/>
  <c r="BX36" i="193"/>
  <c r="CB36" s="1"/>
  <c r="K22" i="243" s="1"/>
  <c r="BH11" i="192"/>
  <c r="BL11" s="1"/>
  <c r="BH11" i="191"/>
  <c r="BL11" s="1"/>
  <c r="BH11" i="193"/>
  <c r="BL11" s="1"/>
  <c r="BP40" i="192"/>
  <c r="BT40" s="1"/>
  <c r="J26" i="241" s="1"/>
  <c r="BP40" i="191"/>
  <c r="BT40" s="1"/>
  <c r="J26" i="242" s="1"/>
  <c r="BP40" i="193"/>
  <c r="CF14" i="192"/>
  <c r="CJ14" s="1"/>
  <c r="CF14" i="191"/>
  <c r="CF14" i="193"/>
  <c r="CJ14" s="1"/>
  <c r="BX35" i="192"/>
  <c r="CB35" s="1"/>
  <c r="K21" i="241" s="1"/>
  <c r="BX35" i="191"/>
  <c r="CB35" s="1"/>
  <c r="K21" i="242" s="1"/>
  <c r="BX35" i="193"/>
  <c r="AZ44" i="192"/>
  <c r="BD44" s="1"/>
  <c r="H30" i="241" s="1"/>
  <c r="AZ44" i="191"/>
  <c r="BD44" s="1"/>
  <c r="H30" i="242" s="1"/>
  <c r="AZ44" i="193"/>
  <c r="BD44" s="1"/>
  <c r="H30" i="243" s="1"/>
  <c r="BH40" i="192"/>
  <c r="BH40" i="191"/>
  <c r="BL40" s="1"/>
  <c r="I26" i="242" s="1"/>
  <c r="BH40" i="193"/>
  <c r="BL40" s="1"/>
  <c r="I26" i="243" s="1"/>
  <c r="AZ42" i="192"/>
  <c r="BD42" s="1"/>
  <c r="H28" i="241" s="1"/>
  <c r="AZ42" i="191"/>
  <c r="AZ42" i="193"/>
  <c r="BD42" s="1"/>
  <c r="H28" i="243" s="1"/>
  <c r="AR27" i="192"/>
  <c r="AV27" s="1"/>
  <c r="G13" i="241" s="1"/>
  <c r="AR27" i="191"/>
  <c r="AV27" s="1"/>
  <c r="G13" i="242" s="1"/>
  <c r="AR27" i="193"/>
  <c r="AV27" s="1"/>
  <c r="G13" i="243" s="1"/>
  <c r="AZ9" i="193"/>
  <c r="BD9" s="1"/>
  <c r="AZ9" i="192"/>
  <c r="BD9" s="1"/>
  <c r="AZ9" i="191"/>
  <c r="D19"/>
  <c r="D19" i="192"/>
  <c r="H19" s="1"/>
  <c r="D19" i="193"/>
  <c r="H19" s="1"/>
  <c r="B21" i="157"/>
  <c r="D45" i="192"/>
  <c r="H45" s="1"/>
  <c r="D45" i="191"/>
  <c r="H45" s="1"/>
  <c r="D45" i="193"/>
  <c r="H45" s="1"/>
  <c r="T16" i="192"/>
  <c r="T16" i="191"/>
  <c r="X16" s="1"/>
  <c r="T16" i="193"/>
  <c r="X16" s="1"/>
  <c r="D11" i="192"/>
  <c r="H11" s="1"/>
  <c r="D11" i="191"/>
  <c r="H11" s="1"/>
  <c r="D11" i="193"/>
  <c r="H11" s="1"/>
  <c r="AR28" i="191"/>
  <c r="AV28" s="1"/>
  <c r="G14" i="242" s="1"/>
  <c r="AR28" i="192"/>
  <c r="AV28" s="1"/>
  <c r="G14" i="241" s="1"/>
  <c r="AR28" i="193"/>
  <c r="AV28" s="1"/>
  <c r="G14" i="243" s="1"/>
  <c r="L14" i="192"/>
  <c r="P14" s="1"/>
  <c r="L14" i="191"/>
  <c r="P14" s="1"/>
  <c r="L14" i="193"/>
  <c r="P14" s="1"/>
  <c r="L17" i="192"/>
  <c r="P17" s="1"/>
  <c r="L17" i="191"/>
  <c r="P17" s="1"/>
  <c r="L17" i="193"/>
  <c r="P17" s="1"/>
  <c r="AR35" i="192"/>
  <c r="AV35" s="1"/>
  <c r="G21" i="241" s="1"/>
  <c r="AR35" i="191"/>
  <c r="AV35" s="1"/>
  <c r="G21" i="242" s="1"/>
  <c r="AR35" i="193"/>
  <c r="L44" i="192"/>
  <c r="P44" s="1"/>
  <c r="C30" i="241" s="1"/>
  <c r="L44" i="191"/>
  <c r="P44" s="1"/>
  <c r="C30" i="242" s="1"/>
  <c r="L44" i="193"/>
  <c r="P44" s="1"/>
  <c r="C30" i="243" s="1"/>
  <c r="BP27" i="192"/>
  <c r="BT27" s="1"/>
  <c r="J13" i="241" s="1"/>
  <c r="BP27" i="191"/>
  <c r="BT27" s="1"/>
  <c r="J13" i="242" s="1"/>
  <c r="BP27" i="193"/>
  <c r="BT27" s="1"/>
  <c r="J13" i="243" s="1"/>
  <c r="T13" i="192"/>
  <c r="T13" i="191"/>
  <c r="X13" s="1"/>
  <c r="T13" i="193"/>
  <c r="X13" s="1"/>
  <c r="D9" i="192"/>
  <c r="D9" i="191"/>
  <c r="H9" s="1"/>
  <c r="D9" i="193"/>
  <c r="H9" s="1"/>
  <c r="AZ41" i="192"/>
  <c r="BD41" s="1"/>
  <c r="H27" i="241" s="1"/>
  <c r="AZ41" i="191"/>
  <c r="BD41" s="1"/>
  <c r="H27" i="242" s="1"/>
  <c r="AZ41" i="193"/>
  <c r="BD41" s="1"/>
  <c r="H27" i="243" s="1"/>
  <c r="CF33" i="193"/>
  <c r="CJ33" s="1"/>
  <c r="L19" i="243" s="1"/>
  <c r="CF33" i="192"/>
  <c r="CJ33" s="1"/>
  <c r="L19" i="241" s="1"/>
  <c r="CF33" i="191"/>
  <c r="CJ33" s="1"/>
  <c r="L19" i="242" s="1"/>
  <c r="BX8" i="191"/>
  <c r="CB8" s="1"/>
  <c r="BX8" i="193"/>
  <c r="CB8" s="1"/>
  <c r="BX8" i="192"/>
  <c r="CB8" s="1"/>
  <c r="T10"/>
  <c r="X10" s="1"/>
  <c r="T10" i="191"/>
  <c r="T10" i="193"/>
  <c r="X10" s="1"/>
  <c r="T25" i="191"/>
  <c r="X25" s="1"/>
  <c r="D11" i="242" s="1"/>
  <c r="T25" i="193"/>
  <c r="X25" s="1"/>
  <c r="D11" i="243" s="1"/>
  <c r="T25" i="192"/>
  <c r="X25" s="1"/>
  <c r="D11" i="241" s="1"/>
  <c r="T20" i="192"/>
  <c r="X20" s="1"/>
  <c r="D6" i="241" s="1"/>
  <c r="T20" i="191"/>
  <c r="T20" i="193"/>
  <c r="X20" s="1"/>
  <c r="D6" i="243" s="1"/>
  <c r="AR16" i="193"/>
  <c r="AV16" s="1"/>
  <c r="AR16" i="192"/>
  <c r="AR16" i="191"/>
  <c r="AV16" s="1"/>
  <c r="BH31" i="193"/>
  <c r="BL31" s="1"/>
  <c r="I17" i="243" s="1"/>
  <c r="BH31" i="192"/>
  <c r="BL31" s="1"/>
  <c r="I17" i="241" s="1"/>
  <c r="BH31" i="191"/>
  <c r="BL31" s="1"/>
  <c r="I17" i="242" s="1"/>
  <c r="BH27" i="192"/>
  <c r="BL27" s="1"/>
  <c r="I13" i="241" s="1"/>
  <c r="BH27" i="193"/>
  <c r="BL27" s="1"/>
  <c r="I13" i="243" s="1"/>
  <c r="BH27" i="191"/>
  <c r="BL27" s="1"/>
  <c r="I13" i="242" s="1"/>
  <c r="BH46" i="192"/>
  <c r="BL46" s="1"/>
  <c r="I32" i="241" s="1"/>
  <c r="BH46" i="191"/>
  <c r="BL46" s="1"/>
  <c r="I32" i="242" s="1"/>
  <c r="BH46" i="193"/>
  <c r="BL46" s="1"/>
  <c r="I32" i="243" s="1"/>
  <c r="BX27" i="192"/>
  <c r="CB27" s="1"/>
  <c r="K13" i="241" s="1"/>
  <c r="BX27" i="191"/>
  <c r="CB27" s="1"/>
  <c r="K13" i="242" s="1"/>
  <c r="BX27" i="193"/>
  <c r="CB27" s="1"/>
  <c r="K13" i="243" s="1"/>
  <c r="AB16" i="192"/>
  <c r="AF16" s="1"/>
  <c r="AB16" i="191"/>
  <c r="AF16" s="1"/>
  <c r="AB16" i="193"/>
  <c r="CF34" i="192"/>
  <c r="CJ34" s="1"/>
  <c r="L20" i="241" s="1"/>
  <c r="CF34" i="191"/>
  <c r="CF34" i="193"/>
  <c r="CJ34" s="1"/>
  <c r="L20" i="243" s="1"/>
  <c r="CF26" i="192"/>
  <c r="CJ26" s="1"/>
  <c r="L12" i="241" s="1"/>
  <c r="CF26" i="191"/>
  <c r="CJ26" s="1"/>
  <c r="L12" i="242" s="1"/>
  <c r="CF26" i="193"/>
  <c r="CJ26" s="1"/>
  <c r="L12" i="243" s="1"/>
  <c r="AZ27" i="192"/>
  <c r="BD27" s="1"/>
  <c r="H13" i="241" s="1"/>
  <c r="AZ27" i="191"/>
  <c r="AZ27" i="193"/>
  <c r="BD27" s="1"/>
  <c r="H13" i="243" s="1"/>
  <c r="AR31" i="192"/>
  <c r="AV31" s="1"/>
  <c r="G17" i="241" s="1"/>
  <c r="AR31" i="191"/>
  <c r="AV31" s="1"/>
  <c r="G17" i="242" s="1"/>
  <c r="AR31" i="193"/>
  <c r="AV31" s="1"/>
  <c r="G17" i="243" s="1"/>
  <c r="D43" i="193"/>
  <c r="D43" i="192"/>
  <c r="H43" s="1"/>
  <c r="D43" i="191"/>
  <c r="H43" s="1"/>
  <c r="AZ12" i="193"/>
  <c r="BD12" s="1"/>
  <c r="AZ12" i="192"/>
  <c r="BD12" s="1"/>
  <c r="AZ12" i="191"/>
  <c r="BD12" s="1"/>
  <c r="AB33" i="192"/>
  <c r="AF33" s="1"/>
  <c r="E19" i="241" s="1"/>
  <c r="AB33" i="191"/>
  <c r="AF33" s="1"/>
  <c r="E19" i="242" s="1"/>
  <c r="AB33" i="193"/>
  <c r="AF33" s="1"/>
  <c r="E19" i="243" s="1"/>
  <c r="D38" i="192"/>
  <c r="D38" i="191"/>
  <c r="H38" s="1"/>
  <c r="D38" i="193"/>
  <c r="H38" s="1"/>
  <c r="BP11" i="192"/>
  <c r="BT11" s="1"/>
  <c r="BP11" i="191"/>
  <c r="BT11" s="1"/>
  <c r="BP11" i="193"/>
  <c r="BT11" s="1"/>
  <c r="AR26" i="192"/>
  <c r="AV26" s="1"/>
  <c r="G12" i="241" s="1"/>
  <c r="AR26" i="191"/>
  <c r="AV26" s="1"/>
  <c r="G12" i="242" s="1"/>
  <c r="AR26" i="193"/>
  <c r="AV26" s="1"/>
  <c r="G12" i="243" s="1"/>
  <c r="BX23" i="192"/>
  <c r="BX23" i="191"/>
  <c r="CB23" s="1"/>
  <c r="K9" i="242" s="1"/>
  <c r="BX23" i="193"/>
  <c r="CB23" s="1"/>
  <c r="K9" i="243" s="1"/>
  <c r="BH43" i="192"/>
  <c r="BL43" s="1"/>
  <c r="I29" i="241" s="1"/>
  <c r="BH43" i="191"/>
  <c r="BL43" s="1"/>
  <c r="I29" i="242" s="1"/>
  <c r="BH43" i="193"/>
  <c r="BL43" s="1"/>
  <c r="I29" i="243" s="1"/>
  <c r="AR34" i="192"/>
  <c r="AV34" s="1"/>
  <c r="G20" i="241" s="1"/>
  <c r="AR34" i="191"/>
  <c r="AV34" s="1"/>
  <c r="G20" i="242" s="1"/>
  <c r="AR34" i="193"/>
  <c r="BH30" i="192"/>
  <c r="BH30" i="191"/>
  <c r="BH30" i="193"/>
  <c r="BL30" s="1"/>
  <c r="I16" i="243" s="1"/>
  <c r="AB17" i="191"/>
  <c r="AF17" s="1"/>
  <c r="AB17" i="192"/>
  <c r="AF17" s="1"/>
  <c r="AB17" i="193"/>
  <c r="AR43" i="192"/>
  <c r="AV43" s="1"/>
  <c r="G29" i="241" s="1"/>
  <c r="AR43" i="191"/>
  <c r="AV43" s="1"/>
  <c r="G29" i="242" s="1"/>
  <c r="AR43" i="193"/>
  <c r="AV43" s="1"/>
  <c r="G29" i="243" s="1"/>
  <c r="BP36" i="192"/>
  <c r="BT36" s="1"/>
  <c r="J22" i="241" s="1"/>
  <c r="BP36" i="191"/>
  <c r="BT36" s="1"/>
  <c r="J22" i="242" s="1"/>
  <c r="BP36" i="193"/>
  <c r="BT36" s="1"/>
  <c r="J22" i="243" s="1"/>
  <c r="L20" i="192"/>
  <c r="L20" i="193"/>
  <c r="P20" s="1"/>
  <c r="C6" i="243" s="1"/>
  <c r="L20" i="191"/>
  <c r="P20" s="1"/>
  <c r="C6" i="242" s="1"/>
  <c r="AR11" i="191"/>
  <c r="AV11" s="1"/>
  <c r="AR11" i="192"/>
  <c r="AV11" s="1"/>
  <c r="AR11" i="193"/>
  <c r="AV11" s="1"/>
  <c r="BP38" i="192"/>
  <c r="BT38" s="1"/>
  <c r="J24" i="241" s="1"/>
  <c r="BP38" i="191"/>
  <c r="BT38" s="1"/>
  <c r="J24" i="242" s="1"/>
  <c r="BP38" i="193"/>
  <c r="BT38" s="1"/>
  <c r="J24" i="243" s="1"/>
  <c r="BX44" i="192"/>
  <c r="CB44" s="1"/>
  <c r="K30" i="241" s="1"/>
  <c r="BX44" i="191"/>
  <c r="CB44" s="1"/>
  <c r="K30" i="242" s="1"/>
  <c r="BX44" i="193"/>
  <c r="AB11" i="192"/>
  <c r="AF11" s="1"/>
  <c r="AB11" i="191"/>
  <c r="AF11" s="1"/>
  <c r="AB11" i="193"/>
  <c r="AF11" s="1"/>
  <c r="L34" i="192"/>
  <c r="P34" s="1"/>
  <c r="C20" i="241" s="1"/>
  <c r="L34" i="191"/>
  <c r="L34" i="193"/>
  <c r="P34" s="1"/>
  <c r="C20" i="243" s="1"/>
  <c r="BX10" i="192"/>
  <c r="CB10" s="1"/>
  <c r="BX10" i="191"/>
  <c r="BX10" i="193"/>
  <c r="CB10" s="1"/>
  <c r="T38" i="192"/>
  <c r="X38" s="1"/>
  <c r="D24" i="241" s="1"/>
  <c r="T38" i="191"/>
  <c r="X38" s="1"/>
  <c r="D24" i="242" s="1"/>
  <c r="T38" i="193"/>
  <c r="X38" s="1"/>
  <c r="D24" i="243" s="1"/>
  <c r="BH12" i="192"/>
  <c r="BL12" s="1"/>
  <c r="BH12" i="191"/>
  <c r="BL12" s="1"/>
  <c r="BH12" i="193"/>
  <c r="BL12" s="1"/>
  <c r="AZ30" i="191"/>
  <c r="AZ30" i="192"/>
  <c r="BD30" s="1"/>
  <c r="H16" i="241" s="1"/>
  <c r="AZ30" i="193"/>
  <c r="BD30" s="1"/>
  <c r="H16" i="243" s="1"/>
  <c r="AZ45" i="191"/>
  <c r="BD45" s="1"/>
  <c r="H31" i="242" s="1"/>
  <c r="AZ45" i="193"/>
  <c r="BD45" s="1"/>
  <c r="H31" i="243" s="1"/>
  <c r="AZ45" i="192"/>
  <c r="AZ33"/>
  <c r="BD33" s="1"/>
  <c r="H19" i="241" s="1"/>
  <c r="AZ33" i="191"/>
  <c r="BD33" s="1"/>
  <c r="H19" i="242" s="1"/>
  <c r="AZ33" i="193"/>
  <c r="AJ42" i="192"/>
  <c r="AN42" s="1"/>
  <c r="F28" i="241" s="1"/>
  <c r="AJ42" i="191"/>
  <c r="AN42" s="1"/>
  <c r="F28" i="242" s="1"/>
  <c r="AJ42" i="193"/>
  <c r="AN42" s="1"/>
  <c r="F28" i="243" s="1"/>
  <c r="BX32" i="192"/>
  <c r="CB32" s="1"/>
  <c r="K18" i="241" s="1"/>
  <c r="BX32" i="191"/>
  <c r="BX32" i="193"/>
  <c r="CB32" s="1"/>
  <c r="K18" i="243" s="1"/>
  <c r="D20" i="192"/>
  <c r="H20" s="1"/>
  <c r="D20" i="193"/>
  <c r="H20" s="1"/>
  <c r="D20" i="191"/>
  <c r="AB10" i="193"/>
  <c r="AB10" i="192"/>
  <c r="AF10" s="1"/>
  <c r="AB10" i="191"/>
  <c r="AF10" s="1"/>
  <c r="BH33" i="192"/>
  <c r="BH33" i="191"/>
  <c r="BL33" s="1"/>
  <c r="I19" i="242" s="1"/>
  <c r="BH33" i="193"/>
  <c r="BL33" s="1"/>
  <c r="I19" i="243" s="1"/>
  <c r="AR37" i="191"/>
  <c r="AR37" i="192"/>
  <c r="AV37" s="1"/>
  <c r="G23" i="241" s="1"/>
  <c r="AR37" i="193"/>
  <c r="AV37" s="1"/>
  <c r="G23" i="243" s="1"/>
  <c r="L13" i="192"/>
  <c r="P13" s="1"/>
  <c r="L13" i="191"/>
  <c r="L13" i="193"/>
  <c r="P13" s="1"/>
  <c r="AJ16" i="192"/>
  <c r="AN16" s="1"/>
  <c r="AJ16" i="191"/>
  <c r="AN16" s="1"/>
  <c r="AJ16" i="193"/>
  <c r="AN16" s="1"/>
  <c r="AR9" i="192"/>
  <c r="AV9" s="1"/>
  <c r="AR9" i="191"/>
  <c r="AV9" s="1"/>
  <c r="AR9" i="193"/>
  <c r="BH20" i="192"/>
  <c r="BH20" i="191"/>
  <c r="BL20" s="1"/>
  <c r="I6" i="242" s="1"/>
  <c r="BH20" i="193"/>
  <c r="BL20" s="1"/>
  <c r="I6" i="243" s="1"/>
  <c r="AZ35" i="192"/>
  <c r="BD35" s="1"/>
  <c r="H21" i="241" s="1"/>
  <c r="AZ35" i="191"/>
  <c r="BD35" s="1"/>
  <c r="H21" i="242" s="1"/>
  <c r="AZ35" i="193"/>
  <c r="BD35" s="1"/>
  <c r="H21" i="243" s="1"/>
  <c r="BH15" i="192"/>
  <c r="BL15" s="1"/>
  <c r="BH15" i="191"/>
  <c r="BL15" s="1"/>
  <c r="BH15" i="193"/>
  <c r="AR25" i="192"/>
  <c r="AV25" s="1"/>
  <c r="G11" i="241" s="1"/>
  <c r="AR25" i="191"/>
  <c r="AV25" s="1"/>
  <c r="G11" i="242" s="1"/>
  <c r="AR25" i="193"/>
  <c r="AV25" s="1"/>
  <c r="G11" i="243" s="1"/>
  <c r="AJ37" i="192"/>
  <c r="AN37" s="1"/>
  <c r="F23" i="241" s="1"/>
  <c r="AJ37" i="191"/>
  <c r="AN37" s="1"/>
  <c r="F23" i="242" s="1"/>
  <c r="AJ37" i="193"/>
  <c r="AN37" s="1"/>
  <c r="F23" i="243" s="1"/>
  <c r="AR21" i="192"/>
  <c r="AR21" i="191"/>
  <c r="AV21" s="1"/>
  <c r="G7" i="242" s="1"/>
  <c r="AR21" i="193"/>
  <c r="AV21" s="1"/>
  <c r="G7" i="243" s="1"/>
  <c r="L27" i="192"/>
  <c r="P27" s="1"/>
  <c r="C13" i="241" s="1"/>
  <c r="L27" i="191"/>
  <c r="P27" s="1"/>
  <c r="C13" i="242" s="1"/>
  <c r="L27" i="193"/>
  <c r="P27" s="1"/>
  <c r="C13" i="243" s="1"/>
  <c r="L8" i="192"/>
  <c r="P8" s="1"/>
  <c r="L8" i="191"/>
  <c r="P8" s="1"/>
  <c r="L8" i="193"/>
  <c r="AJ12" i="192"/>
  <c r="AJ12" i="191"/>
  <c r="AN12" s="1"/>
  <c r="AJ12" i="193"/>
  <c r="AN12" s="1"/>
  <c r="BP37" i="192"/>
  <c r="BP37" i="191"/>
  <c r="BT37" s="1"/>
  <c r="J23" i="242" s="1"/>
  <c r="BP37" i="193"/>
  <c r="BT37" s="1"/>
  <c r="J23" i="243" s="1"/>
  <c r="L41" i="192"/>
  <c r="P41" s="1"/>
  <c r="C27" i="241" s="1"/>
  <c r="L41" i="193"/>
  <c r="P41" s="1"/>
  <c r="C27" i="243" s="1"/>
  <c r="L41" i="191"/>
  <c r="P41" s="1"/>
  <c r="C27" i="242" s="1"/>
  <c r="D46" i="192"/>
  <c r="D46" i="191"/>
  <c r="H46" s="1"/>
  <c r="D46" i="193"/>
  <c r="H46" s="1"/>
  <c r="AB13" i="192"/>
  <c r="AB13" i="191"/>
  <c r="AF13" s="1"/>
  <c r="AB13" i="193"/>
  <c r="AF13" s="1"/>
  <c r="AZ15" i="192"/>
  <c r="BD15" s="1"/>
  <c r="AZ15" i="191"/>
  <c r="BD15" s="1"/>
  <c r="AZ15" i="193"/>
  <c r="BD15" s="1"/>
  <c r="BP16" i="192"/>
  <c r="BT16" s="1"/>
  <c r="BP16" i="191"/>
  <c r="BT16" s="1"/>
  <c r="BP16" i="193"/>
  <c r="BH9" i="192"/>
  <c r="BL9" s="1"/>
  <c r="BH9" i="193"/>
  <c r="BL9" s="1"/>
  <c r="BH9" i="191"/>
  <c r="BL9" s="1"/>
  <c r="D32"/>
  <c r="H32" s="1"/>
  <c r="D32" i="192"/>
  <c r="H32" s="1"/>
  <c r="D32" i="193"/>
  <c r="H32" s="1"/>
  <c r="AZ11" i="192"/>
  <c r="BD11" s="1"/>
  <c r="AZ11" i="191"/>
  <c r="AZ11" i="193"/>
  <c r="BD11" s="1"/>
  <c r="BH23" i="191"/>
  <c r="BL23" s="1"/>
  <c r="I9" i="242" s="1"/>
  <c r="BH23" i="193"/>
  <c r="BL23" s="1"/>
  <c r="I9" i="243" s="1"/>
  <c r="BH23" i="192"/>
  <c r="L32"/>
  <c r="P32" s="1"/>
  <c r="C18" i="241" s="1"/>
  <c r="L32" i="191"/>
  <c r="L32" i="193"/>
  <c r="D10" i="192"/>
  <c r="D10" i="191"/>
  <c r="H10" s="1"/>
  <c r="D10" i="193"/>
  <c r="H10" s="1"/>
  <c r="AR41" i="191"/>
  <c r="AR41" i="193"/>
  <c r="AV41" s="1"/>
  <c r="G27" i="243" s="1"/>
  <c r="AR41" i="192"/>
  <c r="AV41" s="1"/>
  <c r="G27" i="241" s="1"/>
  <c r="D25" i="192"/>
  <c r="H25" s="1"/>
  <c r="D25" i="191"/>
  <c r="H25" s="1"/>
  <c r="D25" i="193"/>
  <c r="H25" s="1"/>
  <c r="BP15" i="191"/>
  <c r="BP15" i="192"/>
  <c r="BT15" s="1"/>
  <c r="BP15" i="193"/>
  <c r="BT15" s="1"/>
  <c r="BH25" i="192"/>
  <c r="BL25" s="1"/>
  <c r="I11" i="241" s="1"/>
  <c r="BH25" i="191"/>
  <c r="BH25" i="193"/>
  <c r="AZ47" i="192"/>
  <c r="BD47" s="1"/>
  <c r="H33" i="241" s="1"/>
  <c r="AZ47" i="191"/>
  <c r="BD47" s="1"/>
  <c r="H33" i="242" s="1"/>
  <c r="AZ47" i="193"/>
  <c r="AJ47" i="192"/>
  <c r="AN47" s="1"/>
  <c r="F33" i="241" s="1"/>
  <c r="AJ47" i="191"/>
  <c r="AJ47" i="193"/>
  <c r="AN47" s="1"/>
  <c r="F33" i="243" s="1"/>
  <c r="BP47" i="191"/>
  <c r="BP47" i="193"/>
  <c r="BT47" s="1"/>
  <c r="J33" i="243" s="1"/>
  <c r="BP47" i="192"/>
  <c r="BT47" s="1"/>
  <c r="J33" i="241" s="1"/>
  <c r="C36" i="121"/>
  <c r="B12" i="205"/>
  <c r="C55" i="121"/>
  <c r="B31" i="205"/>
  <c r="J48"/>
  <c r="J43"/>
  <c r="J38"/>
  <c r="C49" i="121"/>
  <c r="B25" i="205"/>
  <c r="C47" i="121"/>
  <c r="B23" i="205"/>
  <c r="C41" i="121"/>
  <c r="B17" i="205"/>
  <c r="C42"/>
  <c r="C37"/>
  <c r="C47"/>
  <c r="C52" i="121"/>
  <c r="B28" i="205"/>
  <c r="F42"/>
  <c r="F37"/>
  <c r="F47"/>
  <c r="B48"/>
  <c r="B43"/>
  <c r="B38"/>
  <c r="C53" i="121"/>
  <c r="B29" i="205"/>
  <c r="C32" i="121"/>
  <c r="B8" i="205"/>
  <c r="J47"/>
  <c r="J37"/>
  <c r="J42"/>
  <c r="K42"/>
  <c r="K47"/>
  <c r="K37"/>
  <c r="G48"/>
  <c r="G38"/>
  <c r="G43"/>
  <c r="C51" i="121"/>
  <c r="B27" i="205"/>
  <c r="C31" i="121"/>
  <c r="B7" i="205"/>
  <c r="E48"/>
  <c r="E43"/>
  <c r="E38"/>
  <c r="L46"/>
  <c r="L41"/>
  <c r="L36"/>
  <c r="H46"/>
  <c r="H41"/>
  <c r="H36"/>
  <c r="D46"/>
  <c r="D41"/>
  <c r="D36"/>
  <c r="P15" i="193"/>
  <c r="BL34" i="192"/>
  <c r="I20" i="241" s="1"/>
  <c r="CB31" i="191"/>
  <c r="K17" i="242" s="1"/>
  <c r="AV15" i="191"/>
  <c r="AF46"/>
  <c r="E32" i="242" s="1"/>
  <c r="AV32" i="191"/>
  <c r="G18" i="242" s="1"/>
  <c r="X40" i="192"/>
  <c r="D26" i="241" s="1"/>
  <c r="X13" i="192"/>
  <c r="BL13" i="191"/>
  <c r="P36" i="193"/>
  <c r="C22" i="243" s="1"/>
  <c r="AF30" i="193"/>
  <c r="E16" i="243" s="1"/>
  <c r="H13" i="192"/>
  <c r="BL39" i="193"/>
  <c r="I25" i="243" s="1"/>
  <c r="AV23" i="193"/>
  <c r="G9" i="243" s="1"/>
  <c r="BD38" i="191"/>
  <c r="H24" i="242" s="1"/>
  <c r="BL23" i="192"/>
  <c r="I9" i="241" s="1"/>
  <c r="CJ46" i="193"/>
  <c r="L32" i="243" s="1"/>
  <c r="AV34" i="193"/>
  <c r="G20" i="243" s="1"/>
  <c r="AN28" i="191"/>
  <c r="F14" i="242" s="1"/>
  <c r="AV45" i="192"/>
  <c r="G31" i="241" s="1"/>
  <c r="H34" i="191"/>
  <c r="CJ16" i="193"/>
  <c r="BL25"/>
  <c r="I11" i="243" s="1"/>
  <c r="H10" i="192"/>
  <c r="X44" i="193"/>
  <c r="D30" i="243" s="1"/>
  <c r="H35" i="192"/>
  <c r="CK47" i="191"/>
  <c r="Q37"/>
  <c r="Q23" i="193"/>
  <c r="CC35"/>
  <c r="BM44" i="192"/>
  <c r="CC22" i="193"/>
  <c r="Y34"/>
  <c r="BM31" i="192"/>
  <c r="I37" i="191"/>
  <c r="Q39" i="192"/>
  <c r="BE34" i="193"/>
  <c r="Q35" i="192"/>
  <c r="AW34" i="191"/>
  <c r="CK26" i="192"/>
  <c r="CC15" i="193"/>
  <c r="BM9" i="191"/>
  <c r="BU8"/>
  <c r="Q43" i="193"/>
  <c r="I9" i="192"/>
  <c r="CC34" i="193"/>
  <c r="CK33"/>
  <c r="BM42" i="191"/>
  <c r="BU19" i="193"/>
  <c r="CK39" i="192"/>
  <c r="BE30" i="193"/>
  <c r="I32" i="192"/>
  <c r="BM10" i="191"/>
  <c r="H42" i="193"/>
  <c r="AV42" i="192"/>
  <c r="G28" i="241" s="1"/>
  <c r="BT45" i="191"/>
  <c r="J31" i="242" s="1"/>
  <c r="P20" i="192"/>
  <c r="C6" i="241" s="1"/>
  <c r="X9" i="192"/>
  <c r="CB12"/>
  <c r="AN22" i="191"/>
  <c r="F8" i="242" s="1"/>
  <c r="CJ35" i="193"/>
  <c r="L21" i="243" s="1"/>
  <c r="X17" i="191"/>
  <c r="X32"/>
  <c r="D18" i="242" s="1"/>
  <c r="BD43" i="191"/>
  <c r="H29" i="242" s="1"/>
  <c r="AN10" i="192"/>
  <c r="AN26"/>
  <c r="F12" i="241" s="1"/>
  <c r="X19" i="193"/>
  <c r="H19" i="191"/>
  <c r="AV36"/>
  <c r="G22" i="242" s="1"/>
  <c r="AF15" i="192"/>
  <c r="AF19" i="193"/>
  <c r="X46" i="191"/>
  <c r="D32" i="242" s="1"/>
  <c r="X16" i="192"/>
  <c r="CJ22"/>
  <c r="L8" i="241" s="1"/>
  <c r="BD32" i="191"/>
  <c r="H18" i="242" s="1"/>
  <c r="CB19" i="192"/>
  <c r="AN38" i="193"/>
  <c r="F24" i="243" s="1"/>
  <c r="BD29" i="192"/>
  <c r="H15" i="241" s="1"/>
  <c r="BT34" i="191"/>
  <c r="J20" i="242" s="1"/>
  <c r="X11" i="192"/>
  <c r="BE46"/>
  <c r="I39" i="193"/>
  <c r="Q8" i="191"/>
  <c r="BM35" i="193"/>
  <c r="CC39" i="192"/>
  <c r="AW22" i="193"/>
  <c r="AG34" i="192"/>
  <c r="CC40"/>
  <c r="Q44" i="191"/>
  <c r="CK38"/>
  <c r="BE25" i="193"/>
  <c r="Q46" i="191"/>
  <c r="Q17" i="192"/>
  <c r="AG30" i="193"/>
  <c r="BE29" i="192"/>
  <c r="CK12" i="193"/>
  <c r="I19"/>
  <c r="BE33" i="191"/>
  <c r="BE14" i="192"/>
  <c r="BM32" i="193"/>
  <c r="AG28"/>
  <c r="BU13" i="191"/>
  <c r="AW13" i="192"/>
  <c r="AN47" i="191"/>
  <c r="F33" i="242" s="1"/>
  <c r="P47" i="192"/>
  <c r="C33" i="241" s="1"/>
  <c r="BT15" i="191"/>
  <c r="H39" i="193"/>
  <c r="BT43" i="192"/>
  <c r="J29" i="241" s="1"/>
  <c r="CJ17" i="193"/>
  <c r="BL14"/>
  <c r="BT19"/>
  <c r="P13" i="191"/>
  <c r="BL30"/>
  <c r="I16" i="242" s="1"/>
  <c r="CJ29" i="193"/>
  <c r="L15" i="243" s="1"/>
  <c r="X12" i="191"/>
  <c r="CJ37" i="192"/>
  <c r="L23" i="241" s="1"/>
  <c r="AF21" i="191"/>
  <c r="E7" i="242" s="1"/>
  <c r="AV38" i="191"/>
  <c r="G24" i="242" s="1"/>
  <c r="P8" i="193"/>
  <c r="BT25" i="192"/>
  <c r="J11" i="241" s="1"/>
  <c r="BM47" i="191"/>
  <c r="Q22"/>
  <c r="I13" i="192"/>
  <c r="AO13" i="191"/>
  <c r="AO27" i="193"/>
  <c r="BU33" i="191"/>
  <c r="BE13" i="193"/>
  <c r="AO39" i="192"/>
  <c r="BM29" i="191"/>
  <c r="AO32"/>
  <c r="BL16" i="193"/>
  <c r="CJ32" i="191"/>
  <c r="L18" i="242" s="1"/>
  <c r="BL15" i="193"/>
  <c r="BT12" i="192"/>
  <c r="BT13" i="193"/>
  <c r="BT37" i="192"/>
  <c r="J23" i="241" s="1"/>
  <c r="P9" i="192"/>
  <c r="CB36"/>
  <c r="K22" i="241" s="1"/>
  <c r="BT29" i="191"/>
  <c r="J15" i="242" s="1"/>
  <c r="P32" i="193"/>
  <c r="C18" i="243" s="1"/>
  <c r="X31" i="192"/>
  <c r="D17" i="241" s="1"/>
  <c r="BL21" i="191"/>
  <c r="I7" i="242" s="1"/>
  <c r="AF42" i="193"/>
  <c r="E28" i="243" s="1"/>
  <c r="AV21" i="192"/>
  <c r="G7" i="241" s="1"/>
  <c r="CB15" i="193"/>
  <c r="CC47" i="192"/>
  <c r="BM8" i="193"/>
  <c r="CC42"/>
  <c r="AW23" i="192"/>
  <c r="Y38" i="191"/>
  <c r="BE11" i="193"/>
  <c r="AG17" i="192"/>
  <c r="BU12" i="191"/>
  <c r="AO16"/>
  <c r="BE22" i="193"/>
  <c r="AO14" i="192"/>
  <c r="I35" i="191"/>
  <c r="X27" i="192"/>
  <c r="D13" i="241" s="1"/>
  <c r="BT26" i="191"/>
  <c r="J12" i="242" s="1"/>
  <c r="BD23" i="191"/>
  <c r="H9" i="242" s="1"/>
  <c r="AN25" i="192"/>
  <c r="F11" i="241" s="1"/>
  <c r="H41" i="191"/>
  <c r="CB28" i="193"/>
  <c r="K14" i="243" s="1"/>
  <c r="CC17" i="193"/>
  <c r="AO8"/>
  <c r="AG11"/>
  <c r="Q30"/>
  <c r="Q36" i="191"/>
  <c r="AG38" i="192"/>
  <c r="BU30" i="191"/>
  <c r="Q29"/>
  <c r="Y45"/>
  <c r="I42" i="192"/>
  <c r="I11"/>
  <c r="CJ19" i="191"/>
  <c r="BT22" i="62"/>
  <c r="BM19" i="40" s="1"/>
  <c r="BD47" i="193"/>
  <c r="H33" i="243" s="1"/>
  <c r="BT47" i="191"/>
  <c r="J33" i="242" s="1"/>
  <c r="CB33" i="192"/>
  <c r="K19" i="241" s="1"/>
  <c r="X34" i="191"/>
  <c r="D20" i="242" s="1"/>
  <c r="P43" i="191"/>
  <c r="C29" i="242" s="1"/>
  <c r="X28" i="193"/>
  <c r="D14" i="243" s="1"/>
  <c r="CB45" i="193"/>
  <c r="K31" i="243" s="1"/>
  <c r="CB31" i="192"/>
  <c r="K17" i="241" s="1"/>
  <c r="P40" i="193"/>
  <c r="C26" i="243" s="1"/>
  <c r="AF36" i="191"/>
  <c r="E22" i="242" s="1"/>
  <c r="CB35" i="193"/>
  <c r="K21" i="243" s="1"/>
  <c r="BD9" i="191"/>
  <c r="X37" i="193"/>
  <c r="D23" i="243" s="1"/>
  <c r="X42" i="193"/>
  <c r="D28" i="243" s="1"/>
  <c r="AV12" i="192"/>
  <c r="CB44" i="193"/>
  <c r="K30" i="243" s="1"/>
  <c r="AV32" i="192"/>
  <c r="G18" i="241" s="1"/>
  <c r="BD33" i="193"/>
  <c r="H19" i="243" s="1"/>
  <c r="X40" i="193"/>
  <c r="D26" i="243" s="1"/>
  <c r="AV24" i="192"/>
  <c r="G10" i="241" s="1"/>
  <c r="P37" i="193"/>
  <c r="C23" i="243" s="1"/>
  <c r="BL26" i="192"/>
  <c r="I12" i="241" s="1"/>
  <c r="X10" i="191"/>
  <c r="BL13" i="192"/>
  <c r="AF14" i="193"/>
  <c r="AF9" i="192"/>
  <c r="CJ38"/>
  <c r="L24" i="241" s="1"/>
  <c r="AF30" i="191"/>
  <c r="E16" i="242" s="1"/>
  <c r="BD19" i="193"/>
  <c r="CJ25" i="192"/>
  <c r="L11" i="241" s="1"/>
  <c r="P16" i="192"/>
  <c r="AV30" i="193"/>
  <c r="G16" i="243" s="1"/>
  <c r="BD14" i="191"/>
  <c r="X39" i="193"/>
  <c r="D25" i="243" s="1"/>
  <c r="AV23" i="191"/>
  <c r="G9" i="242" s="1"/>
  <c r="BD38" i="193"/>
  <c r="H24" i="243" s="1"/>
  <c r="H33" i="192"/>
  <c r="CJ46"/>
  <c r="L32" i="241" s="1"/>
  <c r="CB20" i="191"/>
  <c r="K6" i="242" s="1"/>
  <c r="X33" i="193"/>
  <c r="D19" i="243" s="1"/>
  <c r="AF31" i="192"/>
  <c r="E17" i="241" s="1"/>
  <c r="AF27" i="193"/>
  <c r="E13" i="243" s="1"/>
  <c r="H34" i="192"/>
  <c r="AF41" i="193"/>
  <c r="E27" i="243" s="1"/>
  <c r="CJ36" i="191"/>
  <c r="L22" i="242" s="1"/>
  <c r="CJ16" i="191"/>
  <c r="CB41"/>
  <c r="K27" i="242" s="1"/>
  <c r="AF34" i="191"/>
  <c r="E20" i="242" s="1"/>
  <c r="AN45" i="192"/>
  <c r="F31" i="241" s="1"/>
  <c r="CB21" i="191"/>
  <c r="K7" i="242" s="1"/>
  <c r="BL25" i="191"/>
  <c r="I11" i="242" s="1"/>
  <c r="BL40" i="192"/>
  <c r="I26" i="241" s="1"/>
  <c r="CB22" i="191"/>
  <c r="K8" i="242" s="1"/>
  <c r="BD42" i="191"/>
  <c r="H28" i="242" s="1"/>
  <c r="X44" i="191"/>
  <c r="D30" i="242" s="1"/>
  <c r="H40" i="192"/>
  <c r="H30" i="191"/>
  <c r="CK47" i="193"/>
  <c r="Q47" i="192"/>
  <c r="BU46" i="193"/>
  <c r="Q9" i="192"/>
  <c r="Y29" i="193"/>
  <c r="AO31" i="191"/>
  <c r="Q37" i="192"/>
  <c r="Q23" i="191"/>
  <c r="BM30" i="192"/>
  <c r="BM28" i="193"/>
  <c r="AW25" i="192"/>
  <c r="Q33" i="193"/>
  <c r="CC35" i="191"/>
  <c r="CK8"/>
  <c r="AO36" i="193"/>
  <c r="Y32" i="191"/>
  <c r="AG25" i="192"/>
  <c r="AG14" i="191"/>
  <c r="Y34"/>
  <c r="BE39" i="192"/>
  <c r="CC20" i="193"/>
  <c r="AO41" i="191"/>
  <c r="I44" i="193"/>
  <c r="BE34" i="191"/>
  <c r="Y25" i="192"/>
  <c r="AW15" i="193"/>
  <c r="I29"/>
  <c r="Q35" i="191"/>
  <c r="I36" i="193"/>
  <c r="BM13" i="192"/>
  <c r="Y28" i="191"/>
  <c r="CC15" i="192"/>
  <c r="AW43" i="193"/>
  <c r="AW35" i="191"/>
  <c r="BU34" i="192"/>
  <c r="I23" i="191"/>
  <c r="BM9" i="192"/>
  <c r="CC19" i="193"/>
  <c r="BU8" i="192"/>
  <c r="Y21" i="193"/>
  <c r="Q43" i="191"/>
  <c r="Y12" i="192"/>
  <c r="AO26" i="191"/>
  <c r="CC34" i="192"/>
  <c r="CC29" i="193"/>
  <c r="CC30" i="192"/>
  <c r="CC21" i="193"/>
  <c r="AG29" i="192"/>
  <c r="BE40" i="193"/>
  <c r="CK31"/>
  <c r="BU19" i="191"/>
  <c r="I34" i="192"/>
  <c r="I20" i="193"/>
  <c r="CC9" i="192"/>
  <c r="AG16" i="193"/>
  <c r="BE30" i="191"/>
  <c r="CK45" i="193"/>
  <c r="BM10" i="192"/>
  <c r="H42" i="191"/>
  <c r="BT14"/>
  <c r="CB17" i="193"/>
  <c r="P34" i="191"/>
  <c r="C20" i="242" s="1"/>
  <c r="BT45" i="192"/>
  <c r="J31" i="241" s="1"/>
  <c r="AV10" i="191"/>
  <c r="P23"/>
  <c r="C9" i="242" s="1"/>
  <c r="H47" i="193"/>
  <c r="BD25"/>
  <c r="H11" i="243" s="1"/>
  <c r="H27" i="191"/>
  <c r="BT24" i="192"/>
  <c r="J10" i="241" s="1"/>
  <c r="AV29" i="191"/>
  <c r="G15" i="242" s="1"/>
  <c r="AF40" i="191"/>
  <c r="E26" i="242" s="1"/>
  <c r="H37" i="192"/>
  <c r="AV35" i="193"/>
  <c r="G21" i="243" s="1"/>
  <c r="H36" i="192"/>
  <c r="AF20" i="193"/>
  <c r="E6" i="243" s="1"/>
  <c r="CJ35" i="191"/>
  <c r="L21" i="242" s="1"/>
  <c r="BL37" i="192"/>
  <c r="I23" i="241" s="1"/>
  <c r="AF29" i="193"/>
  <c r="E15" i="243" s="1"/>
  <c r="X17" i="193"/>
  <c r="BL28" i="192"/>
  <c r="I14" i="241" s="1"/>
  <c r="AN40" i="191"/>
  <c r="F26" i="242" s="1"/>
  <c r="P10" i="193"/>
  <c r="BD43" i="192"/>
  <c r="H29" i="241" s="1"/>
  <c r="BL32" i="193"/>
  <c r="I18" i="243" s="1"/>
  <c r="CB32" i="191"/>
  <c r="K18" i="242" s="1"/>
  <c r="CJ45" i="192"/>
  <c r="L31" i="241" s="1"/>
  <c r="P42" i="191"/>
  <c r="C28" i="242" s="1"/>
  <c r="AV39" i="192"/>
  <c r="G25" i="241" s="1"/>
  <c r="H15" i="193"/>
  <c r="CB10" i="191"/>
  <c r="AN27"/>
  <c r="F13" i="242" s="1"/>
  <c r="CJ30" i="191"/>
  <c r="L16" i="242" s="1"/>
  <c r="X19" i="191"/>
  <c r="H43" i="193"/>
  <c r="X29" i="191"/>
  <c r="D15" i="242" s="1"/>
  <c r="BD39" i="193"/>
  <c r="H25" i="243" s="1"/>
  <c r="BD27" i="191"/>
  <c r="H13" i="242" s="1"/>
  <c r="H14" i="191"/>
  <c r="AN39" i="193"/>
  <c r="F25" i="243" s="1"/>
  <c r="CJ11" i="191"/>
  <c r="CJ8" i="192"/>
  <c r="AF45" i="193"/>
  <c r="E31" i="243" s="1"/>
  <c r="AV44" i="191"/>
  <c r="G30" i="242" s="1"/>
  <c r="AF19" i="192"/>
  <c r="X46" i="193"/>
  <c r="D32" i="243" s="1"/>
  <c r="AN17" i="192"/>
  <c r="BL19"/>
  <c r="AV41" i="191"/>
  <c r="G27" i="242" s="1"/>
  <c r="BT10" i="193"/>
  <c r="X15" i="191"/>
  <c r="AF35"/>
  <c r="E21" i="242" s="1"/>
  <c r="H16" i="191"/>
  <c r="P21" i="192"/>
  <c r="C7" i="241" s="1"/>
  <c r="BD36" i="192"/>
  <c r="H22" i="241" s="1"/>
  <c r="BL24" i="193"/>
  <c r="I10" i="243" s="1"/>
  <c r="AN38" i="191"/>
  <c r="F24" i="242" s="1"/>
  <c r="AF8" i="192"/>
  <c r="CJ43" i="193"/>
  <c r="L29" i="243" s="1"/>
  <c r="AF32" i="191"/>
  <c r="E18" i="242" s="1"/>
  <c r="BT34" i="192"/>
  <c r="J20" i="241" s="1"/>
  <c r="AF16" i="193"/>
  <c r="BT39" i="191"/>
  <c r="J25" i="242" s="1"/>
  <c r="AV16" i="192"/>
  <c r="AV37" i="191"/>
  <c r="G23" i="242" s="1"/>
  <c r="AW47" i="191"/>
  <c r="BM46" i="192"/>
  <c r="Y40"/>
  <c r="CK16" i="193"/>
  <c r="I17" i="191"/>
  <c r="CK15" i="193"/>
  <c r="BM35" i="191"/>
  <c r="BU24" i="192"/>
  <c r="AW38" i="193"/>
  <c r="AW22" i="192"/>
  <c r="CC38" i="191"/>
  <c r="AG39" i="193"/>
  <c r="AW31" i="191"/>
  <c r="Y8" i="192"/>
  <c r="BE31" i="193"/>
  <c r="CC12" i="191"/>
  <c r="Y13"/>
  <c r="CK38" i="192"/>
  <c r="BE25" i="191"/>
  <c r="CK29" i="193"/>
  <c r="BM16" i="191"/>
  <c r="BU37" i="193"/>
  <c r="Q26" i="192"/>
  <c r="BE23" i="191"/>
  <c r="AW45" i="192"/>
  <c r="Y11" i="193"/>
  <c r="CK14"/>
  <c r="AG30" i="191"/>
  <c r="BU38" i="192"/>
  <c r="CC27" i="193"/>
  <c r="Y17" i="191"/>
  <c r="CK12" i="192"/>
  <c r="AG20" i="193"/>
  <c r="CK25" i="192"/>
  <c r="I21" i="191"/>
  <c r="AO24"/>
  <c r="I19"/>
  <c r="AO11"/>
  <c r="BU35"/>
  <c r="BE36" i="192"/>
  <c r="CK21" i="191"/>
  <c r="AG31" i="193"/>
  <c r="BM32" i="192"/>
  <c r="AW26" i="191"/>
  <c r="AW41"/>
  <c r="CK20" i="192"/>
  <c r="BU40" i="193"/>
  <c r="BE21" i="192"/>
  <c r="BM20" i="193"/>
  <c r="BU13" i="192"/>
  <c r="AW29" i="193"/>
  <c r="Q40" i="192"/>
  <c r="Y20" i="193"/>
  <c r="Q10" i="192"/>
  <c r="CB47" i="191"/>
  <c r="K33" i="242" s="1"/>
  <c r="BD16" i="193"/>
  <c r="X8"/>
  <c r="BD34" i="192"/>
  <c r="H20" i="241" s="1"/>
  <c r="X14" i="193"/>
  <c r="AV40"/>
  <c r="G26" i="243" s="1"/>
  <c r="H39" i="191"/>
  <c r="BL35" i="192"/>
  <c r="I21" i="241" s="1"/>
  <c r="H31" i="191"/>
  <c r="CJ17" i="192"/>
  <c r="H46"/>
  <c r="BD46" i="193"/>
  <c r="H32" i="243" s="1"/>
  <c r="BL14" i="192"/>
  <c r="BD30" i="191"/>
  <c r="H16" i="242" s="1"/>
  <c r="X30" i="191"/>
  <c r="D16" i="242" s="1"/>
  <c r="AF12" i="193"/>
  <c r="AN9" i="191"/>
  <c r="BL30" i="192"/>
  <c r="I16" i="241" s="1"/>
  <c r="BT31" i="193"/>
  <c r="J17" i="243" s="1"/>
  <c r="H9" i="192"/>
  <c r="H12"/>
  <c r="CJ14" i="191"/>
  <c r="BT42"/>
  <c r="J28" i="242" s="1"/>
  <c r="AF21" i="192"/>
  <c r="E7" i="241" s="1"/>
  <c r="AF44" i="191"/>
  <c r="E30" i="242" s="1"/>
  <c r="AV38" i="192"/>
  <c r="G24" i="241" s="1"/>
  <c r="AF43" i="191"/>
  <c r="E29" i="242" s="1"/>
  <c r="AN29" i="193"/>
  <c r="F15" i="243" s="1"/>
  <c r="BD37" i="191"/>
  <c r="H23" i="242" s="1"/>
  <c r="BL20" i="192"/>
  <c r="I6" i="241" s="1"/>
  <c r="X23" i="191"/>
  <c r="D9" i="242" s="1"/>
  <c r="BT9" i="193"/>
  <c r="AW36"/>
  <c r="Q22"/>
  <c r="CK40" i="192"/>
  <c r="Q32"/>
  <c r="CC23" i="191"/>
  <c r="AO13" i="192"/>
  <c r="BM14" i="193"/>
  <c r="BE37" i="192"/>
  <c r="BE12"/>
  <c r="I45" i="193"/>
  <c r="AW8" i="191"/>
  <c r="BU33" i="193"/>
  <c r="I25"/>
  <c r="BU32" i="191"/>
  <c r="AG22" i="192"/>
  <c r="BE15" i="191"/>
  <c r="I40"/>
  <c r="CC37" i="192"/>
  <c r="Y44" i="193"/>
  <c r="I28" i="192"/>
  <c r="AG27" i="191"/>
  <c r="AO38" i="192"/>
  <c r="Y36" i="191"/>
  <c r="BM29" i="192"/>
  <c r="BM43" i="193"/>
  <c r="BE44" i="191"/>
  <c r="AO32" i="192"/>
  <c r="Q27" i="193"/>
  <c r="Q25" i="191"/>
  <c r="Q16" i="192"/>
  <c r="BL47"/>
  <c r="I33" i="241" s="1"/>
  <c r="AN32" i="191"/>
  <c r="F18" i="242" s="1"/>
  <c r="BL16" i="191"/>
  <c r="X45" i="192"/>
  <c r="D31" i="241" s="1"/>
  <c r="BT44" i="191"/>
  <c r="J30" i="242" s="1"/>
  <c r="CB16" i="193"/>
  <c r="CJ32" i="192"/>
  <c r="L18" i="241" s="1"/>
  <c r="BL22" i="192"/>
  <c r="I8" i="241" s="1"/>
  <c r="AF13" i="192"/>
  <c r="BT12" i="193"/>
  <c r="AF17"/>
  <c r="BT13" i="191"/>
  <c r="P33" i="192"/>
  <c r="C19" i="241" s="1"/>
  <c r="CB24" i="193"/>
  <c r="K10" i="243" s="1"/>
  <c r="AV9" i="193"/>
  <c r="BT16"/>
  <c r="P30" i="192"/>
  <c r="C16" i="241" s="1"/>
  <c r="H20" i="191"/>
  <c r="AV20"/>
  <c r="G6" i="242" s="1"/>
  <c r="BD10" i="192"/>
  <c r="AN13" i="193"/>
  <c r="BT40"/>
  <c r="J26" i="243" s="1"/>
  <c r="BT29" i="192"/>
  <c r="J15" i="241" s="1"/>
  <c r="AN46" i="193"/>
  <c r="F32" i="243" s="1"/>
  <c r="P32" i="191"/>
  <c r="C18" i="242" s="1"/>
  <c r="AV13" i="192"/>
  <c r="BL21"/>
  <c r="I7" i="241" s="1"/>
  <c r="CJ41" i="193"/>
  <c r="L27" i="243" s="1"/>
  <c r="H44" i="191"/>
  <c r="CJ10" i="193"/>
  <c r="BD45" i="192"/>
  <c r="H31" i="241" s="1"/>
  <c r="CB15" i="191"/>
  <c r="AG46" i="193"/>
  <c r="AG15" i="191"/>
  <c r="CC36"/>
  <c r="BE19" i="193"/>
  <c r="BE17"/>
  <c r="I12" i="191"/>
  <c r="BU29"/>
  <c r="CK42" i="192"/>
  <c r="BM24" i="193"/>
  <c r="AW14" i="192"/>
  <c r="BM33" i="193"/>
  <c r="AO46" i="191"/>
  <c r="I22" i="192"/>
  <c r="CC28" i="193"/>
  <c r="Y22" i="191"/>
  <c r="Y19" i="192"/>
  <c r="AO10" i="191"/>
  <c r="BU11"/>
  <c r="BU12" i="192"/>
  <c r="BE43" i="193"/>
  <c r="AO17" i="192"/>
  <c r="BU42"/>
  <c r="CK30" i="193"/>
  <c r="BE22" i="191"/>
  <c r="Y14" i="193"/>
  <c r="H38" i="192"/>
  <c r="AN43" i="193"/>
  <c r="F29" i="243" s="1"/>
  <c r="H22" i="191"/>
  <c r="BT30" i="193"/>
  <c r="J16" i="243" s="1"/>
  <c r="BD26" i="193"/>
  <c r="H12" i="243" s="1"/>
  <c r="P12" i="192"/>
  <c r="CB37" i="193"/>
  <c r="K23" i="243" s="1"/>
  <c r="BL33" i="192"/>
  <c r="I19" i="241" s="1"/>
  <c r="BT8" i="191"/>
  <c r="BD23" i="192"/>
  <c r="H9" i="241" s="1"/>
  <c r="CJ23" i="193"/>
  <c r="L9" i="243" s="1"/>
  <c r="BT32" i="193"/>
  <c r="J18" i="243" s="1"/>
  <c r="AF25" i="193"/>
  <c r="E11" i="243" s="1"/>
  <c r="H41" i="192"/>
  <c r="AF38" i="193"/>
  <c r="E24" i="243" s="1"/>
  <c r="CB28" i="191"/>
  <c r="K14" i="242" s="1"/>
  <c r="BE47" i="193"/>
  <c r="AO15"/>
  <c r="AO8" i="191"/>
  <c r="I27" i="192"/>
  <c r="AG11" i="191"/>
  <c r="Q30" i="192"/>
  <c r="Q36"/>
  <c r="BE10"/>
  <c r="AG13" i="191"/>
  <c r="BU28" i="193"/>
  <c r="AW21" i="191"/>
  <c r="CK41" i="193"/>
  <c r="AO42" i="192"/>
  <c r="Y46"/>
  <c r="AO25" i="193"/>
  <c r="Q12" i="192"/>
  <c r="AO19" i="191"/>
  <c r="Q29" i="192"/>
  <c r="CK43" i="191"/>
  <c r="AO44"/>
  <c r="AG33"/>
  <c r="Y31" i="193"/>
  <c r="AW28"/>
  <c r="I43" i="191"/>
  <c r="I15" i="192"/>
  <c r="BE42" i="193"/>
  <c r="AG45"/>
  <c r="CJ19" i="192"/>
  <c r="AF24" i="193"/>
  <c r="E10" i="243" s="1"/>
  <c r="BD11" i="191"/>
  <c r="P46" i="192"/>
  <c r="C32" i="241" s="1"/>
  <c r="H24" i="191"/>
  <c r="BL42"/>
  <c r="I28" i="242" s="1"/>
  <c r="BD8" i="192"/>
  <c r="CB40" i="193"/>
  <c r="K26" i="243" s="1"/>
  <c r="X35" i="191"/>
  <c r="D21" i="242" s="1"/>
  <c r="P28" i="192"/>
  <c r="C14" i="241" s="1"/>
  <c r="BL10" i="193"/>
  <c r="H8" i="192"/>
  <c r="AV33" i="191"/>
  <c r="G19" i="242" s="1"/>
  <c r="BD31" i="191"/>
  <c r="H17" i="242" s="1"/>
  <c r="X20" i="191"/>
  <c r="D6" i="242" s="1"/>
  <c r="CB42" i="192"/>
  <c r="K28" i="241" s="1"/>
  <c r="BD22" i="191"/>
  <c r="H8" i="242" s="1"/>
  <c r="X36" i="192"/>
  <c r="D22" i="241" s="1"/>
  <c r="H29" i="191"/>
  <c r="CJ34"/>
  <c r="L20" i="242" s="1"/>
  <c r="AN12" i="192"/>
  <c r="AF10" i="193"/>
  <c r="CB23" i="192"/>
  <c r="K9" i="241" s="1"/>
  <c r="AG26" i="192"/>
  <c r="CC45" i="191"/>
  <c r="BM15" i="192"/>
  <c r="BE35" i="193"/>
  <c r="BM36" i="192"/>
  <c r="AW44" i="191"/>
  <c r="BE26" i="192"/>
  <c r="CC13" i="191"/>
  <c r="BU27"/>
  <c r="Y35" i="192"/>
  <c r="CK36" i="193"/>
  <c r="BU23" i="191"/>
  <c r="CK13" i="192"/>
  <c r="AW11" i="193"/>
  <c r="BM22"/>
  <c r="AW46"/>
  <c r="Y23" i="192"/>
  <c r="I41" i="191"/>
  <c r="BM19"/>
  <c r="BM11" i="192"/>
  <c r="CC43"/>
  <c r="BU20"/>
  <c r="AO35" i="191"/>
  <c r="CK28" i="192"/>
  <c r="CK27" i="191"/>
  <c r="AW30" i="193"/>
  <c r="AW9" i="192"/>
  <c r="Y33" i="193"/>
  <c r="Y9" i="191"/>
  <c r="AG32" i="192"/>
  <c r="AP50" i="191"/>
  <c r="AV48"/>
  <c r="J50" i="192"/>
  <c r="P48"/>
  <c r="S50"/>
  <c r="Y48"/>
  <c r="Y50" s="1"/>
  <c r="AH50" i="191"/>
  <c r="BG50" i="192"/>
  <c r="BM48"/>
  <c r="K50"/>
  <c r="Z50" i="193"/>
  <c r="BO50" i="192"/>
  <c r="J50" i="191"/>
  <c r="P48"/>
  <c r="S50"/>
  <c r="Y48"/>
  <c r="AY50" i="192"/>
  <c r="BE48"/>
  <c r="B50" i="191"/>
  <c r="AA50"/>
  <c r="AG48"/>
  <c r="AX50" i="192"/>
  <c r="BD48"/>
  <c r="K50" i="191"/>
  <c r="Q48"/>
  <c r="AI50"/>
  <c r="AO48"/>
  <c r="R50" i="193"/>
  <c r="I48"/>
  <c r="C50"/>
  <c r="C21" i="120"/>
  <c r="C29" i="121"/>
  <c r="B56" i="38"/>
  <c r="C48" i="121"/>
  <c r="BV50" i="192"/>
  <c r="CB48"/>
  <c r="J50" i="193"/>
  <c r="S50"/>
  <c r="AY50" i="191"/>
  <c r="CE50" i="192"/>
  <c r="CK48"/>
  <c r="BN50" i="193"/>
  <c r="BT48"/>
  <c r="AH50" i="192"/>
  <c r="AN48"/>
  <c r="BG50" i="191"/>
  <c r="AX50"/>
  <c r="BD48"/>
  <c r="Q48" i="193"/>
  <c r="K50"/>
  <c r="CC48"/>
  <c r="BW50"/>
  <c r="Z50" i="192"/>
  <c r="AF48"/>
  <c r="AI50"/>
  <c r="AO48"/>
  <c r="CD50"/>
  <c r="AQ50" i="191"/>
  <c r="AW48"/>
  <c r="AW50" s="1"/>
  <c r="BF50"/>
  <c r="BL48"/>
  <c r="BO50" i="193"/>
  <c r="AO50" i="191"/>
  <c r="B54" i="38"/>
  <c r="C22" i="120"/>
  <c r="C58" i="121"/>
  <c r="CB48" i="193"/>
  <c r="BV50"/>
  <c r="CK48"/>
  <c r="CE50"/>
  <c r="B50"/>
  <c r="AG48"/>
  <c r="AA50"/>
  <c r="CJ48"/>
  <c r="CD50"/>
  <c r="R50" i="191"/>
  <c r="C50"/>
  <c r="AV48" i="193"/>
  <c r="AP50"/>
  <c r="BN50" i="192"/>
  <c r="BM48" i="193"/>
  <c r="BG50"/>
  <c r="BW50" i="192"/>
  <c r="AQ50"/>
  <c r="AW48"/>
  <c r="BF50"/>
  <c r="BL48"/>
  <c r="BO50" i="191"/>
  <c r="BU48"/>
  <c r="B55" i="38"/>
  <c r="C37" i="121"/>
  <c r="B57" i="38"/>
  <c r="C56" i="121"/>
  <c r="BV50" i="191"/>
  <c r="AP50" i="192"/>
  <c r="AV48"/>
  <c r="BE48" i="193"/>
  <c r="AY50"/>
  <c r="CE50" i="191"/>
  <c r="CK48"/>
  <c r="BN50"/>
  <c r="BT48"/>
  <c r="AN48" i="193"/>
  <c r="AH50"/>
  <c r="B50" i="192"/>
  <c r="H48"/>
  <c r="AA50"/>
  <c r="AG48"/>
  <c r="AG50" s="1"/>
  <c r="AX50" i="193"/>
  <c r="BW50" i="191"/>
  <c r="CC48"/>
  <c r="Z50"/>
  <c r="AO48" i="193"/>
  <c r="AO50" s="1"/>
  <c r="AI50"/>
  <c r="CD50" i="191"/>
  <c r="R50" i="192"/>
  <c r="X48"/>
  <c r="AQ50" i="193"/>
  <c r="BL48"/>
  <c r="BF50"/>
  <c r="C50" i="192"/>
  <c r="L45" i="40"/>
  <c r="CD50" i="38"/>
  <c r="CD53" s="1"/>
  <c r="CD50" i="62"/>
  <c r="K45" i="40"/>
  <c r="BV50" i="38"/>
  <c r="BV53" s="1"/>
  <c r="CB48"/>
  <c r="K34" i="202" s="1"/>
  <c r="BV50" i="62"/>
  <c r="J45" i="40"/>
  <c r="BN50" i="38"/>
  <c r="BN53" s="1"/>
  <c r="BT48"/>
  <c r="J34" i="202" s="1"/>
  <c r="BN50" i="62"/>
  <c r="I45" i="40"/>
  <c r="BF50" i="38"/>
  <c r="BF53" s="1"/>
  <c r="BF50" i="62"/>
  <c r="BL48"/>
  <c r="BL45" i="40" s="1"/>
  <c r="H45"/>
  <c r="AX50" i="38"/>
  <c r="AX53" s="1"/>
  <c r="AX50" i="62"/>
  <c r="BD48"/>
  <c r="BK45" i="40" s="1"/>
  <c r="G45"/>
  <c r="AP50" i="38"/>
  <c r="AP53" s="1"/>
  <c r="AV48"/>
  <c r="G34" i="202" s="1"/>
  <c r="AP50" i="62"/>
  <c r="AV48"/>
  <c r="BJ45" i="40" s="1"/>
  <c r="F45"/>
  <c r="AH50" i="38"/>
  <c r="AH53" s="1"/>
  <c r="AN48"/>
  <c r="F34" i="202" s="1"/>
  <c r="AH50" i="62"/>
  <c r="E45" i="40"/>
  <c r="Z50" i="38"/>
  <c r="Z53" s="1"/>
  <c r="Z50" i="62"/>
  <c r="AF48"/>
  <c r="BH45" i="40" s="1"/>
  <c r="D45"/>
  <c r="R50" i="38"/>
  <c r="R53" s="1"/>
  <c r="R50" i="62"/>
  <c r="X48"/>
  <c r="BG45" i="40" s="1"/>
  <c r="C45"/>
  <c r="J50" i="38"/>
  <c r="J53" s="1"/>
  <c r="P48"/>
  <c r="C34" i="202" s="1"/>
  <c r="J50" i="62"/>
  <c r="P48"/>
  <c r="BF45" i="40" s="1"/>
  <c r="B45"/>
  <c r="B50" i="38"/>
  <c r="B53" s="1"/>
  <c r="B50" i="62"/>
  <c r="H48"/>
  <c r="BE45" i="40" s="1"/>
  <c r="C50" i="38"/>
  <c r="C53" s="1"/>
  <c r="I48"/>
  <c r="C50" i="62"/>
  <c r="K50" i="38"/>
  <c r="K53" s="1"/>
  <c r="Q48"/>
  <c r="K50" i="62"/>
  <c r="S50" i="38"/>
  <c r="Y48"/>
  <c r="S50" i="62"/>
  <c r="AA50" i="38"/>
  <c r="AG48"/>
  <c r="AA50" i="62"/>
  <c r="AI50" i="38"/>
  <c r="AO48"/>
  <c r="AI50" i="62"/>
  <c r="AO48"/>
  <c r="AQ50" i="38"/>
  <c r="AW48"/>
  <c r="AQ50" i="62"/>
  <c r="AY50" i="38"/>
  <c r="AY50" i="62"/>
  <c r="BE48"/>
  <c r="BG50" i="38"/>
  <c r="BG50" i="62"/>
  <c r="BM48"/>
  <c r="BO50" i="38"/>
  <c r="BU48"/>
  <c r="BO50" i="62"/>
  <c r="BU48"/>
  <c r="BW50" i="38"/>
  <c r="BW50" i="62"/>
  <c r="CC48"/>
  <c r="CE50" i="38"/>
  <c r="CK48"/>
  <c r="CE50" i="62"/>
  <c r="CK48"/>
  <c r="BM45" i="38"/>
  <c r="K44" i="40"/>
  <c r="D44"/>
  <c r="L44"/>
  <c r="I44"/>
  <c r="F44"/>
  <c r="H44"/>
  <c r="E44"/>
  <c r="G44"/>
  <c r="C44"/>
  <c r="J44"/>
  <c r="B44"/>
  <c r="L30"/>
  <c r="H13"/>
  <c r="K30"/>
  <c r="C17"/>
  <c r="F29"/>
  <c r="D5"/>
  <c r="D35"/>
  <c r="B23"/>
  <c r="B8"/>
  <c r="H31"/>
  <c r="D31"/>
  <c r="F31"/>
  <c r="I13"/>
  <c r="F13"/>
  <c r="C12"/>
  <c r="H22"/>
  <c r="J33"/>
  <c r="D11"/>
  <c r="C40"/>
  <c r="B24"/>
  <c r="D42"/>
  <c r="B42"/>
  <c r="I31"/>
  <c r="J21"/>
  <c r="H38"/>
  <c r="J12"/>
  <c r="D25"/>
  <c r="J35"/>
  <c r="K35"/>
  <c r="C23"/>
  <c r="K42"/>
  <c r="G26"/>
  <c r="J41"/>
  <c r="G37"/>
  <c r="K28"/>
  <c r="E37"/>
  <c r="L16"/>
  <c r="B36"/>
  <c r="E25"/>
  <c r="B34"/>
  <c r="K13"/>
  <c r="I32"/>
  <c r="C37"/>
  <c r="D6"/>
  <c r="F20"/>
  <c r="J40"/>
  <c r="E33"/>
  <c r="G32"/>
  <c r="L29"/>
  <c r="C11"/>
  <c r="H12"/>
  <c r="C21"/>
  <c r="E21"/>
  <c r="B28"/>
  <c r="G12"/>
  <c r="B33"/>
  <c r="E20"/>
  <c r="L14"/>
  <c r="K32"/>
  <c r="K9"/>
  <c r="H8"/>
  <c r="I9"/>
  <c r="H6"/>
  <c r="E17"/>
  <c r="J32"/>
  <c r="B43"/>
  <c r="E43"/>
  <c r="I43"/>
  <c r="C43"/>
  <c r="H43"/>
  <c r="J43"/>
  <c r="F19"/>
  <c r="I12"/>
  <c r="I11"/>
  <c r="D34"/>
  <c r="K40"/>
  <c r="K31"/>
  <c r="J25"/>
  <c r="D39"/>
  <c r="C28"/>
  <c r="I19"/>
  <c r="H27"/>
  <c r="G9"/>
  <c r="L32"/>
  <c r="B21"/>
  <c r="J16"/>
  <c r="B22"/>
  <c r="I34"/>
  <c r="F39"/>
  <c r="F32"/>
  <c r="K41"/>
  <c r="L17"/>
  <c r="E10"/>
  <c r="C24"/>
  <c r="G25"/>
  <c r="E26"/>
  <c r="I39"/>
  <c r="I41"/>
  <c r="G29"/>
  <c r="D14"/>
  <c r="J9"/>
  <c r="D27"/>
  <c r="E36"/>
  <c r="I25"/>
  <c r="J14"/>
  <c r="C8"/>
  <c r="H30"/>
  <c r="D29"/>
  <c r="B20"/>
  <c r="I6"/>
  <c r="D37"/>
  <c r="F37"/>
  <c r="L9"/>
  <c r="C10"/>
  <c r="L37"/>
  <c r="C7"/>
  <c r="L24"/>
  <c r="D23"/>
  <c r="C16"/>
  <c r="H40"/>
  <c r="F27"/>
  <c r="B39"/>
  <c r="G21"/>
  <c r="H9"/>
  <c r="E14"/>
  <c r="E9"/>
  <c r="C34"/>
  <c r="I29"/>
  <c r="H5"/>
  <c r="J11"/>
  <c r="I14"/>
  <c r="K29"/>
  <c r="J10"/>
  <c r="F6"/>
  <c r="D10"/>
  <c r="L42"/>
  <c r="C30"/>
  <c r="G39"/>
  <c r="I23"/>
  <c r="F7"/>
  <c r="H41"/>
  <c r="I27"/>
  <c r="D7"/>
  <c r="B14"/>
  <c r="L23"/>
  <c r="K14"/>
  <c r="I10"/>
  <c r="C39"/>
  <c r="L12"/>
  <c r="L18"/>
  <c r="H18"/>
  <c r="G36"/>
  <c r="K21"/>
  <c r="C31"/>
  <c r="E11"/>
  <c r="F11"/>
  <c r="K37"/>
  <c r="J28"/>
  <c r="C33"/>
  <c r="B12"/>
  <c r="G6"/>
  <c r="J42"/>
  <c r="D22"/>
  <c r="K7"/>
  <c r="D32"/>
  <c r="L26"/>
  <c r="L36"/>
  <c r="F24"/>
  <c r="C36"/>
  <c r="L21"/>
  <c r="E6"/>
  <c r="F23"/>
  <c r="C25"/>
  <c r="G7"/>
  <c r="C32"/>
  <c r="L27"/>
  <c r="J34"/>
  <c r="D24"/>
  <c r="L35"/>
  <c r="D16"/>
  <c r="D38"/>
  <c r="C20"/>
  <c r="D40"/>
  <c r="B16"/>
  <c r="J13"/>
  <c r="B6"/>
  <c r="F41"/>
  <c r="BT22" i="38"/>
  <c r="J19" i="40"/>
  <c r="I7"/>
  <c r="B35"/>
  <c r="E27"/>
  <c r="B40"/>
  <c r="I28"/>
  <c r="L25"/>
  <c r="D19"/>
  <c r="F8"/>
  <c r="G19"/>
  <c r="G8"/>
  <c r="B10"/>
  <c r="K5"/>
  <c r="C27"/>
  <c r="F40"/>
  <c r="H16"/>
  <c r="H37"/>
  <c r="B5"/>
  <c r="H10"/>
  <c r="L22"/>
  <c r="G23"/>
  <c r="C6"/>
  <c r="D9"/>
  <c r="C13"/>
  <c r="D26"/>
  <c r="J8"/>
  <c r="B19"/>
  <c r="C19"/>
  <c r="G33"/>
  <c r="B17"/>
  <c r="L34"/>
  <c r="G27"/>
  <c r="I35"/>
  <c r="G30"/>
  <c r="J23"/>
  <c r="H11"/>
  <c r="H36"/>
  <c r="G17"/>
  <c r="B9"/>
  <c r="I36"/>
  <c r="H24"/>
  <c r="H7"/>
  <c r="J24"/>
  <c r="L6"/>
  <c r="B11"/>
  <c r="H28"/>
  <c r="L11"/>
  <c r="D36"/>
  <c r="D21"/>
  <c r="K33"/>
  <c r="J27"/>
  <c r="G20"/>
  <c r="F36"/>
  <c r="L39"/>
  <c r="C42"/>
  <c r="J18"/>
  <c r="L8"/>
  <c r="F10"/>
  <c r="H23"/>
  <c r="L10"/>
  <c r="L5"/>
  <c r="F21"/>
  <c r="F5"/>
  <c r="C26"/>
  <c r="E12"/>
  <c r="J37"/>
  <c r="C9"/>
  <c r="H35"/>
  <c r="E42"/>
  <c r="E30"/>
  <c r="I8"/>
  <c r="B30"/>
  <c r="G41"/>
  <c r="J26"/>
  <c r="J39"/>
  <c r="I20"/>
  <c r="E16"/>
  <c r="D17"/>
  <c r="D18"/>
  <c r="I26"/>
  <c r="F30"/>
  <c r="I5"/>
  <c r="E18"/>
  <c r="B29"/>
  <c r="K11"/>
  <c r="K39"/>
  <c r="F33"/>
  <c r="L43"/>
  <c r="D43"/>
  <c r="F43"/>
  <c r="K43"/>
  <c r="G43"/>
  <c r="F14"/>
  <c r="H25"/>
  <c r="K34"/>
  <c r="F12"/>
  <c r="I33"/>
  <c r="C29"/>
  <c r="F28"/>
  <c r="G31"/>
  <c r="K24"/>
  <c r="H19"/>
  <c r="I30"/>
  <c r="K17"/>
  <c r="D13"/>
  <c r="G10"/>
  <c r="E41"/>
  <c r="H17"/>
  <c r="I16"/>
  <c r="C35"/>
  <c r="C22"/>
  <c r="D30"/>
  <c r="L19"/>
  <c r="D28"/>
  <c r="G35"/>
  <c r="F25"/>
  <c r="G38"/>
  <c r="D33"/>
  <c r="F17"/>
  <c r="E28"/>
  <c r="C38"/>
  <c r="K10"/>
  <c r="K36"/>
  <c r="G42"/>
  <c r="H29"/>
  <c r="F18"/>
  <c r="J5"/>
  <c r="H21"/>
  <c r="H32"/>
  <c r="I24"/>
  <c r="E40"/>
  <c r="E24"/>
  <c r="J7"/>
  <c r="H14"/>
  <c r="H20"/>
  <c r="B31"/>
  <c r="D12"/>
  <c r="I18"/>
  <c r="C5"/>
  <c r="F38"/>
  <c r="J38"/>
  <c r="B26"/>
  <c r="F22"/>
  <c r="E38"/>
  <c r="K23"/>
  <c r="I40"/>
  <c r="K8"/>
  <c r="L33"/>
  <c r="E32"/>
  <c r="G16"/>
  <c r="L20"/>
  <c r="L13"/>
  <c r="B13"/>
  <c r="L38"/>
  <c r="J22"/>
  <c r="J30"/>
  <c r="C18"/>
  <c r="L41"/>
  <c r="J29"/>
  <c r="K38"/>
  <c r="K16"/>
  <c r="E39"/>
  <c r="F26"/>
  <c r="E31"/>
  <c r="E23"/>
  <c r="L31"/>
  <c r="F16"/>
  <c r="F42"/>
  <c r="E8"/>
  <c r="G14"/>
  <c r="H34"/>
  <c r="K27"/>
  <c r="H33"/>
  <c r="J17"/>
  <c r="G5"/>
  <c r="K18"/>
  <c r="K6"/>
  <c r="G18"/>
  <c r="I17"/>
  <c r="I22"/>
  <c r="I21"/>
  <c r="G24"/>
  <c r="E22"/>
  <c r="I37"/>
  <c r="F35"/>
  <c r="G28"/>
  <c r="K26"/>
  <c r="B7"/>
  <c r="E5"/>
  <c r="B41"/>
  <c r="I42"/>
  <c r="J20"/>
  <c r="H26"/>
  <c r="F9"/>
  <c r="E34"/>
  <c r="K19"/>
  <c r="L40"/>
  <c r="L7"/>
  <c r="B38"/>
  <c r="E19"/>
  <c r="E29"/>
  <c r="E7"/>
  <c r="D20"/>
  <c r="I38"/>
  <c r="J31"/>
  <c r="H42"/>
  <c r="B25"/>
  <c r="H39"/>
  <c r="B18"/>
  <c r="K20"/>
  <c r="C41"/>
  <c r="D41"/>
  <c r="E13"/>
  <c r="G11"/>
  <c r="E35"/>
  <c r="B37"/>
  <c r="J36"/>
  <c r="K22"/>
  <c r="G40"/>
  <c r="B32"/>
  <c r="G13"/>
  <c r="L28"/>
  <c r="K25"/>
  <c r="C14"/>
  <c r="D8"/>
  <c r="G22"/>
  <c r="J6"/>
  <c r="B27"/>
  <c r="G34"/>
  <c r="K12"/>
  <c r="BY45" i="38"/>
  <c r="CC45" s="1"/>
  <c r="BY45" i="62"/>
  <c r="CC45" s="1"/>
  <c r="U32" i="38"/>
  <c r="Y32" s="1"/>
  <c r="U32" i="62"/>
  <c r="Y32" s="1"/>
  <c r="M28"/>
  <c r="Q28" s="1"/>
  <c r="M28" i="38"/>
  <c r="Q28" s="1"/>
  <c r="U11"/>
  <c r="Y11" s="1"/>
  <c r="U11" i="62"/>
  <c r="Y11" s="1"/>
  <c r="AS12" i="38"/>
  <c r="AW12" s="1"/>
  <c r="AS12" i="62"/>
  <c r="AW12" s="1"/>
  <c r="CG22" i="38"/>
  <c r="CK22" s="1"/>
  <c r="CG22" i="62"/>
  <c r="CK22" s="1"/>
  <c r="AK32" i="38"/>
  <c r="AO32" s="1"/>
  <c r="AK32" i="62"/>
  <c r="AO32" s="1"/>
  <c r="BI22"/>
  <c r="BM22" s="1"/>
  <c r="BI22" i="38"/>
  <c r="BM22" s="1"/>
  <c r="BQ37" i="62"/>
  <c r="BU37" s="1"/>
  <c r="BQ37" i="38"/>
  <c r="BU37" s="1"/>
  <c r="AK36" i="62"/>
  <c r="AO36" s="1"/>
  <c r="AK36" i="38"/>
  <c r="AO36" s="1"/>
  <c r="AK19"/>
  <c r="AO19" s="1"/>
  <c r="AK19" i="62"/>
  <c r="AO19" s="1"/>
  <c r="AO50" s="1"/>
  <c r="AS16"/>
  <c r="AW16" s="1"/>
  <c r="AS16" i="38"/>
  <c r="AW16" s="1"/>
  <c r="U12" i="62"/>
  <c r="Y12" s="1"/>
  <c r="U12" i="38"/>
  <c r="Y12" s="1"/>
  <c r="BI39" i="62"/>
  <c r="BM39" s="1"/>
  <c r="BI39" i="38"/>
  <c r="BM39" s="1"/>
  <c r="BI12"/>
  <c r="BM12" s="1"/>
  <c r="BI12" i="62"/>
  <c r="BM12" s="1"/>
  <c r="BI35"/>
  <c r="BM35" s="1"/>
  <c r="BI35" i="38"/>
  <c r="BM35" s="1"/>
  <c r="CG34" i="62"/>
  <c r="CK34" s="1"/>
  <c r="CG34" i="38"/>
  <c r="CK34" s="1"/>
  <c r="U42"/>
  <c r="Y42" s="1"/>
  <c r="U42" i="62"/>
  <c r="Y42" s="1"/>
  <c r="BY9" i="38"/>
  <c r="CC9" s="1"/>
  <c r="BY9" i="62"/>
  <c r="CC9" s="1"/>
  <c r="BI10"/>
  <c r="BM10" s="1"/>
  <c r="BI10" i="38"/>
  <c r="BM10" s="1"/>
  <c r="BA23"/>
  <c r="BE23" s="1"/>
  <c r="BA23" i="62"/>
  <c r="BE23" s="1"/>
  <c r="U44" i="38"/>
  <c r="Y44" s="1"/>
  <c r="U44" i="62"/>
  <c r="Y44" s="1"/>
  <c r="AK23"/>
  <c r="AO23" s="1"/>
  <c r="AK23" i="38"/>
  <c r="AO23" s="1"/>
  <c r="BI24"/>
  <c r="BM24" s="1"/>
  <c r="BI24" i="62"/>
  <c r="BM24" s="1"/>
  <c r="M32" i="38"/>
  <c r="Q32" s="1"/>
  <c r="M32" i="62"/>
  <c r="Q32" s="1"/>
  <c r="CG21"/>
  <c r="CK21" s="1"/>
  <c r="CG21" i="38"/>
  <c r="CK21" s="1"/>
  <c r="BY16" i="62"/>
  <c r="CC16" s="1"/>
  <c r="BY16" i="38"/>
  <c r="CC16" s="1"/>
  <c r="BI17" i="62"/>
  <c r="BM17" s="1"/>
  <c r="BI17" i="38"/>
  <c r="BM17" s="1"/>
  <c r="AS29" i="62"/>
  <c r="AW29" s="1"/>
  <c r="AS29" i="38"/>
  <c r="AW29" s="1"/>
  <c r="BY39"/>
  <c r="CC39" s="1"/>
  <c r="BY39" i="62"/>
  <c r="CC39" s="1"/>
  <c r="M21" i="38"/>
  <c r="Q21" s="1"/>
  <c r="M21" i="62"/>
  <c r="Q21" s="1"/>
  <c r="CG25" i="38"/>
  <c r="CK25" s="1"/>
  <c r="CG25" i="62"/>
  <c r="CK25" s="1"/>
  <c r="U36" i="38"/>
  <c r="Y36" s="1"/>
  <c r="U36" i="62"/>
  <c r="Y36" s="1"/>
  <c r="M38" i="38"/>
  <c r="Q38" s="1"/>
  <c r="M38" i="62"/>
  <c r="Q38" s="1"/>
  <c r="BY10"/>
  <c r="CC10" s="1"/>
  <c r="BY10" i="38"/>
  <c r="CC10" s="1"/>
  <c r="BQ29" i="62"/>
  <c r="BU29" s="1"/>
  <c r="BQ29" i="38"/>
  <c r="BU29" s="1"/>
  <c r="BY38" i="62"/>
  <c r="CC38" s="1"/>
  <c r="BY38" i="38"/>
  <c r="CC38" s="1"/>
  <c r="BQ28" i="62"/>
  <c r="BU28" s="1"/>
  <c r="BQ28" i="38"/>
  <c r="BU28" s="1"/>
  <c r="BY23"/>
  <c r="CC23" s="1"/>
  <c r="BY23" i="62"/>
  <c r="CC23" s="1"/>
  <c r="CG8"/>
  <c r="CK8" s="1"/>
  <c r="CG8" i="38"/>
  <c r="CK8" s="1"/>
  <c r="CG45" i="62"/>
  <c r="CK45" s="1"/>
  <c r="CG45" i="38"/>
  <c r="CK45" s="1"/>
  <c r="M15" i="62"/>
  <c r="Q15" s="1"/>
  <c r="M15" i="38"/>
  <c r="Q15" s="1"/>
  <c r="AC30"/>
  <c r="AG30" s="1"/>
  <c r="AC30" i="62"/>
  <c r="AG30" s="1"/>
  <c r="AS42" i="38"/>
  <c r="AW42" s="1"/>
  <c r="AS42" i="62"/>
  <c r="AW42" s="1"/>
  <c r="BY44" i="38"/>
  <c r="CC44" s="1"/>
  <c r="BY44" i="62"/>
  <c r="CC44" s="1"/>
  <c r="BQ25" i="38"/>
  <c r="BU25" s="1"/>
  <c r="BQ25" i="62"/>
  <c r="BU25" s="1"/>
  <c r="BI28" i="38"/>
  <c r="BM28" s="1"/>
  <c r="BI28" i="62"/>
  <c r="BM28" s="1"/>
  <c r="AS33" i="38"/>
  <c r="AW33" s="1"/>
  <c r="AS33" i="62"/>
  <c r="AW33" s="1"/>
  <c r="E9" i="38"/>
  <c r="I9" s="1"/>
  <c r="E9" i="62"/>
  <c r="I9" s="1"/>
  <c r="U19"/>
  <c r="Y19" s="1"/>
  <c r="U19" i="38"/>
  <c r="Y19" s="1"/>
  <c r="Y50" s="1"/>
  <c r="AK33"/>
  <c r="AO33" s="1"/>
  <c r="AK33" i="62"/>
  <c r="AO33" s="1"/>
  <c r="BY14" i="38"/>
  <c r="CC14" s="1"/>
  <c r="BY14" i="62"/>
  <c r="CC14" s="1"/>
  <c r="BA15" i="38"/>
  <c r="BE15" s="1"/>
  <c r="BA15" i="62"/>
  <c r="BE15" s="1"/>
  <c r="E34" i="38"/>
  <c r="I34" s="1"/>
  <c r="E34" i="62"/>
  <c r="I34" s="1"/>
  <c r="CG29"/>
  <c r="CK29" s="1"/>
  <c r="CG29" i="38"/>
  <c r="CK29" s="1"/>
  <c r="AS26"/>
  <c r="AW26" s="1"/>
  <c r="AS26" i="62"/>
  <c r="AW26" s="1"/>
  <c r="BI26"/>
  <c r="BM26" s="1"/>
  <c r="BI26" i="38"/>
  <c r="BM26" s="1"/>
  <c r="AS40" i="62"/>
  <c r="AW40" s="1"/>
  <c r="AS40" i="38"/>
  <c r="AW40" s="1"/>
  <c r="AK26" i="62"/>
  <c r="AO26" s="1"/>
  <c r="AK26" i="38"/>
  <c r="AO26" s="1"/>
  <c r="BA24" i="62"/>
  <c r="BE24" s="1"/>
  <c r="BA24" i="38"/>
  <c r="BE24" s="1"/>
  <c r="BI40" i="62"/>
  <c r="BM40" s="1"/>
  <c r="BI40" i="38"/>
  <c r="BM40" s="1"/>
  <c r="AC29"/>
  <c r="AG29" s="1"/>
  <c r="AC29" i="62"/>
  <c r="AG29" s="1"/>
  <c r="BA34"/>
  <c r="BE34" s="1"/>
  <c r="BA34" i="38"/>
  <c r="BE34" s="1"/>
  <c r="E40"/>
  <c r="I40" s="1"/>
  <c r="E40" i="62"/>
  <c r="I40" s="1"/>
  <c r="E19" i="38"/>
  <c r="I19" s="1"/>
  <c r="E19" i="62"/>
  <c r="I19" s="1"/>
  <c r="CG37"/>
  <c r="CK37" s="1"/>
  <c r="CG37" i="38"/>
  <c r="CK37" s="1"/>
  <c r="CG31"/>
  <c r="CK31" s="1"/>
  <c r="CG31" i="62"/>
  <c r="CK31" s="1"/>
  <c r="AS27"/>
  <c r="AW27" s="1"/>
  <c r="AS27" i="38"/>
  <c r="AW27" s="1"/>
  <c r="M36"/>
  <c r="Q36" s="1"/>
  <c r="M36" i="62"/>
  <c r="Q36" s="1"/>
  <c r="BQ15"/>
  <c r="BU15" s="1"/>
  <c r="BQ15" i="38"/>
  <c r="BU15" s="1"/>
  <c r="AC39"/>
  <c r="AG39" s="1"/>
  <c r="AC39" i="62"/>
  <c r="AG39" s="1"/>
  <c r="AC14" i="38"/>
  <c r="AG14" s="1"/>
  <c r="AC14" i="62"/>
  <c r="AG14" s="1"/>
  <c r="CG26"/>
  <c r="CK26" s="1"/>
  <c r="CG26" i="38"/>
  <c r="CK26" s="1"/>
  <c r="U39"/>
  <c r="Y39" s="1"/>
  <c r="U39" i="62"/>
  <c r="Y39" s="1"/>
  <c r="BY42" i="38"/>
  <c r="CC42" s="1"/>
  <c r="BY42" i="62"/>
  <c r="CC42" s="1"/>
  <c r="BY26" i="38"/>
  <c r="CC26" s="1"/>
  <c r="BY26" i="62"/>
  <c r="CC26" s="1"/>
  <c r="BQ31" i="38"/>
  <c r="BU31" s="1"/>
  <c r="BQ31" i="62"/>
  <c r="BU31" s="1"/>
  <c r="CG30" i="38"/>
  <c r="CK30" s="1"/>
  <c r="CG30" i="62"/>
  <c r="CK30" s="1"/>
  <c r="BY24" i="38"/>
  <c r="CC24" s="1"/>
  <c r="BY24" i="62"/>
  <c r="CC24" s="1"/>
  <c r="BA25" i="38"/>
  <c r="BE25" s="1"/>
  <c r="BA25" i="62"/>
  <c r="BE25" s="1"/>
  <c r="BY34"/>
  <c r="CC34" s="1"/>
  <c r="BY34" i="38"/>
  <c r="CC34" s="1"/>
  <c r="AS9" i="62"/>
  <c r="AW9" s="1"/>
  <c r="AS9" i="38"/>
  <c r="AW9" s="1"/>
  <c r="E10" i="62"/>
  <c r="I10" s="1"/>
  <c r="E10" i="38"/>
  <c r="I10" s="1"/>
  <c r="M34"/>
  <c r="Q34" s="1"/>
  <c r="M34" i="62"/>
  <c r="Q34" s="1"/>
  <c r="BA27" i="38"/>
  <c r="BE27" s="1"/>
  <c r="BA27" i="62"/>
  <c r="BE27" s="1"/>
  <c r="BA44"/>
  <c r="BE44" s="1"/>
  <c r="BA44" i="38"/>
  <c r="BE44" s="1"/>
  <c r="U28" i="62"/>
  <c r="Y28" s="1"/>
  <c r="U28" i="38"/>
  <c r="Y28" s="1"/>
  <c r="M29" i="62"/>
  <c r="Q29" s="1"/>
  <c r="M29" i="38"/>
  <c r="Q29" s="1"/>
  <c r="BY31" i="62"/>
  <c r="CC31" s="1"/>
  <c r="BY31" i="38"/>
  <c r="CC31" s="1"/>
  <c r="AC23" i="62"/>
  <c r="AG23" s="1"/>
  <c r="AC23" i="38"/>
  <c r="AG23" s="1"/>
  <c r="BA42" i="62"/>
  <c r="BE42" s="1"/>
  <c r="BA42" i="38"/>
  <c r="BE42" s="1"/>
  <c r="E42"/>
  <c r="I42" s="1"/>
  <c r="E42" i="62"/>
  <c r="I42" s="1"/>
  <c r="E17"/>
  <c r="I17" s="1"/>
  <c r="E17" i="38"/>
  <c r="I17" s="1"/>
  <c r="AK15"/>
  <c r="AO15" s="1"/>
  <c r="AK15" i="62"/>
  <c r="AO15" s="1"/>
  <c r="AK20" i="38"/>
  <c r="AO20" s="1"/>
  <c r="AK20" i="62"/>
  <c r="AO20" s="1"/>
  <c r="U15"/>
  <c r="Y15" s="1"/>
  <c r="U15" i="38"/>
  <c r="Y15" s="1"/>
  <c r="M44"/>
  <c r="Q44" s="1"/>
  <c r="M44" i="62"/>
  <c r="Q44" s="1"/>
  <c r="M27" i="38"/>
  <c r="Q27" s="1"/>
  <c r="M27" i="62"/>
  <c r="Q27" s="1"/>
  <c r="AC25"/>
  <c r="AG25" s="1"/>
  <c r="AC25" i="38"/>
  <c r="AG25" s="1"/>
  <c r="BQ33" i="62"/>
  <c r="BU33" s="1"/>
  <c r="BQ33" i="38"/>
  <c r="BU33" s="1"/>
  <c r="BY22" i="62"/>
  <c r="CC22" s="1"/>
  <c r="BY22" i="38"/>
  <c r="CC22" s="1"/>
  <c r="M10"/>
  <c r="Q10" s="1"/>
  <c r="M10" i="62"/>
  <c r="Q10" s="1"/>
  <c r="BI13" i="38"/>
  <c r="BM13" s="1"/>
  <c r="BI13" i="62"/>
  <c r="BM13" s="1"/>
  <c r="AS10"/>
  <c r="AW10" s="1"/>
  <c r="AS10" i="38"/>
  <c r="AW10" s="1"/>
  <c r="CG36" i="62"/>
  <c r="CK36" s="1"/>
  <c r="CG36" i="38"/>
  <c r="CK36" s="1"/>
  <c r="BA9"/>
  <c r="BE9" s="1"/>
  <c r="BA9" i="62"/>
  <c r="BE9" s="1"/>
  <c r="U20"/>
  <c r="Y20" s="1"/>
  <c r="U20" i="38"/>
  <c r="Y20" s="1"/>
  <c r="AK30" i="62"/>
  <c r="AO30" s="1"/>
  <c r="AK30" i="38"/>
  <c r="AO30" s="1"/>
  <c r="U16" i="62"/>
  <c r="Y16" s="1"/>
  <c r="U16" i="38"/>
  <c r="Y16" s="1"/>
  <c r="BA12" i="62"/>
  <c r="BE12" s="1"/>
  <c r="BA12" i="38"/>
  <c r="BE12" s="1"/>
  <c r="AK45"/>
  <c r="AO45" s="1"/>
  <c r="AK45" i="62"/>
  <c r="AO45" s="1"/>
  <c r="CG40"/>
  <c r="CK40" s="1"/>
  <c r="CG40" i="38"/>
  <c r="CK40" s="1"/>
  <c r="M13" i="62"/>
  <c r="Q13" s="1"/>
  <c r="M13" i="38"/>
  <c r="Q13" s="1"/>
  <c r="BQ24"/>
  <c r="BU24" s="1"/>
  <c r="BQ24" i="62"/>
  <c r="BU24" s="1"/>
  <c r="AK17" i="38"/>
  <c r="AO17" s="1"/>
  <c r="AK17" i="62"/>
  <c r="AO17" s="1"/>
  <c r="BA16" i="38"/>
  <c r="BE16" s="1"/>
  <c r="BA16" i="62"/>
  <c r="BE16" s="1"/>
  <c r="U26" i="38"/>
  <c r="Y26" s="1"/>
  <c r="U26" i="62"/>
  <c r="Y26" s="1"/>
  <c r="AK24" i="38"/>
  <c r="AO24" s="1"/>
  <c r="AK24" i="62"/>
  <c r="AO24" s="1"/>
  <c r="AC35" i="38"/>
  <c r="AG35" s="1"/>
  <c r="AC35" i="62"/>
  <c r="AG35" s="1"/>
  <c r="M40"/>
  <c r="Q40" s="1"/>
  <c r="M40" i="38"/>
  <c r="Q40" s="1"/>
  <c r="AC15" i="62"/>
  <c r="AG15" s="1"/>
  <c r="AC15" i="38"/>
  <c r="AG15" s="1"/>
  <c r="U45" i="62"/>
  <c r="Y45" s="1"/>
  <c r="U45" i="38"/>
  <c r="Y45" s="1"/>
  <c r="BI25" i="62"/>
  <c r="BM25" s="1"/>
  <c r="BI25" i="38"/>
  <c r="BM25" s="1"/>
  <c r="BY35"/>
  <c r="CC35" s="1"/>
  <c r="BY35" i="62"/>
  <c r="CC35" s="1"/>
  <c r="AC36"/>
  <c r="AG36" s="1"/>
  <c r="AC36" i="38"/>
  <c r="AG36" s="1"/>
  <c r="U43"/>
  <c r="Y43" s="1"/>
  <c r="U43" i="62"/>
  <c r="Y43" s="1"/>
  <c r="AS11" i="38"/>
  <c r="AW11" s="1"/>
  <c r="AS11" i="62"/>
  <c r="AW11" s="1"/>
  <c r="AS22" i="38"/>
  <c r="AW22" s="1"/>
  <c r="AS22" i="62"/>
  <c r="AW22" s="1"/>
  <c r="AK9"/>
  <c r="AO9" s="1"/>
  <c r="AK9" i="38"/>
  <c r="AO9" s="1"/>
  <c r="E24"/>
  <c r="I24" s="1"/>
  <c r="E24" i="62"/>
  <c r="I24" s="1"/>
  <c r="BQ26"/>
  <c r="BU26" s="1"/>
  <c r="BQ26" i="38"/>
  <c r="BU26" s="1"/>
  <c r="CG38" i="62"/>
  <c r="CK38" s="1"/>
  <c r="CG38" i="38"/>
  <c r="CK38" s="1"/>
  <c r="CG16"/>
  <c r="CK16" s="1"/>
  <c r="CG16" i="62"/>
  <c r="CK16" s="1"/>
  <c r="BY25"/>
  <c r="CC25" s="1"/>
  <c r="BY25" i="38"/>
  <c r="CC25" s="1"/>
  <c r="BA22" i="62"/>
  <c r="BE22" s="1"/>
  <c r="BA22" i="38"/>
  <c r="BE22" s="1"/>
  <c r="AK13"/>
  <c r="AO13" s="1"/>
  <c r="AK13" i="62"/>
  <c r="AO13" s="1"/>
  <c r="BQ42"/>
  <c r="BU42" s="1"/>
  <c r="BQ42" i="38"/>
  <c r="BU42" s="1"/>
  <c r="AK37" i="62"/>
  <c r="AO37" s="1"/>
  <c r="AK37" i="38"/>
  <c r="AO37" s="1"/>
  <c r="E39"/>
  <c r="I39" s="1"/>
  <c r="E39" i="62"/>
  <c r="I39" s="1"/>
  <c r="BQ14" i="38"/>
  <c r="BU14" s="1"/>
  <c r="BQ14" i="62"/>
  <c r="BU14" s="1"/>
  <c r="AS25"/>
  <c r="AW25" s="1"/>
  <c r="AS25" i="38"/>
  <c r="AW25" s="1"/>
  <c r="BI43"/>
  <c r="BM43" s="1"/>
  <c r="BI43" i="62"/>
  <c r="BM43" s="1"/>
  <c r="BY13" i="38"/>
  <c r="CC13" s="1"/>
  <c r="BY13" i="62"/>
  <c r="CC13" s="1"/>
  <c r="CG32"/>
  <c r="CK32" s="1"/>
  <c r="CG32" i="38"/>
  <c r="CK32" s="1"/>
  <c r="M42" i="62"/>
  <c r="Q42" s="1"/>
  <c r="M42" i="38"/>
  <c r="Q42" s="1"/>
  <c r="U8" i="62"/>
  <c r="Y8" s="1"/>
  <c r="U8" i="38"/>
  <c r="Y8" s="1"/>
  <c r="M16"/>
  <c r="Q16" s="1"/>
  <c r="M16" i="62"/>
  <c r="Q16" s="1"/>
  <c r="CG42"/>
  <c r="CK42" s="1"/>
  <c r="CG42" i="38"/>
  <c r="CK42" s="1"/>
  <c r="CG35"/>
  <c r="CK35" s="1"/>
  <c r="CG35" i="62"/>
  <c r="CK35" s="1"/>
  <c r="M33"/>
  <c r="Q33" s="1"/>
  <c r="M33" i="38"/>
  <c r="Q33" s="1"/>
  <c r="U27" i="62"/>
  <c r="Y27" s="1"/>
  <c r="U27" i="38"/>
  <c r="Y27" s="1"/>
  <c r="AK12" i="62"/>
  <c r="AO12" s="1"/>
  <c r="AK12" i="38"/>
  <c r="AO12" s="1"/>
  <c r="AS23" i="62"/>
  <c r="AW23" s="1"/>
  <c r="AS23" i="38"/>
  <c r="AW23" s="1"/>
  <c r="AC46" i="62"/>
  <c r="AC46" i="38"/>
  <c r="AG46" s="1"/>
  <c r="BI46" i="62"/>
  <c r="BI46" i="38"/>
  <c r="BM46" s="1"/>
  <c r="CG46" i="62"/>
  <c r="CK46" s="1"/>
  <c r="CG46" i="38"/>
  <c r="CK46" s="1"/>
  <c r="BQ46" i="62"/>
  <c r="BU46" s="1"/>
  <c r="BQ46" i="38"/>
  <c r="BU46" s="1"/>
  <c r="U46" i="62"/>
  <c r="U46" i="38"/>
  <c r="Y46" s="1"/>
  <c r="AC9"/>
  <c r="AG9" s="1"/>
  <c r="AC9" i="62"/>
  <c r="AG9" s="1"/>
  <c r="CG27"/>
  <c r="CK27" s="1"/>
  <c r="CG27" i="38"/>
  <c r="CK27" s="1"/>
  <c r="BQ40"/>
  <c r="BU40" s="1"/>
  <c r="BQ40" i="62"/>
  <c r="BU40" s="1"/>
  <c r="U34"/>
  <c r="Y34" s="1"/>
  <c r="U34" i="38"/>
  <c r="Y34" s="1"/>
  <c r="BQ9"/>
  <c r="BU9" s="1"/>
  <c r="BQ9" i="62"/>
  <c r="BU9" s="1"/>
  <c r="E25" i="38"/>
  <c r="I25" s="1"/>
  <c r="E25" i="62"/>
  <c r="I25" s="1"/>
  <c r="CG23" i="38"/>
  <c r="CK23" s="1"/>
  <c r="CG23" i="62"/>
  <c r="CK23" s="1"/>
  <c r="U13" i="38"/>
  <c r="Y13" s="1"/>
  <c r="U13" i="62"/>
  <c r="Y13" s="1"/>
  <c r="AS32"/>
  <c r="AW32" s="1"/>
  <c r="AS32" i="38"/>
  <c r="AW32" s="1"/>
  <c r="AS43"/>
  <c r="AW43" s="1"/>
  <c r="AS43" i="62"/>
  <c r="AW43" s="1"/>
  <c r="BA32"/>
  <c r="BE32" s="1"/>
  <c r="BA32" i="38"/>
  <c r="BE32" s="1"/>
  <c r="CG15"/>
  <c r="CK15" s="1"/>
  <c r="CG15" i="62"/>
  <c r="CK15" s="1"/>
  <c r="AS36"/>
  <c r="AW36" s="1"/>
  <c r="AS36" i="38"/>
  <c r="AW36" s="1"/>
  <c r="BY37" i="62"/>
  <c r="CC37" s="1"/>
  <c r="BY37" i="38"/>
  <c r="CC37" s="1"/>
  <c r="BA36"/>
  <c r="BE36" s="1"/>
  <c r="BA36" i="62"/>
  <c r="BE36" s="1"/>
  <c r="E36"/>
  <c r="I36" s="1"/>
  <c r="E36" i="38"/>
  <c r="I36" s="1"/>
  <c r="M43"/>
  <c r="Q43" s="1"/>
  <c r="M43" i="62"/>
  <c r="Q43" s="1"/>
  <c r="AC41" i="38"/>
  <c r="AG41" s="1"/>
  <c r="AC41" i="62"/>
  <c r="AG41" s="1"/>
  <c r="AS21"/>
  <c r="AW21" s="1"/>
  <c r="AS21" i="38"/>
  <c r="AW21" s="1"/>
  <c r="BI15" i="62"/>
  <c r="BM15" s="1"/>
  <c r="BI15" i="38"/>
  <c r="BM15" s="1"/>
  <c r="E28"/>
  <c r="I28" s="1"/>
  <c r="E28" i="62"/>
  <c r="I28" s="1"/>
  <c r="BQ8" i="38"/>
  <c r="BU8" s="1"/>
  <c r="BQ8" i="62"/>
  <c r="BU8" s="1"/>
  <c r="BI23"/>
  <c r="BM23" s="1"/>
  <c r="BI23" i="38"/>
  <c r="BM23" s="1"/>
  <c r="AS38" i="62"/>
  <c r="AW38" s="1"/>
  <c r="AS38" i="38"/>
  <c r="AW38" s="1"/>
  <c r="AS39" i="62"/>
  <c r="AW39" s="1"/>
  <c r="AS39" i="38"/>
  <c r="AW39" s="1"/>
  <c r="BI21" i="62"/>
  <c r="BM21" s="1"/>
  <c r="BI21" i="38"/>
  <c r="BM21" s="1"/>
  <c r="AS20"/>
  <c r="AW20" s="1"/>
  <c r="AS20" i="62"/>
  <c r="AW20" s="1"/>
  <c r="BI37"/>
  <c r="BM37" s="1"/>
  <c r="BI37" i="38"/>
  <c r="BM37" s="1"/>
  <c r="AC16"/>
  <c r="AG16" s="1"/>
  <c r="AC16" i="62"/>
  <c r="AG16" s="1"/>
  <c r="CG12" i="38"/>
  <c r="CK12" s="1"/>
  <c r="CG12" i="62"/>
  <c r="CK12" s="1"/>
  <c r="M39" i="38"/>
  <c r="Q39" s="1"/>
  <c r="M39" i="62"/>
  <c r="Q39" s="1"/>
  <c r="BY8" i="38"/>
  <c r="CC8" s="1"/>
  <c r="BY8" i="62"/>
  <c r="CC8" s="1"/>
  <c r="BY43" i="38"/>
  <c r="CC43" s="1"/>
  <c r="BY43" i="62"/>
  <c r="CC43" s="1"/>
  <c r="U25" i="38"/>
  <c r="Y25" s="1"/>
  <c r="U25" i="62"/>
  <c r="Y25" s="1"/>
  <c r="AC37" i="38"/>
  <c r="AG37" s="1"/>
  <c r="AC37" i="62"/>
  <c r="AG37" s="1"/>
  <c r="E38"/>
  <c r="I38" s="1"/>
  <c r="E38" i="38"/>
  <c r="I38" s="1"/>
  <c r="AC19" i="62"/>
  <c r="AG19" s="1"/>
  <c r="AC19" i="38"/>
  <c r="AG19" s="1"/>
  <c r="AS35"/>
  <c r="AW35" s="1"/>
  <c r="AS35" i="62"/>
  <c r="AW35" s="1"/>
  <c r="E8"/>
  <c r="I8" s="1"/>
  <c r="E8" i="38"/>
  <c r="I8" s="1"/>
  <c r="BA35" i="62"/>
  <c r="BE35" s="1"/>
  <c r="BA35" i="38"/>
  <c r="BE35" s="1"/>
  <c r="U22"/>
  <c r="Y22" s="1"/>
  <c r="U22" i="62"/>
  <c r="Y22" s="1"/>
  <c r="E21"/>
  <c r="I21" s="1"/>
  <c r="E21" i="38"/>
  <c r="I21" s="1"/>
  <c r="AC12" i="62"/>
  <c r="AG12" s="1"/>
  <c r="AC12" i="38"/>
  <c r="AG12" s="1"/>
  <c r="E31"/>
  <c r="I31" s="1"/>
  <c r="E31" i="62"/>
  <c r="I31" s="1"/>
  <c r="BI36"/>
  <c r="BM36" s="1"/>
  <c r="BI36" i="38"/>
  <c r="BM36" s="1"/>
  <c r="CG13"/>
  <c r="CK13" s="1"/>
  <c r="CG13" i="62"/>
  <c r="CK13" s="1"/>
  <c r="BQ36"/>
  <c r="BU36" s="1"/>
  <c r="BQ36" i="38"/>
  <c r="BU36" s="1"/>
  <c r="AS37" i="62"/>
  <c r="AW37" s="1"/>
  <c r="AS37" i="38"/>
  <c r="AW37" s="1"/>
  <c r="CG9" i="62"/>
  <c r="CK9" s="1"/>
  <c r="CG9" i="38"/>
  <c r="CK9" s="1"/>
  <c r="AS17"/>
  <c r="AW17" s="1"/>
  <c r="AS17" i="62"/>
  <c r="AW17" s="1"/>
  <c r="BI34"/>
  <c r="BM34" s="1"/>
  <c r="BI34" i="38"/>
  <c r="BM34" s="1"/>
  <c r="BA30"/>
  <c r="BE30" s="1"/>
  <c r="BA30" i="62"/>
  <c r="BE30" s="1"/>
  <c r="AK42" i="38"/>
  <c r="AO42" s="1"/>
  <c r="AK42" i="62"/>
  <c r="AO42" s="1"/>
  <c r="AC33" i="38"/>
  <c r="AG33" s="1"/>
  <c r="AC33" i="62"/>
  <c r="AG33" s="1"/>
  <c r="BY15" i="38"/>
  <c r="CC15" s="1"/>
  <c r="BY15" i="62"/>
  <c r="CC15" s="1"/>
  <c r="BA38" i="38"/>
  <c r="BE38" s="1"/>
  <c r="BA38" i="62"/>
  <c r="BE38" s="1"/>
  <c r="AK11"/>
  <c r="AO11" s="1"/>
  <c r="AK11" i="38"/>
  <c r="AO11" s="1"/>
  <c r="M35" i="62"/>
  <c r="Q35" s="1"/>
  <c r="M35" i="38"/>
  <c r="Q35" s="1"/>
  <c r="BA17" i="62"/>
  <c r="BE17" s="1"/>
  <c r="BA17" i="38"/>
  <c r="BE17" s="1"/>
  <c r="AK21"/>
  <c r="AO21" s="1"/>
  <c r="AK21" i="62"/>
  <c r="AO21" s="1"/>
  <c r="BI27" i="38"/>
  <c r="BM27" s="1"/>
  <c r="BI27" i="62"/>
  <c r="BM27" s="1"/>
  <c r="BI29" i="38"/>
  <c r="BM29" s="1"/>
  <c r="BI29" i="62"/>
  <c r="BM29" s="1"/>
  <c r="E44"/>
  <c r="I44" s="1"/>
  <c r="E44" i="38"/>
  <c r="I44" s="1"/>
  <c r="CG20"/>
  <c r="CK20" s="1"/>
  <c r="CG20" i="62"/>
  <c r="CK20" s="1"/>
  <c r="AK34"/>
  <c r="AO34" s="1"/>
  <c r="AK34" i="38"/>
  <c r="AO34" s="1"/>
  <c r="E43" i="62"/>
  <c r="I43" s="1"/>
  <c r="E43" i="38"/>
  <c r="I43" s="1"/>
  <c r="BA21"/>
  <c r="BE21" s="1"/>
  <c r="BA21" i="62"/>
  <c r="BE21" s="1"/>
  <c r="BY41" i="38"/>
  <c r="CC41" s="1"/>
  <c r="BY41" i="62"/>
  <c r="CC41" s="1"/>
  <c r="AS19"/>
  <c r="AW19" s="1"/>
  <c r="AS19" i="38"/>
  <c r="AW19" s="1"/>
  <c r="BI32"/>
  <c r="BM32" s="1"/>
  <c r="BI32" i="62"/>
  <c r="BM32" s="1"/>
  <c r="E29"/>
  <c r="I29" s="1"/>
  <c r="E29" i="38"/>
  <c r="I29" s="1"/>
  <c r="BI19"/>
  <c r="BM19" s="1"/>
  <c r="BI19" i="62"/>
  <c r="BM19" s="1"/>
  <c r="BA28" i="38"/>
  <c r="BE28" s="1"/>
  <c r="BA28" i="62"/>
  <c r="BE28" s="1"/>
  <c r="AS44"/>
  <c r="AW44" s="1"/>
  <c r="AS44" i="38"/>
  <c r="AW44" s="1"/>
  <c r="AC32" i="62"/>
  <c r="AG32" s="1"/>
  <c r="AC32" i="38"/>
  <c r="AG32" s="1"/>
  <c r="BI9"/>
  <c r="BM9" s="1"/>
  <c r="BI9" i="62"/>
  <c r="BM9" s="1"/>
  <c r="U31" i="38"/>
  <c r="Y31" s="1"/>
  <c r="U31" i="62"/>
  <c r="Y31" s="1"/>
  <c r="BI42" i="38"/>
  <c r="BM42" s="1"/>
  <c r="BI42" i="62"/>
  <c r="BM42" s="1"/>
  <c r="E30"/>
  <c r="I30" s="1"/>
  <c r="E30" i="38"/>
  <c r="I30" s="1"/>
  <c r="AC13"/>
  <c r="AG13" s="1"/>
  <c r="AC13" i="62"/>
  <c r="AG13" s="1"/>
  <c r="E20" i="38"/>
  <c r="I20" s="1"/>
  <c r="E20" i="62"/>
  <c r="I20" s="1"/>
  <c r="BA20"/>
  <c r="BE20" s="1"/>
  <c r="BA20" i="38"/>
  <c r="BE20" s="1"/>
  <c r="BY19" i="62"/>
  <c r="CC19" s="1"/>
  <c r="BY19" i="38"/>
  <c r="CC19" s="1"/>
  <c r="BI41"/>
  <c r="BM41" s="1"/>
  <c r="BI41" i="62"/>
  <c r="BM41" s="1"/>
  <c r="BQ35"/>
  <c r="BU35" s="1"/>
  <c r="BQ35" i="38"/>
  <c r="BU35" s="1"/>
  <c r="M41"/>
  <c r="Q41" s="1"/>
  <c r="M41" i="62"/>
  <c r="Q41" s="1"/>
  <c r="AC10" i="38"/>
  <c r="AG10" s="1"/>
  <c r="AC10" i="62"/>
  <c r="AG10" s="1"/>
  <c r="CG41"/>
  <c r="CK41" s="1"/>
  <c r="CG41" i="38"/>
  <c r="CK41" s="1"/>
  <c r="BA11"/>
  <c r="BE11" s="1"/>
  <c r="BA11" i="62"/>
  <c r="BE11" s="1"/>
  <c r="BA13" i="38"/>
  <c r="BE13" s="1"/>
  <c r="BA13" i="62"/>
  <c r="BE13" s="1"/>
  <c r="AK29" i="38"/>
  <c r="AO29" s="1"/>
  <c r="AK29" i="62"/>
  <c r="AO29" s="1"/>
  <c r="AC8" i="38"/>
  <c r="AG8" s="1"/>
  <c r="AC8" i="62"/>
  <c r="AG8" s="1"/>
  <c r="M25"/>
  <c r="Q25" s="1"/>
  <c r="M25" i="38"/>
  <c r="Q25" s="1"/>
  <c r="E12" i="62"/>
  <c r="I12" s="1"/>
  <c r="E12" i="38"/>
  <c r="I12" s="1"/>
  <c r="AK35"/>
  <c r="AO35" s="1"/>
  <c r="AK35" i="62"/>
  <c r="AO35" s="1"/>
  <c r="BY20"/>
  <c r="CC20" s="1"/>
  <c r="BY20" i="38"/>
  <c r="CC20" s="1"/>
  <c r="AK43"/>
  <c r="AO43" s="1"/>
  <c r="AK43" i="62"/>
  <c r="AO43" s="1"/>
  <c r="BA31"/>
  <c r="BE31" s="1"/>
  <c r="BA31" i="38"/>
  <c r="BE31" s="1"/>
  <c r="AK10"/>
  <c r="AO10" s="1"/>
  <c r="AK10" i="62"/>
  <c r="AO10" s="1"/>
  <c r="M37" i="38"/>
  <c r="Q37" s="1"/>
  <c r="M37" i="62"/>
  <c r="Q37" s="1"/>
  <c r="U35" i="38"/>
  <c r="Y35" s="1"/>
  <c r="U35" i="62"/>
  <c r="Y35" s="1"/>
  <c r="AS24"/>
  <c r="AW24" s="1"/>
  <c r="AS24" i="38"/>
  <c r="AW24" s="1"/>
  <c r="BQ39" i="62"/>
  <c r="BU39" s="1"/>
  <c r="BQ39" i="38"/>
  <c r="BU39" s="1"/>
  <c r="U21"/>
  <c r="Y21" s="1"/>
  <c r="U21" i="62"/>
  <c r="Y21" s="1"/>
  <c r="M45"/>
  <c r="Q45" s="1"/>
  <c r="M45" i="38"/>
  <c r="Q45" s="1"/>
  <c r="AC38" i="62"/>
  <c r="AG38" s="1"/>
  <c r="AC38" i="38"/>
  <c r="AG38" s="1"/>
  <c r="BQ20" i="62"/>
  <c r="BU20" s="1"/>
  <c r="BQ20" i="38"/>
  <c r="BU20" s="1"/>
  <c r="AC17" i="62"/>
  <c r="AG17" s="1"/>
  <c r="AC17" i="38"/>
  <c r="AG17" s="1"/>
  <c r="M30"/>
  <c r="Q30" s="1"/>
  <c r="M30" i="62"/>
  <c r="Q30" s="1"/>
  <c r="BQ19"/>
  <c r="BU19" s="1"/>
  <c r="BQ19" i="38"/>
  <c r="BU19" s="1"/>
  <c r="BU50" s="1"/>
  <c r="AS13" i="62"/>
  <c r="AW13" s="1"/>
  <c r="AS13" i="38"/>
  <c r="AW13" s="1"/>
  <c r="BY21"/>
  <c r="CC21" s="1"/>
  <c r="BY21" i="62"/>
  <c r="CC21" s="1"/>
  <c r="CG44" i="38"/>
  <c r="CK44" s="1"/>
  <c r="CG44" i="62"/>
  <c r="CK44" s="1"/>
  <c r="BA41"/>
  <c r="BE41" s="1"/>
  <c r="BA41" i="38"/>
  <c r="BE41" s="1"/>
  <c r="BA33"/>
  <c r="BE33" s="1"/>
  <c r="BA33" i="62"/>
  <c r="BE33" s="1"/>
  <c r="BQ23" i="38"/>
  <c r="BU23" s="1"/>
  <c r="BQ23" i="62"/>
  <c r="BU23" s="1"/>
  <c r="BY30"/>
  <c r="CC30" s="1"/>
  <c r="BY30" i="38"/>
  <c r="CC30" s="1"/>
  <c r="AC21"/>
  <c r="AG21" s="1"/>
  <c r="AC21" i="62"/>
  <c r="AG21" s="1"/>
  <c r="U17"/>
  <c r="Y17" s="1"/>
  <c r="U17" i="38"/>
  <c r="Y17" s="1"/>
  <c r="AS14"/>
  <c r="AW14" s="1"/>
  <c r="AS14" i="62"/>
  <c r="AW14" s="1"/>
  <c r="AK44" i="38"/>
  <c r="AO44" s="1"/>
  <c r="AK44" i="62"/>
  <c r="AO44" s="1"/>
  <c r="BY36"/>
  <c r="CC36" s="1"/>
  <c r="BY36" i="38"/>
  <c r="CC36" s="1"/>
  <c r="BQ16"/>
  <c r="BU16" s="1"/>
  <c r="BQ16" i="62"/>
  <c r="BU16" s="1"/>
  <c r="BQ10"/>
  <c r="BU10" s="1"/>
  <c r="BQ10" i="38"/>
  <c r="BU10" s="1"/>
  <c r="M24"/>
  <c r="Q24" s="1"/>
  <c r="M24" i="62"/>
  <c r="Q24" s="1"/>
  <c r="U38"/>
  <c r="Y38" s="1"/>
  <c r="U38" i="38"/>
  <c r="Y38" s="1"/>
  <c r="BI30"/>
  <c r="BM30" s="1"/>
  <c r="BI30" i="62"/>
  <c r="BM30" s="1"/>
  <c r="BQ45"/>
  <c r="BU45" s="1"/>
  <c r="BQ45" i="38"/>
  <c r="BU45" s="1"/>
  <c r="AC28" i="62"/>
  <c r="AG28" s="1"/>
  <c r="AC28" i="38"/>
  <c r="AG28" s="1"/>
  <c r="M26"/>
  <c r="Q26" s="1"/>
  <c r="M26" i="62"/>
  <c r="Q26" s="1"/>
  <c r="E14" i="38"/>
  <c r="I14" s="1"/>
  <c r="E14" i="62"/>
  <c r="I14" s="1"/>
  <c r="BY11" i="38"/>
  <c r="CC11" s="1"/>
  <c r="BY11" i="62"/>
  <c r="CC11" s="1"/>
  <c r="U40" i="38"/>
  <c r="Y40" s="1"/>
  <c r="U40" i="62"/>
  <c r="Y40" s="1"/>
  <c r="U30" i="38"/>
  <c r="Y30" s="1"/>
  <c r="U30" i="62"/>
  <c r="Y30" s="1"/>
  <c r="BQ22" i="38"/>
  <c r="BU22" s="1"/>
  <c r="BQ22" i="62"/>
  <c r="BU22" s="1"/>
  <c r="AK22" i="38"/>
  <c r="AO22" s="1"/>
  <c r="AK22" i="62"/>
  <c r="AO22" s="1"/>
  <c r="AK38"/>
  <c r="AO38" s="1"/>
  <c r="AK38" i="38"/>
  <c r="AO38" s="1"/>
  <c r="BI33" i="62"/>
  <c r="BM33" s="1"/>
  <c r="BI33" i="38"/>
  <c r="BM33" s="1"/>
  <c r="AC45"/>
  <c r="AG45" s="1"/>
  <c r="AC45" i="62"/>
  <c r="AG45" s="1"/>
  <c r="BY27"/>
  <c r="CC27" s="1"/>
  <c r="BY27" i="38"/>
  <c r="CC27" s="1"/>
  <c r="AS41" i="62"/>
  <c r="AW41" s="1"/>
  <c r="AS41" i="38"/>
  <c r="AW41" s="1"/>
  <c r="AS34"/>
  <c r="AW34" s="1"/>
  <c r="AS34" i="62"/>
  <c r="AW34" s="1"/>
  <c r="M23" i="38"/>
  <c r="Q23" s="1"/>
  <c r="M23" i="62"/>
  <c r="Q23" s="1"/>
  <c r="CG43"/>
  <c r="CK43" s="1"/>
  <c r="CG43" i="38"/>
  <c r="CK43" s="1"/>
  <c r="U14"/>
  <c r="Y14" s="1"/>
  <c r="U14" i="62"/>
  <c r="Y14" s="1"/>
  <c r="BA29"/>
  <c r="BE29" s="1"/>
  <c r="BA29" i="38"/>
  <c r="BE29" s="1"/>
  <c r="BI20" i="62"/>
  <c r="BM20" s="1"/>
  <c r="BI20" i="38"/>
  <c r="BM20" s="1"/>
  <c r="M9"/>
  <c r="Q9" s="1"/>
  <c r="M9" i="62"/>
  <c r="Q9" s="1"/>
  <c r="BA43" i="38"/>
  <c r="BE43" s="1"/>
  <c r="BA43" i="62"/>
  <c r="BE43" s="1"/>
  <c r="E45"/>
  <c r="I45" s="1"/>
  <c r="E45" i="38"/>
  <c r="I45" s="1"/>
  <c r="M17" i="62"/>
  <c r="Q17" s="1"/>
  <c r="M17" i="38"/>
  <c r="Q17" s="1"/>
  <c r="BY32"/>
  <c r="CC32" s="1"/>
  <c r="BY32" i="62"/>
  <c r="CC32" s="1"/>
  <c r="AS31" i="38"/>
  <c r="AW31" s="1"/>
  <c r="AS31" i="62"/>
  <c r="AW31" s="1"/>
  <c r="U41"/>
  <c r="Y41" s="1"/>
  <c r="U41" i="38"/>
  <c r="Y41" s="1"/>
  <c r="E13"/>
  <c r="I13" s="1"/>
  <c r="E13" i="62"/>
  <c r="I13" s="1"/>
  <c r="AC11" i="38"/>
  <c r="AG11" s="1"/>
  <c r="AC11" i="62"/>
  <c r="AG11" s="1"/>
  <c r="BQ34"/>
  <c r="BU34" s="1"/>
  <c r="BQ34" i="38"/>
  <c r="BU34" s="1"/>
  <c r="AC42"/>
  <c r="AG42" s="1"/>
  <c r="AC42" i="62"/>
  <c r="AG42" s="1"/>
  <c r="M12"/>
  <c r="Q12" s="1"/>
  <c r="M12" i="38"/>
  <c r="Q12" s="1"/>
  <c r="BA10" i="62"/>
  <c r="BE10" s="1"/>
  <c r="BA10" i="38"/>
  <c r="BE10" s="1"/>
  <c r="BY28" i="62"/>
  <c r="CC28" s="1"/>
  <c r="BY28" i="38"/>
  <c r="CC28" s="1"/>
  <c r="AC27" i="62"/>
  <c r="AG27" s="1"/>
  <c r="AC27" i="38"/>
  <c r="AG27" s="1"/>
  <c r="AK27" i="62"/>
  <c r="AO27" s="1"/>
  <c r="AK27" i="38"/>
  <c r="AO27" s="1"/>
  <c r="U29" i="62"/>
  <c r="Y29" s="1"/>
  <c r="U29" i="38"/>
  <c r="Y29" s="1"/>
  <c r="AK41"/>
  <c r="AO41" s="1"/>
  <c r="AK41" i="62"/>
  <c r="AO41" s="1"/>
  <c r="AC40" i="38"/>
  <c r="AG40" s="1"/>
  <c r="AC40" i="62"/>
  <c r="AG40" s="1"/>
  <c r="CG24" i="38"/>
  <c r="CK24" s="1"/>
  <c r="CG24" i="62"/>
  <c r="CK24" s="1"/>
  <c r="BA40" i="38"/>
  <c r="BE40" s="1"/>
  <c r="BA40" i="62"/>
  <c r="BE40" s="1"/>
  <c r="BQ32" i="38"/>
  <c r="BU32" s="1"/>
  <c r="BQ32" i="62"/>
  <c r="BU32" s="1"/>
  <c r="AC26" i="38"/>
  <c r="AG26" s="1"/>
  <c r="AC26" i="62"/>
  <c r="AG26" s="1"/>
  <c r="CG10" i="38"/>
  <c r="CK10" s="1"/>
  <c r="CG10" i="62"/>
  <c r="CK10" s="1"/>
  <c r="M31" i="38"/>
  <c r="Q31" s="1"/>
  <c r="M31" i="62"/>
  <c r="Q31" s="1"/>
  <c r="U9"/>
  <c r="Y9" s="1"/>
  <c r="U9" i="38"/>
  <c r="Y9" s="1"/>
  <c r="U33" i="62"/>
  <c r="Y33" s="1"/>
  <c r="U33" i="38"/>
  <c r="Y33" s="1"/>
  <c r="BQ17"/>
  <c r="BU17" s="1"/>
  <c r="BQ17" i="62"/>
  <c r="BU17" s="1"/>
  <c r="AC22" i="38"/>
  <c r="AG22" s="1"/>
  <c r="AC22" i="62"/>
  <c r="AG22" s="1"/>
  <c r="AK28" i="38"/>
  <c r="AO28" s="1"/>
  <c r="AK28" i="62"/>
  <c r="AO28" s="1"/>
  <c r="M11" i="38"/>
  <c r="Q11" s="1"/>
  <c r="M11" i="62"/>
  <c r="Q11" s="1"/>
  <c r="AK14" i="38"/>
  <c r="AO14" s="1"/>
  <c r="AK14" i="62"/>
  <c r="AO14" s="1"/>
  <c r="AK39"/>
  <c r="AO39" s="1"/>
  <c r="AK39" i="38"/>
  <c r="AO39" s="1"/>
  <c r="BA45" i="62"/>
  <c r="BE45" s="1"/>
  <c r="BA45" i="38"/>
  <c r="BE45" s="1"/>
  <c r="AC34" i="62"/>
  <c r="AG34" s="1"/>
  <c r="AC34" i="38"/>
  <c r="AG34" s="1"/>
  <c r="E27"/>
  <c r="I27" s="1"/>
  <c r="E27" i="62"/>
  <c r="I27" s="1"/>
  <c r="E33" i="38"/>
  <c r="I33" s="1"/>
  <c r="E33" i="62"/>
  <c r="I33" s="1"/>
  <c r="E41"/>
  <c r="I41" s="1"/>
  <c r="E41" i="38"/>
  <c r="I41" s="1"/>
  <c r="BI38"/>
  <c r="BM38" s="1"/>
  <c r="BI38" i="62"/>
  <c r="BM38" s="1"/>
  <c r="AC31"/>
  <c r="AG31" s="1"/>
  <c r="AC31" i="38"/>
  <c r="AG31" s="1"/>
  <c r="BQ44"/>
  <c r="BU44" s="1"/>
  <c r="BQ44" i="62"/>
  <c r="BU44" s="1"/>
  <c r="BY17" i="38"/>
  <c r="CC17" s="1"/>
  <c r="BY17" i="62"/>
  <c r="CC17" s="1"/>
  <c r="AC20" i="38"/>
  <c r="AG20" s="1"/>
  <c r="AC20" i="62"/>
  <c r="AG20" s="1"/>
  <c r="AS15" i="38"/>
  <c r="AW15" s="1"/>
  <c r="AS15" i="62"/>
  <c r="AW15" s="1"/>
  <c r="CG14"/>
  <c r="CK14" s="1"/>
  <c r="CG14" i="38"/>
  <c r="CK14" s="1"/>
  <c r="AK25"/>
  <c r="AO25" s="1"/>
  <c r="AK25" i="62"/>
  <c r="AO25" s="1"/>
  <c r="BQ12"/>
  <c r="BU12" s="1"/>
  <c r="BQ12" i="38"/>
  <c r="BU12" s="1"/>
  <c r="BQ11" i="62"/>
  <c r="BU11" s="1"/>
  <c r="BQ11" i="38"/>
  <c r="BU11" s="1"/>
  <c r="M20" i="62"/>
  <c r="Q20" s="1"/>
  <c r="M20" i="38"/>
  <c r="Q20" s="1"/>
  <c r="BI31" i="62"/>
  <c r="BM31" s="1"/>
  <c r="BI31" i="38"/>
  <c r="BM31" s="1"/>
  <c r="BQ27" i="62"/>
  <c r="BU27" s="1"/>
  <c r="BQ27" i="38"/>
  <c r="BU27" s="1"/>
  <c r="M22"/>
  <c r="Q22" s="1"/>
  <c r="M22" i="62"/>
  <c r="Q22" s="1"/>
  <c r="BY29" i="38"/>
  <c r="CC29" s="1"/>
  <c r="BY29" i="62"/>
  <c r="CC29" s="1"/>
  <c r="BA26"/>
  <c r="BE26" s="1"/>
  <c r="BA26" i="38"/>
  <c r="BE26" s="1"/>
  <c r="AK46" i="62"/>
  <c r="AK46" i="38"/>
  <c r="AO46" s="1"/>
  <c r="BA46" i="62"/>
  <c r="BA46" i="38"/>
  <c r="BE46" s="1"/>
  <c r="E46" i="62"/>
  <c r="E46" i="38"/>
  <c r="I46" s="1"/>
  <c r="BY46" i="62"/>
  <c r="CC46" s="1"/>
  <c r="BY46" i="38"/>
  <c r="CC46" s="1"/>
  <c r="AS46" i="62"/>
  <c r="AS46" i="38"/>
  <c r="AW46" s="1"/>
  <c r="M46" i="62"/>
  <c r="M46" i="38"/>
  <c r="Q46" s="1"/>
  <c r="U23"/>
  <c r="Y23" s="1"/>
  <c r="U23" i="62"/>
  <c r="Y23" s="1"/>
  <c r="AK31" i="38"/>
  <c r="AO31" s="1"/>
  <c r="AK31" i="62"/>
  <c r="AO31" s="1"/>
  <c r="CG28"/>
  <c r="CK28" s="1"/>
  <c r="CG28" i="38"/>
  <c r="CK28" s="1"/>
  <c r="AS45" i="62"/>
  <c r="AW45" s="1"/>
  <c r="AS45" i="38"/>
  <c r="AW45" s="1"/>
  <c r="BQ43" i="62"/>
  <c r="BU43" s="1"/>
  <c r="BQ43" i="38"/>
  <c r="BU43" s="1"/>
  <c r="U37"/>
  <c r="Y37" s="1"/>
  <c r="U37" i="62"/>
  <c r="Y37" s="1"/>
  <c r="AC43" i="38"/>
  <c r="AG43" s="1"/>
  <c r="AC43" i="62"/>
  <c r="AG43" s="1"/>
  <c r="AK16" i="38"/>
  <c r="AO16" s="1"/>
  <c r="AK16" i="62"/>
  <c r="AO16" s="1"/>
  <c r="AS28"/>
  <c r="AW28" s="1"/>
  <c r="AS28" i="38"/>
  <c r="AW28" s="1"/>
  <c r="CG11" i="62"/>
  <c r="CK11" s="1"/>
  <c r="CG11" i="38"/>
  <c r="CK11" s="1"/>
  <c r="BA37"/>
  <c r="BE37" s="1"/>
  <c r="BA37" i="62"/>
  <c r="BE37" s="1"/>
  <c r="E26"/>
  <c r="I26" s="1"/>
  <c r="E26" i="38"/>
  <c r="I26" s="1"/>
  <c r="E22"/>
  <c r="I22" s="1"/>
  <c r="E22" i="62"/>
  <c r="I22" s="1"/>
  <c r="BQ30"/>
  <c r="BU30" s="1"/>
  <c r="BQ30" i="38"/>
  <c r="BU30" s="1"/>
  <c r="M19"/>
  <c r="Q19" s="1"/>
  <c r="M19" i="62"/>
  <c r="Q19" s="1"/>
  <c r="E32"/>
  <c r="I32" s="1"/>
  <c r="E32" i="38"/>
  <c r="I32" s="1"/>
  <c r="BQ38" i="62"/>
  <c r="BU38" s="1"/>
  <c r="BQ38" i="38"/>
  <c r="BU38" s="1"/>
  <c r="BI8"/>
  <c r="BM8" s="1"/>
  <c r="BI8" i="62"/>
  <c r="BM8" s="1"/>
  <c r="CG17"/>
  <c r="CK17" s="1"/>
  <c r="CG17" i="38"/>
  <c r="CK17" s="1"/>
  <c r="AC24" i="62"/>
  <c r="AG24" s="1"/>
  <c r="AC24" i="38"/>
  <c r="AG24" s="1"/>
  <c r="E37"/>
  <c r="I37" s="1"/>
  <c r="E37" i="62"/>
  <c r="I37" s="1"/>
  <c r="E16" i="38"/>
  <c r="I16" s="1"/>
  <c r="E16" i="62"/>
  <c r="I16" s="1"/>
  <c r="BA8"/>
  <c r="BE8" s="1"/>
  <c r="BA8" i="38"/>
  <c r="BE8" s="1"/>
  <c r="U10" i="62"/>
  <c r="Y10" s="1"/>
  <c r="U10" i="38"/>
  <c r="Y10" s="1"/>
  <c r="E35"/>
  <c r="I35" s="1"/>
  <c r="E35" i="62"/>
  <c r="I35" s="1"/>
  <c r="E11"/>
  <c r="I11" s="1"/>
  <c r="E11" i="38"/>
  <c r="I11" s="1"/>
  <c r="BY40"/>
  <c r="CC40" s="1"/>
  <c r="BY40" i="62"/>
  <c r="CC40" s="1"/>
  <c r="BA14"/>
  <c r="BE14" s="1"/>
  <c r="BA14" i="38"/>
  <c r="BE14" s="1"/>
  <c r="AS30" i="62"/>
  <c r="AW30" s="1"/>
  <c r="AS30" i="38"/>
  <c r="AW30" s="1"/>
  <c r="M14" i="62"/>
  <c r="Q14" s="1"/>
  <c r="M14" i="38"/>
  <c r="Q14" s="1"/>
  <c r="E23"/>
  <c r="I23" s="1"/>
  <c r="E23" i="62"/>
  <c r="I23" s="1"/>
  <c r="CG19"/>
  <c r="CK19" s="1"/>
  <c r="CG19" i="38"/>
  <c r="CK19" s="1"/>
  <c r="CG33" i="62"/>
  <c r="CK33" s="1"/>
  <c r="CG33" i="38"/>
  <c r="CK33" s="1"/>
  <c r="U24"/>
  <c r="Y24" s="1"/>
  <c r="U24" i="62"/>
  <c r="Y24" s="1"/>
  <c r="AK8"/>
  <c r="AO8" s="1"/>
  <c r="AK8" i="38"/>
  <c r="AO8" s="1"/>
  <c r="BA39"/>
  <c r="BE39" s="1"/>
  <c r="BA39" i="62"/>
  <c r="BE39" s="1"/>
  <c r="CG39"/>
  <c r="CK39" s="1"/>
  <c r="CG39" i="38"/>
  <c r="CK39" s="1"/>
  <c r="BI11" i="62"/>
  <c r="BM11" s="1"/>
  <c r="BI11" i="38"/>
  <c r="BM11" s="1"/>
  <c r="AS8" i="62"/>
  <c r="AW8" s="1"/>
  <c r="AS8" i="38"/>
  <c r="AW8" s="1"/>
  <c r="BQ21" i="62"/>
  <c r="BU21" s="1"/>
  <c r="BQ21" i="38"/>
  <c r="BU21" s="1"/>
  <c r="BQ13" i="62"/>
  <c r="BU13" s="1"/>
  <c r="BQ13" i="38"/>
  <c r="BU13" s="1"/>
  <c r="BI16"/>
  <c r="BM16" s="1"/>
  <c r="BI16" i="62"/>
  <c r="BM16" s="1"/>
  <c r="BA19" i="38"/>
  <c r="BE19" s="1"/>
  <c r="BA19" i="62"/>
  <c r="BE19" s="1"/>
  <c r="BI44"/>
  <c r="BM44" s="1"/>
  <c r="BI44" i="38"/>
  <c r="BM44" s="1"/>
  <c r="BI14"/>
  <c r="BM14" s="1"/>
  <c r="BI14" i="62"/>
  <c r="BM14" s="1"/>
  <c r="E15" i="38"/>
  <c r="I15" s="1"/>
  <c r="E15" i="62"/>
  <c r="I15" s="1"/>
  <c r="BY12" i="38"/>
  <c r="CC12" s="1"/>
  <c r="BY12" i="62"/>
  <c r="CC12" s="1"/>
  <c r="BY33" i="38"/>
  <c r="CC33" s="1"/>
  <c r="BY33" i="62"/>
  <c r="CC33" s="1"/>
  <c r="AC44" i="38"/>
  <c r="AG44" s="1"/>
  <c r="AC44" i="62"/>
  <c r="AG44" s="1"/>
  <c r="M8"/>
  <c r="Q8" s="1"/>
  <c r="M8" i="38"/>
  <c r="Q8" s="1"/>
  <c r="AK40" i="62"/>
  <c r="AO40" s="1"/>
  <c r="AK40" i="38"/>
  <c r="AO40" s="1"/>
  <c r="BQ41" i="62"/>
  <c r="BU41" s="1"/>
  <c r="BQ41" i="38"/>
  <c r="BU41" s="1"/>
  <c r="K52" i="19"/>
  <c r="E47" i="62"/>
  <c r="I47" s="1"/>
  <c r="E47" i="38"/>
  <c r="AO52" i="19"/>
  <c r="AC47" i="62"/>
  <c r="AG47" s="1"/>
  <c r="AC47" i="38"/>
  <c r="CW52" i="19"/>
  <c r="BY47" i="38"/>
  <c r="BY47" i="62"/>
  <c r="BS52" i="19"/>
  <c r="BA47" i="38"/>
  <c r="BA47" i="62"/>
  <c r="BE47" s="1"/>
  <c r="CC52" i="19"/>
  <c r="BI47" i="62"/>
  <c r="BM47" s="1"/>
  <c r="BI47" i="38"/>
  <c r="CM52" i="19"/>
  <c r="BQ47" i="62"/>
  <c r="BQ47" i="38"/>
  <c r="U52" i="19"/>
  <c r="M47" i="38"/>
  <c r="M47" i="62"/>
  <c r="Q47" s="1"/>
  <c r="BI52" i="19"/>
  <c r="AS47" i="38"/>
  <c r="AS47" i="62"/>
  <c r="AW47" s="1"/>
  <c r="AY52" i="19"/>
  <c r="AK47" i="62"/>
  <c r="AO47" s="1"/>
  <c r="AK47" i="38"/>
  <c r="DG52" i="19"/>
  <c r="CG47" i="38"/>
  <c r="CG47" i="62"/>
  <c r="AE52" i="19"/>
  <c r="U47" i="38"/>
  <c r="U47" i="62"/>
  <c r="Y47" s="1"/>
  <c r="CF41" i="38"/>
  <c r="CF41" i="62"/>
  <c r="CJ41" s="1"/>
  <c r="BO38" i="40" s="1"/>
  <c r="CF35" i="62"/>
  <c r="CJ35" s="1"/>
  <c r="BO32" i="40" s="1"/>
  <c r="CF35" i="38"/>
  <c r="L21" i="204" s="1"/>
  <c r="D44" i="62"/>
  <c r="H44" s="1"/>
  <c r="BE41" i="40" s="1"/>
  <c r="D44" i="38"/>
  <c r="BX30" i="62"/>
  <c r="CB30" s="1"/>
  <c r="BN27" i="40" s="1"/>
  <c r="BX30" i="38"/>
  <c r="AZ14" i="62"/>
  <c r="BD14" s="1"/>
  <c r="BK11" i="40" s="1"/>
  <c r="AZ14" i="38"/>
  <c r="S11" i="40" s="1"/>
  <c r="D12" i="62"/>
  <c r="H12" s="1"/>
  <c r="BE9" i="40" s="1"/>
  <c r="D12" i="38"/>
  <c r="M9" i="40" s="1"/>
  <c r="CF39" i="38"/>
  <c r="CF39" i="62"/>
  <c r="CJ39" s="1"/>
  <c r="BO36" i="40" s="1"/>
  <c r="AR17" i="38"/>
  <c r="R14" i="40" s="1"/>
  <c r="AR17" i="62"/>
  <c r="AV17" s="1"/>
  <c r="BJ14" i="40" s="1"/>
  <c r="L40" i="62"/>
  <c r="P40" s="1"/>
  <c r="BF37" i="40" s="1"/>
  <c r="L40" i="38"/>
  <c r="C26" i="204" s="1"/>
  <c r="D31" i="62"/>
  <c r="H31" s="1"/>
  <c r="BE28" i="40" s="1"/>
  <c r="D31" i="38"/>
  <c r="AZ28" i="62"/>
  <c r="BD28" s="1"/>
  <c r="BK25" i="40" s="1"/>
  <c r="AZ28" i="38"/>
  <c r="AZ26"/>
  <c r="AZ26" i="62"/>
  <c r="BD26" s="1"/>
  <c r="BK23" i="40" s="1"/>
  <c r="BX11" i="62"/>
  <c r="CB11" s="1"/>
  <c r="BN8" i="40" s="1"/>
  <c r="BX11" i="38"/>
  <c r="V8" i="40" s="1"/>
  <c r="BX37" i="62"/>
  <c r="CB37" s="1"/>
  <c r="BN34" i="40" s="1"/>
  <c r="BX37" i="38"/>
  <c r="BH8"/>
  <c r="T5" i="40" s="1"/>
  <c r="BH8" i="62"/>
  <c r="BL8" s="1"/>
  <c r="BL5" i="40" s="1"/>
  <c r="BP39" i="38"/>
  <c r="BP39" i="62"/>
  <c r="BT39" s="1"/>
  <c r="BM36" i="40" s="1"/>
  <c r="CF44" i="38"/>
  <c r="CF44" i="62"/>
  <c r="CJ44" s="1"/>
  <c r="BO41" i="40" s="1"/>
  <c r="D40" i="38"/>
  <c r="D40" i="62"/>
  <c r="H40" s="1"/>
  <c r="BE37" i="40" s="1"/>
  <c r="AJ44" i="62"/>
  <c r="AN44" s="1"/>
  <c r="BI41" i="40" s="1"/>
  <c r="AJ44" i="38"/>
  <c r="CF30" i="62"/>
  <c r="CJ30" s="1"/>
  <c r="BO27" i="40" s="1"/>
  <c r="CF30" i="38"/>
  <c r="BH45" i="62"/>
  <c r="BL45" s="1"/>
  <c r="BL42" i="40" s="1"/>
  <c r="BH45" i="38"/>
  <c r="BH35" i="62"/>
  <c r="BL35" s="1"/>
  <c r="BL32" i="40" s="1"/>
  <c r="BH35" i="38"/>
  <c r="I21" i="204" s="1"/>
  <c r="T23" i="62"/>
  <c r="X23" s="1"/>
  <c r="BG20" i="40" s="1"/>
  <c r="T23" i="38"/>
  <c r="BP13"/>
  <c r="U10" i="40" s="1"/>
  <c r="BP13" i="62"/>
  <c r="BT13" s="1"/>
  <c r="BM10" i="40" s="1"/>
  <c r="AJ20" i="62"/>
  <c r="AN20" s="1"/>
  <c r="BI17" i="40" s="1"/>
  <c r="AJ20" i="38"/>
  <c r="CF8"/>
  <c r="W5" i="40" s="1"/>
  <c r="CF8" i="62"/>
  <c r="CJ8" s="1"/>
  <c r="BO5" i="40" s="1"/>
  <c r="BH17" i="62"/>
  <c r="BL17" s="1"/>
  <c r="BL14" i="40" s="1"/>
  <c r="BH17" i="38"/>
  <c r="T14" i="40" s="1"/>
  <c r="BP23" i="62"/>
  <c r="BT23" s="1"/>
  <c r="BM20" i="40" s="1"/>
  <c r="BP23" i="38"/>
  <c r="AJ41" i="62"/>
  <c r="AN41" s="1"/>
  <c r="BI38" i="40" s="1"/>
  <c r="AJ41" i="38"/>
  <c r="BH36" i="62"/>
  <c r="BL36" s="1"/>
  <c r="BL33" i="40" s="1"/>
  <c r="BH36" i="38"/>
  <c r="BX36" i="62"/>
  <c r="CB36" s="1"/>
  <c r="BN33" i="40" s="1"/>
  <c r="BX36" i="38"/>
  <c r="D34" i="62"/>
  <c r="H34" s="1"/>
  <c r="BE31" i="40" s="1"/>
  <c r="D34" i="38"/>
  <c r="AR39" i="62"/>
  <c r="AV39" s="1"/>
  <c r="BJ36" i="40" s="1"/>
  <c r="AR39" i="38"/>
  <c r="T36" i="62"/>
  <c r="X36" s="1"/>
  <c r="BG33" i="40" s="1"/>
  <c r="T36" i="38"/>
  <c r="BH11"/>
  <c r="T8" i="40" s="1"/>
  <c r="BH11" i="62"/>
  <c r="BL11" s="1"/>
  <c r="BL8" i="40" s="1"/>
  <c r="CF32" i="38"/>
  <c r="L18" i="204" s="1"/>
  <c r="CF32" i="62"/>
  <c r="CJ32" s="1"/>
  <c r="BO29" i="40" s="1"/>
  <c r="CF9" i="62"/>
  <c r="CJ9" s="1"/>
  <c r="BO6" i="40" s="1"/>
  <c r="CF9" i="38"/>
  <c r="W6" i="40" s="1"/>
  <c r="BX16" i="38"/>
  <c r="BX16" i="62"/>
  <c r="CB16" s="1"/>
  <c r="BN13" i="40" s="1"/>
  <c r="BP40" i="38"/>
  <c r="BP40" i="62"/>
  <c r="BT40" s="1"/>
  <c r="BM37" i="40" s="1"/>
  <c r="AB25" i="38"/>
  <c r="AB25" i="62"/>
  <c r="AF25" s="1"/>
  <c r="BH22" i="40" s="1"/>
  <c r="AB37" i="62"/>
  <c r="AF37" s="1"/>
  <c r="BH34" i="40" s="1"/>
  <c r="AB37" i="38"/>
  <c r="AJ9" i="62"/>
  <c r="AN9" s="1"/>
  <c r="BI6" i="40" s="1"/>
  <c r="AJ9" i="38"/>
  <c r="Q6" i="40" s="1"/>
  <c r="CF14" i="62"/>
  <c r="CJ14" s="1"/>
  <c r="BO11" i="40" s="1"/>
  <c r="CF14" i="38"/>
  <c r="W11" i="40" s="1"/>
  <c r="AZ38" i="38"/>
  <c r="AZ38" i="62"/>
  <c r="BD38" s="1"/>
  <c r="BK35" i="40" s="1"/>
  <c r="AR15" i="62"/>
  <c r="AV15" s="1"/>
  <c r="BJ12" i="40" s="1"/>
  <c r="AR15" i="38"/>
  <c r="AZ36" i="62"/>
  <c r="BD36" s="1"/>
  <c r="BK33" i="40" s="1"/>
  <c r="AZ36" i="38"/>
  <c r="BX35" i="62"/>
  <c r="CB35" s="1"/>
  <c r="BN32" i="40" s="1"/>
  <c r="BX35" i="38"/>
  <c r="K21" i="204" s="1"/>
  <c r="BH19" i="62"/>
  <c r="BL19" s="1"/>
  <c r="BH19" i="38"/>
  <c r="BH42" i="62"/>
  <c r="BL42" s="1"/>
  <c r="BL39" i="40" s="1"/>
  <c r="BH42" i="38"/>
  <c r="BH41" i="62"/>
  <c r="BL41" s="1"/>
  <c r="BL38" i="40" s="1"/>
  <c r="BH41" i="38"/>
  <c r="AZ44" i="62"/>
  <c r="BD44" s="1"/>
  <c r="BK41" i="40" s="1"/>
  <c r="AZ44" i="38"/>
  <c r="BX14" i="62"/>
  <c r="CB14" s="1"/>
  <c r="BN11" i="40" s="1"/>
  <c r="BX14" i="38"/>
  <c r="V11" i="40" s="1"/>
  <c r="L43" i="62"/>
  <c r="P43" s="1"/>
  <c r="BF40" i="40" s="1"/>
  <c r="L43" i="38"/>
  <c r="C29" i="204" s="1"/>
  <c r="T31" i="62"/>
  <c r="X31" s="1"/>
  <c r="BG28" i="40" s="1"/>
  <c r="T31" i="38"/>
  <c r="BH40" i="62"/>
  <c r="BL40" s="1"/>
  <c r="BL37" i="40" s="1"/>
  <c r="BH40" i="38"/>
  <c r="CF24" i="62"/>
  <c r="CJ24" s="1"/>
  <c r="BO21" i="40" s="1"/>
  <c r="CF24" i="38"/>
  <c r="AZ23"/>
  <c r="AZ23" i="62"/>
  <c r="BD23" s="1"/>
  <c r="BK20" i="40" s="1"/>
  <c r="BH32" i="62"/>
  <c r="BL32" s="1"/>
  <c r="BL29" i="40" s="1"/>
  <c r="BH32" i="38"/>
  <c r="AZ42" i="62"/>
  <c r="BD42" s="1"/>
  <c r="BK39" i="40" s="1"/>
  <c r="AZ42" i="38"/>
  <c r="BP21"/>
  <c r="BP21" i="62"/>
  <c r="BT21" s="1"/>
  <c r="BM18" i="40" s="1"/>
  <c r="CF45" i="62"/>
  <c r="CJ45" s="1"/>
  <c r="BO42" i="40" s="1"/>
  <c r="CF45" i="38"/>
  <c r="AR24"/>
  <c r="AR24" i="62"/>
  <c r="AV24" s="1"/>
  <c r="BJ21" i="40" s="1"/>
  <c r="AR27" i="62"/>
  <c r="AV27" s="1"/>
  <c r="BJ24" i="40" s="1"/>
  <c r="AR27" i="38"/>
  <c r="CF37"/>
  <c r="CF37" i="62"/>
  <c r="CJ37" s="1"/>
  <c r="BO34" i="40" s="1"/>
  <c r="BP19" i="38"/>
  <c r="BP19" i="62"/>
  <c r="BT19" s="1"/>
  <c r="AJ28"/>
  <c r="AN28" s="1"/>
  <c r="BI25" i="40" s="1"/>
  <c r="AJ28" i="38"/>
  <c r="AZ9" i="62"/>
  <c r="BD9" s="1"/>
  <c r="BK6" i="40" s="1"/>
  <c r="AZ9" i="38"/>
  <c r="D36" i="62"/>
  <c r="H36" s="1"/>
  <c r="BE33" i="40" s="1"/>
  <c r="D36" i="38"/>
  <c r="AZ16" i="62"/>
  <c r="BD16" s="1"/>
  <c r="BK13" i="40" s="1"/>
  <c r="AZ16" i="38"/>
  <c r="CF28" i="62"/>
  <c r="CJ28" s="1"/>
  <c r="BO25" i="40" s="1"/>
  <c r="CF28" i="38"/>
  <c r="D19" i="62"/>
  <c r="H19" s="1"/>
  <c r="D19" i="38"/>
  <c r="AB12" i="62"/>
  <c r="AF12" s="1"/>
  <c r="BH9" i="40" s="1"/>
  <c r="AB12" i="38"/>
  <c r="P9" i="40" s="1"/>
  <c r="BX41" i="62"/>
  <c r="CB41" s="1"/>
  <c r="BN38" i="40" s="1"/>
  <c r="BX41" i="38"/>
  <c r="BX45" i="62"/>
  <c r="CB45" s="1"/>
  <c r="BN42" i="40" s="1"/>
  <c r="BX45" i="38"/>
  <c r="K31" i="204" s="1"/>
  <c r="D45" i="38"/>
  <c r="D45" i="62"/>
  <c r="H45" s="1"/>
  <c r="BE42" i="40" s="1"/>
  <c r="T21" i="62"/>
  <c r="X21" s="1"/>
  <c r="BG18" i="40" s="1"/>
  <c r="T21" i="38"/>
  <c r="L37"/>
  <c r="L37" i="62"/>
  <c r="P37" s="1"/>
  <c r="BF34" i="40" s="1"/>
  <c r="BH34" i="62"/>
  <c r="BL34" s="1"/>
  <c r="BL31" i="40" s="1"/>
  <c r="BH34" i="38"/>
  <c r="I20" i="204" s="1"/>
  <c r="T16" i="62"/>
  <c r="X16" s="1"/>
  <c r="BG13" i="40" s="1"/>
  <c r="T16" i="38"/>
  <c r="O13" i="40" s="1"/>
  <c r="CF27" i="38"/>
  <c r="CF27" i="62"/>
  <c r="CJ27" s="1"/>
  <c r="BO24" i="40" s="1"/>
  <c r="BP28" i="38"/>
  <c r="J14" i="204" s="1"/>
  <c r="BP28" i="62"/>
  <c r="BT28" s="1"/>
  <c r="BM25" i="40" s="1"/>
  <c r="AZ25" i="62"/>
  <c r="BD25" s="1"/>
  <c r="BK22" i="40" s="1"/>
  <c r="AZ25" i="38"/>
  <c r="H11" i="204" s="1"/>
  <c r="D11" i="62"/>
  <c r="H11" s="1"/>
  <c r="BE8" i="40" s="1"/>
  <c r="D11" i="38"/>
  <c r="AZ43" i="62"/>
  <c r="BD43" s="1"/>
  <c r="BK40" i="40" s="1"/>
  <c r="AZ43" i="38"/>
  <c r="AJ19"/>
  <c r="AJ19" i="62"/>
  <c r="AN19" s="1"/>
  <c r="BP14" i="38"/>
  <c r="U11" i="40" s="1"/>
  <c r="BP14" i="62"/>
  <c r="BT14" s="1"/>
  <c r="BM11" i="40" s="1"/>
  <c r="AR28" i="38"/>
  <c r="AR28" i="62"/>
  <c r="AV28" s="1"/>
  <c r="BJ25" i="40" s="1"/>
  <c r="L15" i="38"/>
  <c r="L15" i="62"/>
  <c r="P15" s="1"/>
  <c r="BF12" i="40" s="1"/>
  <c r="T44" i="38"/>
  <c r="T44" i="62"/>
  <c r="X44" s="1"/>
  <c r="BG41" i="40" s="1"/>
  <c r="T27" i="38"/>
  <c r="T27" i="62"/>
  <c r="X27" s="1"/>
  <c r="BG24" i="40" s="1"/>
  <c r="L14" i="38"/>
  <c r="L14" i="62"/>
  <c r="P14" s="1"/>
  <c r="BF11" i="40" s="1"/>
  <c r="AJ23" i="38"/>
  <c r="F9" i="204" s="1"/>
  <c r="AJ23" i="62"/>
  <c r="AN23" s="1"/>
  <c r="BI20" i="40" s="1"/>
  <c r="AB22" i="62"/>
  <c r="AF22" s="1"/>
  <c r="BH19" i="40" s="1"/>
  <c r="AB22" i="38"/>
  <c r="AR29"/>
  <c r="G15" i="204" s="1"/>
  <c r="AR29" i="62"/>
  <c r="AV29" s="1"/>
  <c r="BJ26" i="40" s="1"/>
  <c r="L17" i="38"/>
  <c r="N14" i="40" s="1"/>
  <c r="L17" i="62"/>
  <c r="P17" s="1"/>
  <c r="BF14" i="40" s="1"/>
  <c r="AJ36" i="62"/>
  <c r="AN36" s="1"/>
  <c r="BI33" i="40" s="1"/>
  <c r="AJ36" i="38"/>
  <c r="AZ20" i="62"/>
  <c r="BD20" s="1"/>
  <c r="BK17" i="40" s="1"/>
  <c r="AZ20" i="38"/>
  <c r="BH16" i="62"/>
  <c r="BL16" s="1"/>
  <c r="BL13" i="40" s="1"/>
  <c r="BH16" i="38"/>
  <c r="AR35" i="62"/>
  <c r="AV35" s="1"/>
  <c r="BJ32" i="40" s="1"/>
  <c r="AR35" i="38"/>
  <c r="G21" i="204" s="1"/>
  <c r="D30" i="62"/>
  <c r="H30" s="1"/>
  <c r="BE27" i="40" s="1"/>
  <c r="D30" i="38"/>
  <c r="BX22"/>
  <c r="BX22" i="62"/>
  <c r="CB22" s="1"/>
  <c r="BN19" i="40" s="1"/>
  <c r="D14" i="62"/>
  <c r="H14" s="1"/>
  <c r="BE11" i="40" s="1"/>
  <c r="D14" i="38"/>
  <c r="M11" i="40" s="1"/>
  <c r="L44" i="38"/>
  <c r="L44" i="62"/>
  <c r="P44" s="1"/>
  <c r="BF41" i="40" s="1"/>
  <c r="CF23" i="62"/>
  <c r="CJ23" s="1"/>
  <c r="BO20" i="40" s="1"/>
  <c r="CF23" i="38"/>
  <c r="AZ17"/>
  <c r="S14" i="40" s="1"/>
  <c r="AZ17" i="62"/>
  <c r="BD17" s="1"/>
  <c r="BK14" i="40" s="1"/>
  <c r="AB41" i="62"/>
  <c r="AF41" s="1"/>
  <c r="BH38" i="40" s="1"/>
  <c r="AB41" i="38"/>
  <c r="BP27" i="62"/>
  <c r="BT27" s="1"/>
  <c r="BM24" i="40" s="1"/>
  <c r="BP27" i="38"/>
  <c r="BX15" i="62"/>
  <c r="CB15" s="1"/>
  <c r="BN12" i="40" s="1"/>
  <c r="BX15" i="38"/>
  <c r="V12" i="40" s="1"/>
  <c r="AJ14" i="38"/>
  <c r="Q11" i="40" s="1"/>
  <c r="AJ14" i="62"/>
  <c r="AN14" s="1"/>
  <c r="BI11" i="40" s="1"/>
  <c r="AB9" i="62"/>
  <c r="AF9" s="1"/>
  <c r="BH6" i="40" s="1"/>
  <c r="AB9" i="38"/>
  <c r="P6" i="40" s="1"/>
  <c r="T13" i="62"/>
  <c r="X13" s="1"/>
  <c r="BG10" i="40" s="1"/>
  <c r="T13" i="38"/>
  <c r="O10" i="40" s="1"/>
  <c r="AZ24" i="62"/>
  <c r="BD24" s="1"/>
  <c r="BK21" i="40" s="1"/>
  <c r="AZ24" i="38"/>
  <c r="BX39" i="62"/>
  <c r="CB39" s="1"/>
  <c r="BN36" i="40" s="1"/>
  <c r="BX39" i="38"/>
  <c r="T33" i="62"/>
  <c r="X33" s="1"/>
  <c r="BG30" i="40" s="1"/>
  <c r="T33" i="38"/>
  <c r="D9" i="62"/>
  <c r="H9" s="1"/>
  <c r="BE6" i="40" s="1"/>
  <c r="D9" i="38"/>
  <c r="M6" i="40" s="1"/>
  <c r="BX31" i="38"/>
  <c r="K17" i="204" s="1"/>
  <c r="BX31" i="62"/>
  <c r="CB31" s="1"/>
  <c r="BN28" i="40" s="1"/>
  <c r="AJ29" i="62"/>
  <c r="AN29" s="1"/>
  <c r="BI26" i="40" s="1"/>
  <c r="AJ29" i="38"/>
  <c r="AB35" i="62"/>
  <c r="AF35" s="1"/>
  <c r="BH32" i="40" s="1"/>
  <c r="AB35" i="38"/>
  <c r="AZ41" i="62"/>
  <c r="BD41" s="1"/>
  <c r="BK38" i="40" s="1"/>
  <c r="AZ41" i="38"/>
  <c r="H27" i="204" s="1"/>
  <c r="D35" i="62"/>
  <c r="H35" s="1"/>
  <c r="BE32" i="40" s="1"/>
  <c r="D35" i="38"/>
  <c r="CF40" i="62"/>
  <c r="CJ40" s="1"/>
  <c r="BO37" i="40" s="1"/>
  <c r="CF40" i="38"/>
  <c r="AR32" i="62"/>
  <c r="AV32" s="1"/>
  <c r="BJ29" i="40" s="1"/>
  <c r="AR32" i="38"/>
  <c r="CF33" i="62"/>
  <c r="CJ33" s="1"/>
  <c r="BO30" i="40" s="1"/>
  <c r="CF33" i="38"/>
  <c r="L19" i="204" s="1"/>
  <c r="AR30" i="62"/>
  <c r="AV30" s="1"/>
  <c r="BJ27" i="40" s="1"/>
  <c r="AR30" i="38"/>
  <c r="AZ13" i="62"/>
  <c r="BD13" s="1"/>
  <c r="BK10" i="40" s="1"/>
  <c r="AZ13" i="38"/>
  <c r="S10" i="40" s="1"/>
  <c r="T42" i="38"/>
  <c r="D28" i="204" s="1"/>
  <c r="T42" i="62"/>
  <c r="X42" s="1"/>
  <c r="BG39" i="40" s="1"/>
  <c r="BX8" i="38"/>
  <c r="V5" i="40" s="1"/>
  <c r="BX8" i="62"/>
  <c r="CB8" s="1"/>
  <c r="BN5" i="40" s="1"/>
  <c r="D23" i="38"/>
  <c r="D23" i="62"/>
  <c r="H23" s="1"/>
  <c r="BE20" i="40" s="1"/>
  <c r="T26" i="38"/>
  <c r="T26" i="62"/>
  <c r="X26" s="1"/>
  <c r="BG23" i="40" s="1"/>
  <c r="L26" i="62"/>
  <c r="P26" s="1"/>
  <c r="BF23" i="40" s="1"/>
  <c r="L26" i="38"/>
  <c r="C12" i="204" s="1"/>
  <c r="T10" i="38"/>
  <c r="O7" i="40" s="1"/>
  <c r="T10" i="62"/>
  <c r="X10" s="1"/>
  <c r="BG7" i="40" s="1"/>
  <c r="L11" i="38"/>
  <c r="N8" i="40" s="1"/>
  <c r="L11" i="62"/>
  <c r="P11" s="1"/>
  <c r="BF8" i="40" s="1"/>
  <c r="AB38" i="38"/>
  <c r="AB38" i="62"/>
  <c r="AF38" s="1"/>
  <c r="BH35" i="40" s="1"/>
  <c r="AB20" i="38"/>
  <c r="E6" i="204" s="1"/>
  <c r="AB20" i="62"/>
  <c r="AF20" s="1"/>
  <c r="BH17" i="40" s="1"/>
  <c r="T25" i="38"/>
  <c r="T25" i="62"/>
  <c r="X25" s="1"/>
  <c r="BG22" i="40" s="1"/>
  <c r="AR8" i="38"/>
  <c r="R5" i="40" s="1"/>
  <c r="AR8" i="62"/>
  <c r="AV8" s="1"/>
  <c r="BJ5" i="40" s="1"/>
  <c r="CF21" i="38"/>
  <c r="CF21" i="62"/>
  <c r="CJ21" s="1"/>
  <c r="BO18" i="40" s="1"/>
  <c r="T40" i="38"/>
  <c r="T40" i="62"/>
  <c r="X40" s="1"/>
  <c r="BG37" i="40" s="1"/>
  <c r="T20" i="38"/>
  <c r="T20" i="62"/>
  <c r="X20" s="1"/>
  <c r="BG17" i="40" s="1"/>
  <c r="AR40" i="38"/>
  <c r="G26" i="204" s="1"/>
  <c r="AR40" i="62"/>
  <c r="AV40" s="1"/>
  <c r="BJ37" i="40" s="1"/>
  <c r="L25" i="62"/>
  <c r="P25" s="1"/>
  <c r="BF22" i="40" s="1"/>
  <c r="L25" i="38"/>
  <c r="BX29"/>
  <c r="BX29" i="62"/>
  <c r="CB29" s="1"/>
  <c r="BN26" i="40" s="1"/>
  <c r="AR16" i="62"/>
  <c r="AV16" s="1"/>
  <c r="BJ13" i="40" s="1"/>
  <c r="AR16" i="38"/>
  <c r="R13" i="40" s="1"/>
  <c r="AJ8" i="62"/>
  <c r="AN8" s="1"/>
  <c r="BI5" i="40" s="1"/>
  <c r="AJ8" i="38"/>
  <c r="Q5" i="40" s="1"/>
  <c r="BP41" i="38"/>
  <c r="BP41" i="62"/>
  <c r="BT41" s="1"/>
  <c r="BM38" i="40" s="1"/>
  <c r="T9" i="38"/>
  <c r="T9" i="62"/>
  <c r="X9" s="1"/>
  <c r="BG6" i="40" s="1"/>
  <c r="BH31" i="38"/>
  <c r="BH31" i="62"/>
  <c r="BL31" s="1"/>
  <c r="BL28" i="40" s="1"/>
  <c r="T29" i="62"/>
  <c r="X29" s="1"/>
  <c r="BG26" i="40" s="1"/>
  <c r="T29" i="38"/>
  <c r="AB19" i="62"/>
  <c r="AF19" s="1"/>
  <c r="AB19" i="38"/>
  <c r="AB43" i="62"/>
  <c r="AF43" s="1"/>
  <c r="BH40" i="40" s="1"/>
  <c r="AB43" i="38"/>
  <c r="BH27"/>
  <c r="BH27" i="62"/>
  <c r="BL27" s="1"/>
  <c r="BL24" i="40" s="1"/>
  <c r="AJ46" i="62"/>
  <c r="AJ46" i="38"/>
  <c r="BP46" i="62"/>
  <c r="BP46" i="38"/>
  <c r="J32" i="204" s="1"/>
  <c r="CF46" i="62"/>
  <c r="CJ46" s="1"/>
  <c r="BO43" i="40" s="1"/>
  <c r="CF46" i="38"/>
  <c r="BH46" i="62"/>
  <c r="BH46" i="38"/>
  <c r="I32" i="204" s="1"/>
  <c r="AB46" i="62"/>
  <c r="AB46" i="38"/>
  <c r="E32" i="204" s="1"/>
  <c r="T46" i="62"/>
  <c r="T46" i="38"/>
  <c r="BX40" i="62"/>
  <c r="CB40" s="1"/>
  <c r="BN37" i="40" s="1"/>
  <c r="BX40" i="38"/>
  <c r="BX27" i="62"/>
  <c r="CB27" s="1"/>
  <c r="BN24" i="40" s="1"/>
  <c r="BX27" i="38"/>
  <c r="AJ27" i="62"/>
  <c r="AN27" s="1"/>
  <c r="BI24" i="40" s="1"/>
  <c r="AJ27" i="38"/>
  <c r="T39" i="62"/>
  <c r="X39" s="1"/>
  <c r="BG36" i="40" s="1"/>
  <c r="T39" i="38"/>
  <c r="L12" i="62"/>
  <c r="P12" s="1"/>
  <c r="BF9" i="40" s="1"/>
  <c r="L12" i="38"/>
  <c r="N9" i="40" s="1"/>
  <c r="AB16" i="38"/>
  <c r="P13" i="40" s="1"/>
  <c r="AB16" i="62"/>
  <c r="AF16" s="1"/>
  <c r="BH13" i="40" s="1"/>
  <c r="BH21" i="62"/>
  <c r="BL21" s="1"/>
  <c r="BL18" i="40" s="1"/>
  <c r="BH21" i="38"/>
  <c r="AB24" i="62"/>
  <c r="AF24" s="1"/>
  <c r="BH21" i="40" s="1"/>
  <c r="AB24" i="38"/>
  <c r="E10" i="204" s="1"/>
  <c r="AJ33" i="62"/>
  <c r="AN33" s="1"/>
  <c r="BI30" i="40" s="1"/>
  <c r="AJ33" i="38"/>
  <c r="CF34" i="62"/>
  <c r="CJ34" s="1"/>
  <c r="BO31" i="40" s="1"/>
  <c r="CF34" i="38"/>
  <c r="AB32" i="62"/>
  <c r="AF32" s="1"/>
  <c r="BH29" i="40" s="1"/>
  <c r="AB32" i="38"/>
  <c r="AJ43" i="62"/>
  <c r="AN43" s="1"/>
  <c r="BI40" i="40" s="1"/>
  <c r="AJ43" i="38"/>
  <c r="T17" i="62"/>
  <c r="X17" s="1"/>
  <c r="BG14" i="40" s="1"/>
  <c r="T17" i="38"/>
  <c r="O14" i="40" s="1"/>
  <c r="CF26" i="38"/>
  <c r="CF26" i="62"/>
  <c r="CJ26" s="1"/>
  <c r="BO23" i="40" s="1"/>
  <c r="AR45" i="62"/>
  <c r="AV45" s="1"/>
  <c r="BJ42" i="40" s="1"/>
  <c r="AR45" i="38"/>
  <c r="CF13"/>
  <c r="W10" i="40" s="1"/>
  <c r="CF13" i="62"/>
  <c r="CJ13" s="1"/>
  <c r="BO10" i="40" s="1"/>
  <c r="AJ31" i="62"/>
  <c r="AN31" s="1"/>
  <c r="BI28" i="40" s="1"/>
  <c r="AJ31" i="38"/>
  <c r="AZ27" i="62"/>
  <c r="BD27" s="1"/>
  <c r="BK24" i="40" s="1"/>
  <c r="AZ27" i="38"/>
  <c r="D42" i="62"/>
  <c r="H42" s="1"/>
  <c r="BE39" i="40" s="1"/>
  <c r="D42" i="38"/>
  <c r="BX28"/>
  <c r="BX28" i="62"/>
  <c r="CB28" s="1"/>
  <c r="BN25" i="40" s="1"/>
  <c r="BH10" i="38"/>
  <c r="T7" i="40" s="1"/>
  <c r="BH10" i="62"/>
  <c r="BL10" s="1"/>
  <c r="BL7" i="40" s="1"/>
  <c r="AR31" i="38"/>
  <c r="AR31" i="62"/>
  <c r="AV31" s="1"/>
  <c r="BJ28" i="40" s="1"/>
  <c r="BX42" i="62"/>
  <c r="CB42" s="1"/>
  <c r="BN39" i="40" s="1"/>
  <c r="BX42" i="38"/>
  <c r="CF25" i="62"/>
  <c r="CJ25" s="1"/>
  <c r="BO22" i="40" s="1"/>
  <c r="CF25" i="38"/>
  <c r="D33"/>
  <c r="D33" i="62"/>
  <c r="H33" s="1"/>
  <c r="BE30" i="40" s="1"/>
  <c r="D43" i="62"/>
  <c r="H43" s="1"/>
  <c r="BE40" i="40" s="1"/>
  <c r="D43" i="38"/>
  <c r="AB31" i="62"/>
  <c r="AF31" s="1"/>
  <c r="BH28" i="40" s="1"/>
  <c r="AB31" i="38"/>
  <c r="BP31" i="62"/>
  <c r="BT31" s="1"/>
  <c r="BM28" i="40" s="1"/>
  <c r="BP31" i="38"/>
  <c r="BP34"/>
  <c r="BP34" i="62"/>
  <c r="BT34" s="1"/>
  <c r="BM31" i="40" s="1"/>
  <c r="AZ12" i="38"/>
  <c r="S9" i="40" s="1"/>
  <c r="AZ12" i="62"/>
  <c r="BD12" s="1"/>
  <c r="BK9" i="40" s="1"/>
  <c r="L19" i="38"/>
  <c r="L19" i="62"/>
  <c r="P19" s="1"/>
  <c r="AJ11"/>
  <c r="AN11" s="1"/>
  <c r="BI8" i="40" s="1"/>
  <c r="AJ11" i="38"/>
  <c r="Q8" i="40" s="1"/>
  <c r="AJ40" i="38"/>
  <c r="AJ40" i="62"/>
  <c r="AN40" s="1"/>
  <c r="BI37" i="40" s="1"/>
  <c r="AB33" i="38"/>
  <c r="AB33" i="62"/>
  <c r="AF33" s="1"/>
  <c r="BH30" i="40" s="1"/>
  <c r="AB39" i="38"/>
  <c r="AB39" i="62"/>
  <c r="AF39" s="1"/>
  <c r="BH36" i="40" s="1"/>
  <c r="AZ8" i="38"/>
  <c r="S5" i="40" s="1"/>
  <c r="AZ8" i="62"/>
  <c r="BD8" s="1"/>
  <c r="BK5" i="40" s="1"/>
  <c r="T43" i="38"/>
  <c r="T43" i="62"/>
  <c r="X43" s="1"/>
  <c r="BG40" i="40" s="1"/>
  <c r="D38" i="62"/>
  <c r="H38" s="1"/>
  <c r="BE35" i="40" s="1"/>
  <c r="D38" i="38"/>
  <c r="CF31" i="62"/>
  <c r="CJ31" s="1"/>
  <c r="BO28" i="40" s="1"/>
  <c r="CF31" i="38"/>
  <c r="BP8" i="62"/>
  <c r="BT8" s="1"/>
  <c r="BM5" i="40" s="1"/>
  <c r="BP8" i="38"/>
  <c r="U5" i="40" s="1"/>
  <c r="AR10" i="62"/>
  <c r="AV10" s="1"/>
  <c r="BJ7" i="40" s="1"/>
  <c r="AR10" i="38"/>
  <c r="R7" i="40" s="1"/>
  <c r="BP11" i="62"/>
  <c r="BT11" s="1"/>
  <c r="BM8" i="40" s="1"/>
  <c r="BP11" i="38"/>
  <c r="U8" i="40" s="1"/>
  <c r="CF16" i="62"/>
  <c r="CJ16" s="1"/>
  <c r="BO13" i="40" s="1"/>
  <c r="CF16" i="38"/>
  <c r="W13" i="40" s="1"/>
  <c r="D24" i="62"/>
  <c r="H24" s="1"/>
  <c r="BE21" i="40" s="1"/>
  <c r="D24" i="38"/>
  <c r="CF17" i="62"/>
  <c r="CJ17" s="1"/>
  <c r="BO14" i="40" s="1"/>
  <c r="CF17" i="38"/>
  <c r="AR26" i="62"/>
  <c r="AV26" s="1"/>
  <c r="BJ23" i="40" s="1"/>
  <c r="AR26" i="38"/>
  <c r="AZ22" i="62"/>
  <c r="BD22" s="1"/>
  <c r="BK19" i="40" s="1"/>
  <c r="AZ22" i="38"/>
  <c r="BH39" i="62"/>
  <c r="BL39" s="1"/>
  <c r="BL36" i="40" s="1"/>
  <c r="BH39" i="38"/>
  <c r="AB30" i="62"/>
  <c r="AF30" s="1"/>
  <c r="BH27" i="40" s="1"/>
  <c r="AB30" i="38"/>
  <c r="BX23" i="62"/>
  <c r="CB23" s="1"/>
  <c r="BN20" i="40" s="1"/>
  <c r="BX23" i="38"/>
  <c r="T22" i="62"/>
  <c r="X22" s="1"/>
  <c r="BG19" i="40" s="1"/>
  <c r="T22" i="38"/>
  <c r="L35" i="62"/>
  <c r="P35" s="1"/>
  <c r="BF32" i="40" s="1"/>
  <c r="L35" i="38"/>
  <c r="BH24"/>
  <c r="BH24" i="62"/>
  <c r="BL24" s="1"/>
  <c r="BL21" i="40" s="1"/>
  <c r="BH43" i="62"/>
  <c r="BL43" s="1"/>
  <c r="BL40" i="40" s="1"/>
  <c r="BH43" i="38"/>
  <c r="BP20" i="62"/>
  <c r="BT20" s="1"/>
  <c r="BM17" i="40" s="1"/>
  <c r="BP20" i="38"/>
  <c r="T19" i="62"/>
  <c r="X19" s="1"/>
  <c r="T19" i="38"/>
  <c r="T15" i="62"/>
  <c r="X15" s="1"/>
  <c r="BG12" i="40" s="1"/>
  <c r="T15" i="38"/>
  <c r="O12" i="40" s="1"/>
  <c r="AR34" i="62"/>
  <c r="AV34" s="1"/>
  <c r="BJ31" i="40" s="1"/>
  <c r="AR34" i="38"/>
  <c r="AZ29" i="62"/>
  <c r="BD29" s="1"/>
  <c r="BK26" i="40" s="1"/>
  <c r="AZ29" i="38"/>
  <c r="AB29"/>
  <c r="AB29" i="62"/>
  <c r="AF29" s="1"/>
  <c r="BH26" i="40" s="1"/>
  <c r="T28" i="62"/>
  <c r="X28" s="1"/>
  <c r="BG25" i="40" s="1"/>
  <c r="T28" i="38"/>
  <c r="D14" i="204" s="1"/>
  <c r="BH30" i="62"/>
  <c r="BL30" s="1"/>
  <c r="BL27" i="40" s="1"/>
  <c r="BH30" i="38"/>
  <c r="AZ40" i="62"/>
  <c r="BD40" s="1"/>
  <c r="BK37" i="40" s="1"/>
  <c r="AZ40" i="38"/>
  <c r="AB40" i="62"/>
  <c r="AF40" s="1"/>
  <c r="BH37" i="40" s="1"/>
  <c r="AB40" i="38"/>
  <c r="E26" i="204" s="1"/>
  <c r="BP32" i="62"/>
  <c r="BT32" s="1"/>
  <c r="BM29" i="40" s="1"/>
  <c r="BP32" i="38"/>
  <c r="AB17" i="62"/>
  <c r="AF17" s="1"/>
  <c r="BH14" i="40" s="1"/>
  <c r="AB17" i="38"/>
  <c r="P14" i="40" s="1"/>
  <c r="CF43" i="62"/>
  <c r="CJ43" s="1"/>
  <c r="BO40" i="40" s="1"/>
  <c r="CF43" i="38"/>
  <c r="AJ22" i="62"/>
  <c r="AN22" s="1"/>
  <c r="BI19" i="40" s="1"/>
  <c r="AJ22" i="38"/>
  <c r="F8" i="204" s="1"/>
  <c r="CF36" i="62"/>
  <c r="CJ36" s="1"/>
  <c r="BO33" i="40" s="1"/>
  <c r="CF36" i="38"/>
  <c r="AR43" i="62"/>
  <c r="AV43" s="1"/>
  <c r="BJ40" i="40" s="1"/>
  <c r="AR43" i="38"/>
  <c r="D17"/>
  <c r="M14" i="40" s="1"/>
  <c r="D17" i="62"/>
  <c r="H17" s="1"/>
  <c r="BE14" i="40" s="1"/>
  <c r="BH28" i="38"/>
  <c r="BH28" i="62"/>
  <c r="BL28" s="1"/>
  <c r="BL25" i="40" s="1"/>
  <c r="T37" i="38"/>
  <c r="D23" i="204" s="1"/>
  <c r="T37" i="62"/>
  <c r="X37" s="1"/>
  <c r="BG34" i="40" s="1"/>
  <c r="BP36" i="62"/>
  <c r="BT36" s="1"/>
  <c r="BM33" i="40" s="1"/>
  <c r="BP36" i="38"/>
  <c r="J22" i="204" s="1"/>
  <c r="L23" i="38"/>
  <c r="L23" i="62"/>
  <c r="P23" s="1"/>
  <c r="BF20" i="40" s="1"/>
  <c r="CF38" i="62"/>
  <c r="CJ38" s="1"/>
  <c r="BO35" i="40" s="1"/>
  <c r="CF38" i="38"/>
  <c r="AB14"/>
  <c r="P11" i="40" s="1"/>
  <c r="AB14" i="62"/>
  <c r="AF14" s="1"/>
  <c r="BH11" i="40" s="1"/>
  <c r="L20" i="38"/>
  <c r="C6" i="204" s="1"/>
  <c r="L20" i="62"/>
  <c r="P20" s="1"/>
  <c r="BF17" i="40" s="1"/>
  <c r="L22" i="38"/>
  <c r="L22" i="62"/>
  <c r="P22" s="1"/>
  <c r="BF19" i="40" s="1"/>
  <c r="T45" i="38"/>
  <c r="D31" i="204" s="1"/>
  <c r="T45" i="62"/>
  <c r="X45" s="1"/>
  <c r="BG42" i="40" s="1"/>
  <c r="T12" i="62"/>
  <c r="X12" s="1"/>
  <c r="BG9" i="40" s="1"/>
  <c r="T12" i="38"/>
  <c r="O9" i="40" s="1"/>
  <c r="AR11" i="62"/>
  <c r="AV11" s="1"/>
  <c r="BJ8" i="40" s="1"/>
  <c r="AR11" i="38"/>
  <c r="R8" i="40" s="1"/>
  <c r="BH44" i="38"/>
  <c r="BH44" i="62"/>
  <c r="BL44" s="1"/>
  <c r="BL41" i="40" s="1"/>
  <c r="L29" i="62"/>
  <c r="P29" s="1"/>
  <c r="BF26" i="40" s="1"/>
  <c r="L29" i="38"/>
  <c r="D39"/>
  <c r="D39" i="62"/>
  <c r="H39" s="1"/>
  <c r="BE36" i="40" s="1"/>
  <c r="BP38" i="62"/>
  <c r="BT38" s="1"/>
  <c r="BM35" i="40" s="1"/>
  <c r="BP38" i="38"/>
  <c r="J24" i="204" s="1"/>
  <c r="L28" i="62"/>
  <c r="P28" s="1"/>
  <c r="BF25" i="40" s="1"/>
  <c r="L28" i="38"/>
  <c r="L39"/>
  <c r="L39" i="62"/>
  <c r="P39" s="1"/>
  <c r="BF36" i="40" s="1"/>
  <c r="D16" i="62"/>
  <c r="H16" s="1"/>
  <c r="BE13" i="40" s="1"/>
  <c r="D16" i="38"/>
  <c r="M13" i="40" s="1"/>
  <c r="BX44" i="38"/>
  <c r="BX44" i="62"/>
  <c r="CB44" s="1"/>
  <c r="BN41" i="40" s="1"/>
  <c r="AB36" i="62"/>
  <c r="AF36" s="1"/>
  <c r="BH33" i="40" s="1"/>
  <c r="AB36" i="38"/>
  <c r="E22" i="204" s="1"/>
  <c r="BP25" i="62"/>
  <c r="BT25" s="1"/>
  <c r="BM22" i="40" s="1"/>
  <c r="BP25" i="38"/>
  <c r="AJ39"/>
  <c r="AJ39" i="62"/>
  <c r="AN39" s="1"/>
  <c r="BI36" i="40" s="1"/>
  <c r="AB11" i="38"/>
  <c r="P8" i="40" s="1"/>
  <c r="AB11" i="62"/>
  <c r="AF11" s="1"/>
  <c r="BH8" i="40" s="1"/>
  <c r="AB28" i="62"/>
  <c r="AF28" s="1"/>
  <c r="BH25" i="40" s="1"/>
  <c r="AB28" i="38"/>
  <c r="E14" i="204" s="1"/>
  <c r="CF11" i="62"/>
  <c r="CJ11" s="1"/>
  <c r="BO8" i="40" s="1"/>
  <c r="CF11" i="38"/>
  <c r="W8" i="40" s="1"/>
  <c r="T8" i="62"/>
  <c r="X8" s="1"/>
  <c r="BG5" i="40" s="1"/>
  <c r="T8" i="38"/>
  <c r="L34" i="62"/>
  <c r="P34" s="1"/>
  <c r="BF31" i="40" s="1"/>
  <c r="L34" i="38"/>
  <c r="AB23" i="62"/>
  <c r="AF23" s="1"/>
  <c r="BH20" i="40" s="1"/>
  <c r="AB23" i="38"/>
  <c r="E9" i="204" s="1"/>
  <c r="CF29" i="62"/>
  <c r="CJ29" s="1"/>
  <c r="BO26" i="40" s="1"/>
  <c r="CF29" i="38"/>
  <c r="BP42" i="62"/>
  <c r="BT42" s="1"/>
  <c r="BM39" i="40" s="1"/>
  <c r="BP42" i="38"/>
  <c r="BX10" i="62"/>
  <c r="CB10" s="1"/>
  <c r="BN7" i="40" s="1"/>
  <c r="BX10" i="38"/>
  <c r="V7" i="40" s="1"/>
  <c r="T14" i="62"/>
  <c r="X14" s="1"/>
  <c r="BG11" i="40" s="1"/>
  <c r="T14" i="38"/>
  <c r="BX33" i="62"/>
  <c r="CB33" s="1"/>
  <c r="BN30" i="40" s="1"/>
  <c r="BX33" i="38"/>
  <c r="K19" i="204" s="1"/>
  <c r="T41" i="62"/>
  <c r="X41" s="1"/>
  <c r="BG38" i="40" s="1"/>
  <c r="T41" i="38"/>
  <c r="T38" i="62"/>
  <c r="X38" s="1"/>
  <c r="BG35" i="40" s="1"/>
  <c r="T38" i="38"/>
  <c r="D24" i="204" s="1"/>
  <c r="AZ31" i="62"/>
  <c r="BD31" s="1"/>
  <c r="BK28" i="40" s="1"/>
  <c r="AZ31" i="38"/>
  <c r="AB42" i="62"/>
  <c r="AF42" s="1"/>
  <c r="BH39" i="40" s="1"/>
  <c r="AB42" i="38"/>
  <c r="BP43" i="62"/>
  <c r="BT43" s="1"/>
  <c r="BM40" i="40" s="1"/>
  <c r="BP43" i="38"/>
  <c r="J29" i="204" s="1"/>
  <c r="BH12" i="38"/>
  <c r="BH12" i="62"/>
  <c r="BL12" s="1"/>
  <c r="BL9" i="40" s="1"/>
  <c r="D37" i="62"/>
  <c r="H37" s="1"/>
  <c r="BE34" i="40" s="1"/>
  <c r="D37" i="38"/>
  <c r="AZ10"/>
  <c r="S7" i="40" s="1"/>
  <c r="AZ10" i="62"/>
  <c r="BD10" s="1"/>
  <c r="BK7" i="40" s="1"/>
  <c r="L10" i="62"/>
  <c r="P10" s="1"/>
  <c r="BF7" i="40" s="1"/>
  <c r="L10" i="38"/>
  <c r="N7" i="40" s="1"/>
  <c r="AZ30" i="38"/>
  <c r="H16" i="204" s="1"/>
  <c r="AZ30" i="62"/>
  <c r="BD30" s="1"/>
  <c r="BK27" i="40" s="1"/>
  <c r="L21" i="38"/>
  <c r="L21" i="62"/>
  <c r="P21" s="1"/>
  <c r="BF18" i="40" s="1"/>
  <c r="BX21" i="38"/>
  <c r="BX21" i="62"/>
  <c r="CB21" s="1"/>
  <c r="BN18" i="40" s="1"/>
  <c r="CF12" i="62"/>
  <c r="CJ12" s="1"/>
  <c r="BO9" i="40" s="1"/>
  <c r="CF12" i="38"/>
  <c r="W9" i="40" s="1"/>
  <c r="AZ45" i="38"/>
  <c r="AZ45" i="62"/>
  <c r="BD45" s="1"/>
  <c r="BK42" i="40" s="1"/>
  <c r="AR22" i="62"/>
  <c r="AV22" s="1"/>
  <c r="BJ19" i="40" s="1"/>
  <c r="AR22" i="38"/>
  <c r="AR36"/>
  <c r="AR36" i="62"/>
  <c r="AV36" s="1"/>
  <c r="BJ33" i="40" s="1"/>
  <c r="L30" i="62"/>
  <c r="P30" s="1"/>
  <c r="BF27" i="40" s="1"/>
  <c r="L30" i="38"/>
  <c r="AZ33"/>
  <c r="AZ33" i="62"/>
  <c r="BD33" s="1"/>
  <c r="BK30" i="40" s="1"/>
  <c r="BP44" i="38"/>
  <c r="J30" i="204" s="1"/>
  <c r="BP44" i="62"/>
  <c r="BT44" s="1"/>
  <c r="BM41" i="40" s="1"/>
  <c r="AR42" i="38"/>
  <c r="AR42" i="62"/>
  <c r="AV42" s="1"/>
  <c r="BJ39" i="40" s="1"/>
  <c r="AR19" i="38"/>
  <c r="AR19" i="62"/>
  <c r="AV19" s="1"/>
  <c r="AJ42"/>
  <c r="AN42" s="1"/>
  <c r="BI39" i="40" s="1"/>
  <c r="AJ42" i="38"/>
  <c r="AJ35" i="62"/>
  <c r="AN35" s="1"/>
  <c r="BI32" i="40" s="1"/>
  <c r="AJ35" i="38"/>
  <c r="L16" i="62"/>
  <c r="P16" s="1"/>
  <c r="BF13" i="40" s="1"/>
  <c r="L16" i="38"/>
  <c r="N13" i="40" s="1"/>
  <c r="L38" i="38"/>
  <c r="L38" i="62"/>
  <c r="P38" s="1"/>
  <c r="BF35" i="40" s="1"/>
  <c r="BX32" i="38"/>
  <c r="BX32" i="62"/>
  <c r="CB32" s="1"/>
  <c r="BN29" i="40" s="1"/>
  <c r="BX24" i="38"/>
  <c r="BX24" i="62"/>
  <c r="CB24" s="1"/>
  <c r="BN21" i="40" s="1"/>
  <c r="D26" i="62"/>
  <c r="H26" s="1"/>
  <c r="BE23" i="40" s="1"/>
  <c r="D26" i="38"/>
  <c r="AZ19"/>
  <c r="AZ19" i="62"/>
  <c r="BD19" s="1"/>
  <c r="D20" i="38"/>
  <c r="D20" i="62"/>
  <c r="H20" s="1"/>
  <c r="BE17" i="40" s="1"/>
  <c r="AJ24" i="38"/>
  <c r="AJ24" i="62"/>
  <c r="AN24" s="1"/>
  <c r="BI21" i="40" s="1"/>
  <c r="AZ32" i="38"/>
  <c r="AZ32" i="62"/>
  <c r="BD32" s="1"/>
  <c r="BK29" i="40" s="1"/>
  <c r="AR12" i="38"/>
  <c r="AR12" i="62"/>
  <c r="AV12" s="1"/>
  <c r="BJ9" i="40" s="1"/>
  <c r="AB10" i="38"/>
  <c r="P7" i="40" s="1"/>
  <c r="AB10" i="62"/>
  <c r="AF10" s="1"/>
  <c r="BH7" i="40" s="1"/>
  <c r="AR13" i="38"/>
  <c r="R10" i="40" s="1"/>
  <c r="AR13" i="62"/>
  <c r="AV13" s="1"/>
  <c r="BJ10" i="40" s="1"/>
  <c r="AR14" i="62"/>
  <c r="AV14" s="1"/>
  <c r="BJ11" i="40" s="1"/>
  <c r="AR14" i="38"/>
  <c r="R11" i="40" s="1"/>
  <c r="D29" i="38"/>
  <c r="D29" i="62"/>
  <c r="H29" s="1"/>
  <c r="BE26" i="40" s="1"/>
  <c r="BH33" i="38"/>
  <c r="BH33" i="62"/>
  <c r="BL33" s="1"/>
  <c r="BL30" i="40" s="1"/>
  <c r="AB34" i="38"/>
  <c r="AB34" i="62"/>
  <c r="AF34" s="1"/>
  <c r="BH31" i="40" s="1"/>
  <c r="T11" i="38"/>
  <c r="O8" i="40" s="1"/>
  <c r="T11" i="62"/>
  <c r="X11" s="1"/>
  <c r="BG8" i="40" s="1"/>
  <c r="T35" i="38"/>
  <c r="T35" i="62"/>
  <c r="X35" s="1"/>
  <c r="BG32" i="40" s="1"/>
  <c r="AR37" i="38"/>
  <c r="AR37" i="62"/>
  <c r="AV37" s="1"/>
  <c r="BJ34" i="40" s="1"/>
  <c r="BP10" i="62"/>
  <c r="BT10" s="1"/>
  <c r="BM7" i="40" s="1"/>
  <c r="BP10" i="38"/>
  <c r="U7" i="40" s="1"/>
  <c r="BP26" i="38"/>
  <c r="BP26" i="62"/>
  <c r="BT26" s="1"/>
  <c r="BM23" i="40" s="1"/>
  <c r="CF20" i="62"/>
  <c r="CJ20" s="1"/>
  <c r="BO17" i="40" s="1"/>
  <c r="CF20" i="38"/>
  <c r="L13" i="62"/>
  <c r="P13" s="1"/>
  <c r="BF10" i="40" s="1"/>
  <c r="L13" i="38"/>
  <c r="N10" i="40" s="1"/>
  <c r="CF42" i="38"/>
  <c r="CF42" i="62"/>
  <c r="CJ42" s="1"/>
  <c r="BO39" i="40" s="1"/>
  <c r="BX26" i="62"/>
  <c r="CB26" s="1"/>
  <c r="BN23" i="40" s="1"/>
  <c r="BX26" i="38"/>
  <c r="CF15" i="62"/>
  <c r="CJ15" s="1"/>
  <c r="BO12" i="40" s="1"/>
  <c r="CF15" i="38"/>
  <c r="W12" i="40" s="1"/>
  <c r="AJ16" i="62"/>
  <c r="AN16" s="1"/>
  <c r="BI13" i="40" s="1"/>
  <c r="AJ16" i="38"/>
  <c r="BX12" i="62"/>
  <c r="CB12" s="1"/>
  <c r="BN9" i="40" s="1"/>
  <c r="BX12" i="38"/>
  <c r="AR44"/>
  <c r="AR44" i="62"/>
  <c r="AV44" s="1"/>
  <c r="BJ41" i="40" s="1"/>
  <c r="L45" i="62"/>
  <c r="P45" s="1"/>
  <c r="BF42" i="40" s="1"/>
  <c r="L45" i="38"/>
  <c r="AR9" i="62"/>
  <c r="AV9" s="1"/>
  <c r="BJ6" i="40" s="1"/>
  <c r="AR9" i="38"/>
  <c r="R6" i="40" s="1"/>
  <c r="D15" i="62"/>
  <c r="H15" s="1"/>
  <c r="BE12" i="40" s="1"/>
  <c r="D15" i="38"/>
  <c r="M12" i="40" s="1"/>
  <c r="BX19" i="62"/>
  <c r="CB19" s="1"/>
  <c r="BX19" i="38"/>
  <c r="AJ25" i="62"/>
  <c r="AN25" s="1"/>
  <c r="BI22" i="40" s="1"/>
  <c r="AJ25" i="38"/>
  <c r="BH20" i="62"/>
  <c r="BL20" s="1"/>
  <c r="BL17" i="40" s="1"/>
  <c r="BH20" i="38"/>
  <c r="T30" i="62"/>
  <c r="X30" s="1"/>
  <c r="BG27" i="40" s="1"/>
  <c r="T30" i="38"/>
  <c r="BH26" i="62"/>
  <c r="BL26" s="1"/>
  <c r="BL23" i="40" s="1"/>
  <c r="BH26" i="38"/>
  <c r="AJ17" i="62"/>
  <c r="AN17" s="1"/>
  <c r="BI14" i="40" s="1"/>
  <c r="AJ17" i="38"/>
  <c r="Q14" i="40" s="1"/>
  <c r="AZ35" i="62"/>
  <c r="BD35" s="1"/>
  <c r="BK32" i="40" s="1"/>
  <c r="AZ35" i="38"/>
  <c r="L33" i="62"/>
  <c r="P33" s="1"/>
  <c r="BF30" i="40" s="1"/>
  <c r="L33" i="38"/>
  <c r="AB27" i="62"/>
  <c r="AF27" s="1"/>
  <c r="BH24" i="40" s="1"/>
  <c r="AB27" i="38"/>
  <c r="D8"/>
  <c r="M5" i="40" s="1"/>
  <c r="D8" i="62"/>
  <c r="H8" s="1"/>
  <c r="BE5" i="40" s="1"/>
  <c r="BH15" i="38"/>
  <c r="BH15" i="62"/>
  <c r="BL15" s="1"/>
  <c r="BL12" i="40" s="1"/>
  <c r="BX13" i="38"/>
  <c r="V10" i="40" s="1"/>
  <c r="BX13" i="62"/>
  <c r="CB13" s="1"/>
  <c r="BN10" i="40" s="1"/>
  <c r="AR33" i="62"/>
  <c r="AV33" s="1"/>
  <c r="BJ30" i="40" s="1"/>
  <c r="AR33" i="38"/>
  <c r="D22" i="62"/>
  <c r="H22" s="1"/>
  <c r="BE19" i="40" s="1"/>
  <c r="D22" i="38"/>
  <c r="AR25" i="62"/>
  <c r="AV25" s="1"/>
  <c r="BJ22" i="40" s="1"/>
  <c r="AR25" i="38"/>
  <c r="AJ38" i="62"/>
  <c r="AN38" s="1"/>
  <c r="BI35" i="40" s="1"/>
  <c r="AJ38" i="38"/>
  <c r="T24" i="62"/>
  <c r="X24" s="1"/>
  <c r="BG21" i="40" s="1"/>
  <c r="T24" i="38"/>
  <c r="BH14" i="62"/>
  <c r="BL14" s="1"/>
  <c r="BL11" i="40" s="1"/>
  <c r="BH14" i="38"/>
  <c r="AJ37"/>
  <c r="F23" i="204" s="1"/>
  <c r="AJ37" i="62"/>
  <c r="AN37" s="1"/>
  <c r="BI34" i="40" s="1"/>
  <c r="T32" i="38"/>
  <c r="T32" i="62"/>
  <c r="X32" s="1"/>
  <c r="BG29" i="40" s="1"/>
  <c r="BP24" i="38"/>
  <c r="J10" i="204" s="1"/>
  <c r="BP24" i="62"/>
  <c r="BT24" s="1"/>
  <c r="BM21" i="40" s="1"/>
  <c r="L42" i="62"/>
  <c r="P42" s="1"/>
  <c r="BF39" i="40" s="1"/>
  <c r="L42" i="38"/>
  <c r="AR21"/>
  <c r="AR21" i="62"/>
  <c r="AV21" s="1"/>
  <c r="BJ18" i="40" s="1"/>
  <c r="BP29" i="38"/>
  <c r="BP29" i="62"/>
  <c r="BT29" s="1"/>
  <c r="BM26" i="40" s="1"/>
  <c r="BP17" i="38"/>
  <c r="U14" i="40" s="1"/>
  <c r="BP17" i="62"/>
  <c r="BT17" s="1"/>
  <c r="BM14" i="40" s="1"/>
  <c r="BX43" i="38"/>
  <c r="K29" i="204" s="1"/>
  <c r="BX43" i="62"/>
  <c r="CB43" s="1"/>
  <c r="BN40" i="40" s="1"/>
  <c r="L27" i="62"/>
  <c r="P27" s="1"/>
  <c r="BF24" i="40" s="1"/>
  <c r="L27" i="38"/>
  <c r="D27"/>
  <c r="D27" i="62"/>
  <c r="H27" s="1"/>
  <c r="BE24" i="40" s="1"/>
  <c r="BP30" i="38"/>
  <c r="BP30" i="62"/>
  <c r="BT30" s="1"/>
  <c r="BM27" i="40" s="1"/>
  <c r="BP35" i="38"/>
  <c r="J21" i="204" s="1"/>
  <c r="BP35" i="62"/>
  <c r="BT35" s="1"/>
  <c r="BM32" i="40" s="1"/>
  <c r="L8" i="38"/>
  <c r="N5" i="40" s="1"/>
  <c r="L8" i="62"/>
  <c r="P8" s="1"/>
  <c r="BF5" i="40" s="1"/>
  <c r="AJ13" i="38"/>
  <c r="Q10" i="40" s="1"/>
  <c r="AJ13" i="62"/>
  <c r="AN13" s="1"/>
  <c r="BI10" i="40" s="1"/>
  <c r="BX25" i="38"/>
  <c r="BX25" i="62"/>
  <c r="CB25" s="1"/>
  <c r="BN22" i="40" s="1"/>
  <c r="BH13" i="38"/>
  <c r="T10" i="40" s="1"/>
  <c r="BH13" i="62"/>
  <c r="BL13" s="1"/>
  <c r="BL10" i="40" s="1"/>
  <c r="AJ12" i="62"/>
  <c r="AN12" s="1"/>
  <c r="BI9" i="40" s="1"/>
  <c r="AJ12" i="38"/>
  <c r="Q9" i="40" s="1"/>
  <c r="BH38" i="38"/>
  <c r="BH38" i="62"/>
  <c r="BL38" s="1"/>
  <c r="BL35" i="40" s="1"/>
  <c r="AB8" i="62"/>
  <c r="AF8" s="1"/>
  <c r="BH5" i="40" s="1"/>
  <c r="AB8" i="38"/>
  <c r="P5" i="40" s="1"/>
  <c r="CF22" i="62"/>
  <c r="CJ22" s="1"/>
  <c r="BO19" i="40" s="1"/>
  <c r="CF22" i="38"/>
  <c r="BP37"/>
  <c r="BP37" i="62"/>
  <c r="BT37" s="1"/>
  <c r="BM34" i="40" s="1"/>
  <c r="AJ15" i="62"/>
  <c r="AN15" s="1"/>
  <c r="BI12" i="40" s="1"/>
  <c r="AJ15" i="38"/>
  <c r="Q12" i="40" s="1"/>
  <c r="AJ10" i="62"/>
  <c r="AN10" s="1"/>
  <c r="BI7" i="40" s="1"/>
  <c r="AJ10" i="38"/>
  <c r="Q7" i="40" s="1"/>
  <c r="BH29" i="62"/>
  <c r="BL29" s="1"/>
  <c r="BL26" i="40" s="1"/>
  <c r="BH29" i="38"/>
  <c r="L41"/>
  <c r="L41" i="62"/>
  <c r="P41" s="1"/>
  <c r="BF38" i="40" s="1"/>
  <c r="L9" i="38"/>
  <c r="N6" i="40" s="1"/>
  <c r="L9" i="62"/>
  <c r="P9" s="1"/>
  <c r="BF6" i="40" s="1"/>
  <c r="AR46" i="62"/>
  <c r="AR46" i="38"/>
  <c r="BX46" i="62"/>
  <c r="CB46" s="1"/>
  <c r="BN43" i="40" s="1"/>
  <c r="BX46" i="38"/>
  <c r="D46" i="62"/>
  <c r="D46" i="38"/>
  <c r="AZ46" i="62"/>
  <c r="AZ46" i="38"/>
  <c r="H32" i="204" s="1"/>
  <c r="L46" i="62"/>
  <c r="L46" i="38"/>
  <c r="C32" i="204" s="1"/>
  <c r="AR23" i="38"/>
  <c r="AR23" i="62"/>
  <c r="AV23" s="1"/>
  <c r="BJ20" i="40" s="1"/>
  <c r="AB13" i="62"/>
  <c r="AF13" s="1"/>
  <c r="BH10" i="40" s="1"/>
  <c r="AB13" i="38"/>
  <c r="P10" i="40" s="1"/>
  <c r="BX9" i="62"/>
  <c r="CB9" s="1"/>
  <c r="BN6" i="40" s="1"/>
  <c r="BX9" i="38"/>
  <c r="V6" i="40" s="1"/>
  <c r="AR38" i="62"/>
  <c r="AV38" s="1"/>
  <c r="BJ35" i="40" s="1"/>
  <c r="AR38" i="38"/>
  <c r="BP45" i="62"/>
  <c r="BT45" s="1"/>
  <c r="BM42" i="40" s="1"/>
  <c r="BP45" i="38"/>
  <c r="AZ15" i="62"/>
  <c r="BD15" s="1"/>
  <c r="BK12" i="40" s="1"/>
  <c r="AZ15" i="38"/>
  <c r="AJ30"/>
  <c r="AJ30" i="62"/>
  <c r="AN30" s="1"/>
  <c r="BI27" i="40" s="1"/>
  <c r="BP33" i="38"/>
  <c r="BP33" i="62"/>
  <c r="BT33" s="1"/>
  <c r="BM30" i="40" s="1"/>
  <c r="L31" i="62"/>
  <c r="P31" s="1"/>
  <c r="BF28" i="40" s="1"/>
  <c r="L31" i="38"/>
  <c r="C17" i="204" s="1"/>
  <c r="BP16" i="62"/>
  <c r="BT16" s="1"/>
  <c r="BM13" i="40" s="1"/>
  <c r="BP16" i="38"/>
  <c r="U13" i="40" s="1"/>
  <c r="BH37" i="62"/>
  <c r="BL37" s="1"/>
  <c r="BL34" i="40" s="1"/>
  <c r="BH37" i="38"/>
  <c r="BP12" i="62"/>
  <c r="BT12" s="1"/>
  <c r="BM9" i="40" s="1"/>
  <c r="BP12" i="38"/>
  <c r="U9" i="40" s="1"/>
  <c r="AB45" i="62"/>
  <c r="AF45" s="1"/>
  <c r="BH42" i="40" s="1"/>
  <c r="AB45" i="38"/>
  <c r="BH9" i="62"/>
  <c r="BL9" s="1"/>
  <c r="BL6" i="40" s="1"/>
  <c r="BH9" i="38"/>
  <c r="T6" i="40" s="1"/>
  <c r="AB26" i="62"/>
  <c r="AF26" s="1"/>
  <c r="BH23" i="40" s="1"/>
  <c r="AB26" i="38"/>
  <c r="CF10" i="62"/>
  <c r="CJ10" s="1"/>
  <c r="BO7" i="40" s="1"/>
  <c r="CF10" i="38"/>
  <c r="W7" i="40" s="1"/>
  <c r="AJ21" i="62"/>
  <c r="AN21" s="1"/>
  <c r="BI18" i="40" s="1"/>
  <c r="AJ21" i="38"/>
  <c r="D32" i="62"/>
  <c r="H32" s="1"/>
  <c r="BE29" i="40" s="1"/>
  <c r="D32" i="38"/>
  <c r="AZ34"/>
  <c r="H20" i="204" s="1"/>
  <c r="AZ34" i="62"/>
  <c r="BD34" s="1"/>
  <c r="BK31" i="40" s="1"/>
  <c r="D41" i="38"/>
  <c r="D41" i="62"/>
  <c r="H41" s="1"/>
  <c r="BE38" i="40" s="1"/>
  <c r="D13" i="62"/>
  <c r="H13" s="1"/>
  <c r="BE10" i="40" s="1"/>
  <c r="D13" i="38"/>
  <c r="M10" i="40" s="1"/>
  <c r="AZ11" i="62"/>
  <c r="BD11" s="1"/>
  <c r="BK8" i="40" s="1"/>
  <c r="AZ11" i="38"/>
  <c r="AJ45" i="62"/>
  <c r="AN45" s="1"/>
  <c r="BI42" i="40" s="1"/>
  <c r="AJ45" i="38"/>
  <c r="BX17" i="62"/>
  <c r="CB17" s="1"/>
  <c r="BN14" i="40" s="1"/>
  <c r="BX17" i="38"/>
  <c r="V14" i="40" s="1"/>
  <c r="AB21" i="62"/>
  <c r="AF21" s="1"/>
  <c r="BH18" i="40" s="1"/>
  <c r="AB21" i="38"/>
  <c r="BH23"/>
  <c r="BH23" i="62"/>
  <c r="BL23" s="1"/>
  <c r="BL20" i="40" s="1"/>
  <c r="AJ32" i="62"/>
  <c r="AN32" s="1"/>
  <c r="BI29" i="40" s="1"/>
  <c r="AJ32" i="38"/>
  <c r="F18" i="204" s="1"/>
  <c r="BX34" i="62"/>
  <c r="CB34" s="1"/>
  <c r="BN31" i="40" s="1"/>
  <c r="BX34" i="38"/>
  <c r="K20" i="204" s="1"/>
  <c r="AR20" i="62"/>
  <c r="AV20" s="1"/>
  <c r="BJ17" i="40" s="1"/>
  <c r="AR20" i="38"/>
  <c r="L32" i="62"/>
  <c r="P32" s="1"/>
  <c r="BF29" i="40" s="1"/>
  <c r="L32" i="38"/>
  <c r="CF19" i="62"/>
  <c r="CJ19" s="1"/>
  <c r="CF19" i="38"/>
  <c r="L5" i="204" s="1"/>
  <c r="AB15" i="38"/>
  <c r="P12" i="40" s="1"/>
  <c r="AB15" i="62"/>
  <c r="AF15" s="1"/>
  <c r="BH12" i="40" s="1"/>
  <c r="AZ39" i="62"/>
  <c r="BD39" s="1"/>
  <c r="BK36" i="40" s="1"/>
  <c r="AZ39" i="38"/>
  <c r="D10"/>
  <c r="M7" i="40" s="1"/>
  <c r="D10" i="62"/>
  <c r="H10" s="1"/>
  <c r="BE7" i="40" s="1"/>
  <c r="AB44" i="38"/>
  <c r="AB44" i="62"/>
  <c r="AF44" s="1"/>
  <c r="BH41" i="40" s="1"/>
  <c r="D28" i="62"/>
  <c r="H28" s="1"/>
  <c r="BE25" i="40" s="1"/>
  <c r="D28" i="38"/>
  <c r="BP9" i="62"/>
  <c r="BT9" s="1"/>
  <c r="BM6" i="40" s="1"/>
  <c r="BP9" i="38"/>
  <c r="U6" i="40" s="1"/>
  <c r="AR41" i="62"/>
  <c r="AV41" s="1"/>
  <c r="BJ38" i="40" s="1"/>
  <c r="AR41" i="38"/>
  <c r="D21"/>
  <c r="D21" i="62"/>
  <c r="H21" s="1"/>
  <c r="BE18" i="40" s="1"/>
  <c r="AZ21" i="62"/>
  <c r="BD21" s="1"/>
  <c r="BK18" i="40" s="1"/>
  <c r="AZ21" i="38"/>
  <c r="BX38" i="62"/>
  <c r="CB38" s="1"/>
  <c r="BN35" i="40" s="1"/>
  <c r="BX38" i="38"/>
  <c r="K24" i="204" s="1"/>
  <c r="D25" i="62"/>
  <c r="H25" s="1"/>
  <c r="BE22" i="40" s="1"/>
  <c r="D25" i="38"/>
  <c r="AJ34" i="62"/>
  <c r="AN34" s="1"/>
  <c r="BI31" i="40" s="1"/>
  <c r="AJ34" i="38"/>
  <c r="F20" i="204" s="1"/>
  <c r="BH22" i="62"/>
  <c r="BL22" s="1"/>
  <c r="BL19" i="40" s="1"/>
  <c r="BH22" i="38"/>
  <c r="I8" i="204" s="1"/>
  <c r="L24" i="62"/>
  <c r="P24" s="1"/>
  <c r="BF21" i="40" s="1"/>
  <c r="L24" i="38"/>
  <c r="C10" i="204" s="1"/>
  <c r="BP15" i="62"/>
  <c r="BT15" s="1"/>
  <c r="BM12" i="40" s="1"/>
  <c r="BP15" i="38"/>
  <c r="BX20" i="62"/>
  <c r="CB20" s="1"/>
  <c r="BN17" i="40" s="1"/>
  <c r="BX20" i="38"/>
  <c r="AJ26" i="62"/>
  <c r="AN26" s="1"/>
  <c r="BI23" i="40" s="1"/>
  <c r="AJ26" i="38"/>
  <c r="AZ37" i="62"/>
  <c r="BD37" s="1"/>
  <c r="BK34" i="40" s="1"/>
  <c r="AZ37" i="38"/>
  <c r="BH25" i="62"/>
  <c r="BL25" s="1"/>
  <c r="BL22" i="40" s="1"/>
  <c r="BH25" i="38"/>
  <c r="L36" i="62"/>
  <c r="P36" s="1"/>
  <c r="BF33" i="40" s="1"/>
  <c r="L36" i="38"/>
  <c r="T34" i="62"/>
  <c r="X34" s="1"/>
  <c r="BG31" i="40" s="1"/>
  <c r="T34" i="38"/>
  <c r="D20" i="204" s="1"/>
  <c r="I52" i="19"/>
  <c r="D47" i="62"/>
  <c r="H47" s="1"/>
  <c r="BE44" i="40" s="1"/>
  <c r="D47" i="38"/>
  <c r="BQ52" i="19"/>
  <c r="AZ47" i="62"/>
  <c r="BD47" s="1"/>
  <c r="BK44" i="40" s="1"/>
  <c r="AZ47" i="38"/>
  <c r="CU52" i="19"/>
  <c r="BX47" i="62"/>
  <c r="BX47" i="38"/>
  <c r="AM52" i="19"/>
  <c r="AB47" i="62"/>
  <c r="AF47" s="1"/>
  <c r="BH44" i="40" s="1"/>
  <c r="AB47" i="38"/>
  <c r="DE52" i="19"/>
  <c r="CF47" i="62"/>
  <c r="CF47" i="38"/>
  <c r="AW52" i="19"/>
  <c r="AJ47" i="62"/>
  <c r="AN47" s="1"/>
  <c r="BI44" i="40" s="1"/>
  <c r="AJ47" i="38"/>
  <c r="BG52" i="19"/>
  <c r="AR47" i="62"/>
  <c r="AV47" s="1"/>
  <c r="BJ44" i="40" s="1"/>
  <c r="AR47" i="38"/>
  <c r="AC52" i="19"/>
  <c r="T47" i="62"/>
  <c r="X47" s="1"/>
  <c r="BG44" i="40" s="1"/>
  <c r="T47" i="38"/>
  <c r="S52" i="19"/>
  <c r="L47" i="62"/>
  <c r="P47" s="1"/>
  <c r="BF44" i="40" s="1"/>
  <c r="L47" i="38"/>
  <c r="CK52" i="19"/>
  <c r="BP47" i="62"/>
  <c r="BT47" s="1"/>
  <c r="BP47" i="38"/>
  <c r="CA52" i="19"/>
  <c r="BH47" i="62"/>
  <c r="BL47" s="1"/>
  <c r="BL44" i="40" s="1"/>
  <c r="BH47" i="38"/>
  <c r="BM50" i="193" l="1"/>
  <c r="AZ50"/>
  <c r="AC50" i="62"/>
  <c r="D50" i="193"/>
  <c r="AJ50" i="62"/>
  <c r="M50" i="192"/>
  <c r="AS50" i="62"/>
  <c r="BY50" i="38"/>
  <c r="AK50" i="193"/>
  <c r="T50" i="191"/>
  <c r="CF50" i="62"/>
  <c r="CF50" i="192"/>
  <c r="BI50"/>
  <c r="BX50" i="62"/>
  <c r="E50"/>
  <c r="AZ50" i="191"/>
  <c r="D50"/>
  <c r="BP50" i="62"/>
  <c r="BP50" i="192"/>
  <c r="AS50" i="38"/>
  <c r="BH50" i="62"/>
  <c r="CF50" i="191"/>
  <c r="BI50"/>
  <c r="P15" i="190"/>
  <c r="B18" i="241"/>
  <c r="K44" i="243"/>
  <c r="K39"/>
  <c r="I38" i="242"/>
  <c r="I43"/>
  <c r="Q6" i="190"/>
  <c r="B9" i="242"/>
  <c r="R19" i="190"/>
  <c r="B22" i="243"/>
  <c r="I5"/>
  <c r="I42" s="1"/>
  <c r="N12" i="200"/>
  <c r="C44" i="242"/>
  <c r="C39"/>
  <c r="F5"/>
  <c r="F37" s="1"/>
  <c r="J9" i="200"/>
  <c r="C12"/>
  <c r="C43" i="242"/>
  <c r="C38"/>
  <c r="P22" i="190"/>
  <c r="B25" i="241"/>
  <c r="P8" i="190"/>
  <c r="B11" i="241"/>
  <c r="D43"/>
  <c r="D38"/>
  <c r="I44" i="242"/>
  <c r="I39"/>
  <c r="P2" i="190"/>
  <c r="L2" s="1"/>
  <c r="B5" i="241"/>
  <c r="F5" i="200"/>
  <c r="C8"/>
  <c r="K43" i="242"/>
  <c r="K38"/>
  <c r="R14" i="190"/>
  <c r="B17" i="243"/>
  <c r="Q4" i="190"/>
  <c r="B7" i="242"/>
  <c r="L43" i="243"/>
  <c r="L38"/>
  <c r="N9" i="200"/>
  <c r="F5" i="243"/>
  <c r="C43"/>
  <c r="C38"/>
  <c r="Q8" i="190"/>
  <c r="B11" i="242"/>
  <c r="P3" i="190"/>
  <c r="B6" i="241"/>
  <c r="J38"/>
  <c r="J43"/>
  <c r="I44" i="243"/>
  <c r="I39"/>
  <c r="I37"/>
  <c r="R2" i="190"/>
  <c r="N2" s="1"/>
  <c r="B5" i="243"/>
  <c r="N5" i="200"/>
  <c r="R27" i="190"/>
  <c r="N27" s="1"/>
  <c r="B30" i="243"/>
  <c r="K43"/>
  <c r="K38"/>
  <c r="P5" i="190"/>
  <c r="L5" s="1"/>
  <c r="B8" i="241"/>
  <c r="P12" i="190"/>
  <c r="B15" i="241"/>
  <c r="H5"/>
  <c r="H37" s="1"/>
  <c r="F11" i="200"/>
  <c r="G5" i="241"/>
  <c r="G42" s="1"/>
  <c r="F10" i="200"/>
  <c r="P14" i="190"/>
  <c r="L14" s="1"/>
  <c r="B17" i="241"/>
  <c r="J44"/>
  <c r="J39"/>
  <c r="K43"/>
  <c r="K38"/>
  <c r="Q16" i="190"/>
  <c r="B19" i="242"/>
  <c r="C5" i="241"/>
  <c r="C37" s="1"/>
  <c r="F6" i="200"/>
  <c r="E44" i="241"/>
  <c r="E39"/>
  <c r="R13" i="190"/>
  <c r="N13" s="1"/>
  <c r="B16" i="243"/>
  <c r="H43" i="241"/>
  <c r="H38"/>
  <c r="R17" i="190"/>
  <c r="N17" s="1"/>
  <c r="B20" i="243"/>
  <c r="R24" i="190"/>
  <c r="N24" s="1"/>
  <c r="B27" i="243"/>
  <c r="G43"/>
  <c r="G38"/>
  <c r="G39" i="241"/>
  <c r="G44"/>
  <c r="L43" i="242"/>
  <c r="L38"/>
  <c r="E5"/>
  <c r="J8" i="200"/>
  <c r="R15" i="190"/>
  <c r="N15" s="1"/>
  <c r="B18" i="243"/>
  <c r="Q29" i="190"/>
  <c r="B32" i="242"/>
  <c r="C42" i="241"/>
  <c r="Q28" i="190"/>
  <c r="B31" i="242"/>
  <c r="P27" i="190"/>
  <c r="B30" i="241"/>
  <c r="J44" i="242"/>
  <c r="J39"/>
  <c r="E43"/>
  <c r="E38"/>
  <c r="J5"/>
  <c r="J37" s="1"/>
  <c r="J13" i="200"/>
  <c r="R16" i="190"/>
  <c r="N16" s="1"/>
  <c r="B19" i="243"/>
  <c r="I38" i="241"/>
  <c r="I43"/>
  <c r="C5" i="242"/>
  <c r="C42" s="1"/>
  <c r="J6" i="200"/>
  <c r="P9" i="190"/>
  <c r="L9" s="1"/>
  <c r="B12" i="241"/>
  <c r="P7" i="190"/>
  <c r="B10" i="241"/>
  <c r="R8" i="190"/>
  <c r="N8" s="1"/>
  <c r="B11" i="243"/>
  <c r="R3" i="190"/>
  <c r="N3" s="1"/>
  <c r="B6" i="243"/>
  <c r="D43"/>
  <c r="D38"/>
  <c r="J38" i="242"/>
  <c r="J43"/>
  <c r="Q21" i="190"/>
  <c r="B24" i="242"/>
  <c r="Q26" i="190"/>
  <c r="B29" i="242"/>
  <c r="H42" i="241"/>
  <c r="J10" i="200"/>
  <c r="G5" i="242"/>
  <c r="AN47" i="38"/>
  <c r="F33" i="202" s="1"/>
  <c r="F33" i="204"/>
  <c r="BD47" i="38"/>
  <c r="H33" i="202" s="1"/>
  <c r="H33" i="204"/>
  <c r="N33" i="40"/>
  <c r="C22" i="204"/>
  <c r="R17" i="40"/>
  <c r="G6" i="204"/>
  <c r="P18" i="40"/>
  <c r="E7" i="204"/>
  <c r="Q42" i="40"/>
  <c r="F31" i="204"/>
  <c r="Q18" i="40"/>
  <c r="F7" i="204"/>
  <c r="P23" i="40"/>
  <c r="E12" i="204"/>
  <c r="T34" i="40"/>
  <c r="I23" i="204"/>
  <c r="U42" i="40"/>
  <c r="J31" i="204"/>
  <c r="V43" i="40"/>
  <c r="K32" i="204"/>
  <c r="T26" i="40"/>
  <c r="I15" i="204"/>
  <c r="N39" i="40"/>
  <c r="C28" i="204"/>
  <c r="M19" i="40"/>
  <c r="B8" i="204"/>
  <c r="D32" i="121"/>
  <c r="Q22" i="40"/>
  <c r="F11" i="204"/>
  <c r="N42" i="40"/>
  <c r="C31" i="204"/>
  <c r="W17" i="40"/>
  <c r="L6" i="204"/>
  <c r="Q32" i="40"/>
  <c r="F21" i="204"/>
  <c r="R19" i="40"/>
  <c r="G8" i="204"/>
  <c r="B23"/>
  <c r="D47" i="121"/>
  <c r="S28" i="40"/>
  <c r="H17" i="204"/>
  <c r="U39" i="40"/>
  <c r="J28" i="204"/>
  <c r="W33" i="40"/>
  <c r="L22" i="204"/>
  <c r="U29" i="40"/>
  <c r="J18" i="204"/>
  <c r="S37" i="40"/>
  <c r="H26" i="204"/>
  <c r="S26" i="40"/>
  <c r="H15" i="204"/>
  <c r="P27" i="40"/>
  <c r="E16" i="204"/>
  <c r="S19" i="40"/>
  <c r="H8" i="204"/>
  <c r="W28" i="40"/>
  <c r="L17" i="204"/>
  <c r="V39" i="40"/>
  <c r="K28" i="204"/>
  <c r="M39" i="40"/>
  <c r="B28" i="204"/>
  <c r="D52" i="121"/>
  <c r="Q30" i="40"/>
  <c r="F19" i="204"/>
  <c r="Q24" i="40"/>
  <c r="F13" i="204"/>
  <c r="W43" i="40"/>
  <c r="L32" i="204"/>
  <c r="R27" i="40"/>
  <c r="G16" i="204"/>
  <c r="S21" i="40"/>
  <c r="H10" i="204"/>
  <c r="P38" i="40"/>
  <c r="E27" i="204"/>
  <c r="W20" i="40"/>
  <c r="L9" i="204"/>
  <c r="M27" i="40"/>
  <c r="B16" i="204"/>
  <c r="D40" i="121"/>
  <c r="Q33" i="40"/>
  <c r="F22" i="204"/>
  <c r="S40" i="40"/>
  <c r="H29" i="204"/>
  <c r="O18" i="40"/>
  <c r="D7" i="204"/>
  <c r="W25" i="40"/>
  <c r="L14" i="204"/>
  <c r="B22"/>
  <c r="D46" i="121"/>
  <c r="Q25" i="40"/>
  <c r="F14" i="204"/>
  <c r="T29" i="40"/>
  <c r="I18" i="204"/>
  <c r="W21" i="40"/>
  <c r="L10" i="204"/>
  <c r="T16" i="40"/>
  <c r="I5" i="204"/>
  <c r="S33" i="40"/>
  <c r="H22" i="204"/>
  <c r="O33" i="40"/>
  <c r="D22" i="204"/>
  <c r="T33" i="40"/>
  <c r="I22" i="204"/>
  <c r="W27" i="40"/>
  <c r="L16" i="204"/>
  <c r="V34" i="40"/>
  <c r="K23" i="204"/>
  <c r="V27" i="40"/>
  <c r="K16" i="204"/>
  <c r="C14" i="200"/>
  <c r="I34" i="243"/>
  <c r="O12" i="200"/>
  <c r="H34" i="242"/>
  <c r="K11" i="200"/>
  <c r="C34" i="242"/>
  <c r="K6" i="200"/>
  <c r="G34" i="242"/>
  <c r="K10" i="200"/>
  <c r="Q7" i="190"/>
  <c r="B10" i="242"/>
  <c r="P21" i="190"/>
  <c r="L21" s="1"/>
  <c r="B24" i="241"/>
  <c r="G43"/>
  <c r="G38"/>
  <c r="D44" i="243"/>
  <c r="D39"/>
  <c r="R26" i="190"/>
  <c r="N26" s="1"/>
  <c r="B29" i="243"/>
  <c r="P20" i="190"/>
  <c r="L20" s="1"/>
  <c r="B23" i="241"/>
  <c r="R30" i="190"/>
  <c r="N30" s="1"/>
  <c r="B33" i="243"/>
  <c r="Q25" i="190"/>
  <c r="B28" i="242"/>
  <c r="P23" i="190"/>
  <c r="B26" i="241"/>
  <c r="L44"/>
  <c r="L39"/>
  <c r="R22" i="190"/>
  <c r="N22" s="1"/>
  <c r="B25" i="243"/>
  <c r="K5" i="241"/>
  <c r="K37" s="1"/>
  <c r="F14" i="200"/>
  <c r="E5" i="243"/>
  <c r="E42" s="1"/>
  <c r="N8" i="200"/>
  <c r="D5" i="243"/>
  <c r="D42" s="1"/>
  <c r="N7" i="200"/>
  <c r="R25" i="190"/>
  <c r="N25" s="1"/>
  <c r="B28" i="243"/>
  <c r="D37"/>
  <c r="R29" i="190"/>
  <c r="N29" s="1"/>
  <c r="B32" i="243"/>
  <c r="K5"/>
  <c r="K37" s="1"/>
  <c r="N14" i="200"/>
  <c r="I38" i="243"/>
  <c r="I43"/>
  <c r="P10" i="190"/>
  <c r="B13" i="241"/>
  <c r="D43" i="242"/>
  <c r="D38"/>
  <c r="G5" i="243"/>
  <c r="G37" s="1"/>
  <c r="N10" i="200"/>
  <c r="R11" i="190"/>
  <c r="N11" s="1"/>
  <c r="B14" i="243"/>
  <c r="F39" i="241"/>
  <c r="F44"/>
  <c r="P26" i="190"/>
  <c r="B29" i="241"/>
  <c r="R20" i="190"/>
  <c r="N20" s="1"/>
  <c r="B23" i="243"/>
  <c r="Q23" i="190"/>
  <c r="B26" i="242"/>
  <c r="L44"/>
  <c r="L39"/>
  <c r="R5" i="190"/>
  <c r="N5" s="1"/>
  <c r="B8" i="243"/>
  <c r="P4" i="190"/>
  <c r="L4" s="1"/>
  <c r="B7" i="241"/>
  <c r="Q15" i="190"/>
  <c r="B18" i="242"/>
  <c r="D34" i="204"/>
  <c r="T50" i="38"/>
  <c r="T53" s="1"/>
  <c r="O45" i="40"/>
  <c r="CJ47" i="38"/>
  <c r="L33" i="202" s="1"/>
  <c r="L33" i="204"/>
  <c r="H47" i="38"/>
  <c r="B33" i="202" s="1"/>
  <c r="B33" i="204"/>
  <c r="D57" i="121"/>
  <c r="T20" i="40"/>
  <c r="I9" i="204"/>
  <c r="M38" i="40"/>
  <c r="B27" i="204"/>
  <c r="D51" i="121"/>
  <c r="N38" i="40"/>
  <c r="C27" i="204"/>
  <c r="U34" i="40"/>
  <c r="J23" i="204"/>
  <c r="U27" i="40"/>
  <c r="J16" i="204"/>
  <c r="R18" i="40"/>
  <c r="G7" i="204"/>
  <c r="R41" i="40"/>
  <c r="G30" i="204"/>
  <c r="U23" i="40"/>
  <c r="J12" i="204"/>
  <c r="T30" i="40"/>
  <c r="I19" i="204"/>
  <c r="R39" i="40"/>
  <c r="G28" i="204"/>
  <c r="R33" i="40"/>
  <c r="G22" i="204"/>
  <c r="T25" i="40"/>
  <c r="I14" i="204"/>
  <c r="P30" i="40"/>
  <c r="E19" i="204"/>
  <c r="U38" i="40"/>
  <c r="J27" i="204"/>
  <c r="O17" i="40"/>
  <c r="D6" i="204"/>
  <c r="O22" i="40"/>
  <c r="D11" i="204"/>
  <c r="P35" i="40"/>
  <c r="E24" i="204"/>
  <c r="O23" i="40"/>
  <c r="D12" i="204"/>
  <c r="V19" i="40"/>
  <c r="K8" i="204"/>
  <c r="O41" i="40"/>
  <c r="D30" i="204"/>
  <c r="N34" i="40"/>
  <c r="C23" i="204"/>
  <c r="B31"/>
  <c r="D55" i="121"/>
  <c r="U16" i="40"/>
  <c r="J5" i="204"/>
  <c r="W41" i="40"/>
  <c r="L30" i="204"/>
  <c r="Q3" i="190"/>
  <c r="B6" i="242"/>
  <c r="Q22" i="190"/>
  <c r="B25" i="242"/>
  <c r="D44"/>
  <c r="D39"/>
  <c r="Q2" i="190"/>
  <c r="M2" s="1"/>
  <c r="B5" i="242"/>
  <c r="J5" i="200"/>
  <c r="L44" i="243"/>
  <c r="L39"/>
  <c r="H44" i="241"/>
  <c r="H39"/>
  <c r="F43"/>
  <c r="F38"/>
  <c r="I44"/>
  <c r="I39"/>
  <c r="H5" i="242"/>
  <c r="J11" i="200"/>
  <c r="C5" i="243"/>
  <c r="C37" s="1"/>
  <c r="N6" i="200"/>
  <c r="L5" i="243"/>
  <c r="L42" s="1"/>
  <c r="N15" i="200"/>
  <c r="R21" i="190"/>
  <c r="N21" s="1"/>
  <c r="B24" i="243"/>
  <c r="P30" i="190"/>
  <c r="B33" i="241"/>
  <c r="Q18" i="190"/>
  <c r="M18" s="1"/>
  <c r="B21" i="242"/>
  <c r="G39"/>
  <c r="G44"/>
  <c r="E44" i="243"/>
  <c r="E39"/>
  <c r="R10" i="190"/>
  <c r="N10" s="1"/>
  <c r="B13" i="243"/>
  <c r="E37" i="242"/>
  <c r="E42"/>
  <c r="F34" i="204"/>
  <c r="Q45" i="40"/>
  <c r="AJ50" i="38"/>
  <c r="AJ53" s="1"/>
  <c r="L34" i="204"/>
  <c r="CF50" i="38"/>
  <c r="CF53" s="1"/>
  <c r="W45" i="40"/>
  <c r="X47" i="38"/>
  <c r="D33" i="202" s="1"/>
  <c r="D33" i="204"/>
  <c r="AF47" i="38"/>
  <c r="E33" i="202" s="1"/>
  <c r="E33" i="204"/>
  <c r="T22" i="40"/>
  <c r="I11" i="204"/>
  <c r="Q23" i="40"/>
  <c r="F12" i="204"/>
  <c r="M22" i="40"/>
  <c r="B11" i="204"/>
  <c r="D35" i="121"/>
  <c r="S18" i="40"/>
  <c r="H7" i="204"/>
  <c r="R38" i="40"/>
  <c r="G27" i="204"/>
  <c r="M25" i="40"/>
  <c r="B14" i="204"/>
  <c r="D38" i="121"/>
  <c r="N29" i="40"/>
  <c r="C18" i="204"/>
  <c r="M29" i="40"/>
  <c r="B18" i="204"/>
  <c r="D42" i="121"/>
  <c r="R35" i="40"/>
  <c r="G24" i="204"/>
  <c r="B32"/>
  <c r="D57" i="38"/>
  <c r="D56" i="121"/>
  <c r="R43" i="40"/>
  <c r="G32" i="204"/>
  <c r="N24" i="40"/>
  <c r="C13" i="204"/>
  <c r="O21" i="40"/>
  <c r="D10" i="204"/>
  <c r="R22" i="40"/>
  <c r="G11" i="204"/>
  <c r="R30" i="40"/>
  <c r="G19" i="204"/>
  <c r="P24" i="40"/>
  <c r="E13" i="204"/>
  <c r="S32" i="40"/>
  <c r="H21" i="204"/>
  <c r="T23" i="40"/>
  <c r="I12" i="204"/>
  <c r="T17" i="40"/>
  <c r="I6" i="204"/>
  <c r="V16" i="40"/>
  <c r="K5" i="204"/>
  <c r="V23" i="40"/>
  <c r="K12" i="204"/>
  <c r="B12"/>
  <c r="D36" i="121"/>
  <c r="Q39" i="40"/>
  <c r="F28" i="204"/>
  <c r="P39" i="40"/>
  <c r="E28" i="204"/>
  <c r="W26" i="40"/>
  <c r="L15" i="204"/>
  <c r="N31" i="40"/>
  <c r="C20" i="204"/>
  <c r="U22" i="40"/>
  <c r="J11" i="204"/>
  <c r="N26" i="40"/>
  <c r="C15" i="204"/>
  <c r="W35" i="40"/>
  <c r="L24" i="204"/>
  <c r="R40" i="40"/>
  <c r="G29" i="204"/>
  <c r="T27" i="40"/>
  <c r="I16" i="204"/>
  <c r="R31" i="40"/>
  <c r="G20" i="204"/>
  <c r="O16" i="40"/>
  <c r="D5" i="204"/>
  <c r="T40" i="40"/>
  <c r="I29" i="204"/>
  <c r="N32" i="40"/>
  <c r="C21" i="204"/>
  <c r="V20" i="40"/>
  <c r="K9" i="204"/>
  <c r="T36" i="40"/>
  <c r="I25" i="204"/>
  <c r="R23" i="40"/>
  <c r="G12" i="204"/>
  <c r="B10"/>
  <c r="D34" i="121"/>
  <c r="M35" i="40"/>
  <c r="B24" i="204"/>
  <c r="D56" i="38"/>
  <c r="D48" i="121"/>
  <c r="U28" i="40"/>
  <c r="J17" i="204"/>
  <c r="M40" i="40"/>
  <c r="B29" i="204"/>
  <c r="D53" i="121"/>
  <c r="W22" i="40"/>
  <c r="L11" i="204"/>
  <c r="S24" i="40"/>
  <c r="H13" i="204"/>
  <c r="Q40" i="40"/>
  <c r="F29" i="204"/>
  <c r="W31" i="40"/>
  <c r="L20" i="204"/>
  <c r="O36" i="40"/>
  <c r="D25" i="204"/>
  <c r="V24" i="40"/>
  <c r="K13" i="204"/>
  <c r="O43" i="40"/>
  <c r="D32" i="204"/>
  <c r="J49"/>
  <c r="J44"/>
  <c r="J39"/>
  <c r="P16" i="40"/>
  <c r="E5" i="204"/>
  <c r="N22" i="40"/>
  <c r="C11" i="204"/>
  <c r="W37" i="40"/>
  <c r="L26" i="204"/>
  <c r="Q26" i="40"/>
  <c r="F15" i="204"/>
  <c r="V36" i="40"/>
  <c r="K25" i="204"/>
  <c r="U24" i="40"/>
  <c r="J13" i="204"/>
  <c r="J38" s="1"/>
  <c r="S17" i="40"/>
  <c r="H6" i="204"/>
  <c r="P19" i="40"/>
  <c r="E8" i="204"/>
  <c r="V38" i="40"/>
  <c r="K27" i="204"/>
  <c r="M16" i="40"/>
  <c r="B5" i="204"/>
  <c r="D21" i="120"/>
  <c r="D29" i="121"/>
  <c r="R24" i="40"/>
  <c r="G13" i="204"/>
  <c r="W42" i="40"/>
  <c r="L31" i="204"/>
  <c r="S39" i="40"/>
  <c r="H28" i="204"/>
  <c r="T37" i="40"/>
  <c r="I26" i="204"/>
  <c r="S41" i="40"/>
  <c r="H30" i="204"/>
  <c r="T39" i="40"/>
  <c r="I28" i="204"/>
  <c r="P34" i="40"/>
  <c r="E23" i="204"/>
  <c r="R36" i="40"/>
  <c r="G25" i="204"/>
  <c r="V33" i="40"/>
  <c r="K22" i="204"/>
  <c r="Q38" i="40"/>
  <c r="F27" i="204"/>
  <c r="Q17" i="40"/>
  <c r="F6" i="204"/>
  <c r="O20" i="40"/>
  <c r="D9" i="204"/>
  <c r="T42" i="40"/>
  <c r="I31" i="204"/>
  <c r="Q41" i="40"/>
  <c r="F30" i="204"/>
  <c r="S25" i="40"/>
  <c r="H14" i="204"/>
  <c r="M41" i="40"/>
  <c r="B30" i="204"/>
  <c r="D54" i="121"/>
  <c r="L34" i="243"/>
  <c r="O15" i="200"/>
  <c r="K34" i="243"/>
  <c r="O14" i="200"/>
  <c r="I34" i="242"/>
  <c r="K12" i="200"/>
  <c r="E34" i="241"/>
  <c r="G8" i="200"/>
  <c r="J34" i="243"/>
  <c r="O13" i="200"/>
  <c r="H34" i="241"/>
  <c r="G11" i="200"/>
  <c r="C34" i="241"/>
  <c r="G6" i="200"/>
  <c r="Q12" i="190"/>
  <c r="M12" s="1"/>
  <c r="B15" i="242"/>
  <c r="P24" i="190"/>
  <c r="B27" i="241"/>
  <c r="Q5" i="190"/>
  <c r="M5" s="1"/>
  <c r="B8" i="242"/>
  <c r="P29" i="190"/>
  <c r="B32" i="241"/>
  <c r="F43" i="242"/>
  <c r="F38"/>
  <c r="E5" i="241"/>
  <c r="E42" s="1"/>
  <c r="F8" i="200"/>
  <c r="D5" i="242"/>
  <c r="D42" s="1"/>
  <c r="J7" i="200"/>
  <c r="Q13" i="190"/>
  <c r="M13" s="1"/>
  <c r="B16" i="242"/>
  <c r="H5" i="243"/>
  <c r="H37" s="1"/>
  <c r="N11" i="200"/>
  <c r="L43" i="241"/>
  <c r="L38"/>
  <c r="F43" i="243"/>
  <c r="F38"/>
  <c r="Q11" i="190"/>
  <c r="M11" s="1"/>
  <c r="B14" i="242"/>
  <c r="D5" i="241"/>
  <c r="F7" i="200"/>
  <c r="R9" i="190"/>
  <c r="N9" s="1"/>
  <c r="B12" i="243"/>
  <c r="R23" i="190"/>
  <c r="N23" s="1"/>
  <c r="B26" i="243"/>
  <c r="J34" i="204"/>
  <c r="U45" i="40"/>
  <c r="U47" s="1"/>
  <c r="BP50" i="38"/>
  <c r="BP53" s="1"/>
  <c r="AG50" i="193"/>
  <c r="CK50" i="192"/>
  <c r="AG50" i="191"/>
  <c r="BM50" i="192"/>
  <c r="U50" i="62"/>
  <c r="BH50" i="193"/>
  <c r="BI50" i="38"/>
  <c r="CK50" i="191"/>
  <c r="BU50"/>
  <c r="X48"/>
  <c r="U50" i="38"/>
  <c r="BA50" i="191"/>
  <c r="AJ50"/>
  <c r="M50" i="62"/>
  <c r="AS50" i="193"/>
  <c r="BY50" i="191"/>
  <c r="AK50" i="192"/>
  <c r="T50" i="193"/>
  <c r="CB48" i="62"/>
  <c r="BN45" i="40" s="1"/>
  <c r="AW48" i="193"/>
  <c r="AW50" s="1"/>
  <c r="BD48"/>
  <c r="BE50"/>
  <c r="CJ48" i="192"/>
  <c r="BM48" i="191"/>
  <c r="BM50" s="1"/>
  <c r="BE48"/>
  <c r="BE50" s="1"/>
  <c r="H48"/>
  <c r="Y50"/>
  <c r="BU48" i="192"/>
  <c r="BU50" s="1"/>
  <c r="Q48"/>
  <c r="Q50" s="1"/>
  <c r="AN48" i="191"/>
  <c r="L50" i="62"/>
  <c r="L50" i="191"/>
  <c r="BX50" i="193"/>
  <c r="U50" i="192"/>
  <c r="BA50" i="193"/>
  <c r="CG50" i="62"/>
  <c r="E50" i="193"/>
  <c r="BQ50" i="38"/>
  <c r="AZ50" i="192"/>
  <c r="AC50" i="38"/>
  <c r="AJ50" i="193"/>
  <c r="BP50" i="191"/>
  <c r="M50" i="38"/>
  <c r="M53" s="1"/>
  <c r="M50" i="191"/>
  <c r="AS50" i="192"/>
  <c r="BH50"/>
  <c r="AK50" i="38"/>
  <c r="T50" i="192"/>
  <c r="CF50" i="193"/>
  <c r="BI50"/>
  <c r="BT47" i="38"/>
  <c r="J33" i="202" s="1"/>
  <c r="J33" i="204"/>
  <c r="S34" i="40"/>
  <c r="H23" i="204"/>
  <c r="V17" i="40"/>
  <c r="K6" i="204"/>
  <c r="K43"/>
  <c r="K48"/>
  <c r="K38"/>
  <c r="S36" i="40"/>
  <c r="H25" i="204"/>
  <c r="P42" i="40"/>
  <c r="E31" i="204"/>
  <c r="W19" i="40"/>
  <c r="L8" i="204"/>
  <c r="Q35" i="40"/>
  <c r="F24" i="204"/>
  <c r="N30" i="40"/>
  <c r="C19" i="204"/>
  <c r="O27" i="40"/>
  <c r="D16" i="204"/>
  <c r="N27" i="40"/>
  <c r="C16" i="204"/>
  <c r="O38" i="40"/>
  <c r="D27" i="204"/>
  <c r="N25" i="40"/>
  <c r="C14" i="204"/>
  <c r="W40" i="40"/>
  <c r="L29" i="204"/>
  <c r="U17" i="40"/>
  <c r="J6" i="204"/>
  <c r="O19" i="40"/>
  <c r="D8" i="204"/>
  <c r="P28" i="40"/>
  <c r="E17" i="204"/>
  <c r="Q28" i="40"/>
  <c r="F17" i="204"/>
  <c r="R42" i="40"/>
  <c r="G31" i="204"/>
  <c r="P29" i="40"/>
  <c r="E18" i="204"/>
  <c r="T18" i="40"/>
  <c r="I7" i="204"/>
  <c r="V37" i="40"/>
  <c r="K26" i="204"/>
  <c r="E44"/>
  <c r="E49"/>
  <c r="E39"/>
  <c r="Q43" i="40"/>
  <c r="F32" i="204"/>
  <c r="P40" i="40"/>
  <c r="E29" i="204"/>
  <c r="O26" i="40"/>
  <c r="D15" i="204"/>
  <c r="R29" i="40"/>
  <c r="G18" i="204"/>
  <c r="M32" i="40"/>
  <c r="B21" i="204"/>
  <c r="D45" i="121"/>
  <c r="P32" i="40"/>
  <c r="E21" i="204"/>
  <c r="O30" i="40"/>
  <c r="D19" i="204"/>
  <c r="O28" i="40"/>
  <c r="D17" i="204"/>
  <c r="T38" i="40"/>
  <c r="I27" i="204"/>
  <c r="M31" i="40"/>
  <c r="B20" i="204"/>
  <c r="D44" i="121"/>
  <c r="U20" i="40"/>
  <c r="J9" i="204"/>
  <c r="B17"/>
  <c r="D41" i="121"/>
  <c r="C6" i="200"/>
  <c r="C10"/>
  <c r="O9"/>
  <c r="F34" i="243"/>
  <c r="O10" i="200"/>
  <c r="G34" i="243"/>
  <c r="F34" i="241"/>
  <c r="G9" i="200"/>
  <c r="G14"/>
  <c r="K34" i="241"/>
  <c r="L5"/>
  <c r="L42" s="1"/>
  <c r="F15" i="200"/>
  <c r="Q27" i="190"/>
  <c r="M27" s="1"/>
  <c r="B30" i="242"/>
  <c r="Q14" i="190"/>
  <c r="M14" s="1"/>
  <c r="B17" i="242"/>
  <c r="F12" i="200"/>
  <c r="I5" i="241"/>
  <c r="I37" s="1"/>
  <c r="Q10" i="190"/>
  <c r="M10" s="1"/>
  <c r="B13" i="242"/>
  <c r="H43" i="243"/>
  <c r="H38"/>
  <c r="J5"/>
  <c r="J37" s="1"/>
  <c r="N13" i="200"/>
  <c r="P18" i="190"/>
  <c r="B21" i="241"/>
  <c r="G34" i="204"/>
  <c r="R45" i="40"/>
  <c r="AR50" i="38"/>
  <c r="AR53" s="1"/>
  <c r="E34" i="204"/>
  <c r="AB50" i="38"/>
  <c r="AB53" s="1"/>
  <c r="P45" i="40"/>
  <c r="H34" i="204"/>
  <c r="S45" i="40"/>
  <c r="AZ50" i="38"/>
  <c r="AZ53" s="1"/>
  <c r="R7" i="190"/>
  <c r="N7" s="1"/>
  <c r="B10" i="243"/>
  <c r="F13" i="200"/>
  <c r="J5" i="241"/>
  <c r="J37" s="1"/>
  <c r="P28" i="190"/>
  <c r="B31" i="241"/>
  <c r="Q30" i="190"/>
  <c r="M30" s="1"/>
  <c r="B33" i="242"/>
  <c r="P25" i="190"/>
  <c r="B28" i="241"/>
  <c r="J44" i="243"/>
  <c r="J39"/>
  <c r="C44"/>
  <c r="C39"/>
  <c r="F5" i="241"/>
  <c r="F9" i="200"/>
  <c r="K44" i="242"/>
  <c r="K39"/>
  <c r="F42" i="243"/>
  <c r="F37"/>
  <c r="R6" i="190"/>
  <c r="N6" s="1"/>
  <c r="B9" i="243"/>
  <c r="K44" i="241"/>
  <c r="K39"/>
  <c r="R28" i="190"/>
  <c r="N28" s="1"/>
  <c r="B31" i="243"/>
  <c r="F42" i="241"/>
  <c r="F37"/>
  <c r="Q9" i="190"/>
  <c r="M9" s="1"/>
  <c r="B12" i="242"/>
  <c r="B34" i="204"/>
  <c r="D54" i="38"/>
  <c r="D58" i="121"/>
  <c r="D22" i="120"/>
  <c r="M45" i="40"/>
  <c r="M47" s="1"/>
  <c r="D50" i="38"/>
  <c r="D53" s="1"/>
  <c r="I34" i="204"/>
  <c r="T45" i="40"/>
  <c r="BH50" i="38"/>
  <c r="BH53" s="1"/>
  <c r="P47"/>
  <c r="C33" i="202" s="1"/>
  <c r="C33" i="204"/>
  <c r="U30" i="40"/>
  <c r="J19" i="204"/>
  <c r="V22" i="40"/>
  <c r="K11" i="204"/>
  <c r="R34" i="40"/>
  <c r="G23" i="204"/>
  <c r="S29" i="40"/>
  <c r="H18" i="204"/>
  <c r="M17" i="40"/>
  <c r="B6" i="204"/>
  <c r="D30" i="121"/>
  <c r="V29" i="40"/>
  <c r="K18" i="204"/>
  <c r="S30" i="40"/>
  <c r="H19" i="204"/>
  <c r="S42" i="40"/>
  <c r="H31" i="204"/>
  <c r="V18" i="40"/>
  <c r="K7" i="204"/>
  <c r="V41" i="40"/>
  <c r="K30" i="204"/>
  <c r="N36" i="40"/>
  <c r="C25" i="204"/>
  <c r="P26" i="40"/>
  <c r="E15" i="204"/>
  <c r="R28" i="40"/>
  <c r="G17" i="204"/>
  <c r="V25" i="40"/>
  <c r="K14" i="204"/>
  <c r="W23" i="40"/>
  <c r="L12" i="204"/>
  <c r="T24" i="40"/>
  <c r="I13" i="204"/>
  <c r="T28" i="40"/>
  <c r="I17" i="204"/>
  <c r="W18" i="40"/>
  <c r="L7" i="204"/>
  <c r="N41" i="40"/>
  <c r="C30" i="204"/>
  <c r="R25" i="40"/>
  <c r="G14" i="204"/>
  <c r="Q16" i="40"/>
  <c r="F5" i="204"/>
  <c r="S20" i="40"/>
  <c r="H9" i="204"/>
  <c r="U37" i="40"/>
  <c r="J26" i="204"/>
  <c r="W36" i="40"/>
  <c r="L25" i="204"/>
  <c r="W38" i="40"/>
  <c r="L27" i="204"/>
  <c r="C9" i="200"/>
  <c r="C13"/>
  <c r="D34" i="241"/>
  <c r="G7" i="200"/>
  <c r="G34" i="241"/>
  <c r="G10" i="200"/>
  <c r="P17" i="190"/>
  <c r="B20" i="241"/>
  <c r="P16" i="190"/>
  <c r="B19" i="241"/>
  <c r="L5" i="242"/>
  <c r="L42" s="1"/>
  <c r="J15" i="200"/>
  <c r="Q17" i="190"/>
  <c r="M17" s="1"/>
  <c r="B20" i="242"/>
  <c r="E44"/>
  <c r="E39"/>
  <c r="K34" i="204"/>
  <c r="V45" i="40"/>
  <c r="V47" s="1"/>
  <c r="BX50" i="38"/>
  <c r="BX53" s="1"/>
  <c r="F39" i="242"/>
  <c r="F44"/>
  <c r="C42" i="243"/>
  <c r="R4" i="190"/>
  <c r="N4" s="1"/>
  <c r="B7" i="243"/>
  <c r="J38"/>
  <c r="J43"/>
  <c r="P13" i="190"/>
  <c r="B16" i="241"/>
  <c r="E43"/>
  <c r="E38"/>
  <c r="K5" i="242"/>
  <c r="K37" s="1"/>
  <c r="J14" i="200"/>
  <c r="G42" i="242"/>
  <c r="G37"/>
  <c r="R12" i="190"/>
  <c r="N12" s="1"/>
  <c r="B15" i="243"/>
  <c r="P11" i="190"/>
  <c r="L11" s="1"/>
  <c r="B14" i="241"/>
  <c r="H44" i="242"/>
  <c r="H39"/>
  <c r="BL47" i="38"/>
  <c r="I33" i="202" s="1"/>
  <c r="I33" i="204"/>
  <c r="AV47" i="38"/>
  <c r="G33" i="202" s="1"/>
  <c r="G33" i="204"/>
  <c r="CB47" i="38"/>
  <c r="K33" i="202" s="1"/>
  <c r="K33" i="204"/>
  <c r="M18" i="40"/>
  <c r="B7" i="204"/>
  <c r="D31" i="121"/>
  <c r="P41" i="40"/>
  <c r="E30" i="204"/>
  <c r="Q27" i="40"/>
  <c r="F16" i="204"/>
  <c r="R20" i="40"/>
  <c r="G9" i="204"/>
  <c r="T35" i="40"/>
  <c r="I24" i="204"/>
  <c r="B13"/>
  <c r="D55" i="38"/>
  <c r="D37" i="121"/>
  <c r="U26" i="40"/>
  <c r="J15" i="204"/>
  <c r="O29" i="40"/>
  <c r="D18" i="204"/>
  <c r="W39" i="40"/>
  <c r="L28" i="204"/>
  <c r="O32" i="40"/>
  <c r="D21" i="204"/>
  <c r="P31" i="40"/>
  <c r="E20" i="204"/>
  <c r="M26" i="40"/>
  <c r="B15" i="204"/>
  <c r="D39" i="121"/>
  <c r="Q21" i="40"/>
  <c r="F10" i="204"/>
  <c r="S16" i="40"/>
  <c r="H5" i="204"/>
  <c r="V21" i="40"/>
  <c r="K10" i="204"/>
  <c r="N35" i="40"/>
  <c r="C24" i="204"/>
  <c r="C44" s="1"/>
  <c r="R16" i="40"/>
  <c r="G5" i="204"/>
  <c r="N18" i="40"/>
  <c r="C7" i="204"/>
  <c r="Q36" i="40"/>
  <c r="F25" i="204"/>
  <c r="B25"/>
  <c r="D49" i="121"/>
  <c r="T41" i="40"/>
  <c r="I30" i="204"/>
  <c r="N19" i="40"/>
  <c r="C8" i="204"/>
  <c r="N20" i="40"/>
  <c r="C9" i="204"/>
  <c r="T21" i="40"/>
  <c r="I10" i="204"/>
  <c r="O40" i="40"/>
  <c r="D29" i="204"/>
  <c r="P36" i="40"/>
  <c r="E25" i="204"/>
  <c r="Q37" i="40"/>
  <c r="F26" i="204"/>
  <c r="N16" i="40"/>
  <c r="C5" i="204"/>
  <c r="U31" i="40"/>
  <c r="J20" i="204"/>
  <c r="M30" i="40"/>
  <c r="B19" i="204"/>
  <c r="D43" i="121"/>
  <c r="V26" i="40"/>
  <c r="K15" i="204"/>
  <c r="O37" i="40"/>
  <c r="D26" i="204"/>
  <c r="M20" i="40"/>
  <c r="B9" i="204"/>
  <c r="D33" i="121"/>
  <c r="O24" i="40"/>
  <c r="D13" i="204"/>
  <c r="D43" s="1"/>
  <c r="W24" i="40"/>
  <c r="L13" i="204"/>
  <c r="W34" i="40"/>
  <c r="L23" i="204"/>
  <c r="R21" i="40"/>
  <c r="G10" i="204"/>
  <c r="U18" i="40"/>
  <c r="J7" i="204"/>
  <c r="S35" i="40"/>
  <c r="H24" i="204"/>
  <c r="H39" s="1"/>
  <c r="P22" i="40"/>
  <c r="E11" i="204"/>
  <c r="M37" i="40"/>
  <c r="B26" i="204"/>
  <c r="D50" i="121"/>
  <c r="U36" i="40"/>
  <c r="J25" i="204"/>
  <c r="S23" i="40"/>
  <c r="H12" i="204"/>
  <c r="BB19" i="40"/>
  <c r="J8" i="202"/>
  <c r="B34" i="241"/>
  <c r="G5" i="200"/>
  <c r="J34" i="242"/>
  <c r="K13" i="200"/>
  <c r="I34" i="241"/>
  <c r="G12" i="200"/>
  <c r="C44" i="241"/>
  <c r="C39"/>
  <c r="E43" i="243"/>
  <c r="E38"/>
  <c r="F39"/>
  <c r="F44"/>
  <c r="H44"/>
  <c r="H39"/>
  <c r="H42" i="242"/>
  <c r="H37"/>
  <c r="P19" i="190"/>
  <c r="L19" s="1"/>
  <c r="B22" i="241"/>
  <c r="Q24" i="190"/>
  <c r="M24" s="1"/>
  <c r="B27" i="242"/>
  <c r="D37" i="241"/>
  <c r="D42"/>
  <c r="G43" i="242"/>
  <c r="G38"/>
  <c r="H43"/>
  <c r="H38"/>
  <c r="C34" i="204"/>
  <c r="N45" i="40"/>
  <c r="N47" s="1"/>
  <c r="L50" i="38"/>
  <c r="L53" s="1"/>
  <c r="C43" i="241"/>
  <c r="C38"/>
  <c r="D44"/>
  <c r="D39"/>
  <c r="R18" i="190"/>
  <c r="N18" s="1"/>
  <c r="B21" i="243"/>
  <c r="G39"/>
  <c r="G44"/>
  <c r="P6" i="190"/>
  <c r="B9" i="241"/>
  <c r="I5" i="242"/>
  <c r="I42" s="1"/>
  <c r="J12" i="200"/>
  <c r="Q19" i="190"/>
  <c r="M19" s="1"/>
  <c r="B22" i="242"/>
  <c r="Q20" i="190"/>
  <c r="M20" s="1"/>
  <c r="B23" i="242"/>
  <c r="CK50" i="193"/>
  <c r="AO50" i="192"/>
  <c r="Q50" i="191"/>
  <c r="BE50" i="192"/>
  <c r="BA50" i="38"/>
  <c r="CC48"/>
  <c r="BM48"/>
  <c r="H48"/>
  <c r="B34" i="202" s="1"/>
  <c r="CJ48" i="62"/>
  <c r="BO45" i="40" s="1"/>
  <c r="CC50" i="191"/>
  <c r="AW50" i="192"/>
  <c r="Q50" i="193"/>
  <c r="P48"/>
  <c r="I50"/>
  <c r="U50"/>
  <c r="AB50" i="62"/>
  <c r="AW48"/>
  <c r="AG48"/>
  <c r="AG50" s="1"/>
  <c r="Y48"/>
  <c r="Y50" s="1"/>
  <c r="Q48"/>
  <c r="I48"/>
  <c r="I50" s="1"/>
  <c r="X48" i="38"/>
  <c r="D34" i="202" s="1"/>
  <c r="AN48" i="62"/>
  <c r="BI45" i="40" s="1"/>
  <c r="BD48" i="38"/>
  <c r="H34" i="202" s="1"/>
  <c r="BT48" i="62"/>
  <c r="BM45" i="40" s="1"/>
  <c r="CJ48" i="38"/>
  <c r="L34" i="202" s="1"/>
  <c r="I48" i="192"/>
  <c r="I50" s="1"/>
  <c r="CJ48" i="191"/>
  <c r="CJ50" s="1"/>
  <c r="CJ56" s="1"/>
  <c r="AF48"/>
  <c r="CB48"/>
  <c r="CC48" i="192"/>
  <c r="CC50" s="1"/>
  <c r="BT48"/>
  <c r="I48" i="191"/>
  <c r="I50" s="1"/>
  <c r="H48" i="193"/>
  <c r="BU48"/>
  <c r="BU50" s="1"/>
  <c r="CC50"/>
  <c r="Y48"/>
  <c r="Y50" s="1"/>
  <c r="X48"/>
  <c r="AF48"/>
  <c r="L50" i="192"/>
  <c r="AR50" i="62"/>
  <c r="U50" i="191"/>
  <c r="BA50" i="62"/>
  <c r="CG50" i="38"/>
  <c r="CG50" i="191"/>
  <c r="E50" i="38"/>
  <c r="E53" s="1"/>
  <c r="BQ50" i="62"/>
  <c r="AZ50"/>
  <c r="AC50" i="191"/>
  <c r="D50" i="62"/>
  <c r="D50" i="192"/>
  <c r="BP50" i="193"/>
  <c r="M50"/>
  <c r="AS50" i="191"/>
  <c r="BY50" i="62"/>
  <c r="BH50" i="191"/>
  <c r="AK50" i="62"/>
  <c r="AK50" i="191"/>
  <c r="T50" i="62"/>
  <c r="BI50"/>
  <c r="BE50"/>
  <c r="Q50"/>
  <c r="BM50"/>
  <c r="BU50"/>
  <c r="CK50"/>
  <c r="CC50"/>
  <c r="AW50"/>
  <c r="O31" i="190"/>
  <c r="B22" i="120"/>
  <c r="G36" i="194"/>
  <c r="H23"/>
  <c r="AV50" i="192"/>
  <c r="AV57" s="1"/>
  <c r="AW45" i="40"/>
  <c r="H8" i="194"/>
  <c r="K27"/>
  <c r="K40"/>
  <c r="CB50" i="193"/>
  <c r="H22" i="194"/>
  <c r="F36"/>
  <c r="AN50" i="192"/>
  <c r="AN57" s="1"/>
  <c r="H27" i="194"/>
  <c r="K36"/>
  <c r="CB50" i="192"/>
  <c r="CB57" s="1"/>
  <c r="K6" i="194"/>
  <c r="C38"/>
  <c r="P50" i="191"/>
  <c r="P56" s="1"/>
  <c r="H7" i="194"/>
  <c r="AZ45" i="40"/>
  <c r="H11" i="194"/>
  <c r="H15"/>
  <c r="L38"/>
  <c r="K15"/>
  <c r="K8"/>
  <c r="E38"/>
  <c r="AF50" i="191"/>
  <c r="AF56" s="1"/>
  <c r="H18" i="194"/>
  <c r="B36"/>
  <c r="P31" i="190"/>
  <c r="H50" i="192"/>
  <c r="H57" s="1"/>
  <c r="K13" i="194"/>
  <c r="J38"/>
  <c r="BT50" i="191"/>
  <c r="BT56" s="1"/>
  <c r="K14" i="194"/>
  <c r="M14" s="1"/>
  <c r="K38"/>
  <c r="CB50" i="191"/>
  <c r="CB56" s="1"/>
  <c r="H25" i="194"/>
  <c r="I36"/>
  <c r="BL50" i="192"/>
  <c r="BL57" s="1"/>
  <c r="J36" i="194"/>
  <c r="BT50" i="192"/>
  <c r="BT57" s="1"/>
  <c r="R31" i="190"/>
  <c r="K18" i="194"/>
  <c r="B40"/>
  <c r="H50" i="193"/>
  <c r="P50"/>
  <c r="I50" i="38"/>
  <c r="I53" s="1"/>
  <c r="CK50"/>
  <c r="CC50"/>
  <c r="AW50"/>
  <c r="AG50"/>
  <c r="B57" i="121"/>
  <c r="AX45" i="40"/>
  <c r="H9" i="194"/>
  <c r="BB45" i="40"/>
  <c r="H13" i="194"/>
  <c r="D36"/>
  <c r="H20"/>
  <c r="X50" i="192"/>
  <c r="X57" s="1"/>
  <c r="D38" i="194"/>
  <c r="K7"/>
  <c r="X50" i="191"/>
  <c r="X56" s="1"/>
  <c r="K20" i="194"/>
  <c r="D40"/>
  <c r="X50" i="193"/>
  <c r="AF50"/>
  <c r="BA45" i="40"/>
  <c r="H12" i="194"/>
  <c r="K24"/>
  <c r="H40"/>
  <c r="BD50" i="193"/>
  <c r="K28" i="194"/>
  <c r="L40"/>
  <c r="CJ50" i="193"/>
  <c r="K11" i="194"/>
  <c r="H38"/>
  <c r="BD50" i="191"/>
  <c r="BD56" s="1"/>
  <c r="K10" i="194"/>
  <c r="G38"/>
  <c r="AV50" i="191"/>
  <c r="AV56" s="1"/>
  <c r="AU45" i="40"/>
  <c r="H6" i="194"/>
  <c r="AY45" i="40"/>
  <c r="H10" i="194"/>
  <c r="BC45" i="40"/>
  <c r="H14" i="194"/>
  <c r="I40"/>
  <c r="K25"/>
  <c r="BL50" i="193"/>
  <c r="F40" i="194"/>
  <c r="K22"/>
  <c r="AN50" i="193"/>
  <c r="K23" i="194"/>
  <c r="G40"/>
  <c r="AV50" i="193"/>
  <c r="I38" i="194"/>
  <c r="K12"/>
  <c r="BL50" i="191"/>
  <c r="BL56" s="1"/>
  <c r="H21" i="194"/>
  <c r="F21" s="1"/>
  <c r="E36"/>
  <c r="AF50" i="192"/>
  <c r="AF57" s="1"/>
  <c r="K26" i="194"/>
  <c r="J40"/>
  <c r="BT50" i="193"/>
  <c r="H24" i="194"/>
  <c r="H36"/>
  <c r="BD50" i="192"/>
  <c r="BD57" s="1"/>
  <c r="K5" i="194"/>
  <c r="B38"/>
  <c r="Q31" i="190"/>
  <c r="H50" i="191"/>
  <c r="H56" s="1"/>
  <c r="K9" i="194"/>
  <c r="F38"/>
  <c r="AN50" i="191"/>
  <c r="AN56" s="1"/>
  <c r="H19" i="194"/>
  <c r="C36"/>
  <c r="P50" i="192"/>
  <c r="P57" s="1"/>
  <c r="AO50" i="38"/>
  <c r="BE50"/>
  <c r="Q50"/>
  <c r="BM50"/>
  <c r="B47" i="40"/>
  <c r="C47"/>
  <c r="D47"/>
  <c r="E47"/>
  <c r="F47"/>
  <c r="G47"/>
  <c r="H47"/>
  <c r="I47"/>
  <c r="J47"/>
  <c r="K47"/>
  <c r="L47"/>
  <c r="BO16"/>
  <c r="BN16"/>
  <c r="BN47" s="1"/>
  <c r="BK16"/>
  <c r="BK47" s="1"/>
  <c r="BD50" i="62"/>
  <c r="BJ16" i="40"/>
  <c r="BJ47" s="1"/>
  <c r="AV50" i="62"/>
  <c r="BG16" i="40"/>
  <c r="BG47" s="1"/>
  <c r="X50" i="62"/>
  <c r="BF16" i="40"/>
  <c r="BF47" s="1"/>
  <c r="P50" i="62"/>
  <c r="BH16" i="40"/>
  <c r="BH47" s="1"/>
  <c r="AF50" i="62"/>
  <c r="BI16" i="40"/>
  <c r="BI47" s="1"/>
  <c r="BE16"/>
  <c r="BE47" s="1"/>
  <c r="H50" i="62"/>
  <c r="BM16" i="40"/>
  <c r="BM47" s="1"/>
  <c r="BT50" i="62"/>
  <c r="BL16" i="40"/>
  <c r="BL47" s="1"/>
  <c r="BL50" i="62"/>
  <c r="O31" i="40"/>
  <c r="X34" i="38"/>
  <c r="U12" i="40"/>
  <c r="BT15" i="38"/>
  <c r="BB12" i="40" s="1"/>
  <c r="N21"/>
  <c r="P24" i="38"/>
  <c r="T19" i="40"/>
  <c r="BL22" i="38"/>
  <c r="Q31" i="40"/>
  <c r="AN34" i="38"/>
  <c r="V35" i="40"/>
  <c r="CB38" i="38"/>
  <c r="W16" i="40"/>
  <c r="CJ19" i="38"/>
  <c r="V31" i="40"/>
  <c r="CB34" i="38"/>
  <c r="Q29" i="40"/>
  <c r="AN32" i="38"/>
  <c r="S8" i="40"/>
  <c r="BD11" i="38"/>
  <c r="AZ8" i="40" s="1"/>
  <c r="S31"/>
  <c r="BD34" i="38"/>
  <c r="N28" i="40"/>
  <c r="P31" i="38"/>
  <c r="S12" i="40"/>
  <c r="BD15" i="38"/>
  <c r="AZ12" i="40" s="1"/>
  <c r="N43"/>
  <c r="P46" i="38"/>
  <c r="S43" i="40"/>
  <c r="BD46" i="38"/>
  <c r="M43" i="40"/>
  <c r="H46" i="38"/>
  <c r="B32" i="202" s="1"/>
  <c r="U32" i="40"/>
  <c r="BT35" i="38"/>
  <c r="M24" i="40"/>
  <c r="H27" i="38"/>
  <c r="B13" i="202" s="1"/>
  <c r="V40" i="40"/>
  <c r="CB43" i="38"/>
  <c r="U21" i="40"/>
  <c r="BT24" i="38"/>
  <c r="Q34" i="40"/>
  <c r="AN37" i="38"/>
  <c r="T11" i="40"/>
  <c r="BL14" i="38"/>
  <c r="BA11" i="40" s="1"/>
  <c r="T12"/>
  <c r="BL15" i="38"/>
  <c r="BA12" i="40" s="1"/>
  <c r="V9"/>
  <c r="CB12" i="38"/>
  <c r="BC9" i="40" s="1"/>
  <c r="Q13"/>
  <c r="AN16" i="38"/>
  <c r="AX13" i="40" s="1"/>
  <c r="R9"/>
  <c r="AV12" i="38"/>
  <c r="AY9" i="40" s="1"/>
  <c r="M23"/>
  <c r="H26" i="38"/>
  <c r="B12" i="202" s="1"/>
  <c r="U41" i="40"/>
  <c r="BT44" i="38"/>
  <c r="S27" i="40"/>
  <c r="BD30" i="38"/>
  <c r="M34" i="40"/>
  <c r="H37" i="38"/>
  <c r="B23" i="202" s="1"/>
  <c r="T9" i="40"/>
  <c r="BL12" i="38"/>
  <c r="BA9" i="40" s="1"/>
  <c r="U40"/>
  <c r="BT43" i="38"/>
  <c r="O35" i="40"/>
  <c r="X38" i="38"/>
  <c r="V30" i="40"/>
  <c r="CB33" i="38"/>
  <c r="O11" i="40"/>
  <c r="X14" i="38"/>
  <c r="AV11" i="40" s="1"/>
  <c r="P20"/>
  <c r="AF23" i="38"/>
  <c r="O5" i="40"/>
  <c r="X8" i="38"/>
  <c r="AV5" i="40" s="1"/>
  <c r="P25"/>
  <c r="AF28" i="38"/>
  <c r="P33" i="40"/>
  <c r="AF36" i="38"/>
  <c r="U35" i="40"/>
  <c r="BT38" i="38"/>
  <c r="M36" i="40"/>
  <c r="H39" i="38"/>
  <c r="B25" i="202" s="1"/>
  <c r="O42" i="40"/>
  <c r="X45" i="38"/>
  <c r="N17" i="40"/>
  <c r="P20" i="38"/>
  <c r="U33" i="40"/>
  <c r="BT36" i="38"/>
  <c r="O34" i="40"/>
  <c r="X37" i="38"/>
  <c r="Q19" i="40"/>
  <c r="AN22" i="38"/>
  <c r="P37" i="40"/>
  <c r="AF40" i="38"/>
  <c r="O25" i="40"/>
  <c r="X28" i="38"/>
  <c r="W14" i="40"/>
  <c r="CJ17" i="38"/>
  <c r="BD14" i="40" s="1"/>
  <c r="M21"/>
  <c r="H24" i="38"/>
  <c r="B10" i="202" s="1"/>
  <c r="P21" i="40"/>
  <c r="AF24" i="38"/>
  <c r="P43" i="40"/>
  <c r="AF46" i="38"/>
  <c r="T43" i="40"/>
  <c r="BL46" i="38"/>
  <c r="U43" i="40"/>
  <c r="BT46" i="38"/>
  <c r="O6" i="40"/>
  <c r="X9" i="38"/>
  <c r="AV6" i="40" s="1"/>
  <c r="R37"/>
  <c r="AV40" i="38"/>
  <c r="P17" i="40"/>
  <c r="AF20" i="38"/>
  <c r="N23" i="40"/>
  <c r="P26" i="38"/>
  <c r="O39" i="40"/>
  <c r="X42" i="38"/>
  <c r="W30" i="40"/>
  <c r="CJ33" i="38"/>
  <c r="S38" i="40"/>
  <c r="BD41" i="38"/>
  <c r="V28" i="40"/>
  <c r="CB31" i="38"/>
  <c r="R32" i="40"/>
  <c r="AV35" i="38"/>
  <c r="T13" i="40"/>
  <c r="BL16" i="38"/>
  <c r="BA13" i="40" s="1"/>
  <c r="R26"/>
  <c r="AV29" i="38"/>
  <c r="Q20" i="40"/>
  <c r="AN23" i="38"/>
  <c r="N11" i="40"/>
  <c r="P14" i="38"/>
  <c r="AU11" i="40" s="1"/>
  <c r="N12"/>
  <c r="P15" i="38"/>
  <c r="AU12" i="40" s="1"/>
  <c r="M8"/>
  <c r="H11" i="38"/>
  <c r="AT8" i="40" s="1"/>
  <c r="S22"/>
  <c r="BD25" i="38"/>
  <c r="U25" i="40"/>
  <c r="BT28" i="38"/>
  <c r="T31" i="40"/>
  <c r="BL34" i="38"/>
  <c r="M42" i="40"/>
  <c r="H45" i="38"/>
  <c r="B31" i="202" s="1"/>
  <c r="V42" i="40"/>
  <c r="CB45" i="38"/>
  <c r="S13" i="40"/>
  <c r="BD16" i="38"/>
  <c r="AZ13" i="40" s="1"/>
  <c r="M33"/>
  <c r="H36" i="38"/>
  <c r="B22" i="202" s="1"/>
  <c r="S6" i="40"/>
  <c r="BD9" i="38"/>
  <c r="AZ6" i="40" s="1"/>
  <c r="N40"/>
  <c r="P43" i="38"/>
  <c r="V32" i="40"/>
  <c r="CB35" i="38"/>
  <c r="R12" i="40"/>
  <c r="AV15" i="38"/>
  <c r="AY12" i="40" s="1"/>
  <c r="V13"/>
  <c r="CB16" i="38"/>
  <c r="BC13" i="40" s="1"/>
  <c r="W29"/>
  <c r="CJ32" i="38"/>
  <c r="T32" i="40"/>
  <c r="BL35" i="38"/>
  <c r="M28" i="40"/>
  <c r="H31" i="38"/>
  <c r="B17" i="202" s="1"/>
  <c r="N37" i="40"/>
  <c r="P40" i="38"/>
  <c r="W32" i="40"/>
  <c r="CJ35" i="38"/>
  <c r="I47"/>
  <c r="BE47"/>
  <c r="AG47"/>
  <c r="AW47"/>
  <c r="Q47"/>
  <c r="BU47"/>
  <c r="CC47"/>
  <c r="Y47"/>
  <c r="CK47"/>
  <c r="BM47"/>
  <c r="AO47"/>
  <c r="CB15"/>
  <c r="BC12" i="40" s="1"/>
  <c r="AV37" i="38"/>
  <c r="H30"/>
  <c r="B16" i="202" s="1"/>
  <c r="BT9" i="38"/>
  <c r="BB6" i="40" s="1"/>
  <c r="AV25" i="38"/>
  <c r="X11"/>
  <c r="AV8" i="40" s="1"/>
  <c r="P17" i="38"/>
  <c r="AU14" i="40" s="1"/>
  <c r="CB28" i="38"/>
  <c r="CJ31"/>
  <c r="AV16"/>
  <c r="AY13" i="40" s="1"/>
  <c r="H35" i="38"/>
  <c r="B21" i="202" s="1"/>
  <c r="AV43" i="38"/>
  <c r="CB25"/>
  <c r="BT39"/>
  <c r="H40"/>
  <c r="B26" i="202" s="1"/>
  <c r="AF38" i="38"/>
  <c r="AV14"/>
  <c r="AY11" i="40" s="1"/>
  <c r="AF16" i="38"/>
  <c r="AW13" i="40" s="1"/>
  <c r="X44" i="38"/>
  <c r="P44"/>
  <c r="CB23"/>
  <c r="H21"/>
  <c r="B7" i="202" s="1"/>
  <c r="BD42" i="38"/>
  <c r="H28"/>
  <c r="B14" i="202" s="1"/>
  <c r="BD45" i="38"/>
  <c r="BT34"/>
  <c r="BL41"/>
  <c r="X23"/>
  <c r="AF10"/>
  <c r="AW7" i="40" s="1"/>
  <c r="AF32" i="38"/>
  <c r="AF22"/>
  <c r="H41"/>
  <c r="B27" i="202" s="1"/>
  <c r="CJ10" i="38"/>
  <c r="BD7" i="40" s="1"/>
  <c r="CJ43" i="38"/>
  <c r="CB22"/>
  <c r="AF37"/>
  <c r="AN12"/>
  <c r="AX9" i="40" s="1"/>
  <c r="BD29" i="38"/>
  <c r="BT23"/>
  <c r="BL45"/>
  <c r="H44"/>
  <c r="B30" i="202" s="1"/>
  <c r="AF8" i="38"/>
  <c r="AW5" i="40" s="1"/>
  <c r="H10" i="38"/>
  <c r="AT7" i="40" s="1"/>
  <c r="CB29" i="38"/>
  <c r="AV31"/>
  <c r="AN38"/>
  <c r="BL40"/>
  <c r="AF25"/>
  <c r="AV27"/>
  <c r="BL24"/>
  <c r="BL25"/>
  <c r="BL20"/>
  <c r="AV21"/>
  <c r="CB9"/>
  <c r="BC6" i="40" s="1"/>
  <c r="CB21" i="38"/>
  <c r="AV8"/>
  <c r="AY5" i="40" s="1"/>
  <c r="BT20" i="38"/>
  <c r="BD36"/>
  <c r="CB30"/>
  <c r="BD37"/>
  <c r="AV17"/>
  <c r="AY14" i="40" s="1"/>
  <c r="AF11" i="38"/>
  <c r="AW8" i="40" s="1"/>
  <c r="AN45" i="38"/>
  <c r="AN19"/>
  <c r="CJ34"/>
  <c r="AF26"/>
  <c r="AF34"/>
  <c r="AN29"/>
  <c r="AF42"/>
  <c r="CB19"/>
  <c r="CB41"/>
  <c r="BT32"/>
  <c r="CJ44"/>
  <c r="P21"/>
  <c r="BT33"/>
  <c r="BT25"/>
  <c r="CJ41"/>
  <c r="H16"/>
  <c r="AT13" i="40" s="1"/>
  <c r="CJ16" i="38"/>
  <c r="BD13" i="40" s="1"/>
  <c r="CJ23" i="38"/>
  <c r="AV19"/>
  <c r="AF35"/>
  <c r="CJ36"/>
  <c r="CB11"/>
  <c r="BC8" i="40" s="1"/>
  <c r="BL43" i="38"/>
  <c r="CB26"/>
  <c r="AF41"/>
  <c r="AN25"/>
  <c r="H29"/>
  <c r="B15" i="202" s="1"/>
  <c r="BT41" i="38"/>
  <c r="AN41"/>
  <c r="P8"/>
  <c r="AU5" i="40" s="1"/>
  <c r="BL21" i="38"/>
  <c r="X15"/>
  <c r="AV12" i="40" s="1"/>
  <c r="H34" i="38"/>
  <c r="B20" i="202" s="1"/>
  <c r="BD23" i="38"/>
  <c r="BD17"/>
  <c r="AZ14" i="40" s="1"/>
  <c r="BT10" i="38"/>
  <c r="BB7" i="40" s="1"/>
  <c r="AF27" i="38"/>
  <c r="AF43"/>
  <c r="BL27"/>
  <c r="BD35"/>
  <c r="BD24"/>
  <c r="BT8"/>
  <c r="BB5" i="40" s="1"/>
  <c r="AN21" i="38"/>
  <c r="BD32"/>
  <c r="AV45"/>
  <c r="CB39"/>
  <c r="CB13"/>
  <c r="BC10" i="40" s="1"/>
  <c r="P41" i="38"/>
  <c r="AF31"/>
  <c r="AN20"/>
  <c r="X36"/>
  <c r="AV41"/>
  <c r="AN28"/>
  <c r="AV38"/>
  <c r="X31"/>
  <c r="CJ22"/>
  <c r="X33"/>
  <c r="P25"/>
  <c r="P38"/>
  <c r="BL19"/>
  <c r="BD20"/>
  <c r="AF44"/>
  <c r="AV13"/>
  <c r="AY10" i="40" s="1"/>
  <c r="X16" i="38"/>
  <c r="AV13" i="40" s="1"/>
  <c r="CB20" i="38"/>
  <c r="BL33"/>
  <c r="BD22"/>
  <c r="CB27"/>
  <c r="AV34"/>
  <c r="AN31"/>
  <c r="P32"/>
  <c r="BL36"/>
  <c r="AN15"/>
  <c r="AX12" i="40" s="1"/>
  <c r="CB37" i="38"/>
  <c r="BD28"/>
  <c r="AN17"/>
  <c r="AX14" i="40" s="1"/>
  <c r="AV46" i="38"/>
  <c r="CB46"/>
  <c r="AN46"/>
  <c r="X46"/>
  <c r="CJ46"/>
  <c r="AN36"/>
  <c r="CB42"/>
  <c r="CB14"/>
  <c r="BC11" i="40" s="1"/>
  <c r="H32" i="38"/>
  <c r="B18" i="202" s="1"/>
  <c r="AF21" i="38"/>
  <c r="BL8"/>
  <c r="BA5" i="40" s="1"/>
  <c r="AN33" i="38"/>
  <c r="BL29"/>
  <c r="X21"/>
  <c r="X20"/>
  <c r="AF19"/>
  <c r="BL23"/>
  <c r="BT42"/>
  <c r="BT29"/>
  <c r="AV44"/>
  <c r="H33"/>
  <c r="B19" i="202" s="1"/>
  <c r="BL11" i="38"/>
  <c r="BA8" i="40" s="1"/>
  <c r="AF33" i="38"/>
  <c r="AF45"/>
  <c r="BD38"/>
  <c r="P12"/>
  <c r="AU9" i="40" s="1"/>
  <c r="BT40" i="38"/>
  <c r="AF15"/>
  <c r="AW12" i="40" s="1"/>
  <c r="P29" i="38"/>
  <c r="AN8"/>
  <c r="AX5" i="40" s="1"/>
  <c r="AN24" i="38"/>
  <c r="CJ8"/>
  <c r="BD5" i="40" s="1"/>
  <c r="CJ13" i="38"/>
  <c r="BD10" i="40" s="1"/>
  <c r="BD26" i="38"/>
  <c r="AN13"/>
  <c r="AX10" i="40" s="1"/>
  <c r="CJ11" i="38"/>
  <c r="BD8" i="40" s="1"/>
  <c r="BT21" i="38"/>
  <c r="P45"/>
  <c r="CJ42"/>
  <c r="AN39"/>
  <c r="AV23"/>
  <c r="BT30"/>
  <c r="CB36"/>
  <c r="X24"/>
  <c r="X39"/>
  <c r="CJ14"/>
  <c r="BD11" i="40" s="1"/>
  <c r="BD31" i="38"/>
  <c r="H14"/>
  <c r="AT11" i="40" s="1"/>
  <c r="CJ9" i="38"/>
  <c r="BD6" i="40" s="1"/>
  <c r="BT27" i="38"/>
  <c r="BD10"/>
  <c r="AZ7" i="40" s="1"/>
  <c r="BD27" i="38"/>
  <c r="BL39"/>
  <c r="H12"/>
  <c r="AT9" i="40" s="1"/>
  <c r="AV20" i="38"/>
  <c r="BD39"/>
  <c r="BD14"/>
  <c r="AZ11" i="40" s="1"/>
  <c r="BT26" i="38"/>
  <c r="AV33"/>
  <c r="BL38"/>
  <c r="AV30"/>
  <c r="CJ37"/>
  <c r="H20"/>
  <c r="B6" i="202" s="1"/>
  <c r="AV36" i="38"/>
  <c r="P22"/>
  <c r="H22"/>
  <c r="B8" i="202" s="1"/>
  <c r="BT11" i="38"/>
  <c r="BB8" i="40" s="1"/>
  <c r="X29" i="38"/>
  <c r="P16"/>
  <c r="AU13" i="40" s="1"/>
  <c r="X12" i="38"/>
  <c r="AV9" i="40" s="1"/>
  <c r="P9" i="38"/>
  <c r="AU6" i="40" s="1"/>
  <c r="AV26" i="38"/>
  <c r="CJ25"/>
  <c r="BD13"/>
  <c r="AZ10" i="40" s="1"/>
  <c r="H8" i="38"/>
  <c r="AT5" i="40" s="1"/>
  <c r="BD40" i="38"/>
  <c r="BD19"/>
  <c r="AN43"/>
  <c r="P30"/>
  <c r="CB8"/>
  <c r="BC5" i="40" s="1"/>
  <c r="H13" i="38"/>
  <c r="AT10" i="40" s="1"/>
  <c r="AV11" i="38"/>
  <c r="AY8" i="40" s="1"/>
  <c r="AV22" i="38"/>
  <c r="AN11"/>
  <c r="AX8" i="40" s="1"/>
  <c r="X22" i="38"/>
  <c r="CJ28"/>
  <c r="BL31"/>
  <c r="H43"/>
  <c r="B29" i="202" s="1"/>
  <c r="AF30" i="38"/>
  <c r="H38"/>
  <c r="B24" i="202" s="1"/>
  <c r="BL10" i="38"/>
  <c r="BA7" i="40" s="1"/>
  <c r="AN44" i="38"/>
  <c r="H9"/>
  <c r="AT6" i="40" s="1"/>
  <c r="BT16" i="38"/>
  <c r="BB13" i="40" s="1"/>
  <c r="H19" i="38"/>
  <c r="X43"/>
  <c r="P23"/>
  <c r="X41"/>
  <c r="X19"/>
  <c r="CJ38"/>
  <c r="X27"/>
  <c r="BT37"/>
  <c r="CJ30"/>
  <c r="P35"/>
  <c r="AV10"/>
  <c r="AY7" i="40" s="1"/>
  <c r="P28" i="38"/>
  <c r="AN26"/>
  <c r="AF9"/>
  <c r="AW6" i="40" s="1"/>
  <c r="CJ24" i="38"/>
  <c r="P39"/>
  <c r="AN27"/>
  <c r="CJ39"/>
  <c r="CJ29"/>
  <c r="X35"/>
  <c r="CB10"/>
  <c r="BC7" i="40" s="1"/>
  <c r="X25" i="38"/>
  <c r="BT45"/>
  <c r="AV9"/>
  <c r="AY6" i="40" s="1"/>
  <c r="H15" i="38"/>
  <c r="AT12" i="40" s="1"/>
  <c r="P36" i="38"/>
  <c r="BT31"/>
  <c r="CB40"/>
  <c r="AN14"/>
  <c r="AX11" i="40" s="1"/>
  <c r="AF14" i="38"/>
  <c r="AW11" i="40" s="1"/>
  <c r="P34" i="38"/>
  <c r="CB24"/>
  <c r="AV39"/>
  <c r="BD21"/>
  <c r="CJ21"/>
  <c r="CJ15"/>
  <c r="BD12" i="40" s="1"/>
  <c r="P42" i="38"/>
  <c r="BL13"/>
  <c r="BA10" i="40" s="1"/>
  <c r="CB17" i="38"/>
  <c r="BC14" i="40" s="1"/>
  <c r="CJ26" i="38"/>
  <c r="H17"/>
  <c r="AT14" i="40" s="1"/>
  <c r="X10" i="38"/>
  <c r="AV7" i="40" s="1"/>
  <c r="BL30" i="38"/>
  <c r="BD44"/>
  <c r="AN10"/>
  <c r="AX7" i="40" s="1"/>
  <c r="BL26" i="38"/>
  <c r="AV42"/>
  <c r="P33"/>
  <c r="CJ45"/>
  <c r="X13"/>
  <c r="AV10" i="40" s="1"/>
  <c r="AN9" i="38"/>
  <c r="AX6" i="40" s="1"/>
  <c r="BT13" i="38"/>
  <c r="BB10" i="40" s="1"/>
  <c r="CB32" i="38"/>
  <c r="BL17"/>
  <c r="BA14" i="40" s="1"/>
  <c r="BT14" i="38"/>
  <c r="BB11" i="40" s="1"/>
  <c r="BD8" i="38"/>
  <c r="AZ5" i="40" s="1"/>
  <c r="BL32" i="38"/>
  <c r="P37"/>
  <c r="AF12"/>
  <c r="AW9" i="40" s="1"/>
  <c r="AF17" i="38"/>
  <c r="AW14" i="40" s="1"/>
  <c r="BD12" i="38"/>
  <c r="AZ9" i="40" s="1"/>
  <c r="AV24" i="38"/>
  <c r="H42"/>
  <c r="B28" i="202" s="1"/>
  <c r="AN30" i="38"/>
  <c r="BD43"/>
  <c r="P19"/>
  <c r="X26"/>
  <c r="CJ27"/>
  <c r="P10"/>
  <c r="AU7" i="40" s="1"/>
  <c r="CJ40" i="38"/>
  <c r="P13"/>
  <c r="AU10" i="40" s="1"/>
  <c r="CJ12" i="38"/>
  <c r="BD9" i="40" s="1"/>
  <c r="AN40" i="38"/>
  <c r="X40"/>
  <c r="BL9"/>
  <c r="BA6" i="40" s="1"/>
  <c r="H23" i="38"/>
  <c r="B9" i="202" s="1"/>
  <c r="X32" i="38"/>
  <c r="BD33"/>
  <c r="P11"/>
  <c r="AU8" i="40" s="1"/>
  <c r="BT17" i="38"/>
  <c r="BB14" i="40" s="1"/>
  <c r="BL28" i="38"/>
  <c r="AF39"/>
  <c r="X30"/>
  <c r="BT12"/>
  <c r="BB9" i="40" s="1"/>
  <c r="X17" i="38"/>
  <c r="AV14" i="40" s="1"/>
  <c r="AV32" i="38"/>
  <c r="BL44"/>
  <c r="BL42"/>
  <c r="AF29"/>
  <c r="AV28"/>
  <c r="P27"/>
  <c r="AF13"/>
  <c r="AW10" i="40" s="1"/>
  <c r="CJ20" i="38"/>
  <c r="CB44"/>
  <c r="AN35"/>
  <c r="AN42"/>
  <c r="BL37"/>
  <c r="H25"/>
  <c r="B11" i="202" s="1"/>
  <c r="BT19" i="38"/>
  <c r="AU44" i="40"/>
  <c r="AY44"/>
  <c r="AW44"/>
  <c r="AZ44"/>
  <c r="AX44"/>
  <c r="BD44"/>
  <c r="BC44"/>
  <c r="T44"/>
  <c r="U44"/>
  <c r="BM44"/>
  <c r="N44"/>
  <c r="O44"/>
  <c r="R44"/>
  <c r="Q44"/>
  <c r="W44"/>
  <c r="CJ47" i="62"/>
  <c r="P44" i="40"/>
  <c r="V44"/>
  <c r="CB47" i="62"/>
  <c r="S44" i="40"/>
  <c r="M44"/>
  <c r="P46" i="62"/>
  <c r="BD46"/>
  <c r="H46"/>
  <c r="AV46"/>
  <c r="X46"/>
  <c r="AF46"/>
  <c r="BL46"/>
  <c r="BT46"/>
  <c r="BM43" i="40" s="1"/>
  <c r="AN46" i="62"/>
  <c r="CK47"/>
  <c r="BU47"/>
  <c r="CC47"/>
  <c r="Q46"/>
  <c r="AW46"/>
  <c r="I46"/>
  <c r="BE46"/>
  <c r="AO46"/>
  <c r="Y46"/>
  <c r="BM46"/>
  <c r="AG46"/>
  <c r="J48" i="204" l="1"/>
  <c r="D38"/>
  <c r="L37" i="241"/>
  <c r="L37" i="243"/>
  <c r="I37" i="242"/>
  <c r="M21" i="190"/>
  <c r="M28"/>
  <c r="C37" i="242"/>
  <c r="M8" i="190"/>
  <c r="H42" i="243"/>
  <c r="J43" i="204"/>
  <c r="M3" i="190"/>
  <c r="L37" i="242"/>
  <c r="M25" i="190"/>
  <c r="I42" i="241"/>
  <c r="G37"/>
  <c r="E37"/>
  <c r="N14" i="190"/>
  <c r="M6"/>
  <c r="BC41" i="40"/>
  <c r="K30" i="202"/>
  <c r="AY29" i="40"/>
  <c r="G18" i="202"/>
  <c r="AZ30" i="40"/>
  <c r="H19" i="202"/>
  <c r="BD37" i="40"/>
  <c r="L26" i="202"/>
  <c r="AY21" i="40"/>
  <c r="G10" i="202"/>
  <c r="BA23" i="40"/>
  <c r="I12" i="202"/>
  <c r="AV22" i="40"/>
  <c r="D11" i="202"/>
  <c r="BD36" i="40"/>
  <c r="L25" i="202"/>
  <c r="AU32" i="40"/>
  <c r="C21" i="202"/>
  <c r="AV40" i="40"/>
  <c r="D29" i="202"/>
  <c r="AY23" i="40"/>
  <c r="G12" i="202"/>
  <c r="AY33" i="40"/>
  <c r="G22" i="202"/>
  <c r="AZ36" i="40"/>
  <c r="H25" i="202"/>
  <c r="AX36" i="40"/>
  <c r="F25" i="202"/>
  <c r="AW42" i="40"/>
  <c r="E31" i="202"/>
  <c r="E22" i="118"/>
  <c r="E5" i="202"/>
  <c r="AX30" i="40"/>
  <c r="F19" i="202"/>
  <c r="AV43" i="40"/>
  <c r="D32" i="202"/>
  <c r="BA33" i="40"/>
  <c r="I22" i="202"/>
  <c r="BD19" i="40"/>
  <c r="L8" i="202"/>
  <c r="AU38" i="40"/>
  <c r="C27" i="202"/>
  <c r="AZ32" i="40"/>
  <c r="H21" i="202"/>
  <c r="BC23" i="40"/>
  <c r="K12" i="202"/>
  <c r="K34" i="194"/>
  <c r="K5" i="202"/>
  <c r="AZ26" i="40"/>
  <c r="H15" i="202"/>
  <c r="AW29" i="40"/>
  <c r="E18" i="202"/>
  <c r="BB36" i="40"/>
  <c r="J25" i="202"/>
  <c r="E34" i="243"/>
  <c r="O8" i="200"/>
  <c r="C5"/>
  <c r="B46" i="241"/>
  <c r="B41"/>
  <c r="B36"/>
  <c r="L47" i="204"/>
  <c r="L42"/>
  <c r="L37"/>
  <c r="I48"/>
  <c r="I43"/>
  <c r="I38"/>
  <c r="P10" i="200"/>
  <c r="Q10"/>
  <c r="F48" i="204"/>
  <c r="F43"/>
  <c r="F38"/>
  <c r="L34" i="241"/>
  <c r="G15" i="200"/>
  <c r="B44" i="241"/>
  <c r="B39"/>
  <c r="H6" i="200"/>
  <c r="I6"/>
  <c r="M12"/>
  <c r="L12"/>
  <c r="G49" i="204"/>
  <c r="G44"/>
  <c r="G39"/>
  <c r="B49"/>
  <c r="B44"/>
  <c r="B39"/>
  <c r="AX32" i="40"/>
  <c r="F21" i="202"/>
  <c r="BA41" i="40"/>
  <c r="I30" i="202"/>
  <c r="AV23" i="40"/>
  <c r="D12" i="202"/>
  <c r="BA27" i="40"/>
  <c r="I16" i="202"/>
  <c r="BD18" i="40"/>
  <c r="L7" i="202"/>
  <c r="BB28" i="40"/>
  <c r="J17" i="202"/>
  <c r="BB42" i="40"/>
  <c r="J31" i="202"/>
  <c r="BD21" i="40"/>
  <c r="L10" i="202"/>
  <c r="AV24" i="40"/>
  <c r="D13" i="202"/>
  <c r="AV19" i="40"/>
  <c r="D8" i="202"/>
  <c r="H22" i="118"/>
  <c r="H5" i="202"/>
  <c r="AY27" i="40"/>
  <c r="G16" i="202"/>
  <c r="AV36" i="40"/>
  <c r="D25" i="202"/>
  <c r="BB18" i="40"/>
  <c r="J7" i="202"/>
  <c r="AU26" i="40"/>
  <c r="C15" i="202"/>
  <c r="BA26" i="40"/>
  <c r="I15" i="202"/>
  <c r="BD43" i="40"/>
  <c r="L32" i="202"/>
  <c r="BC17" i="40"/>
  <c r="K6" i="202"/>
  <c r="AV30" i="40"/>
  <c r="D19" i="202"/>
  <c r="AW28" i="40"/>
  <c r="E17" i="202"/>
  <c r="AZ21" i="40"/>
  <c r="H10" i="202"/>
  <c r="AW38" i="40"/>
  <c r="E27" i="202"/>
  <c r="BC38" i="40"/>
  <c r="K27" i="202"/>
  <c r="AX42" i="40"/>
  <c r="F31" i="202"/>
  <c r="BC18" i="40"/>
  <c r="K7" i="202"/>
  <c r="BA37" i="40"/>
  <c r="I26" i="202"/>
  <c r="BB20" i="40"/>
  <c r="J9" i="202"/>
  <c r="BC19" i="40"/>
  <c r="K8" i="202"/>
  <c r="BA38" i="40"/>
  <c r="I27" i="202"/>
  <c r="AV41" i="40"/>
  <c r="D30" i="202"/>
  <c r="AU37" i="40"/>
  <c r="C26" i="202"/>
  <c r="BA32" i="40"/>
  <c r="I21" i="202"/>
  <c r="BC32" i="40"/>
  <c r="K21" i="202"/>
  <c r="BB25" i="40"/>
  <c r="J14" i="202"/>
  <c r="AY26" i="40"/>
  <c r="G15" i="202"/>
  <c r="AZ38" i="40"/>
  <c r="H27" i="202"/>
  <c r="AW17" i="40"/>
  <c r="E6" i="202"/>
  <c r="BA43" i="40"/>
  <c r="I32" i="202"/>
  <c r="AV34" i="40"/>
  <c r="D23" i="202"/>
  <c r="AU17" i="40"/>
  <c r="C6" i="202"/>
  <c r="AW33" i="40"/>
  <c r="E22" i="202"/>
  <c r="AX34" i="40"/>
  <c r="F23" i="202"/>
  <c r="BC40" i="40"/>
  <c r="K29" i="202"/>
  <c r="AZ43" i="40"/>
  <c r="H32" i="202"/>
  <c r="AX29" i="40"/>
  <c r="F18" i="202"/>
  <c r="L22" i="118"/>
  <c r="L5" i="202"/>
  <c r="AU21" i="40"/>
  <c r="C10" i="202"/>
  <c r="J34" i="241"/>
  <c r="G13" i="200"/>
  <c r="C11"/>
  <c r="H46" i="202"/>
  <c r="H41"/>
  <c r="C34" i="243"/>
  <c r="O6" i="200"/>
  <c r="I5"/>
  <c r="H5"/>
  <c r="B47" i="204"/>
  <c r="B37"/>
  <c r="B42"/>
  <c r="D41" i="241"/>
  <c r="D46"/>
  <c r="D36"/>
  <c r="I41" i="204"/>
  <c r="I36"/>
  <c r="I46"/>
  <c r="G36" i="243"/>
  <c r="G41"/>
  <c r="G46"/>
  <c r="H46" i="241"/>
  <c r="H36"/>
  <c r="H41"/>
  <c r="D49" i="204"/>
  <c r="D39"/>
  <c r="D44"/>
  <c r="B38" i="243"/>
  <c r="B43"/>
  <c r="B44"/>
  <c r="B39"/>
  <c r="B38" i="241"/>
  <c r="B43"/>
  <c r="L11" i="200"/>
  <c r="M11"/>
  <c r="B38" i="242"/>
  <c r="B43"/>
  <c r="AX39" i="40"/>
  <c r="F28" i="202"/>
  <c r="BA39" i="40"/>
  <c r="I28" i="202"/>
  <c r="BD24" i="40"/>
  <c r="L13" i="202"/>
  <c r="AX27" i="40"/>
  <c r="F16" i="202"/>
  <c r="AU30" i="40"/>
  <c r="C19" i="202"/>
  <c r="AZ41" i="40"/>
  <c r="H30" i="202"/>
  <c r="BD23" i="40"/>
  <c r="L12" i="202"/>
  <c r="BC21" i="40"/>
  <c r="K10" i="202"/>
  <c r="BC37" i="40"/>
  <c r="K26" i="202"/>
  <c r="AV32" i="40"/>
  <c r="D21" i="202"/>
  <c r="AU36" i="40"/>
  <c r="C25" i="202"/>
  <c r="AU25" i="40"/>
  <c r="C14" i="202"/>
  <c r="BB34" i="40"/>
  <c r="J23" i="202"/>
  <c r="AV38" i="40"/>
  <c r="D27" i="202"/>
  <c r="B43"/>
  <c r="B38"/>
  <c r="B48"/>
  <c r="BD25" i="40"/>
  <c r="L14" i="202"/>
  <c r="AX40" i="40"/>
  <c r="F29" i="202"/>
  <c r="BD34" i="40"/>
  <c r="L23" i="202"/>
  <c r="BB23" i="40"/>
  <c r="J12" i="202"/>
  <c r="BB24" i="40"/>
  <c r="J13" i="202"/>
  <c r="BB27" i="40"/>
  <c r="J16" i="202"/>
  <c r="AU42" i="40"/>
  <c r="C31" i="202"/>
  <c r="AZ23" i="40"/>
  <c r="H12" i="202"/>
  <c r="BB39" i="40"/>
  <c r="J28" i="202"/>
  <c r="AV18" i="40"/>
  <c r="D7" i="202"/>
  <c r="AW18" i="40"/>
  <c r="E7" i="202"/>
  <c r="AX33" i="40"/>
  <c r="F22" i="202"/>
  <c r="BC43" i="40"/>
  <c r="K32" i="202"/>
  <c r="BC34" i="40"/>
  <c r="K23" i="202"/>
  <c r="AX28" i="40"/>
  <c r="F17" i="202"/>
  <c r="BA30" i="40"/>
  <c r="I19" i="202"/>
  <c r="AW41" i="40"/>
  <c r="E30" i="202"/>
  <c r="AU22" i="40"/>
  <c r="C11" i="202"/>
  <c r="AY35" i="40"/>
  <c r="G24" i="202"/>
  <c r="AX17" i="40"/>
  <c r="F6" i="202"/>
  <c r="BC36" i="40"/>
  <c r="K25" i="202"/>
  <c r="AW40" i="40"/>
  <c r="E29" i="202"/>
  <c r="AZ20" i="40"/>
  <c r="H9" i="202"/>
  <c r="AX22" i="40"/>
  <c r="F11" i="202"/>
  <c r="BD20" i="40"/>
  <c r="L9" i="202"/>
  <c r="BB22" i="40"/>
  <c r="J11" i="202"/>
  <c r="BB29" i="40"/>
  <c r="J18" i="202"/>
  <c r="AX26" i="40"/>
  <c r="F15" i="202"/>
  <c r="F34" i="194"/>
  <c r="F5" i="202"/>
  <c r="AZ34" i="40"/>
  <c r="H23" i="202"/>
  <c r="BA17" i="40"/>
  <c r="I6" i="202"/>
  <c r="AW22" i="40"/>
  <c r="E11" i="202"/>
  <c r="BC26" i="40"/>
  <c r="K15" i="202"/>
  <c r="BA42" i="40"/>
  <c r="I31" i="202"/>
  <c r="AW34" i="40"/>
  <c r="E23" i="202"/>
  <c r="AV20" i="40"/>
  <c r="D9" i="202"/>
  <c r="AU41" i="40"/>
  <c r="C30" i="202"/>
  <c r="AW35" i="40"/>
  <c r="E24" i="202"/>
  <c r="AY40" i="40"/>
  <c r="G29" i="202"/>
  <c r="BC25" i="40"/>
  <c r="K14" i="202"/>
  <c r="E34" i="242"/>
  <c r="K8" i="200"/>
  <c r="C46" i="204"/>
  <c r="C41"/>
  <c r="C36"/>
  <c r="J46" i="242"/>
  <c r="J41"/>
  <c r="J36"/>
  <c r="D47" i="204"/>
  <c r="D42"/>
  <c r="D37"/>
  <c r="I7" i="200"/>
  <c r="H7"/>
  <c r="I47" i="204"/>
  <c r="I42"/>
  <c r="I37"/>
  <c r="H46"/>
  <c r="H41"/>
  <c r="H36"/>
  <c r="F46" i="241"/>
  <c r="F41"/>
  <c r="F36"/>
  <c r="Q9" i="200"/>
  <c r="P9"/>
  <c r="H34" i="243"/>
  <c r="O11" i="200"/>
  <c r="I11"/>
  <c r="H11"/>
  <c r="H8"/>
  <c r="I8"/>
  <c r="P14"/>
  <c r="Q14"/>
  <c r="L48" i="204"/>
  <c r="L38"/>
  <c r="L43"/>
  <c r="E47"/>
  <c r="E42"/>
  <c r="E37"/>
  <c r="C42"/>
  <c r="C47"/>
  <c r="C37"/>
  <c r="F41"/>
  <c r="F46"/>
  <c r="F36"/>
  <c r="E48"/>
  <c r="E43"/>
  <c r="E38"/>
  <c r="C46" i="242"/>
  <c r="C41"/>
  <c r="C36"/>
  <c r="I41" i="243"/>
  <c r="I36"/>
  <c r="I46"/>
  <c r="F42" i="204"/>
  <c r="F47"/>
  <c r="F37"/>
  <c r="F27" i="194"/>
  <c r="I44" i="204"/>
  <c r="H44"/>
  <c r="L22" i="190"/>
  <c r="L15"/>
  <c r="CB50" i="62"/>
  <c r="L36" i="194"/>
  <c r="J37" s="1"/>
  <c r="L6" i="190"/>
  <c r="L28"/>
  <c r="P47" i="40"/>
  <c r="H49" i="204"/>
  <c r="J42" i="243"/>
  <c r="L3" i="190"/>
  <c r="AT44" i="40"/>
  <c r="BO47"/>
  <c r="F24" i="194"/>
  <c r="H28"/>
  <c r="F28" s="1"/>
  <c r="K21"/>
  <c r="F20"/>
  <c r="O30" i="190"/>
  <c r="K19" i="194"/>
  <c r="BD45" i="40"/>
  <c r="AV45"/>
  <c r="G55" i="117"/>
  <c r="L13" i="190"/>
  <c r="T47" i="40"/>
  <c r="L18" i="190"/>
  <c r="F42" i="242"/>
  <c r="I49" i="204"/>
  <c r="J42" i="241"/>
  <c r="L30" i="190"/>
  <c r="K42" i="242"/>
  <c r="O47" i="40"/>
  <c r="M15" i="190"/>
  <c r="M23"/>
  <c r="L26"/>
  <c r="L10"/>
  <c r="L23"/>
  <c r="M7"/>
  <c r="K42" i="241"/>
  <c r="M26" i="190"/>
  <c r="L7"/>
  <c r="L27"/>
  <c r="J42" i="242"/>
  <c r="K42" i="243"/>
  <c r="M29" i="190"/>
  <c r="M16"/>
  <c r="L12"/>
  <c r="D37" i="242"/>
  <c r="N19" i="190"/>
  <c r="G42" i="243"/>
  <c r="AY25" i="40"/>
  <c r="G14" i="202"/>
  <c r="AW36" i="40"/>
  <c r="E25" i="202"/>
  <c r="AV37" i="40"/>
  <c r="D26" i="202"/>
  <c r="C34" i="194"/>
  <c r="C5" i="202"/>
  <c r="AU34" i="40"/>
  <c r="C23" i="202"/>
  <c r="AZ18" i="40"/>
  <c r="H7" i="202"/>
  <c r="AU33" i="40"/>
  <c r="C22" i="202"/>
  <c r="BD35" i="40"/>
  <c r="L24" i="202"/>
  <c r="AX41" i="40"/>
  <c r="F30" i="202"/>
  <c r="AZ37" i="40"/>
  <c r="H26" i="202"/>
  <c r="AV26" i="40"/>
  <c r="D15" i="202"/>
  <c r="BA35" i="40"/>
  <c r="I24" i="202"/>
  <c r="AZ24" i="40"/>
  <c r="H13" i="202"/>
  <c r="AV21" i="40"/>
  <c r="D10" i="202"/>
  <c r="AY41" i="40"/>
  <c r="G30" i="202"/>
  <c r="BC24" i="40"/>
  <c r="K13" i="202"/>
  <c r="I34" i="194"/>
  <c r="I5" i="202"/>
  <c r="AY38" i="40"/>
  <c r="G27" i="202"/>
  <c r="AZ29" i="40"/>
  <c r="H18" i="202"/>
  <c r="BB38" i="40"/>
  <c r="J27" i="202"/>
  <c r="AW32" i="40"/>
  <c r="E21" i="202"/>
  <c r="AU18" i="40"/>
  <c r="C7" i="202"/>
  <c r="AW23" i="40"/>
  <c r="E12" i="202"/>
  <c r="AZ33" i="40"/>
  <c r="H22" i="202"/>
  <c r="BA21" i="40"/>
  <c r="I10" i="202"/>
  <c r="AX35" i="40"/>
  <c r="F24" i="202"/>
  <c r="BD40" i="40"/>
  <c r="L29" i="202"/>
  <c r="BB31" i="40"/>
  <c r="J20" i="202"/>
  <c r="AY34" i="40"/>
  <c r="G23" i="202"/>
  <c r="I41" i="241"/>
  <c r="I36"/>
  <c r="I46"/>
  <c r="H43" i="204"/>
  <c r="H48"/>
  <c r="H38"/>
  <c r="C43"/>
  <c r="C38"/>
  <c r="C48"/>
  <c r="H10" i="200"/>
  <c r="I10"/>
  <c r="G46" i="204"/>
  <c r="G41"/>
  <c r="G36"/>
  <c r="H14" i="200"/>
  <c r="I14"/>
  <c r="Q13"/>
  <c r="P13"/>
  <c r="Q15"/>
  <c r="P15"/>
  <c r="B48" i="204"/>
  <c r="B43"/>
  <c r="B38"/>
  <c r="G48"/>
  <c r="G38"/>
  <c r="G43"/>
  <c r="D46"/>
  <c r="D41"/>
  <c r="D36"/>
  <c r="G46" i="242"/>
  <c r="G36"/>
  <c r="G41"/>
  <c r="H36"/>
  <c r="H46"/>
  <c r="H41"/>
  <c r="L49" i="204"/>
  <c r="L39"/>
  <c r="L44"/>
  <c r="K49"/>
  <c r="K44"/>
  <c r="K39"/>
  <c r="J34" i="194"/>
  <c r="J5" i="202"/>
  <c r="AU24" i="40"/>
  <c r="C13" i="202"/>
  <c r="AV27" i="40"/>
  <c r="D16" i="202"/>
  <c r="AY39" i="40"/>
  <c r="G28" i="202"/>
  <c r="AU31" i="40"/>
  <c r="C20" i="202"/>
  <c r="BD26" i="40"/>
  <c r="L15" i="202"/>
  <c r="AU20" i="40"/>
  <c r="C9" i="202"/>
  <c r="AW27" i="40"/>
  <c r="E16" i="202"/>
  <c r="BD22" i="40"/>
  <c r="L11" i="202"/>
  <c r="AU19" i="40"/>
  <c r="C8" i="202"/>
  <c r="BA36" i="40"/>
  <c r="I25" i="202"/>
  <c r="AY20" i="40"/>
  <c r="G9" i="202"/>
  <c r="AZ35" i="40"/>
  <c r="H24" i="202"/>
  <c r="BA20" i="40"/>
  <c r="I9" i="202"/>
  <c r="AY43" i="40"/>
  <c r="G32" i="202"/>
  <c r="AY31" i="40"/>
  <c r="G20" i="202"/>
  <c r="AZ17" i="40"/>
  <c r="H6" i="202"/>
  <c r="AX25" i="40"/>
  <c r="F14" i="202"/>
  <c r="AY42" i="40"/>
  <c r="G31" i="202"/>
  <c r="AW24" i="40"/>
  <c r="E13" i="202"/>
  <c r="AX38" i="40"/>
  <c r="F27" i="202"/>
  <c r="BD33" i="40"/>
  <c r="L22" i="202"/>
  <c r="BB30" i="40"/>
  <c r="J19" i="202"/>
  <c r="AW31" i="40"/>
  <c r="E20" i="202"/>
  <c r="BC27" i="40"/>
  <c r="K16" i="202"/>
  <c r="BA22" i="40"/>
  <c r="I11" i="202"/>
  <c r="AW19" i="40"/>
  <c r="E8" i="202"/>
  <c r="AZ39" i="40"/>
  <c r="H28" i="202"/>
  <c r="AY32" i="40"/>
  <c r="G21" i="202"/>
  <c r="AV39" i="40"/>
  <c r="D28" i="202"/>
  <c r="AW21" i="40"/>
  <c r="E10" i="202"/>
  <c r="AW37" i="40"/>
  <c r="E26" i="202"/>
  <c r="AV35" i="40"/>
  <c r="D24" i="202"/>
  <c r="AZ27" i="40"/>
  <c r="H16" i="202"/>
  <c r="BB32" i="40"/>
  <c r="J21" i="202"/>
  <c r="AZ31" i="40"/>
  <c r="H20" i="202"/>
  <c r="AX31" i="40"/>
  <c r="F20" i="202"/>
  <c r="AV31" i="40"/>
  <c r="D20" i="202"/>
  <c r="L34" i="242"/>
  <c r="K15" i="200"/>
  <c r="H12"/>
  <c r="I12"/>
  <c r="B42" i="242"/>
  <c r="B37"/>
  <c r="K41" i="241"/>
  <c r="K36"/>
  <c r="K46"/>
  <c r="F49" i="204"/>
  <c r="F44"/>
  <c r="F39"/>
  <c r="E41" i="241"/>
  <c r="E36"/>
  <c r="E46"/>
  <c r="K41" i="243"/>
  <c r="K46"/>
  <c r="K36"/>
  <c r="L46" i="204"/>
  <c r="L41"/>
  <c r="L36"/>
  <c r="M10" i="200"/>
  <c r="L10"/>
  <c r="BA34" i="40"/>
  <c r="I23" i="202"/>
  <c r="BD17" i="40"/>
  <c r="L6" i="202"/>
  <c r="AW26" i="40"/>
  <c r="E15" i="202"/>
  <c r="BA25" i="40"/>
  <c r="I14" i="202"/>
  <c r="AV29" i="40"/>
  <c r="D18" i="202"/>
  <c r="AX37" i="40"/>
  <c r="F26" i="202"/>
  <c r="AZ40" i="40"/>
  <c r="H29" i="202"/>
  <c r="BA29" i="40"/>
  <c r="I18" i="202"/>
  <c r="BC29" i="40"/>
  <c r="K18" i="202"/>
  <c r="BD42" i="40"/>
  <c r="L31" i="202"/>
  <c r="AU39" i="40"/>
  <c r="C28" i="202"/>
  <c r="AY36" i="40"/>
  <c r="G25" i="202"/>
  <c r="AX24" i="40"/>
  <c r="F13" i="202"/>
  <c r="AX23" i="40"/>
  <c r="F12" i="202"/>
  <c r="BD27" i="40"/>
  <c r="L16" i="202"/>
  <c r="D22" i="118"/>
  <c r="D5" i="202"/>
  <c r="B34" i="194"/>
  <c r="B5" i="202"/>
  <c r="B5" i="200" s="1"/>
  <c r="BA28" i="40"/>
  <c r="I17" i="202"/>
  <c r="AY19" i="40"/>
  <c r="G8" i="202"/>
  <c r="AU27" i="40"/>
  <c r="C16" i="202"/>
  <c r="AY30" i="40"/>
  <c r="G19" i="202"/>
  <c r="AY17" i="40"/>
  <c r="G6" i="202"/>
  <c r="AZ28" i="40"/>
  <c r="H17" i="202"/>
  <c r="BC33" i="40"/>
  <c r="K22" i="202"/>
  <c r="BD39" i="40"/>
  <c r="L28" i="202"/>
  <c r="AX21" i="40"/>
  <c r="F10" i="202"/>
  <c r="BB37" i="40"/>
  <c r="J26" i="202"/>
  <c r="AW30" i="40"/>
  <c r="E19" i="202"/>
  <c r="BB26" i="40"/>
  <c r="J15" i="202"/>
  <c r="AV17" i="40"/>
  <c r="D6" i="202"/>
  <c r="BC39" i="40"/>
  <c r="K28" i="202"/>
  <c r="AX43" i="40"/>
  <c r="F32" i="202"/>
  <c r="AZ25" i="40"/>
  <c r="H14" i="202"/>
  <c r="AU29" i="40"/>
  <c r="C18" i="202"/>
  <c r="AZ19" i="40"/>
  <c r="H8" i="202"/>
  <c r="AU35" i="40"/>
  <c r="C24" i="202"/>
  <c r="AV28" i="40"/>
  <c r="D17" i="202"/>
  <c r="AV33" i="40"/>
  <c r="D22" i="202"/>
  <c r="AX18" i="40"/>
  <c r="F7" i="202"/>
  <c r="BA24" i="40"/>
  <c r="I13" i="202"/>
  <c r="BA18" i="40"/>
  <c r="I7" i="202"/>
  <c r="BA40" i="40"/>
  <c r="I29" i="202"/>
  <c r="G34" i="194"/>
  <c r="G5" i="202"/>
  <c r="BD38" i="40"/>
  <c r="L27" i="202"/>
  <c r="BD41" i="40"/>
  <c r="L30" i="202"/>
  <c r="AW39" i="40"/>
  <c r="E28" i="202"/>
  <c r="BD31" i="40"/>
  <c r="L20" i="202"/>
  <c r="BB17" i="40"/>
  <c r="J6" i="202"/>
  <c r="AY18" i="40"/>
  <c r="G7" i="202"/>
  <c r="AY24" i="40"/>
  <c r="G13" i="202"/>
  <c r="AY28" i="40"/>
  <c r="G17" i="202"/>
  <c r="AZ42" i="40"/>
  <c r="H31" i="202"/>
  <c r="BC20" i="40"/>
  <c r="K9" i="202"/>
  <c r="BC22" i="40"/>
  <c r="K11" i="202"/>
  <c r="BD28" i="40"/>
  <c r="L17" i="202"/>
  <c r="AY22" i="40"/>
  <c r="G11" i="202"/>
  <c r="BD32" i="40"/>
  <c r="L21" i="202"/>
  <c r="BD29" i="40"/>
  <c r="L18" i="202"/>
  <c r="AU40" i="40"/>
  <c r="C29" i="202"/>
  <c r="BC42" i="40"/>
  <c r="K31" i="202"/>
  <c r="BA31" i="40"/>
  <c r="I20" i="202"/>
  <c r="AZ22" i="40"/>
  <c r="H11" i="202"/>
  <c r="AX20" i="40"/>
  <c r="F9" i="202"/>
  <c r="BC28" i="40"/>
  <c r="K17" i="202"/>
  <c r="BD30" i="40"/>
  <c r="L19" i="202"/>
  <c r="AU23" i="40"/>
  <c r="C12" i="202"/>
  <c r="AY37" i="40"/>
  <c r="G26" i="202"/>
  <c r="BB43" i="40"/>
  <c r="J32" i="202"/>
  <c r="AW43" i="40"/>
  <c r="E32" i="202"/>
  <c r="AV25" i="40"/>
  <c r="D14" i="202"/>
  <c r="AX19" i="40"/>
  <c r="F8" i="202"/>
  <c r="BB33" i="40"/>
  <c r="J22" i="202"/>
  <c r="AV42" i="40"/>
  <c r="D31" i="202"/>
  <c r="BB35" i="40"/>
  <c r="J24" i="202"/>
  <c r="AW25" i="40"/>
  <c r="E14" i="202"/>
  <c r="AW20" i="40"/>
  <c r="E9" i="202"/>
  <c r="BC30" i="40"/>
  <c r="K19" i="202"/>
  <c r="BB40" i="40"/>
  <c r="J29" i="202"/>
  <c r="BB41" i="40"/>
  <c r="J30" i="202"/>
  <c r="BB21" i="40"/>
  <c r="J10" i="202"/>
  <c r="B37"/>
  <c r="B42"/>
  <c r="B49"/>
  <c r="B39"/>
  <c r="B44"/>
  <c r="AU43" i="40"/>
  <c r="C32" i="202"/>
  <c r="AU28" i="40"/>
  <c r="C17" i="202"/>
  <c r="BC31" i="40"/>
  <c r="K20" i="202"/>
  <c r="BC35" i="40"/>
  <c r="K24" i="202"/>
  <c r="BA19" i="40"/>
  <c r="I8" i="202"/>
  <c r="M31" i="190"/>
  <c r="Q33"/>
  <c r="D34" i="243"/>
  <c r="O7" i="200"/>
  <c r="B34" i="243"/>
  <c r="O5" i="200"/>
  <c r="K34" i="242"/>
  <c r="K14" i="200"/>
  <c r="C15"/>
  <c r="C7"/>
  <c r="L13"/>
  <c r="M13"/>
  <c r="K46" i="204"/>
  <c r="K41"/>
  <c r="K36"/>
  <c r="G36" i="241"/>
  <c r="G46"/>
  <c r="G41"/>
  <c r="B46" i="204"/>
  <c r="B36"/>
  <c r="B41"/>
  <c r="E46"/>
  <c r="E36"/>
  <c r="E41"/>
  <c r="I9" i="200"/>
  <c r="H9"/>
  <c r="F41" i="243"/>
  <c r="F36"/>
  <c r="F46"/>
  <c r="F34" i="242"/>
  <c r="K9" i="200"/>
  <c r="B34" i="242"/>
  <c r="K5" i="200"/>
  <c r="D34" i="242"/>
  <c r="K7" i="200"/>
  <c r="J46" i="204"/>
  <c r="J36"/>
  <c r="J41"/>
  <c r="C41" i="241"/>
  <c r="C36"/>
  <c r="C46"/>
  <c r="J41" i="243"/>
  <c r="J36"/>
  <c r="J46"/>
  <c r="I41" i="242"/>
  <c r="I36"/>
  <c r="I46"/>
  <c r="L46" i="243"/>
  <c r="L41"/>
  <c r="L36"/>
  <c r="G47" i="204"/>
  <c r="G37"/>
  <c r="G42"/>
  <c r="J47"/>
  <c r="J37"/>
  <c r="J42"/>
  <c r="K42"/>
  <c r="K37"/>
  <c r="K47"/>
  <c r="H47"/>
  <c r="H42"/>
  <c r="H37"/>
  <c r="B42" i="243"/>
  <c r="B37"/>
  <c r="B42" i="241"/>
  <c r="B37"/>
  <c r="M6" i="200"/>
  <c r="L6"/>
  <c r="P12"/>
  <c r="Q12"/>
  <c r="B44" i="242"/>
  <c r="B39"/>
  <c r="E37" i="243"/>
  <c r="L8" i="190"/>
  <c r="BA44" i="40"/>
  <c r="AN50" i="62"/>
  <c r="H5" i="194"/>
  <c r="I11" s="1"/>
  <c r="L17" i="190"/>
  <c r="L25"/>
  <c r="R47" i="40"/>
  <c r="C49" i="204"/>
  <c r="AV44" i="40"/>
  <c r="BB44"/>
  <c r="CJ50" i="62"/>
  <c r="CJ50" i="192"/>
  <c r="CJ57" s="1"/>
  <c r="E40" i="194"/>
  <c r="G54" i="117"/>
  <c r="C40" i="194"/>
  <c r="G41" s="1"/>
  <c r="H26"/>
  <c r="I24" s="1"/>
  <c r="B58" i="121"/>
  <c r="AT45" i="40"/>
  <c r="L16" i="190"/>
  <c r="S47" i="40"/>
  <c r="L29" i="190"/>
  <c r="L24"/>
  <c r="I39" i="204"/>
  <c r="D48"/>
  <c r="C39"/>
  <c r="W47" i="40"/>
  <c r="Q47"/>
  <c r="M22" i="190"/>
  <c r="M4"/>
  <c r="L31"/>
  <c r="P33"/>
  <c r="F25" i="194"/>
  <c r="F19"/>
  <c r="J14"/>
  <c r="F22"/>
  <c r="H54" i="38"/>
  <c r="N31" i="190"/>
  <c r="R33"/>
  <c r="F23" i="194"/>
  <c r="G22" i="118"/>
  <c r="B22"/>
  <c r="J6"/>
  <c r="L9" i="194"/>
  <c r="H39"/>
  <c r="L28"/>
  <c r="J41"/>
  <c r="F22" i="118"/>
  <c r="J22"/>
  <c r="AT22" i="40"/>
  <c r="O8" i="190"/>
  <c r="G32" i="117"/>
  <c r="B35" i="121"/>
  <c r="AT40" i="40"/>
  <c r="O26" i="190"/>
  <c r="G50" i="117"/>
  <c r="B53" i="121"/>
  <c r="AT29" i="40"/>
  <c r="O15" i="190"/>
  <c r="G39" i="117"/>
  <c r="B42" i="121"/>
  <c r="AT37" i="40"/>
  <c r="O23" i="190"/>
  <c r="G47" i="117"/>
  <c r="B50" i="121"/>
  <c r="AT23" i="40"/>
  <c r="O9" i="190"/>
  <c r="G33" i="117"/>
  <c r="B36" i="121"/>
  <c r="L7" i="194"/>
  <c r="L5"/>
  <c r="AT20" i="40"/>
  <c r="O6" i="190"/>
  <c r="G30" i="117"/>
  <c r="B33" i="121"/>
  <c r="AT35" i="40"/>
  <c r="O21" i="190"/>
  <c r="J8" i="118"/>
  <c r="G45" i="117"/>
  <c r="B48" i="121"/>
  <c r="AT19" i="40"/>
  <c r="O5" i="190"/>
  <c r="G29" i="117"/>
  <c r="B32" i="121"/>
  <c r="AT38" i="40"/>
  <c r="O24" i="190"/>
  <c r="G48" i="117"/>
  <c r="B51" i="121"/>
  <c r="AT25" i="40"/>
  <c r="O11" i="190"/>
  <c r="G35" i="117"/>
  <c r="B38" i="121"/>
  <c r="I19" i="194"/>
  <c r="I18"/>
  <c r="C22" i="118"/>
  <c r="I22"/>
  <c r="D39" i="194"/>
  <c r="E39"/>
  <c r="F37"/>
  <c r="L22"/>
  <c r="I41"/>
  <c r="L24"/>
  <c r="I37"/>
  <c r="L14"/>
  <c r="L15"/>
  <c r="I7"/>
  <c r="L6"/>
  <c r="G37"/>
  <c r="F39"/>
  <c r="B39"/>
  <c r="I28"/>
  <c r="I39"/>
  <c r="L25"/>
  <c r="I6"/>
  <c r="L10"/>
  <c r="L21"/>
  <c r="I20"/>
  <c r="L19"/>
  <c r="K39"/>
  <c r="L13"/>
  <c r="L34"/>
  <c r="H34"/>
  <c r="D34"/>
  <c r="C39"/>
  <c r="E34"/>
  <c r="I23"/>
  <c r="AT18" i="40"/>
  <c r="O4" i="190"/>
  <c r="G28" i="117"/>
  <c r="B31" i="121"/>
  <c r="AT39" i="40"/>
  <c r="O25" i="190"/>
  <c r="G49" i="117"/>
  <c r="B52" i="121"/>
  <c r="AT30" i="40"/>
  <c r="O16" i="190"/>
  <c r="G40" i="117"/>
  <c r="B43" i="121"/>
  <c r="AT31" i="40"/>
  <c r="O17" i="190"/>
  <c r="G41" i="117"/>
  <c r="B44" i="121"/>
  <c r="AT32" i="40"/>
  <c r="O18" i="190"/>
  <c r="G42" i="117"/>
  <c r="B45" i="121"/>
  <c r="AT27" i="40"/>
  <c r="O13" i="190"/>
  <c r="G37" i="117"/>
  <c r="B40" i="121"/>
  <c r="AT42" i="40"/>
  <c r="O28" i="190"/>
  <c r="G52" i="117"/>
  <c r="B55" i="121"/>
  <c r="AT36" i="40"/>
  <c r="O22" i="190"/>
  <c r="G46" i="117"/>
  <c r="B49" i="121"/>
  <c r="O2" i="190"/>
  <c r="K2" s="1"/>
  <c r="G26" i="117"/>
  <c r="H26" s="1"/>
  <c r="B21" i="120"/>
  <c r="B29" i="121"/>
  <c r="AT17" i="40"/>
  <c r="O3" i="190"/>
  <c r="G27" i="117"/>
  <c r="B30" i="121"/>
  <c r="AT26" i="40"/>
  <c r="O12" i="190"/>
  <c r="G36" i="117"/>
  <c r="B39" i="121"/>
  <c r="AT41" i="40"/>
  <c r="O27" i="190"/>
  <c r="G51" i="117"/>
  <c r="B54" i="121"/>
  <c r="AT28" i="40"/>
  <c r="O14" i="190"/>
  <c r="G38" i="117"/>
  <c r="B41" i="121"/>
  <c r="AT33" i="40"/>
  <c r="O19" i="190"/>
  <c r="G43" i="117"/>
  <c r="B46" i="121"/>
  <c r="AT21" i="40"/>
  <c r="O7" i="190"/>
  <c r="G31" i="117"/>
  <c r="B34" i="121"/>
  <c r="AT34" i="40"/>
  <c r="O20" i="190"/>
  <c r="G44" i="117"/>
  <c r="B47" i="121"/>
  <c r="AT24" i="40"/>
  <c r="O10" i="190"/>
  <c r="J7" i="118"/>
  <c r="G34" i="117"/>
  <c r="B37" i="121"/>
  <c r="AT43" i="40"/>
  <c r="J9" i="118"/>
  <c r="O29" i="190"/>
  <c r="G53" i="117"/>
  <c r="G57" s="1"/>
  <c r="B56" i="121"/>
  <c r="K22" i="118"/>
  <c r="L39" i="194"/>
  <c r="L27"/>
  <c r="L26"/>
  <c r="L12"/>
  <c r="L23"/>
  <c r="G39"/>
  <c r="L11"/>
  <c r="L20"/>
  <c r="I13"/>
  <c r="L18"/>
  <c r="J39"/>
  <c r="L8"/>
  <c r="I22"/>
  <c r="I5"/>
  <c r="BB16" i="40"/>
  <c r="BB47" s="1"/>
  <c r="BT50" i="38"/>
  <c r="AU16" i="40"/>
  <c r="AU47" s="1"/>
  <c r="P50" i="38"/>
  <c r="P53" s="1"/>
  <c r="AV16" i="40"/>
  <c r="X50" i="38"/>
  <c r="AT16" i="40"/>
  <c r="AT47" s="1"/>
  <c r="H50" i="38"/>
  <c r="H53" s="1"/>
  <c r="AZ16" i="40"/>
  <c r="AZ47" s="1"/>
  <c r="BD50" i="38"/>
  <c r="AW16" i="40"/>
  <c r="AW47" s="1"/>
  <c r="AF50" i="38"/>
  <c r="BA16" i="40"/>
  <c r="BA47" s="1"/>
  <c r="BL50" i="38"/>
  <c r="AY16" i="40"/>
  <c r="AY47" s="1"/>
  <c r="AV50" i="38"/>
  <c r="BC16" i="40"/>
  <c r="BC47" s="1"/>
  <c r="CB50" i="38"/>
  <c r="AX16" i="40"/>
  <c r="AX47" s="1"/>
  <c r="AN50" i="38"/>
  <c r="BD16" i="40"/>
  <c r="BD47" s="1"/>
  <c r="CJ50" i="38"/>
  <c r="CJ53" s="1"/>
  <c r="BI43" i="40"/>
  <c r="BL43"/>
  <c r="BH43"/>
  <c r="BG43"/>
  <c r="BJ43"/>
  <c r="BE43"/>
  <c r="BK43"/>
  <c r="BF43"/>
  <c r="BN44"/>
  <c r="BO44"/>
  <c r="B36" i="202" l="1"/>
  <c r="K29" i="190"/>
  <c r="B46" i="202"/>
  <c r="M14" i="200"/>
  <c r="L14"/>
  <c r="J49" i="202"/>
  <c r="J39"/>
  <c r="J44"/>
  <c r="G37"/>
  <c r="G47"/>
  <c r="G42"/>
  <c r="F49"/>
  <c r="F44"/>
  <c r="F39"/>
  <c r="D36"/>
  <c r="B7" i="200"/>
  <c r="E7" s="1"/>
  <c r="K37" i="202"/>
  <c r="K47"/>
  <c r="K42"/>
  <c r="I48"/>
  <c r="I38"/>
  <c r="I43"/>
  <c r="L5" i="200"/>
  <c r="M5"/>
  <c r="B46" i="243"/>
  <c r="B41"/>
  <c r="B36"/>
  <c r="E42" i="202"/>
  <c r="E37"/>
  <c r="E47"/>
  <c r="E48"/>
  <c r="E38"/>
  <c r="E43"/>
  <c r="C41" i="243"/>
  <c r="C46"/>
  <c r="C36"/>
  <c r="I13" i="200"/>
  <c r="H13"/>
  <c r="L36" i="202"/>
  <c r="B15" i="200"/>
  <c r="E15" s="1"/>
  <c r="H39" i="202"/>
  <c r="H44"/>
  <c r="H49"/>
  <c r="I39"/>
  <c r="I44"/>
  <c r="I49"/>
  <c r="I15" i="200"/>
  <c r="H15"/>
  <c r="D46" i="242"/>
  <c r="D41"/>
  <c r="D36"/>
  <c r="F46"/>
  <c r="F41"/>
  <c r="F36"/>
  <c r="Q5" i="200"/>
  <c r="P5"/>
  <c r="K38" i="202"/>
  <c r="K43"/>
  <c r="K48"/>
  <c r="E39"/>
  <c r="E44"/>
  <c r="E49"/>
  <c r="B10" i="200"/>
  <c r="G36" i="202"/>
  <c r="G46"/>
  <c r="G41"/>
  <c r="F37"/>
  <c r="F47"/>
  <c r="F42"/>
  <c r="L46" i="242"/>
  <c r="L41"/>
  <c r="L36"/>
  <c r="B12" i="200"/>
  <c r="I46" i="202"/>
  <c r="I36"/>
  <c r="I41"/>
  <c r="H42"/>
  <c r="H47"/>
  <c r="H37"/>
  <c r="H46" i="243"/>
  <c r="H36"/>
  <c r="H41"/>
  <c r="E41" i="242"/>
  <c r="E36"/>
  <c r="E46"/>
  <c r="P6" i="200"/>
  <c r="Q6"/>
  <c r="E41" i="243"/>
  <c r="E36"/>
  <c r="E46"/>
  <c r="B37" i="194"/>
  <c r="C37"/>
  <c r="AV47" i="40"/>
  <c r="E41" i="194"/>
  <c r="E37"/>
  <c r="B41"/>
  <c r="K10" i="190"/>
  <c r="K20"/>
  <c r="K7"/>
  <c r="K19"/>
  <c r="K14"/>
  <c r="K27"/>
  <c r="K12"/>
  <c r="K3"/>
  <c r="K22"/>
  <c r="K28"/>
  <c r="I27" i="194"/>
  <c r="I9"/>
  <c r="H41"/>
  <c r="K41"/>
  <c r="L37"/>
  <c r="I21"/>
  <c r="I15"/>
  <c r="F26"/>
  <c r="D41" i="202"/>
  <c r="L46"/>
  <c r="B41"/>
  <c r="B46" i="242"/>
  <c r="B41"/>
  <c r="B36"/>
  <c r="Q7" i="200"/>
  <c r="P7"/>
  <c r="C49" i="202"/>
  <c r="C39"/>
  <c r="C44"/>
  <c r="J43"/>
  <c r="J48"/>
  <c r="J38"/>
  <c r="I42"/>
  <c r="I47"/>
  <c r="I37"/>
  <c r="C38"/>
  <c r="C43"/>
  <c r="C48"/>
  <c r="F43"/>
  <c r="F48"/>
  <c r="F38"/>
  <c r="L38"/>
  <c r="L48"/>
  <c r="L43"/>
  <c r="B6" i="200"/>
  <c r="C46" i="202"/>
  <c r="C36"/>
  <c r="C41"/>
  <c r="L42"/>
  <c r="L47"/>
  <c r="L37"/>
  <c r="J46" i="241"/>
  <c r="J41"/>
  <c r="J36"/>
  <c r="L41"/>
  <c r="L46"/>
  <c r="L36"/>
  <c r="C37" i="202"/>
  <c r="C47"/>
  <c r="C42"/>
  <c r="L7" i="200"/>
  <c r="M7"/>
  <c r="L9"/>
  <c r="M9"/>
  <c r="K46" i="242"/>
  <c r="K41"/>
  <c r="K36"/>
  <c r="D46" i="243"/>
  <c r="D41"/>
  <c r="D36"/>
  <c r="L15" i="200"/>
  <c r="M15"/>
  <c r="D38" i="202"/>
  <c r="D48"/>
  <c r="D43"/>
  <c r="G39"/>
  <c r="G49"/>
  <c r="G44"/>
  <c r="H38"/>
  <c r="H48"/>
  <c r="H43"/>
  <c r="B13" i="200"/>
  <c r="J46" i="202"/>
  <c r="J36"/>
  <c r="J41"/>
  <c r="Q11" i="200"/>
  <c r="P11"/>
  <c r="M8"/>
  <c r="L8"/>
  <c r="B9"/>
  <c r="F46" i="202"/>
  <c r="F41"/>
  <c r="F36"/>
  <c r="G38"/>
  <c r="G43"/>
  <c r="G48"/>
  <c r="K39"/>
  <c r="K49"/>
  <c r="K44"/>
  <c r="J37"/>
  <c r="J47"/>
  <c r="J42"/>
  <c r="L39"/>
  <c r="L44"/>
  <c r="L49"/>
  <c r="H36"/>
  <c r="B11" i="200"/>
  <c r="E11" s="1"/>
  <c r="D42" i="202"/>
  <c r="D47"/>
  <c r="D37"/>
  <c r="E5" i="200"/>
  <c r="D5"/>
  <c r="P8"/>
  <c r="Q8"/>
  <c r="B14"/>
  <c r="K41" i="202"/>
  <c r="K46"/>
  <c r="K36"/>
  <c r="D39"/>
  <c r="D44"/>
  <c r="D49"/>
  <c r="B8" i="200"/>
  <c r="E36" i="202"/>
  <c r="E46"/>
  <c r="E41"/>
  <c r="D7" i="200"/>
  <c r="C41" i="194"/>
  <c r="D41"/>
  <c r="L41"/>
  <c r="D46" i="202"/>
  <c r="K37" i="194"/>
  <c r="I26"/>
  <c r="I10"/>
  <c r="H37"/>
  <c r="I25"/>
  <c r="F41"/>
  <c r="I12"/>
  <c r="I14"/>
  <c r="I8"/>
  <c r="D37"/>
  <c r="L41" i="202"/>
  <c r="B47"/>
  <c r="G59" i="117"/>
  <c r="G60"/>
  <c r="O33" i="190"/>
  <c r="P34" s="1"/>
  <c r="K21"/>
  <c r="K6"/>
  <c r="K13"/>
  <c r="K18"/>
  <c r="K17"/>
  <c r="K16"/>
  <c r="K25"/>
  <c r="K4"/>
  <c r="H33" i="117"/>
  <c r="H39"/>
  <c r="H50"/>
  <c r="H32"/>
  <c r="H31"/>
  <c r="H38"/>
  <c r="H36"/>
  <c r="H46"/>
  <c r="H37"/>
  <c r="H41"/>
  <c r="H49"/>
  <c r="D35" i="194"/>
  <c r="H34" i="117"/>
  <c r="K31" i="190"/>
  <c r="H47" i="117"/>
  <c r="H44"/>
  <c r="H43"/>
  <c r="H51"/>
  <c r="H27"/>
  <c r="H52"/>
  <c r="H42"/>
  <c r="H40"/>
  <c r="H28"/>
  <c r="H54"/>
  <c r="I35" i="194"/>
  <c r="J35"/>
  <c r="H53" i="117"/>
  <c r="L35" i="194"/>
  <c r="K30" i="190"/>
  <c r="H55" i="117"/>
  <c r="K11" i="190"/>
  <c r="K24"/>
  <c r="K5"/>
  <c r="H30" i="117"/>
  <c r="G35" i="194"/>
  <c r="F35"/>
  <c r="K35"/>
  <c r="E35"/>
  <c r="H35"/>
  <c r="B35"/>
  <c r="H35" i="117"/>
  <c r="H48"/>
  <c r="H29"/>
  <c r="H45"/>
  <c r="K9" i="190"/>
  <c r="K23"/>
  <c r="K15"/>
  <c r="K26"/>
  <c r="K8"/>
  <c r="C35" i="194"/>
  <c r="D8" i="200" l="1"/>
  <c r="E8"/>
  <c r="D12"/>
  <c r="E12"/>
  <c r="D15"/>
  <c r="D11"/>
  <c r="D9"/>
  <c r="E9"/>
  <c r="E13"/>
  <c r="D13"/>
  <c r="E14"/>
  <c r="D14"/>
  <c r="E6"/>
  <c r="D6"/>
  <c r="E10"/>
  <c r="D10"/>
</calcChain>
</file>

<file path=xl/comments1.xml><?xml version="1.0" encoding="utf-8"?>
<comments xmlns="http://schemas.openxmlformats.org/spreadsheetml/2006/main">
  <authors>
    <author>Main</author>
  </authors>
  <commentList>
    <comment ref="N43" authorId="0">
      <text>
        <r>
          <rPr>
            <b/>
            <sz val="8"/>
            <color indexed="81"/>
            <rFont val="Tahoma"/>
            <family val="2"/>
          </rPr>
          <t>Main:</t>
        </r>
        <r>
          <rPr>
            <sz val="8"/>
            <color indexed="81"/>
            <rFont val="Tahoma"/>
            <family val="2"/>
          </rPr>
          <t xml:space="preserve">
based on first 3 quarters data only</t>
        </r>
      </text>
    </comment>
  </commentList>
</comments>
</file>

<file path=xl/comments2.xml><?xml version="1.0" encoding="utf-8"?>
<comments xmlns="http://schemas.openxmlformats.org/spreadsheetml/2006/main">
  <authors>
    <author>Andrew  Sharpe</author>
  </authors>
  <commentList>
    <comment ref="F49" authorId="0">
      <text>
        <r>
          <rPr>
            <b/>
            <sz val="8"/>
            <color indexed="81"/>
            <rFont val="Tahoma"/>
            <family val="2"/>
          </rPr>
          <t>For 1990-2010</t>
        </r>
      </text>
    </comment>
    <comment ref="G49" authorId="0">
      <text>
        <r>
          <rPr>
            <b/>
            <sz val="8"/>
            <color indexed="81"/>
            <rFont val="Tahoma"/>
            <family val="2"/>
          </rPr>
          <t>For 1990-2010</t>
        </r>
      </text>
    </comment>
    <comment ref="W49" authorId="0">
      <text>
        <r>
          <rPr>
            <b/>
            <sz val="8"/>
            <color indexed="81"/>
            <rFont val="Tahoma"/>
            <family val="2"/>
          </rPr>
          <t>For 1990-2010</t>
        </r>
      </text>
    </comment>
    <comment ref="X49" authorId="0">
      <text>
        <r>
          <rPr>
            <b/>
            <sz val="8"/>
            <color indexed="81"/>
            <rFont val="Tahoma"/>
            <family val="2"/>
          </rPr>
          <t>For 1990-2010</t>
        </r>
      </text>
    </comment>
    <comment ref="AN49" authorId="0">
      <text>
        <r>
          <rPr>
            <b/>
            <sz val="8"/>
            <color indexed="81"/>
            <rFont val="Tahoma"/>
            <family val="2"/>
          </rPr>
          <t>For 1990-2010</t>
        </r>
      </text>
    </comment>
    <comment ref="AO49" authorId="0">
      <text>
        <r>
          <rPr>
            <b/>
            <sz val="8"/>
            <color indexed="81"/>
            <rFont val="Tahoma"/>
            <family val="2"/>
          </rPr>
          <t>For 1990-2010</t>
        </r>
      </text>
    </comment>
    <comment ref="BE49" authorId="0">
      <text>
        <r>
          <rPr>
            <b/>
            <sz val="8"/>
            <color indexed="81"/>
            <rFont val="Tahoma"/>
            <family val="2"/>
          </rPr>
          <t>For 1990-2010</t>
        </r>
      </text>
    </comment>
    <comment ref="BF49" authorId="0">
      <text>
        <r>
          <rPr>
            <b/>
            <sz val="8"/>
            <color indexed="81"/>
            <rFont val="Tahoma"/>
            <family val="2"/>
          </rPr>
          <t>For 1990-2010</t>
        </r>
      </text>
    </comment>
    <comment ref="BV49" authorId="0">
      <text>
        <r>
          <rPr>
            <b/>
            <sz val="8"/>
            <color indexed="81"/>
            <rFont val="Tahoma"/>
            <family val="2"/>
          </rPr>
          <t>For 1990-2010</t>
        </r>
      </text>
    </comment>
    <comment ref="BW49" authorId="0">
      <text>
        <r>
          <rPr>
            <b/>
            <sz val="8"/>
            <color indexed="81"/>
            <rFont val="Tahoma"/>
            <family val="2"/>
          </rPr>
          <t>For 1990-2010</t>
        </r>
      </text>
    </comment>
    <comment ref="CM49" authorId="0">
      <text>
        <r>
          <rPr>
            <b/>
            <sz val="8"/>
            <color indexed="81"/>
            <rFont val="Tahoma"/>
            <family val="2"/>
          </rPr>
          <t>For 1990-2010</t>
        </r>
      </text>
    </comment>
    <comment ref="CN49" authorId="0">
      <text>
        <r>
          <rPr>
            <b/>
            <sz val="8"/>
            <color indexed="81"/>
            <rFont val="Tahoma"/>
            <family val="2"/>
          </rPr>
          <t>For 1990-2010</t>
        </r>
      </text>
    </comment>
    <comment ref="DD49" authorId="0">
      <text>
        <r>
          <rPr>
            <b/>
            <sz val="8"/>
            <color indexed="81"/>
            <rFont val="Tahoma"/>
            <family val="2"/>
          </rPr>
          <t>For 1990-2010</t>
        </r>
      </text>
    </comment>
    <comment ref="DE49" authorId="0">
      <text>
        <r>
          <rPr>
            <b/>
            <sz val="8"/>
            <color indexed="81"/>
            <rFont val="Tahoma"/>
            <family val="2"/>
          </rPr>
          <t>For 1990-2010</t>
        </r>
      </text>
    </comment>
    <comment ref="DU49" authorId="0">
      <text>
        <r>
          <rPr>
            <b/>
            <sz val="8"/>
            <color indexed="81"/>
            <rFont val="Tahoma"/>
            <family val="2"/>
          </rPr>
          <t>For 1990-2010</t>
        </r>
      </text>
    </comment>
    <comment ref="DV49" authorId="0">
      <text>
        <r>
          <rPr>
            <b/>
            <sz val="8"/>
            <color indexed="81"/>
            <rFont val="Tahoma"/>
            <family val="2"/>
          </rPr>
          <t>For 1990-2010</t>
        </r>
      </text>
    </comment>
    <comment ref="EL49" authorId="0">
      <text>
        <r>
          <rPr>
            <b/>
            <sz val="8"/>
            <color indexed="81"/>
            <rFont val="Tahoma"/>
            <family val="2"/>
          </rPr>
          <t>For 1990-2010</t>
        </r>
      </text>
    </comment>
    <comment ref="EM49" authorId="0">
      <text>
        <r>
          <rPr>
            <b/>
            <sz val="8"/>
            <color indexed="81"/>
            <rFont val="Tahoma"/>
            <family val="2"/>
          </rPr>
          <t>For 1990-2010</t>
        </r>
      </text>
    </comment>
    <comment ref="FC49" authorId="0">
      <text>
        <r>
          <rPr>
            <b/>
            <sz val="8"/>
            <color indexed="81"/>
            <rFont val="Tahoma"/>
            <family val="2"/>
          </rPr>
          <t>For 1990-2010</t>
        </r>
      </text>
    </comment>
    <comment ref="FD49" authorId="0">
      <text>
        <r>
          <rPr>
            <b/>
            <sz val="8"/>
            <color indexed="81"/>
            <rFont val="Tahoma"/>
            <family val="2"/>
          </rPr>
          <t>For 1990-2010</t>
        </r>
      </text>
    </comment>
    <comment ref="FT49" authorId="0">
      <text>
        <r>
          <rPr>
            <b/>
            <sz val="8"/>
            <color indexed="81"/>
            <rFont val="Tahoma"/>
            <family val="2"/>
          </rPr>
          <t>For 1990-2010</t>
        </r>
      </text>
    </comment>
    <comment ref="FU49" authorId="0">
      <text>
        <r>
          <rPr>
            <b/>
            <sz val="8"/>
            <color indexed="81"/>
            <rFont val="Tahoma"/>
            <family val="2"/>
          </rPr>
          <t>For 1990-2010</t>
        </r>
      </text>
    </comment>
  </commentList>
</comments>
</file>

<file path=xl/sharedStrings.xml><?xml version="1.0" encoding="utf-8"?>
<sst xmlns="http://schemas.openxmlformats.org/spreadsheetml/2006/main" count="10757" uniqueCount="1567">
  <si>
    <t>current as March 13, 2006</t>
  </si>
  <si>
    <t>45-64</t>
  </si>
  <si>
    <t>Appendix Table 28: Population by Age, thousands</t>
  </si>
  <si>
    <t>% of pop. 15-64</t>
  </si>
  <si>
    <t>Normalized weight for risk from unemployment</t>
  </si>
  <si>
    <t>% of pop. at risk of illness</t>
  </si>
  <si>
    <t>Normalized weight for risk from illness</t>
  </si>
  <si>
    <t>Mothers and children as a % of pop.</t>
  </si>
  <si>
    <t>Normalized weight for risk from single-parent poverty</t>
  </si>
  <si>
    <t>% of pop. 45-64</t>
  </si>
  <si>
    <t>Normalized weight for risk from poverty in old age</t>
  </si>
  <si>
    <t>Total proportion at risk</t>
  </si>
  <si>
    <t>Appendix Table 29: Weights for Index of Economic Security</t>
  </si>
  <si>
    <t>Weight for Security from Risk Imposed by Illness</t>
  </si>
  <si>
    <t>Weight for Security from Risk Imposed by Single-Parent Poverty</t>
  </si>
  <si>
    <t>Weight for Security from Risk Imposed by Poverty in Old Age</t>
  </si>
  <si>
    <t>Overall Index of Economic Security</t>
  </si>
  <si>
    <t>Weight for Security from Risk Imposed by Unem-ployment</t>
  </si>
  <si>
    <t>Table 8: Overall Index of Economic Security</t>
  </si>
  <si>
    <t>Table 12: Comparison of Relative Levels of Economic Well-being, 2006</t>
  </si>
  <si>
    <t>Table 9: Overall Index of Well-being, Equal Weighting of Components</t>
  </si>
  <si>
    <t>Source: Tables 1-3 and 8.</t>
  </si>
  <si>
    <t>Index of Security</t>
  </si>
  <si>
    <t>Overall Index of Economic Well-being</t>
  </si>
  <si>
    <t>Index of Total per capita Consump-tion Flows</t>
  </si>
  <si>
    <t>Index of Total per capita Stocks of Wealth</t>
  </si>
  <si>
    <t>Table 10: Overall Index of Well-being, Alternative Weighting of Components</t>
  </si>
  <si>
    <t>Table 11: Comparison of Trends in the Components of Economic Well-being</t>
  </si>
  <si>
    <t>Consumption</t>
  </si>
  <si>
    <t>Overall Index, Equal Weighting</t>
  </si>
  <si>
    <t>Security</t>
  </si>
  <si>
    <t>Equality</t>
  </si>
  <si>
    <t>Wealth</t>
  </si>
  <si>
    <t>Source: Tables 9 and 10.</t>
  </si>
  <si>
    <t xml:space="preserve">     (E) = (C)*0.25 + (D)*0.75</t>
  </si>
  <si>
    <t xml:space="preserve">    (F) = 200 - (E)</t>
  </si>
  <si>
    <t>Economic Security</t>
  </si>
  <si>
    <t xml:space="preserve">  Risk Imposed by Unemployment</t>
  </si>
  <si>
    <t xml:space="preserve">     % of Unemployed Receiving Benefits</t>
  </si>
  <si>
    <t xml:space="preserve">     Weekly Benefits as % of Weekly Earnings</t>
  </si>
  <si>
    <t xml:space="preserve">  Risk Imposed by Illness </t>
  </si>
  <si>
    <t xml:space="preserve">     Priv. Med. Care as % of Per. Dis. Income</t>
  </si>
  <si>
    <t xml:space="preserve">    (L) = 200 - (K)</t>
  </si>
  <si>
    <t xml:space="preserve">  Risk Imposed by Single Parent Poverty</t>
  </si>
  <si>
    <t xml:space="preserve">     Divorce Rate</t>
  </si>
  <si>
    <t xml:space="preserve">     (O) = (M)*(N)/100</t>
  </si>
  <si>
    <t xml:space="preserve">    (P) = 200 - (O)</t>
  </si>
  <si>
    <t xml:space="preserve">  Risk of Poverty Imposed by Old Age</t>
  </si>
  <si>
    <t xml:space="preserve">    (R) = 200- (Q)</t>
  </si>
  <si>
    <t>Components</t>
  </si>
  <si>
    <t xml:space="preserve">     (1): Consumption Flows = (A)</t>
  </si>
  <si>
    <t xml:space="preserve">     (2): Wealth Stocks = (B)</t>
  </si>
  <si>
    <t xml:space="preserve">     (3): Equality Component = (F)</t>
  </si>
  <si>
    <t>Overall Well-Being Index</t>
  </si>
  <si>
    <t xml:space="preserve">     Equal Weighting</t>
  </si>
  <si>
    <t xml:space="preserve">     Original Weighting </t>
  </si>
  <si>
    <t xml:space="preserve">     = (1)*0.4 + (2)*0.1 + (3)*0.25 + (4)*0.25</t>
  </si>
  <si>
    <t xml:space="preserve">     Alternative Weighting </t>
  </si>
  <si>
    <t xml:space="preserve">     = (1)*0.7 + (2)*0.1 + (3)*0.1 + (4)*0.1</t>
  </si>
  <si>
    <t>Total Consumption Flows per capita (1997$)</t>
  </si>
  <si>
    <t>Total Real per capita Wealth (1997$)</t>
  </si>
  <si>
    <t xml:space="preserve">    Canada=100 (A)</t>
  </si>
  <si>
    <t xml:space="preserve">    Canada=100 (B)</t>
  </si>
  <si>
    <t xml:space="preserve">     Canada=100 (C)</t>
  </si>
  <si>
    <t xml:space="preserve">     Canada=100 (D)</t>
  </si>
  <si>
    <t xml:space="preserve">     Canada=100 (G)</t>
  </si>
  <si>
    <t xml:space="preserve">     Canada=100 (H)</t>
  </si>
  <si>
    <t xml:space="preserve">     Canada=100 (K)</t>
  </si>
  <si>
    <t xml:space="preserve">     Canada=100 (M)</t>
  </si>
  <si>
    <t xml:space="preserve">     Canada=100 (N)</t>
  </si>
  <si>
    <t xml:space="preserve">     Canada=100 (Q)</t>
  </si>
  <si>
    <t>List of Tables</t>
  </si>
  <si>
    <t>List of Appendix Tables</t>
  </si>
  <si>
    <t>An Index of Economic Well-being</t>
  </si>
  <si>
    <t>Appendix Table 4: Regrettable Expenditures per capita, Page 1</t>
  </si>
  <si>
    <t>n.a</t>
  </si>
  <si>
    <t>YEARS</t>
  </si>
  <si>
    <t>Government expenditure deflator</t>
  </si>
  <si>
    <t>1997=100</t>
  </si>
  <si>
    <t>NF</t>
  </si>
  <si>
    <t>QC</t>
  </si>
  <si>
    <t>MA</t>
  </si>
  <si>
    <t>SAS</t>
  </si>
  <si>
    <t>for Canada and the Provinces</t>
  </si>
  <si>
    <t>List of Charts</t>
  </si>
  <si>
    <t>Chart 1: Index of Total Consumption Flows</t>
  </si>
  <si>
    <t>Chart 2: Index of Total Stocks of Wealth</t>
  </si>
  <si>
    <t>Chart 3: Index of Equality</t>
  </si>
  <si>
    <t>Chart 4: Index of Security</t>
  </si>
  <si>
    <t>Chart 5: Overall Index of Economic Well-being (Equal Weighting of Components)</t>
  </si>
  <si>
    <t>Chart 6: Overall Index of Economic Well-being, Newfoundland vs. Canada</t>
  </si>
  <si>
    <t>Chart 7: Overall Index of Economic Well-being, Prince Edward Island vs. Canada</t>
  </si>
  <si>
    <t>Chart 8: Overall Index of Economic Well-being, Nova Scotia vs. Canada</t>
  </si>
  <si>
    <t>Chart 9: Overall Index of Economic Well-being, New Brunswick vs. Canada</t>
  </si>
  <si>
    <t>Chart 10: Overall Index of Economic Well-being, Quebec vs. Canada</t>
  </si>
  <si>
    <t>Appendix Table 22: Average Regular Weekly Employment Insurance Benefits</t>
  </si>
  <si>
    <t>Chart 11: Overall Index of Economic Well-being, Ontario vs. Canada</t>
  </si>
  <si>
    <t>Chart 12: Overall Index of Economic Well-being, Manitoba vs. Canada</t>
  </si>
  <si>
    <t>Chart 13: Overall Index of Economic Well-being, Saskatchewan vs. Canada</t>
  </si>
  <si>
    <t>Chart 14: Overall Index of Economic Well-being, Alberta vs. Canada</t>
  </si>
  <si>
    <t>Chart 15: Overall Index of Economic Well-being, British Columbia vs. Canada</t>
  </si>
  <si>
    <t>Lone Female Parent Families Poverty Intensity</t>
  </si>
  <si>
    <t>Lone Female Parent Families Poverty Rate (%)</t>
  </si>
  <si>
    <t>Rate (%)</t>
  </si>
  <si>
    <t>Poverty intensity is the product of the poverty rate and the poverty gap and a constant (approximately 2)</t>
  </si>
  <si>
    <t>A</t>
  </si>
  <si>
    <t>B</t>
  </si>
  <si>
    <t>C</t>
  </si>
  <si>
    <t>D</t>
  </si>
  <si>
    <t>E</t>
  </si>
  <si>
    <t>F</t>
  </si>
  <si>
    <t>G</t>
  </si>
  <si>
    <t>H</t>
  </si>
  <si>
    <t>J</t>
  </si>
  <si>
    <t>K</t>
  </si>
  <si>
    <t>L</t>
  </si>
  <si>
    <t>M</t>
  </si>
  <si>
    <t>Appendix Table 27: Components of Risk Imposed by Single Parent Poverty, Page 1</t>
  </si>
  <si>
    <t>Appendix Table 27: Components of Risk Imposed by Single Parent Poverty, Page 2</t>
  </si>
  <si>
    <t>Appendix Table 27: Components of Risk Imposed by Single Parent Poverty, Page 3</t>
  </si>
  <si>
    <t>Appendix Table 27: Components of Risk Imposed by Single Parent Poverty, Page 4</t>
  </si>
  <si>
    <t>Family size Old CSLS IEWB series, using the growth rate for 1971-1979</t>
  </si>
  <si>
    <t>P.E.I.</t>
  </si>
  <si>
    <t>N.S.</t>
  </si>
  <si>
    <t>N.B.</t>
  </si>
  <si>
    <t>Que.</t>
  </si>
  <si>
    <t>Ont.</t>
  </si>
  <si>
    <t>Alta.</t>
  </si>
  <si>
    <t>B.C.</t>
  </si>
  <si>
    <t>Source:Census family units:  V465965,V465966,V465972,V465973,V465974,V465975,V465976,V465977,V465978,V465979,V465967 for 1986-2005 and linked linked to series from Statistics Canada publication 91-204 (1995) for years before 1986.</t>
  </si>
  <si>
    <t>Number of Families, in thousands</t>
  </si>
  <si>
    <t>C=B/A/1000</t>
  </si>
  <si>
    <t>Appendix Table 27: Components of Risk Imposed by Single Parent Poverty, Page 5</t>
  </si>
  <si>
    <t>Appendix Table 27: Components of Risk Imposed by Single Parent Poverty, Page 6</t>
  </si>
  <si>
    <t>K=J / I</t>
  </si>
  <si>
    <t>D=C / B</t>
  </si>
  <si>
    <t>B=A / 2</t>
  </si>
  <si>
    <t>I=H / 2</t>
  </si>
  <si>
    <t>I</t>
  </si>
  <si>
    <t>N</t>
  </si>
  <si>
    <t>E=(A+B+C+D)/4</t>
  </si>
  <si>
    <t>J=(F+G+H+I)/4</t>
  </si>
  <si>
    <t>Table 11: Comparison of Trends in the Components of Economic Well-being, Page 1</t>
  </si>
  <si>
    <t>Table 11: Comparison of Trends in the Components of Economic Well-being, Page 2</t>
  </si>
  <si>
    <t>Table 11: Comparison of Trends in the Components of Economic Well-being, Page 3</t>
  </si>
  <si>
    <t>Table 11: Comparison of Trends in the Components of Economic Well-being, Page 4</t>
  </si>
  <si>
    <t>Table 11: Comparison of Trends in the Components of Economic Well-being, Page 5</t>
  </si>
  <si>
    <t>Table 11: Comparison of Trends in the Components of Economic Well-being, Page 6</t>
  </si>
  <si>
    <t>H=F*G*Constant</t>
  </si>
  <si>
    <t>M=K*L*Constant</t>
  </si>
  <si>
    <t>Lone Female Parent Families Poverty Gap Ratio</t>
  </si>
  <si>
    <t>F=A+B+C+D+E</t>
  </si>
  <si>
    <t>C=A/B*100</t>
  </si>
  <si>
    <t>D=C*1000000/Population</t>
  </si>
  <si>
    <t>G=E/F*100</t>
  </si>
  <si>
    <t>H=G*1000000/Population</t>
  </si>
  <si>
    <t>K=I/J*100</t>
  </si>
  <si>
    <t>L=K*1000000/Population</t>
  </si>
  <si>
    <t>O=M/N*100</t>
  </si>
  <si>
    <t>P=O*1000000/Population</t>
  </si>
  <si>
    <t>Appendix Table 13: Total Natural Resource Wealth, Page 1</t>
  </si>
  <si>
    <t>Appendix Table 13: Total Natural Resource Wealth, Page 2</t>
  </si>
  <si>
    <t>Appendix Table 13: Total Natural Resource Wealth, Page 3</t>
  </si>
  <si>
    <t>C=B/A*100</t>
  </si>
  <si>
    <t>Appendix Table 1: Personal Expenditure on Goods and Services, Page 1</t>
  </si>
  <si>
    <t>Appendix Table 1: Personal Expenditure on Goods and Services, Page 2</t>
  </si>
  <si>
    <t>Appendix Table 1: Personal Expenditure on Goods and Services, Page 3</t>
  </si>
  <si>
    <t>Appendix Table 1: Personal Expenditure on Goods and Services, Page 4</t>
  </si>
  <si>
    <t>Appendix Table 1: Personal Expenditure on Goods and Services, Page 5</t>
  </si>
  <si>
    <t>Appendix Table 1: Personal Expenditure on Goods and Services, Page 6</t>
  </si>
  <si>
    <t>O</t>
  </si>
  <si>
    <t>D=C^0.5</t>
  </si>
  <si>
    <t>Appendix Table 2: Average Family Size, Page 1</t>
  </si>
  <si>
    <t>Appendix Table 2: Average Family Size, Page 2</t>
  </si>
  <si>
    <t>Appendix Table 2: Average Family Size, Page 3</t>
  </si>
  <si>
    <t>G=E81000000/F</t>
  </si>
  <si>
    <t>I=G/H*100</t>
  </si>
  <si>
    <t>K=J*(I/100)</t>
  </si>
  <si>
    <t>M=L*(I/100)</t>
  </si>
  <si>
    <t>O=N*(I/100)</t>
  </si>
  <si>
    <t>Index of Log of Total per capita Consump-tion Flows</t>
  </si>
  <si>
    <t>Index of Log of Total per capita Stocks of Wealth</t>
  </si>
  <si>
    <t>Overall Index of Economic Well-being using Logs</t>
  </si>
  <si>
    <t>Overall Index, Original Weighting</t>
  </si>
  <si>
    <t>B'</t>
  </si>
  <si>
    <t>E=(A'+B'+C+D)/4</t>
  </si>
  <si>
    <t>F'</t>
  </si>
  <si>
    <t>G'</t>
  </si>
  <si>
    <t>J=(F'+G'+H+I)/4</t>
  </si>
  <si>
    <t>E=0.7A+0.1B+0.1C+0.1D</t>
  </si>
  <si>
    <t>E=0.7A'+0.1B'+0.1C+0.1D</t>
  </si>
  <si>
    <t>E=0.7F+0.1G+0.1H+0.1I</t>
  </si>
  <si>
    <t>E=0.7F'+0.1G'+0.1H+0.1I</t>
  </si>
  <si>
    <t>Log G</t>
  </si>
  <si>
    <t>Appendix Table 5: Unpaid Work at Replacement Cost by Generalist, Page 1</t>
  </si>
  <si>
    <t>Appendix Table 5: Unpaid Work at Replacement Cost by Generalist, Page 2</t>
  </si>
  <si>
    <t>F=A-B+E</t>
  </si>
  <si>
    <t>M=H-I+L</t>
  </si>
  <si>
    <t>G=F*1,000,000/Population</t>
  </si>
  <si>
    <t>N=M*1,000,000/Population</t>
  </si>
  <si>
    <t>Appendix Table 4: Regrettable Expenditures per capita, Page 2</t>
  </si>
  <si>
    <t>Data for provinces for years beyond 1997 are calculated with the national growth rate.</t>
  </si>
  <si>
    <t xml:space="preserve">Source: </t>
  </si>
  <si>
    <t>Gini Coefficients</t>
  </si>
  <si>
    <t>Scaled valued of Gini Coefficients</t>
  </si>
  <si>
    <t>Data for years prior to 1979 are based on the 1979-1984 average annual growth rate and data for</t>
  </si>
  <si>
    <t>C=A*B*1.89</t>
  </si>
  <si>
    <t>F=D*E*1.89</t>
  </si>
  <si>
    <t>I=G*H*1.89</t>
  </si>
  <si>
    <t>L=J*K*1.89</t>
  </si>
  <si>
    <t>For 1971-1975 working age population were calculated using the growth rate data for total population and 1976 ratio of working age to total population.</t>
  </si>
  <si>
    <t xml:space="preserve">Data before 1976 assumed to be constant to the 1976 value. </t>
  </si>
  <si>
    <t>Appendix Table 20A-1: Unemployment Rates, %</t>
  </si>
  <si>
    <t>G=E*1,000,000/F</t>
  </si>
  <si>
    <t>113000   Forestry and Logging</t>
  </si>
  <si>
    <t>211100   Oil and Gas Extraction</t>
  </si>
  <si>
    <t>C=(A+B)*1,000,000/Population</t>
  </si>
  <si>
    <t>F=(D+E)*1,000,000/Population</t>
  </si>
  <si>
    <t>I=(G+H)*1,000,000/Population</t>
  </si>
  <si>
    <t>L(J+K)*1,000,000/Population</t>
  </si>
  <si>
    <t>O=(M+N)*1,000,000/Population</t>
  </si>
  <si>
    <t>E=(E(t-I)*0.8)+C(t)</t>
  </si>
  <si>
    <t>F=E*1,000,000/Population</t>
  </si>
  <si>
    <t>D=D(t-1)+C(t)</t>
  </si>
  <si>
    <t>J=J(t-1)+I(t)</t>
  </si>
  <si>
    <t>K=(K(t-1)*0.8)+I(t)</t>
  </si>
  <si>
    <t>L=K*1,000,000/Population</t>
  </si>
  <si>
    <t>Appendix Table 8: Net Stock of R&amp;D Capital, Page 1</t>
  </si>
  <si>
    <t>Appendix Table 8: Net Stock of R&amp;D Capital, Page 2</t>
  </si>
  <si>
    <t>Appendix Table 8: Net Stock of R&amp;D Capital, Page 3</t>
  </si>
  <si>
    <t>Appendix Table 8: Net Stock of R&amp;D Capital, Page 4</t>
  </si>
  <si>
    <t>Appendix Table 8: Net Stock of R&amp;D Capital, Page 5</t>
  </si>
  <si>
    <t>Appendix Table 8: Net Stock of R&amp;D Capital, Page 6</t>
  </si>
  <si>
    <t>E=A+B+C+D</t>
  </si>
  <si>
    <t>J=F+G+H+I</t>
  </si>
  <si>
    <t>O=K+L+M+N</t>
  </si>
  <si>
    <t>Appendix Table 11: Present Value of Energy Natural Resources, millions of dollars, Page 1</t>
  </si>
  <si>
    <t>Appendix Table 11: Present Value of Energy Natural Resources, millions of dollars, Page 2</t>
  </si>
  <si>
    <t>Appendix Table 11: Present Value of Energy Natural Resources, millions of dollars, Page 3</t>
  </si>
  <si>
    <t>Appendix Table 11: Present Value of Energy Natural Resources, millions of dollars, Page 4</t>
  </si>
  <si>
    <t>C=A*B*Constant</t>
  </si>
  <si>
    <t>H=G*0.0443</t>
  </si>
  <si>
    <t>J=G*0.0277</t>
  </si>
  <si>
    <t>N=B+D+F+H+J+L</t>
  </si>
  <si>
    <t>P=N/O*1,000,000</t>
  </si>
  <si>
    <t>Appendix Table 15: Stock of Human Capital, Page 1</t>
  </si>
  <si>
    <t>Appendix Table 15: Stock of Human Capital, Page 2</t>
  </si>
  <si>
    <t>Appendix Table 15: Stock of Human Capital, Page 3</t>
  </si>
  <si>
    <t>Appendix Table 15: Stock of Human Capital, Page 4</t>
  </si>
  <si>
    <t>Appendix Table 15: Stock of Human Capital, Page 5</t>
  </si>
  <si>
    <t>Appendix Table 15: Stock of Human Capital, Page 6</t>
  </si>
  <si>
    <t>Appendix Table 15: Stock of Human Capital, Page 7</t>
  </si>
  <si>
    <t>Appendix Table 15: Stock of Human Capital, Page 8</t>
  </si>
  <si>
    <t>D= (0.25)A + (0.75)B</t>
  </si>
  <si>
    <t xml:space="preserve">G= (0.25)E + (0.75)F </t>
  </si>
  <si>
    <t>K = (0.25)I = (0.75)J</t>
  </si>
  <si>
    <t>Appendix Table 15: Stock of Human Capital, Page 9</t>
  </si>
  <si>
    <t>Appendix Table 15: Stock of Human Capital, Page 10</t>
  </si>
  <si>
    <t>Appendix Table 15: Stock of Human Capital, Page 11</t>
  </si>
  <si>
    <t>F=E/GDP Deflator *100</t>
  </si>
  <si>
    <t>O=N*1,000,000/Population</t>
  </si>
  <si>
    <t>K=J*1,000,000/Population</t>
  </si>
  <si>
    <t>C=B*1,000,000/Population</t>
  </si>
  <si>
    <t>B=A/GDP Deflator *100</t>
  </si>
  <si>
    <t>J=I/GDP Deflator *100</t>
  </si>
  <si>
    <t>N=M/GDP Deflator *100</t>
  </si>
  <si>
    <t>A'</t>
  </si>
  <si>
    <t>I=H/100*A'</t>
  </si>
  <si>
    <t>E=D/100*A'</t>
  </si>
  <si>
    <t>M=L/100*A'</t>
  </si>
  <si>
    <t>B=A/100*A'</t>
  </si>
  <si>
    <t>C=B/GDP Deflator*100</t>
  </si>
  <si>
    <t>D=C*1,000,000/Population</t>
  </si>
  <si>
    <t>F=E/100*A'</t>
  </si>
  <si>
    <t>G=F/GDP Deflator*100</t>
  </si>
  <si>
    <t>H=G*1,000,000/Population</t>
  </si>
  <si>
    <t>J=I/100*A'</t>
  </si>
  <si>
    <t>K=J/GDP Deflator*100</t>
  </si>
  <si>
    <t>N=M/100*A'</t>
  </si>
  <si>
    <t>O=N/GDP Deflator*100</t>
  </si>
  <si>
    <t>P=O*1,000,000/Population</t>
  </si>
  <si>
    <t xml:space="preserve">     Gini Coefficient</t>
  </si>
  <si>
    <t xml:space="preserve">     Poverty Intensity</t>
  </si>
  <si>
    <t xml:space="preserve">     Poverty Intensity for single women with children</t>
  </si>
  <si>
    <t xml:space="preserve">     Elderly Poverty Intensity</t>
  </si>
  <si>
    <t xml:space="preserve">     (4): Security Component*</t>
  </si>
  <si>
    <t>Appendix Table 16: Net International Investment Position, Page 1</t>
  </si>
  <si>
    <t>Appendix Table 16: Net International Investment Position, Page 2</t>
  </si>
  <si>
    <t>Appendix Table 16: Net International Investment Position, Page 3</t>
  </si>
  <si>
    <t>C=A/10/B</t>
  </si>
  <si>
    <t>F=D/10/E</t>
  </si>
  <si>
    <t>I=G/10/H</t>
  </si>
  <si>
    <t>L=J/10/K</t>
  </si>
  <si>
    <t>B=A/Population*100,000</t>
  </si>
  <si>
    <t>D=C/Population*100,000</t>
  </si>
  <si>
    <t>F=E/Population*100,000</t>
  </si>
  <si>
    <t>H=G/Population*100,000</t>
  </si>
  <si>
    <t>J=I/Population*100,000</t>
  </si>
  <si>
    <t>L=K/Population*100,000</t>
  </si>
  <si>
    <t>N=M/Population*100,000</t>
  </si>
  <si>
    <t>P=O/Population*100,000</t>
  </si>
  <si>
    <t>Appendix Table 28: Population by Age, thousands, Page 3</t>
  </si>
  <si>
    <t>Appendix Table 28: Population by Age, thousands, Page 2</t>
  </si>
  <si>
    <t>Appendix Table 28: Population by Age, thousands, Page 1</t>
  </si>
  <si>
    <t>B=A/I</t>
  </si>
  <si>
    <t>D=C/I</t>
  </si>
  <si>
    <t>F=E/I</t>
  </si>
  <si>
    <t>H=G/I</t>
  </si>
  <si>
    <t>I=A+C+E+G</t>
  </si>
  <si>
    <t>Appendix Table 29: Weights for Index of Economic Security, Page 1</t>
  </si>
  <si>
    <t>Appendix Table 29: Weights for Index of Economic Security, Page 2</t>
  </si>
  <si>
    <t>Appendix Table 29: Weights for Index of Economic Security, Page 3</t>
  </si>
  <si>
    <t>Appendix Table 29: Weights for Index of Economic Security, Page 4</t>
  </si>
  <si>
    <t>Appendix Table 29: Weights for Index of Economic Security, Page 5</t>
  </si>
  <si>
    <t>Appendix Table 29: Weights for Index of Economic Security, Page 6</t>
  </si>
  <si>
    <t>Appendix Table 29: Weights for Index of Economic Security, Page 7</t>
  </si>
  <si>
    <t>Appendix Table 29: Weights for Index of Economic Security, Page 8</t>
  </si>
  <si>
    <t>Appendix Table 29: Weights for Index of Economic Security, Page 9</t>
  </si>
  <si>
    <t>Appendix Table 29: Weights for Index of Economic Security, Page 10</t>
  </si>
  <si>
    <t>Appendix Table 29: Weights for Index of Economic Security, Page 11</t>
  </si>
  <si>
    <t>Appendix Table 1: Personal Expenditure on Goods and Services</t>
  </si>
  <si>
    <t>Canada</t>
  </si>
  <si>
    <t>Nominal Personal Expenditure, millions</t>
  </si>
  <si>
    <t>(in thousands)</t>
  </si>
  <si>
    <t>(in unit)</t>
  </si>
  <si>
    <t>V466965</t>
  </si>
  <si>
    <t>V467280</t>
  </si>
  <si>
    <t>V467595</t>
  </si>
  <si>
    <t>V467910</t>
  </si>
  <si>
    <t>V468225</t>
  </si>
  <si>
    <t>V468540</t>
  </si>
  <si>
    <t>V468855</t>
  </si>
  <si>
    <t>V469170</t>
  </si>
  <si>
    <t>V469485</t>
  </si>
  <si>
    <t>V469800</t>
  </si>
  <si>
    <t>V470115</t>
  </si>
  <si>
    <t>Children (Population that 0-17 years)</t>
  </si>
  <si>
    <t>Total number of Mothers and Children</t>
  </si>
  <si>
    <t>K=G+H+I+J</t>
  </si>
  <si>
    <t>P=L+M+N+O</t>
  </si>
  <si>
    <t>Data for years before 1975, 1976, 1977 or 1979 are assumed to equal the values in 1975, 1976, 1977 or 1979.</t>
  </si>
  <si>
    <t>C=A+B</t>
  </si>
  <si>
    <t>E=C/D*100</t>
  </si>
  <si>
    <t>F=E*1000000/Population</t>
  </si>
  <si>
    <t>J=I*1000000/Population</t>
  </si>
  <si>
    <t>M=K/L*100</t>
  </si>
  <si>
    <t>N=M*1000000/Population</t>
  </si>
  <si>
    <t>P</t>
  </si>
  <si>
    <t>Q=O/P*100</t>
  </si>
  <si>
    <t>R=Q*1000000/Population</t>
  </si>
  <si>
    <t xml:space="preserve">Source: Province data from Appendix Tables 10-12.  GDP deflators from Appendix Table 8.  Population data from Appendix Table 1. </t>
  </si>
  <si>
    <t>(Canada 1981=1)</t>
  </si>
  <si>
    <t>Proportion of Private Expenditure on Healthcare in Personal Disposable Income</t>
  </si>
  <si>
    <t>v34964</t>
  </si>
  <si>
    <t>for Canada</t>
  </si>
  <si>
    <t>Mining*</t>
  </si>
  <si>
    <t>Note: Data for Newfoundland and Nova Scotia  are not available for secure reason.  The GDP share in mining industry was 1997 data.</t>
  </si>
  <si>
    <t>I=G*0.0004</t>
  </si>
  <si>
    <t>K=G*0.0342</t>
  </si>
  <si>
    <t>L=G*0.1448</t>
  </si>
  <si>
    <t>M=G*0.2951</t>
  </si>
  <si>
    <t>N=G*0.0544</t>
  </si>
  <si>
    <t>O=G*0.2055</t>
  </si>
  <si>
    <t>P=G*0.049</t>
  </si>
  <si>
    <t>Q=G*0.1481</t>
  </si>
  <si>
    <t>(Canada 1971=1)</t>
  </si>
  <si>
    <t>E=C*1,000,000/D</t>
  </si>
  <si>
    <t>J=H*1,000,000/I</t>
  </si>
  <si>
    <t xml:space="preserve">Source: Appendix Table 28. Data on mothers and children as a % of population for 1973, 1975, 1977, 1979, 1981, 1982, 1984-1996 are from Statistics Canada using </t>
  </si>
  <si>
    <t>Population</t>
  </si>
  <si>
    <t>Newfoundland</t>
  </si>
  <si>
    <t>Prince Edward Island</t>
  </si>
  <si>
    <t>Nova Scotia</t>
  </si>
  <si>
    <t>New Brunswick</t>
  </si>
  <si>
    <t>Quebec</t>
  </si>
  <si>
    <t>Ontario</t>
  </si>
  <si>
    <t>Manitoba</t>
  </si>
  <si>
    <t>Saskatchewan</t>
  </si>
  <si>
    <t>Alberta</t>
  </si>
  <si>
    <t>British Columbia</t>
  </si>
  <si>
    <t>See first page for notes.</t>
  </si>
  <si>
    <t>E=A*B*C</t>
  </si>
  <si>
    <t>Divorce Rate</t>
  </si>
  <si>
    <t>Risk Imposed by Single-Parent Poverty</t>
  </si>
  <si>
    <t>10%Diff</t>
  </si>
  <si>
    <t xml:space="preserve">K=G*H*I* </t>
  </si>
  <si>
    <t>Q=M*N*O</t>
  </si>
  <si>
    <t>K=G*H*I</t>
  </si>
  <si>
    <t>(max-x)/(max-min)</t>
  </si>
  <si>
    <t>Log of Total Consumption Flows per capita</t>
  </si>
  <si>
    <t>Scaled Log of Total Consumption per Capita</t>
  </si>
  <si>
    <t>Log Total per capita Wealth</t>
  </si>
  <si>
    <t>Scaled Log Total per capita Wealth</t>
  </si>
  <si>
    <t>Appendix Table 2: Average Family Size</t>
  </si>
  <si>
    <t>Total Population</t>
  </si>
  <si>
    <t>Average Family Size</t>
  </si>
  <si>
    <t>Square Root of Family Size</t>
  </si>
  <si>
    <t>Population: Appendix Table 1.</t>
  </si>
  <si>
    <t>Average Family Size=Population/Number of Families.</t>
  </si>
  <si>
    <t>Appendix Table 4: Regrettable Expenditures per capita</t>
  </si>
  <si>
    <t>Cost of Commuting (billions of 1986 dollars)</t>
  </si>
  <si>
    <t>Cost of Crime (billions of 1986 dollars)</t>
  </si>
  <si>
    <t>Cost of Household Pollution Abatement (billions of 1986 dollars)</t>
  </si>
  <si>
    <t>Cost of Automobile Accidents (billions of 1986 dollars)</t>
  </si>
  <si>
    <t>Regrettable Expenditure as a percentage of personal expenditure</t>
  </si>
  <si>
    <t>Nfld</t>
  </si>
  <si>
    <t>Qc</t>
  </si>
  <si>
    <t>Ont</t>
  </si>
  <si>
    <t>Man</t>
  </si>
  <si>
    <t>Sask</t>
  </si>
  <si>
    <t>Alb</t>
  </si>
  <si>
    <t>Appendix Table 12A: GDP Shares of the Provinces in Various Natural Resource Industries in 1997, %</t>
  </si>
  <si>
    <t>Year</t>
  </si>
  <si>
    <t>CO2 emissions (megatonnes)</t>
  </si>
  <si>
    <t>Environment Canada (1998) Environmental Protection Service, ,Ottawa, Ontario for the year before 1990 for Canada</t>
  </si>
  <si>
    <t>D=C/Population</t>
  </si>
  <si>
    <t>Greenhouse gas emissions for Provinces before 1990 were calculated by the national level mutiplying the share of each province in the national emission in 1990.</t>
  </si>
  <si>
    <t>either public transportation or a private vehicle, as well as an estimate of time use while commuting.</t>
  </si>
  <si>
    <t xml:space="preserve">Cost of crime and automobile accidents is comprised of the costs associated with medical and legal expenses, and expenditures related to lost or damaged property.  Spending on crime prevention </t>
  </si>
  <si>
    <t>(alarm systems, locks etc.) is also deducted from consumer expenditures.  Cost of household pollution abatement represents expenditures</t>
  </si>
  <si>
    <t xml:space="preserve">on air and water filters and devices to improve air and water quality in the home.  Data for 1995 onwards are extrapolated on the assumption of </t>
  </si>
  <si>
    <t>Appendix Table 5: Unpaid Work at Replacement Cost by Generalist</t>
  </si>
  <si>
    <t>Per Capita, 1997$</t>
  </si>
  <si>
    <t>Appendix Table 3: Life Expectancy at Birth, both sexes</t>
  </si>
  <si>
    <t>Current Government Expenditure</t>
  </si>
  <si>
    <t>Capital Consumption Allowance</t>
  </si>
  <si>
    <t>Gross Fixed Capital Formation</t>
  </si>
  <si>
    <t>Inventory Investment</t>
  </si>
  <si>
    <t>Fixed Capital and Inventories</t>
  </si>
  <si>
    <t>Total Government Expenditure</t>
  </si>
  <si>
    <t>Diff</t>
  </si>
  <si>
    <t>10%diff</t>
  </si>
  <si>
    <t>MAX-MIN</t>
  </si>
  <si>
    <t>DIFF</t>
  </si>
  <si>
    <t>10%DIFF</t>
  </si>
  <si>
    <t xml:space="preserve">Average Annual Growth Rates: </t>
  </si>
  <si>
    <t>1992-1998</t>
  </si>
  <si>
    <t>Values for years in between interpolated from average growth rates.</t>
  </si>
  <si>
    <t>1992-2005</t>
  </si>
  <si>
    <t>Values in bold were taken from Statistics Canada's Household's Unpaid Work: Measurement and Valuation, cat. No. 13-603E.</t>
  </si>
  <si>
    <t>G=(A*B+C+D-E)*F</t>
  </si>
  <si>
    <t xml:space="preserve"> Proportion of Unemployed receiving benefits (coverage)</t>
  </si>
  <si>
    <t xml:space="preserve"> Proportion of Earnings replaced by Benefits</t>
  </si>
  <si>
    <t>Total Government Expenditure = Current Expenditure - Capital Consumption Allowances + Fixed Capital and Inventories.</t>
  </si>
  <si>
    <t>Personal Consumption per capita</t>
  </si>
  <si>
    <t>Government Expenditure per capita</t>
  </si>
  <si>
    <t>Unpaid Work per capita</t>
  </si>
  <si>
    <t>Regrettable Expenditure per capita</t>
  </si>
  <si>
    <t>Index of Life Expectancy</t>
  </si>
  <si>
    <t>Nfld.</t>
  </si>
  <si>
    <t>PEI</t>
  </si>
  <si>
    <t>NS</t>
  </si>
  <si>
    <t>NB</t>
  </si>
  <si>
    <t>PQ</t>
  </si>
  <si>
    <t>ON</t>
  </si>
  <si>
    <t>Man.</t>
  </si>
  <si>
    <t>Sask.</t>
  </si>
  <si>
    <t>Alb.</t>
  </si>
  <si>
    <t>BC</t>
  </si>
  <si>
    <t>Old CANSIM II series</t>
  </si>
  <si>
    <t>(in current dollars)</t>
  </si>
  <si>
    <t xml:space="preserve">using the percent change  of SCF-based data for 1973, 1975, 1977, 1979, 1981, 1982, 1984-1996. Years between are interpolations.  </t>
  </si>
  <si>
    <t xml:space="preserve">Total Consumption Flows = (personal consumption*index of square root of family size + government expenditure + unpaid work - regrettable expenditures)*index of life expectancy. </t>
  </si>
  <si>
    <t>Source: Table 10. Last updated:  March 27, 2007.</t>
  </si>
  <si>
    <t>Source: Hans Messinger, Statistics Canada, "Measuring Sustainable Economic Welfare:  Looking Beyond GDP."  Cost of commuting is the cost of traveling to and from work using</t>
  </si>
  <si>
    <t>Appendix Table 10: Present Value of Timber Stocks, millions of dollars</t>
  </si>
  <si>
    <t>Total Consumption Flows per capita</t>
  </si>
  <si>
    <t>Source: Appendix Tables 1-6.</t>
  </si>
  <si>
    <t>Residential</t>
  </si>
  <si>
    <t>Fixed Non-Residential</t>
  </si>
  <si>
    <t>Population data from Appendix Table 1.</t>
  </si>
  <si>
    <t>Appendix Table 8: Net Stock of R&amp;D Capital</t>
  </si>
  <si>
    <t>GERD (millions of dollars)</t>
  </si>
  <si>
    <t>GDP deflator</t>
  </si>
  <si>
    <t>Accumulated GERD</t>
  </si>
  <si>
    <t>Depreciated Accumulated GERD</t>
  </si>
  <si>
    <t>Forestry and Logging</t>
  </si>
  <si>
    <t>Oil and Gas Extraction</t>
  </si>
  <si>
    <t>Appendix Table 10: Present Value of Timber Stocks, millions of dollars (method I)</t>
  </si>
  <si>
    <t>Scaled Total per capita Wealth</t>
  </si>
  <si>
    <t>Appendix Table 11: Present Value of Energy Natural Resources, millions of dollars</t>
  </si>
  <si>
    <t>Established Natural Gas Reserves</t>
  </si>
  <si>
    <t>Established Crude Oil Reserves</t>
  </si>
  <si>
    <t>Recoverable Subbituminous Coal and Lignite Reserves</t>
  </si>
  <si>
    <t>Recoverable Bituminous Coal Reserves</t>
  </si>
  <si>
    <t>Total Energy Natural Resources</t>
  </si>
  <si>
    <t>Appendix Table 12: Present Value of Mineral Natural Resources, millions of dollars</t>
  </si>
  <si>
    <t>Established Crude Bitumen Reserves</t>
  </si>
  <si>
    <t>Proven and Probable Potash Reserves</t>
  </si>
  <si>
    <t>Proven and Probable Gold Reserves</t>
  </si>
  <si>
    <t>Proven and Probable Iron Reserves</t>
  </si>
  <si>
    <t>Scaled Poverty</t>
  </si>
  <si>
    <t>Source: See Page 1.</t>
  </si>
  <si>
    <t>Table 3: Equality Component, Page 4</t>
  </si>
  <si>
    <t>Table 3: Equality Component, Page 1</t>
  </si>
  <si>
    <t>Table 3: Equality Component, Page 2</t>
  </si>
  <si>
    <t>Table 3: Equality Component, Page 3</t>
  </si>
  <si>
    <t>Table 5: Security from the Risk Imposed by Illness, Page 1</t>
  </si>
  <si>
    <t>Table 5: Security from the Risk Imposed by Illness, Page 2</t>
  </si>
  <si>
    <t>Table 5: Security from the Risk Imposed by Illness, Page 3</t>
  </si>
  <si>
    <t>Table 6: Security from the Risk Imposed by Single-Parent Poverty, Page 1</t>
  </si>
  <si>
    <t>Table 6: Security from the Risk Imposed by Single-Parent Poverty, Page 2</t>
  </si>
  <si>
    <t>Table 6: Security from the Risk Imposed by Single-Parent Poverty, Page 3</t>
  </si>
  <si>
    <t>Table 7: Security from the Risk Imposed by Poverty in Old Age, Page 1</t>
  </si>
  <si>
    <t>Table 7: Security from the Risk Imposed by Poverty in Old Age, Page 2</t>
  </si>
  <si>
    <t>Table 7: Security from the Risk Imposed by Poverty in Old Age, Page 3</t>
  </si>
  <si>
    <t>Table 7: Security from the Risk Imposed by Poverty in Old Age, Page 4</t>
  </si>
  <si>
    <t>Table 8: Overall Index of Economic Security, Page 1</t>
  </si>
  <si>
    <t>Table 8: Overall Index of Economic Security, Page 2</t>
  </si>
  <si>
    <t>Table 8: Overall Index of Economic Security, Page 3</t>
  </si>
  <si>
    <t>Table 8: Overall Index of Economic Security, Page 4</t>
  </si>
  <si>
    <t>Table 9: Overall Index of Well-being, Equal Weighting of Components, Page 1</t>
  </si>
  <si>
    <t>Table 9: Overall Index of Well-being, Equal Weighting of Components, Page 2</t>
  </si>
  <si>
    <t>Table 9: Overall Index of Well-being, Equal Weighting of Components, Page 3</t>
  </si>
  <si>
    <t>Table 9: Overall Index of Well-being, Equal Weighting of Components, Page 4</t>
  </si>
  <si>
    <t>Table 10: Overall Index of Well-being, Original Weighting of Components, Page 1</t>
  </si>
  <si>
    <t>Table 10: Overall Index of Well-being, Original Weighting of Components, Page 2</t>
  </si>
  <si>
    <t>Table 10: Overall Index of Well-being, Original Weighting of Components, Page 3</t>
  </si>
  <si>
    <t>Table 10: Overall Index of Well-being, Original Weighting of Components, Page 4</t>
  </si>
  <si>
    <t>Table 10: Overall Index of Well-being, Original Weighting of Components, Page 5</t>
  </si>
  <si>
    <t>Table 10: Overall Index of Well-being, Original Weighting of Components, Page 6</t>
  </si>
  <si>
    <t>Scaled Unemployment Rate</t>
  </si>
  <si>
    <t>Financial Protection for Unemployment</t>
  </si>
  <si>
    <t>D=B*C</t>
  </si>
  <si>
    <t>Scaled Financial Protection for Unemployment</t>
  </si>
  <si>
    <t>D'</t>
  </si>
  <si>
    <t>E=A'*0.8+D'*0.2</t>
  </si>
  <si>
    <t xml:space="preserve"> Unemployment Rate</t>
  </si>
  <si>
    <t>Unemployment rate Scaling</t>
  </si>
  <si>
    <t>Financial protection Scaling</t>
  </si>
  <si>
    <t>Table 4: Security from the Risk Imposed by Unemployment, Page 1</t>
  </si>
  <si>
    <t>Table 4: Security from the Risk Imposed by Unemployment, Page 11</t>
  </si>
  <si>
    <t>Table 4: Security from the Risk Imposed by Unemployment, Page 10</t>
  </si>
  <si>
    <t>Table 4: Security from the Risk Imposed by Unemployment, Page 9</t>
  </si>
  <si>
    <t>Table 4: Security from the Risk Imposed by Unemployment, Page 8</t>
  </si>
  <si>
    <t>Table 4: Security from the Risk Imposed by Unemployment, Page 7</t>
  </si>
  <si>
    <t>Table 4: Security from the Risk Imposed by Unemployment, Page 6</t>
  </si>
  <si>
    <t>Table 4: Security from the Risk Imposed by Unemployment, Page 5</t>
  </si>
  <si>
    <t>Table 4: Security from the Risk Imposed by Unemployment, Page 2</t>
  </si>
  <si>
    <t>Table 4: Security from the Risk Imposed by Unemployment, Page 3</t>
  </si>
  <si>
    <t>Table 4: Security from the Risk Imposed by Unemployment, Page 4</t>
  </si>
  <si>
    <t>Source: Appendix Tables 19, 20(2), and 23.</t>
  </si>
  <si>
    <t xml:space="preserve">     Unemployment Rate</t>
  </si>
  <si>
    <t xml:space="preserve">     Scaled Unemployment Rate</t>
  </si>
  <si>
    <t xml:space="preserve">    (J) = (G)*0.8+(H)*0.2</t>
  </si>
  <si>
    <t xml:space="preserve">      Protection for Unemployment (Product of above two data)</t>
  </si>
  <si>
    <t>Reserves of Copper, Copper-Zinc, Nickel-Copper, Molybdenum, and Uranium</t>
  </si>
  <si>
    <t>Total Mineral Natural Resources</t>
  </si>
  <si>
    <t>Appendix Table 13: Total Natural Resource Wealth</t>
  </si>
  <si>
    <t>Millions of Dollars</t>
  </si>
  <si>
    <t>GDP Deflator</t>
  </si>
  <si>
    <t>Enrolment, persons</t>
  </si>
  <si>
    <t>0-8 years, $</t>
  </si>
  <si>
    <t>Some secondary, $</t>
  </si>
  <si>
    <t>High school, $</t>
  </si>
  <si>
    <t>Some post-secondary, $</t>
  </si>
  <si>
    <t>Post-secondary, $</t>
  </si>
  <si>
    <t>University, $</t>
  </si>
  <si>
    <t>Elementary/secondary</t>
  </si>
  <si>
    <t>Community college</t>
  </si>
  <si>
    <t>University</t>
  </si>
  <si>
    <t>Québec</t>
  </si>
  <si>
    <t>0 - 8 years</t>
  </si>
  <si>
    <t>Cost in millions</t>
  </si>
  <si>
    <t>Some secondary education</t>
  </si>
  <si>
    <t>Graduated from high school</t>
  </si>
  <si>
    <t>Some post-secondary</t>
  </si>
  <si>
    <t>Post-secondary certificate/diploma</t>
  </si>
  <si>
    <t>University degree</t>
  </si>
  <si>
    <t>Index Square Root of Family Size</t>
  </si>
  <si>
    <t>Scaled Total Consumption per Capita</t>
  </si>
  <si>
    <t>G=(A*B+C+D-E)*f</t>
  </si>
  <si>
    <t>HI</t>
  </si>
  <si>
    <t>LO</t>
  </si>
  <si>
    <t>DIF</t>
  </si>
  <si>
    <t>10%DIF</t>
  </si>
  <si>
    <t>MAX</t>
  </si>
  <si>
    <t>MIN</t>
  </si>
  <si>
    <t>MAX - MIN</t>
  </si>
  <si>
    <t>Working  age population</t>
  </si>
  <si>
    <t>Appendix Table 12A: GDP Shares of the Provinces in Various Natural Resource Industries in 2002, %</t>
  </si>
  <si>
    <t>Emission, millions of tonnes</t>
  </si>
  <si>
    <t>Social cost, millions of 1990 $ (24.40 1990$ per ton)</t>
  </si>
  <si>
    <t>Social cost per capita</t>
  </si>
  <si>
    <t>Growth rate</t>
  </si>
  <si>
    <t xml:space="preserve">Nominal GDP </t>
  </si>
  <si>
    <t>V3825188</t>
  </si>
  <si>
    <t>V3825301</t>
  </si>
  <si>
    <t>V3825414</t>
  </si>
  <si>
    <t>V3825527</t>
  </si>
  <si>
    <t>V3825640</t>
  </si>
  <si>
    <t>V3825753</t>
  </si>
  <si>
    <t>V3825866</t>
  </si>
  <si>
    <t>V3825979</t>
  </si>
  <si>
    <t>V3826092</t>
  </si>
  <si>
    <t>V3826205</t>
  </si>
  <si>
    <t>v3860036</t>
  </si>
  <si>
    <t>Provinces</t>
  </si>
  <si>
    <t>NovaSco</t>
  </si>
  <si>
    <t>NewBrow</t>
  </si>
  <si>
    <t>MANITO</t>
  </si>
  <si>
    <t>ALB</t>
  </si>
  <si>
    <t>Appendix Table 15: Stock of Human Capital</t>
  </si>
  <si>
    <t>Appendix Table 16: Net International Investment Position</t>
  </si>
  <si>
    <t>Net Position, millions of dollars</t>
  </si>
  <si>
    <t>Nominal share of National GDP</t>
  </si>
  <si>
    <t>Share of Net Position, millions of dollars</t>
  </si>
  <si>
    <t>Total per capita Net Capital Stock</t>
  </si>
  <si>
    <t>Per Capita R&amp;D Stock</t>
  </si>
  <si>
    <t>Per Capita Stock of Natural Resources</t>
  </si>
  <si>
    <t>Per Capita Net International Investment Position</t>
  </si>
  <si>
    <t>Per Capita Stock of Human Capital</t>
  </si>
  <si>
    <t>Total per capita Wealth</t>
  </si>
  <si>
    <t>Source: Appendix Tables 7, 8, 13, 15, and 16.</t>
  </si>
  <si>
    <t>Total wealth is equal to the sum of the five components.</t>
  </si>
  <si>
    <t xml:space="preserve">Man. </t>
  </si>
  <si>
    <t>Poverty</t>
  </si>
  <si>
    <t xml:space="preserve">Poverty </t>
  </si>
  <si>
    <t>gap ratio</t>
  </si>
  <si>
    <t>Intensity</t>
  </si>
  <si>
    <t>Index of Gini Coefficient</t>
  </si>
  <si>
    <t>Index of Poverty Intensity</t>
  </si>
  <si>
    <t>Appendix Table 19: Beneficiaries/Unemployed Ratio</t>
  </si>
  <si>
    <t>Beneficiaries</t>
  </si>
  <si>
    <t>Unemployed</t>
  </si>
  <si>
    <t>Ratio</t>
  </si>
  <si>
    <t>Appendix Table 20: Employment Rates, %</t>
  </si>
  <si>
    <t>Table 3: Equality Component</t>
  </si>
  <si>
    <t>Index of Equality</t>
  </si>
  <si>
    <r>
      <t xml:space="preserve">Data before 1976 for Canada from June 1991 </t>
    </r>
    <r>
      <rPr>
        <i/>
        <sz val="10"/>
        <rFont val="Times New Roman"/>
        <family val="1"/>
      </rPr>
      <t>Quarterly Economic Review</t>
    </r>
    <r>
      <rPr>
        <sz val="10"/>
        <rFont val="Times New Roman"/>
        <family val="1"/>
      </rPr>
      <t>, Department of Finance.</t>
    </r>
  </si>
  <si>
    <t>For provinces, data before 1976 based on the growth rate of national data.</t>
  </si>
  <si>
    <t>Appendix Table 21: Average Weekly Earnings</t>
  </si>
  <si>
    <t>Appendix Table 22: Average Regular Employment Insurance Benefits</t>
  </si>
  <si>
    <t>Appendix Table 23: Employment Insurance Benefits as a proportion of Earnings</t>
  </si>
  <si>
    <t>Table 4: Security from the Risk Imposed by Unemployment</t>
  </si>
  <si>
    <t>Overall Index of Security from the Risk Imposed by Unemployment</t>
  </si>
  <si>
    <t>Appendix Table 25: Private Expenditure on Healthcare, millions of current dollars</t>
  </si>
  <si>
    <t>Appendix Table 24: Personal Disposable Income, millions of current dollars</t>
  </si>
  <si>
    <t>212100 Coal mining</t>
  </si>
  <si>
    <t>212200 Metal ore mining</t>
  </si>
  <si>
    <t>212300 Non-metallic minetal mining and quarrying</t>
  </si>
  <si>
    <t>Total Mining (2121+2122+2123)</t>
  </si>
  <si>
    <t xml:space="preserve"> </t>
  </si>
  <si>
    <t>For Canada: CANSIM: v3859633,v3859634,v3859635 and v3859632, March 14, 2006.</t>
  </si>
  <si>
    <t>*2001</t>
  </si>
  <si>
    <t>Appendix Table 26: Private Expenditure on Healthcare as a proportion of Personal Disposable Income</t>
  </si>
  <si>
    <t>Table 5: Security from the Risk Imposed by Illness</t>
  </si>
  <si>
    <t>Index of Security from the Risk Imposed by Illness</t>
  </si>
  <si>
    <t>Source: Appendix Table 26.</t>
  </si>
  <si>
    <t>Married Couples</t>
  </si>
  <si>
    <t>Divorces</t>
  </si>
  <si>
    <t>Divorce Rate (% of legally married couples)</t>
  </si>
  <si>
    <t>Appendix Table 27: Components of Risk Imposed by Single Parent Poverty</t>
  </si>
  <si>
    <t>Index of Security from the Risk Imposed by Single-Parent Poverty</t>
  </si>
  <si>
    <t>Table 6: Security from the Risk Imposed by Single-Parent Poverty</t>
  </si>
  <si>
    <t>Table 7: Security from the Risk Imposed by Poverty in Old Age</t>
  </si>
  <si>
    <t>Index of Security from the Risk Imposed by Poverty in Old Age</t>
  </si>
  <si>
    <t>15-64</t>
  </si>
  <si>
    <t>% of total pop.</t>
  </si>
  <si>
    <t>Married Individuals</t>
  </si>
  <si>
    <t xml:space="preserve"> linked to series from the old national accounts for years before 1981.</t>
  </si>
  <si>
    <t xml:space="preserve">21           Mining and oil and gas extraction </t>
  </si>
  <si>
    <t>x</t>
  </si>
  <si>
    <t>British Columnbia</t>
  </si>
  <si>
    <t>Appendix Table 19: Beneficiaries/Unemployment Ratio,  Page 1</t>
  </si>
  <si>
    <t>coal and uranium. Since Statistics Canada does not produce estimate for uranium seperately, the total energy natural resources here may be lower than the actual number.</t>
  </si>
  <si>
    <t>National total disributed amongst the provinces according to their share in national mining industries GDP (Appendix Table 12A).</t>
  </si>
  <si>
    <t>B=A*1,000,000/Population</t>
  </si>
  <si>
    <t>Provicial share of greenhouse gas emissions</t>
  </si>
  <si>
    <t>Share in 1990</t>
  </si>
  <si>
    <t>Per Capita Greenhouse Gas Social Cost</t>
  </si>
  <si>
    <t>G=A+B+C+D+E-F</t>
  </si>
  <si>
    <t>H = Log F</t>
  </si>
  <si>
    <t>H'</t>
  </si>
  <si>
    <t>Appendix Table 19:  Beneficiaries/Unemployment Ratio,  Page 2</t>
  </si>
  <si>
    <t>Data: CANSIM : v3825420,v3825421,v3825530,v3825533,v3825534,v3825643,v3825646,v3825647,v3825756,v3825759,v3825760,v3825869,v3825872,v3825873,v3825982,v3825985,v3825986,v3826095,v3826098,v3826099,v3826208,v3826211,v3826212</t>
  </si>
  <si>
    <t>2002 share of Canada</t>
  </si>
  <si>
    <t>H=G/F*100</t>
  </si>
  <si>
    <t>Source: Provincial GDP by Industry, Statistics Canada,  CANSIM: v3825420,v3825421,v3825530,v3825533,v3825534,v3825643,v3825646,v3825647,v3825756,v3825759,v3825760,v3825869,v3825872,v3825873,v3825982,v3825985,v3825986,v3826095,v3826098,v3826099,v3826208,v3826211,v3826212. March 14, 2006.</t>
  </si>
  <si>
    <t>Mining and Oil and Gas Extraction</t>
  </si>
  <si>
    <t>2002=100</t>
  </si>
  <si>
    <t>n.a.</t>
  </si>
  <si>
    <t xml:space="preserve">Evironment Canada:  Greenhouse Gas Sources and Sinks: Monitoring, Accounting and Reporting  on Greenhouse Gases, April 2007. ANNEX 11: PROVINCIAL/TERRITORIAL GREENHOUSE GAS EMISSION TABLES, 1990-2005
</t>
  </si>
  <si>
    <t>Retrieved on Feb 12,2008</t>
  </si>
  <si>
    <t>Retrievedon March 17, 2007</t>
  </si>
  <si>
    <t>CPI: CANSIM II Table 326-0021. Provincial CPI data are based on the growth rate of the national series for years preceeding 1979.</t>
  </si>
  <si>
    <t>Personal Expenditure, millions of 2002$</t>
  </si>
  <si>
    <t>Personal Expenditure per capita, 2002$</t>
  </si>
  <si>
    <t>CPI (2002=100)</t>
  </si>
  <si>
    <t>Personal Expenditure, millions of 2002$ (calculation)</t>
  </si>
  <si>
    <t xml:space="preserve">Population: CANSIM II Table 510001. </t>
  </si>
  <si>
    <t>Total Regrettable Expenditures (billions of 2002 dollars)</t>
  </si>
  <si>
    <t>constant growth from the 1989 to 1994 period.  Recalculation into  2002 dollars base has been done with the consumer  price index (Appendix Table 1)</t>
  </si>
  <si>
    <t>Regrettable Expenditures per capita, 2002$</t>
  </si>
  <si>
    <t>Personal Expenditure on Goods and Services per capita, 2002$</t>
  </si>
  <si>
    <t>Appendix Table 6: Government Expenditure, millions of 2002$, Page 1</t>
  </si>
  <si>
    <t>Current Government Expenditure in 1997$</t>
  </si>
  <si>
    <t>Capital consumption allowance in 1997$</t>
  </si>
  <si>
    <t>Data using for extraplation before 1981</t>
  </si>
  <si>
    <t>CCA in current dollars from Table 3840004</t>
  </si>
  <si>
    <t>CANADA</t>
  </si>
  <si>
    <t>NFL</t>
  </si>
  <si>
    <t>AB</t>
  </si>
  <si>
    <t>Appendix Table 6: Government Expenditure, millions of 2002$, Page 2</t>
  </si>
  <si>
    <t>Appendix Table 6: Government Expenditure, millions of 2002$, Page 3</t>
  </si>
  <si>
    <t>Appendix Table 6: Government Expenditure, millions of 2002$, Page 4</t>
  </si>
  <si>
    <t>Appendix Table 6: Government Expenditure, millions of 2002$, Page 5</t>
  </si>
  <si>
    <t>Appendix Table 6: Government Expenditure, millions of 2002$, Page 6</t>
  </si>
  <si>
    <t>Government Expenditure per capita, 2002$</t>
  </si>
  <si>
    <t xml:space="preserve">linked to series from the old national accounts for previous years. </t>
  </si>
  <si>
    <t>Appendix Table 7: Net Year-End (geometric) Capital Stock, millions of 2002$, Page 1</t>
  </si>
  <si>
    <t>Appendix Table 7: Net Year-End (geometric) Capital Stock, millions of 2002$, Page 2</t>
  </si>
  <si>
    <t>Appendix Table 7: Net Year-End (geometric) Capital Stock, millions of 2002$, Page 3</t>
  </si>
  <si>
    <t>Total per capital Net Stock, 2002$</t>
  </si>
  <si>
    <t>Non-residential capital from CANSIM II Table 310002, in 2002 $</t>
  </si>
  <si>
    <t>GERD: CANSIM II Table 3580001 for gross expenditures on R&amp;D by all funders, all performers and for all sectors.</t>
  </si>
  <si>
    <t>Real GERD (millions of 2002$)</t>
  </si>
  <si>
    <t>Per Capita GERD Stock, 2002$</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</si>
  <si>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</si>
  <si>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</si>
  <si>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</si>
  <si>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</si>
  <si>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</si>
  <si>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</si>
  <si>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</si>
  <si>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</si>
  <si>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</si>
  <si>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</si>
  <si>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</si>
  <si>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</si>
  <si>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</si>
  <si>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</si>
  <si>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</si>
  <si>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</si>
  <si>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</si>
  <si>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</si>
  <si>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</si>
  <si>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</si>
  <si>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</si>
  <si>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</si>
  <si>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</si>
  <si>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</si>
  <si>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</si>
  <si>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</si>
  <si>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</si>
  <si>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</si>
  <si>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</si>
  <si>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</si>
  <si>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</si>
  <si>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</si>
  <si>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</si>
  <si>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</si>
  <si>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</si>
  <si>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</si>
  <si>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 xml:space="preserve">Old GDP deflator </t>
  </si>
  <si>
    <t>Appendix Table 9: Greenhouse Gas Emission Social Cost, 2002$, Page 1</t>
  </si>
  <si>
    <t>Appendix Table 9: Greenhouse Gas Emission Social Cost, 2002$, Page 2</t>
  </si>
  <si>
    <t>Appendix Table 9: Greenhouse Gas Emission Social Cost, 2002$, Page 3</t>
  </si>
  <si>
    <t>Appendix Table 9: Greenhouse Gas Emission Social Cost, 2002$, Page 4</t>
  </si>
  <si>
    <t>Social cost, millions of 2002$</t>
  </si>
  <si>
    <t>The emission costs were calculated based on a cost of 24.40 1990 $ from Frankhauser (1995) "Evaluating the Social Costs of Greenhouse Gas Emissions", Energy Journal, Vol 15, pp. 157-84,  and converted to 2002$ using the GDP deflator in Appendix Table 8.</t>
  </si>
  <si>
    <t>Proven and Probable Zinc, Lead, and Silver Reserves</t>
  </si>
  <si>
    <t>Millions of 2002 Dollars</t>
  </si>
  <si>
    <t>Per Capita, 2002$</t>
  </si>
  <si>
    <t>Human Capital per capita in 2002$</t>
  </si>
  <si>
    <t>Millions of 2002$</t>
  </si>
  <si>
    <t>converted to annual data.</t>
  </si>
  <si>
    <t>Linked to series from old series before revisions for years prior to 1981.</t>
  </si>
  <si>
    <t xml:space="preserve">Source: Lone female parent families poverty rate and poverty gap data for 1973, 1975, 1977, 1979, 1981, 1982, 1984-1996 are from </t>
  </si>
  <si>
    <t>Table 1: Consumption Component, 2002$, Page 1</t>
  </si>
  <si>
    <t>Table 1: Consumption Component, 2002$, Page 2</t>
  </si>
  <si>
    <t>Table 1: Consumption Component, 2002$, Page 3</t>
  </si>
  <si>
    <t>Table 1: Consumption Component, 2002$, Page 4</t>
  </si>
  <si>
    <t>Table 1: Consumption Component, 2002$, Page 5</t>
  </si>
  <si>
    <t>Table 1: Consumption Component, 2002$, Page 6</t>
  </si>
  <si>
    <t>Table 1: Consumption Component, 2002$, Page 7</t>
  </si>
  <si>
    <t>Table 1: Consumption Component, 2002$, Page 8</t>
  </si>
  <si>
    <t>Table 1: Consumption Component, 2002$, Page 9</t>
  </si>
  <si>
    <t>Table 1: Consumption Component, 2002$, Page 10</t>
  </si>
  <si>
    <t>Table 1: Consumption Component, 2002$, Page 11</t>
  </si>
  <si>
    <t>Table 2: Wealth Component, 2002$, Page 1</t>
  </si>
  <si>
    <t>Table 2: Wealth Component, 2002$, Page 2</t>
  </si>
  <si>
    <t>Table 2: Wealth Component, 2002$, Page 3</t>
  </si>
  <si>
    <t>Table 2: Wealth Component, 2002$, Page 4</t>
  </si>
  <si>
    <t>Table 2: Wealth Component, 2002$, Page 5</t>
  </si>
  <si>
    <t>Table 2: Wealth Component, 2002$, Page 6</t>
  </si>
  <si>
    <t>Table 2: Wealth Component, 2002$, Page 7</t>
  </si>
  <si>
    <t>Table 2: Wealth Component, 2002$, Page 8</t>
  </si>
  <si>
    <t>Table 2: Wealth Component, 2002$, Page 9</t>
  </si>
  <si>
    <t>Table 2: Wealth Component, 2002$, Page 10</t>
  </si>
  <si>
    <t>Table 2: Wealth Component, 2002$, Page 11</t>
  </si>
  <si>
    <t>Appendix Table 14: Cost of education in 2002-2003</t>
  </si>
  <si>
    <t>Expenditures, millions of 2001$</t>
  </si>
  <si>
    <t>Cost per student, 2001$</t>
  </si>
  <si>
    <t>Trade-vocational</t>
  </si>
  <si>
    <t>Enrolment at the Community college level: the same as above: Table D.1.4 and extrapolated to 2002/2003 by using 2003/2004 to 2004/2005 growth rate.</t>
  </si>
  <si>
    <t>Combined public and private expenditure on education by level of education: the same as above: Table B.1.1.</t>
  </si>
  <si>
    <t>Enrolment at the Trade-vocational level: CANSIM II: Table 4770051.</t>
  </si>
  <si>
    <t>Enrolment at the University level: CANSIM II:  Table 4770013.</t>
  </si>
  <si>
    <t>B=A*68,070/1,000,000</t>
  </si>
  <si>
    <t>D=C*85,087/1,000,000</t>
  </si>
  <si>
    <t>F=e*102,104/1,000,000</t>
  </si>
  <si>
    <t>H=G*119,470/1,000,000</t>
  </si>
  <si>
    <t>J=I*131,310/1,000,000</t>
  </si>
  <si>
    <t>L=k*202,751/1,000,000</t>
  </si>
  <si>
    <t>Human Capital per capita in 2001$</t>
  </si>
  <si>
    <t>Q=P/2001 GDP Deflator*100</t>
  </si>
  <si>
    <t>B=A*59,824/1,000,000</t>
  </si>
  <si>
    <t>D=C*74,780/1,000,000</t>
  </si>
  <si>
    <t>F=e*89,736/1,000,000</t>
  </si>
  <si>
    <t>H=G*104,728/1,000,000</t>
  </si>
  <si>
    <t>J=I*113,661/1,000,000</t>
  </si>
  <si>
    <t>L=k*179,839/1,000,000</t>
  </si>
  <si>
    <t>B=A*53,149/1,000,000</t>
  </si>
  <si>
    <t>D=C*66,436/1,000,000</t>
  </si>
  <si>
    <t>F=e*79,723/1,000,000</t>
  </si>
  <si>
    <t>H=G*101,436/1,000,000</t>
  </si>
  <si>
    <t>J=I*125,384/1,000,000</t>
  </si>
  <si>
    <t>L=k*182,703/1,000,000</t>
  </si>
  <si>
    <t>B=A*54,821/1,000,000</t>
  </si>
  <si>
    <t>D=C*68,526/1,000,000</t>
  </si>
  <si>
    <t>F=e*82,232/1,000,000</t>
  </si>
  <si>
    <t>H=G*98,156/1,000,000</t>
  </si>
  <si>
    <t>J=I*111,035/1,000,000</t>
  </si>
  <si>
    <t>L=k*169,463/1,000,000</t>
  </si>
  <si>
    <t>B=A*57,313/1,000,000</t>
  </si>
  <si>
    <t>D=C*71,642/1,000,000</t>
  </si>
  <si>
    <t>F=e*85,970/1,000,000</t>
  </si>
  <si>
    <t>H=G*108,472/1,000,000</t>
  </si>
  <si>
    <t>J=I*143,227/1,000,000</t>
  </si>
  <si>
    <t>L=k*167,850/1,000,000</t>
  </si>
  <si>
    <t>B=A*68,740/1,000,000</t>
  </si>
  <si>
    <t>D=C*85,925/1,000,000</t>
  </si>
  <si>
    <t>F=e*103,110/1,000,000</t>
  </si>
  <si>
    <t>H=G*120,402/1,000,000</t>
  </si>
  <si>
    <t>J=I*134,772/1,000,000</t>
  </si>
  <si>
    <t>L=k*196,875/1,000,000</t>
  </si>
  <si>
    <t>B=A*65,500/1,000,000</t>
  </si>
  <si>
    <t>D=C*81,874/1,000,000</t>
  </si>
  <si>
    <t>F=e*98,249/1,000,000</t>
  </si>
  <si>
    <t>H=G*113,986/1,000,000</t>
  </si>
  <si>
    <t>J=I*123,306/1,000,000</t>
  </si>
  <si>
    <t>L=k*192,974/1,000,000</t>
  </si>
  <si>
    <t>B=A*86,143/1,000,000</t>
  </si>
  <si>
    <t>D=C*107,679/1,000,000</t>
  </si>
  <si>
    <t>F=e*129,214/1,000,000</t>
  </si>
  <si>
    <t>H=G*148,108/1,000,000</t>
  </si>
  <si>
    <t>J=I*166,741/1,000,000</t>
  </si>
  <si>
    <t>L=k*224,330/1,000,000</t>
  </si>
  <si>
    <t>B=A*71,933/1,000,000</t>
  </si>
  <si>
    <t>D=C*89,916/1,000,000</t>
  </si>
  <si>
    <t>F=e*107,899/1,000,000</t>
  </si>
  <si>
    <t>H=G*130,559/1,000,000</t>
  </si>
  <si>
    <t>J=I*152,695/1,000,000</t>
  </si>
  <si>
    <t>L=k*222,509/1,000,000</t>
  </si>
  <si>
    <t>B=A*68,552/1,000,000</t>
  </si>
  <si>
    <t>F=e*102,829/1,000,000</t>
  </si>
  <si>
    <t>D=C*85,691/1,000,000</t>
  </si>
  <si>
    <t>H=G*119,551/1,000,000</t>
  </si>
  <si>
    <t>J=I*126,582/1,000,000</t>
  </si>
  <si>
    <t>L=k*210,664/1,000,000</t>
  </si>
  <si>
    <t>B=A*73,676/1,000,000</t>
  </si>
  <si>
    <t>D=C*92,095/1,000,000</t>
  </si>
  <si>
    <t>F=e*110,514/1,000,000</t>
  </si>
  <si>
    <t>H=G*132,625/1,000,000</t>
  </si>
  <si>
    <t>J=I*140,788/1,000,000</t>
  </si>
  <si>
    <t>L=k*255,946/1,000,000</t>
  </si>
  <si>
    <t>Appendix Table 5-1: Canada - Value of Unpaid Work</t>
  </si>
  <si>
    <t xml:space="preserve">Total Population </t>
  </si>
  <si>
    <t>Working Age Population (15+)</t>
  </si>
  <si>
    <t>Hours of unpaid work</t>
  </si>
  <si>
    <t>Unpaid WorkWage Rate</t>
  </si>
  <si>
    <t>Unpaid Work Wage Rate</t>
  </si>
  <si>
    <t>Value of Unpaid Work</t>
  </si>
  <si>
    <t>CPI index</t>
  </si>
  <si>
    <t>Value per Capita</t>
  </si>
  <si>
    <t>(thousands)</t>
  </si>
  <si>
    <t>(millions)</t>
  </si>
  <si>
    <t>(current dollars)</t>
  </si>
  <si>
    <t xml:space="preserve"> (constant 2002 dollars)</t>
  </si>
  <si>
    <t xml:space="preserve"> (millions of current dollars)</t>
  </si>
  <si>
    <t>(millions of constant 2002 dollars)</t>
  </si>
  <si>
    <t>(2002=100)</t>
  </si>
  <si>
    <t>(constant 2002 dollars)</t>
  </si>
  <si>
    <t>F=C*D</t>
  </si>
  <si>
    <t>J=G/A</t>
  </si>
  <si>
    <t>Note: Hours of unpaid work for 1998 was from General Social Survey CANSIM II: V19458071, which is 3.6 per worker per day, multiplied by the total working age population and total days.</t>
  </si>
  <si>
    <t>Values of unpaid work were calculated based on hours of unpaid work mutiplied by wage rate.</t>
  </si>
  <si>
    <t>WAP before 1976 are extrapolated using the population growth rate.</t>
  </si>
  <si>
    <t>Appendix Table 5-2: Newfoundland - Value of Unpaid Work</t>
  </si>
  <si>
    <t>Share of WAP in Canada</t>
  </si>
  <si>
    <t>(per cent)</t>
  </si>
  <si>
    <t>G=D*E</t>
  </si>
  <si>
    <t>Appendix Table 5-3: P.E.I. - Value of Unpaid Work</t>
  </si>
  <si>
    <t>Appendix Table 5-4: Nova Scotia - Value of Unpaid Work</t>
  </si>
  <si>
    <t>Appendix Table 5-5: New Brunswick - Value of Unpaid Work</t>
  </si>
  <si>
    <t>Appendix Table 5-6: Quebec - Value of Unpaid Work</t>
  </si>
  <si>
    <t>Appendix Table 5-7: Ontario - Value of Unpaid Work</t>
  </si>
  <si>
    <t>Appendix Table 5-8: Manitoba - Value of Unpaid Work</t>
  </si>
  <si>
    <t>Appendix Table 5-9: Saskatchewan - Value of Unpaid Work</t>
  </si>
  <si>
    <t>Appendix Table 5-10: Alberta - Value of Unpaid Work</t>
  </si>
  <si>
    <t>Appendix Table 5-11: British Columbia - Value of Unpaid Work</t>
  </si>
  <si>
    <t>Index of total compensation per hour worked, total economy</t>
  </si>
  <si>
    <t>CPI Index for Canada</t>
  </si>
  <si>
    <t>Hourly compensation, total economy, CPI deflated, Index (2002=100)</t>
  </si>
  <si>
    <t>Quarterly data converted to annual data</t>
  </si>
  <si>
    <t>C=A/B</t>
  </si>
  <si>
    <t xml:space="preserve">V29509281 </t>
  </si>
  <si>
    <t>V41693271</t>
  </si>
  <si>
    <t>Note: since index of hourly compensation only available for Canada, so provinces will apply the same index.</t>
  </si>
  <si>
    <t>Millions of 2002 dollars</t>
  </si>
  <si>
    <t>Appendix Table 17: Provincial Ginis, Income after taxes, for all family units</t>
  </si>
  <si>
    <t>Hours of unpaid work for 2005 from Statistics Canada (2006)"Overwiew of the Time Use of Canadians"Vol no: 12F0080XWE.</t>
  </si>
  <si>
    <t>Hours of unpaid work for years for 1998 were calculated based on Canada's hours of unpaid work multiplied by the annual growth rate of the share of working age population from 1992-1998.</t>
  </si>
  <si>
    <t>Hours of unpaid work per person per day</t>
  </si>
  <si>
    <t>Statistics Canada (2006)"Overwiew of the Time Use of Canadians"Vol no: 12F0080XWE.</t>
  </si>
  <si>
    <t>Survey of Consumer Finance (SCF) and data for 1996-2005 from Survey for Labour and Income Dynamics (SLID-LIS) equivalence scales</t>
  </si>
  <si>
    <t>Mother and children as a % of pop. Data before:</t>
  </si>
  <si>
    <t>in 2002$</t>
  </si>
  <si>
    <t>G=E*F/100</t>
  </si>
  <si>
    <t>N=L*M*100</t>
  </si>
  <si>
    <t>B=A / 3</t>
  </si>
  <si>
    <t>I=H / 3</t>
  </si>
  <si>
    <t>B=A / 4</t>
  </si>
  <si>
    <t>I=H / 4</t>
  </si>
  <si>
    <t>B=A / 5</t>
  </si>
  <si>
    <t>I=H / 5</t>
  </si>
  <si>
    <t>N=L*M/100</t>
  </si>
  <si>
    <t>Table 1: Consumption Component, 2002$</t>
  </si>
  <si>
    <t>Table 2: Wealth Component, 2002$</t>
  </si>
  <si>
    <t>Appendix Table 6: Government Expenditure, millions of 2002$</t>
  </si>
  <si>
    <t>Appendix Table 7: Net Year-End (geometric) Capital Stock, millions of 2002$</t>
  </si>
  <si>
    <t>Appendix Table 9: Greenhouse Gas Emission Social Cost, 2002$.</t>
  </si>
  <si>
    <t>Source: Hours of unpaid work and unpaid work wage rate for 1981, 1986 and 1992 in bold were taken from Statistics Canada's Household's Unpaid Work: Measurement and Valuation, cat. No. 13-603MPE1995003.</t>
  </si>
  <si>
    <t>G=F*100/CPI</t>
  </si>
  <si>
    <t>J=H/A</t>
  </si>
  <si>
    <t>H=G*100/I</t>
  </si>
  <si>
    <t>wage rate</t>
  </si>
  <si>
    <t>average ratio</t>
  </si>
  <si>
    <t>value</t>
  </si>
  <si>
    <t>Hours</t>
  </si>
  <si>
    <t>Appendix Table 17: Provincial Ginis, Income after taxes, for all families</t>
  </si>
  <si>
    <t>Appendix Table 18: LIM Rates by Province, all persons</t>
  </si>
  <si>
    <t>Note: since the wage rate for 1992 was extremly high (at 11.14 current dollars) for PEI by using replacement cost (generalist), we use the national wage rate multiplies the average ratio of PEI's wage rate in national wage rate in 1961, 1971, 1981 and 1986, which is 77 per cent, to estimate the wage rate for 1992.</t>
  </si>
  <si>
    <t>CPI: CANSIM II Table 3260021.</t>
  </si>
  <si>
    <t>Source: Appendix Table 5-1, 5-2, 5-3, 5-4, 5-5, 5-6, 5-7, 5-8, 5-9, 5-10, 5-11.</t>
  </si>
  <si>
    <t>\</t>
  </si>
  <si>
    <t>Retrievedon February 19, 2009</t>
  </si>
  <si>
    <t>Source: CANSIM II Table 1530011 for Canada 1971-2007, and for Provinces 1971-1997</t>
  </si>
  <si>
    <t>Data for years beyond last available data point are assumed to equal the last available value.</t>
  </si>
  <si>
    <t xml:space="preserve">Data assumed constant before 1975.   </t>
  </si>
  <si>
    <t xml:space="preserve">Some secondary education </t>
  </si>
  <si>
    <t xml:space="preserve">Population </t>
  </si>
  <si>
    <t xml:space="preserve">Source: Labour Force Survey CANSIM II Table 2820002 : v2461224, v2461854, v2462484, v2463114, v2463744, v2464374, v2465004, v2465634, </t>
  </si>
  <si>
    <t>Provincial data prior to 1974 are assumed to take the growth rate of the national series.</t>
  </si>
  <si>
    <t xml:space="preserve">Married individuals: CANSIM II Table 510010 for 1971-2007. Married Couples = married people/2. </t>
  </si>
  <si>
    <t>Source:</t>
  </si>
  <si>
    <t xml:space="preserve">Canada subsoil resources data from Statistics Canada National Balance Sheet Account, CANSIM II, v34965,which includes energy and mineral resources. </t>
  </si>
  <si>
    <t>and  Data for 1996-2006 from Survey for Labour and Income Dynamics (SLID-LIS) equivalence scales</t>
  </si>
  <si>
    <t>Note: Values for 1996-2006 are based on SLID data.  Data before 1996 are computed using the percent change of SCF-based data for 1973, 1975, 1977, 1979, 1981, 1982, 1984-1996.</t>
  </si>
  <si>
    <t>Years between are interpolations.  Values prior to 1973 are assumed equal to 1973 and values after 2006 are assumed equal to 2006.</t>
  </si>
  <si>
    <t>Divorces: CANSIM II Table 530002, Vital statistics, divorces, annually (Number) for 1971-2003 . Table 1016501 for 2004 and 2005. Data for year after 2005 are based on the 2000-2005 average annual growth rate. February 12,2008.</t>
  </si>
  <si>
    <t>Statistics Canada using Survey of Consumer Finance (SCF) and data for 1996-2006 from  Survey for Labour and Income Dynamics (SLID-LIS) equivalence scales</t>
  </si>
  <si>
    <t>Note: Values for 1996- 2006 are based on SLID data.  Data before 1996 are computed using the percent change of SCF-based data for 1973, 1975, 1977, 1979, 1981, 1982, 1984-1996.</t>
  </si>
  <si>
    <t xml:space="preserve">Note: Values of mothers and children as a percentage of population for 1996-2006 are based on SLID data.  Data before 1996 are computed </t>
  </si>
  <si>
    <t>I = Log G</t>
  </si>
  <si>
    <t>Total percentage point changes :</t>
  </si>
  <si>
    <t>Average annual rate of change (%):</t>
  </si>
  <si>
    <t>Total percentage point changes:</t>
  </si>
  <si>
    <t>years after 2006 are based on the 2001-2006 average annual growth rate.</t>
  </si>
  <si>
    <t>Source: CANSIM II Table 1020025 for 1979-1999 (TERMINATED) and Table 1020511 for 2001-2006.</t>
  </si>
  <si>
    <t>Source: Labour Force Historical Review CDROM 71F0004XCB, 1996 and 2001 for labour force by educational attainment 1971-1989, Labour Force Survey CANSIM II: Table 2820004 for labour force by educational attainment for 1990-2009 and Appendix Table 14.</t>
  </si>
  <si>
    <t xml:space="preserve">Nominal GDP shares calculated from CANSIM II Table 3790024 for Canada for 1971-2006 and Table 3790025 for provinces for 1984-2006, </t>
  </si>
  <si>
    <t>1981-2009</t>
  </si>
  <si>
    <t>Hours of unpaid for 2006-2009 were calculated based on average growth rates of between 1998 and 2005.</t>
  </si>
  <si>
    <t>1992-2009</t>
  </si>
  <si>
    <t>Retrievedon March 11, 2010</t>
  </si>
  <si>
    <t>Last updated: March 11, 2010. No new values avialable since March 19, 2009.</t>
  </si>
  <si>
    <t xml:space="preserve">Note: by definition, the energy natural resources in the Statistics Canada National Balance Sheet Accounts should include crude oil, natural gas, crude bitumen, </t>
  </si>
  <si>
    <t>Appendix Table 14: Cost of education in 2006-2007</t>
  </si>
  <si>
    <t>Enrolment at the Community college level: the same as above</t>
  </si>
  <si>
    <t>Source: Enrolment at the elementary/secondary level:  Statistics Canada and Council of Ministers of Education, Canada. 2007. Education indicators in Canada: Report of the Pan-Canadian Education Indicators Program. Catalogue no. 81-582-XIE. Ottawa. Table C.2.1. All enrollment numbers updated to 2006/2007. However, there is no new cost data to report. Therefore, costs are assumed to be the same in 2006/2007 as 2002/2003. March 15, 2010.</t>
  </si>
  <si>
    <t>Includes total institutions, physicians and other professionals, drugs, capital, and other health spending.</t>
  </si>
  <si>
    <t>Data previous to 1975 are extrapolated based on the 1975-1980 average annual growth rates.</t>
  </si>
  <si>
    <t xml:space="preserve">Current Government Expenditure, Capital formation and Inventories in 2002 constant dollars are from CANSIM II Table 3840002 for 1981-2009, </t>
  </si>
  <si>
    <t xml:space="preserve">GDP deflators: CANSIM II Table 3840036 for 1981-2009. </t>
  </si>
  <si>
    <t xml:space="preserve">Source: Statistics Canada Provincial Economic Accounts, CANSIM II Table 3840012 for 1981-2009. </t>
  </si>
  <si>
    <t>Source: Enrolment at the elementary/secondary level:  Statistics Canada and Council of Ministers of Education, Canada. 2007. Education indicators in Canada: Report of the Pan-Canadian Education Indicators Program. Catalogue no. 81-582-XIE. Ottawa. Table C.2.1. Still latest version as of March 15, 2010. There has been no new cost data since 2002/2003</t>
  </si>
  <si>
    <t>1981-2010</t>
  </si>
  <si>
    <t>Source: CANSIM II series: Table 510001, Estimates of population for July 1, 1971-2010. June 7, 2011.</t>
  </si>
  <si>
    <t>Natural Gas: CANSIM II Table 1530001 for 1971-2009 for Canada, and 1971-2008 for the provinces, June 7, 2011.  Data for years beyond the last available data point are assumed to equal the last available data point.</t>
  </si>
  <si>
    <t>Crude Oil: CANSIM II Table 1530002 for 1971-2009 for Canada, and 1971-2008 for the provinces, June 7, 2011.  Data for years beyond the last available data point are assumed to equal the last available data point.</t>
  </si>
  <si>
    <t>Subbituminous: CANSIM II Table 1530003 for 1976-2002 for provinces, and 1976-2009 for Canada.  Data for years beyond last available data point are assumed to equal the last available value, and data prior to 1976 assumed to equal the 1976 value.</t>
  </si>
  <si>
    <t>Bituminous: CANSIM II Table 1530004 for 1976-2002 for provinces, and 1976-2009 for Canada.  Data for years beyond last available data point are assumed to equal the last available value, and data prior to 1976 assumed to equal the 1976 value.</t>
  </si>
  <si>
    <t>Bitumen: CANSIM II Table 1530005 for 1971-2009 for Canada. Data after 2009 assumed to equal 2009 values.</t>
  </si>
  <si>
    <t>For crude bitumen, only national estimates available, we assume all these reserves belong to Alberta. Last updated:  June 7, 2011.</t>
  </si>
  <si>
    <t>Data availability: Column [A ][C]1976-2009, [B]1979-2009,  [D]1979-1997, [E] 1977-2009.</t>
  </si>
  <si>
    <t>Source: Beneficiaries: Employment Insurance Statistics, monthly, CANSIM II Tabel 2760001:  Regular benefits for  1975-2010, converted to annual data.</t>
  </si>
  <si>
    <t>Last updated: June 8, 2011</t>
  </si>
  <si>
    <t>Unemployed: Labour Force Survey, CANSIM II Table 2820002 for 1976-2010. Data assumed constant before 1976.</t>
  </si>
  <si>
    <t>Last updated: June 8, 2011.</t>
  </si>
  <si>
    <t>Source: Labour Force Survey, CANSIM II Table 2820002 for 1976-2010.</t>
  </si>
  <si>
    <t>Updated June 8, 2011.</t>
  </si>
  <si>
    <t>v2466264,v2466894,v2467524, June 8, 2011.</t>
  </si>
  <si>
    <t xml:space="preserve">Source: Statistics Canada, SEPH CANSIM II Table 2810027 for 1991-2010 linked CANSIM II Table 2830006 for years prior to 1991. </t>
  </si>
  <si>
    <t xml:space="preserve">Source: Employment Insurance Statistics, monthly, CANSIM II Table 2760016 for Canada 1971-2010 and for provinces 1974-2010, </t>
  </si>
  <si>
    <t>Source: Appendix Tables 21 and 22 Last updated: June 8, 2011.</t>
  </si>
  <si>
    <t xml:space="preserve">Data for 2010 are extrapolated using 2004-2009 annual growth rate. </t>
  </si>
  <si>
    <t>Nominal and Real Personal Expenditure: Table 384-0002 for 1981-2009, linked to series from the old national accounts for previous years. Data after 2009 based on average growth rate of previous 5 years.</t>
  </si>
  <si>
    <t>Last update: June 8, 2011.</t>
  </si>
  <si>
    <t>Last updated:  June 8, 2011.</t>
  </si>
  <si>
    <t>Data for 2009 and 2010 are forecasts.</t>
  </si>
  <si>
    <t>Source: Canadian Institute for Health Information, www.cihi.ca, National Health Expenditure Database.  Private Expenditures on Healthcare.</t>
  </si>
  <si>
    <t>Latest available data as of June 8, 2011.</t>
  </si>
  <si>
    <t>Source: Appendix Tables 24 and 25. Last updated: June 8, 2011.</t>
  </si>
  <si>
    <t>Data for Canada for  2010 extrapolated using average growth rate of the previous 5 years.</t>
  </si>
  <si>
    <t>Data for Canada available for 1971-2010, data for province only available for 1979-2008. All other years based on the average annual growth rate of the preceeding or succeeding five-year period.</t>
  </si>
  <si>
    <t>CANSIM Table</t>
  </si>
  <si>
    <t>Note: Data for 2009 - 2010 are extrapolated based on the 2003-2008 average annual growth rate.</t>
  </si>
  <si>
    <t>Current as of June 8, 2011.</t>
  </si>
  <si>
    <t>Provincial Economic Accounts: CANSIM Table: 384-0036</t>
  </si>
  <si>
    <t>National Income and Expenditure Accounts: CANSIM Table: 380-0056, series v3860235</t>
  </si>
  <si>
    <t>Sources:</t>
  </si>
  <si>
    <t>CCA:  Table 3840004 for 1981-2008, deflated with the government expenditure deflator for 1981 onwards, linked to series deflated in the same way from the old national accounts for previous years.</t>
  </si>
  <si>
    <t>Data for 2009 and 2010 are extrapolated based on the 2003-2008 average annual growth rate.</t>
  </si>
  <si>
    <t>The government deflator used here:  Net government expenditure on goods and services from Table 380-0056 for Canada and Table 3840036 for the provinces.</t>
  </si>
  <si>
    <t>Inventories data for 2010 are assumed equal to that of 2009.</t>
  </si>
  <si>
    <t>Current Government Expenditure and Capital Formation data for 2010 are extrapolated using 2004-2009 annual growth rate.</t>
  </si>
  <si>
    <t>Environmental Protection Service, Ottawa, Ontario for the year before 1990 for Canada. Data for year after 2010 based on annual growth rate of 2004-2009.</t>
  </si>
  <si>
    <r>
      <t>Current as of June 8, 2011</t>
    </r>
    <r>
      <rPr>
        <sz val="10"/>
        <rFont val="Times New Roman Cyr"/>
      </rPr>
      <t>.</t>
    </r>
  </si>
  <si>
    <t>Population from CANSIM II: Table 510001 for 1971-2010 and Working Age Population from Table 2820002 for 1976-2010.</t>
  </si>
  <si>
    <t>Last updated: June 9, 2011.</t>
  </si>
  <si>
    <t>Residential: CANSIM II  Table 300002 for 1971-2010, June 9, 2011.</t>
  </si>
  <si>
    <t>For the provinces, it is assumed that the national proportion of regrettable expenditure in total personal expenditure (Appendix Table 1) applies. Last updated: June 9, 2011.</t>
  </si>
  <si>
    <t>Total Subsoil Resource Stocks (Millions)</t>
  </si>
  <si>
    <t>Total Timber Stocks (Millions)</t>
  </si>
  <si>
    <t>Total Natural Resources (Millions)</t>
  </si>
  <si>
    <t>Values in italic after 2009 extrapolated using previous 5 year average annual growth rate.</t>
  </si>
  <si>
    <t>current as of June 9, 2011.</t>
  </si>
  <si>
    <t>and assumed constant previous to 1984 and after 2007.</t>
  </si>
  <si>
    <t>Net Position: CANSIM II Table 3760037 for 1971-2007, June 9, 2011.  GDP deflators from Appendix Table 8.</t>
  </si>
  <si>
    <t>1992$ are converted to 1997$ with GDP deflators, Appendix Table 8. Growth rate for Column [E] and [F] means1990-2010 instead of 1981-2010.</t>
  </si>
  <si>
    <t>Working age population from Labour Force Survey: CANSIM II: Table 2820002 for 1976-2010. Last updated: June 9, 2011.</t>
  </si>
  <si>
    <t>Canada's 2007 Greenhouse Gas Inventory, April 2009. Available online: http://www.ec.gc.ca/pdb/ghg/inventory_e.cfm. And linked with Environment Canada (1998) Note: Values for 2000 to 2002 have been updated with their recalculated values.</t>
  </si>
  <si>
    <t>Source:  1990-2009 for Canada and most recent values for the provinces for 2004-2009 are from: Canada's 2011 National Inventory Report, June 2011. Available online: http://unfccc.int/national_reports/annex_i_ghg_inventories/national_inventories_submissions/items/5888.php.</t>
  </si>
  <si>
    <t>Last updated: June 14, 2011.</t>
  </si>
  <si>
    <t>Appendix Table 17: Provincial Ginis, Income after taxes, for all family units (continued)</t>
  </si>
  <si>
    <t>Number of Families: Based on SCF/SLID estimates.  CANSIM II Table 2020601 for 1982-2009.</t>
  </si>
  <si>
    <t>linked to series from Statistics Canada publication 91-204 (1995) for years before 1980. Data for 2010 based on the average annual growth rate of 2004-2009.</t>
  </si>
  <si>
    <t>By definition, a family unit here includes economic family and unattached individuals. Last updated: June 27, 2011.</t>
  </si>
  <si>
    <t>GDP deflator from Appendx Table a8</t>
  </si>
  <si>
    <t>1992-2010</t>
  </si>
  <si>
    <t>Last updated: June 27, 2011.</t>
  </si>
  <si>
    <t>Hours of unpaid for 2006-2010 were calculated based on average growth rates of between 1998 and 2005.</t>
  </si>
  <si>
    <t>Unpaid work wage rate for years after 1992 were calculated based on the annual growth rate of national hourly compensation between 1992 and 2010.</t>
  </si>
  <si>
    <t>Current wage for years after 1992 calculated extrapolating average annual growth rate for the real wage index 1992-2010, applying it on the real 1992 wage and then converting it into current wage using CPI index.</t>
  </si>
  <si>
    <t>NEW: 2007/08</t>
  </si>
  <si>
    <t>COST: 2008/2009</t>
  </si>
  <si>
    <t>NEW: 4770053 (Latest Data: 2008)</t>
  </si>
  <si>
    <t>Latest Data: 2008</t>
  </si>
  <si>
    <t>Public: 08/09, Private: 04/05</t>
  </si>
  <si>
    <t>College: 05/06, Uni: 06/07</t>
  </si>
  <si>
    <t>Pre-elementary, elementary-secondary</t>
  </si>
  <si>
    <r>
      <t>Trade-vocational</t>
    </r>
    <r>
      <rPr>
        <vertAlign val="superscript"/>
        <sz val="8"/>
        <rFont val="Arial"/>
        <family val="2"/>
      </rPr>
      <t>1</t>
    </r>
  </si>
  <si>
    <r>
      <t>College</t>
    </r>
    <r>
      <rPr>
        <vertAlign val="superscript"/>
        <sz val="8"/>
        <rFont val="Arial"/>
        <family val="2"/>
      </rPr>
      <t>1</t>
    </r>
  </si>
  <si>
    <t>All post-secondary</t>
  </si>
  <si>
    <t>All levels combined</t>
  </si>
  <si>
    <t>millions of current dollars</t>
  </si>
  <si>
    <r>
      <t>Canada</t>
    </r>
    <r>
      <rPr>
        <b/>
        <vertAlign val="superscript"/>
        <sz val="8"/>
        <rFont val="Arial"/>
        <family val="2"/>
      </rPr>
      <t>2</t>
    </r>
  </si>
  <si>
    <t>1990/1991</t>
  </si>
  <si>
    <t>1995/1996</t>
  </si>
  <si>
    <t>2000/2001</t>
  </si>
  <si>
    <t>2001/2002</t>
  </si>
  <si>
    <t>2002/2003</t>
  </si>
  <si>
    <t>2003/2004</t>
  </si>
  <si>
    <t>e</t>
  </si>
  <si>
    <t>2004/2005</t>
  </si>
  <si>
    <t>2006-2007</t>
  </si>
  <si>
    <r>
      <t>Newfoundland and Labrador</t>
    </r>
    <r>
      <rPr>
        <b/>
        <vertAlign val="superscript"/>
        <sz val="8"/>
        <rFont val="Arial"/>
        <family val="2"/>
      </rPr>
      <t>3</t>
    </r>
  </si>
  <si>
    <r>
      <t>Quebec</t>
    </r>
    <r>
      <rPr>
        <b/>
        <vertAlign val="superscript"/>
        <sz val="8"/>
        <rFont val="Arial"/>
        <family val="2"/>
      </rPr>
      <t>4</t>
    </r>
  </si>
  <si>
    <r>
      <t>Ontario</t>
    </r>
    <r>
      <rPr>
        <b/>
        <vertAlign val="superscript"/>
        <sz val="8"/>
        <rFont val="Arial"/>
        <family val="2"/>
      </rPr>
      <t>5</t>
    </r>
  </si>
  <si>
    <t xml:space="preserve">British Columbia </t>
  </si>
  <si>
    <t xml:space="preserve">Combined Public and Private Expenditure on Education - Extrapolation </t>
  </si>
  <si>
    <t>Source: Statistics Canada and Council of Ministers of Education, Canada. 2011. Education indicators in Canada: Report of the Pan-Canadian Education Indicators Program. Catalogue no. 81-582-X. Ottawa.</t>
  </si>
  <si>
    <t>CURRENT DOLLARS</t>
  </si>
  <si>
    <t>Constant 2002$</t>
  </si>
  <si>
    <t>Expenditures, millions of 2002$</t>
  </si>
  <si>
    <t>Cost per student, 2002$</t>
  </si>
  <si>
    <t>Enrolment at the University level: D.1.5.a</t>
  </si>
  <si>
    <t>Combined public and private expenditure on education by level of education: Table B.1.1.</t>
  </si>
  <si>
    <t>Enrolment at the Community college level: Table D.1.4</t>
  </si>
  <si>
    <t>Enrolment at the Trade-vocational level: Table D.1.1</t>
  </si>
  <si>
    <t>Enrolment at the elementary/secondary level: Table C.2.1.</t>
  </si>
  <si>
    <t>NFLD</t>
  </si>
  <si>
    <t>ALTA</t>
  </si>
  <si>
    <t>SASK</t>
  </si>
  <si>
    <t>MAN</t>
  </si>
  <si>
    <t>ONT</t>
  </si>
  <si>
    <t>GDP DELATORS</t>
  </si>
  <si>
    <t>Q</t>
  </si>
  <si>
    <t>R</t>
  </si>
  <si>
    <t>S</t>
  </si>
  <si>
    <t>T</t>
  </si>
  <si>
    <t>U</t>
  </si>
  <si>
    <t>Last Updated: 28 June 2011</t>
  </si>
  <si>
    <t xml:space="preserve">Source: Statistics Canada and Council of Ministers of Education, Canada. April 2011. Education indicators in Canada: Report of the Pan-Canadian Education Indicators Program. Catalogue no. 81-582-XWE. Ottawa. </t>
  </si>
  <si>
    <t>*Note: The latter part of the school year is considered when converting to 2002 constant dollars.</t>
  </si>
  <si>
    <t>*Note: The estimate of costs at the elementary/secondary level are slightly overestimated because the available data is for pre-elementary, elementary, and secondary levels.</t>
  </si>
  <si>
    <t>Appendix Table 18: LICO (after tax) Rates by Province, all persons, 1992 base, Page 1</t>
  </si>
  <si>
    <t>Years between are interpolations.  Values prior to 1976 are assumed equal to 1976 and values after 2009 are assumed equal to 2009.</t>
  </si>
  <si>
    <t>Poverty intensity is the product of the poverty rate and the poverty gap and a constant (approximately 1.89). Last updated: 28 June 2011.</t>
  </si>
  <si>
    <t>Source: Data for 1977, 1979, 1981, 1982, 1984-1996 are from Statistics Canada using Survey of Consumer Finance (SCF)</t>
  </si>
  <si>
    <t>YEAR</t>
  </si>
  <si>
    <t>Couples</t>
  </si>
  <si>
    <t>Couples, No Children</t>
  </si>
  <si>
    <t>Female Lone-Parent</t>
  </si>
  <si>
    <t>COUPLE FAMILIES WITH CHILDREN</t>
  </si>
  <si>
    <t>TOTAL MOTHERS (E+D)</t>
  </si>
  <si>
    <t>CHILDREN (F-G)</t>
  </si>
  <si>
    <t>MOTHERS &amp; CHILDREN AS % OF POPULATION (100*(H+I)/F)</t>
  </si>
  <si>
    <t>New Mothers and Children as a % of pop. Data:</t>
  </si>
  <si>
    <t>18+</t>
  </si>
  <si>
    <t>Note: Values of mothers and children as a percentage of population for 2006-2010 are extrapolated using the growth rate of the same measure calculated from Estimates of Population (Cansim Table 51-0001), and Annual Estimates for Census Families and Individuals (Cansim Table 111-0011). The values for 2010 for couple families, couple families with no children, and female lone-parent families are extrapolated using the five year average growth rate for 2004-2009.</t>
  </si>
  <si>
    <t>Values prior to 1973 are assumed equal to 1973. Last updated: 29 June 2011.</t>
  </si>
  <si>
    <t>Cansim Tables: 111-0011, 51-0001</t>
  </si>
  <si>
    <t>Overall index of economic security = the sum of each component multiplied by its respective weight in each year. Last updated: 29 June 2011.</t>
  </si>
  <si>
    <t>Appendix Table 18: LIM (after tax) Rates by Province, all persons, Page 1</t>
  </si>
  <si>
    <t>Appendix Table 18: LIM Rates by Province, all persons, Page 2</t>
  </si>
  <si>
    <t>Appendix Table 18: LIM Rates by Province, all persons, Page 3</t>
  </si>
  <si>
    <t>Appendix Table 18: LICO Rates by Province, all persons, 1992 base, Page 2</t>
  </si>
  <si>
    <t>Appendix Table 18: LICO Rates by Province, all persons, 1992 base, Page 3</t>
  </si>
  <si>
    <t>Note: Values for 1996-2009 are based on SLID data.  Data before 1996 are computed using the percent change of SCF-based data for 1973, 1975, 1977, 1979, 1981, 1982, 1984-1996.</t>
  </si>
  <si>
    <t>and  Data for 1996-2009 from Survey for Labour and Income Dynamics (SLID-LIS) equivalence scales</t>
  </si>
  <si>
    <t>Years after 2009 were assumed to equal to 2009.</t>
  </si>
  <si>
    <t>Source: Data for 1973, 1975, 1977, 1979 are from Statistics Canada using Survey of Consumer Finance (SCF) and for 1980-2007 from SLID, CANSIM II Table 2020705.</t>
  </si>
  <si>
    <t>Source: Appendix Tables 17 and 18. Last updated: 29 June 2011.</t>
  </si>
  <si>
    <t>Poverty intensity is the product of the poverty rate and the poverty gap and a constant (approximately 1.89). Last updated: 29 June 2011.</t>
  </si>
  <si>
    <t>Overall index of economic well-being (equal weighting) = 0.25*consumption + 0.25*wealth + 0.25*equality + 0.25*security. Last updated: 29 June 2011.</t>
  </si>
  <si>
    <t>Overall index of economic well-being (original weighting) = 0.7*consumption + 0.1*wealth + 0.1*equality + 0.1*security. Last updated: 29 June 2011.</t>
  </si>
  <si>
    <t>Source: Tables 9 and 10. Last updated: 29 June 2011.</t>
  </si>
  <si>
    <t>Lone Female Parent Families Poverty Rate (LICO, %)</t>
  </si>
  <si>
    <t>Poverty Rate for Person in Female Lone-Parent Families  (LIM, %)</t>
  </si>
  <si>
    <t>Female Lone-Parent Families Average Poverty Gap Ratio</t>
  </si>
  <si>
    <t>Last updated: 29 June 2011</t>
  </si>
  <si>
    <t xml:space="preserve">Source: Poverty rate for persons in female lone-parent families and average poverty gap data for 1975, 1977, 1979, 1981, 1982, 1984-1996 are from </t>
  </si>
  <si>
    <t>Years between are interpolations.  Values prior to 1976 are assumed equal to 1976, values prior to 1977 for Prince Edward Island are assumed equal to 1977, and values after 2009 are assumed equal to 2009.</t>
  </si>
  <si>
    <t>Note: Values for 1996- 2009 are based on SLID data.  Data before 1996 are computed using the percent change of SCF-based data for 1975, 1977, 1979, 1981, 1982, 1984-1996.</t>
  </si>
  <si>
    <t>Source: Appendix Table 27. Last updated: 29 June 2011.</t>
  </si>
  <si>
    <t>Statistics Canada, Cansim Table 202-0804, using Survey of Consumer Finance (SCF) and data for 1996-2009 from  Survey for Labour and Income Dynamics (SLID-LIS) equivalence scales</t>
  </si>
  <si>
    <t>Source: Cansim Table 202-0802, Data for 1977, 1979, 1981, 1982, 1984-1996 are from Statistics Canada using Survey of Consumer Finance (SCF)</t>
  </si>
  <si>
    <t>Poverty Intensity for the Elderly</t>
  </si>
  <si>
    <t>Poverty Gap Ratio for the Elderly</t>
  </si>
  <si>
    <t>Poverty Rate for the Elderly (LICO after tax, 1992 base, %)</t>
  </si>
  <si>
    <t>Poverty Rate for the Elderly (LIM, %)</t>
  </si>
  <si>
    <t>and data for 1996-2009 from Survey for Labour and Income Dynamics (SLID-LIS) equivalence scales</t>
  </si>
  <si>
    <t>Poverty intensity is the product of the poverty rate and the poverty gap and a constant (approximately 1.89). Last updated: 30 June 2011.</t>
  </si>
  <si>
    <t>Source: Cansim Table 202-0802, Data for 1975, 1977, 1979, 1981, 1982, 1984-1996 are from Statistics Canada using Survey of Consumer Finance (SCF)</t>
  </si>
  <si>
    <t>Table 6: Security from the Risk Imposed by Single-Parent Poverty, Page 4</t>
  </si>
  <si>
    <t>Source: Column [A]- [E] from CANSIM II v3822450, v3822310, v3822318, v3822482, v3822354.   Last Updated: June 9, 2011.</t>
  </si>
  <si>
    <t>Last updated: 29 June 2011.</t>
  </si>
  <si>
    <t>Appendix Table 19: Beneficiaries/Unemployment Ratio,   Page 3</t>
  </si>
  <si>
    <t>Poverty Rate for Persons in Female Lone-Parent Families</t>
  </si>
  <si>
    <t>Poverty Gap for Persons Living in Female Lone-Parent Families</t>
  </si>
  <si>
    <t>Sensitivity Analysis (LICO)</t>
  </si>
  <si>
    <t>Chart 4</t>
  </si>
  <si>
    <t>(consumption)</t>
  </si>
  <si>
    <t>Chart 5</t>
  </si>
  <si>
    <t>(wealth)</t>
  </si>
  <si>
    <t>Chart 6</t>
  </si>
  <si>
    <t>(equality)</t>
  </si>
  <si>
    <t>Chart 7</t>
  </si>
  <si>
    <t>(security)</t>
  </si>
  <si>
    <t>Share of Personal Consumption per Capita</t>
  </si>
  <si>
    <t>Share of Government Expenditure per Capita</t>
  </si>
  <si>
    <t>Share of Unpaid Work per Capita</t>
  </si>
  <si>
    <t>Share of Regrettable Expenditure per Capita</t>
  </si>
  <si>
    <t>Index of Total Per-capita Net Capital Stock</t>
  </si>
  <si>
    <t>Index of Per-capita R&amp;D Stock</t>
  </si>
  <si>
    <t>Index of Per-capita Stock of Natural Resources</t>
  </si>
  <si>
    <t>Index of Per-capita Net International Investment Position</t>
  </si>
  <si>
    <t>Index of Per-capita Stock of Human Capital</t>
  </si>
  <si>
    <t>Index of Per-capita Greenhouse Gas Social Cost</t>
  </si>
  <si>
    <t>Index of Total Per-capita Wealth</t>
  </si>
  <si>
    <t>Compound annual growth rates, Canada</t>
  </si>
  <si>
    <t>IEWB</t>
  </si>
  <si>
    <t>per-capita gdp</t>
  </si>
  <si>
    <t>1981-1989</t>
  </si>
  <si>
    <t>1989-2000</t>
  </si>
  <si>
    <t>2000-2008</t>
  </si>
  <si>
    <t>Growth of the IEWB and per-capita GDP, Canada and the Provinces, 1981-2008</t>
  </si>
  <si>
    <t>Index of Economic Well-being</t>
  </si>
  <si>
    <t>Per-capita GDP</t>
  </si>
  <si>
    <t>Canada:</t>
  </si>
  <si>
    <t>rate</t>
  </si>
  <si>
    <t>gap</t>
  </si>
  <si>
    <t>intensity</t>
  </si>
  <si>
    <t>Index of Poverty Rate</t>
  </si>
  <si>
    <t>Index of Poverty Gap</t>
  </si>
  <si>
    <t>source: sheet a18</t>
  </si>
  <si>
    <t>Trends in Private Expenditure on Healthcare, Canada 1981 to 2008</t>
  </si>
  <si>
    <t>Gini Coefficient, Canada</t>
  </si>
  <si>
    <t>Trends in Divorce Rate, Canada 1981-2008</t>
  </si>
  <si>
    <t>Trends in Poverty Rate and Poverty Gap for Lone Parent Families, Canada 1981-2008</t>
  </si>
  <si>
    <t>Trends in Poverty Rate for Elderly Families, Canada 1981-2008</t>
  </si>
  <si>
    <t>Trends in Poverty Gap for Elderly Families, Canada 1981-2008</t>
  </si>
  <si>
    <t>Total Adjusted Consumption</t>
  </si>
  <si>
    <t>Personal Consumption</t>
  </si>
  <si>
    <t>Unpaid Work</t>
  </si>
  <si>
    <t>Government Consumption</t>
  </si>
  <si>
    <t>Regrettable Expenditures</t>
  </si>
  <si>
    <t>Trends in Total Consumption per Capita and its Components, Canada, 1981-2009, (1981=100)</t>
  </si>
  <si>
    <t>Private Consumption</t>
  </si>
  <si>
    <t>capital</t>
  </si>
  <si>
    <t>R&amp;D</t>
  </si>
  <si>
    <t>natural</t>
  </si>
  <si>
    <t>NIIP</t>
  </si>
  <si>
    <t>human</t>
  </si>
  <si>
    <t>total</t>
  </si>
  <si>
    <t>Physical Capital</t>
  </si>
  <si>
    <t>Natural Resources</t>
  </si>
  <si>
    <t>Net International Investment Position</t>
  </si>
  <si>
    <t>Human Capital</t>
  </si>
  <si>
    <t>Cost of GHG Emissions</t>
  </si>
  <si>
    <t>Total Wealth Stock</t>
  </si>
  <si>
    <t>Total Per-capita Wealth in Canada and the Provinces, 1981 and 2009</t>
  </si>
  <si>
    <t>Total GHG Emissions</t>
  </si>
  <si>
    <t>Per-capita GHG Emissions</t>
  </si>
  <si>
    <t>Trends in the Components of the Economic Equality Domain, Canada, 1981-2008, Indexed, 1981=100</t>
  </si>
  <si>
    <t>Trends in the Unemployment Rate and the EI Replacement and Coverage rates, Canada, 1981-2008, Indexed, 1981=100</t>
  </si>
  <si>
    <t>Per-capita Social Costs of Greenhouse Gas Emissions, Canada and the Provinces, 2002 Dollars, 1981 and 2009</t>
  </si>
  <si>
    <t>Gini</t>
  </si>
  <si>
    <t>Gini Coefficient</t>
  </si>
  <si>
    <t>Poverty Rate</t>
  </si>
  <si>
    <t>Poverty Gap</t>
  </si>
  <si>
    <t>Unemployment Rate</t>
  </si>
  <si>
    <t>Earnings Replacement Rate</t>
  </si>
  <si>
    <t>EI Coverage Rate</t>
  </si>
  <si>
    <t>2'!$H$47,'2'!$R$47,'2'!$AB$47,'2'!$AL$47,'2'!$AV$47,'2'!$BF$47,'2'!$BP$47,'2'!$BZ$47,'2'!$CJ$47,'2'!$CT$47,'2'!$DD$47</t>
  </si>
  <si>
    <t>('9 (2)'!$E$47,'9 (2)'!$Y$47,'9 (2)'!$AJ$47,'9 (2)'!$AR$47,'9 (2)'!$AZ$47,'9 (2)'!$BH$47,'9 (2)'!$BP$47,'9 (2)'!$BX$47,'9 (2)'!$CF$47,'9 (2)'!$CN$47,'9 (2)'!$CV$47)</t>
  </si>
  <si>
    <t>Unemployment Rates, Canada, 1981 and 2008</t>
  </si>
  <si>
    <t>Index of the Wealth Domain in Canada and the Provinces, 1981 and 2009</t>
  </si>
  <si>
    <t>Components of the Economic Equality Domain, Canada, 1981 and 2008</t>
  </si>
  <si>
    <t>Gini Coefficient for Families Based on After-tax Income, Canada and the Provinces, 1981 and 2008</t>
  </si>
  <si>
    <t>EI Coverage Ratio, Canada, 1981 and 2008</t>
  </si>
  <si>
    <t>Poverty Rate Based on LICOs, Canada and the Provinces, Per Cent, 1981 and 2008</t>
  </si>
  <si>
    <t>Overall Economic Security</t>
  </si>
  <si>
    <t>Unemployment</t>
  </si>
  <si>
    <t>Illness</t>
  </si>
  <si>
    <t>Single-parent Poverty</t>
  </si>
  <si>
    <t>Old-age Poverty</t>
  </si>
  <si>
    <t>Baseline</t>
  </si>
  <si>
    <t>Alternative 1</t>
  </si>
  <si>
    <t>Alternative 2</t>
  </si>
  <si>
    <t>Alternative 3</t>
  </si>
  <si>
    <t>Single Parent Poverty Gap, Canada, 1981 and 2008</t>
  </si>
  <si>
    <t>Poverty Rate and Poverty Gap for Elderly Families, Canada, 1981-2008</t>
  </si>
  <si>
    <t>Average Poverty Gap for Elderly Families, Canada and the Provinces, 2007 Dollars, 1981 and 2009</t>
  </si>
  <si>
    <t>Overall Index of Security from Risk Imposed by Single Parent Poverty, Canada and the Provinces, 1981 and 2008</t>
  </si>
  <si>
    <t>(7!$C$19,7!$G$19,7!$K$19,7!$O$19,7!$S$19,7!$W$19,7!$AA$19,7!$AE$19,7!$AI$19,7!$AM$19,7!$AQ$19)</t>
  </si>
  <si>
    <t>('7'!$C$47,'7'!$G$47,'7'!$K$47,'7'!$O$47,'7'!$S$47,'7'!$W$47,'7'!$AA$47,'7'!$AE$47,'7'!$AI$47,'7'!$AM$47,'7'!$AQ$47)</t>
  </si>
  <si>
    <t>Growth of the IEWB and Per-capita GDP, Canada, 1981-2009</t>
  </si>
  <si>
    <t>2000-2009</t>
  </si>
  <si>
    <t>Index of GDP</t>
  </si>
  <si>
    <t>Index of Economic well Being (1981 = 100)</t>
  </si>
  <si>
    <t>Chart 9: Private Consumption per Capita, Canada and the Provinces, 2002 Dollars, 1981 and 2010</t>
  </si>
  <si>
    <t>Chart 10: Per-capita Government Expenditures on Goods and Services, Canada and the Provinces, 2002 Dollars, 1981 and 2010</t>
  </si>
  <si>
    <t>Chart 11: Per-capita Value of Unpaid Work, Canada and the Provinces, 2002 Dollars, 1981 and 2010</t>
  </si>
  <si>
    <t>Chart 12: Life Expectancy at Birth, Canada and the Provinces, Years, 1981 and 2010</t>
  </si>
  <si>
    <t>Chart 13: Total Adjusted Consumption per Capita, Canada and the Provinces, 1981 and 2010, $2002</t>
  </si>
  <si>
    <t>Chart 14: Index of the Consumption Domain in Canada and the Provinces, 1981 and 2010</t>
  </si>
  <si>
    <t>STOCK</t>
  </si>
  <si>
    <t>INDEX</t>
  </si>
  <si>
    <t>Index of Economic Security</t>
  </si>
  <si>
    <t>Overall Index of Economic Well-being, equal weighting</t>
  </si>
  <si>
    <t>Source: Table 1.</t>
  </si>
  <si>
    <t>Source: Table 2.</t>
  </si>
  <si>
    <t>F=C+D+E</t>
  </si>
  <si>
    <t>Source: Table 3.</t>
  </si>
  <si>
    <t>Poverty Intensity</t>
  </si>
  <si>
    <t>Source: Table 4.</t>
  </si>
  <si>
    <t>Overall Scaled Index of Security</t>
  </si>
  <si>
    <t>Source: Table 5.</t>
  </si>
  <si>
    <t>(Average annual rate of change or total percentage point change)</t>
  </si>
  <si>
    <t>Annual Average Rate of Change, %</t>
  </si>
  <si>
    <t>Percentage Point Change</t>
  </si>
  <si>
    <t>Note: Absolute percentage point changes for the scaled variables.</t>
  </si>
  <si>
    <t>Overall Index of Security</t>
  </si>
  <si>
    <t>Table 1 The Overall Index of Economic Well-Being and its Components for Canada and provinces, 2009</t>
  </si>
  <si>
    <t>Total Consumption Flows per capita, 2002$</t>
  </si>
  <si>
    <t>Total per capita Wealth, 2002$</t>
  </si>
  <si>
    <t>Overall Index of Economic Well-being, original  weighting</t>
  </si>
  <si>
    <t>H=(B+D+F+G)/4</t>
  </si>
  <si>
    <t>I=0.7B+0.1D+0.1F+0.1G</t>
  </si>
  <si>
    <t>Source: CSLS IEWB Database, Canada and Provinces, Table 1,Table 2, Table 3, Table 8 and Table 9.</t>
  </si>
  <si>
    <t>Table 1a  The Overall Index of Economic Well-Being and its Components for Canada and provinces, 2009 (Alberta =100)</t>
  </si>
  <si>
    <t>Table 2 The Consumption Components for Canada and provinces, 2009</t>
  </si>
  <si>
    <t>Personal Consumption per capita, 2002$</t>
  </si>
  <si>
    <t>Unpaid Work per capita, 2002$</t>
  </si>
  <si>
    <t>Regrettable Expenditure per capita, 2002$</t>
  </si>
  <si>
    <t>Scaled Total Consumption per Capita, 2009</t>
  </si>
  <si>
    <t>Per cent growth between 1981 and 2009</t>
  </si>
  <si>
    <t>F=A*B+C+D-E</t>
  </si>
  <si>
    <t>Source: CSLS IEWB Database, Canada and Provinces, Table 1.</t>
  </si>
  <si>
    <t xml:space="preserve">Note: Since no data on provincial regrettable expenditure available, provincial regrettable expenditure is calculated using the provincial personal expenditure multiplying the proportion of national regrettable expenditure as a percentage of national personal expenditure, which in 2009 was 12.28 per cent. </t>
  </si>
  <si>
    <t>Table 2a  The Consumption Components for Canada and provinces, 2009 (Alberta =100)</t>
  </si>
  <si>
    <t>Table 2b The Consumption Components for Canada and provinces, 1981</t>
  </si>
  <si>
    <t>Table 3  The Wealth Components for Canada and provinces, 2009</t>
  </si>
  <si>
    <t>Total per capita Net Capital Stock, 2002$</t>
  </si>
  <si>
    <t>Per Capita R&amp;D Stock, 2002$</t>
  </si>
  <si>
    <t>Per Capita Present Value of Timber Stocks, 2002$</t>
  </si>
  <si>
    <t>Per Capita Present Value of Energy Natural Resources, 2002$</t>
  </si>
  <si>
    <t>Per Capita Present Value of Mineral Natural Resources, 2002$</t>
  </si>
  <si>
    <t>Per Capita Stock of Natural Resources, 2002$</t>
  </si>
  <si>
    <t>Per Capita Net International Investment Position, 2002$</t>
  </si>
  <si>
    <t>Per Capita Stock of Human Capital, 2002$</t>
  </si>
  <si>
    <t>Per Capita Greenhouse Gas Social Cost, 2002$</t>
  </si>
  <si>
    <t>Per cent growth from 1981</t>
  </si>
  <si>
    <t>Source: CSLS IEWB Database, Canada and Provinces, Table 2.</t>
  </si>
  <si>
    <t>Table 3a  The Wealth Components for Canada and provinces, 2009 (Alberta =100)</t>
  </si>
  <si>
    <t>Table 3b  The Wealth Components for Canada and provinces, 1981</t>
  </si>
  <si>
    <t>Table 4 The Equality Index for Canada and provinces, 2009</t>
  </si>
  <si>
    <t>Scaled Index of Gini Coefficient</t>
  </si>
  <si>
    <t>Scaled Index of Poverty Intensity</t>
  </si>
  <si>
    <t>Scaled Index of Equality</t>
  </si>
  <si>
    <t>Per cent grwoth from 1981</t>
  </si>
  <si>
    <t>E=C*D*constant</t>
  </si>
  <si>
    <t>G=(0.25)B + (0.75)E</t>
  </si>
  <si>
    <t>Source: CSLS IEWB Database, Canada and Provinces, Table 3. Data are assumed to equal to 2006 value.</t>
  </si>
  <si>
    <t xml:space="preserve">Note: Provincial Gini Estimates do not sum to Canadian estimates as certain high income persons </t>
  </si>
  <si>
    <t>are excluded from provincial estimates because of confidentiality considerations, but are included in the national total.</t>
  </si>
  <si>
    <t>Table 4a The Equality Index for Canada and provinces, 2009 (Alberta =100)</t>
  </si>
  <si>
    <t>Table 4b The Equality Index for Canada and provinces, 1981</t>
  </si>
  <si>
    <t>Table 5  The Security Index for Canada and provinces, 2009</t>
  </si>
  <si>
    <t xml:space="preserve"> Unemployment Rate, %</t>
  </si>
  <si>
    <t>Scaled Index of Security from the Risk Imposed by Unemployment</t>
  </si>
  <si>
    <t xml:space="preserve"> Proportion of Private Expenditure on Healthcare in Personal Disposable Income</t>
  </si>
  <si>
    <t>Scaled Index of Security from the Risk Imposed by Illness</t>
  </si>
  <si>
    <t>Poverty Rate for lone female families</t>
  </si>
  <si>
    <t>Poverty Gap for lone female families</t>
  </si>
  <si>
    <t>Scaled Index of Security from the Risk Imposed by Single-Parent Poverty</t>
  </si>
  <si>
    <t>Poverty Rate for Elderly Families (%)</t>
  </si>
  <si>
    <t>Poverty Gap Ratio for Elderly Families</t>
  </si>
  <si>
    <t>Poverty Intensity for Elderly Families</t>
  </si>
  <si>
    <t>Scaled Index of Security from the Risk Imposed by Poverty in Old Age</t>
  </si>
  <si>
    <t>Per cent of grwoth from 1981</t>
  </si>
  <si>
    <t>N=M*L*constant</t>
  </si>
  <si>
    <t>Source: CSLS IEWB Database, Canada and Provinces, Table 4, Table 5, Table 6, Table 7 and Table 8.</t>
  </si>
  <si>
    <t>Note:The overall index of security are calculated by column D, F, K, O multiplying their weight. For example, the weights for Canada in 2009 were 0.338 for unemployment, 0.487 for illness, 0.168 for lone parent and 0.118 for elderly, respectively.</t>
  </si>
  <si>
    <t>Table 5a  The Security Index for Canada and provinces, 2009 (Alberta =100)</t>
  </si>
  <si>
    <t xml:space="preserve">Unemployment Protection </t>
  </si>
  <si>
    <t>Risk by illness</t>
  </si>
  <si>
    <t>Single parent poverty</t>
  </si>
  <si>
    <t>Elderly poverty</t>
  </si>
  <si>
    <t>Table 6  Trends in  the Overall Index of Economic Well-Being and its Components for Canada and Provinces,1981-2009</t>
  </si>
  <si>
    <t>Table 6a,  Trends in  of  the Overall Index of Economic Well-Being for Canada and Provinces, 1981-2005 (Alberta =100)</t>
  </si>
  <si>
    <t>Total Consumption Flows per capita, 1997$</t>
  </si>
  <si>
    <t>Total per capita Wealth, 1997 $</t>
  </si>
  <si>
    <t>Source: Table 6.</t>
  </si>
  <si>
    <t>Table 7   Trends in  of the Consumption Component for Canada and Provinces,1981-2009</t>
  </si>
  <si>
    <t xml:space="preserve">          Absolute percentage point changes for the scaled variables.</t>
  </si>
  <si>
    <t>Table 7a,  Trends in  of the Consumption Componentfor Canada and Provinces, 1981-2005 (Alberta =100)</t>
  </si>
  <si>
    <t>Source: Table 7.</t>
  </si>
  <si>
    <t>Table 8  Trends in  of the Wealth Component for Canada and Provinces,1981-2009</t>
  </si>
  <si>
    <t>Note:  Absolute percentage point changes for the scaled variables.</t>
  </si>
  <si>
    <t>Table 8a,  Trends in  of the Wealth Componentfor Canada and Provinces, 1981-2005 (Alberta =100)</t>
  </si>
  <si>
    <t>I=A+B+F+G+H</t>
  </si>
  <si>
    <t>Source: Table 8.</t>
  </si>
  <si>
    <t>Table 9   Trends in  of the Equality Index for Canada and Provinces,1981-2009</t>
  </si>
  <si>
    <t xml:space="preserve">Note: 1. Provincial Gini Estimates do not sum to Canadian estimates as certain high income persons </t>
  </si>
  <si>
    <t xml:space="preserve">          2. Absolute percentage point changes for the scaled variables.</t>
  </si>
  <si>
    <t>Table 9a,  Trends in  of the Equality Indexfor Canada and Provinces, 1981-2005 (Alberta =100)</t>
  </si>
  <si>
    <t>Source: Table 9.</t>
  </si>
  <si>
    <t>Table 10  Trends in the Security Index for Canada and Provinces,1981-2009</t>
  </si>
  <si>
    <t>Note:1. The overall index of security are calculated by column E, G, L, P multiplying their weight.</t>
  </si>
  <si>
    <t>Table 10a, The Average Annual Growth Rate  of the Security Index,  Alberta Compares to other Provinces and the Canadian Average, 1981-2005 (Alberta =100)</t>
  </si>
  <si>
    <t xml:space="preserve"> Employment Rate</t>
  </si>
  <si>
    <t>Index of the Proportion of Private Expenditure on Healthcare in Personal Disposable Income</t>
  </si>
  <si>
    <t>Source: Table 10.</t>
  </si>
  <si>
    <t>Chart 17: Per-capita Net Capital Stock, Canada and the Provinces, 2002 Dollars, 1981 and 2010</t>
  </si>
  <si>
    <t>Chart 18: R&amp;D Stock Per Capita, Canada and the Provinces, 2002 Dollars, 1981 and 2010</t>
  </si>
  <si>
    <t>Chart 19: Per-Capita Stock of Natural Resources, Canada and the Provinces, 2002 Dollars, 1981 and 2010</t>
  </si>
  <si>
    <t>Chart 20: Per-capita Net International Investment Position, Canada, 2002 Dollars, 1981-2010</t>
  </si>
  <si>
    <t>Chart 21: Per-capita Human Capital Stock, Canada and the Provinces, 2002 Dollars, 1981 and 2010</t>
  </si>
  <si>
    <t>PER CAPITA</t>
  </si>
  <si>
    <t>Chart 22: Trends in Total and Per-capita Greenhouse Gas Emissions, Canada, Tonnes of CO2-equivalent, 1981-2009</t>
  </si>
  <si>
    <t>Chart 23: Per-capita Social Costs of Greenhouse Gas Emissions, Canada and the Provinces, 2002 Dollars, 1981 and 2010</t>
  </si>
  <si>
    <t>Chart 24: Total Per-capita Wealth in Canada and the Provinces, 1981 and 2010</t>
  </si>
  <si>
    <t>Chart 25: Index of the Wealth Domain in Canada and the Provinces, 1981 and 2010</t>
  </si>
  <si>
    <t>Chart 26: Gini Coefficient for All Family Units, Canada, 1981-2010</t>
  </si>
  <si>
    <t>Chart 27: Gini Coefficient for Families Based on After-tax Income, Canada and the Provinces, 1981 and 2010</t>
  </si>
  <si>
    <t>Chart 28: Poverty Rate and Poverty Gap for All Persons, Canada, 1981-2010</t>
  </si>
  <si>
    <t>Chart 29: Poverty Rate Based on LIMs, Canada and the Provinces, Per Cent, 1981 and 2010</t>
  </si>
  <si>
    <t>Chart 42: Divorce Rate, Canada and the Provinces, Per Cent, 1981 and 2010</t>
  </si>
  <si>
    <t>Chart 43: Poverty Rate among Single-Parent Families, Canada and the Provinces, Per Cent, 1981 and 2010</t>
  </si>
  <si>
    <t>Chart 45: Overall Index of Security from Risk Imposed by Single Parent Poverty, Canada and the Provinces, 1981 and 2010</t>
  </si>
  <si>
    <t>Chart 46: Poverty Rate and Poverty Gap for Elderly Families, Canada, 1981-2010</t>
  </si>
  <si>
    <t>Chart 47: Poverty Rate for Elderly Families, Canada and the Provinces, LIM, 1981 and 2010, per cent</t>
  </si>
  <si>
    <t>Chart 49: Overall Index of Security from Risk Imposed by Poverty in Old Age, Canada and the Provinces, 1981 and 2010</t>
  </si>
  <si>
    <t>Chart 50: Index of the Security Domain in Canada and the Provinces, 1981 and 2010</t>
  </si>
  <si>
    <t>Chart 35: Employment Insurance Coverage Ratio, Canada and the Provinces, Per Cent, 1981 and 2010</t>
  </si>
  <si>
    <t>Chart 36: Average Proportion of Earnings Replaced by EI Benefits, Canada and the Provinces, Per Cent, 1981 and 2010</t>
  </si>
  <si>
    <t>Chart 37: Overall Index of Security from the Risk Imposed by Unemployment, Canada and the Provinces, 1981 and 2010</t>
  </si>
  <si>
    <t>Chart 34:  Unemployment Rate in Canada and the Provinces, 1981 and 2010, per cent</t>
  </si>
  <si>
    <t>Chart 33: Trends in the Unemployment Rate and the EI Replacement and Coverage rates, Canada, Per Cent, 1981-2010</t>
  </si>
  <si>
    <t>Chart 38: Private Medical Expenditures as a Proportion of Personal Disposable Income, Canada, Per Cent, 1981-2010</t>
  </si>
  <si>
    <t>Chart 39: Private Expenditure on Healthcare as a Proportion of Personal Disposable Income, Canada and the Provinces, 1981 and 2010, per cent</t>
  </si>
  <si>
    <t>Chart 40: Divorce Rate, Canada, Per Cent of Legally Married Couples per Year, 1981-2010</t>
  </si>
  <si>
    <t>Chart 41: Poverty Rate and Poverty Gap for Single-parent Families, Canada, 1981-2010</t>
  </si>
  <si>
    <t>Chart 31: Index of the Equality Domain in Canada and the Provinces, 1981 and 2010</t>
  </si>
  <si>
    <t>Chart 32: The Economic Security Domain and its Components, Canada, 1981 and 2010</t>
  </si>
  <si>
    <t>Chart 30: Average Poverty Gap Based on LIMs, Canada and the Provinces, 1981 and 2010</t>
  </si>
  <si>
    <t>Chart 44: Average Poverty Gap among Single-Parent Families, Canada and the Provinces, 1981 and 2010</t>
  </si>
  <si>
    <t>Chart 48: Average Poverty Gap for Elderly Families, Canada and the Provinces, 1981 and 2010</t>
  </si>
  <si>
    <t>Chart 16: Trends in Per-capita Wealth and its Components, Canada, 1981-2010, Indexed, 1981=100</t>
  </si>
  <si>
    <t>Chart 15: Components of the Wealth Domain, Canada, 2002 Dollars, 1981 and 2010</t>
  </si>
  <si>
    <t>VALUES</t>
  </si>
  <si>
    <t>Chart 8: Trends in Total Adjusted Consumption per Capita and its Components, Canada, 1981-2010, (1981=100)</t>
  </si>
  <si>
    <t>Chart 7: Components of the Consumption Domain, Canada, 2002 Dollars, 1981 and 2010</t>
  </si>
  <si>
    <t>Chart: Components of the Consumption Domain, Canada, 2002 Dollars, 1981 and 2010</t>
  </si>
  <si>
    <t>Chart 6: The Index of Economic Well-being and its Domains, Canada, 1981 and 2010</t>
  </si>
  <si>
    <t>Chart 5: Trends in the Four Domains of the Index of Economic Well-being, Canada, 1981-2010</t>
  </si>
  <si>
    <t>Growth of the IEWB and per-capita GDP, Canada and the Provinces, 1981-2010</t>
  </si>
  <si>
    <t>Growth of the IEWB and Per-capita GDP, Canada, 1981-2010</t>
  </si>
  <si>
    <t>Gross domestic product, chained (2002) dollars (Dollars)</t>
  </si>
  <si>
    <t>GDP</t>
  </si>
  <si>
    <t>GDP per Capita</t>
  </si>
  <si>
    <t>Index</t>
  </si>
  <si>
    <t>GDP Source: Statistics Canada, Cansim Table 384-0013</t>
  </si>
  <si>
    <t>Values for 2010 GDP based on growth rate for 2004-2009</t>
  </si>
  <si>
    <t>Indexed</t>
  </si>
  <si>
    <t>Chart 1: Trends in the Overall Index of Economic Well-being and GDP per Capita, Canada, 1981-2010, Indexed, 1981=100</t>
  </si>
  <si>
    <t>Average Annual Rate of Change (%):</t>
  </si>
  <si>
    <t>Appendix Table 30: Gross domestic product per capita, chained (2002), dollars</t>
  </si>
  <si>
    <t>Appendix Table 30-1: Gross domestic product, chained (2002), millions of dollars</t>
  </si>
  <si>
    <t>Chart 2: Growth of the Index of Economic Well-being and Per-capita GDP, Canada, 1981-2010</t>
  </si>
  <si>
    <t>Chart 4: Growth of the Index of Economic Well-being and Per-capita GDP, Canada and the Provinces, 1981-2010</t>
  </si>
  <si>
    <t>Alt 2</t>
  </si>
  <si>
    <t>Alt 1</t>
  </si>
  <si>
    <t>Alt 3</t>
  </si>
  <si>
    <t>Appendix Table 32: Alternative 2</t>
  </si>
  <si>
    <t>E=(0.2*A+0.1*B+0.4*C+0.3*D)</t>
  </si>
  <si>
    <t>E=(0.2*A'+0.1*B'+0.4*C+0.3*D)</t>
  </si>
  <si>
    <t>E=(A+B+D)/3</t>
  </si>
  <si>
    <t>E=(A'+B'+D)/3</t>
  </si>
  <si>
    <t>J=(F+G+I)/3</t>
  </si>
  <si>
    <t>J=(F'+G'+I)/3</t>
  </si>
  <si>
    <t>E=(0.2*F+0.1*G+0.4*H+0.3*I)</t>
  </si>
  <si>
    <t>E=(0.2*F'+0.1*G'+0.4*H+0.3*I)</t>
  </si>
  <si>
    <t>E=(0.4*A+0.1*B+0.25*C+0.25*D)</t>
  </si>
  <si>
    <t>E=(0.4*A'+0.1*B'+0.25*C+0.25*D)</t>
  </si>
  <si>
    <t>J=(0.4*F+0.1*G+0.25*H+0.25*I)</t>
  </si>
  <si>
    <t>J=(0.4*F'+0.1*G'+0.25*H+0.25*I)</t>
  </si>
  <si>
    <t>Appendix Table 31: Alternative 1</t>
  </si>
  <si>
    <t>Appendix Table 33: Alternative 3</t>
  </si>
  <si>
    <t>Chart 51: Index of Economic Well-being under Baseline and Alternative Weights</t>
  </si>
  <si>
    <t>Exhibit 5: Ranking of Provinces According to Economic Well-being under Baseline and Alternative Weights</t>
  </si>
  <si>
    <t>Highest well-being</t>
  </si>
  <si>
    <t>Lowest well-being</t>
  </si>
  <si>
    <t>Fastest IEWB growth</t>
  </si>
  <si>
    <t>Slowest IEWB growth</t>
  </si>
  <si>
    <t>Source: Table 7</t>
  </si>
  <si>
    <t>GROWTH</t>
  </si>
  <si>
    <t>RANK</t>
  </si>
  <si>
    <t>LEVEL</t>
  </si>
  <si>
    <t>Exhibit 3: Ranking by Index of Economic Well-being and Per-capita GDP, Canada and the Provinces</t>
  </si>
  <si>
    <t>Rank</t>
  </si>
  <si>
    <t>GDP Per Capita</t>
  </si>
  <si>
    <t>Growth Rate, 1981-2010</t>
  </si>
  <si>
    <t>Level, 2010</t>
  </si>
  <si>
    <t>GDP PER CAP LEVEL</t>
  </si>
  <si>
    <t>*****</t>
  </si>
  <si>
    <t>***</t>
  </si>
  <si>
    <t>81-89</t>
  </si>
  <si>
    <t>89-00</t>
  </si>
  <si>
    <t>00-08</t>
  </si>
  <si>
    <t>*</t>
  </si>
  <si>
    <t>Chart 3: Overall Index of Economic Well-being, Canada and the Provinces, 1981 and 2010</t>
  </si>
  <si>
    <t>Growth</t>
  </si>
  <si>
    <t>2010%of2008</t>
  </si>
  <si>
    <t>Prince Edward</t>
  </si>
  <si>
    <t>Island</t>
  </si>
  <si>
    <t>Table 2: Per-capita GDP, Canada and the Provinces, $2002, 1981-2010</t>
  </si>
  <si>
    <t>Table 1: Overall Index of Economic Well-being, Canada and the Provinces, 1981-2010</t>
  </si>
  <si>
    <t>Table 3: Index of the Consumption Domain, Canada and the Provinces, 1981-2010</t>
  </si>
  <si>
    <t>Table 3a: Total Per-capita Consumption Flows, Canada and the Provinces, $2002, 1981-2010</t>
  </si>
  <si>
    <t>Table 4: Index of the Wealth Domain, Canada and the Provinces, 1981-2010</t>
  </si>
  <si>
    <t>Table 4a: Total Per-capita Wealth Stocks, Canada and the Provinces, $2002, 1981-2010</t>
  </si>
  <si>
    <t>Table 5: Index of the Equality Domain, Canada and the Provinces, 1981-2010</t>
  </si>
  <si>
    <t>Table 6: Index of the Economic Security Domain, Canada and the Provinces, 1981-2010</t>
  </si>
  <si>
    <t>Change in Points</t>
  </si>
  <si>
    <t>Compound Annual Growth</t>
  </si>
  <si>
    <t>Baseline: 0.25 Consumption + 0.25 Wealth + 0.25 Equality + 0.25 Economic Security</t>
  </si>
  <si>
    <t>Alternative 1: 0.40 Consumption + 0.10 Wealth + 0.25 Equality + 0.25 Economic Security</t>
  </si>
  <si>
    <t>Alternative 2: 0.33 Consumption + 0.33 Wealth + 0.00 Equality + 0.33 Economic Security</t>
  </si>
  <si>
    <t>Alternative 3: 0.20 Consumption + 0.10 Wealth + 0.40 Equality + 0.30 Economic Security</t>
  </si>
  <si>
    <t>Weights:</t>
  </si>
  <si>
    <t>Source: CSLS Database for the IEWB for Canada and the Provinces - Table 9, Appendix Tables 31-33</t>
  </si>
  <si>
    <t>Table 7: Summary of the Effects of Alternative Weighting Schemes on the Index of Economic Well-being, Canada and the Provinces, 1981-2010</t>
  </si>
  <si>
    <t>81-10</t>
  </si>
  <si>
    <t>Absolute Change in Points</t>
  </si>
  <si>
    <t>Per cent Change</t>
  </si>
  <si>
    <t>Compound Annual Growth Rate</t>
  </si>
  <si>
    <t>Appendix Table 1: Personal Consumption Per Capita, Canada and the Provinces, $2002, 1981-2010</t>
  </si>
  <si>
    <t>Appendix Table 2: Average Family Size, Canada and the Provinces, Persons, 1981-2010</t>
  </si>
  <si>
    <t>Appendix Table 3: Per-capita Government Expenditures on Final Goods and Services, Canada and the Provinces, $2002, 1981-2010</t>
  </si>
  <si>
    <t>Appendix Table 4: Average Life Expectancy at Birth in the Total Population, Canada and the Provinces, Years, 1981-2010</t>
  </si>
  <si>
    <t>Appendix Table 5: Per-capita Value of Unpaid Work, Canada and the Provinces, $2002, 1981-2010</t>
  </si>
  <si>
    <t>Appendix Table 6: Per-capita Regrettable Expenditures, Canada and the Provinces, $2002, 1981-2010</t>
  </si>
  <si>
    <t>Appendix Table 7: Net Capital Stock Per Capita, Canada and the Provinces, $2002, 1981-2010</t>
  </si>
  <si>
    <t>Appendix Table 8: Per-capita R&amp;D Stock, Canada and the Provinces, $2002, 1981-2010</t>
  </si>
  <si>
    <t>Appendix Table 9: Per-capita Stock of Natural Resources, Canada and the Provinces, $2002, 1981-2010</t>
  </si>
  <si>
    <t>Appendix Table 10: Per-capita Net International Investment Position, Canada and the Provinces, $2002, 1981-2010</t>
  </si>
  <si>
    <t>Appendix Table 11: Per-capita Human Capital Stock, Canada and the Provinces, $2002, 1981-2010</t>
  </si>
  <si>
    <t>Appendix Table 12: Per-capita Social Costs of Greenhouse Gas Emissions, Canada and the Provinces, $2002, 1981-2010</t>
  </si>
  <si>
    <t>Appendix Table 12a: Total Greenhouse Gas Emissions, Canada and the Provinces, Millions of Tonnes of Carbon Dioxide-Equivalent, 1981-2010</t>
  </si>
  <si>
    <t>Appendix Table 13: Gini Coefficient, Canada and the Provinces, 1981-2010</t>
  </si>
  <si>
    <t>Appendix Table 14: Poverty Rate, Canada and the Provinces, per cent, 1981-2010</t>
  </si>
  <si>
    <t>Appendix Table 15: Poverty Gap, Canada and the Provinces, 1981-2010</t>
  </si>
  <si>
    <t>Appendix Table 16: Poverty Intensity, Canada and the Provinces, 1981-2010</t>
  </si>
  <si>
    <t>Appendix Table 17: Unemployment Rate, Canada and the Provinces, per cent, 1981-2010</t>
  </si>
  <si>
    <t>Appendix Table 18: Employment Insurance Coverage Rate, Canada and the Provinces, per cent, 1981-2010</t>
  </si>
  <si>
    <t>Appendix Table 19: Average Proportion of Earnings Replaced by Employment Insurance Benefits, Canada and the Provinces, per cent, 1981-2010</t>
  </si>
  <si>
    <t>Appendix Table 20: Index of the 'Security from the Risk of Unemployment' Component, Canada and the Provinces, 1981-2010</t>
  </si>
  <si>
    <t>Appendix Table 21: Private Medical Expenses as a Proportion of Disposable Income, Canada and the Provinces, per cent, 1981-2010</t>
  </si>
  <si>
    <t>Appendix Table 22: Index of the 'Financial Security from the Risk of Illness' Component, Canada and the Provinces, 1981-2010</t>
  </si>
  <si>
    <t>Appendix Table 23: Divorce Rate, Canada and the Provinces, per cent, 1981-2010</t>
  </si>
  <si>
    <t>Appendix Table 24: Poverty Rate for Single-Parent Families, Canada and the Provinces, per cent, 1981-2010</t>
  </si>
  <si>
    <t>Appendix Table 25: Poverty Gap for Single-Parent Families, Canada and the Provinces, 1981-2010</t>
  </si>
  <si>
    <t>Appendix Table 26: Index of the 'Security from Single-Parent Poverty' Component, Canada and the Provinces, 1981-2010</t>
  </si>
  <si>
    <t>Appendix Table 27: Poverty Rate for Elderly Families, Canada and the Provinces, per cent, 1981-2010</t>
  </si>
  <si>
    <t>Appendix Table 28: Poverty Gap for Elderly Families, Canada and the Provinces, 1981-2010</t>
  </si>
  <si>
    <t>Appendix Table 29: Index of the 'Security from Poverty in Old Age' Component, Canada and the Provinces, 1981-2010</t>
  </si>
  <si>
    <t>Appendix Table 31: Overall Index of Economic Well-being under Alternative Weighting Schemes, Canada and the Provinces, 1981-2010 --- Alternative 1</t>
  </si>
  <si>
    <t>Appendix Table 32: Overall Index of Economic Well-being under Alternative Weighting Schemes, Canada and the Provinces, 1981-2010 --- Alternative 2</t>
  </si>
  <si>
    <t>Source: CSLS Index of Economic Well-being database for Canada, Table 7</t>
  </si>
  <si>
    <t>Source: CSLS Index of Economic Well-being database for Canada, Appendix Table 1</t>
  </si>
  <si>
    <t>Source: CSLS Index of Economic Well-being database for Canada, Appendix Table 2</t>
  </si>
  <si>
    <t>Source: CSLS Index of Economic Well-being database for Canada, Appendix Table 6</t>
  </si>
  <si>
    <t>Source: CSLS Index of Economic Well-being database for Canada, Appendix Table 3</t>
  </si>
  <si>
    <t>Source: CSLS Index of Economic Well-being database for Canada, Appendix Table 5</t>
  </si>
  <si>
    <t>Source: CSLS Index of Economic Well-being database for Canada, Appendix Table 4</t>
  </si>
  <si>
    <t>Source: CSLS Index of Economic Well-being database for Canada, Appendix Table 7</t>
  </si>
  <si>
    <t>Source: CSLS Index of Economic Well-being database for Canada, Appendix Table 8</t>
  </si>
  <si>
    <t>Source: CSLS Index of Economic Well-being database for Canada, Appendix Table 13</t>
  </si>
  <si>
    <t>Source: CSLS Index of Economic Well-being database for Canada, Appendix Table 16</t>
  </si>
  <si>
    <t>Source: CSLS Index of Economic Well-being database for Canada, Appendix Table 15</t>
  </si>
  <si>
    <t>Source: CSLS Index of Economic Well-being database for Canada, Appendix Table 9</t>
  </si>
  <si>
    <t>Source: CSLS Index of Economic Well-being database for Canada, Appendix Table 17</t>
  </si>
  <si>
    <t>Source: CSLS Index of Economic Well-being database for Canada, Appendix Table 18</t>
  </si>
  <si>
    <t>Source: CSLS Index of Economic Well-being database for Canada, Appendix Table 20 (2)</t>
  </si>
  <si>
    <t>Source: CSLS Index of Economic Well-being database for Canada, Appendix Table 19</t>
  </si>
  <si>
    <t>Source: CSLS Index of Economic Well-being database for Canada, Appendix Table 23</t>
  </si>
  <si>
    <t>Source: CSLS Index of Economic Well-being database for Canada, Table 4</t>
  </si>
  <si>
    <t>Source: CSLS Index of Economic Well-being database for Canada, Appendix Table 26</t>
  </si>
  <si>
    <t>Source: CSLS Index of Economic Well-being database for Canada, Table 5</t>
  </si>
  <si>
    <t>Source: CSLS Index of Economic Well-being database for Canada, Appendix Table 27</t>
  </si>
  <si>
    <t>Source: CSLS Index of Economic Well-being database for Canada, Table 6</t>
  </si>
  <si>
    <t>Source: CSLS Index of Economic Well-being database for Canada, Appendix Table 31</t>
  </si>
  <si>
    <t>Source: CSLS Index of Economic Well-being database for Canada, Appendix Table 32</t>
  </si>
  <si>
    <t>Source: CSLS Index of Economic Well-being database for Canada, Appendix Table 33</t>
  </si>
  <si>
    <t>Appendix Table 30: Population Patterns Used to Calculate the Weights for the Index of Security, Canada and the Provinces, 1981-2010</t>
  </si>
  <si>
    <t>Source: CSLS Index of Economic Well-being database for Canada, Appendix Table 29</t>
  </si>
  <si>
    <t>Appendix Table 30 Continued, Page 2</t>
  </si>
  <si>
    <t>Appendix Table 30 Continued, Page 3</t>
  </si>
  <si>
    <t>Appendix Table 30 Continued, Page 4</t>
  </si>
  <si>
    <t>Appendix Table 33: Overall Index of Economic Well-being under Alternative Weighting Schemes, Canada and the Provinces, 1981-2010 --- Alternative 3</t>
  </si>
  <si>
    <t>List of Appendix Tables:</t>
  </si>
</sst>
</file>

<file path=xl/styles.xml><?xml version="1.0" encoding="utf-8"?>
<styleSheet xmlns="http://schemas.openxmlformats.org/spreadsheetml/2006/main">
  <numFmts count="13">
    <numFmt numFmtId="43" formatCode="_(* #,##0.00_);_(* \(#,##0.00\);_(* &quot;-&quot;??_);_(@_)"/>
    <numFmt numFmtId="164" formatCode="_-* #,##0.00_-;\-* #,##0.00_-;_-* &quot;-&quot;??_-;_-@_-"/>
    <numFmt numFmtId="165" formatCode="_ * #,##0.00_)\ _$_ ;_ * \(#,##0.00\)\ _$_ ;_ * &quot;-&quot;??_)\ _$_ ;_ @_ "/>
    <numFmt numFmtId="166" formatCode="0.0"/>
    <numFmt numFmtId="167" formatCode="0.000"/>
    <numFmt numFmtId="168" formatCode="#,##0.0"/>
    <numFmt numFmtId="169" formatCode="_(* #,##0_);_(* \(#,##0\);_(* &quot;-&quot;??_);_(@_)"/>
    <numFmt numFmtId="170" formatCode="0.0000"/>
    <numFmt numFmtId="171" formatCode="#,##0.0000"/>
    <numFmt numFmtId="172" formatCode="_-* #,##0_-;\-* #,##0_-;_-* &quot;-&quot;??_-;_-@_-"/>
    <numFmt numFmtId="173" formatCode="#,##0_ ;\-#,##0\ "/>
    <numFmt numFmtId="174" formatCode="0.00000000"/>
    <numFmt numFmtId="175" formatCode="#,##0.000"/>
  </numFmts>
  <fonts count="88">
    <font>
      <sz val="9.5"/>
      <name val="System"/>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5"/>
      <name val="System"/>
      <family val="2"/>
    </font>
    <font>
      <sz val="10"/>
      <name val="Times New Roman"/>
      <family val="1"/>
    </font>
    <font>
      <sz val="12"/>
      <name val="Times New Roman"/>
      <family val="1"/>
    </font>
    <font>
      <sz val="11"/>
      <name val="Times New Roman"/>
      <family val="1"/>
    </font>
    <font>
      <i/>
      <sz val="10"/>
      <name val="Times New Roman"/>
      <family val="1"/>
    </font>
    <font>
      <sz val="10"/>
      <name val="Times New Roman Cyr"/>
      <family val="1"/>
      <charset val="204"/>
    </font>
    <font>
      <sz val="12"/>
      <name val="Times New Roman Cyr"/>
      <family val="1"/>
      <charset val="204"/>
    </font>
    <font>
      <sz val="11"/>
      <name val="Times New Roman Cyr"/>
      <family val="1"/>
      <charset val="204"/>
    </font>
    <font>
      <sz val="10"/>
      <name val="Arial"/>
      <family val="2"/>
    </font>
    <font>
      <b/>
      <sz val="12"/>
      <name val="Arial"/>
      <family val="2"/>
      <charset val="204"/>
    </font>
    <font>
      <sz val="10"/>
      <name val="Arial"/>
      <family val="2"/>
      <charset val="204"/>
    </font>
    <font>
      <b/>
      <sz val="10"/>
      <name val="Arial"/>
      <family val="2"/>
      <charset val="204"/>
    </font>
    <font>
      <sz val="11"/>
      <name val="Arial"/>
      <family val="2"/>
      <charset val="204"/>
    </font>
    <font>
      <b/>
      <sz val="11"/>
      <name val="Arial"/>
      <family val="2"/>
      <charset val="204"/>
    </font>
    <font>
      <sz val="9"/>
      <name val="Arial"/>
      <family val="2"/>
      <charset val="204"/>
    </font>
    <font>
      <sz val="10"/>
      <name val="Times New Roman"/>
      <family val="1"/>
    </font>
    <font>
      <sz val="10"/>
      <name val="Helvetica"/>
      <family val="2"/>
    </font>
    <font>
      <b/>
      <sz val="10"/>
      <name val="Times New Roman"/>
      <family val="1"/>
    </font>
    <font>
      <sz val="8"/>
      <name val="Times New Roman"/>
      <family val="1"/>
    </font>
    <font>
      <sz val="9.5"/>
      <name val="Times New Roman"/>
      <family val="1"/>
    </font>
    <font>
      <b/>
      <sz val="11"/>
      <name val="Times New Roman"/>
      <family val="1"/>
    </font>
    <font>
      <sz val="9"/>
      <name val="Times New Roman"/>
      <family val="1"/>
    </font>
    <font>
      <sz val="10"/>
      <name val="Arial"/>
      <family val="2"/>
    </font>
    <font>
      <sz val="10"/>
      <name val="Times New Roman Cyr"/>
    </font>
    <font>
      <i/>
      <sz val="10"/>
      <name val="Times New Roman Cyr"/>
    </font>
    <font>
      <b/>
      <sz val="10"/>
      <name val="Times New Roman Cyr"/>
    </font>
    <font>
      <sz val="9.5"/>
      <name val="System"/>
      <family val="2"/>
    </font>
    <font>
      <sz val="10"/>
      <name val="Times New Roman"/>
      <family val="1"/>
    </font>
    <font>
      <b/>
      <u/>
      <sz val="10"/>
      <name val="Times New Roman"/>
      <family val="1"/>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8"/>
      <color indexed="81"/>
      <name val="Tahoma"/>
      <family val="2"/>
    </font>
    <font>
      <i/>
      <sz val="10"/>
      <name val="Times New Roman Cyr"/>
      <family val="1"/>
      <charset val="204"/>
    </font>
    <font>
      <sz val="11"/>
      <name val="Calibri"/>
      <family val="2"/>
      <scheme val="minor"/>
    </font>
    <font>
      <i/>
      <sz val="9.5"/>
      <name val="Times New Roman"/>
      <family val="1"/>
    </font>
    <font>
      <sz val="10"/>
      <color theme="1"/>
      <name val="Times New Roman"/>
      <family val="1"/>
    </font>
    <font>
      <sz val="10"/>
      <name val="Arial Unicode MS"/>
      <family val="2"/>
    </font>
    <font>
      <sz val="11"/>
      <color theme="1"/>
      <name val="Times New Roman"/>
      <family val="1"/>
    </font>
    <font>
      <sz val="8"/>
      <color indexed="81"/>
      <name val="Tahoma"/>
      <family val="2"/>
    </font>
    <font>
      <sz val="8"/>
      <name val="Arial"/>
      <family val="2"/>
    </font>
    <font>
      <b/>
      <sz val="8"/>
      <name val="Arial"/>
      <family val="2"/>
    </font>
    <font>
      <vertAlign val="superscript"/>
      <sz val="8"/>
      <name val="Arial"/>
      <family val="2"/>
    </font>
    <font>
      <b/>
      <vertAlign val="superscript"/>
      <sz val="8"/>
      <name val="Arial"/>
      <family val="2"/>
    </font>
    <font>
      <i/>
      <sz val="11"/>
      <color theme="1"/>
      <name val="Calibri"/>
      <family val="2"/>
      <scheme val="minor"/>
    </font>
    <font>
      <i/>
      <sz val="9.5"/>
      <name val="System"/>
      <family val="2"/>
    </font>
    <font>
      <sz val="10"/>
      <color theme="5"/>
      <name val="Times New Roman"/>
      <family val="1"/>
    </font>
    <font>
      <i/>
      <sz val="10"/>
      <color theme="5"/>
      <name val="Times New Roman"/>
      <family val="1"/>
    </font>
    <font>
      <b/>
      <sz val="12"/>
      <color rgb="FF4F81BD"/>
      <name val="Times New Roman"/>
      <family val="1"/>
    </font>
    <font>
      <b/>
      <sz val="9.5"/>
      <color rgb="FF0070C0"/>
      <name val="System"/>
      <family val="2"/>
    </font>
    <font>
      <sz val="11"/>
      <name val="Calibri"/>
      <family val="2"/>
    </font>
    <font>
      <sz val="10"/>
      <name val="Times New Roman"/>
      <family val="1"/>
      <charset val="204"/>
    </font>
    <font>
      <b/>
      <sz val="12"/>
      <color rgb="FF0070C0"/>
      <name val="Times New Roman"/>
      <family val="1"/>
    </font>
    <font>
      <b/>
      <sz val="11"/>
      <color rgb="FF4F81BD"/>
      <name val="Times New Roman"/>
      <family val="1"/>
    </font>
    <font>
      <sz val="9.5"/>
      <color rgb="FF0070C0"/>
      <name val="System"/>
      <family val="2"/>
    </font>
    <font>
      <sz val="9.5"/>
      <color rgb="FFC00000"/>
      <name val="System"/>
      <family val="2"/>
    </font>
    <font>
      <b/>
      <u/>
      <sz val="12"/>
      <name val="Times New Roman"/>
      <family val="1"/>
    </font>
    <font>
      <sz val="11"/>
      <color rgb="FF000000"/>
      <name val="Cambria"/>
      <family val="1"/>
    </font>
    <font>
      <sz val="12"/>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8"/>
      <name val="System"/>
      <family val="2"/>
    </font>
    <font>
      <b/>
      <u/>
      <sz val="8"/>
      <name val="Times New Roman"/>
      <family val="1"/>
    </font>
    <font>
      <b/>
      <u/>
      <sz val="8"/>
      <name val="System"/>
      <family val="2"/>
    </font>
    <font>
      <i/>
      <sz val="8"/>
      <name val="Times New Roman"/>
      <family val="1"/>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FF"/>
        <bgColor indexed="64"/>
      </patternFill>
    </fill>
    <fill>
      <patternFill patternType="solid">
        <fgColor rgb="FFD3DFEE"/>
        <bgColor indexed="64"/>
      </patternFill>
    </fill>
  </fills>
  <borders count="37">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medium">
        <color indexed="64"/>
      </top>
      <bottom/>
      <diagonal/>
    </border>
    <border>
      <left/>
      <right/>
      <top style="medium">
        <color indexed="64"/>
      </top>
      <bottom style="thin">
        <color indexed="64"/>
      </bottom>
      <diagonal/>
    </border>
    <border>
      <left/>
      <right/>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ck">
        <color rgb="FF4F81BD"/>
      </bottom>
      <diagonal/>
    </border>
    <border>
      <left/>
      <right style="medium">
        <color rgb="FF4F81BD"/>
      </right>
      <top/>
      <bottom/>
      <diagonal/>
    </border>
    <border>
      <left/>
      <right/>
      <top/>
      <bottom style="medium">
        <color rgb="FF4F81BD"/>
      </bottom>
      <diagonal/>
    </border>
    <border>
      <left/>
      <right style="medium">
        <color rgb="FF4F81BD"/>
      </right>
      <top/>
      <bottom style="medium">
        <color rgb="FF4F81BD"/>
      </bottom>
      <diagonal/>
    </border>
    <border>
      <left style="thick">
        <color indexed="64"/>
      </left>
      <right style="thick">
        <color indexed="64"/>
      </right>
      <top/>
      <bottom/>
      <diagonal/>
    </border>
    <border>
      <left style="thick">
        <color auto="1"/>
      </left>
      <right/>
      <top/>
      <bottom/>
      <diagonal/>
    </border>
    <border>
      <left/>
      <right style="thick">
        <color indexed="64"/>
      </right>
      <top/>
      <bottom/>
      <diagonal/>
    </border>
  </borders>
  <cellStyleXfs count="3427">
    <xf numFmtId="0" fontId="0"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9" fillId="26" borderId="0" applyNumberFormat="0" applyBorder="0" applyAlignment="0" applyProtection="0"/>
    <xf numFmtId="0" fontId="40" fillId="27" borderId="14" applyNumberFormat="0" applyAlignment="0" applyProtection="0"/>
    <xf numFmtId="0" fontId="41" fillId="28" borderId="15" applyNumberFormat="0" applyAlignment="0" applyProtection="0"/>
    <xf numFmtId="164" fontId="8" fillId="0" borderId="0" applyFont="0" applyFill="0" applyBorder="0" applyAlignment="0" applyProtection="0"/>
    <xf numFmtId="165" fontId="16" fillId="0" borderId="0" applyFont="0" applyFill="0" applyBorder="0" applyAlignment="0" applyProtection="0"/>
    <xf numFmtId="166" fontId="9" fillId="0" borderId="0">
      <alignment horizontal="center"/>
    </xf>
    <xf numFmtId="168" fontId="24" fillId="0" borderId="0">
      <alignment horizontal="right" vertical="center"/>
    </xf>
    <xf numFmtId="0" fontId="42" fillId="0" borderId="0" applyNumberFormat="0" applyFill="0" applyBorder="0" applyAlignment="0" applyProtection="0"/>
    <xf numFmtId="0" fontId="43" fillId="29" borderId="0" applyNumberFormat="0" applyBorder="0" applyAlignment="0" applyProtection="0"/>
    <xf numFmtId="0" fontId="44" fillId="0" borderId="16" applyNumberFormat="0" applyFill="0" applyAlignment="0" applyProtection="0"/>
    <xf numFmtId="0" fontId="45" fillId="0" borderId="17"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47" fillId="30" borderId="14" applyNumberFormat="0" applyAlignment="0" applyProtection="0"/>
    <xf numFmtId="0" fontId="48" fillId="0" borderId="19" applyNumberFormat="0" applyFill="0" applyAlignment="0" applyProtection="0"/>
    <xf numFmtId="0" fontId="49" fillId="31" borderId="0" applyNumberFormat="0" applyBorder="0" applyAlignment="0" applyProtection="0"/>
    <xf numFmtId="0" fontId="35" fillId="0" borderId="0"/>
    <xf numFmtId="0" fontId="37" fillId="0" borderId="0"/>
    <xf numFmtId="0" fontId="16" fillId="0" borderId="0"/>
    <xf numFmtId="0" fontId="23" fillId="0" borderId="0"/>
    <xf numFmtId="0" fontId="8" fillId="0" borderId="0"/>
    <xf numFmtId="0" fontId="8" fillId="0" borderId="0"/>
    <xf numFmtId="0" fontId="16" fillId="0" borderId="0"/>
    <xf numFmtId="0" fontId="34" fillId="0" borderId="0"/>
    <xf numFmtId="0" fontId="37" fillId="32" borderId="20" applyNumberFormat="0" applyFont="0" applyAlignment="0" applyProtection="0"/>
    <xf numFmtId="0" fontId="50" fillId="27" borderId="21" applyNumberFormat="0" applyAlignment="0" applyProtection="0"/>
    <xf numFmtId="9" fontId="8" fillId="0" borderId="0" applyFont="0" applyFill="0" applyBorder="0" applyAlignment="0" applyProtection="0"/>
    <xf numFmtId="0" fontId="51" fillId="0" borderId="0" applyNumberFormat="0" applyFill="0" applyBorder="0" applyAlignment="0" applyProtection="0"/>
    <xf numFmtId="0" fontId="52" fillId="0" borderId="22" applyNumberFormat="0" applyFill="0" applyAlignment="0" applyProtection="0"/>
    <xf numFmtId="0" fontId="53" fillId="0" borderId="0" applyNumberFormat="0" applyFill="0" applyBorder="0" applyAlignment="0" applyProtection="0"/>
    <xf numFmtId="0" fontId="7" fillId="32" borderId="20" applyNumberFormat="0" applyFont="0" applyAlignment="0" applyProtection="0"/>
    <xf numFmtId="0" fontId="7" fillId="32" borderId="20" applyNumberFormat="0" applyFont="0" applyAlignment="0" applyProtection="0"/>
    <xf numFmtId="0" fontId="7" fillId="32" borderId="20" applyNumberFormat="0" applyFont="0" applyAlignment="0" applyProtection="0"/>
    <xf numFmtId="0" fontId="7" fillId="32" borderId="20" applyNumberFormat="0" applyFont="0" applyAlignment="0" applyProtection="0"/>
    <xf numFmtId="0" fontId="7" fillId="32" borderId="20" applyNumberFormat="0" applyFont="0" applyAlignment="0" applyProtection="0"/>
    <xf numFmtId="0" fontId="7" fillId="4"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32" borderId="20"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32" borderId="20"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32" borderId="20" applyNumberFormat="0" applyFont="0" applyAlignment="0" applyProtection="0"/>
    <xf numFmtId="0" fontId="7" fillId="3"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32" borderId="20" applyNumberFormat="0" applyFont="0" applyAlignment="0" applyProtection="0"/>
    <xf numFmtId="0" fontId="7" fillId="10"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8" borderId="0" applyNumberFormat="0" applyBorder="0" applyAlignment="0" applyProtection="0"/>
    <xf numFmtId="0" fontId="7" fillId="32" borderId="20"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2"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0" borderId="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0" borderId="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0" borderId="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0" borderId="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0" borderId="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0" borderId="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0" borderId="0"/>
    <xf numFmtId="0" fontId="7" fillId="7" borderId="0" applyNumberFormat="0" applyBorder="0" applyAlignment="0" applyProtection="0"/>
    <xf numFmtId="0" fontId="7" fillId="13" borderId="0" applyNumberFormat="0" applyBorder="0" applyAlignment="0" applyProtection="0"/>
    <xf numFmtId="0" fontId="7" fillId="32" borderId="20" applyNumberFormat="0" applyFont="0" applyAlignment="0" applyProtection="0"/>
    <xf numFmtId="0" fontId="7" fillId="10" borderId="0" applyNumberFormat="0" applyBorder="0" applyAlignment="0" applyProtection="0"/>
    <xf numFmtId="0" fontId="7" fillId="32" borderId="20" applyNumberFormat="0" applyFont="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0" borderId="0"/>
    <xf numFmtId="0" fontId="7" fillId="0" borderId="0"/>
    <xf numFmtId="0" fontId="7" fillId="7" borderId="0" applyNumberFormat="0" applyBorder="0" applyAlignment="0" applyProtection="0"/>
    <xf numFmtId="0" fontId="7" fillId="13" borderId="0" applyNumberFormat="0" applyBorder="0" applyAlignment="0" applyProtection="0"/>
    <xf numFmtId="0" fontId="7" fillId="32" borderId="20" applyNumberFormat="0" applyFont="0" applyAlignment="0" applyProtection="0"/>
    <xf numFmtId="0" fontId="7" fillId="4"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32" borderId="20" applyNumberFormat="0" applyFont="0" applyAlignment="0" applyProtection="0"/>
    <xf numFmtId="0" fontId="7" fillId="5"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0" borderId="0"/>
    <xf numFmtId="0" fontId="7" fillId="0" borderId="0"/>
    <xf numFmtId="0" fontId="7" fillId="7" borderId="0" applyNumberFormat="0" applyBorder="0" applyAlignment="0" applyProtection="0"/>
    <xf numFmtId="0" fontId="7" fillId="13" borderId="0" applyNumberFormat="0" applyBorder="0" applyAlignment="0" applyProtection="0"/>
    <xf numFmtId="0" fontId="7" fillId="32" borderId="20" applyNumberFormat="0" applyFont="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0" borderId="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0" borderId="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0" borderId="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32" borderId="20" applyNumberFormat="0" applyFont="0" applyAlignment="0" applyProtection="0"/>
    <xf numFmtId="0" fontId="7" fillId="32" borderId="20" applyNumberFormat="0" applyFont="0" applyAlignment="0" applyProtection="0"/>
    <xf numFmtId="0" fontId="7" fillId="32" borderId="2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3"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32" borderId="20"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2"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32" borderId="20" applyNumberFormat="0" applyFont="0" applyAlignment="0" applyProtection="0"/>
    <xf numFmtId="0" fontId="7" fillId="9"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32" borderId="20" applyNumberFormat="0" applyFont="0" applyAlignment="0" applyProtection="0"/>
    <xf numFmtId="0" fontId="7" fillId="32" borderId="20" applyNumberFormat="0" applyFont="0" applyAlignment="0" applyProtection="0"/>
    <xf numFmtId="0" fontId="7" fillId="5" borderId="0" applyNumberFormat="0" applyBorder="0" applyAlignment="0" applyProtection="0"/>
    <xf numFmtId="0" fontId="7" fillId="11"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8"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32" borderId="20" applyNumberFormat="0" applyFont="0" applyAlignment="0" applyProtection="0"/>
    <xf numFmtId="0" fontId="7" fillId="5" borderId="0" applyNumberFormat="0" applyBorder="0" applyAlignment="0" applyProtection="0"/>
    <xf numFmtId="0" fontId="7" fillId="11" borderId="0" applyNumberFormat="0" applyBorder="0" applyAlignment="0" applyProtection="0"/>
    <xf numFmtId="0" fontId="7" fillId="2" borderId="0" applyNumberFormat="0" applyBorder="0" applyAlignment="0" applyProtection="0"/>
    <xf numFmtId="0" fontId="7" fillId="32" borderId="20"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32" borderId="20"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32" borderId="20"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32" borderId="20"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8"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32" borderId="20"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2"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8"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32" borderId="20" applyNumberFormat="0" applyFont="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6" fillId="0" borderId="0"/>
    <xf numFmtId="0" fontId="6" fillId="0" borderId="0"/>
    <xf numFmtId="0" fontId="6" fillId="0" borderId="0"/>
    <xf numFmtId="0" fontId="6" fillId="0" borderId="0"/>
    <xf numFmtId="0" fontId="6" fillId="32" borderId="20" applyNumberFormat="0" applyFont="0" applyAlignment="0" applyProtection="0"/>
    <xf numFmtId="0" fontId="6" fillId="0" borderId="0"/>
    <xf numFmtId="0" fontId="6" fillId="32" borderId="20" applyNumberFormat="0" applyFont="0" applyAlignment="0" applyProtection="0"/>
    <xf numFmtId="0" fontId="6" fillId="0" borderId="0"/>
    <xf numFmtId="0" fontId="6" fillId="0" borderId="0"/>
    <xf numFmtId="0" fontId="6" fillId="0" borderId="0"/>
    <xf numFmtId="0" fontId="6" fillId="32" borderId="20" applyNumberFormat="0" applyFont="0" applyAlignment="0" applyProtection="0"/>
    <xf numFmtId="0" fontId="6" fillId="0" borderId="0"/>
    <xf numFmtId="0" fontId="6" fillId="32" borderId="20" applyNumberFormat="0" applyFont="0" applyAlignment="0" applyProtection="0"/>
    <xf numFmtId="0" fontId="6" fillId="32" borderId="20" applyNumberFormat="0" applyFont="0" applyAlignment="0" applyProtection="0"/>
    <xf numFmtId="0" fontId="6" fillId="0" borderId="0"/>
    <xf numFmtId="0" fontId="6" fillId="4"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0" borderId="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0" borderId="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32" borderId="20"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32" borderId="20" applyNumberFormat="0" applyFont="0" applyAlignment="0" applyProtection="0"/>
    <xf numFmtId="0" fontId="6" fillId="5" borderId="0" applyNumberFormat="0" applyBorder="0" applyAlignment="0" applyProtection="0"/>
    <xf numFmtId="0" fontId="6" fillId="11" borderId="0" applyNumberFormat="0" applyBorder="0" applyAlignment="0" applyProtection="0"/>
    <xf numFmtId="0" fontId="6" fillId="32" borderId="20"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32" borderId="20"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32" borderId="20"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8"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9" borderId="0" applyNumberFormat="0" applyBorder="0" applyAlignment="0" applyProtection="0"/>
    <xf numFmtId="0" fontId="6" fillId="32" borderId="20"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2"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32" borderId="20" applyNumberFormat="0" applyFont="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32" borderId="20" applyNumberFormat="0" applyFont="0" applyAlignment="0" applyProtection="0"/>
    <xf numFmtId="0" fontId="6" fillId="32" borderId="20" applyNumberFormat="0" applyFont="0" applyAlignment="0" applyProtection="0"/>
    <xf numFmtId="0" fontId="6" fillId="32" borderId="20" applyNumberFormat="0" applyFont="0" applyAlignment="0" applyProtection="0"/>
    <xf numFmtId="0" fontId="6" fillId="4"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2" borderId="20" applyNumberFormat="0" applyFont="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5" fillId="0" borderId="0"/>
    <xf numFmtId="0" fontId="5" fillId="0" borderId="0"/>
    <xf numFmtId="0" fontId="5" fillId="32" borderId="20" applyNumberFormat="0" applyFont="0" applyAlignment="0" applyProtection="0"/>
    <xf numFmtId="0" fontId="5" fillId="32" borderId="20" applyNumberFormat="0" applyFont="0" applyAlignment="0" applyProtection="0"/>
    <xf numFmtId="0" fontId="5" fillId="0" borderId="0"/>
    <xf numFmtId="0" fontId="5" fillId="32" borderId="20" applyNumberFormat="0" applyFont="0" applyAlignment="0" applyProtection="0"/>
    <xf numFmtId="0" fontId="5" fillId="2"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2" borderId="0" applyNumberFormat="0" applyBorder="0" applyAlignment="0" applyProtection="0"/>
    <xf numFmtId="0" fontId="5" fillId="4"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8" borderId="0" applyNumberFormat="0" applyBorder="0" applyAlignment="0" applyProtection="0"/>
    <xf numFmtId="0" fontId="5" fillId="32" borderId="20"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2"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9"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9"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4" fillId="0" borderId="0"/>
    <xf numFmtId="0" fontId="4" fillId="32" borderId="20" applyNumberFormat="0" applyFont="0" applyAlignment="0" applyProtection="0"/>
    <xf numFmtId="0" fontId="4" fillId="0" borderId="0"/>
    <xf numFmtId="0" fontId="4" fillId="32" borderId="2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9"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3" fillId="32" borderId="20" applyNumberFormat="0" applyFont="0" applyAlignment="0" applyProtection="0"/>
    <xf numFmtId="0" fontId="3" fillId="32" borderId="20" applyNumberFormat="0" applyFont="0" applyAlignment="0" applyProtection="0"/>
    <xf numFmtId="0" fontId="3" fillId="32" borderId="20" applyNumberFormat="0" applyFont="0" applyAlignment="0" applyProtection="0"/>
    <xf numFmtId="0" fontId="3" fillId="32" borderId="20" applyNumberFormat="0" applyFont="0" applyAlignment="0" applyProtection="0"/>
    <xf numFmtId="0" fontId="3" fillId="32" borderId="20" applyNumberFormat="0" applyFont="0" applyAlignment="0" applyProtection="0"/>
    <xf numFmtId="0" fontId="3" fillId="4"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2" borderId="20" applyNumberFormat="0" applyFont="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2" borderId="20" applyNumberFormat="0" applyFont="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2" borderId="20" applyNumberFormat="0" applyFont="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2" borderId="20" applyNumberFormat="0" applyFont="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2" borderId="20" applyNumberFormat="0" applyFont="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2" borderId="20" applyNumberFormat="0" applyFont="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16" fillId="0" borderId="0"/>
    <xf numFmtId="0" fontId="2" fillId="0" borderId="0"/>
    <xf numFmtId="0" fontId="2" fillId="32" borderId="2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20" applyNumberFormat="0" applyFont="0" applyAlignment="0" applyProtection="0"/>
    <xf numFmtId="43" fontId="9" fillId="0" borderId="0" applyFont="0" applyFill="0" applyBorder="0" applyAlignment="0" applyProtection="0"/>
  </cellStyleXfs>
  <cellXfs count="669">
    <xf numFmtId="0" fontId="0" fillId="0" borderId="0" xfId="0"/>
    <xf numFmtId="0" fontId="9" fillId="0" borderId="0" xfId="0" applyFont="1"/>
    <xf numFmtId="0" fontId="10" fillId="0" borderId="0" xfId="0" applyFont="1"/>
    <xf numFmtId="0" fontId="11" fillId="0" borderId="0" xfId="0" applyFont="1"/>
    <xf numFmtId="0" fontId="9" fillId="0" borderId="0" xfId="0" applyFont="1" applyAlignment="1">
      <alignment horizontal="center" wrapText="1"/>
    </xf>
    <xf numFmtId="0" fontId="9" fillId="0" borderId="0" xfId="0" applyFont="1" applyAlignment="1">
      <alignment horizontal="center"/>
    </xf>
    <xf numFmtId="166" fontId="9" fillId="0" borderId="0" xfId="0" applyNumberFormat="1" applyFont="1" applyAlignment="1">
      <alignment horizontal="center"/>
    </xf>
    <xf numFmtId="3" fontId="9" fillId="0" borderId="0" xfId="0" applyNumberFormat="1" applyFont="1" applyAlignment="1">
      <alignment horizontal="center"/>
    </xf>
    <xf numFmtId="0" fontId="9" fillId="0" borderId="0" xfId="0" applyFont="1" applyAlignment="1">
      <alignment horizontal="left"/>
    </xf>
    <xf numFmtId="167" fontId="9" fillId="0" borderId="0" xfId="0" applyNumberFormat="1" applyFont="1" applyAlignment="1">
      <alignment horizontal="center"/>
    </xf>
    <xf numFmtId="0" fontId="11" fillId="0" borderId="0" xfId="0" applyFont="1" applyAlignment="1">
      <alignment horizontal="center"/>
    </xf>
    <xf numFmtId="4" fontId="9" fillId="0" borderId="0" xfId="0" applyNumberFormat="1" applyFont="1" applyAlignment="1">
      <alignment horizontal="center"/>
    </xf>
    <xf numFmtId="0" fontId="11" fillId="0" borderId="0" xfId="0" applyFont="1" applyAlignment="1">
      <alignment horizontal="center" wrapText="1"/>
    </xf>
    <xf numFmtId="2" fontId="9" fillId="0" borderId="0" xfId="0" applyNumberFormat="1" applyFont="1" applyAlignment="1">
      <alignment horizontal="center"/>
    </xf>
    <xf numFmtId="0" fontId="13" fillId="0" borderId="0" xfId="0" applyFont="1"/>
    <xf numFmtId="0" fontId="14" fillId="0" borderId="0" xfId="0" applyFont="1"/>
    <xf numFmtId="0" fontId="15" fillId="0" borderId="0" xfId="0" applyFont="1" applyAlignment="1">
      <alignment horizontal="center"/>
    </xf>
    <xf numFmtId="168" fontId="9" fillId="0" borderId="0" xfId="0" applyNumberFormat="1" applyFont="1" applyAlignment="1">
      <alignment horizontal="center"/>
    </xf>
    <xf numFmtId="0" fontId="17" fillId="0" borderId="0" xfId="47" applyFont="1"/>
    <xf numFmtId="0" fontId="18" fillId="0" borderId="1" xfId="47" applyFont="1" applyBorder="1" applyAlignment="1">
      <alignment horizontal="left"/>
    </xf>
    <xf numFmtId="0" fontId="18" fillId="0" borderId="0" xfId="47" applyFont="1" applyBorder="1" applyAlignment="1">
      <alignment horizontal="left"/>
    </xf>
    <xf numFmtId="0" fontId="19" fillId="0" borderId="2" xfId="47" applyFont="1" applyBorder="1" applyAlignment="1">
      <alignment horizontal="left" vertical="top"/>
    </xf>
    <xf numFmtId="0" fontId="19" fillId="0" borderId="5" xfId="47" applyFont="1" applyBorder="1" applyAlignment="1">
      <alignment horizontal="left" vertical="top"/>
    </xf>
    <xf numFmtId="0" fontId="20" fillId="0" borderId="0" xfId="47" applyFont="1" applyBorder="1"/>
    <xf numFmtId="0" fontId="19" fillId="0" borderId="0" xfId="47" applyFont="1" applyBorder="1"/>
    <xf numFmtId="0" fontId="22" fillId="0" borderId="0" xfId="47" applyFont="1" applyBorder="1"/>
    <xf numFmtId="0" fontId="22" fillId="0" borderId="0" xfId="47" applyFont="1" applyBorder="1" applyAlignment="1"/>
    <xf numFmtId="0" fontId="22" fillId="0" borderId="0" xfId="47" applyFont="1" applyBorder="1" applyAlignment="1">
      <alignment horizontal="center" vertical="top" wrapText="1"/>
    </xf>
    <xf numFmtId="3" fontId="9" fillId="0" borderId="0" xfId="0" applyNumberFormat="1" applyFont="1" applyAlignment="1">
      <alignment horizontal="left"/>
    </xf>
    <xf numFmtId="0" fontId="21" fillId="0" borderId="0" xfId="47" applyFont="1"/>
    <xf numFmtId="0" fontId="16" fillId="0" borderId="0" xfId="47" applyFont="1" applyBorder="1"/>
    <xf numFmtId="0" fontId="9" fillId="0" borderId="0" xfId="47" applyFont="1" applyBorder="1" applyAlignment="1">
      <alignment horizontal="left"/>
    </xf>
    <xf numFmtId="0" fontId="9" fillId="0" borderId="0" xfId="47" applyFont="1" applyBorder="1" applyAlignment="1">
      <alignment horizontal="center"/>
    </xf>
    <xf numFmtId="166" fontId="9" fillId="0" borderId="0" xfId="47" applyNumberFormat="1" applyFont="1" applyBorder="1"/>
    <xf numFmtId="2" fontId="9" fillId="0" borderId="0" xfId="47" applyNumberFormat="1" applyFont="1" applyBorder="1"/>
    <xf numFmtId="0" fontId="9" fillId="0" borderId="0" xfId="47" applyFont="1" applyBorder="1"/>
    <xf numFmtId="2" fontId="9" fillId="0" borderId="0" xfId="47" applyNumberFormat="1" applyFont="1" applyBorder="1" applyAlignment="1">
      <alignment horizontal="center"/>
    </xf>
    <xf numFmtId="0" fontId="9" fillId="0" borderId="0" xfId="47" applyFont="1" applyBorder="1" applyAlignment="1">
      <alignment horizontal="center" vertical="top" wrapText="1"/>
    </xf>
    <xf numFmtId="0" fontId="11" fillId="0" borderId="0" xfId="47" applyFont="1" applyBorder="1" applyAlignment="1">
      <alignment horizontal="left"/>
    </xf>
    <xf numFmtId="0" fontId="11" fillId="0" borderId="0" xfId="47" applyFont="1" applyBorder="1" applyAlignment="1">
      <alignment horizontal="left" vertical="top"/>
    </xf>
    <xf numFmtId="0" fontId="10" fillId="0" borderId="0" xfId="47" applyFont="1" applyBorder="1" applyAlignment="1">
      <alignment horizontal="left"/>
    </xf>
    <xf numFmtId="0" fontId="9" fillId="0" borderId="0" xfId="47" applyFont="1" applyBorder="1" applyAlignment="1">
      <alignment horizontal="center" wrapText="1"/>
    </xf>
    <xf numFmtId="3" fontId="9" fillId="0" borderId="0" xfId="47" applyNumberFormat="1" applyFont="1" applyBorder="1" applyAlignment="1">
      <alignment horizontal="center"/>
    </xf>
    <xf numFmtId="167" fontId="9" fillId="0" borderId="0" xfId="47" applyNumberFormat="1" applyFont="1" applyBorder="1" applyAlignment="1">
      <alignment horizontal="center"/>
    </xf>
    <xf numFmtId="170" fontId="9" fillId="0" borderId="0" xfId="0" applyNumberFormat="1" applyFont="1" applyAlignment="1">
      <alignment horizontal="center"/>
    </xf>
    <xf numFmtId="0" fontId="25" fillId="0" borderId="0" xfId="46" applyFont="1" applyAlignment="1">
      <alignment horizontal="left" vertical="center"/>
    </xf>
    <xf numFmtId="0" fontId="9" fillId="0" borderId="0" xfId="46" applyFont="1"/>
    <xf numFmtId="0" fontId="9" fillId="0" borderId="10" xfId="46" applyFont="1" applyBorder="1" applyAlignment="1">
      <alignment vertical="center"/>
    </xf>
    <xf numFmtId="3" fontId="9" fillId="0" borderId="10" xfId="46" applyNumberFormat="1" applyFont="1" applyBorder="1" applyAlignment="1">
      <alignment horizontal="center" vertical="center"/>
    </xf>
    <xf numFmtId="0" fontId="9" fillId="0" borderId="10" xfId="46" applyFont="1" applyBorder="1"/>
    <xf numFmtId="0" fontId="9" fillId="0" borderId="0" xfId="46" applyFont="1" applyAlignment="1">
      <alignment vertical="center"/>
    </xf>
    <xf numFmtId="4" fontId="9" fillId="0" borderId="0" xfId="46" applyNumberFormat="1" applyFont="1" applyAlignment="1">
      <alignment horizontal="center" vertical="center"/>
    </xf>
    <xf numFmtId="4" fontId="9" fillId="0" borderId="10" xfId="46" applyNumberFormat="1" applyFont="1" applyBorder="1" applyAlignment="1">
      <alignment horizontal="center" vertical="center"/>
    </xf>
    <xf numFmtId="0" fontId="9" fillId="0" borderId="0" xfId="46" applyFont="1" applyBorder="1" applyAlignment="1">
      <alignment vertical="center"/>
    </xf>
    <xf numFmtId="171" fontId="9" fillId="0" borderId="0" xfId="46" applyNumberFormat="1" applyFont="1" applyBorder="1" applyAlignment="1">
      <alignment horizontal="center" vertical="center"/>
    </xf>
    <xf numFmtId="0" fontId="9" fillId="0" borderId="0" xfId="46" applyFont="1" applyBorder="1"/>
    <xf numFmtId="4" fontId="9" fillId="0" borderId="0" xfId="46" applyNumberFormat="1" applyFont="1" applyBorder="1" applyAlignment="1">
      <alignment horizontal="center" vertical="center"/>
    </xf>
    <xf numFmtId="0" fontId="9" fillId="0" borderId="4" xfId="46" applyFont="1" applyBorder="1" applyAlignment="1">
      <alignment vertical="center"/>
    </xf>
    <xf numFmtId="4" fontId="9" fillId="0" borderId="4" xfId="46" applyNumberFormat="1" applyFont="1" applyBorder="1" applyAlignment="1">
      <alignment horizontal="center" vertical="center"/>
    </xf>
    <xf numFmtId="0" fontId="9" fillId="0" borderId="4" xfId="46" applyFont="1" applyBorder="1"/>
    <xf numFmtId="0" fontId="9" fillId="0" borderId="11" xfId="46" applyFont="1" applyBorder="1" applyAlignment="1">
      <alignment vertical="center"/>
    </xf>
    <xf numFmtId="4" fontId="9" fillId="0" borderId="11" xfId="46" applyNumberFormat="1" applyFont="1" applyBorder="1" applyAlignment="1">
      <alignment horizontal="center" vertical="center"/>
    </xf>
    <xf numFmtId="0" fontId="9" fillId="0" borderId="11" xfId="46" applyFont="1" applyBorder="1"/>
    <xf numFmtId="0" fontId="9" fillId="0" borderId="0" xfId="46" applyFont="1" applyAlignment="1">
      <alignment vertical="center" wrapText="1"/>
    </xf>
    <xf numFmtId="49" fontId="9" fillId="0" borderId="0" xfId="46" applyNumberFormat="1" applyFont="1" applyAlignment="1">
      <alignment vertical="center"/>
    </xf>
    <xf numFmtId="0" fontId="10" fillId="0" borderId="0" xfId="46" applyFont="1" applyAlignment="1">
      <alignment horizontal="left" vertical="center"/>
    </xf>
    <xf numFmtId="0" fontId="11" fillId="0" borderId="0" xfId="46" applyFont="1" applyAlignment="1">
      <alignment horizontal="center" vertical="center"/>
    </xf>
    <xf numFmtId="0" fontId="11" fillId="0" borderId="0" xfId="46" applyFont="1" applyAlignment="1">
      <alignment horizontal="center"/>
    </xf>
    <xf numFmtId="0" fontId="9" fillId="0" borderId="10" xfId="46" applyFont="1" applyBorder="1" applyAlignment="1">
      <alignment horizontal="center"/>
    </xf>
    <xf numFmtId="0" fontId="9" fillId="0" borderId="0" xfId="46" applyFont="1" applyAlignment="1">
      <alignment horizontal="center"/>
    </xf>
    <xf numFmtId="0" fontId="9" fillId="0" borderId="0" xfId="46" applyFont="1" applyBorder="1" applyAlignment="1">
      <alignment horizontal="center"/>
    </xf>
    <xf numFmtId="0" fontId="9" fillId="0" borderId="4" xfId="46" applyFont="1" applyBorder="1" applyAlignment="1">
      <alignment horizontal="center"/>
    </xf>
    <xf numFmtId="3" fontId="9" fillId="0" borderId="10" xfId="46" applyNumberFormat="1" applyFont="1" applyBorder="1" applyAlignment="1">
      <alignment horizontal="center"/>
    </xf>
    <xf numFmtId="170" fontId="9" fillId="0" borderId="0" xfId="46" applyNumberFormat="1" applyFont="1" applyAlignment="1">
      <alignment horizontal="center" vertical="center"/>
    </xf>
    <xf numFmtId="170" fontId="9" fillId="0" borderId="0" xfId="46" applyNumberFormat="1" applyFont="1" applyAlignment="1">
      <alignment horizontal="center"/>
    </xf>
    <xf numFmtId="2" fontId="9" fillId="0" borderId="0" xfId="46" applyNumberFormat="1" applyFont="1" applyAlignment="1">
      <alignment horizontal="center"/>
    </xf>
    <xf numFmtId="0" fontId="25" fillId="0" borderId="0" xfId="0" applyFont="1"/>
    <xf numFmtId="0" fontId="9" fillId="0" borderId="0" xfId="47" applyFont="1"/>
    <xf numFmtId="0" fontId="9" fillId="0" borderId="0" xfId="47" applyFont="1" applyAlignment="1">
      <alignment horizontal="left"/>
    </xf>
    <xf numFmtId="0" fontId="26" fillId="0" borderId="0" xfId="47" applyFont="1" applyBorder="1"/>
    <xf numFmtId="166" fontId="9" fillId="0" borderId="0" xfId="47" applyNumberFormat="1" applyFont="1" applyAlignment="1">
      <alignment horizontal="center"/>
    </xf>
    <xf numFmtId="2" fontId="27" fillId="0" borderId="0" xfId="0" applyNumberFormat="1" applyFont="1" applyAlignment="1">
      <alignment horizontal="center"/>
    </xf>
    <xf numFmtId="167" fontId="27" fillId="0" borderId="0" xfId="0" applyNumberFormat="1" applyFont="1" applyBorder="1" applyAlignment="1">
      <alignment horizontal="center"/>
    </xf>
    <xf numFmtId="167" fontId="27" fillId="0" borderId="0" xfId="0" applyNumberFormat="1" applyFont="1" applyBorder="1" applyAlignment="1">
      <alignment horizontal="center" vertical="center"/>
    </xf>
    <xf numFmtId="2" fontId="9" fillId="0" borderId="0" xfId="47" applyNumberFormat="1" applyFont="1" applyAlignment="1">
      <alignment horizontal="center"/>
    </xf>
    <xf numFmtId="166" fontId="9" fillId="0" borderId="0" xfId="47" applyNumberFormat="1" applyFont="1" applyBorder="1" applyAlignment="1">
      <alignment horizontal="center"/>
    </xf>
    <xf numFmtId="0" fontId="9" fillId="0" borderId="0" xfId="47" applyFont="1" applyAlignment="1">
      <alignment horizontal="center"/>
    </xf>
    <xf numFmtId="167" fontId="9" fillId="0" borderId="0" xfId="47" applyNumberFormat="1" applyFont="1" applyBorder="1" applyAlignment="1">
      <alignment horizontal="center" vertical="center"/>
    </xf>
    <xf numFmtId="2" fontId="27" fillId="0" borderId="0" xfId="0" applyNumberFormat="1" applyFont="1" applyBorder="1" applyAlignment="1">
      <alignment horizontal="center"/>
    </xf>
    <xf numFmtId="0" fontId="28" fillId="0" borderId="0" xfId="47" applyFont="1"/>
    <xf numFmtId="2" fontId="9" fillId="0" borderId="0" xfId="47" applyNumberFormat="1" applyFont="1"/>
    <xf numFmtId="0" fontId="10" fillId="0" borderId="0" xfId="47" applyFont="1" applyAlignment="1">
      <alignment horizontal="left"/>
    </xf>
    <xf numFmtId="0" fontId="10" fillId="0" borderId="0" xfId="47" applyFont="1"/>
    <xf numFmtId="0" fontId="10" fillId="0" borderId="0" xfId="47" quotePrefix="1" applyFont="1" applyAlignment="1">
      <alignment horizontal="left"/>
    </xf>
    <xf numFmtId="0" fontId="26" fillId="0" borderId="0" xfId="47" applyFont="1" applyAlignment="1">
      <alignment horizontal="left"/>
    </xf>
    <xf numFmtId="0" fontId="10" fillId="0" borderId="0" xfId="47" applyFont="1" applyBorder="1"/>
    <xf numFmtId="0" fontId="25" fillId="0" borderId="0" xfId="47" applyFont="1" applyBorder="1"/>
    <xf numFmtId="0" fontId="29" fillId="0" borderId="0" xfId="47" applyFont="1" applyBorder="1" applyAlignment="1">
      <alignment horizontal="center" vertical="top" wrapText="1"/>
    </xf>
    <xf numFmtId="168" fontId="29" fillId="0" borderId="0" xfId="47" applyNumberFormat="1" applyFont="1" applyBorder="1" applyAlignment="1">
      <alignment horizontal="center" vertical="top" wrapText="1"/>
    </xf>
    <xf numFmtId="168" fontId="29" fillId="0" borderId="0" xfId="47" applyNumberFormat="1" applyFont="1" applyBorder="1" applyAlignment="1">
      <alignment horizontal="center"/>
    </xf>
    <xf numFmtId="168" fontId="29" fillId="0" borderId="0" xfId="29" applyNumberFormat="1" applyFont="1" applyBorder="1" applyAlignment="1">
      <alignment horizontal="center"/>
    </xf>
    <xf numFmtId="0" fontId="29" fillId="0" borderId="0" xfId="43" applyFont="1" applyBorder="1"/>
    <xf numFmtId="0" fontId="29" fillId="0" borderId="0" xfId="47" applyFont="1" applyBorder="1"/>
    <xf numFmtId="166" fontId="29" fillId="0" borderId="0" xfId="29" applyNumberFormat="1" applyFont="1" applyBorder="1" applyAlignment="1"/>
    <xf numFmtId="166" fontId="29" fillId="0" borderId="0" xfId="47" applyNumberFormat="1" applyFont="1" applyBorder="1"/>
    <xf numFmtId="166" fontId="29" fillId="0" borderId="0" xfId="47" applyNumberFormat="1" applyFont="1" applyBorder="1" applyAlignment="1"/>
    <xf numFmtId="0" fontId="9" fillId="0" borderId="0" xfId="47" applyFont="1" applyAlignment="1">
      <alignment horizontal="center" wrapText="1"/>
    </xf>
    <xf numFmtId="0" fontId="25" fillId="0" borderId="0" xfId="47" applyFont="1" applyBorder="1" applyAlignment="1">
      <alignment horizontal="center"/>
    </xf>
    <xf numFmtId="0" fontId="25" fillId="0" borderId="0" xfId="47" applyFont="1" applyAlignment="1">
      <alignment horizontal="center"/>
    </xf>
    <xf numFmtId="0" fontId="9" fillId="0" borderId="0" xfId="47" applyFont="1" applyBorder="1" applyAlignment="1">
      <alignment horizontal="right"/>
    </xf>
    <xf numFmtId="0" fontId="25" fillId="0" borderId="0" xfId="47" applyFont="1"/>
    <xf numFmtId="167" fontId="9" fillId="0" borderId="0" xfId="47" applyNumberFormat="1" applyFont="1" applyAlignment="1">
      <alignment horizontal="center"/>
    </xf>
    <xf numFmtId="0" fontId="9" fillId="0" borderId="0" xfId="47" quotePrefix="1" applyFont="1" applyAlignment="1">
      <alignment horizontal="left"/>
    </xf>
    <xf numFmtId="0" fontId="25" fillId="0" borderId="0" xfId="47" quotePrefix="1" applyFont="1" applyBorder="1" applyAlignment="1">
      <alignment horizontal="left"/>
    </xf>
    <xf numFmtId="171" fontId="9" fillId="0" borderId="0" xfId="0" applyNumberFormat="1" applyFont="1" applyAlignment="1">
      <alignment horizontal="center"/>
    </xf>
    <xf numFmtId="167" fontId="9" fillId="0" borderId="0" xfId="47" applyNumberFormat="1" applyFont="1"/>
    <xf numFmtId="0" fontId="23" fillId="0" borderId="0" xfId="44"/>
    <xf numFmtId="3" fontId="12" fillId="0" borderId="0" xfId="0" applyNumberFormat="1" applyFont="1" applyAlignment="1">
      <alignment horizontal="center"/>
    </xf>
    <xf numFmtId="166" fontId="12" fillId="0" borderId="0" xfId="0" applyNumberFormat="1" applyFont="1" applyAlignment="1">
      <alignment horizontal="center"/>
    </xf>
    <xf numFmtId="168" fontId="12" fillId="0" borderId="0" xfId="0" applyNumberFormat="1" applyFont="1" applyAlignment="1">
      <alignment horizontal="center"/>
    </xf>
    <xf numFmtId="3" fontId="25" fillId="0" borderId="0" xfId="0" applyNumberFormat="1" applyFont="1" applyAlignment="1">
      <alignment horizontal="center"/>
    </xf>
    <xf numFmtId="4" fontId="12" fillId="0" borderId="0" xfId="0" applyNumberFormat="1" applyFont="1" applyAlignment="1">
      <alignment horizontal="center"/>
    </xf>
    <xf numFmtId="2" fontId="12" fillId="0" borderId="0" xfId="0" applyNumberFormat="1" applyFont="1" applyAlignment="1">
      <alignment horizontal="center"/>
    </xf>
    <xf numFmtId="0" fontId="9" fillId="0" borderId="0" xfId="0" applyFont="1" applyAlignment="1"/>
    <xf numFmtId="1" fontId="9" fillId="0" borderId="0" xfId="0" applyNumberFormat="1" applyFont="1"/>
    <xf numFmtId="0" fontId="23" fillId="0" borderId="0" xfId="44" applyFont="1"/>
    <xf numFmtId="0" fontId="30" fillId="0" borderId="0" xfId="0" applyFont="1"/>
    <xf numFmtId="2" fontId="23" fillId="0" borderId="0" xfId="44" applyNumberFormat="1"/>
    <xf numFmtId="168" fontId="31" fillId="0" borderId="0" xfId="0" applyNumberFormat="1" applyFont="1" applyAlignment="1">
      <alignment horizontal="center"/>
    </xf>
    <xf numFmtId="168" fontId="32" fillId="0" borderId="0" xfId="0" applyNumberFormat="1" applyFont="1" applyAlignment="1">
      <alignment horizontal="center"/>
    </xf>
    <xf numFmtId="0" fontId="9" fillId="0" borderId="0" xfId="0" applyFont="1" applyAlignment="1">
      <alignment horizontal="centerContinuous"/>
    </xf>
    <xf numFmtId="0" fontId="11" fillId="0" borderId="0" xfId="0" applyFont="1" applyAlignment="1">
      <alignment horizontal="centerContinuous"/>
    </xf>
    <xf numFmtId="2" fontId="9" fillId="0" borderId="0" xfId="0" applyNumberFormat="1" applyFont="1" applyAlignment="1">
      <alignment horizontal="centerContinuous"/>
    </xf>
    <xf numFmtId="166" fontId="9" fillId="0" borderId="0" xfId="0" applyNumberFormat="1" applyFont="1" applyAlignment="1">
      <alignment horizontal="centerContinuous"/>
    </xf>
    <xf numFmtId="2" fontId="9" fillId="0" borderId="0" xfId="0" applyNumberFormat="1" applyFont="1"/>
    <xf numFmtId="0" fontId="12" fillId="0" borderId="0" xfId="0" applyFont="1"/>
    <xf numFmtId="3" fontId="9" fillId="0" borderId="0" xfId="0" applyNumberFormat="1" applyFont="1"/>
    <xf numFmtId="168" fontId="9" fillId="0" borderId="0" xfId="0" applyNumberFormat="1" applyFont="1"/>
    <xf numFmtId="168" fontId="9" fillId="0" borderId="0" xfId="0" applyNumberFormat="1" applyFont="1" applyAlignment="1"/>
    <xf numFmtId="166" fontId="12" fillId="0" borderId="0" xfId="0" applyNumberFormat="1" applyFont="1" applyAlignment="1">
      <alignment horizontal="centerContinuous"/>
    </xf>
    <xf numFmtId="0" fontId="11" fillId="0" borderId="0" xfId="0" applyFont="1" applyAlignment="1">
      <alignment horizontal="right"/>
    </xf>
    <xf numFmtId="172" fontId="9" fillId="0" borderId="0" xfId="28" applyNumberFormat="1" applyFont="1"/>
    <xf numFmtId="167" fontId="9" fillId="0" borderId="0" xfId="0" applyNumberFormat="1" applyFont="1"/>
    <xf numFmtId="0" fontId="16" fillId="0" borderId="0" xfId="47" applyFont="1"/>
    <xf numFmtId="0" fontId="16" fillId="0" borderId="0" xfId="47" applyFont="1" applyAlignment="1">
      <alignment horizontal="center"/>
    </xf>
    <xf numFmtId="167" fontId="9" fillId="0" borderId="0" xfId="47" quotePrefix="1" applyNumberFormat="1" applyFont="1" applyAlignment="1">
      <alignment horizontal="center"/>
    </xf>
    <xf numFmtId="166" fontId="9" fillId="0" borderId="0" xfId="0" applyNumberFormat="1" applyFont="1"/>
    <xf numFmtId="3" fontId="9" fillId="0" borderId="0" xfId="46" applyNumberFormat="1" applyFont="1" applyAlignment="1">
      <alignment horizontal="center" vertical="center"/>
    </xf>
    <xf numFmtId="3" fontId="9" fillId="0" borderId="0" xfId="0" applyNumberFormat="1" applyFont="1" applyAlignment="1">
      <alignment horizontal="centerContinuous"/>
    </xf>
    <xf numFmtId="167" fontId="9" fillId="0" borderId="0" xfId="46" applyNumberFormat="1" applyFont="1" applyBorder="1" applyAlignment="1">
      <alignment horizontal="center" vertical="center"/>
    </xf>
    <xf numFmtId="167" fontId="9" fillId="0" borderId="0" xfId="46" applyNumberFormat="1" applyFont="1" applyBorder="1" applyAlignment="1">
      <alignment horizontal="center"/>
    </xf>
    <xf numFmtId="2" fontId="15" fillId="0" borderId="0" xfId="0" applyNumberFormat="1" applyFont="1" applyAlignment="1">
      <alignment horizontal="center" wrapText="1"/>
    </xf>
    <xf numFmtId="170" fontId="9" fillId="0" borderId="0" xfId="47" applyNumberFormat="1" applyFont="1"/>
    <xf numFmtId="3" fontId="31" fillId="0" borderId="0" xfId="0" applyNumberFormat="1" applyFont="1" applyAlignment="1">
      <alignment horizontal="center"/>
    </xf>
    <xf numFmtId="2" fontId="13" fillId="0" borderId="0" xfId="0" applyNumberFormat="1" applyFont="1"/>
    <xf numFmtId="3" fontId="13" fillId="0" borderId="0" xfId="0" applyNumberFormat="1" applyFont="1"/>
    <xf numFmtId="3" fontId="32" fillId="0" borderId="0" xfId="0" applyNumberFormat="1" applyFont="1" applyAlignment="1">
      <alignment horizontal="center"/>
    </xf>
    <xf numFmtId="2" fontId="33" fillId="0" borderId="0" xfId="0" applyNumberFormat="1" applyFont="1"/>
    <xf numFmtId="3" fontId="13" fillId="0" borderId="0" xfId="0" applyNumberFormat="1" applyFont="1" applyAlignment="1">
      <alignment horizontal="center"/>
    </xf>
    <xf numFmtId="3" fontId="9" fillId="0" borderId="0" xfId="0" applyNumberFormat="1" applyFont="1" applyFill="1" applyAlignment="1">
      <alignment horizontal="center"/>
    </xf>
    <xf numFmtId="168" fontId="9" fillId="0" borderId="0" xfId="0" applyNumberFormat="1" applyFont="1" applyFill="1" applyAlignment="1">
      <alignment horizontal="center"/>
    </xf>
    <xf numFmtId="166" fontId="9" fillId="0" borderId="0" xfId="0" applyNumberFormat="1" applyFont="1" applyFill="1" applyAlignment="1">
      <alignment horizontal="center"/>
    </xf>
    <xf numFmtId="167" fontId="9" fillId="0" borderId="0" xfId="0" applyNumberFormat="1" applyFont="1" applyFill="1" applyAlignment="1">
      <alignment horizontal="center"/>
    </xf>
    <xf numFmtId="0" fontId="9" fillId="0" borderId="0" xfId="46" applyFont="1" applyFill="1"/>
    <xf numFmtId="0" fontId="9" fillId="0" borderId="0" xfId="0" applyFont="1" applyFill="1"/>
    <xf numFmtId="3" fontId="9" fillId="0" borderId="0" xfId="0" applyNumberFormat="1" applyFont="1" applyAlignment="1">
      <alignment horizontal="right"/>
    </xf>
    <xf numFmtId="0" fontId="13" fillId="0" borderId="0" xfId="0" applyFont="1" applyAlignment="1"/>
    <xf numFmtId="0" fontId="27" fillId="0" borderId="0" xfId="0" applyFont="1"/>
    <xf numFmtId="168" fontId="29" fillId="0" borderId="0" xfId="47" applyNumberFormat="1" applyFont="1" applyBorder="1" applyAlignment="1">
      <alignment horizontal="center" wrapText="1"/>
    </xf>
    <xf numFmtId="0" fontId="31" fillId="0" borderId="0" xfId="0" applyFont="1"/>
    <xf numFmtId="2" fontId="31" fillId="0" borderId="0" xfId="0" applyNumberFormat="1" applyFont="1"/>
    <xf numFmtId="3" fontId="18" fillId="0" borderId="6" xfId="29" applyNumberFormat="1" applyFont="1" applyBorder="1" applyAlignment="1">
      <alignment horizontal="center"/>
    </xf>
    <xf numFmtId="0" fontId="9" fillId="0" borderId="0" xfId="41" applyFont="1"/>
    <xf numFmtId="0" fontId="9" fillId="0" borderId="0" xfId="41" applyFont="1" applyAlignment="1">
      <alignment horizontal="center" wrapText="1"/>
    </xf>
    <xf numFmtId="0" fontId="9" fillId="0" borderId="0" xfId="41" applyFont="1" applyAlignment="1">
      <alignment horizontal="center"/>
    </xf>
    <xf numFmtId="3" fontId="9" fillId="0" borderId="0" xfId="41" applyNumberFormat="1" applyFont="1" applyAlignment="1">
      <alignment horizontal="center"/>
    </xf>
    <xf numFmtId="3" fontId="12" fillId="0" borderId="0" xfId="41" applyNumberFormat="1" applyFont="1" applyAlignment="1">
      <alignment horizontal="center"/>
    </xf>
    <xf numFmtId="3" fontId="25" fillId="0" borderId="0" xfId="41" applyNumberFormat="1" applyFont="1" applyAlignment="1">
      <alignment horizontal="center"/>
    </xf>
    <xf numFmtId="0" fontId="25" fillId="0" borderId="0" xfId="41" applyFont="1" applyAlignment="1">
      <alignment horizontal="center"/>
    </xf>
    <xf numFmtId="2" fontId="9" fillId="0" borderId="0" xfId="41" applyNumberFormat="1" applyFont="1" applyAlignment="1">
      <alignment horizontal="center"/>
    </xf>
    <xf numFmtId="168" fontId="12" fillId="0" borderId="0" xfId="41" applyNumberFormat="1" applyFont="1" applyAlignment="1">
      <alignment horizontal="center"/>
    </xf>
    <xf numFmtId="166" fontId="9" fillId="0" borderId="0" xfId="41" applyNumberFormat="1" applyFont="1" applyAlignment="1">
      <alignment horizontal="center"/>
    </xf>
    <xf numFmtId="4" fontId="9" fillId="0" borderId="0" xfId="41" applyNumberFormat="1" applyFont="1" applyAlignment="1">
      <alignment horizontal="center"/>
    </xf>
    <xf numFmtId="168" fontId="9" fillId="0" borderId="0" xfId="41" applyNumberFormat="1" applyFont="1" applyAlignment="1">
      <alignment horizontal="center"/>
    </xf>
    <xf numFmtId="3" fontId="36" fillId="0" borderId="0" xfId="41" applyNumberFormat="1" applyFont="1" applyAlignment="1">
      <alignment horizontal="center"/>
    </xf>
    <xf numFmtId="0" fontId="9" fillId="0" borderId="0" xfId="41" applyFont="1" applyAlignment="1"/>
    <xf numFmtId="3" fontId="10" fillId="0" borderId="0" xfId="41" applyNumberFormat="1" applyFont="1"/>
    <xf numFmtId="4" fontId="25" fillId="0" borderId="0" xfId="41" applyNumberFormat="1" applyFont="1" applyAlignment="1">
      <alignment horizontal="center"/>
    </xf>
    <xf numFmtId="4" fontId="9" fillId="0" borderId="0" xfId="48" applyNumberFormat="1" applyFont="1" applyAlignment="1">
      <alignment horizontal="center"/>
    </xf>
    <xf numFmtId="0" fontId="9" fillId="0" borderId="0" xfId="41" applyFont="1" applyFill="1" applyBorder="1"/>
    <xf numFmtId="4" fontId="12" fillId="0" borderId="0" xfId="41" applyNumberFormat="1" applyFont="1" applyAlignment="1">
      <alignment horizontal="center"/>
    </xf>
    <xf numFmtId="168" fontId="9" fillId="0" borderId="0" xfId="41" applyNumberFormat="1" applyFont="1"/>
    <xf numFmtId="3" fontId="9" fillId="0" borderId="0" xfId="41" applyNumberFormat="1" applyFont="1" applyFill="1" applyBorder="1" applyAlignment="1">
      <alignment horizontal="center"/>
    </xf>
    <xf numFmtId="3" fontId="25" fillId="0" borderId="0" xfId="41" applyNumberFormat="1" applyFont="1" applyFill="1" applyBorder="1" applyAlignment="1">
      <alignment horizontal="center"/>
    </xf>
    <xf numFmtId="4" fontId="25" fillId="0" borderId="0" xfId="41" applyNumberFormat="1" applyFont="1" applyFill="1" applyBorder="1" applyAlignment="1">
      <alignment horizontal="center"/>
    </xf>
    <xf numFmtId="4" fontId="9" fillId="0" borderId="0" xfId="41" applyNumberFormat="1" applyFont="1" applyFill="1" applyBorder="1" applyAlignment="1">
      <alignment horizontal="center"/>
    </xf>
    <xf numFmtId="0" fontId="9" fillId="0" borderId="0" xfId="41" applyFont="1" applyAlignment="1">
      <alignment horizontal="center" vertical="center" wrapText="1"/>
    </xf>
    <xf numFmtId="2" fontId="25" fillId="0" borderId="0" xfId="41" applyNumberFormat="1" applyFont="1" applyAlignment="1">
      <alignment horizontal="center"/>
    </xf>
    <xf numFmtId="166" fontId="9" fillId="0" borderId="0" xfId="41" applyNumberFormat="1" applyFont="1"/>
    <xf numFmtId="1" fontId="9" fillId="0" borderId="0" xfId="0" applyNumberFormat="1" applyFont="1" applyAlignment="1">
      <alignment horizontal="right"/>
    </xf>
    <xf numFmtId="0" fontId="15" fillId="0" borderId="0" xfId="0" applyFont="1" applyAlignment="1">
      <alignment horizontal="right"/>
    </xf>
    <xf numFmtId="0" fontId="29" fillId="0" borderId="0" xfId="47" applyFont="1" applyBorder="1" applyAlignment="1">
      <alignment vertical="top" wrapText="1"/>
    </xf>
    <xf numFmtId="0" fontId="29" fillId="0" borderId="0" xfId="47" applyFont="1" applyBorder="1" applyAlignment="1"/>
    <xf numFmtId="0" fontId="9" fillId="0" borderId="0" xfId="41" applyFont="1" applyAlignment="1">
      <alignment wrapText="1"/>
    </xf>
    <xf numFmtId="0" fontId="9" fillId="0" borderId="0" xfId="0" applyFont="1" applyAlignment="1">
      <alignment wrapText="1"/>
    </xf>
    <xf numFmtId="3" fontId="12" fillId="0" borderId="0" xfId="0" applyNumberFormat="1" applyFont="1" applyFill="1" applyAlignment="1">
      <alignment horizontal="center"/>
    </xf>
    <xf numFmtId="0" fontId="8" fillId="0" borderId="0" xfId="0" applyFont="1"/>
    <xf numFmtId="4" fontId="9" fillId="0" borderId="0" xfId="41" applyNumberFormat="1" applyFont="1"/>
    <xf numFmtId="0" fontId="9" fillId="0" borderId="0" xfId="41" applyFont="1" applyAlignment="1">
      <alignment horizontal="right"/>
    </xf>
    <xf numFmtId="3" fontId="9" fillId="0" borderId="0" xfId="41" applyNumberFormat="1" applyFont="1"/>
    <xf numFmtId="2" fontId="9" fillId="0" borderId="0" xfId="41" applyNumberFormat="1" applyFont="1"/>
    <xf numFmtId="3" fontId="12" fillId="0" borderId="0" xfId="0" applyNumberFormat="1" applyFont="1" applyAlignment="1">
      <alignment horizontal="centerContinuous"/>
    </xf>
    <xf numFmtId="1" fontId="12" fillId="0" borderId="0" xfId="0" applyNumberFormat="1" applyFont="1"/>
    <xf numFmtId="166" fontId="12" fillId="0" borderId="0" xfId="0" applyNumberFormat="1" applyFont="1" applyAlignment="1">
      <alignment horizontal="right"/>
    </xf>
    <xf numFmtId="49" fontId="9" fillId="0" borderId="0" xfId="0" applyNumberFormat="1" applyFont="1" applyAlignment="1">
      <alignment horizontal="center"/>
    </xf>
    <xf numFmtId="3" fontId="55" fillId="0" borderId="0" xfId="0" applyNumberFormat="1" applyFont="1" applyAlignment="1">
      <alignment horizontal="center"/>
    </xf>
    <xf numFmtId="0" fontId="18" fillId="0" borderId="0" xfId="47" applyFont="1"/>
    <xf numFmtId="0" fontId="18" fillId="0" borderId="12" xfId="47" applyFont="1" applyBorder="1" applyAlignment="1">
      <alignment horizontal="center" vertical="center" wrapText="1"/>
    </xf>
    <xf numFmtId="0" fontId="18" fillId="0" borderId="13" xfId="47" applyFont="1" applyBorder="1" applyAlignment="1">
      <alignment horizontal="center" vertical="center" wrapText="1"/>
    </xf>
    <xf numFmtId="0" fontId="18" fillId="0" borderId="1" xfId="47" applyFont="1" applyBorder="1" applyAlignment="1">
      <alignment horizontal="center" vertical="center" wrapText="1"/>
    </xf>
    <xf numFmtId="0" fontId="18" fillId="0" borderId="0" xfId="47" applyFont="1" applyBorder="1" applyAlignment="1">
      <alignment horizontal="center" vertical="top" wrapText="1"/>
    </xf>
    <xf numFmtId="0" fontId="18" fillId="0" borderId="3" xfId="47" applyFont="1" applyBorder="1"/>
    <xf numFmtId="0" fontId="18" fillId="0" borderId="4" xfId="47" applyFont="1" applyBorder="1"/>
    <xf numFmtId="169" fontId="18" fillId="0" borderId="3" xfId="29" applyNumberFormat="1" applyFont="1" applyBorder="1"/>
    <xf numFmtId="3" fontId="18" fillId="0" borderId="2" xfId="29" applyNumberFormat="1" applyFont="1" applyBorder="1" applyAlignment="1">
      <alignment horizontal="center"/>
    </xf>
    <xf numFmtId="3" fontId="18" fillId="0" borderId="3" xfId="29" applyNumberFormat="1" applyFont="1" applyBorder="1" applyAlignment="1">
      <alignment horizontal="center"/>
    </xf>
    <xf numFmtId="3" fontId="18" fillId="0" borderId="4" xfId="29" applyNumberFormat="1" applyFont="1" applyBorder="1" applyAlignment="1">
      <alignment horizontal="center"/>
    </xf>
    <xf numFmtId="0" fontId="18" fillId="0" borderId="0" xfId="47" applyFont="1" applyBorder="1"/>
    <xf numFmtId="0" fontId="18" fillId="0" borderId="5" xfId="47" applyFont="1" applyBorder="1"/>
    <xf numFmtId="169" fontId="18" fillId="0" borderId="6" xfId="29" applyNumberFormat="1" applyFont="1" applyBorder="1"/>
    <xf numFmtId="169" fontId="18" fillId="0" borderId="0" xfId="29" applyNumberFormat="1" applyFont="1" applyBorder="1"/>
    <xf numFmtId="3" fontId="18" fillId="0" borderId="5" xfId="29" applyNumberFormat="1" applyFont="1" applyBorder="1" applyAlignment="1">
      <alignment horizontal="center"/>
    </xf>
    <xf numFmtId="3" fontId="18" fillId="0" borderId="0" xfId="29" applyNumberFormat="1" applyFont="1" applyBorder="1" applyAlignment="1">
      <alignment horizontal="center"/>
    </xf>
    <xf numFmtId="164" fontId="18" fillId="0" borderId="0" xfId="47" applyNumberFormat="1" applyFont="1"/>
    <xf numFmtId="0" fontId="18" fillId="0" borderId="7" xfId="47" applyFont="1" applyBorder="1"/>
    <xf numFmtId="169" fontId="18" fillId="0" borderId="8" xfId="29" applyNumberFormat="1" applyFont="1" applyBorder="1"/>
    <xf numFmtId="169" fontId="18" fillId="0" borderId="9" xfId="29" applyNumberFormat="1" applyFont="1" applyBorder="1"/>
    <xf numFmtId="3" fontId="18" fillId="0" borderId="7" xfId="29" applyNumberFormat="1" applyFont="1" applyBorder="1" applyAlignment="1">
      <alignment horizontal="center"/>
    </xf>
    <xf numFmtId="3" fontId="18" fillId="0" borderId="8" xfId="29" applyNumberFormat="1" applyFont="1" applyBorder="1" applyAlignment="1">
      <alignment horizontal="center"/>
    </xf>
    <xf numFmtId="3" fontId="18" fillId="0" borderId="9" xfId="29" applyNumberFormat="1" applyFont="1" applyBorder="1" applyAlignment="1">
      <alignment horizontal="center"/>
    </xf>
    <xf numFmtId="169" fontId="18" fillId="0" borderId="4" xfId="29" applyNumberFormat="1" applyFont="1" applyBorder="1"/>
    <xf numFmtId="169" fontId="18" fillId="0" borderId="0" xfId="47" applyNumberFormat="1" applyFont="1"/>
    <xf numFmtId="168" fontId="29" fillId="0" borderId="0" xfId="47" applyNumberFormat="1" applyFont="1" applyFill="1" applyBorder="1" applyAlignment="1">
      <alignment horizontal="center"/>
    </xf>
    <xf numFmtId="0" fontId="16" fillId="0" borderId="0" xfId="47" applyFont="1" applyAlignment="1">
      <alignment horizontal="right"/>
    </xf>
    <xf numFmtId="167" fontId="12" fillId="0" borderId="0" xfId="47" applyNumberFormat="1" applyFont="1" applyBorder="1" applyAlignment="1">
      <alignment horizontal="center"/>
    </xf>
    <xf numFmtId="0" fontId="56" fillId="0" borderId="0" xfId="42" applyFont="1"/>
    <xf numFmtId="0" fontId="16" fillId="0" borderId="0" xfId="47" applyFont="1" applyAlignment="1">
      <alignment horizontal="left"/>
    </xf>
    <xf numFmtId="2" fontId="12" fillId="0" borderId="0" xfId="47" applyNumberFormat="1" applyFont="1" applyBorder="1" applyAlignment="1">
      <alignment horizontal="center"/>
    </xf>
    <xf numFmtId="167" fontId="9" fillId="0" borderId="0" xfId="51" applyNumberFormat="1" applyFont="1" applyAlignment="1">
      <alignment horizontal="center"/>
    </xf>
    <xf numFmtId="0" fontId="27" fillId="0" borderId="0" xfId="0" applyFont="1" applyAlignment="1">
      <alignment horizontal="center"/>
    </xf>
    <xf numFmtId="2" fontId="57" fillId="0" borderId="0" xfId="0" applyNumberFormat="1" applyFont="1" applyAlignment="1">
      <alignment horizontal="center"/>
    </xf>
    <xf numFmtId="3" fontId="12" fillId="0" borderId="0" xfId="47" applyNumberFormat="1" applyFont="1" applyBorder="1" applyAlignment="1">
      <alignment horizontal="center"/>
    </xf>
    <xf numFmtId="0" fontId="9" fillId="0" borderId="9" xfId="0" applyFont="1" applyBorder="1"/>
    <xf numFmtId="167" fontId="9" fillId="0" borderId="9" xfId="0" applyNumberFormat="1" applyFont="1" applyBorder="1" applyAlignment="1">
      <alignment horizontal="center"/>
    </xf>
    <xf numFmtId="2" fontId="9" fillId="0" borderId="9" xfId="0" applyNumberFormat="1" applyFont="1" applyFill="1" applyBorder="1" applyAlignment="1">
      <alignment horizontal="center"/>
    </xf>
    <xf numFmtId="167" fontId="9" fillId="0" borderId="9" xfId="0" applyNumberFormat="1" applyFont="1" applyFill="1" applyBorder="1" applyAlignment="1">
      <alignment horizontal="center"/>
    </xf>
    <xf numFmtId="0" fontId="9" fillId="0" borderId="9" xfId="0" applyFont="1" applyBorder="1" applyAlignment="1">
      <alignment horizontal="center" wrapText="1"/>
    </xf>
    <xf numFmtId="0" fontId="9" fillId="0" borderId="0" xfId="0" applyFont="1" applyBorder="1"/>
    <xf numFmtId="3" fontId="9" fillId="0" borderId="0" xfId="0" applyNumberFormat="1" applyFont="1" applyBorder="1" applyAlignment="1">
      <alignment horizontal="center"/>
    </xf>
    <xf numFmtId="167" fontId="9" fillId="0" borderId="0" xfId="0" applyNumberFormat="1" applyFont="1" applyBorder="1" applyAlignment="1">
      <alignment horizontal="center"/>
    </xf>
    <xf numFmtId="171" fontId="9" fillId="0" borderId="0"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Fill="1" applyBorder="1" applyAlignment="1">
      <alignment horizontal="center"/>
    </xf>
    <xf numFmtId="170" fontId="9" fillId="0" borderId="0" xfId="0" applyNumberFormat="1" applyFont="1" applyBorder="1" applyAlignment="1">
      <alignment horizontal="center"/>
    </xf>
    <xf numFmtId="2" fontId="9" fillId="0" borderId="0" xfId="0" applyNumberFormat="1" applyFont="1" applyFill="1" applyBorder="1" applyAlignment="1">
      <alignment horizontal="center"/>
    </xf>
    <xf numFmtId="167" fontId="9" fillId="0" borderId="0" xfId="0" applyNumberFormat="1" applyFont="1" applyFill="1" applyBorder="1" applyAlignment="1">
      <alignment horizontal="center"/>
    </xf>
    <xf numFmtId="0" fontId="9" fillId="0" borderId="0" xfId="0" applyFont="1" applyBorder="1" applyAlignment="1">
      <alignment horizontal="center"/>
    </xf>
    <xf numFmtId="2" fontId="9" fillId="0" borderId="0" xfId="0" applyNumberFormat="1" applyFont="1" applyFill="1" applyBorder="1" applyAlignment="1">
      <alignment horizontal="left"/>
    </xf>
    <xf numFmtId="2" fontId="9" fillId="0" borderId="9" xfId="0" applyNumberFormat="1" applyFont="1" applyFill="1" applyBorder="1" applyAlignment="1">
      <alignment horizontal="left"/>
    </xf>
    <xf numFmtId="0" fontId="9" fillId="0" borderId="9" xfId="0" applyFont="1" applyBorder="1" applyAlignment="1">
      <alignment horizontal="center"/>
    </xf>
    <xf numFmtId="0" fontId="9" fillId="0" borderId="0" xfId="0" applyFont="1" applyBorder="1" applyAlignment="1">
      <alignment horizontal="center" wrapText="1"/>
    </xf>
    <xf numFmtId="2" fontId="9" fillId="0" borderId="9" xfId="0" applyNumberFormat="1" applyFont="1" applyBorder="1" applyAlignment="1">
      <alignment horizontal="center"/>
    </xf>
    <xf numFmtId="0" fontId="9" fillId="0" borderId="9" xfId="41" applyFont="1" applyBorder="1"/>
    <xf numFmtId="2" fontId="9" fillId="0" borderId="9" xfId="41" applyNumberFormat="1" applyFont="1" applyBorder="1" applyAlignment="1">
      <alignment horizontal="center"/>
    </xf>
    <xf numFmtId="0" fontId="9" fillId="0" borderId="9" xfId="41" applyFont="1" applyBorder="1" applyAlignment="1">
      <alignment horizontal="center"/>
    </xf>
    <xf numFmtId="16" fontId="9" fillId="0" borderId="9" xfId="41" applyNumberFormat="1" applyFont="1" applyBorder="1" applyAlignment="1">
      <alignment horizontal="center"/>
    </xf>
    <xf numFmtId="0" fontId="9" fillId="0" borderId="9" xfId="41" applyFont="1" applyBorder="1" applyAlignment="1">
      <alignment horizontal="center" wrapText="1"/>
    </xf>
    <xf numFmtId="0" fontId="9" fillId="0" borderId="0" xfId="41" applyFont="1" applyBorder="1"/>
    <xf numFmtId="0" fontId="9" fillId="0" borderId="0" xfId="41" applyFont="1" applyBorder="1" applyAlignment="1">
      <alignment wrapText="1"/>
    </xf>
    <xf numFmtId="0" fontId="15" fillId="0" borderId="9" xfId="0" applyFont="1" applyBorder="1" applyAlignment="1">
      <alignment horizontal="center" wrapText="1"/>
    </xf>
    <xf numFmtId="0" fontId="15" fillId="0" borderId="9" xfId="0" applyFont="1" applyBorder="1" applyAlignment="1">
      <alignment horizontal="center"/>
    </xf>
    <xf numFmtId="168" fontId="9" fillId="0" borderId="9" xfId="0" applyNumberFormat="1" applyFont="1" applyBorder="1" applyAlignment="1">
      <alignment horizontal="center"/>
    </xf>
    <xf numFmtId="0" fontId="9" fillId="0" borderId="9" xfId="0" applyFont="1" applyBorder="1" applyAlignment="1"/>
    <xf numFmtId="167" fontId="9" fillId="0" borderId="9" xfId="51" applyNumberFormat="1" applyFont="1" applyBorder="1" applyAlignment="1">
      <alignment horizontal="center"/>
    </xf>
    <xf numFmtId="0" fontId="11" fillId="0" borderId="9" xfId="0" applyFont="1" applyBorder="1" applyAlignment="1">
      <alignment horizontal="center"/>
    </xf>
    <xf numFmtId="0" fontId="7" fillId="0" borderId="0" xfId="1442"/>
    <xf numFmtId="4" fontId="9" fillId="0" borderId="0" xfId="28" applyNumberFormat="1" applyFont="1" applyAlignment="1">
      <alignment horizontal="center"/>
    </xf>
    <xf numFmtId="4" fontId="12" fillId="0" borderId="0" xfId="28" applyNumberFormat="1" applyFont="1" applyFill="1" applyAlignment="1">
      <alignment horizontal="center"/>
    </xf>
    <xf numFmtId="4" fontId="12" fillId="0" borderId="0" xfId="28" applyNumberFormat="1" applyFont="1" applyAlignment="1">
      <alignment horizontal="center"/>
    </xf>
    <xf numFmtId="4" fontId="9" fillId="0" borderId="9" xfId="0" applyNumberFormat="1" applyFont="1" applyBorder="1"/>
    <xf numFmtId="4" fontId="9" fillId="0" borderId="9" xfId="0" applyNumberFormat="1" applyFont="1" applyBorder="1" applyAlignment="1">
      <alignment horizontal="center"/>
    </xf>
    <xf numFmtId="3" fontId="58" fillId="0" borderId="0" xfId="1106" applyNumberFormat="1" applyFont="1" applyAlignment="1">
      <alignment horizontal="center"/>
    </xf>
    <xf numFmtId="3" fontId="58" fillId="0" borderId="0" xfId="1068" applyNumberFormat="1" applyFont="1" applyAlignment="1">
      <alignment horizontal="center"/>
    </xf>
    <xf numFmtId="3" fontId="58" fillId="0" borderId="0" xfId="1124" applyNumberFormat="1" applyFont="1" applyAlignment="1">
      <alignment horizontal="center"/>
    </xf>
    <xf numFmtId="3" fontId="58" fillId="0" borderId="0" xfId="1016" applyNumberFormat="1" applyFont="1" applyAlignment="1">
      <alignment horizontal="center"/>
    </xf>
    <xf numFmtId="3" fontId="58" fillId="0" borderId="0" xfId="1095" applyNumberFormat="1" applyFont="1" applyAlignment="1">
      <alignment horizontal="center"/>
    </xf>
    <xf numFmtId="3" fontId="58" fillId="0" borderId="0" xfId="1123" applyNumberFormat="1" applyFont="1" applyAlignment="1">
      <alignment horizontal="center"/>
    </xf>
    <xf numFmtId="3" fontId="58" fillId="0" borderId="0" xfId="1140" applyNumberFormat="1" applyFont="1" applyAlignment="1">
      <alignment horizontal="center"/>
    </xf>
    <xf numFmtId="3" fontId="58" fillId="0" borderId="0" xfId="1154" applyNumberFormat="1" applyFont="1" applyAlignment="1">
      <alignment horizontal="center"/>
    </xf>
    <xf numFmtId="3" fontId="58" fillId="0" borderId="0" xfId="1168" applyNumberFormat="1" applyFont="1" applyAlignment="1">
      <alignment horizontal="center"/>
    </xf>
    <xf numFmtId="3" fontId="58" fillId="0" borderId="0" xfId="1105" applyNumberFormat="1" applyFont="1" applyAlignment="1">
      <alignment horizontal="center"/>
    </xf>
    <xf numFmtId="3" fontId="58" fillId="0" borderId="0" xfId="1002" applyNumberFormat="1" applyFont="1" applyAlignment="1">
      <alignment horizontal="center"/>
    </xf>
    <xf numFmtId="0" fontId="59" fillId="0" borderId="0" xfId="0" applyFont="1"/>
    <xf numFmtId="0" fontId="6" fillId="0" borderId="0" xfId="2800"/>
    <xf numFmtId="173" fontId="58" fillId="0" borderId="0" xfId="28" applyNumberFormat="1" applyFont="1" applyAlignment="1">
      <alignment horizontal="center"/>
    </xf>
    <xf numFmtId="3" fontId="58" fillId="0" borderId="0" xfId="3158" applyNumberFormat="1" applyFont="1" applyAlignment="1">
      <alignment horizontal="center"/>
    </xf>
    <xf numFmtId="168" fontId="9" fillId="0" borderId="0" xfId="28" applyNumberFormat="1" applyFont="1" applyAlignment="1">
      <alignment horizontal="center"/>
    </xf>
    <xf numFmtId="166" fontId="5" fillId="0" borderId="0" xfId="3154" applyNumberFormat="1"/>
    <xf numFmtId="173" fontId="9" fillId="0" borderId="0" xfId="28" applyNumberFormat="1" applyFont="1" applyFill="1" applyBorder="1" applyAlignment="1">
      <alignment horizontal="center"/>
    </xf>
    <xf numFmtId="173" fontId="9" fillId="0" borderId="0" xfId="28" applyNumberFormat="1" applyFont="1" applyBorder="1" applyAlignment="1">
      <alignment horizontal="center"/>
    </xf>
    <xf numFmtId="0" fontId="5" fillId="0" borderId="0" xfId="3155"/>
    <xf numFmtId="3" fontId="60" fillId="0" borderId="0" xfId="3211" applyNumberFormat="1" applyFont="1" applyAlignment="1">
      <alignment horizontal="center"/>
    </xf>
    <xf numFmtId="0" fontId="4" fillId="0" borderId="0" xfId="3209"/>
    <xf numFmtId="15" fontId="25" fillId="0" borderId="0" xfId="0" applyNumberFormat="1" applyFont="1"/>
    <xf numFmtId="0" fontId="58" fillId="0" borderId="0" xfId="0" applyFont="1" applyAlignment="1">
      <alignment horizontal="center"/>
    </xf>
    <xf numFmtId="168" fontId="58" fillId="0" borderId="0" xfId="0" applyNumberFormat="1" applyFont="1" applyAlignment="1">
      <alignment horizontal="center"/>
    </xf>
    <xf numFmtId="166" fontId="58" fillId="0" borderId="0" xfId="2802" applyNumberFormat="1" applyFont="1" applyAlignment="1">
      <alignment horizontal="center"/>
    </xf>
    <xf numFmtId="168" fontId="9" fillId="0" borderId="0" xfId="0" applyNumberFormat="1" applyFont="1" applyAlignment="1">
      <alignment horizontal="centerContinuous"/>
    </xf>
    <xf numFmtId="168" fontId="58" fillId="0" borderId="0" xfId="2802" applyNumberFormat="1" applyFont="1" applyAlignment="1">
      <alignment horizontal="center"/>
    </xf>
    <xf numFmtId="3" fontId="11" fillId="0" borderId="0" xfId="0" applyNumberFormat="1" applyFont="1" applyAlignment="1">
      <alignment horizontal="center"/>
    </xf>
    <xf numFmtId="3" fontId="9" fillId="0" borderId="0" xfId="28" applyNumberFormat="1" applyFont="1" applyAlignment="1">
      <alignment horizontal="center"/>
    </xf>
    <xf numFmtId="3" fontId="58" fillId="0" borderId="0" xfId="28" applyNumberFormat="1" applyFont="1" applyAlignment="1">
      <alignment horizontal="center"/>
    </xf>
    <xf numFmtId="3" fontId="9" fillId="0" borderId="0" xfId="28" applyNumberFormat="1" applyFont="1" applyFill="1" applyAlignment="1">
      <alignment horizontal="center"/>
    </xf>
    <xf numFmtId="0" fontId="12" fillId="0" borderId="0" xfId="0" applyFont="1" applyAlignment="1">
      <alignment horizontal="center"/>
    </xf>
    <xf numFmtId="0" fontId="9" fillId="0" borderId="0" xfId="44" applyFont="1"/>
    <xf numFmtId="168" fontId="9" fillId="0" borderId="0" xfId="28" applyNumberFormat="1" applyFont="1" applyBorder="1" applyAlignment="1">
      <alignment horizontal="center"/>
    </xf>
    <xf numFmtId="168" fontId="9" fillId="0" borderId="0" xfId="28" applyNumberFormat="1" applyFont="1" applyBorder="1" applyAlignment="1">
      <alignment horizontal="center" wrapText="1"/>
    </xf>
    <xf numFmtId="168" fontId="9" fillId="0" borderId="0" xfId="28" applyNumberFormat="1" applyFont="1" applyFill="1" applyBorder="1" applyAlignment="1">
      <alignment horizontal="center"/>
    </xf>
    <xf numFmtId="168" fontId="58" fillId="0" borderId="0" xfId="28" applyNumberFormat="1" applyFont="1" applyAlignment="1">
      <alignment horizontal="center"/>
    </xf>
    <xf numFmtId="2" fontId="9" fillId="0" borderId="0" xfId="0" applyNumberFormat="1" applyFont="1" applyBorder="1" applyAlignment="1">
      <alignment horizontal="center"/>
    </xf>
    <xf numFmtId="0" fontId="9" fillId="0" borderId="0" xfId="41" applyFont="1" applyAlignment="1">
      <alignment horizontal="left" wrapText="1"/>
    </xf>
    <xf numFmtId="0" fontId="18" fillId="0" borderId="0" xfId="47" applyFont="1" applyAlignment="1">
      <alignment wrapText="1"/>
    </xf>
    <xf numFmtId="0" fontId="0" fillId="0" borderId="0" xfId="0" applyAlignment="1">
      <alignment horizontal="center"/>
    </xf>
    <xf numFmtId="3" fontId="62" fillId="0" borderId="0" xfId="3392" applyNumberFormat="1" applyFont="1" applyFill="1" applyAlignment="1">
      <alignment vertical="top" wrapText="1"/>
    </xf>
    <xf numFmtId="0" fontId="18" fillId="0" borderId="0" xfId="47" applyFont="1" applyAlignment="1">
      <alignment horizontal="center"/>
    </xf>
    <xf numFmtId="0" fontId="18" fillId="0" borderId="3" xfId="47" applyFont="1" applyBorder="1" applyAlignment="1">
      <alignment horizontal="center"/>
    </xf>
    <xf numFmtId="169" fontId="18" fillId="0" borderId="6" xfId="29" applyNumberFormat="1" applyFont="1" applyBorder="1" applyAlignment="1">
      <alignment horizontal="center"/>
    </xf>
    <xf numFmtId="169" fontId="18" fillId="0" borderId="8" xfId="29" applyNumberFormat="1" applyFont="1" applyBorder="1" applyAlignment="1">
      <alignment horizontal="center"/>
    </xf>
    <xf numFmtId="169" fontId="18" fillId="0" borderId="3" xfId="29" applyNumberFormat="1" applyFont="1" applyBorder="1" applyAlignment="1">
      <alignment horizontal="center"/>
    </xf>
    <xf numFmtId="0" fontId="18" fillId="0" borderId="0" xfId="47" applyFont="1" applyAlignment="1"/>
    <xf numFmtId="0" fontId="62" fillId="0" borderId="23" xfId="0" applyFont="1" applyFill="1" applyBorder="1" applyAlignment="1"/>
    <xf numFmtId="1" fontId="62" fillId="0" borderId="24" xfId="0" applyNumberFormat="1" applyFont="1" applyFill="1" applyBorder="1" applyAlignment="1">
      <alignment horizontal="right" wrapText="1"/>
    </xf>
    <xf numFmtId="0" fontId="62" fillId="0" borderId="25" xfId="0" applyFont="1" applyFill="1" applyBorder="1" applyAlignment="1"/>
    <xf numFmtId="0" fontId="63" fillId="0" borderId="0" xfId="0" quotePrefix="1" applyFont="1" applyFill="1" applyAlignment="1"/>
    <xf numFmtId="3" fontId="63" fillId="0" borderId="0" xfId="0" applyNumberFormat="1" applyFont="1" applyFill="1" applyBorder="1" applyAlignment="1"/>
    <xf numFmtId="3" fontId="65" fillId="0" borderId="0" xfId="0" applyNumberFormat="1" applyFont="1" applyFill="1" applyBorder="1" applyAlignment="1">
      <alignment horizontal="left"/>
    </xf>
    <xf numFmtId="0" fontId="63" fillId="0" borderId="0" xfId="0" applyFont="1" applyFill="1" applyBorder="1" applyAlignment="1"/>
    <xf numFmtId="0" fontId="63" fillId="0" borderId="9" xfId="0" applyFont="1" applyFill="1" applyBorder="1" applyAlignment="1"/>
    <xf numFmtId="3" fontId="63" fillId="0" borderId="9" xfId="0" applyNumberFormat="1" applyFont="1" applyFill="1" applyBorder="1" applyAlignment="1"/>
    <xf numFmtId="3" fontId="65" fillId="0" borderId="9" xfId="0" applyNumberFormat="1" applyFont="1" applyFill="1" applyBorder="1" applyAlignment="1">
      <alignment horizontal="left"/>
    </xf>
    <xf numFmtId="16" fontId="63" fillId="0" borderId="0" xfId="0" applyNumberFormat="1" applyFont="1" applyFill="1" applyBorder="1" applyAlignment="1"/>
    <xf numFmtId="0" fontId="62" fillId="0" borderId="0" xfId="0" quotePrefix="1" applyFont="1" applyFill="1" applyAlignment="1"/>
    <xf numFmtId="3" fontId="62" fillId="0" borderId="0" xfId="0" applyNumberFormat="1" applyFont="1" applyFill="1" applyAlignment="1"/>
    <xf numFmtId="3" fontId="64" fillId="0" borderId="0" xfId="0" applyNumberFormat="1" applyFont="1" applyFill="1" applyAlignment="1">
      <alignment horizontal="left"/>
    </xf>
    <xf numFmtId="3" fontId="63" fillId="0" borderId="0" xfId="0" applyNumberFormat="1" applyFont="1" applyFill="1" applyAlignment="1"/>
    <xf numFmtId="3" fontId="65" fillId="0" borderId="0" xfId="0" applyNumberFormat="1" applyFont="1" applyFill="1" applyAlignment="1">
      <alignment horizontal="left"/>
    </xf>
    <xf numFmtId="0" fontId="62" fillId="0" borderId="0" xfId="0" applyFont="1" applyFill="1" applyAlignment="1"/>
    <xf numFmtId="0" fontId="62" fillId="0" borderId="9" xfId="0" applyFont="1" applyFill="1" applyBorder="1" applyAlignment="1"/>
    <xf numFmtId="3" fontId="62" fillId="0" borderId="9" xfId="0" applyNumberFormat="1" applyFont="1" applyFill="1" applyBorder="1" applyAlignment="1"/>
    <xf numFmtId="3" fontId="64" fillId="0" borderId="9" xfId="0" applyNumberFormat="1" applyFont="1" applyFill="1" applyBorder="1" applyAlignment="1">
      <alignment horizontal="left"/>
    </xf>
    <xf numFmtId="3" fontId="64" fillId="0" borderId="0" xfId="0" applyNumberFormat="1" applyFont="1" applyFill="1" applyBorder="1" applyAlignment="1">
      <alignment horizontal="left"/>
    </xf>
    <xf numFmtId="0" fontId="18" fillId="0" borderId="0" xfId="47" applyFont="1" applyFill="1"/>
    <xf numFmtId="0" fontId="62" fillId="0" borderId="0" xfId="0" applyFont="1" applyFill="1" applyBorder="1" applyAlignment="1"/>
    <xf numFmtId="3" fontId="63" fillId="0" borderId="0" xfId="0" applyNumberFormat="1" applyFont="1" applyFill="1" applyBorder="1"/>
    <xf numFmtId="3" fontId="62" fillId="0" borderId="0" xfId="0" applyNumberFormat="1" applyFont="1" applyFill="1" applyBorder="1" applyAlignment="1">
      <alignment horizontal="right"/>
    </xf>
    <xf numFmtId="3" fontId="62" fillId="0" borderId="0" xfId="0" applyNumberFormat="1" applyFont="1" applyFill="1" applyBorder="1"/>
    <xf numFmtId="1" fontId="9" fillId="0" borderId="0" xfId="0" applyNumberFormat="1" applyFont="1" applyAlignment="1">
      <alignment horizontal="center"/>
    </xf>
    <xf numFmtId="167" fontId="9" fillId="0" borderId="0" xfId="0" applyNumberFormat="1" applyFont="1" applyBorder="1" applyAlignment="1">
      <alignment horizontal="center" vertical="center"/>
    </xf>
    <xf numFmtId="0" fontId="0" fillId="0" borderId="0" xfId="0" applyAlignment="1">
      <alignment horizontal="center" wrapText="1"/>
    </xf>
    <xf numFmtId="0" fontId="66" fillId="0" borderId="0" xfId="0" applyFont="1"/>
    <xf numFmtId="0" fontId="67" fillId="0" borderId="0" xfId="0" applyFont="1"/>
    <xf numFmtId="167" fontId="57" fillId="0" borderId="0" xfId="0" applyNumberFormat="1" applyFont="1" applyBorder="1" applyAlignment="1">
      <alignment horizontal="center" vertical="center"/>
    </xf>
    <xf numFmtId="167" fontId="57" fillId="0" borderId="0" xfId="0" applyNumberFormat="1" applyFont="1" applyBorder="1" applyAlignment="1">
      <alignment horizontal="center"/>
    </xf>
    <xf numFmtId="0" fontId="2" fillId="0" borderId="0" xfId="3393"/>
    <xf numFmtId="0" fontId="2" fillId="0" borderId="0" xfId="3393"/>
    <xf numFmtId="0" fontId="2" fillId="0" borderId="0" xfId="3393"/>
    <xf numFmtId="0" fontId="2" fillId="0" borderId="0" xfId="3393"/>
    <xf numFmtId="0" fontId="2" fillId="0" borderId="0" xfId="3393"/>
    <xf numFmtId="0" fontId="2" fillId="0" borderId="0" xfId="3393"/>
    <xf numFmtId="0" fontId="2" fillId="0" borderId="0" xfId="3393"/>
    <xf numFmtId="0" fontId="2" fillId="0" borderId="0" xfId="3393"/>
    <xf numFmtId="0" fontId="2" fillId="0" borderId="0" xfId="3393"/>
    <xf numFmtId="0" fontId="2" fillId="0" borderId="0" xfId="3393"/>
    <xf numFmtId="0" fontId="67" fillId="0" borderId="0" xfId="0" applyFont="1" applyAlignment="1">
      <alignment horizontal="center"/>
    </xf>
    <xf numFmtId="2" fontId="9" fillId="0" borderId="0" xfId="0" applyNumberFormat="1" applyFont="1" applyAlignment="1">
      <alignment horizontal="center" wrapText="1"/>
    </xf>
    <xf numFmtId="174" fontId="9" fillId="0" borderId="0" xfId="0" applyNumberFormat="1" applyFont="1"/>
    <xf numFmtId="2" fontId="12" fillId="0" borderId="0" xfId="0" applyNumberFormat="1" applyFont="1" applyFill="1" applyAlignment="1">
      <alignment horizontal="center"/>
    </xf>
    <xf numFmtId="2" fontId="9" fillId="0" borderId="0" xfId="0" applyNumberFormat="1" applyFont="1" applyFill="1" applyAlignment="1">
      <alignment horizontal="center"/>
    </xf>
    <xf numFmtId="0" fontId="8" fillId="0" borderId="0" xfId="0" applyNumberFormat="1" applyFont="1"/>
    <xf numFmtId="0" fontId="27" fillId="0" borderId="0" xfId="0" applyFont="1" applyAlignment="1">
      <alignment wrapText="1"/>
    </xf>
    <xf numFmtId="0" fontId="26" fillId="0" borderId="0" xfId="0" applyFont="1" applyAlignment="1">
      <alignment wrapText="1"/>
    </xf>
    <xf numFmtId="0" fontId="10" fillId="0" borderId="0" xfId="0" applyFont="1" applyAlignment="1">
      <alignment horizontal="left"/>
    </xf>
    <xf numFmtId="3" fontId="0" fillId="0" borderId="0" xfId="0" applyNumberFormat="1"/>
    <xf numFmtId="0" fontId="9" fillId="0" borderId="0" xfId="0" applyFont="1" applyFill="1" applyBorder="1"/>
    <xf numFmtId="2" fontId="68" fillId="0" borderId="0" xfId="47" applyNumberFormat="1" applyFont="1" applyBorder="1" applyAlignment="1">
      <alignment horizontal="center"/>
    </xf>
    <xf numFmtId="1" fontId="58" fillId="0" borderId="0" xfId="3407" applyNumberFormat="1" applyFont="1"/>
    <xf numFmtId="2" fontId="0" fillId="0" borderId="0" xfId="0" applyNumberFormat="1"/>
    <xf numFmtId="2" fontId="68" fillId="0" borderId="0" xfId="43" applyNumberFormat="1" applyFont="1" applyBorder="1" applyAlignment="1">
      <alignment horizontal="center"/>
    </xf>
    <xf numFmtId="2" fontId="68" fillId="0" borderId="0" xfId="47" applyNumberFormat="1" applyFont="1" applyAlignment="1">
      <alignment horizontal="center"/>
    </xf>
    <xf numFmtId="0" fontId="8" fillId="0" borderId="0" xfId="0" quotePrefix="1" applyFont="1"/>
    <xf numFmtId="167" fontId="68" fillId="0" borderId="0" xfId="47" applyNumberFormat="1" applyFont="1" applyBorder="1" applyAlignment="1">
      <alignment horizontal="center"/>
    </xf>
    <xf numFmtId="167" fontId="69" fillId="0" borderId="0" xfId="47" applyNumberFormat="1" applyFont="1" applyBorder="1" applyAlignment="1">
      <alignment horizontal="center"/>
    </xf>
    <xf numFmtId="1" fontId="9" fillId="0" borderId="0" xfId="47" applyNumberFormat="1" applyFont="1" applyBorder="1" applyAlignment="1">
      <alignment horizontal="center"/>
    </xf>
    <xf numFmtId="1" fontId="0" fillId="0" borderId="0" xfId="0" applyNumberFormat="1"/>
    <xf numFmtId="0" fontId="70" fillId="0" borderId="0" xfId="0" applyFont="1"/>
    <xf numFmtId="0" fontId="71" fillId="0" borderId="0" xfId="0" applyFont="1"/>
    <xf numFmtId="0" fontId="72" fillId="0" borderId="0" xfId="0" applyFont="1"/>
    <xf numFmtId="0" fontId="72" fillId="0" borderId="0" xfId="0" quotePrefix="1" applyFont="1"/>
    <xf numFmtId="0" fontId="9" fillId="0" borderId="0" xfId="3416" applyFont="1"/>
    <xf numFmtId="0" fontId="9" fillId="0" borderId="0" xfId="3416"/>
    <xf numFmtId="0" fontId="9" fillId="0" borderId="4" xfId="3416" applyBorder="1" applyAlignment="1">
      <alignment horizontal="centerContinuous" wrapText="1"/>
    </xf>
    <xf numFmtId="0" fontId="9" fillId="0" borderId="2" xfId="3416" applyBorder="1" applyAlignment="1">
      <alignment horizontal="center" wrapText="1"/>
    </xf>
    <xf numFmtId="0" fontId="9" fillId="0" borderId="4" xfId="3416" applyBorder="1" applyAlignment="1">
      <alignment horizontal="center" wrapText="1"/>
    </xf>
    <xf numFmtId="0" fontId="9" fillId="0" borderId="4" xfId="3416" applyFont="1" applyBorder="1" applyAlignment="1">
      <alignment horizontal="center" wrapText="1"/>
    </xf>
    <xf numFmtId="0" fontId="9" fillId="0" borderId="0" xfId="3416" applyAlignment="1">
      <alignment horizontal="centerContinuous" wrapText="1"/>
    </xf>
    <xf numFmtId="0" fontId="9" fillId="0" borderId="9" xfId="3416" applyBorder="1" applyAlignment="1">
      <alignment horizontal="centerContinuous" wrapText="1"/>
    </xf>
    <xf numFmtId="0" fontId="9" fillId="0" borderId="7" xfId="3416" applyBorder="1" applyAlignment="1">
      <alignment horizontal="center" wrapText="1"/>
    </xf>
    <xf numFmtId="0" fontId="9" fillId="0" borderId="9" xfId="3416" applyBorder="1" applyAlignment="1">
      <alignment horizontal="center" wrapText="1"/>
    </xf>
    <xf numFmtId="0" fontId="9" fillId="0" borderId="9" xfId="3416" applyFont="1" applyBorder="1" applyAlignment="1">
      <alignment horizontal="center" wrapText="1"/>
    </xf>
    <xf numFmtId="3" fontId="9" fillId="0" borderId="5" xfId="3416" applyNumberFormat="1" applyBorder="1" applyAlignment="1">
      <alignment horizontal="center"/>
    </xf>
    <xf numFmtId="175" fontId="9" fillId="0" borderId="4" xfId="3416" applyNumberFormat="1" applyBorder="1" applyAlignment="1">
      <alignment horizontal="center"/>
    </xf>
    <xf numFmtId="175" fontId="9" fillId="0" borderId="0" xfId="3416" applyNumberFormat="1" applyBorder="1" applyAlignment="1">
      <alignment horizontal="center"/>
    </xf>
    <xf numFmtId="0" fontId="9" fillId="0" borderId="0" xfId="3416" applyBorder="1"/>
    <xf numFmtId="0" fontId="9" fillId="0" borderId="9" xfId="3416" applyBorder="1"/>
    <xf numFmtId="175" fontId="9" fillId="0" borderId="9" xfId="3416" applyNumberFormat="1" applyBorder="1" applyAlignment="1">
      <alignment horizontal="center"/>
    </xf>
    <xf numFmtId="0" fontId="9" fillId="0" borderId="5" xfId="3416" applyBorder="1" applyAlignment="1">
      <alignment horizontal="center" wrapText="1"/>
    </xf>
    <xf numFmtId="0" fontId="9" fillId="0" borderId="0" xfId="3416" applyBorder="1" applyAlignment="1">
      <alignment horizontal="center" wrapText="1"/>
    </xf>
    <xf numFmtId="168" fontId="9" fillId="0" borderId="4" xfId="3416" applyNumberFormat="1" applyBorder="1" applyAlignment="1">
      <alignment horizontal="center"/>
    </xf>
    <xf numFmtId="168" fontId="9" fillId="0" borderId="5" xfId="3416" applyNumberFormat="1" applyBorder="1" applyAlignment="1">
      <alignment horizontal="center"/>
    </xf>
    <xf numFmtId="168" fontId="9" fillId="0" borderId="0" xfId="3416" applyNumberFormat="1" applyBorder="1" applyAlignment="1">
      <alignment horizontal="center"/>
    </xf>
    <xf numFmtId="168" fontId="9" fillId="0" borderId="7" xfId="3416" applyNumberFormat="1" applyBorder="1" applyAlignment="1">
      <alignment horizontal="center"/>
    </xf>
    <xf numFmtId="168" fontId="9" fillId="0" borderId="9" xfId="3416" applyNumberFormat="1" applyBorder="1" applyAlignment="1">
      <alignment horizontal="center"/>
    </xf>
    <xf numFmtId="0" fontId="9" fillId="0" borderId="13" xfId="3416" applyBorder="1" applyAlignment="1">
      <alignment horizontal="centerContinuous" wrapText="1"/>
    </xf>
    <xf numFmtId="0" fontId="9" fillId="0" borderId="13" xfId="3416" applyFont="1" applyBorder="1" applyAlignment="1">
      <alignment horizontal="center" wrapText="1"/>
    </xf>
    <xf numFmtId="167" fontId="9" fillId="0" borderId="0" xfId="3416" applyNumberFormat="1" applyBorder="1" applyAlignment="1">
      <alignment horizontal="center"/>
    </xf>
    <xf numFmtId="4" fontId="9" fillId="0" borderId="0" xfId="3416" applyNumberFormat="1" applyAlignment="1">
      <alignment horizontal="center"/>
    </xf>
    <xf numFmtId="3" fontId="9" fillId="0" borderId="0" xfId="3416" applyNumberFormat="1" applyBorder="1" applyAlignment="1">
      <alignment horizontal="center"/>
    </xf>
    <xf numFmtId="4" fontId="9" fillId="0" borderId="0" xfId="3416" applyNumberFormat="1" applyBorder="1" applyAlignment="1">
      <alignment horizontal="center"/>
    </xf>
    <xf numFmtId="3" fontId="9" fillId="0" borderId="7" xfId="3416" applyNumberFormat="1" applyBorder="1" applyAlignment="1">
      <alignment horizontal="center"/>
    </xf>
    <xf numFmtId="3" fontId="9" fillId="0" borderId="9" xfId="3416" applyNumberFormat="1" applyBorder="1" applyAlignment="1">
      <alignment horizontal="center"/>
    </xf>
    <xf numFmtId="4" fontId="9" fillId="0" borderId="9" xfId="3416" applyNumberFormat="1" applyBorder="1" applyAlignment="1">
      <alignment horizontal="center"/>
    </xf>
    <xf numFmtId="167" fontId="9" fillId="0" borderId="9" xfId="3416" applyNumberFormat="1" applyBorder="1" applyAlignment="1">
      <alignment horizontal="center"/>
    </xf>
    <xf numFmtId="0" fontId="9" fillId="0" borderId="2" xfId="3416" applyFont="1" applyBorder="1" applyAlignment="1">
      <alignment horizontal="center" wrapText="1"/>
    </xf>
    <xf numFmtId="0" fontId="9" fillId="0" borderId="26" xfId="3416" applyBorder="1" applyAlignment="1">
      <alignment horizontal="centerContinuous" wrapText="1"/>
    </xf>
    <xf numFmtId="0" fontId="9" fillId="0" borderId="7" xfId="3416" applyFont="1" applyBorder="1" applyAlignment="1">
      <alignment horizontal="center" wrapText="1"/>
    </xf>
    <xf numFmtId="0" fontId="9" fillId="0" borderId="8" xfId="3416" applyFont="1" applyBorder="1" applyAlignment="1">
      <alignment horizontal="center" wrapText="1"/>
    </xf>
    <xf numFmtId="3" fontId="9" fillId="0" borderId="2" xfId="3416" applyNumberFormat="1" applyBorder="1" applyAlignment="1">
      <alignment horizontal="center"/>
    </xf>
    <xf numFmtId="3" fontId="9" fillId="0" borderId="4" xfId="3416" applyNumberFormat="1" applyBorder="1" applyAlignment="1">
      <alignment horizontal="center"/>
    </xf>
    <xf numFmtId="0" fontId="9" fillId="0" borderId="1" xfId="3416" applyBorder="1" applyAlignment="1">
      <alignment horizontal="centerContinuous" wrapText="1"/>
    </xf>
    <xf numFmtId="0" fontId="9" fillId="0" borderId="13" xfId="3416" applyBorder="1" applyAlignment="1">
      <alignment horizontal="center" wrapText="1"/>
    </xf>
    <xf numFmtId="175" fontId="9" fillId="0" borderId="0" xfId="3416" applyNumberFormat="1"/>
    <xf numFmtId="0" fontId="9" fillId="0" borderId="27" xfId="3416" applyFont="1" applyBorder="1" applyAlignment="1">
      <alignment horizontal="center" vertical="center" wrapText="1"/>
    </xf>
    <xf numFmtId="0" fontId="73" fillId="0" borderId="13" xfId="3416" applyFont="1" applyBorder="1" applyAlignment="1">
      <alignment horizontal="center" vertical="center" wrapText="1"/>
    </xf>
    <xf numFmtId="0" fontId="9" fillId="0" borderId="27" xfId="43" applyFont="1" applyBorder="1" applyAlignment="1">
      <alignment horizontal="center" vertical="center" wrapText="1"/>
    </xf>
    <xf numFmtId="0" fontId="9" fillId="0" borderId="1" xfId="3416" applyBorder="1" applyAlignment="1">
      <alignment horizontal="center" wrapText="1"/>
    </xf>
    <xf numFmtId="0" fontId="9" fillId="0" borderId="27" xfId="3416" applyFont="1" applyBorder="1" applyAlignment="1">
      <alignment horizontal="center" wrapText="1"/>
    </xf>
    <xf numFmtId="0" fontId="9" fillId="0" borderId="1" xfId="3416" applyFont="1" applyBorder="1" applyAlignment="1">
      <alignment horizontal="center" wrapText="1"/>
    </xf>
    <xf numFmtId="0" fontId="9" fillId="0" borderId="27" xfId="3416" applyBorder="1" applyAlignment="1">
      <alignment horizontal="center" wrapText="1"/>
    </xf>
    <xf numFmtId="167" fontId="9" fillId="0" borderId="4" xfId="3416" applyNumberFormat="1" applyBorder="1" applyAlignment="1">
      <alignment horizontal="center"/>
    </xf>
    <xf numFmtId="167" fontId="9" fillId="0" borderId="0" xfId="3416" applyNumberFormat="1"/>
    <xf numFmtId="175" fontId="9" fillId="0" borderId="29" xfId="3416" applyNumberFormat="1" applyBorder="1" applyAlignment="1">
      <alignment horizontal="center"/>
    </xf>
    <xf numFmtId="2" fontId="9" fillId="0" borderId="5" xfId="3416" applyNumberFormat="1" applyBorder="1" applyAlignment="1">
      <alignment horizontal="center"/>
    </xf>
    <xf numFmtId="167" fontId="9" fillId="0" borderId="29" xfId="3416" applyNumberFormat="1" applyBorder="1" applyAlignment="1">
      <alignment horizontal="center"/>
    </xf>
    <xf numFmtId="166" fontId="9" fillId="0" borderId="0" xfId="3416" applyNumberFormat="1" applyBorder="1"/>
    <xf numFmtId="167" fontId="9" fillId="0" borderId="29" xfId="3416" applyNumberFormat="1" applyBorder="1"/>
    <xf numFmtId="167" fontId="9" fillId="0" borderId="0" xfId="3416" applyNumberFormat="1" applyBorder="1"/>
    <xf numFmtId="175" fontId="9" fillId="0" borderId="26" xfId="3416" applyNumberFormat="1" applyBorder="1" applyAlignment="1">
      <alignment horizontal="center"/>
    </xf>
    <xf numFmtId="2" fontId="9" fillId="0" borderId="7" xfId="3416" applyNumberFormat="1" applyBorder="1" applyAlignment="1">
      <alignment horizontal="center"/>
    </xf>
    <xf numFmtId="167" fontId="9" fillId="0" borderId="26" xfId="3416" applyNumberFormat="1" applyBorder="1" applyAlignment="1">
      <alignment horizontal="center"/>
    </xf>
    <xf numFmtId="166" fontId="9" fillId="0" borderId="9" xfId="3416" applyNumberFormat="1" applyBorder="1"/>
    <xf numFmtId="167" fontId="9" fillId="0" borderId="26" xfId="3416" applyNumberFormat="1" applyBorder="1"/>
    <xf numFmtId="167" fontId="9" fillId="0" borderId="9" xfId="3416" applyNumberFormat="1" applyBorder="1"/>
    <xf numFmtId="4" fontId="9" fillId="0" borderId="2" xfId="3416" applyNumberFormat="1" applyBorder="1" applyAlignment="1">
      <alignment horizontal="center"/>
    </xf>
    <xf numFmtId="4" fontId="9" fillId="0" borderId="4" xfId="3416" applyNumberFormat="1" applyBorder="1" applyAlignment="1">
      <alignment horizontal="center"/>
    </xf>
    <xf numFmtId="4" fontId="9" fillId="0" borderId="5" xfId="3416" applyNumberFormat="1" applyBorder="1" applyAlignment="1">
      <alignment horizontal="center"/>
    </xf>
    <xf numFmtId="4" fontId="9" fillId="0" borderId="7" xfId="3416" applyNumberFormat="1" applyBorder="1" applyAlignment="1">
      <alignment horizontal="center"/>
    </xf>
    <xf numFmtId="167" fontId="9" fillId="0" borderId="0" xfId="47" applyNumberFormat="1" applyFont="1" applyBorder="1" applyAlignment="1">
      <alignment horizontal="left"/>
    </xf>
    <xf numFmtId="0" fontId="9" fillId="0" borderId="2" xfId="3416" applyBorder="1" applyAlignment="1">
      <alignment horizontal="centerContinuous" wrapText="1"/>
    </xf>
    <xf numFmtId="4" fontId="9" fillId="0" borderId="29" xfId="3416" applyNumberFormat="1" applyBorder="1" applyAlignment="1">
      <alignment horizontal="center"/>
    </xf>
    <xf numFmtId="4" fontId="9" fillId="0" borderId="5" xfId="3416" applyNumberFormat="1" applyBorder="1"/>
    <xf numFmtId="4" fontId="9" fillId="0" borderId="0" xfId="3416" applyNumberFormat="1" applyBorder="1"/>
    <xf numFmtId="4" fontId="9" fillId="0" borderId="29" xfId="3416" applyNumberFormat="1" applyBorder="1"/>
    <xf numFmtId="4" fontId="9" fillId="0" borderId="26" xfId="3416" applyNumberFormat="1" applyBorder="1" applyAlignment="1">
      <alignment horizontal="center"/>
    </xf>
    <xf numFmtId="4" fontId="9" fillId="0" borderId="7" xfId="3416" applyNumberFormat="1" applyBorder="1"/>
    <xf numFmtId="4" fontId="9" fillId="0" borderId="9" xfId="3416" applyNumberFormat="1" applyBorder="1"/>
    <xf numFmtId="4" fontId="9" fillId="0" borderId="26" xfId="3416" applyNumberFormat="1" applyBorder="1"/>
    <xf numFmtId="166" fontId="9" fillId="0" borderId="4" xfId="3416" applyNumberFormat="1" applyBorder="1" applyAlignment="1">
      <alignment horizontal="center"/>
    </xf>
    <xf numFmtId="0" fontId="9" fillId="0" borderId="0" xfId="3416" applyAlignment="1">
      <alignment horizontal="center" wrapText="1"/>
    </xf>
    <xf numFmtId="175" fontId="9" fillId="0" borderId="13" xfId="3416" applyNumberFormat="1" applyBorder="1" applyAlignment="1">
      <alignment horizontal="center"/>
    </xf>
    <xf numFmtId="170" fontId="9" fillId="0" borderId="0" xfId="3416" applyNumberFormat="1" applyFont="1" applyAlignment="1">
      <alignment horizontal="center"/>
    </xf>
    <xf numFmtId="166" fontId="9" fillId="0" borderId="7" xfId="3416" applyNumberFormat="1" applyBorder="1" applyAlignment="1">
      <alignment horizontal="center"/>
    </xf>
    <xf numFmtId="166" fontId="9" fillId="0" borderId="9" xfId="3416" applyNumberFormat="1" applyBorder="1" applyAlignment="1">
      <alignment horizontal="center"/>
    </xf>
    <xf numFmtId="166" fontId="9" fillId="0" borderId="5" xfId="3416" applyNumberFormat="1" applyBorder="1" applyAlignment="1">
      <alignment horizontal="center"/>
    </xf>
    <xf numFmtId="166" fontId="9" fillId="0" borderId="0" xfId="3416" applyNumberFormat="1" applyBorder="1" applyAlignment="1">
      <alignment horizontal="center"/>
    </xf>
    <xf numFmtId="0" fontId="9" fillId="0" borderId="0" xfId="3416" applyFont="1" applyAlignment="1">
      <alignment horizontal="center" wrapText="1"/>
    </xf>
    <xf numFmtId="3" fontId="9" fillId="0" borderId="1" xfId="3416" applyNumberFormat="1" applyBorder="1" applyAlignment="1">
      <alignment horizontal="center"/>
    </xf>
    <xf numFmtId="3" fontId="9" fillId="0" borderId="13" xfId="3416" applyNumberFormat="1" applyBorder="1" applyAlignment="1">
      <alignment horizontal="center"/>
    </xf>
    <xf numFmtId="168" fontId="9" fillId="0" borderId="13" xfId="3416" applyNumberFormat="1" applyBorder="1" applyAlignment="1">
      <alignment horizontal="center"/>
    </xf>
    <xf numFmtId="3" fontId="0" fillId="0" borderId="9" xfId="3426" applyNumberFormat="1" applyFont="1" applyBorder="1" applyAlignment="1">
      <alignment horizontal="center"/>
    </xf>
    <xf numFmtId="3" fontId="0" fillId="0" borderId="0" xfId="3426" applyNumberFormat="1" applyFont="1" applyBorder="1" applyAlignment="1">
      <alignment horizontal="center"/>
    </xf>
    <xf numFmtId="0" fontId="9" fillId="0" borderId="7" xfId="3416" applyBorder="1" applyAlignment="1">
      <alignment horizontal="centerContinuous" wrapText="1"/>
    </xf>
    <xf numFmtId="167" fontId="9" fillId="0" borderId="1" xfId="47" applyNumberFormat="1" applyFont="1" applyBorder="1" applyAlignment="1">
      <alignment horizontal="center"/>
    </xf>
    <xf numFmtId="167" fontId="9" fillId="0" borderId="13" xfId="47" applyNumberFormat="1" applyFont="1" applyBorder="1" applyAlignment="1">
      <alignment horizontal="center"/>
    </xf>
    <xf numFmtId="4" fontId="9" fillId="0" borderId="13" xfId="3416" applyNumberFormat="1" applyBorder="1" applyAlignment="1">
      <alignment horizontal="center"/>
    </xf>
    <xf numFmtId="167" fontId="9" fillId="0" borderId="5" xfId="47" applyNumberFormat="1" applyFont="1" applyBorder="1" applyAlignment="1">
      <alignment horizontal="center"/>
    </xf>
    <xf numFmtId="167" fontId="9" fillId="0" borderId="7" xfId="47" applyNumberFormat="1" applyFont="1" applyBorder="1" applyAlignment="1">
      <alignment horizontal="center"/>
    </xf>
    <xf numFmtId="167" fontId="9" fillId="0" borderId="9" xfId="47" applyNumberFormat="1" applyFont="1" applyBorder="1" applyAlignment="1">
      <alignment horizontal="center"/>
    </xf>
    <xf numFmtId="166" fontId="9" fillId="0" borderId="7" xfId="47" applyNumberFormat="1" applyFont="1" applyBorder="1" applyAlignment="1">
      <alignment horizontal="center"/>
    </xf>
    <xf numFmtId="166" fontId="9" fillId="0" borderId="0" xfId="3416" applyNumberFormat="1" applyAlignment="1">
      <alignment horizontal="center"/>
    </xf>
    <xf numFmtId="0" fontId="9" fillId="0" borderId="0" xfId="3416" applyFont="1" applyAlignment="1">
      <alignment wrapText="1"/>
    </xf>
    <xf numFmtId="0" fontId="9" fillId="0" borderId="0" xfId="3416" applyAlignment="1">
      <alignment wrapText="1"/>
    </xf>
    <xf numFmtId="0" fontId="9" fillId="0" borderId="2" xfId="3416" applyFont="1" applyBorder="1" applyAlignment="1">
      <alignment horizontal="center" vertical="center" wrapText="1"/>
    </xf>
    <xf numFmtId="0" fontId="9" fillId="0" borderId="4" xfId="3416" applyFont="1" applyBorder="1" applyAlignment="1">
      <alignment horizontal="center" vertical="center" wrapText="1"/>
    </xf>
    <xf numFmtId="0" fontId="9" fillId="0" borderId="28" xfId="3416" applyFont="1" applyBorder="1" applyAlignment="1">
      <alignment horizontal="center" vertical="center" wrapText="1"/>
    </xf>
    <xf numFmtId="0" fontId="9" fillId="0" borderId="26" xfId="3416" applyFont="1" applyBorder="1" applyAlignment="1">
      <alignment horizontal="center" wrapText="1"/>
    </xf>
    <xf numFmtId="0" fontId="9" fillId="0" borderId="26" xfId="3416" applyBorder="1" applyAlignment="1">
      <alignment horizontal="center" wrapText="1"/>
    </xf>
    <xf numFmtId="168" fontId="9" fillId="0" borderId="1" xfId="3416" applyNumberFormat="1" applyBorder="1" applyAlignment="1">
      <alignment horizontal="center"/>
    </xf>
    <xf numFmtId="175" fontId="9" fillId="0" borderId="27" xfId="3416" applyNumberFormat="1" applyBorder="1" applyAlignment="1">
      <alignment horizontal="center"/>
    </xf>
    <xf numFmtId="2" fontId="9" fillId="0" borderId="1" xfId="3416" applyNumberFormat="1" applyBorder="1" applyAlignment="1">
      <alignment horizontal="center"/>
    </xf>
    <xf numFmtId="167" fontId="9" fillId="0" borderId="27" xfId="3416" applyNumberFormat="1" applyBorder="1" applyAlignment="1">
      <alignment horizontal="center"/>
    </xf>
    <xf numFmtId="167" fontId="9" fillId="0" borderId="1" xfId="3416" applyNumberFormat="1" applyBorder="1"/>
    <xf numFmtId="166" fontId="9" fillId="0" borderId="13" xfId="3416" applyNumberFormat="1" applyBorder="1"/>
    <xf numFmtId="167" fontId="9" fillId="0" borderId="13" xfId="3416" applyNumberFormat="1" applyBorder="1"/>
    <xf numFmtId="2" fontId="9" fillId="0" borderId="13" xfId="3416" applyNumberFormat="1" applyBorder="1"/>
    <xf numFmtId="167" fontId="9" fillId="0" borderId="27" xfId="3416" applyNumberFormat="1" applyBorder="1"/>
    <xf numFmtId="2" fontId="9" fillId="0" borderId="1" xfId="3416" applyNumberFormat="1" applyBorder="1"/>
    <xf numFmtId="167" fontId="9" fillId="0" borderId="5" xfId="3416" applyNumberFormat="1" applyBorder="1"/>
    <xf numFmtId="2" fontId="9" fillId="0" borderId="0" xfId="3416" applyNumberFormat="1" applyBorder="1"/>
    <xf numFmtId="2" fontId="9" fillId="0" borderId="5" xfId="3416" applyNumberFormat="1" applyBorder="1"/>
    <xf numFmtId="167" fontId="9" fillId="0" borderId="7" xfId="3416" applyNumberFormat="1" applyBorder="1"/>
    <xf numFmtId="2" fontId="9" fillId="0" borderId="9" xfId="3416" applyNumberFormat="1" applyBorder="1"/>
    <xf numFmtId="2" fontId="9" fillId="0" borderId="7" xfId="3416" applyNumberFormat="1" applyBorder="1"/>
    <xf numFmtId="170" fontId="9" fillId="0" borderId="0" xfId="3416" applyNumberFormat="1"/>
    <xf numFmtId="166" fontId="9" fillId="0" borderId="26" xfId="3416" applyNumberFormat="1" applyBorder="1" applyAlignment="1">
      <alignment horizontal="center"/>
    </xf>
    <xf numFmtId="166" fontId="9" fillId="0" borderId="29" xfId="3416" applyNumberFormat="1" applyBorder="1" applyAlignment="1">
      <alignment horizontal="center"/>
    </xf>
    <xf numFmtId="166" fontId="9" fillId="0" borderId="2" xfId="3416" applyNumberFormat="1" applyBorder="1" applyAlignment="1">
      <alignment horizontal="center"/>
    </xf>
    <xf numFmtId="166" fontId="9" fillId="0" borderId="28" xfId="3416" applyNumberFormat="1" applyBorder="1" applyAlignment="1">
      <alignment horizontal="center"/>
    </xf>
    <xf numFmtId="0" fontId="9" fillId="0" borderId="0" xfId="3416" applyBorder="1" applyAlignment="1">
      <alignment horizontal="centerContinuous" vertical="center" wrapText="1"/>
    </xf>
    <xf numFmtId="0" fontId="9" fillId="0" borderId="5" xfId="3416" applyBorder="1" applyAlignment="1">
      <alignment horizontal="center" vertical="center" wrapText="1"/>
    </xf>
    <xf numFmtId="0" fontId="9" fillId="0" borderId="0" xfId="3416" applyBorder="1" applyAlignment="1">
      <alignment horizontal="center" vertical="center" wrapText="1"/>
    </xf>
    <xf numFmtId="0" fontId="9" fillId="0" borderId="0" xfId="3416" applyAlignment="1">
      <alignment horizontal="centerContinuous" vertical="center" wrapText="1"/>
    </xf>
    <xf numFmtId="4" fontId="9" fillId="0" borderId="1" xfId="3416" applyNumberFormat="1" applyBorder="1" applyAlignment="1">
      <alignment horizontal="center"/>
    </xf>
    <xf numFmtId="4" fontId="9" fillId="0" borderId="13" xfId="3416" applyNumberFormat="1" applyFont="1" applyBorder="1" applyAlignment="1">
      <alignment horizontal="center"/>
    </xf>
    <xf numFmtId="4" fontId="9" fillId="0" borderId="4" xfId="3416" applyNumberFormat="1" applyFont="1" applyBorder="1" applyAlignment="1">
      <alignment horizontal="center"/>
    </xf>
    <xf numFmtId="4" fontId="9" fillId="0" borderId="0" xfId="3416" applyNumberFormat="1" applyFont="1" applyBorder="1" applyAlignment="1">
      <alignment horizontal="center"/>
    </xf>
    <xf numFmtId="2" fontId="9" fillId="0" borderId="0" xfId="3416" applyNumberFormat="1" applyFont="1" applyAlignment="1">
      <alignment horizontal="center"/>
    </xf>
    <xf numFmtId="4" fontId="9" fillId="0" borderId="9" xfId="3416" applyNumberFormat="1" applyFont="1" applyBorder="1" applyAlignment="1">
      <alignment horizontal="center"/>
    </xf>
    <xf numFmtId="0" fontId="9" fillId="0" borderId="27" xfId="3416" applyBorder="1"/>
    <xf numFmtId="0" fontId="9" fillId="0" borderId="28" xfId="3416" applyBorder="1"/>
    <xf numFmtId="0" fontId="9" fillId="0" borderId="29" xfId="3416" applyBorder="1"/>
    <xf numFmtId="0" fontId="9" fillId="0" borderId="26" xfId="3416" applyBorder="1"/>
    <xf numFmtId="0" fontId="9" fillId="0" borderId="27" xfId="3416" applyBorder="1" applyAlignment="1">
      <alignment horizontal="centerContinuous" wrapText="1"/>
    </xf>
    <xf numFmtId="0" fontId="9" fillId="0" borderId="3" xfId="3416" applyBorder="1" applyAlignment="1">
      <alignment horizontal="center" wrapText="1"/>
    </xf>
    <xf numFmtId="0" fontId="9" fillId="0" borderId="28" xfId="3416" applyFont="1" applyBorder="1" applyAlignment="1">
      <alignment horizontal="center" wrapText="1"/>
    </xf>
    <xf numFmtId="0" fontId="9" fillId="0" borderId="3" xfId="3416" applyFont="1" applyBorder="1" applyAlignment="1">
      <alignment horizontal="center" wrapText="1"/>
    </xf>
    <xf numFmtId="166" fontId="9" fillId="0" borderId="8" xfId="3416" applyNumberFormat="1" applyBorder="1" applyAlignment="1">
      <alignment horizontal="center"/>
    </xf>
    <xf numFmtId="166" fontId="9" fillId="0" borderId="3" xfId="3416" applyNumberFormat="1" applyBorder="1" applyAlignment="1">
      <alignment horizontal="center"/>
    </xf>
    <xf numFmtId="166" fontId="9" fillId="0" borderId="6" xfId="3416" applyNumberFormat="1" applyBorder="1" applyAlignment="1">
      <alignment horizontal="center"/>
    </xf>
    <xf numFmtId="0" fontId="9" fillId="0" borderId="7" xfId="3416" applyBorder="1" applyAlignment="1">
      <alignment horizontal="center" vertical="center" wrapText="1"/>
    </xf>
    <xf numFmtId="0" fontId="9" fillId="0" borderId="9" xfId="3416" applyBorder="1" applyAlignment="1">
      <alignment horizontal="center" vertical="center" wrapText="1"/>
    </xf>
    <xf numFmtId="2" fontId="9" fillId="0" borderId="1" xfId="47" applyNumberFormat="1" applyFont="1" applyBorder="1" applyAlignment="1">
      <alignment horizontal="center"/>
    </xf>
    <xf numFmtId="2" fontId="9" fillId="0" borderId="13" xfId="47" applyNumberFormat="1" applyFont="1" applyBorder="1" applyAlignment="1">
      <alignment horizontal="center"/>
    </xf>
    <xf numFmtId="2" fontId="9" fillId="0" borderId="5" xfId="47" applyNumberFormat="1" applyFont="1" applyBorder="1" applyAlignment="1">
      <alignment horizontal="center"/>
    </xf>
    <xf numFmtId="2" fontId="9" fillId="0" borderId="7" xfId="47" applyNumberFormat="1" applyFont="1" applyBorder="1" applyAlignment="1">
      <alignment horizontal="center"/>
    </xf>
    <xf numFmtId="2" fontId="9" fillId="0" borderId="9" xfId="47" applyNumberFormat="1" applyFont="1" applyBorder="1" applyAlignment="1">
      <alignment horizontal="center"/>
    </xf>
    <xf numFmtId="0" fontId="9" fillId="0" borderId="26" xfId="3416" applyBorder="1" applyAlignment="1">
      <alignment horizontal="centerContinuous" vertical="center" wrapText="1"/>
    </xf>
    <xf numFmtId="0" fontId="9" fillId="0" borderId="29" xfId="3416" applyBorder="1" applyAlignment="1">
      <alignment horizontal="center" vertical="center" wrapText="1"/>
    </xf>
    <xf numFmtId="4" fontId="9" fillId="0" borderId="27" xfId="3416" applyNumberFormat="1" applyBorder="1" applyAlignment="1">
      <alignment horizontal="center"/>
    </xf>
    <xf numFmtId="4" fontId="9" fillId="0" borderId="1" xfId="3416" applyNumberFormat="1" applyBorder="1"/>
    <xf numFmtId="4" fontId="9" fillId="0" borderId="13" xfId="3416" applyNumberFormat="1" applyBorder="1"/>
    <xf numFmtId="4" fontId="9" fillId="0" borderId="27" xfId="3416" applyNumberFormat="1" applyBorder="1"/>
    <xf numFmtId="0" fontId="9" fillId="0" borderId="2" xfId="3416" applyBorder="1" applyAlignment="1">
      <alignment horizontal="center" vertical="center" wrapText="1"/>
    </xf>
    <xf numFmtId="0" fontId="9" fillId="0" borderId="0" xfId="0" quotePrefix="1" applyFont="1"/>
    <xf numFmtId="0" fontId="74" fillId="0" borderId="0" xfId="0" applyFont="1"/>
    <xf numFmtId="175" fontId="0" fillId="0" borderId="0" xfId="0" applyNumberFormat="1"/>
    <xf numFmtId="0" fontId="75" fillId="0" borderId="0" xfId="0" applyFont="1"/>
    <xf numFmtId="0" fontId="9" fillId="0" borderId="0" xfId="47" applyFont="1" applyFill="1" applyBorder="1"/>
    <xf numFmtId="0" fontId="76" fillId="0" borderId="0" xfId="0" applyFont="1"/>
    <xf numFmtId="3" fontId="0" fillId="0" borderId="0" xfId="0" applyNumberFormat="1" applyAlignment="1">
      <alignment horizontal="center"/>
    </xf>
    <xf numFmtId="0" fontId="77" fillId="0" borderId="0" xfId="0" applyFont="1"/>
    <xf numFmtId="0" fontId="8" fillId="0" borderId="0" xfId="0" applyFont="1" applyAlignment="1">
      <alignment horizontal="center"/>
    </xf>
    <xf numFmtId="0" fontId="25" fillId="0" borderId="9" xfId="0" applyFont="1" applyBorder="1" applyAlignment="1">
      <alignment horizontal="center"/>
    </xf>
    <xf numFmtId="0" fontId="9" fillId="0" borderId="26" xfId="0" applyFont="1" applyBorder="1" applyAlignment="1">
      <alignment horizontal="center"/>
    </xf>
    <xf numFmtId="0" fontId="9" fillId="0" borderId="29" xfId="0" applyFont="1" applyBorder="1"/>
    <xf numFmtId="2" fontId="8" fillId="0" borderId="0" xfId="0" applyNumberFormat="1" applyFont="1" applyAlignment="1">
      <alignment horizontal="center"/>
    </xf>
    <xf numFmtId="4" fontId="0" fillId="0" borderId="0" xfId="0" applyNumberFormat="1" applyAlignment="1">
      <alignment horizontal="center"/>
    </xf>
    <xf numFmtId="4" fontId="9" fillId="0" borderId="0" xfId="0" applyNumberFormat="1" applyFont="1" applyFill="1" applyAlignment="1">
      <alignment horizontal="center"/>
    </xf>
    <xf numFmtId="0" fontId="78" fillId="0" borderId="0" xfId="0" applyFont="1" applyAlignment="1">
      <alignment horizontal="center"/>
    </xf>
    <xf numFmtId="0" fontId="79" fillId="33" borderId="30" xfId="0" applyFont="1" applyFill="1" applyBorder="1" applyAlignment="1">
      <alignment vertical="top"/>
    </xf>
    <xf numFmtId="0" fontId="80" fillId="33" borderId="30" xfId="0" applyFont="1" applyFill="1" applyBorder="1" applyAlignment="1">
      <alignment vertical="top"/>
    </xf>
    <xf numFmtId="0" fontId="81" fillId="33" borderId="31" xfId="0" applyFont="1" applyFill="1" applyBorder="1" applyAlignment="1">
      <alignment vertical="top"/>
    </xf>
    <xf numFmtId="0" fontId="81" fillId="34" borderId="0" xfId="0" applyFont="1" applyFill="1" applyAlignment="1">
      <alignment vertical="top"/>
    </xf>
    <xf numFmtId="0" fontId="81" fillId="34" borderId="31" xfId="0" applyFont="1" applyFill="1" applyBorder="1" applyAlignment="1">
      <alignment vertical="top"/>
    </xf>
    <xf numFmtId="0" fontId="79" fillId="33" borderId="31" xfId="0" applyFont="1" applyFill="1" applyBorder="1" applyAlignment="1">
      <alignment vertical="top"/>
    </xf>
    <xf numFmtId="0" fontId="81" fillId="0" borderId="0" xfId="0" applyFont="1" applyAlignment="1">
      <alignment vertical="top"/>
    </xf>
    <xf numFmtId="0" fontId="81" fillId="0" borderId="31" xfId="0" applyFont="1" applyBorder="1" applyAlignment="1">
      <alignment vertical="top"/>
    </xf>
    <xf numFmtId="0" fontId="8" fillId="0" borderId="0" xfId="0" applyFont="1" applyAlignment="1">
      <alignment horizontal="left"/>
    </xf>
    <xf numFmtId="3" fontId="77" fillId="0" borderId="0" xfId="0" applyNumberFormat="1" applyFont="1" applyAlignment="1">
      <alignment horizontal="center"/>
    </xf>
    <xf numFmtId="0" fontId="83" fillId="34" borderId="0" xfId="0" applyFont="1" applyFill="1" applyAlignment="1">
      <alignment horizontal="center" wrapText="1"/>
    </xf>
    <xf numFmtId="0" fontId="83" fillId="34" borderId="31" xfId="0" applyFont="1" applyFill="1" applyBorder="1" applyAlignment="1">
      <alignment horizontal="center" wrapText="1"/>
    </xf>
    <xf numFmtId="0" fontId="81" fillId="0" borderId="0" xfId="0" applyFont="1" applyAlignment="1">
      <alignment horizontal="center" vertical="center" wrapText="1"/>
    </xf>
    <xf numFmtId="0" fontId="81" fillId="0" borderId="31" xfId="0" applyFont="1" applyBorder="1" applyAlignment="1">
      <alignment horizontal="center" vertical="center" wrapText="1"/>
    </xf>
    <xf numFmtId="0" fontId="81" fillId="34" borderId="0" xfId="0" applyFont="1" applyFill="1" applyAlignment="1">
      <alignment horizontal="center" vertical="center" wrapText="1"/>
    </xf>
    <xf numFmtId="0" fontId="81" fillId="34" borderId="31" xfId="0" applyFont="1" applyFill="1" applyBorder="1" applyAlignment="1">
      <alignment horizontal="center" vertical="center" wrapText="1"/>
    </xf>
    <xf numFmtId="0" fontId="81" fillId="0" borderId="32" xfId="0" applyFont="1" applyBorder="1" applyAlignment="1">
      <alignment horizontal="center" vertical="center" wrapText="1"/>
    </xf>
    <xf numFmtId="0" fontId="81" fillId="0" borderId="33" xfId="0" applyFont="1" applyBorder="1" applyAlignment="1">
      <alignment horizontal="center" vertical="center" wrapText="1"/>
    </xf>
    <xf numFmtId="2" fontId="11" fillId="0" borderId="0" xfId="46" applyNumberFormat="1" applyFont="1" applyAlignment="1">
      <alignment horizontal="center" vertical="center"/>
    </xf>
    <xf numFmtId="168" fontId="9" fillId="0" borderId="0" xfId="41" applyNumberFormat="1" applyFont="1" applyAlignment="1"/>
    <xf numFmtId="4" fontId="31" fillId="0" borderId="0" xfId="0" applyNumberFormat="1" applyFont="1" applyAlignment="1">
      <alignment horizontal="center"/>
    </xf>
    <xf numFmtId="167" fontId="0" fillId="0" borderId="0" xfId="0" applyNumberFormat="1"/>
    <xf numFmtId="167" fontId="0" fillId="0" borderId="0" xfId="0" applyNumberFormat="1" applyAlignment="1">
      <alignment horizontal="center"/>
    </xf>
    <xf numFmtId="0" fontId="26" fillId="0" borderId="0" xfId="0" applyFont="1"/>
    <xf numFmtId="0" fontId="26" fillId="0" borderId="0" xfId="0" applyFont="1" applyAlignment="1">
      <alignment horizontal="center"/>
    </xf>
    <xf numFmtId="0" fontId="26" fillId="0" borderId="0" xfId="0" applyFont="1" applyAlignment="1">
      <alignment horizontal="left"/>
    </xf>
    <xf numFmtId="167" fontId="26" fillId="0" borderId="34" xfId="0" applyNumberFormat="1" applyFont="1" applyBorder="1" applyAlignment="1">
      <alignment horizontal="center"/>
    </xf>
    <xf numFmtId="167" fontId="26" fillId="0" borderId="0" xfId="0" applyNumberFormat="1" applyFont="1" applyAlignment="1">
      <alignment horizontal="center"/>
    </xf>
    <xf numFmtId="166" fontId="26" fillId="0" borderId="0" xfId="0" applyNumberFormat="1" applyFont="1" applyAlignment="1">
      <alignment horizontal="center"/>
    </xf>
    <xf numFmtId="2" fontId="26" fillId="0" borderId="0" xfId="0" applyNumberFormat="1" applyFont="1" applyAlignment="1">
      <alignment horizontal="center"/>
    </xf>
    <xf numFmtId="0" fontId="84" fillId="0" borderId="0" xfId="0" applyFont="1"/>
    <xf numFmtId="0" fontId="85" fillId="0" borderId="0" xfId="0" applyFont="1"/>
    <xf numFmtId="0" fontId="86" fillId="0" borderId="0" xfId="0" applyFont="1"/>
    <xf numFmtId="0" fontId="26" fillId="0" borderId="0" xfId="0" applyFont="1" applyAlignment="1">
      <alignment horizontal="center" wrapText="1"/>
    </xf>
    <xf numFmtId="167" fontId="84" fillId="0" borderId="0" xfId="0" applyNumberFormat="1" applyFont="1"/>
    <xf numFmtId="166" fontId="84" fillId="0" borderId="0" xfId="0" applyNumberFormat="1" applyFont="1"/>
    <xf numFmtId="2" fontId="84" fillId="0" borderId="0" xfId="0" applyNumberFormat="1" applyFont="1"/>
    <xf numFmtId="3" fontId="26" fillId="0" borderId="34" xfId="0" applyNumberFormat="1" applyFont="1" applyBorder="1" applyAlignment="1">
      <alignment horizontal="center"/>
    </xf>
    <xf numFmtId="3" fontId="26" fillId="0" borderId="0" xfId="0" applyNumberFormat="1" applyFont="1" applyAlignment="1">
      <alignment horizontal="center"/>
    </xf>
    <xf numFmtId="166" fontId="26" fillId="0" borderId="34" xfId="0" applyNumberFormat="1" applyFont="1" applyBorder="1" applyAlignment="1">
      <alignment horizontal="center"/>
    </xf>
    <xf numFmtId="4" fontId="26" fillId="0" borderId="34" xfId="0" applyNumberFormat="1" applyFont="1" applyBorder="1" applyAlignment="1">
      <alignment horizontal="center"/>
    </xf>
    <xf numFmtId="168" fontId="26" fillId="0" borderId="34" xfId="0" applyNumberFormat="1" applyFont="1" applyBorder="1" applyAlignment="1">
      <alignment horizontal="center"/>
    </xf>
    <xf numFmtId="175" fontId="26" fillId="0" borderId="34" xfId="0" applyNumberFormat="1" applyFont="1" applyBorder="1" applyAlignment="1">
      <alignment horizontal="center"/>
    </xf>
    <xf numFmtId="2" fontId="26" fillId="0" borderId="34" xfId="0" applyNumberFormat="1" applyFont="1" applyBorder="1" applyAlignment="1">
      <alignment horizontal="center"/>
    </xf>
    <xf numFmtId="0" fontId="26" fillId="0" borderId="35" xfId="0" applyFont="1" applyBorder="1"/>
    <xf numFmtId="0" fontId="26" fillId="0" borderId="36" xfId="0" applyFont="1" applyBorder="1"/>
    <xf numFmtId="0" fontId="26" fillId="0" borderId="35" xfId="0" applyFont="1" applyBorder="1" applyAlignment="1">
      <alignment horizontal="center" wrapText="1"/>
    </xf>
    <xf numFmtId="0" fontId="26" fillId="0" borderId="36" xfId="0" applyFont="1" applyBorder="1" applyAlignment="1">
      <alignment horizontal="center" wrapText="1"/>
    </xf>
    <xf numFmtId="2" fontId="26" fillId="0" borderId="35" xfId="0" applyNumberFormat="1" applyFont="1" applyBorder="1" applyAlignment="1">
      <alignment horizontal="center"/>
    </xf>
    <xf numFmtId="2" fontId="26" fillId="0" borderId="36" xfId="0" applyNumberFormat="1" applyFont="1" applyBorder="1" applyAlignment="1">
      <alignment horizontal="center"/>
    </xf>
    <xf numFmtId="2" fontId="87" fillId="0" borderId="0" xfId="0" applyNumberFormat="1" applyFont="1" applyAlignment="1">
      <alignment horizontal="center"/>
    </xf>
    <xf numFmtId="0" fontId="9" fillId="0" borderId="0" xfId="46" quotePrefix="1" applyFont="1" applyAlignment="1">
      <alignment vertical="center" wrapText="1"/>
    </xf>
    <xf numFmtId="0" fontId="9" fillId="0" borderId="0" xfId="45" applyFont="1" applyAlignment="1">
      <alignment vertical="center"/>
    </xf>
    <xf numFmtId="0" fontId="9" fillId="0" borderId="0" xfId="45" applyFont="1" applyAlignment="1"/>
    <xf numFmtId="0" fontId="9" fillId="0" borderId="0" xfId="41" applyFont="1" applyAlignment="1">
      <alignment wrapText="1"/>
    </xf>
    <xf numFmtId="0" fontId="9" fillId="0" borderId="0" xfId="41" applyFont="1" applyFill="1" applyBorder="1" applyAlignment="1">
      <alignment wrapText="1"/>
    </xf>
    <xf numFmtId="0" fontId="9" fillId="0" borderId="0" xfId="41" applyFont="1" applyAlignment="1">
      <alignment horizontal="left" wrapText="1"/>
    </xf>
    <xf numFmtId="0" fontId="13" fillId="0" borderId="0" xfId="0" applyFont="1" applyAlignment="1">
      <alignment wrapText="1"/>
    </xf>
    <xf numFmtId="0" fontId="13" fillId="0" borderId="4" xfId="0" applyFont="1" applyBorder="1" applyAlignment="1">
      <alignment wrapText="1"/>
    </xf>
    <xf numFmtId="0" fontId="9" fillId="0" borderId="0" xfId="0" applyFont="1" applyAlignment="1">
      <alignment wrapText="1"/>
    </xf>
    <xf numFmtId="0" fontId="18" fillId="0" borderId="0" xfId="47" applyFont="1" applyAlignment="1">
      <alignment wrapText="1"/>
    </xf>
    <xf numFmtId="1" fontId="63" fillId="0" borderId="24" xfId="0" applyNumberFormat="1" applyFont="1" applyFill="1" applyBorder="1" applyAlignment="1">
      <alignment horizontal="right" wrapText="1"/>
    </xf>
    <xf numFmtId="1" fontId="62" fillId="0" borderId="25" xfId="0" applyNumberFormat="1" applyFont="1" applyFill="1" applyBorder="1" applyAlignment="1">
      <alignment horizontal="center"/>
    </xf>
    <xf numFmtId="0" fontId="63" fillId="0" borderId="0" xfId="0" applyFont="1" applyFill="1" applyBorder="1" applyAlignment="1">
      <alignment horizontal="left"/>
    </xf>
    <xf numFmtId="0" fontId="63" fillId="0" borderId="4" xfId="0" applyFont="1" applyFill="1" applyBorder="1" applyAlignment="1">
      <alignment horizontal="left"/>
    </xf>
    <xf numFmtId="1" fontId="62" fillId="0" borderId="24" xfId="0" applyNumberFormat="1" applyFont="1" applyFill="1" applyBorder="1" applyAlignment="1">
      <alignment horizontal="right" wrapText="1"/>
    </xf>
    <xf numFmtId="169" fontId="18" fillId="0" borderId="6" xfId="29" applyNumberFormat="1" applyFont="1" applyBorder="1" applyAlignment="1">
      <alignment horizontal="center" vertical="center"/>
    </xf>
    <xf numFmtId="0" fontId="29" fillId="0" borderId="0" xfId="43" applyFont="1" applyBorder="1" applyAlignment="1">
      <alignment wrapText="1"/>
    </xf>
    <xf numFmtId="0" fontId="8" fillId="0" borderId="0" xfId="0" applyFont="1" applyAlignment="1">
      <alignment wrapText="1"/>
    </xf>
    <xf numFmtId="0" fontId="9" fillId="0" borderId="4" xfId="47" applyFont="1" applyBorder="1" applyAlignment="1">
      <alignment horizontal="left" wrapText="1"/>
    </xf>
    <xf numFmtId="0" fontId="9" fillId="0" borderId="0" xfId="47" applyFont="1" applyBorder="1" applyAlignment="1">
      <alignment wrapText="1"/>
    </xf>
    <xf numFmtId="0" fontId="9" fillId="0" borderId="0" xfId="47" applyFont="1" applyAlignment="1">
      <alignment horizontal="left" wrapText="1"/>
    </xf>
    <xf numFmtId="0" fontId="9" fillId="0" borderId="0" xfId="0" applyFont="1" applyAlignment="1">
      <alignment horizontal="left" wrapText="1"/>
    </xf>
    <xf numFmtId="0" fontId="8" fillId="0" borderId="0" xfId="0" applyFont="1" applyAlignment="1">
      <alignment horizontal="left" wrapText="1"/>
    </xf>
    <xf numFmtId="0" fontId="82" fillId="33" borderId="30" xfId="0" applyFont="1" applyFill="1" applyBorder="1" applyAlignment="1">
      <alignment horizontal="center" vertical="top" wrapText="1"/>
    </xf>
    <xf numFmtId="0" fontId="9" fillId="0" borderId="0" xfId="3416" applyFont="1" applyAlignment="1">
      <alignment wrapText="1"/>
    </xf>
    <xf numFmtId="0" fontId="9" fillId="0" borderId="0" xfId="3416" applyAlignment="1">
      <alignment wrapText="1"/>
    </xf>
    <xf numFmtId="0" fontId="9" fillId="0" borderId="9" xfId="3416" applyFont="1" applyBorder="1" applyAlignment="1">
      <alignment wrapText="1"/>
    </xf>
    <xf numFmtId="0" fontId="9" fillId="0" borderId="9" xfId="3416" applyBorder="1" applyAlignment="1">
      <alignment wrapText="1"/>
    </xf>
    <xf numFmtId="0" fontId="9" fillId="0" borderId="0" xfId="3416" applyFont="1" applyAlignment="1">
      <alignment horizontal="left" wrapText="1"/>
    </xf>
    <xf numFmtId="0" fontId="85" fillId="0" borderId="0" xfId="0" applyFont="1" applyAlignment="1">
      <alignment horizontal="center"/>
    </xf>
  </cellXfs>
  <cellStyles count="3427">
    <cellStyle name="20% - Accent1" xfId="1" builtinId="30" customBuiltin="1"/>
    <cellStyle name="20% - Accent1 10" xfId="136"/>
    <cellStyle name="20% - Accent1 100" xfId="1320"/>
    <cellStyle name="20% - Accent1 101" xfId="1333"/>
    <cellStyle name="20% - Accent1 102" xfId="1346"/>
    <cellStyle name="20% - Accent1 103" xfId="1359"/>
    <cellStyle name="20% - Accent1 104" xfId="1372"/>
    <cellStyle name="20% - Accent1 105" xfId="1385"/>
    <cellStyle name="20% - Accent1 106" xfId="1397"/>
    <cellStyle name="20% - Accent1 107" xfId="1437"/>
    <cellStyle name="20% - Accent1 108" xfId="1439"/>
    <cellStyle name="20% - Accent1 109" xfId="1467"/>
    <cellStyle name="20% - Accent1 11" xfId="149"/>
    <cellStyle name="20% - Accent1 110" xfId="1474"/>
    <cellStyle name="20% - Accent1 111" xfId="1473"/>
    <cellStyle name="20% - Accent1 112" xfId="1477"/>
    <cellStyle name="20% - Accent1 113" xfId="1490"/>
    <cellStyle name="20% - Accent1 114" xfId="1503"/>
    <cellStyle name="20% - Accent1 115" xfId="1516"/>
    <cellStyle name="20% - Accent1 116" xfId="1529"/>
    <cellStyle name="20% - Accent1 117" xfId="1542"/>
    <cellStyle name="20% - Accent1 118" xfId="1554"/>
    <cellStyle name="20% - Accent1 119" xfId="1601"/>
    <cellStyle name="20% - Accent1 12" xfId="162"/>
    <cellStyle name="20% - Accent1 120" xfId="1609"/>
    <cellStyle name="20% - Accent1 121" xfId="1619"/>
    <cellStyle name="20% - Accent1 122" xfId="1618"/>
    <cellStyle name="20% - Accent1 123" xfId="1622"/>
    <cellStyle name="20% - Accent1 124" xfId="1635"/>
    <cellStyle name="20% - Accent1 125" xfId="1648"/>
    <cellStyle name="20% - Accent1 126" xfId="1661"/>
    <cellStyle name="20% - Accent1 127" xfId="1674"/>
    <cellStyle name="20% - Accent1 128" xfId="1687"/>
    <cellStyle name="20% - Accent1 129" xfId="1700"/>
    <cellStyle name="20% - Accent1 13" xfId="175"/>
    <cellStyle name="20% - Accent1 130" xfId="1713"/>
    <cellStyle name="20% - Accent1 131" xfId="1726"/>
    <cellStyle name="20% - Accent1 132" xfId="1739"/>
    <cellStyle name="20% - Accent1 133" xfId="1752"/>
    <cellStyle name="20% - Accent1 134" xfId="1765"/>
    <cellStyle name="20% - Accent1 135" xfId="1778"/>
    <cellStyle name="20% - Accent1 136" xfId="1791"/>
    <cellStyle name="20% - Accent1 137" xfId="1804"/>
    <cellStyle name="20% - Accent1 138" xfId="1817"/>
    <cellStyle name="20% - Accent1 139" xfId="1830"/>
    <cellStyle name="20% - Accent1 14" xfId="188"/>
    <cellStyle name="20% - Accent1 140" xfId="1843"/>
    <cellStyle name="20% - Accent1 141" xfId="1856"/>
    <cellStyle name="20% - Accent1 142" xfId="1869"/>
    <cellStyle name="20% - Accent1 143" xfId="1882"/>
    <cellStyle name="20% - Accent1 144" xfId="1895"/>
    <cellStyle name="20% - Accent1 145" xfId="1908"/>
    <cellStyle name="20% - Accent1 146" xfId="1921"/>
    <cellStyle name="20% - Accent1 147" xfId="1934"/>
    <cellStyle name="20% - Accent1 148" xfId="1947"/>
    <cellStyle name="20% - Accent1 149" xfId="1960"/>
    <cellStyle name="20% - Accent1 15" xfId="201"/>
    <cellStyle name="20% - Accent1 150" xfId="1973"/>
    <cellStyle name="20% - Accent1 151" xfId="1986"/>
    <cellStyle name="20% - Accent1 152" xfId="1999"/>
    <cellStyle name="20% - Accent1 153" xfId="2012"/>
    <cellStyle name="20% - Accent1 154" xfId="2025"/>
    <cellStyle name="20% - Accent1 155" xfId="2038"/>
    <cellStyle name="20% - Accent1 156" xfId="2051"/>
    <cellStyle name="20% - Accent1 157" xfId="2064"/>
    <cellStyle name="20% - Accent1 158" xfId="2077"/>
    <cellStyle name="20% - Accent1 159" xfId="2090"/>
    <cellStyle name="20% - Accent1 16" xfId="214"/>
    <cellStyle name="20% - Accent1 160" xfId="2103"/>
    <cellStyle name="20% - Accent1 161" xfId="2117"/>
    <cellStyle name="20% - Accent1 162" xfId="2130"/>
    <cellStyle name="20% - Accent1 163" xfId="2144"/>
    <cellStyle name="20% - Accent1 164" xfId="2158"/>
    <cellStyle name="20% - Accent1 165" xfId="2170"/>
    <cellStyle name="20% - Accent1 166" xfId="2204"/>
    <cellStyle name="20% - Accent1 167" xfId="2183"/>
    <cellStyle name="20% - Accent1 168" xfId="2194"/>
    <cellStyle name="20% - Accent1 169" xfId="2220"/>
    <cellStyle name="20% - Accent1 17" xfId="227"/>
    <cellStyle name="20% - Accent1 170" xfId="2233"/>
    <cellStyle name="20% - Accent1 171" xfId="2246"/>
    <cellStyle name="20% - Accent1 172" xfId="2259"/>
    <cellStyle name="20% - Accent1 173" xfId="2272"/>
    <cellStyle name="20% - Accent1 174" xfId="2285"/>
    <cellStyle name="20% - Accent1 175" xfId="2299"/>
    <cellStyle name="20% - Accent1 176" xfId="2312"/>
    <cellStyle name="20% - Accent1 177" xfId="2324"/>
    <cellStyle name="20% - Accent1 178" xfId="2358"/>
    <cellStyle name="20% - Accent1 179" xfId="2337"/>
    <cellStyle name="20% - Accent1 18" xfId="240"/>
    <cellStyle name="20% - Accent1 180" xfId="2348"/>
    <cellStyle name="20% - Accent1 181" xfId="2374"/>
    <cellStyle name="20% - Accent1 182" xfId="2387"/>
    <cellStyle name="20% - Accent1 183" xfId="2400"/>
    <cellStyle name="20% - Accent1 184" xfId="2413"/>
    <cellStyle name="20% - Accent1 185" xfId="2426"/>
    <cellStyle name="20% - Accent1 186" xfId="2439"/>
    <cellStyle name="20% - Accent1 187" xfId="2452"/>
    <cellStyle name="20% - Accent1 188" xfId="2465"/>
    <cellStyle name="20% - Accent1 189" xfId="2478"/>
    <cellStyle name="20% - Accent1 19" xfId="253"/>
    <cellStyle name="20% - Accent1 190" xfId="2491"/>
    <cellStyle name="20% - Accent1 191" xfId="2504"/>
    <cellStyle name="20% - Accent1 192" xfId="2517"/>
    <cellStyle name="20% - Accent1 193" xfId="2530"/>
    <cellStyle name="20% - Accent1 194" xfId="2543"/>
    <cellStyle name="20% - Accent1 195" xfId="2556"/>
    <cellStyle name="20% - Accent1 196" xfId="2569"/>
    <cellStyle name="20% - Accent1 197" xfId="2582"/>
    <cellStyle name="20% - Accent1 198" xfId="2594"/>
    <cellStyle name="20% - Accent1 199" xfId="2647"/>
    <cellStyle name="20% - Accent1 2" xfId="61"/>
    <cellStyle name="20% - Accent1 20" xfId="266"/>
    <cellStyle name="20% - Accent1 200" xfId="2654"/>
    <cellStyle name="20% - Accent1 201" xfId="2653"/>
    <cellStyle name="20% - Accent1 202" xfId="2657"/>
    <cellStyle name="20% - Accent1 203" xfId="2671"/>
    <cellStyle name="20% - Accent1 204" xfId="2685"/>
    <cellStyle name="20% - Accent1 205" xfId="2698"/>
    <cellStyle name="20% - Accent1 206" xfId="2711"/>
    <cellStyle name="20% - Accent1 207" xfId="2724"/>
    <cellStyle name="20% - Accent1 208" xfId="2737"/>
    <cellStyle name="20% - Accent1 209" xfId="2750"/>
    <cellStyle name="20% - Accent1 21" xfId="279"/>
    <cellStyle name="20% - Accent1 210" xfId="2762"/>
    <cellStyle name="20% - Accent1 211" xfId="2805"/>
    <cellStyle name="20% - Accent1 212" xfId="2822"/>
    <cellStyle name="20% - Accent1 213" xfId="2804"/>
    <cellStyle name="20% - Accent1 214" xfId="2844"/>
    <cellStyle name="20% - Accent1 215" xfId="2854"/>
    <cellStyle name="20% - Accent1 216" xfId="2874"/>
    <cellStyle name="20% - Accent1 217" xfId="2881"/>
    <cellStyle name="20% - Accent1 218" xfId="2880"/>
    <cellStyle name="20% - Accent1 219" xfId="2884"/>
    <cellStyle name="20% - Accent1 22" xfId="292"/>
    <cellStyle name="20% - Accent1 220" xfId="2897"/>
    <cellStyle name="20% - Accent1 221" xfId="2910"/>
    <cellStyle name="20% - Accent1 222" xfId="2923"/>
    <cellStyle name="20% - Accent1 223" xfId="2936"/>
    <cellStyle name="20% - Accent1 224" xfId="2949"/>
    <cellStyle name="20% - Accent1 225" xfId="2962"/>
    <cellStyle name="20% - Accent1 226" xfId="2975"/>
    <cellStyle name="20% - Accent1 227" xfId="2988"/>
    <cellStyle name="20% - Accent1 228" xfId="3001"/>
    <cellStyle name="20% - Accent1 229" xfId="3014"/>
    <cellStyle name="20% - Accent1 23" xfId="305"/>
    <cellStyle name="20% - Accent1 230" xfId="3027"/>
    <cellStyle name="20% - Accent1 231" xfId="3040"/>
    <cellStyle name="20% - Accent1 232" xfId="3053"/>
    <cellStyle name="20% - Accent1 233" xfId="3066"/>
    <cellStyle name="20% - Accent1 234" xfId="3079"/>
    <cellStyle name="20% - Accent1 235" xfId="3092"/>
    <cellStyle name="20% - Accent1 236" xfId="3105"/>
    <cellStyle name="20% - Accent1 237" xfId="3117"/>
    <cellStyle name="20% - Accent1 238" xfId="3161"/>
    <cellStyle name="20% - Accent1 239" xfId="3160"/>
    <cellStyle name="20% - Accent1 24" xfId="318"/>
    <cellStyle name="20% - Accent1 240" xfId="3181"/>
    <cellStyle name="20% - Accent1 241" xfId="3163"/>
    <cellStyle name="20% - Accent1 242" xfId="3213"/>
    <cellStyle name="20% - Accent1 243" xfId="3219"/>
    <cellStyle name="20% - Accent1 244" xfId="3243"/>
    <cellStyle name="20% - Accent1 245" xfId="3250"/>
    <cellStyle name="20% - Accent1 246" xfId="3249"/>
    <cellStyle name="20% - Accent1 247" xfId="3253"/>
    <cellStyle name="20% - Accent1 248" xfId="3266"/>
    <cellStyle name="20% - Accent1 249" xfId="3279"/>
    <cellStyle name="20% - Accent1 25" xfId="331"/>
    <cellStyle name="20% - Accent1 250" xfId="3292"/>
    <cellStyle name="20% - Accent1 251" xfId="3305"/>
    <cellStyle name="20% - Accent1 252" xfId="3318"/>
    <cellStyle name="20% - Accent1 253" xfId="3331"/>
    <cellStyle name="20% - Accent1 254" xfId="3343"/>
    <cellStyle name="20% - Accent1 255" xfId="3355"/>
    <cellStyle name="20% - Accent1 256" xfId="3395"/>
    <cellStyle name="20% - Accent1 26" xfId="344"/>
    <cellStyle name="20% - Accent1 27" xfId="357"/>
    <cellStyle name="20% - Accent1 28" xfId="370"/>
    <cellStyle name="20% - Accent1 29" xfId="383"/>
    <cellStyle name="20% - Accent1 3" xfId="68"/>
    <cellStyle name="20% - Accent1 30" xfId="397"/>
    <cellStyle name="20% - Accent1 31" xfId="410"/>
    <cellStyle name="20% - Accent1 32" xfId="424"/>
    <cellStyle name="20% - Accent1 33" xfId="436"/>
    <cellStyle name="20% - Accent1 34" xfId="478"/>
    <cellStyle name="20% - Accent1 35" xfId="485"/>
    <cellStyle name="20% - Accent1 36" xfId="484"/>
    <cellStyle name="20% - Accent1 37" xfId="488"/>
    <cellStyle name="20% - Accent1 38" xfId="501"/>
    <cellStyle name="20% - Accent1 39" xfId="514"/>
    <cellStyle name="20% - Accent1 4" xfId="67"/>
    <cellStyle name="20% - Accent1 40" xfId="527"/>
    <cellStyle name="20% - Accent1 41" xfId="540"/>
    <cellStyle name="20% - Accent1 42" xfId="553"/>
    <cellStyle name="20% - Accent1 43" xfId="566"/>
    <cellStyle name="20% - Accent1 44" xfId="579"/>
    <cellStyle name="20% - Accent1 45" xfId="592"/>
    <cellStyle name="20% - Accent1 46" xfId="605"/>
    <cellStyle name="20% - Accent1 47" xfId="618"/>
    <cellStyle name="20% - Accent1 48" xfId="631"/>
    <cellStyle name="20% - Accent1 49" xfId="644"/>
    <cellStyle name="20% - Accent1 5" xfId="71"/>
    <cellStyle name="20% - Accent1 50" xfId="657"/>
    <cellStyle name="20% - Accent1 51" xfId="670"/>
    <cellStyle name="20% - Accent1 52" xfId="683"/>
    <cellStyle name="20% - Accent1 53" xfId="696"/>
    <cellStyle name="20% - Accent1 54" xfId="709"/>
    <cellStyle name="20% - Accent1 55" xfId="722"/>
    <cellStyle name="20% - Accent1 56" xfId="735"/>
    <cellStyle name="20% - Accent1 57" xfId="748"/>
    <cellStyle name="20% - Accent1 58" xfId="761"/>
    <cellStyle name="20% - Accent1 59" xfId="774"/>
    <cellStyle name="20% - Accent1 6" xfId="84"/>
    <cellStyle name="20% - Accent1 60" xfId="787"/>
    <cellStyle name="20% - Accent1 61" xfId="800"/>
    <cellStyle name="20% - Accent1 62" xfId="813"/>
    <cellStyle name="20% - Accent1 63" xfId="826"/>
    <cellStyle name="20% - Accent1 64" xfId="839"/>
    <cellStyle name="20% - Accent1 65" xfId="852"/>
    <cellStyle name="20% - Accent1 66" xfId="865"/>
    <cellStyle name="20% - Accent1 67" xfId="878"/>
    <cellStyle name="20% - Accent1 68" xfId="891"/>
    <cellStyle name="20% - Accent1 69" xfId="904"/>
    <cellStyle name="20% - Accent1 7" xfId="97"/>
    <cellStyle name="20% - Accent1 70" xfId="917"/>
    <cellStyle name="20% - Accent1 71" xfId="930"/>
    <cellStyle name="20% - Accent1 72" xfId="943"/>
    <cellStyle name="20% - Accent1 73" xfId="957"/>
    <cellStyle name="20% - Accent1 74" xfId="971"/>
    <cellStyle name="20% - Accent1 75" xfId="984"/>
    <cellStyle name="20% - Accent1 76" xfId="997"/>
    <cellStyle name="20% - Accent1 77" xfId="1011"/>
    <cellStyle name="20% - Accent1 78" xfId="1025"/>
    <cellStyle name="20% - Accent1 79" xfId="1038"/>
    <cellStyle name="20% - Accent1 8" xfId="110"/>
    <cellStyle name="20% - Accent1 80" xfId="1051"/>
    <cellStyle name="20% - Accent1 81" xfId="1063"/>
    <cellStyle name="20% - Accent1 82" xfId="1088"/>
    <cellStyle name="20% - Accent1 83" xfId="1116"/>
    <cellStyle name="20% - Accent1 84" xfId="1132"/>
    <cellStyle name="20% - Accent1 85" xfId="1131"/>
    <cellStyle name="20% - Accent1 86" xfId="1135"/>
    <cellStyle name="20% - Accent1 87" xfId="1149"/>
    <cellStyle name="20% - Accent1 88" xfId="1163"/>
    <cellStyle name="20% - Accent1 89" xfId="1177"/>
    <cellStyle name="20% - Accent1 9" xfId="123"/>
    <cellStyle name="20% - Accent1 90" xfId="1190"/>
    <cellStyle name="20% - Accent1 91" xfId="1203"/>
    <cellStyle name="20% - Accent1 92" xfId="1216"/>
    <cellStyle name="20% - Accent1 93" xfId="1229"/>
    <cellStyle name="20% - Accent1 94" xfId="1242"/>
    <cellStyle name="20% - Accent1 95" xfId="1255"/>
    <cellStyle name="20% - Accent1 96" xfId="1268"/>
    <cellStyle name="20% - Accent1 97" xfId="1281"/>
    <cellStyle name="20% - Accent1 98" xfId="1294"/>
    <cellStyle name="20% - Accent1 99" xfId="1307"/>
    <cellStyle name="20% - Accent2" xfId="2" builtinId="34" customBuiltin="1"/>
    <cellStyle name="20% - Accent2 10" xfId="169"/>
    <cellStyle name="20% - Accent2 100" xfId="1353"/>
    <cellStyle name="20% - Accent2 101" xfId="1366"/>
    <cellStyle name="20% - Accent2 102" xfId="1379"/>
    <cellStyle name="20% - Accent2 103" xfId="1392"/>
    <cellStyle name="20% - Accent2 104" xfId="1404"/>
    <cellStyle name="20% - Accent2 105" xfId="1414"/>
    <cellStyle name="20% - Accent2 106" xfId="1424"/>
    <cellStyle name="20% - Accent2 107" xfId="1440"/>
    <cellStyle name="20% - Accent2 108" xfId="1455"/>
    <cellStyle name="20% - Accent2 109" xfId="1453"/>
    <cellStyle name="20% - Accent2 11" xfId="182"/>
    <cellStyle name="20% - Accent2 110" xfId="1484"/>
    <cellStyle name="20% - Accent2 111" xfId="1497"/>
    <cellStyle name="20% - Accent2 112" xfId="1510"/>
    <cellStyle name="20% - Accent2 113" xfId="1523"/>
    <cellStyle name="20% - Accent2 114" xfId="1536"/>
    <cellStyle name="20% - Accent2 115" xfId="1549"/>
    <cellStyle name="20% - Accent2 116" xfId="1561"/>
    <cellStyle name="20% - Accent2 117" xfId="1573"/>
    <cellStyle name="20% - Accent2 118" xfId="1586"/>
    <cellStyle name="20% - Accent2 119" xfId="1579"/>
    <cellStyle name="20% - Accent2 12" xfId="195"/>
    <cellStyle name="20% - Accent2 120" xfId="1616"/>
    <cellStyle name="20% - Accent2 121" xfId="1629"/>
    <cellStyle name="20% - Accent2 122" xfId="1642"/>
    <cellStyle name="20% - Accent2 123" xfId="1655"/>
    <cellStyle name="20% - Accent2 124" xfId="1668"/>
    <cellStyle name="20% - Accent2 125" xfId="1681"/>
    <cellStyle name="20% - Accent2 126" xfId="1694"/>
    <cellStyle name="20% - Accent2 127" xfId="1707"/>
    <cellStyle name="20% - Accent2 128" xfId="1720"/>
    <cellStyle name="20% - Accent2 129" xfId="1733"/>
    <cellStyle name="20% - Accent2 13" xfId="208"/>
    <cellStyle name="20% - Accent2 130" xfId="1746"/>
    <cellStyle name="20% - Accent2 131" xfId="1759"/>
    <cellStyle name="20% - Accent2 132" xfId="1772"/>
    <cellStyle name="20% - Accent2 133" xfId="1785"/>
    <cellStyle name="20% - Accent2 134" xfId="1798"/>
    <cellStyle name="20% - Accent2 135" xfId="1811"/>
    <cellStyle name="20% - Accent2 136" xfId="1824"/>
    <cellStyle name="20% - Accent2 137" xfId="1837"/>
    <cellStyle name="20% - Accent2 138" xfId="1850"/>
    <cellStyle name="20% - Accent2 139" xfId="1863"/>
    <cellStyle name="20% - Accent2 14" xfId="221"/>
    <cellStyle name="20% - Accent2 140" xfId="1876"/>
    <cellStyle name="20% - Accent2 141" xfId="1889"/>
    <cellStyle name="20% - Accent2 142" xfId="1902"/>
    <cellStyle name="20% - Accent2 143" xfId="1915"/>
    <cellStyle name="20% - Accent2 144" xfId="1928"/>
    <cellStyle name="20% - Accent2 145" xfId="1941"/>
    <cellStyle name="20% - Accent2 146" xfId="1954"/>
    <cellStyle name="20% - Accent2 147" xfId="1967"/>
    <cellStyle name="20% - Accent2 148" xfId="1980"/>
    <cellStyle name="20% - Accent2 149" xfId="1993"/>
    <cellStyle name="20% - Accent2 15" xfId="234"/>
    <cellStyle name="20% - Accent2 150" xfId="2006"/>
    <cellStyle name="20% - Accent2 151" xfId="2019"/>
    <cellStyle name="20% - Accent2 152" xfId="2032"/>
    <cellStyle name="20% - Accent2 153" xfId="2045"/>
    <cellStyle name="20% - Accent2 154" xfId="2058"/>
    <cellStyle name="20% - Accent2 155" xfId="2071"/>
    <cellStyle name="20% - Accent2 156" xfId="2084"/>
    <cellStyle name="20% - Accent2 157" xfId="2097"/>
    <cellStyle name="20% - Accent2 158" xfId="2111"/>
    <cellStyle name="20% - Accent2 159" xfId="2124"/>
    <cellStyle name="20% - Accent2 16" xfId="247"/>
    <cellStyle name="20% - Accent2 160" xfId="2138"/>
    <cellStyle name="20% - Accent2 161" xfId="2152"/>
    <cellStyle name="20% - Accent2 162" xfId="2165"/>
    <cellStyle name="20% - Accent2 163" xfId="2177"/>
    <cellStyle name="20% - Accent2 164" xfId="2189"/>
    <cellStyle name="20% - Accent2 165" xfId="2201"/>
    <cellStyle name="20% - Accent2 166" xfId="2209"/>
    <cellStyle name="20% - Accent2 167" xfId="2227"/>
    <cellStyle name="20% - Accent2 168" xfId="2240"/>
    <cellStyle name="20% - Accent2 169" xfId="2253"/>
    <cellStyle name="20% - Accent2 17" xfId="260"/>
    <cellStyle name="20% - Accent2 170" xfId="2266"/>
    <cellStyle name="20% - Accent2 171" xfId="2279"/>
    <cellStyle name="20% - Accent2 172" xfId="2293"/>
    <cellStyle name="20% - Accent2 173" xfId="2306"/>
    <cellStyle name="20% - Accent2 174" xfId="2319"/>
    <cellStyle name="20% - Accent2 175" xfId="2331"/>
    <cellStyle name="20% - Accent2 176" xfId="2343"/>
    <cellStyle name="20% - Accent2 177" xfId="2355"/>
    <cellStyle name="20% - Accent2 178" xfId="2363"/>
    <cellStyle name="20% - Accent2 179" xfId="2381"/>
    <cellStyle name="20% - Accent2 18" xfId="273"/>
    <cellStyle name="20% - Accent2 180" xfId="2394"/>
    <cellStyle name="20% - Accent2 181" xfId="2407"/>
    <cellStyle name="20% - Accent2 182" xfId="2420"/>
    <cellStyle name="20% - Accent2 183" xfId="2433"/>
    <cellStyle name="20% - Accent2 184" xfId="2446"/>
    <cellStyle name="20% - Accent2 185" xfId="2459"/>
    <cellStyle name="20% - Accent2 186" xfId="2472"/>
    <cellStyle name="20% - Accent2 187" xfId="2485"/>
    <cellStyle name="20% - Accent2 188" xfId="2498"/>
    <cellStyle name="20% - Accent2 189" xfId="2511"/>
    <cellStyle name="20% - Accent2 19" xfId="286"/>
    <cellStyle name="20% - Accent2 190" xfId="2524"/>
    <cellStyle name="20% - Accent2 191" xfId="2537"/>
    <cellStyle name="20% - Accent2 192" xfId="2550"/>
    <cellStyle name="20% - Accent2 193" xfId="2563"/>
    <cellStyle name="20% - Accent2 194" xfId="2576"/>
    <cellStyle name="20% - Accent2 195" xfId="2589"/>
    <cellStyle name="20% - Accent2 196" xfId="2601"/>
    <cellStyle name="20% - Accent2 197" xfId="2611"/>
    <cellStyle name="20% - Accent2 198" xfId="2621"/>
    <cellStyle name="20% - Accent2 199" xfId="2651"/>
    <cellStyle name="20% - Accent2 2" xfId="65"/>
    <cellStyle name="20% - Accent2 20" xfId="299"/>
    <cellStyle name="20% - Accent2 200" xfId="2665"/>
    <cellStyle name="20% - Accent2 201" xfId="2679"/>
    <cellStyle name="20% - Accent2 202" xfId="2692"/>
    <cellStyle name="20% - Accent2 203" xfId="2705"/>
    <cellStyle name="20% - Accent2 204" xfId="2718"/>
    <cellStyle name="20% - Accent2 205" xfId="2731"/>
    <cellStyle name="20% - Accent2 206" xfId="2744"/>
    <cellStyle name="20% - Accent2 207" xfId="2757"/>
    <cellStyle name="20% - Accent2 208" xfId="2769"/>
    <cellStyle name="20% - Accent2 209" xfId="2779"/>
    <cellStyle name="20% - Accent2 21" xfId="312"/>
    <cellStyle name="20% - Accent2 210" xfId="2789"/>
    <cellStyle name="20% - Accent2 211" xfId="2808"/>
    <cellStyle name="20% - Accent2 212" xfId="2810"/>
    <cellStyle name="20% - Accent2 213" xfId="2826"/>
    <cellStyle name="20% - Accent2 214" xfId="2832"/>
    <cellStyle name="20% - Accent2 215" xfId="2859"/>
    <cellStyle name="20% - Accent2 216" xfId="2878"/>
    <cellStyle name="20% - Accent2 217" xfId="2891"/>
    <cellStyle name="20% - Accent2 218" xfId="2904"/>
    <cellStyle name="20% - Accent2 219" xfId="2917"/>
    <cellStyle name="20% - Accent2 22" xfId="325"/>
    <cellStyle name="20% - Accent2 220" xfId="2930"/>
    <cellStyle name="20% - Accent2 221" xfId="2943"/>
    <cellStyle name="20% - Accent2 222" xfId="2956"/>
    <cellStyle name="20% - Accent2 223" xfId="2969"/>
    <cellStyle name="20% - Accent2 224" xfId="2982"/>
    <cellStyle name="20% - Accent2 225" xfId="2995"/>
    <cellStyle name="20% - Accent2 226" xfId="3008"/>
    <cellStyle name="20% - Accent2 227" xfId="3021"/>
    <cellStyle name="20% - Accent2 228" xfId="3034"/>
    <cellStyle name="20% - Accent2 229" xfId="3047"/>
    <cellStyle name="20% - Accent2 23" xfId="338"/>
    <cellStyle name="20% - Accent2 230" xfId="3060"/>
    <cellStyle name="20% - Accent2 231" xfId="3073"/>
    <cellStyle name="20% - Accent2 232" xfId="3086"/>
    <cellStyle name="20% - Accent2 233" xfId="3099"/>
    <cellStyle name="20% - Accent2 234" xfId="3112"/>
    <cellStyle name="20% - Accent2 235" xfId="3124"/>
    <cellStyle name="20% - Accent2 236" xfId="3134"/>
    <cellStyle name="20% - Accent2 237" xfId="3144"/>
    <cellStyle name="20% - Accent2 238" xfId="3165"/>
    <cellStyle name="20% - Accent2 239" xfId="3170"/>
    <cellStyle name="20% - Accent2 24" xfId="351"/>
    <cellStyle name="20% - Accent2 240" xfId="3189"/>
    <cellStyle name="20% - Accent2 241" xfId="3199"/>
    <cellStyle name="20% - Accent2 242" xfId="3217"/>
    <cellStyle name="20% - Accent2 243" xfId="3227"/>
    <cellStyle name="20% - Accent2 244" xfId="3247"/>
    <cellStyle name="20% - Accent2 245" xfId="3260"/>
    <cellStyle name="20% - Accent2 246" xfId="3273"/>
    <cellStyle name="20% - Accent2 247" xfId="3286"/>
    <cellStyle name="20% - Accent2 248" xfId="3299"/>
    <cellStyle name="20% - Accent2 249" xfId="3312"/>
    <cellStyle name="20% - Accent2 25" xfId="364"/>
    <cellStyle name="20% - Accent2 250" xfId="3325"/>
    <cellStyle name="20% - Accent2 251" xfId="3338"/>
    <cellStyle name="20% - Accent2 252" xfId="3350"/>
    <cellStyle name="20% - Accent2 253" xfId="3362"/>
    <cellStyle name="20% - Accent2 254" xfId="3372"/>
    <cellStyle name="20% - Accent2 255" xfId="3382"/>
    <cellStyle name="20% - Accent2 256" xfId="3397"/>
    <cellStyle name="20% - Accent2 26" xfId="377"/>
    <cellStyle name="20% - Accent2 27" xfId="391"/>
    <cellStyle name="20% - Accent2 28" xfId="404"/>
    <cellStyle name="20% - Accent2 29" xfId="418"/>
    <cellStyle name="20% - Accent2 3" xfId="78"/>
    <cellStyle name="20% - Accent2 30" xfId="431"/>
    <cellStyle name="20% - Accent2 31" xfId="443"/>
    <cellStyle name="20% - Accent2 32" xfId="455"/>
    <cellStyle name="20% - Accent2 33" xfId="466"/>
    <cellStyle name="20% - Accent2 34" xfId="449"/>
    <cellStyle name="20% - Accent2 35" xfId="495"/>
    <cellStyle name="20% - Accent2 36" xfId="508"/>
    <cellStyle name="20% - Accent2 37" xfId="521"/>
    <cellStyle name="20% - Accent2 38" xfId="534"/>
    <cellStyle name="20% - Accent2 39" xfId="547"/>
    <cellStyle name="20% - Accent2 4" xfId="91"/>
    <cellStyle name="20% - Accent2 40" xfId="560"/>
    <cellStyle name="20% - Accent2 41" xfId="573"/>
    <cellStyle name="20% - Accent2 42" xfId="586"/>
    <cellStyle name="20% - Accent2 43" xfId="599"/>
    <cellStyle name="20% - Accent2 44" xfId="612"/>
    <cellStyle name="20% - Accent2 45" xfId="625"/>
    <cellStyle name="20% - Accent2 46" xfId="638"/>
    <cellStyle name="20% - Accent2 47" xfId="651"/>
    <cellStyle name="20% - Accent2 48" xfId="664"/>
    <cellStyle name="20% - Accent2 49" xfId="677"/>
    <cellStyle name="20% - Accent2 5" xfId="104"/>
    <cellStyle name="20% - Accent2 50" xfId="690"/>
    <cellStyle name="20% - Accent2 51" xfId="703"/>
    <cellStyle name="20% - Accent2 52" xfId="716"/>
    <cellStyle name="20% - Accent2 53" xfId="729"/>
    <cellStyle name="20% - Accent2 54" xfId="742"/>
    <cellStyle name="20% - Accent2 55" xfId="755"/>
    <cellStyle name="20% - Accent2 56" xfId="768"/>
    <cellStyle name="20% - Accent2 57" xfId="781"/>
    <cellStyle name="20% - Accent2 58" xfId="794"/>
    <cellStyle name="20% - Accent2 59" xfId="807"/>
    <cellStyle name="20% - Accent2 6" xfId="117"/>
    <cellStyle name="20% - Accent2 60" xfId="820"/>
    <cellStyle name="20% - Accent2 61" xfId="833"/>
    <cellStyle name="20% - Accent2 62" xfId="846"/>
    <cellStyle name="20% - Accent2 63" xfId="859"/>
    <cellStyle name="20% - Accent2 64" xfId="872"/>
    <cellStyle name="20% - Accent2 65" xfId="885"/>
    <cellStyle name="20% - Accent2 66" xfId="898"/>
    <cellStyle name="20% - Accent2 67" xfId="911"/>
    <cellStyle name="20% - Accent2 68" xfId="924"/>
    <cellStyle name="20% - Accent2 69" xfId="937"/>
    <cellStyle name="20% - Accent2 7" xfId="130"/>
    <cellStyle name="20% - Accent2 70" xfId="951"/>
    <cellStyle name="20% - Accent2 71" xfId="965"/>
    <cellStyle name="20% - Accent2 72" xfId="978"/>
    <cellStyle name="20% - Accent2 73" xfId="991"/>
    <cellStyle name="20% - Accent2 74" xfId="1005"/>
    <cellStyle name="20% - Accent2 75" xfId="1019"/>
    <cellStyle name="20% - Accent2 76" xfId="1032"/>
    <cellStyle name="20% - Accent2 77" xfId="1045"/>
    <cellStyle name="20% - Accent2 78" xfId="1058"/>
    <cellStyle name="20% - Accent2 79" xfId="1071"/>
    <cellStyle name="20% - Accent2 8" xfId="143"/>
    <cellStyle name="20% - Accent2 80" xfId="1083"/>
    <cellStyle name="20% - Accent2 81" xfId="1094"/>
    <cellStyle name="20% - Accent2 82" xfId="1111"/>
    <cellStyle name="20% - Accent2 83" xfId="1129"/>
    <cellStyle name="20% - Accent2 84" xfId="1143"/>
    <cellStyle name="20% - Accent2 85" xfId="1157"/>
    <cellStyle name="20% - Accent2 86" xfId="1171"/>
    <cellStyle name="20% - Accent2 87" xfId="1184"/>
    <cellStyle name="20% - Accent2 88" xfId="1197"/>
    <cellStyle name="20% - Accent2 89" xfId="1210"/>
    <cellStyle name="20% - Accent2 9" xfId="156"/>
    <cellStyle name="20% - Accent2 90" xfId="1223"/>
    <cellStyle name="20% - Accent2 91" xfId="1236"/>
    <cellStyle name="20% - Accent2 92" xfId="1249"/>
    <cellStyle name="20% - Accent2 93" xfId="1262"/>
    <cellStyle name="20% - Accent2 94" xfId="1275"/>
    <cellStyle name="20% - Accent2 95" xfId="1288"/>
    <cellStyle name="20% - Accent2 96" xfId="1301"/>
    <cellStyle name="20% - Accent2 97" xfId="1314"/>
    <cellStyle name="20% - Accent2 98" xfId="1327"/>
    <cellStyle name="20% - Accent2 99" xfId="1340"/>
    <cellStyle name="20% - Accent3" xfId="3" builtinId="38" customBuiltin="1"/>
    <cellStyle name="20% - Accent3 10" xfId="137"/>
    <cellStyle name="20% - Accent3 100" xfId="1321"/>
    <cellStyle name="20% - Accent3 101" xfId="1334"/>
    <cellStyle name="20% - Accent3 102" xfId="1347"/>
    <cellStyle name="20% - Accent3 103" xfId="1360"/>
    <cellStyle name="20% - Accent3 104" xfId="1373"/>
    <cellStyle name="20% - Accent3 105" xfId="1386"/>
    <cellStyle name="20% - Accent3 106" xfId="1398"/>
    <cellStyle name="20% - Accent3 107" xfId="1443"/>
    <cellStyle name="20% - Accent3 108" xfId="1459"/>
    <cellStyle name="20% - Accent3 109" xfId="1475"/>
    <cellStyle name="20% - Accent3 11" xfId="150"/>
    <cellStyle name="20% - Accent3 110" xfId="1461"/>
    <cellStyle name="20% - Accent3 111" xfId="1471"/>
    <cellStyle name="20% - Accent3 112" xfId="1478"/>
    <cellStyle name="20% - Accent3 113" xfId="1491"/>
    <cellStyle name="20% - Accent3 114" xfId="1504"/>
    <cellStyle name="20% - Accent3 115" xfId="1517"/>
    <cellStyle name="20% - Accent3 116" xfId="1530"/>
    <cellStyle name="20% - Accent3 117" xfId="1543"/>
    <cellStyle name="20% - Accent3 118" xfId="1555"/>
    <cellStyle name="20% - Accent3 119" xfId="1603"/>
    <cellStyle name="20% - Accent3 12" xfId="163"/>
    <cellStyle name="20% - Accent3 120" xfId="1620"/>
    <cellStyle name="20% - Accent3 121" xfId="1602"/>
    <cellStyle name="20% - Accent3 122" xfId="1613"/>
    <cellStyle name="20% - Accent3 123" xfId="1623"/>
    <cellStyle name="20% - Accent3 124" xfId="1636"/>
    <cellStyle name="20% - Accent3 125" xfId="1649"/>
    <cellStyle name="20% - Accent3 126" xfId="1662"/>
    <cellStyle name="20% - Accent3 127" xfId="1675"/>
    <cellStyle name="20% - Accent3 128" xfId="1688"/>
    <cellStyle name="20% - Accent3 129" xfId="1701"/>
    <cellStyle name="20% - Accent3 13" xfId="176"/>
    <cellStyle name="20% - Accent3 130" xfId="1714"/>
    <cellStyle name="20% - Accent3 131" xfId="1727"/>
    <cellStyle name="20% - Accent3 132" xfId="1740"/>
    <cellStyle name="20% - Accent3 133" xfId="1753"/>
    <cellStyle name="20% - Accent3 134" xfId="1766"/>
    <cellStyle name="20% - Accent3 135" xfId="1779"/>
    <cellStyle name="20% - Accent3 136" xfId="1792"/>
    <cellStyle name="20% - Accent3 137" xfId="1805"/>
    <cellStyle name="20% - Accent3 138" xfId="1818"/>
    <cellStyle name="20% - Accent3 139" xfId="1831"/>
    <cellStyle name="20% - Accent3 14" xfId="189"/>
    <cellStyle name="20% - Accent3 140" xfId="1844"/>
    <cellStyle name="20% - Accent3 141" xfId="1857"/>
    <cellStyle name="20% - Accent3 142" xfId="1870"/>
    <cellStyle name="20% - Accent3 143" xfId="1883"/>
    <cellStyle name="20% - Accent3 144" xfId="1896"/>
    <cellStyle name="20% - Accent3 145" xfId="1909"/>
    <cellStyle name="20% - Accent3 146" xfId="1922"/>
    <cellStyle name="20% - Accent3 147" xfId="1935"/>
    <cellStyle name="20% - Accent3 148" xfId="1948"/>
    <cellStyle name="20% - Accent3 149" xfId="1961"/>
    <cellStyle name="20% - Accent3 15" xfId="202"/>
    <cellStyle name="20% - Accent3 150" xfId="1974"/>
    <cellStyle name="20% - Accent3 151" xfId="1987"/>
    <cellStyle name="20% - Accent3 152" xfId="2000"/>
    <cellStyle name="20% - Accent3 153" xfId="2013"/>
    <cellStyle name="20% - Accent3 154" xfId="2026"/>
    <cellStyle name="20% - Accent3 155" xfId="2039"/>
    <cellStyle name="20% - Accent3 156" xfId="2052"/>
    <cellStyle name="20% - Accent3 157" xfId="2065"/>
    <cellStyle name="20% - Accent3 158" xfId="2078"/>
    <cellStyle name="20% - Accent3 159" xfId="2091"/>
    <cellStyle name="20% - Accent3 16" xfId="215"/>
    <cellStyle name="20% - Accent3 160" xfId="2104"/>
    <cellStyle name="20% - Accent3 161" xfId="2118"/>
    <cellStyle name="20% - Accent3 162" xfId="2131"/>
    <cellStyle name="20% - Accent3 163" xfId="2145"/>
    <cellStyle name="20% - Accent3 164" xfId="2159"/>
    <cellStyle name="20% - Accent3 165" xfId="2171"/>
    <cellStyle name="20% - Accent3 166" xfId="2218"/>
    <cellStyle name="20% - Accent3 167" xfId="2217"/>
    <cellStyle name="20% - Accent3 168" xfId="2182"/>
    <cellStyle name="20% - Accent3 169" xfId="2221"/>
    <cellStyle name="20% - Accent3 17" xfId="228"/>
    <cellStyle name="20% - Accent3 170" xfId="2234"/>
    <cellStyle name="20% - Accent3 171" xfId="2247"/>
    <cellStyle name="20% - Accent3 172" xfId="2260"/>
    <cellStyle name="20% - Accent3 173" xfId="2273"/>
    <cellStyle name="20% - Accent3 174" xfId="2286"/>
    <cellStyle name="20% - Accent3 175" xfId="2300"/>
    <cellStyle name="20% - Accent3 176" xfId="2313"/>
    <cellStyle name="20% - Accent3 177" xfId="2325"/>
    <cellStyle name="20% - Accent3 178" xfId="2372"/>
    <cellStyle name="20% - Accent3 179" xfId="2371"/>
    <cellStyle name="20% - Accent3 18" xfId="241"/>
    <cellStyle name="20% - Accent3 180" xfId="2336"/>
    <cellStyle name="20% - Accent3 181" xfId="2375"/>
    <cellStyle name="20% - Accent3 182" xfId="2388"/>
    <cellStyle name="20% - Accent3 183" xfId="2401"/>
    <cellStyle name="20% - Accent3 184" xfId="2414"/>
    <cellStyle name="20% - Accent3 185" xfId="2427"/>
    <cellStyle name="20% - Accent3 186" xfId="2440"/>
    <cellStyle name="20% - Accent3 187" xfId="2453"/>
    <cellStyle name="20% - Accent3 188" xfId="2466"/>
    <cellStyle name="20% - Accent3 189" xfId="2479"/>
    <cellStyle name="20% - Accent3 19" xfId="254"/>
    <cellStyle name="20% - Accent3 190" xfId="2492"/>
    <cellStyle name="20% - Accent3 191" xfId="2505"/>
    <cellStyle name="20% - Accent3 192" xfId="2518"/>
    <cellStyle name="20% - Accent3 193" xfId="2531"/>
    <cellStyle name="20% - Accent3 194" xfId="2544"/>
    <cellStyle name="20% - Accent3 195" xfId="2557"/>
    <cellStyle name="20% - Accent3 196" xfId="2570"/>
    <cellStyle name="20% - Accent3 197" xfId="2583"/>
    <cellStyle name="20% - Accent3 198" xfId="2595"/>
    <cellStyle name="20% - Accent3 199" xfId="2655"/>
    <cellStyle name="20% - Accent3 2" xfId="69"/>
    <cellStyle name="20% - Accent3 20" xfId="267"/>
    <cellStyle name="20% - Accent3 200" xfId="2649"/>
    <cellStyle name="20% - Accent3 201" xfId="2646"/>
    <cellStyle name="20% - Accent3 202" xfId="2658"/>
    <cellStyle name="20% - Accent3 203" xfId="2672"/>
    <cellStyle name="20% - Accent3 204" xfId="2686"/>
    <cellStyle name="20% - Accent3 205" xfId="2699"/>
    <cellStyle name="20% - Accent3 206" xfId="2712"/>
    <cellStyle name="20% - Accent3 207" xfId="2725"/>
    <cellStyle name="20% - Accent3 208" xfId="2738"/>
    <cellStyle name="20% - Accent3 209" xfId="2751"/>
    <cellStyle name="20% - Accent3 21" xfId="280"/>
    <cellStyle name="20% - Accent3 210" xfId="2763"/>
    <cellStyle name="20% - Accent3 211" xfId="2811"/>
    <cellStyle name="20% - Accent3 212" xfId="2824"/>
    <cellStyle name="20% - Accent3 213" xfId="2837"/>
    <cellStyle name="20% - Accent3 214" xfId="2849"/>
    <cellStyle name="20% - Accent3 215" xfId="2861"/>
    <cellStyle name="20% - Accent3 216" xfId="2882"/>
    <cellStyle name="20% - Accent3 217" xfId="2876"/>
    <cellStyle name="20% - Accent3 218" xfId="2873"/>
    <cellStyle name="20% - Accent3 219" xfId="2885"/>
    <cellStyle name="20% - Accent3 22" xfId="293"/>
    <cellStyle name="20% - Accent3 220" xfId="2898"/>
    <cellStyle name="20% - Accent3 221" xfId="2911"/>
    <cellStyle name="20% - Accent3 222" xfId="2924"/>
    <cellStyle name="20% - Accent3 223" xfId="2937"/>
    <cellStyle name="20% - Accent3 224" xfId="2950"/>
    <cellStyle name="20% - Accent3 225" xfId="2963"/>
    <cellStyle name="20% - Accent3 226" xfId="2976"/>
    <cellStyle name="20% - Accent3 227" xfId="2989"/>
    <cellStyle name="20% - Accent3 228" xfId="3002"/>
    <cellStyle name="20% - Accent3 229" xfId="3015"/>
    <cellStyle name="20% - Accent3 23" xfId="306"/>
    <cellStyle name="20% - Accent3 230" xfId="3028"/>
    <cellStyle name="20% - Accent3 231" xfId="3041"/>
    <cellStyle name="20% - Accent3 232" xfId="3054"/>
    <cellStyle name="20% - Accent3 233" xfId="3067"/>
    <cellStyle name="20% - Accent3 234" xfId="3080"/>
    <cellStyle name="20% - Accent3 235" xfId="3093"/>
    <cellStyle name="20% - Accent3 236" xfId="3106"/>
    <cellStyle name="20% - Accent3 237" xfId="3118"/>
    <cellStyle name="20% - Accent3 238" xfId="3168"/>
    <cellStyle name="20% - Accent3 239" xfId="3182"/>
    <cellStyle name="20% - Accent3 24" xfId="319"/>
    <cellStyle name="20% - Accent3 240" xfId="3177"/>
    <cellStyle name="20% - Accent3 241" xfId="3164"/>
    <cellStyle name="20% - Accent3 242" xfId="3220"/>
    <cellStyle name="20% - Accent3 243" xfId="3215"/>
    <cellStyle name="20% - Accent3 244" xfId="3251"/>
    <cellStyle name="20% - Accent3 245" xfId="3245"/>
    <cellStyle name="20% - Accent3 246" xfId="3242"/>
    <cellStyle name="20% - Accent3 247" xfId="3254"/>
    <cellStyle name="20% - Accent3 248" xfId="3267"/>
    <cellStyle name="20% - Accent3 249" xfId="3280"/>
    <cellStyle name="20% - Accent3 25" xfId="332"/>
    <cellStyle name="20% - Accent3 250" xfId="3293"/>
    <cellStyle name="20% - Accent3 251" xfId="3306"/>
    <cellStyle name="20% - Accent3 252" xfId="3319"/>
    <cellStyle name="20% - Accent3 253" xfId="3332"/>
    <cellStyle name="20% - Accent3 254" xfId="3344"/>
    <cellStyle name="20% - Accent3 255" xfId="3356"/>
    <cellStyle name="20% - Accent3 256" xfId="3399"/>
    <cellStyle name="20% - Accent3 26" xfId="345"/>
    <cellStyle name="20% - Accent3 27" xfId="358"/>
    <cellStyle name="20% - Accent3 28" xfId="371"/>
    <cellStyle name="20% - Accent3 29" xfId="384"/>
    <cellStyle name="20% - Accent3 3" xfId="63"/>
    <cellStyle name="20% - Accent3 30" xfId="398"/>
    <cellStyle name="20% - Accent3 31" xfId="411"/>
    <cellStyle name="20% - Accent3 32" xfId="425"/>
    <cellStyle name="20% - Accent3 33" xfId="437"/>
    <cellStyle name="20% - Accent3 34" xfId="486"/>
    <cellStyle name="20% - Accent3 35" xfId="471"/>
    <cellStyle name="20% - Accent3 36" xfId="482"/>
    <cellStyle name="20% - Accent3 37" xfId="489"/>
    <cellStyle name="20% - Accent3 38" xfId="502"/>
    <cellStyle name="20% - Accent3 39" xfId="515"/>
    <cellStyle name="20% - Accent3 4" xfId="60"/>
    <cellStyle name="20% - Accent3 40" xfId="528"/>
    <cellStyle name="20% - Accent3 41" xfId="541"/>
    <cellStyle name="20% - Accent3 42" xfId="554"/>
    <cellStyle name="20% - Accent3 43" xfId="567"/>
    <cellStyle name="20% - Accent3 44" xfId="580"/>
    <cellStyle name="20% - Accent3 45" xfId="593"/>
    <cellStyle name="20% - Accent3 46" xfId="606"/>
    <cellStyle name="20% - Accent3 47" xfId="619"/>
    <cellStyle name="20% - Accent3 48" xfId="632"/>
    <cellStyle name="20% - Accent3 49" xfId="645"/>
    <cellStyle name="20% - Accent3 5" xfId="72"/>
    <cellStyle name="20% - Accent3 50" xfId="658"/>
    <cellStyle name="20% - Accent3 51" xfId="671"/>
    <cellStyle name="20% - Accent3 52" xfId="684"/>
    <cellStyle name="20% - Accent3 53" xfId="697"/>
    <cellStyle name="20% - Accent3 54" xfId="710"/>
    <cellStyle name="20% - Accent3 55" xfId="723"/>
    <cellStyle name="20% - Accent3 56" xfId="736"/>
    <cellStyle name="20% - Accent3 57" xfId="749"/>
    <cellStyle name="20% - Accent3 58" xfId="762"/>
    <cellStyle name="20% - Accent3 59" xfId="775"/>
    <cellStyle name="20% - Accent3 6" xfId="85"/>
    <cellStyle name="20% - Accent3 60" xfId="788"/>
    <cellStyle name="20% - Accent3 61" xfId="801"/>
    <cellStyle name="20% - Accent3 62" xfId="814"/>
    <cellStyle name="20% - Accent3 63" xfId="827"/>
    <cellStyle name="20% - Accent3 64" xfId="840"/>
    <cellStyle name="20% - Accent3 65" xfId="853"/>
    <cellStyle name="20% - Accent3 66" xfId="866"/>
    <cellStyle name="20% - Accent3 67" xfId="879"/>
    <cellStyle name="20% - Accent3 68" xfId="892"/>
    <cellStyle name="20% - Accent3 69" xfId="905"/>
    <cellStyle name="20% - Accent3 7" xfId="98"/>
    <cellStyle name="20% - Accent3 70" xfId="918"/>
    <cellStyle name="20% - Accent3 71" xfId="931"/>
    <cellStyle name="20% - Accent3 72" xfId="944"/>
    <cellStyle name="20% - Accent3 73" xfId="958"/>
    <cellStyle name="20% - Accent3 74" xfId="972"/>
    <cellStyle name="20% - Accent3 75" xfId="985"/>
    <cellStyle name="20% - Accent3 76" xfId="998"/>
    <cellStyle name="20% - Accent3 77" xfId="1012"/>
    <cellStyle name="20% - Accent3 78" xfId="1026"/>
    <cellStyle name="20% - Accent3 79" xfId="1039"/>
    <cellStyle name="20% - Accent3 8" xfId="111"/>
    <cellStyle name="20% - Accent3 80" xfId="1052"/>
    <cellStyle name="20% - Accent3 81" xfId="1064"/>
    <cellStyle name="20% - Accent3 82" xfId="1114"/>
    <cellStyle name="20% - Accent3 83" xfId="1133"/>
    <cellStyle name="20% - Accent3 84" xfId="1110"/>
    <cellStyle name="20% - Accent3 85" xfId="1120"/>
    <cellStyle name="20% - Accent3 86" xfId="1136"/>
    <cellStyle name="20% - Accent3 87" xfId="1150"/>
    <cellStyle name="20% - Accent3 88" xfId="1164"/>
    <cellStyle name="20% - Accent3 89" xfId="1178"/>
    <cellStyle name="20% - Accent3 9" xfId="124"/>
    <cellStyle name="20% - Accent3 90" xfId="1191"/>
    <cellStyle name="20% - Accent3 91" xfId="1204"/>
    <cellStyle name="20% - Accent3 92" xfId="1217"/>
    <cellStyle name="20% - Accent3 93" xfId="1230"/>
    <cellStyle name="20% - Accent3 94" xfId="1243"/>
    <cellStyle name="20% - Accent3 95" xfId="1256"/>
    <cellStyle name="20% - Accent3 96" xfId="1269"/>
    <cellStyle name="20% - Accent3 97" xfId="1282"/>
    <cellStyle name="20% - Accent3 98" xfId="1295"/>
    <cellStyle name="20% - Accent3 99" xfId="1308"/>
    <cellStyle name="20% - Accent4" xfId="4" builtinId="42" customBuiltin="1"/>
    <cellStyle name="20% - Accent4 10" xfId="177"/>
    <cellStyle name="20% - Accent4 100" xfId="1361"/>
    <cellStyle name="20% - Accent4 101" xfId="1374"/>
    <cellStyle name="20% - Accent4 102" xfId="1387"/>
    <cellStyle name="20% - Accent4 103" xfId="1399"/>
    <cellStyle name="20% - Accent4 104" xfId="1409"/>
    <cellStyle name="20% - Accent4 105" xfId="1419"/>
    <cellStyle name="20% - Accent4 106" xfId="1428"/>
    <cellStyle name="20% - Accent4 107" xfId="1445"/>
    <cellStyle name="20% - Accent4 108" xfId="1462"/>
    <cellStyle name="20% - Accent4 109" xfId="1479"/>
    <cellStyle name="20% - Accent4 11" xfId="190"/>
    <cellStyle name="20% - Accent4 110" xfId="1492"/>
    <cellStyle name="20% - Accent4 111" xfId="1505"/>
    <cellStyle name="20% - Accent4 112" xfId="1518"/>
    <cellStyle name="20% - Accent4 113" xfId="1531"/>
    <cellStyle name="20% - Accent4 114" xfId="1544"/>
    <cellStyle name="20% - Accent4 115" xfId="1556"/>
    <cellStyle name="20% - Accent4 116" xfId="1568"/>
    <cellStyle name="20% - Accent4 117" xfId="1581"/>
    <cellStyle name="20% - Accent4 118" xfId="1592"/>
    <cellStyle name="20% - Accent4 119" xfId="1607"/>
    <cellStyle name="20% - Accent4 12" xfId="203"/>
    <cellStyle name="20% - Accent4 120" xfId="1624"/>
    <cellStyle name="20% - Accent4 121" xfId="1637"/>
    <cellStyle name="20% - Accent4 122" xfId="1650"/>
    <cellStyle name="20% - Accent4 123" xfId="1663"/>
    <cellStyle name="20% - Accent4 124" xfId="1676"/>
    <cellStyle name="20% - Accent4 125" xfId="1689"/>
    <cellStyle name="20% - Accent4 126" xfId="1702"/>
    <cellStyle name="20% - Accent4 127" xfId="1715"/>
    <cellStyle name="20% - Accent4 128" xfId="1728"/>
    <cellStyle name="20% - Accent4 129" xfId="1741"/>
    <cellStyle name="20% - Accent4 13" xfId="216"/>
    <cellStyle name="20% - Accent4 130" xfId="1754"/>
    <cellStyle name="20% - Accent4 131" xfId="1767"/>
    <cellStyle name="20% - Accent4 132" xfId="1780"/>
    <cellStyle name="20% - Accent4 133" xfId="1793"/>
    <cellStyle name="20% - Accent4 134" xfId="1806"/>
    <cellStyle name="20% - Accent4 135" xfId="1819"/>
    <cellStyle name="20% - Accent4 136" xfId="1832"/>
    <cellStyle name="20% - Accent4 137" xfId="1845"/>
    <cellStyle name="20% - Accent4 138" xfId="1858"/>
    <cellStyle name="20% - Accent4 139" xfId="1871"/>
    <cellStyle name="20% - Accent4 14" xfId="229"/>
    <cellStyle name="20% - Accent4 140" xfId="1884"/>
    <cellStyle name="20% - Accent4 141" xfId="1897"/>
    <cellStyle name="20% - Accent4 142" xfId="1910"/>
    <cellStyle name="20% - Accent4 143" xfId="1923"/>
    <cellStyle name="20% - Accent4 144" xfId="1936"/>
    <cellStyle name="20% - Accent4 145" xfId="1949"/>
    <cellStyle name="20% - Accent4 146" xfId="1962"/>
    <cellStyle name="20% - Accent4 147" xfId="1975"/>
    <cellStyle name="20% - Accent4 148" xfId="1988"/>
    <cellStyle name="20% - Accent4 149" xfId="2001"/>
    <cellStyle name="20% - Accent4 15" xfId="242"/>
    <cellStyle name="20% - Accent4 150" xfId="2014"/>
    <cellStyle name="20% - Accent4 151" xfId="2027"/>
    <cellStyle name="20% - Accent4 152" xfId="2040"/>
    <cellStyle name="20% - Accent4 153" xfId="2053"/>
    <cellStyle name="20% - Accent4 154" xfId="2066"/>
    <cellStyle name="20% - Accent4 155" xfId="2079"/>
    <cellStyle name="20% - Accent4 156" xfId="2092"/>
    <cellStyle name="20% - Accent4 157" xfId="2105"/>
    <cellStyle name="20% - Accent4 158" xfId="2119"/>
    <cellStyle name="20% - Accent4 159" xfId="2132"/>
    <cellStyle name="20% - Accent4 16" xfId="255"/>
    <cellStyle name="20% - Accent4 160" xfId="2146"/>
    <cellStyle name="20% - Accent4 161" xfId="2160"/>
    <cellStyle name="20% - Accent4 162" xfId="2172"/>
    <cellStyle name="20% - Accent4 163" xfId="2184"/>
    <cellStyle name="20% - Accent4 164" xfId="2196"/>
    <cellStyle name="20% - Accent4 165" xfId="2207"/>
    <cellStyle name="20% - Accent4 166" xfId="2222"/>
    <cellStyle name="20% - Accent4 167" xfId="2235"/>
    <cellStyle name="20% - Accent4 168" xfId="2248"/>
    <cellStyle name="20% - Accent4 169" xfId="2261"/>
    <cellStyle name="20% - Accent4 17" xfId="268"/>
    <cellStyle name="20% - Accent4 170" xfId="2274"/>
    <cellStyle name="20% - Accent4 171" xfId="2287"/>
    <cellStyle name="20% - Accent4 172" xfId="2301"/>
    <cellStyle name="20% - Accent4 173" xfId="2314"/>
    <cellStyle name="20% - Accent4 174" xfId="2326"/>
    <cellStyle name="20% - Accent4 175" xfId="2338"/>
    <cellStyle name="20% - Accent4 176" xfId="2350"/>
    <cellStyle name="20% - Accent4 177" xfId="2361"/>
    <cellStyle name="20% - Accent4 178" xfId="2376"/>
    <cellStyle name="20% - Accent4 179" xfId="2389"/>
    <cellStyle name="20% - Accent4 18" xfId="281"/>
    <cellStyle name="20% - Accent4 180" xfId="2402"/>
    <cellStyle name="20% - Accent4 181" xfId="2415"/>
    <cellStyle name="20% - Accent4 182" xfId="2428"/>
    <cellStyle name="20% - Accent4 183" xfId="2441"/>
    <cellStyle name="20% - Accent4 184" xfId="2454"/>
    <cellStyle name="20% - Accent4 185" xfId="2467"/>
    <cellStyle name="20% - Accent4 186" xfId="2480"/>
    <cellStyle name="20% - Accent4 187" xfId="2493"/>
    <cellStyle name="20% - Accent4 188" xfId="2506"/>
    <cellStyle name="20% - Accent4 189" xfId="2519"/>
    <cellStyle name="20% - Accent4 19" xfId="294"/>
    <cellStyle name="20% - Accent4 190" xfId="2532"/>
    <cellStyle name="20% - Accent4 191" xfId="2545"/>
    <cellStyle name="20% - Accent4 192" xfId="2558"/>
    <cellStyle name="20% - Accent4 193" xfId="2571"/>
    <cellStyle name="20% - Accent4 194" xfId="2584"/>
    <cellStyle name="20% - Accent4 195" xfId="2596"/>
    <cellStyle name="20% - Accent4 196" xfId="2606"/>
    <cellStyle name="20% - Accent4 197" xfId="2616"/>
    <cellStyle name="20% - Accent4 198" xfId="2625"/>
    <cellStyle name="20% - Accent4 199" xfId="2659"/>
    <cellStyle name="20% - Accent4 2" xfId="73"/>
    <cellStyle name="20% - Accent4 20" xfId="307"/>
    <cellStyle name="20% - Accent4 200" xfId="2673"/>
    <cellStyle name="20% - Accent4 201" xfId="2687"/>
    <cellStyle name="20% - Accent4 202" xfId="2700"/>
    <cellStyle name="20% - Accent4 203" xfId="2713"/>
    <cellStyle name="20% - Accent4 204" xfId="2726"/>
    <cellStyle name="20% - Accent4 205" xfId="2739"/>
    <cellStyle name="20% - Accent4 206" xfId="2752"/>
    <cellStyle name="20% - Accent4 207" xfId="2764"/>
    <cellStyle name="20% - Accent4 208" xfId="2774"/>
    <cellStyle name="20% - Accent4 209" xfId="2784"/>
    <cellStyle name="20% - Accent4 21" xfId="320"/>
    <cellStyle name="20% - Accent4 210" xfId="2793"/>
    <cellStyle name="20% - Accent4 211" xfId="2814"/>
    <cellStyle name="20% - Accent4 212" xfId="2827"/>
    <cellStyle name="20% - Accent4 213" xfId="2839"/>
    <cellStyle name="20% - Accent4 214" xfId="2852"/>
    <cellStyle name="20% - Accent4 215" xfId="2864"/>
    <cellStyle name="20% - Accent4 216" xfId="2886"/>
    <cellStyle name="20% - Accent4 217" xfId="2899"/>
    <cellStyle name="20% - Accent4 218" xfId="2912"/>
    <cellStyle name="20% - Accent4 219" xfId="2925"/>
    <cellStyle name="20% - Accent4 22" xfId="333"/>
    <cellStyle name="20% - Accent4 220" xfId="2938"/>
    <cellStyle name="20% - Accent4 221" xfId="2951"/>
    <cellStyle name="20% - Accent4 222" xfId="2964"/>
    <cellStyle name="20% - Accent4 223" xfId="2977"/>
    <cellStyle name="20% - Accent4 224" xfId="2990"/>
    <cellStyle name="20% - Accent4 225" xfId="3003"/>
    <cellStyle name="20% - Accent4 226" xfId="3016"/>
    <cellStyle name="20% - Accent4 227" xfId="3029"/>
    <cellStyle name="20% - Accent4 228" xfId="3042"/>
    <cellStyle name="20% - Accent4 229" xfId="3055"/>
    <cellStyle name="20% - Accent4 23" xfId="346"/>
    <cellStyle name="20% - Accent4 230" xfId="3068"/>
    <cellStyle name="20% - Accent4 231" xfId="3081"/>
    <cellStyle name="20% - Accent4 232" xfId="3094"/>
    <cellStyle name="20% - Accent4 233" xfId="3107"/>
    <cellStyle name="20% - Accent4 234" xfId="3119"/>
    <cellStyle name="20% - Accent4 235" xfId="3129"/>
    <cellStyle name="20% - Accent4 236" xfId="3139"/>
    <cellStyle name="20% - Accent4 237" xfId="3148"/>
    <cellStyle name="20% - Accent4 238" xfId="3171"/>
    <cellStyle name="20% - Accent4 239" xfId="3184"/>
    <cellStyle name="20% - Accent4 24" xfId="359"/>
    <cellStyle name="20% - Accent4 240" xfId="3194"/>
    <cellStyle name="20% - Accent4 241" xfId="3203"/>
    <cellStyle name="20% - Accent4 242" xfId="3222"/>
    <cellStyle name="20% - Accent4 243" xfId="3231"/>
    <cellStyle name="20% - Accent4 244" xfId="3255"/>
    <cellStyle name="20% - Accent4 245" xfId="3268"/>
    <cellStyle name="20% - Accent4 246" xfId="3281"/>
    <cellStyle name="20% - Accent4 247" xfId="3294"/>
    <cellStyle name="20% - Accent4 248" xfId="3307"/>
    <cellStyle name="20% - Accent4 249" xfId="3320"/>
    <cellStyle name="20% - Accent4 25" xfId="372"/>
    <cellStyle name="20% - Accent4 250" xfId="3333"/>
    <cellStyle name="20% - Accent4 251" xfId="3345"/>
    <cellStyle name="20% - Accent4 252" xfId="3357"/>
    <cellStyle name="20% - Accent4 253" xfId="3367"/>
    <cellStyle name="20% - Accent4 254" xfId="3377"/>
    <cellStyle name="20% - Accent4 255" xfId="3386"/>
    <cellStyle name="20% - Accent4 256" xfId="3401"/>
    <cellStyle name="20% - Accent4 26" xfId="385"/>
    <cellStyle name="20% - Accent4 27" xfId="399"/>
    <cellStyle name="20% - Accent4 28" xfId="412"/>
    <cellStyle name="20% - Accent4 29" xfId="426"/>
    <cellStyle name="20% - Accent4 3" xfId="86"/>
    <cellStyle name="20% - Accent4 30" xfId="438"/>
    <cellStyle name="20% - Accent4 31" xfId="450"/>
    <cellStyle name="20% - Accent4 32" xfId="461"/>
    <cellStyle name="20% - Accent4 33" xfId="472"/>
    <cellStyle name="20% - Accent4 34" xfId="490"/>
    <cellStyle name="20% - Accent4 35" xfId="503"/>
    <cellStyle name="20% - Accent4 36" xfId="516"/>
    <cellStyle name="20% - Accent4 37" xfId="529"/>
    <cellStyle name="20% - Accent4 38" xfId="542"/>
    <cellStyle name="20% - Accent4 39" xfId="555"/>
    <cellStyle name="20% - Accent4 4" xfId="99"/>
    <cellStyle name="20% - Accent4 40" xfId="568"/>
    <cellStyle name="20% - Accent4 41" xfId="581"/>
    <cellStyle name="20% - Accent4 42" xfId="594"/>
    <cellStyle name="20% - Accent4 43" xfId="607"/>
    <cellStyle name="20% - Accent4 44" xfId="620"/>
    <cellStyle name="20% - Accent4 45" xfId="633"/>
    <cellStyle name="20% - Accent4 46" xfId="646"/>
    <cellStyle name="20% - Accent4 47" xfId="659"/>
    <cellStyle name="20% - Accent4 48" xfId="672"/>
    <cellStyle name="20% - Accent4 49" xfId="685"/>
    <cellStyle name="20% - Accent4 5" xfId="112"/>
    <cellStyle name="20% - Accent4 50" xfId="698"/>
    <cellStyle name="20% - Accent4 51" xfId="711"/>
    <cellStyle name="20% - Accent4 52" xfId="724"/>
    <cellStyle name="20% - Accent4 53" xfId="737"/>
    <cellStyle name="20% - Accent4 54" xfId="750"/>
    <cellStyle name="20% - Accent4 55" xfId="763"/>
    <cellStyle name="20% - Accent4 56" xfId="776"/>
    <cellStyle name="20% - Accent4 57" xfId="789"/>
    <cellStyle name="20% - Accent4 58" xfId="802"/>
    <cellStyle name="20% - Accent4 59" xfId="815"/>
    <cellStyle name="20% - Accent4 6" xfId="125"/>
    <cellStyle name="20% - Accent4 60" xfId="828"/>
    <cellStyle name="20% - Accent4 61" xfId="841"/>
    <cellStyle name="20% - Accent4 62" xfId="854"/>
    <cellStyle name="20% - Accent4 63" xfId="867"/>
    <cellStyle name="20% - Accent4 64" xfId="880"/>
    <cellStyle name="20% - Accent4 65" xfId="893"/>
    <cellStyle name="20% - Accent4 66" xfId="906"/>
    <cellStyle name="20% - Accent4 67" xfId="919"/>
    <cellStyle name="20% - Accent4 68" xfId="932"/>
    <cellStyle name="20% - Accent4 69" xfId="945"/>
    <cellStyle name="20% - Accent4 7" xfId="138"/>
    <cellStyle name="20% - Accent4 70" xfId="959"/>
    <cellStyle name="20% - Accent4 71" xfId="973"/>
    <cellStyle name="20% - Accent4 72" xfId="986"/>
    <cellStyle name="20% - Accent4 73" xfId="999"/>
    <cellStyle name="20% - Accent4 74" xfId="1013"/>
    <cellStyle name="20% - Accent4 75" xfId="1027"/>
    <cellStyle name="20% - Accent4 76" xfId="1040"/>
    <cellStyle name="20% - Accent4 77" xfId="1053"/>
    <cellStyle name="20% - Accent4 78" xfId="1065"/>
    <cellStyle name="20% - Accent4 79" xfId="1078"/>
    <cellStyle name="20% - Accent4 8" xfId="151"/>
    <cellStyle name="20% - Accent4 80" xfId="1089"/>
    <cellStyle name="20% - Accent4 81" xfId="1101"/>
    <cellStyle name="20% - Accent4 82" xfId="1118"/>
    <cellStyle name="20% - Accent4 83" xfId="1137"/>
    <cellStyle name="20% - Accent4 84" xfId="1151"/>
    <cellStyle name="20% - Accent4 85" xfId="1165"/>
    <cellStyle name="20% - Accent4 86" xfId="1179"/>
    <cellStyle name="20% - Accent4 87" xfId="1192"/>
    <cellStyle name="20% - Accent4 88" xfId="1205"/>
    <cellStyle name="20% - Accent4 89" xfId="1218"/>
    <cellStyle name="20% - Accent4 9" xfId="164"/>
    <cellStyle name="20% - Accent4 90" xfId="1231"/>
    <cellStyle name="20% - Accent4 91" xfId="1244"/>
    <cellStyle name="20% - Accent4 92" xfId="1257"/>
    <cellStyle name="20% - Accent4 93" xfId="1270"/>
    <cellStyle name="20% - Accent4 94" xfId="1283"/>
    <cellStyle name="20% - Accent4 95" xfId="1296"/>
    <cellStyle name="20% - Accent4 96" xfId="1309"/>
    <cellStyle name="20% - Accent4 97" xfId="1322"/>
    <cellStyle name="20% - Accent4 98" xfId="1335"/>
    <cellStyle name="20% - Accent4 99" xfId="1348"/>
    <cellStyle name="20% - Accent5" xfId="5" builtinId="46" customBuiltin="1"/>
    <cellStyle name="20% - Accent5 10" xfId="180"/>
    <cellStyle name="20% - Accent5 100" xfId="1364"/>
    <cellStyle name="20% - Accent5 101" xfId="1377"/>
    <cellStyle name="20% - Accent5 102" xfId="1390"/>
    <cellStyle name="20% - Accent5 103" xfId="1402"/>
    <cellStyle name="20% - Accent5 104" xfId="1412"/>
    <cellStyle name="20% - Accent5 105" xfId="1422"/>
    <cellStyle name="20% - Accent5 106" xfId="1430"/>
    <cellStyle name="20% - Accent5 107" xfId="1447"/>
    <cellStyle name="20% - Accent5 108" xfId="1465"/>
    <cellStyle name="20% - Accent5 109" xfId="1482"/>
    <cellStyle name="20% - Accent5 11" xfId="193"/>
    <cellStyle name="20% - Accent5 110" xfId="1495"/>
    <cellStyle name="20% - Accent5 111" xfId="1508"/>
    <cellStyle name="20% - Accent5 112" xfId="1521"/>
    <cellStyle name="20% - Accent5 113" xfId="1534"/>
    <cellStyle name="20% - Accent5 114" xfId="1547"/>
    <cellStyle name="20% - Accent5 115" xfId="1559"/>
    <cellStyle name="20% - Accent5 116" xfId="1571"/>
    <cellStyle name="20% - Accent5 117" xfId="1584"/>
    <cellStyle name="20% - Accent5 118" xfId="1595"/>
    <cellStyle name="20% - Accent5 119" xfId="1611"/>
    <cellStyle name="20% - Accent5 12" xfId="206"/>
    <cellStyle name="20% - Accent5 120" xfId="1627"/>
    <cellStyle name="20% - Accent5 121" xfId="1640"/>
    <cellStyle name="20% - Accent5 122" xfId="1653"/>
    <cellStyle name="20% - Accent5 123" xfId="1666"/>
    <cellStyle name="20% - Accent5 124" xfId="1679"/>
    <cellStyle name="20% - Accent5 125" xfId="1692"/>
    <cellStyle name="20% - Accent5 126" xfId="1705"/>
    <cellStyle name="20% - Accent5 127" xfId="1718"/>
    <cellStyle name="20% - Accent5 128" xfId="1731"/>
    <cellStyle name="20% - Accent5 129" xfId="1744"/>
    <cellStyle name="20% - Accent5 13" xfId="219"/>
    <cellStyle name="20% - Accent5 130" xfId="1757"/>
    <cellStyle name="20% - Accent5 131" xfId="1770"/>
    <cellStyle name="20% - Accent5 132" xfId="1783"/>
    <cellStyle name="20% - Accent5 133" xfId="1796"/>
    <cellStyle name="20% - Accent5 134" xfId="1809"/>
    <cellStyle name="20% - Accent5 135" xfId="1822"/>
    <cellStyle name="20% - Accent5 136" xfId="1835"/>
    <cellStyle name="20% - Accent5 137" xfId="1848"/>
    <cellStyle name="20% - Accent5 138" xfId="1861"/>
    <cellStyle name="20% - Accent5 139" xfId="1874"/>
    <cellStyle name="20% - Accent5 14" xfId="232"/>
    <cellStyle name="20% - Accent5 140" xfId="1887"/>
    <cellStyle name="20% - Accent5 141" xfId="1900"/>
    <cellStyle name="20% - Accent5 142" xfId="1913"/>
    <cellStyle name="20% - Accent5 143" xfId="1926"/>
    <cellStyle name="20% - Accent5 144" xfId="1939"/>
    <cellStyle name="20% - Accent5 145" xfId="1952"/>
    <cellStyle name="20% - Accent5 146" xfId="1965"/>
    <cellStyle name="20% - Accent5 147" xfId="1978"/>
    <cellStyle name="20% - Accent5 148" xfId="1991"/>
    <cellStyle name="20% - Accent5 149" xfId="2004"/>
    <cellStyle name="20% - Accent5 15" xfId="245"/>
    <cellStyle name="20% - Accent5 150" xfId="2017"/>
    <cellStyle name="20% - Accent5 151" xfId="2030"/>
    <cellStyle name="20% - Accent5 152" xfId="2043"/>
    <cellStyle name="20% - Accent5 153" xfId="2056"/>
    <cellStyle name="20% - Accent5 154" xfId="2069"/>
    <cellStyle name="20% - Accent5 155" xfId="2082"/>
    <cellStyle name="20% - Accent5 156" xfId="2095"/>
    <cellStyle name="20% - Accent5 157" xfId="2109"/>
    <cellStyle name="20% - Accent5 158" xfId="2122"/>
    <cellStyle name="20% - Accent5 159" xfId="2136"/>
    <cellStyle name="20% - Accent5 16" xfId="258"/>
    <cellStyle name="20% - Accent5 160" xfId="2150"/>
    <cellStyle name="20% - Accent5 161" xfId="2163"/>
    <cellStyle name="20% - Accent5 162" xfId="2175"/>
    <cellStyle name="20% - Accent5 163" xfId="2187"/>
    <cellStyle name="20% - Accent5 164" xfId="2199"/>
    <cellStyle name="20% - Accent5 165" xfId="2211"/>
    <cellStyle name="20% - Accent5 166" xfId="2225"/>
    <cellStyle name="20% - Accent5 167" xfId="2238"/>
    <cellStyle name="20% - Accent5 168" xfId="2251"/>
    <cellStyle name="20% - Accent5 169" xfId="2264"/>
    <cellStyle name="20% - Accent5 17" xfId="271"/>
    <cellStyle name="20% - Accent5 170" xfId="2277"/>
    <cellStyle name="20% - Accent5 171" xfId="2291"/>
    <cellStyle name="20% - Accent5 172" xfId="2304"/>
    <cellStyle name="20% - Accent5 173" xfId="2317"/>
    <cellStyle name="20% - Accent5 174" xfId="2329"/>
    <cellStyle name="20% - Accent5 175" xfId="2341"/>
    <cellStyle name="20% - Accent5 176" xfId="2353"/>
    <cellStyle name="20% - Accent5 177" xfId="2365"/>
    <cellStyle name="20% - Accent5 178" xfId="2379"/>
    <cellStyle name="20% - Accent5 179" xfId="2392"/>
    <cellStyle name="20% - Accent5 18" xfId="284"/>
    <cellStyle name="20% - Accent5 180" xfId="2405"/>
    <cellStyle name="20% - Accent5 181" xfId="2418"/>
    <cellStyle name="20% - Accent5 182" xfId="2431"/>
    <cellStyle name="20% - Accent5 183" xfId="2444"/>
    <cellStyle name="20% - Accent5 184" xfId="2457"/>
    <cellStyle name="20% - Accent5 185" xfId="2470"/>
    <cellStyle name="20% - Accent5 186" xfId="2483"/>
    <cellStyle name="20% - Accent5 187" xfId="2496"/>
    <cellStyle name="20% - Accent5 188" xfId="2509"/>
    <cellStyle name="20% - Accent5 189" xfId="2522"/>
    <cellStyle name="20% - Accent5 19" xfId="297"/>
    <cellStyle name="20% - Accent5 190" xfId="2535"/>
    <cellStyle name="20% - Accent5 191" xfId="2548"/>
    <cellStyle name="20% - Accent5 192" xfId="2561"/>
    <cellStyle name="20% - Accent5 193" xfId="2574"/>
    <cellStyle name="20% - Accent5 194" xfId="2587"/>
    <cellStyle name="20% - Accent5 195" xfId="2599"/>
    <cellStyle name="20% - Accent5 196" xfId="2609"/>
    <cellStyle name="20% - Accent5 197" xfId="2619"/>
    <cellStyle name="20% - Accent5 198" xfId="2627"/>
    <cellStyle name="20% - Accent5 199" xfId="2663"/>
    <cellStyle name="20% - Accent5 2" xfId="76"/>
    <cellStyle name="20% - Accent5 20" xfId="310"/>
    <cellStyle name="20% - Accent5 200" xfId="2677"/>
    <cellStyle name="20% - Accent5 201" xfId="2690"/>
    <cellStyle name="20% - Accent5 202" xfId="2703"/>
    <cellStyle name="20% - Accent5 203" xfId="2716"/>
    <cellStyle name="20% - Accent5 204" xfId="2729"/>
    <cellStyle name="20% - Accent5 205" xfId="2742"/>
    <cellStyle name="20% - Accent5 206" xfId="2755"/>
    <cellStyle name="20% - Accent5 207" xfId="2767"/>
    <cellStyle name="20% - Accent5 208" xfId="2777"/>
    <cellStyle name="20% - Accent5 209" xfId="2787"/>
    <cellStyle name="20% - Accent5 21" xfId="323"/>
    <cellStyle name="20% - Accent5 210" xfId="2795"/>
    <cellStyle name="20% - Accent5 211" xfId="2817"/>
    <cellStyle name="20% - Accent5 212" xfId="2830"/>
    <cellStyle name="20% - Accent5 213" xfId="2842"/>
    <cellStyle name="20% - Accent5 214" xfId="2855"/>
    <cellStyle name="20% - Accent5 215" xfId="2866"/>
    <cellStyle name="20% - Accent5 216" xfId="2889"/>
    <cellStyle name="20% - Accent5 217" xfId="2902"/>
    <cellStyle name="20% - Accent5 218" xfId="2915"/>
    <cellStyle name="20% - Accent5 219" xfId="2928"/>
    <cellStyle name="20% - Accent5 22" xfId="336"/>
    <cellStyle name="20% - Accent5 220" xfId="2941"/>
    <cellStyle name="20% - Accent5 221" xfId="2954"/>
    <cellStyle name="20% - Accent5 222" xfId="2967"/>
    <cellStyle name="20% - Accent5 223" xfId="2980"/>
    <cellStyle name="20% - Accent5 224" xfId="2993"/>
    <cellStyle name="20% - Accent5 225" xfId="3006"/>
    <cellStyle name="20% - Accent5 226" xfId="3019"/>
    <cellStyle name="20% - Accent5 227" xfId="3032"/>
    <cellStyle name="20% - Accent5 228" xfId="3045"/>
    <cellStyle name="20% - Accent5 229" xfId="3058"/>
    <cellStyle name="20% - Accent5 23" xfId="349"/>
    <cellStyle name="20% - Accent5 230" xfId="3071"/>
    <cellStyle name="20% - Accent5 231" xfId="3084"/>
    <cellStyle name="20% - Accent5 232" xfId="3097"/>
    <cellStyle name="20% - Accent5 233" xfId="3110"/>
    <cellStyle name="20% - Accent5 234" xfId="3122"/>
    <cellStyle name="20% - Accent5 235" xfId="3132"/>
    <cellStyle name="20% - Accent5 236" xfId="3142"/>
    <cellStyle name="20% - Accent5 237" xfId="3150"/>
    <cellStyle name="20% - Accent5 238" xfId="3175"/>
    <cellStyle name="20% - Accent5 239" xfId="3187"/>
    <cellStyle name="20% - Accent5 24" xfId="362"/>
    <cellStyle name="20% - Accent5 240" xfId="3197"/>
    <cellStyle name="20% - Accent5 241" xfId="3205"/>
    <cellStyle name="20% - Accent5 242" xfId="3225"/>
    <cellStyle name="20% - Accent5 243" xfId="3233"/>
    <cellStyle name="20% - Accent5 244" xfId="3258"/>
    <cellStyle name="20% - Accent5 245" xfId="3271"/>
    <cellStyle name="20% - Accent5 246" xfId="3284"/>
    <cellStyle name="20% - Accent5 247" xfId="3297"/>
    <cellStyle name="20% - Accent5 248" xfId="3310"/>
    <cellStyle name="20% - Accent5 249" xfId="3323"/>
    <cellStyle name="20% - Accent5 25" xfId="375"/>
    <cellStyle name="20% - Accent5 250" xfId="3336"/>
    <cellStyle name="20% - Accent5 251" xfId="3348"/>
    <cellStyle name="20% - Accent5 252" xfId="3360"/>
    <cellStyle name="20% - Accent5 253" xfId="3370"/>
    <cellStyle name="20% - Accent5 254" xfId="3380"/>
    <cellStyle name="20% - Accent5 255" xfId="3388"/>
    <cellStyle name="20% - Accent5 256" xfId="3403"/>
    <cellStyle name="20% - Accent5 26" xfId="389"/>
    <cellStyle name="20% - Accent5 27" xfId="402"/>
    <cellStyle name="20% - Accent5 28" xfId="416"/>
    <cellStyle name="20% - Accent5 29" xfId="429"/>
    <cellStyle name="20% - Accent5 3" xfId="89"/>
    <cellStyle name="20% - Accent5 30" xfId="441"/>
    <cellStyle name="20% - Accent5 31" xfId="453"/>
    <cellStyle name="20% - Accent5 32" xfId="464"/>
    <cellStyle name="20% - Accent5 33" xfId="476"/>
    <cellStyle name="20% - Accent5 34" xfId="493"/>
    <cellStyle name="20% - Accent5 35" xfId="506"/>
    <cellStyle name="20% - Accent5 36" xfId="519"/>
    <cellStyle name="20% - Accent5 37" xfId="532"/>
    <cellStyle name="20% - Accent5 38" xfId="545"/>
    <cellStyle name="20% - Accent5 39" xfId="558"/>
    <cellStyle name="20% - Accent5 4" xfId="102"/>
    <cellStyle name="20% - Accent5 40" xfId="571"/>
    <cellStyle name="20% - Accent5 41" xfId="584"/>
    <cellStyle name="20% - Accent5 42" xfId="597"/>
    <cellStyle name="20% - Accent5 43" xfId="610"/>
    <cellStyle name="20% - Accent5 44" xfId="623"/>
    <cellStyle name="20% - Accent5 45" xfId="636"/>
    <cellStyle name="20% - Accent5 46" xfId="649"/>
    <cellStyle name="20% - Accent5 47" xfId="662"/>
    <cellStyle name="20% - Accent5 48" xfId="675"/>
    <cellStyle name="20% - Accent5 49" xfId="688"/>
    <cellStyle name="20% - Accent5 5" xfId="115"/>
    <cellStyle name="20% - Accent5 50" xfId="701"/>
    <cellStyle name="20% - Accent5 51" xfId="714"/>
    <cellStyle name="20% - Accent5 52" xfId="727"/>
    <cellStyle name="20% - Accent5 53" xfId="740"/>
    <cellStyle name="20% - Accent5 54" xfId="753"/>
    <cellStyle name="20% - Accent5 55" xfId="766"/>
    <cellStyle name="20% - Accent5 56" xfId="779"/>
    <cellStyle name="20% - Accent5 57" xfId="792"/>
    <cellStyle name="20% - Accent5 58" xfId="805"/>
    <cellStyle name="20% - Accent5 59" xfId="818"/>
    <cellStyle name="20% - Accent5 6" xfId="128"/>
    <cellStyle name="20% - Accent5 60" xfId="831"/>
    <cellStyle name="20% - Accent5 61" xfId="844"/>
    <cellStyle name="20% - Accent5 62" xfId="857"/>
    <cellStyle name="20% - Accent5 63" xfId="870"/>
    <cellStyle name="20% - Accent5 64" xfId="883"/>
    <cellStyle name="20% - Accent5 65" xfId="896"/>
    <cellStyle name="20% - Accent5 66" xfId="909"/>
    <cellStyle name="20% - Accent5 67" xfId="922"/>
    <cellStyle name="20% - Accent5 68" xfId="935"/>
    <cellStyle name="20% - Accent5 69" xfId="949"/>
    <cellStyle name="20% - Accent5 7" xfId="141"/>
    <cellStyle name="20% - Accent5 70" xfId="963"/>
    <cellStyle name="20% - Accent5 71" xfId="976"/>
    <cellStyle name="20% - Accent5 72" xfId="989"/>
    <cellStyle name="20% - Accent5 73" xfId="1003"/>
    <cellStyle name="20% - Accent5 74" xfId="1017"/>
    <cellStyle name="20% - Accent5 75" xfId="1030"/>
    <cellStyle name="20% - Accent5 76" xfId="1043"/>
    <cellStyle name="20% - Accent5 77" xfId="1056"/>
    <cellStyle name="20% - Accent5 78" xfId="1069"/>
    <cellStyle name="20% - Accent5 79" xfId="1081"/>
    <cellStyle name="20% - Accent5 8" xfId="154"/>
    <cellStyle name="20% - Accent5 80" xfId="1092"/>
    <cellStyle name="20% - Accent5 81" xfId="1103"/>
    <cellStyle name="20% - Accent5 82" xfId="1121"/>
    <cellStyle name="20% - Accent5 83" xfId="1141"/>
    <cellStyle name="20% - Accent5 84" xfId="1155"/>
    <cellStyle name="20% - Accent5 85" xfId="1169"/>
    <cellStyle name="20% - Accent5 86" xfId="1182"/>
    <cellStyle name="20% - Accent5 87" xfId="1195"/>
    <cellStyle name="20% - Accent5 88" xfId="1208"/>
    <cellStyle name="20% - Accent5 89" xfId="1221"/>
    <cellStyle name="20% - Accent5 9" xfId="167"/>
    <cellStyle name="20% - Accent5 90" xfId="1234"/>
    <cellStyle name="20% - Accent5 91" xfId="1247"/>
    <cellStyle name="20% - Accent5 92" xfId="1260"/>
    <cellStyle name="20% - Accent5 93" xfId="1273"/>
    <cellStyle name="20% - Accent5 94" xfId="1286"/>
    <cellStyle name="20% - Accent5 95" xfId="1299"/>
    <cellStyle name="20% - Accent5 96" xfId="1312"/>
    <cellStyle name="20% - Accent5 97" xfId="1325"/>
    <cellStyle name="20% - Accent5 98" xfId="1338"/>
    <cellStyle name="20% - Accent5 99" xfId="1351"/>
    <cellStyle name="20% - Accent6" xfId="6" builtinId="50" customBuiltin="1"/>
    <cellStyle name="20% - Accent6 10" xfId="184"/>
    <cellStyle name="20% - Accent6 100" xfId="1368"/>
    <cellStyle name="20% - Accent6 101" xfId="1381"/>
    <cellStyle name="20% - Accent6 102" xfId="1393"/>
    <cellStyle name="20% - Accent6 103" xfId="1405"/>
    <cellStyle name="20% - Accent6 104" xfId="1415"/>
    <cellStyle name="20% - Accent6 105" xfId="1425"/>
    <cellStyle name="20% - Accent6 106" xfId="1432"/>
    <cellStyle name="20% - Accent6 107" xfId="1450"/>
    <cellStyle name="20% - Accent6 108" xfId="1469"/>
    <cellStyle name="20% - Accent6 109" xfId="1486"/>
    <cellStyle name="20% - Accent6 11" xfId="197"/>
    <cellStyle name="20% - Accent6 110" xfId="1499"/>
    <cellStyle name="20% - Accent6 111" xfId="1512"/>
    <cellStyle name="20% - Accent6 112" xfId="1525"/>
    <cellStyle name="20% - Accent6 113" xfId="1538"/>
    <cellStyle name="20% - Accent6 114" xfId="1550"/>
    <cellStyle name="20% - Accent6 115" xfId="1562"/>
    <cellStyle name="20% - Accent6 116" xfId="1575"/>
    <cellStyle name="20% - Accent6 117" xfId="1587"/>
    <cellStyle name="20% - Accent6 118" xfId="1599"/>
    <cellStyle name="20% - Accent6 119" xfId="1614"/>
    <cellStyle name="20% - Accent6 12" xfId="210"/>
    <cellStyle name="20% - Accent6 120" xfId="1631"/>
    <cellStyle name="20% - Accent6 121" xfId="1644"/>
    <cellStyle name="20% - Accent6 122" xfId="1657"/>
    <cellStyle name="20% - Accent6 123" xfId="1670"/>
    <cellStyle name="20% - Accent6 124" xfId="1683"/>
    <cellStyle name="20% - Accent6 125" xfId="1696"/>
    <cellStyle name="20% - Accent6 126" xfId="1709"/>
    <cellStyle name="20% - Accent6 127" xfId="1722"/>
    <cellStyle name="20% - Accent6 128" xfId="1735"/>
    <cellStyle name="20% - Accent6 129" xfId="1748"/>
    <cellStyle name="20% - Accent6 13" xfId="223"/>
    <cellStyle name="20% - Accent6 130" xfId="1761"/>
    <cellStyle name="20% - Accent6 131" xfId="1774"/>
    <cellStyle name="20% - Accent6 132" xfId="1787"/>
    <cellStyle name="20% - Accent6 133" xfId="1800"/>
    <cellStyle name="20% - Accent6 134" xfId="1813"/>
    <cellStyle name="20% - Accent6 135" xfId="1826"/>
    <cellStyle name="20% - Accent6 136" xfId="1839"/>
    <cellStyle name="20% - Accent6 137" xfId="1852"/>
    <cellStyle name="20% - Accent6 138" xfId="1865"/>
    <cellStyle name="20% - Accent6 139" xfId="1878"/>
    <cellStyle name="20% - Accent6 14" xfId="236"/>
    <cellStyle name="20% - Accent6 140" xfId="1891"/>
    <cellStyle name="20% - Accent6 141" xfId="1904"/>
    <cellStyle name="20% - Accent6 142" xfId="1917"/>
    <cellStyle name="20% - Accent6 143" xfId="1930"/>
    <cellStyle name="20% - Accent6 144" xfId="1943"/>
    <cellStyle name="20% - Accent6 145" xfId="1956"/>
    <cellStyle name="20% - Accent6 146" xfId="1969"/>
    <cellStyle name="20% - Accent6 147" xfId="1982"/>
    <cellStyle name="20% - Accent6 148" xfId="1995"/>
    <cellStyle name="20% - Accent6 149" xfId="2008"/>
    <cellStyle name="20% - Accent6 15" xfId="249"/>
    <cellStyle name="20% - Accent6 150" xfId="2021"/>
    <cellStyle name="20% - Accent6 151" xfId="2034"/>
    <cellStyle name="20% - Accent6 152" xfId="2047"/>
    <cellStyle name="20% - Accent6 153" xfId="2060"/>
    <cellStyle name="20% - Accent6 154" xfId="2073"/>
    <cellStyle name="20% - Accent6 155" xfId="2086"/>
    <cellStyle name="20% - Accent6 156" xfId="2099"/>
    <cellStyle name="20% - Accent6 157" xfId="2113"/>
    <cellStyle name="20% - Accent6 158" xfId="2126"/>
    <cellStyle name="20% - Accent6 159" xfId="2140"/>
    <cellStyle name="20% - Accent6 16" xfId="262"/>
    <cellStyle name="20% - Accent6 160" xfId="2154"/>
    <cellStyle name="20% - Accent6 161" xfId="2166"/>
    <cellStyle name="20% - Accent6 162" xfId="2178"/>
    <cellStyle name="20% - Accent6 163" xfId="2190"/>
    <cellStyle name="20% - Accent6 164" xfId="2202"/>
    <cellStyle name="20% - Accent6 165" xfId="2215"/>
    <cellStyle name="20% - Accent6 166" xfId="2229"/>
    <cellStyle name="20% - Accent6 167" xfId="2242"/>
    <cellStyle name="20% - Accent6 168" xfId="2255"/>
    <cellStyle name="20% - Accent6 169" xfId="2268"/>
    <cellStyle name="20% - Accent6 17" xfId="275"/>
    <cellStyle name="20% - Accent6 170" xfId="2281"/>
    <cellStyle name="20% - Accent6 171" xfId="2295"/>
    <cellStyle name="20% - Accent6 172" xfId="2308"/>
    <cellStyle name="20% - Accent6 173" xfId="2320"/>
    <cellStyle name="20% - Accent6 174" xfId="2332"/>
    <cellStyle name="20% - Accent6 175" xfId="2344"/>
    <cellStyle name="20% - Accent6 176" xfId="2356"/>
    <cellStyle name="20% - Accent6 177" xfId="2369"/>
    <cellStyle name="20% - Accent6 178" xfId="2383"/>
    <cellStyle name="20% - Accent6 179" xfId="2396"/>
    <cellStyle name="20% - Accent6 18" xfId="288"/>
    <cellStyle name="20% - Accent6 180" xfId="2409"/>
    <cellStyle name="20% - Accent6 181" xfId="2422"/>
    <cellStyle name="20% - Accent6 182" xfId="2435"/>
    <cellStyle name="20% - Accent6 183" xfId="2448"/>
    <cellStyle name="20% - Accent6 184" xfId="2461"/>
    <cellStyle name="20% - Accent6 185" xfId="2474"/>
    <cellStyle name="20% - Accent6 186" xfId="2487"/>
    <cellStyle name="20% - Accent6 187" xfId="2500"/>
    <cellStyle name="20% - Accent6 188" xfId="2513"/>
    <cellStyle name="20% - Accent6 189" xfId="2526"/>
    <cellStyle name="20% - Accent6 19" xfId="301"/>
    <cellStyle name="20% - Accent6 190" xfId="2539"/>
    <cellStyle name="20% - Accent6 191" xfId="2552"/>
    <cellStyle name="20% - Accent6 192" xfId="2565"/>
    <cellStyle name="20% - Accent6 193" xfId="2578"/>
    <cellStyle name="20% - Accent6 194" xfId="2590"/>
    <cellStyle name="20% - Accent6 195" xfId="2602"/>
    <cellStyle name="20% - Accent6 196" xfId="2612"/>
    <cellStyle name="20% - Accent6 197" xfId="2622"/>
    <cellStyle name="20% - Accent6 198" xfId="2629"/>
    <cellStyle name="20% - Accent6 199" xfId="2667"/>
    <cellStyle name="20% - Accent6 2" xfId="80"/>
    <cellStyle name="20% - Accent6 20" xfId="314"/>
    <cellStyle name="20% - Accent6 200" xfId="2681"/>
    <cellStyle name="20% - Accent6 201" xfId="2694"/>
    <cellStyle name="20% - Accent6 202" xfId="2707"/>
    <cellStyle name="20% - Accent6 203" xfId="2720"/>
    <cellStyle name="20% - Accent6 204" xfId="2733"/>
    <cellStyle name="20% - Accent6 205" xfId="2746"/>
    <cellStyle name="20% - Accent6 206" xfId="2758"/>
    <cellStyle name="20% - Accent6 207" xfId="2770"/>
    <cellStyle name="20% - Accent6 208" xfId="2780"/>
    <cellStyle name="20% - Accent6 209" xfId="2790"/>
    <cellStyle name="20% - Accent6 21" xfId="327"/>
    <cellStyle name="20% - Accent6 210" xfId="2797"/>
    <cellStyle name="20% - Accent6 211" xfId="2820"/>
    <cellStyle name="20% - Accent6 212" xfId="2833"/>
    <cellStyle name="20% - Accent6 213" xfId="2845"/>
    <cellStyle name="20% - Accent6 214" xfId="2857"/>
    <cellStyle name="20% - Accent6 215" xfId="2868"/>
    <cellStyle name="20% - Accent6 216" xfId="2893"/>
    <cellStyle name="20% - Accent6 217" xfId="2906"/>
    <cellStyle name="20% - Accent6 218" xfId="2919"/>
    <cellStyle name="20% - Accent6 219" xfId="2932"/>
    <cellStyle name="20% - Accent6 22" xfId="340"/>
    <cellStyle name="20% - Accent6 220" xfId="2945"/>
    <cellStyle name="20% - Accent6 221" xfId="2958"/>
    <cellStyle name="20% - Accent6 222" xfId="2971"/>
    <cellStyle name="20% - Accent6 223" xfId="2984"/>
    <cellStyle name="20% - Accent6 224" xfId="2997"/>
    <cellStyle name="20% - Accent6 225" xfId="3010"/>
    <cellStyle name="20% - Accent6 226" xfId="3023"/>
    <cellStyle name="20% - Accent6 227" xfId="3036"/>
    <cellStyle name="20% - Accent6 228" xfId="3049"/>
    <cellStyle name="20% - Accent6 229" xfId="3062"/>
    <cellStyle name="20% - Accent6 23" xfId="353"/>
    <cellStyle name="20% - Accent6 230" xfId="3075"/>
    <cellStyle name="20% - Accent6 231" xfId="3088"/>
    <cellStyle name="20% - Accent6 232" xfId="3101"/>
    <cellStyle name="20% - Accent6 233" xfId="3113"/>
    <cellStyle name="20% - Accent6 234" xfId="3125"/>
    <cellStyle name="20% - Accent6 235" xfId="3135"/>
    <cellStyle name="20% - Accent6 236" xfId="3145"/>
    <cellStyle name="20% - Accent6 237" xfId="3152"/>
    <cellStyle name="20% - Accent6 238" xfId="3178"/>
    <cellStyle name="20% - Accent6 239" xfId="3190"/>
    <cellStyle name="20% - Accent6 24" xfId="366"/>
    <cellStyle name="20% - Accent6 240" xfId="3200"/>
    <cellStyle name="20% - Accent6 241" xfId="3207"/>
    <cellStyle name="20% - Accent6 242" xfId="3228"/>
    <cellStyle name="20% - Accent6 243" xfId="3235"/>
    <cellStyle name="20% - Accent6 244" xfId="3262"/>
    <cellStyle name="20% - Accent6 245" xfId="3275"/>
    <cellStyle name="20% - Accent6 246" xfId="3288"/>
    <cellStyle name="20% - Accent6 247" xfId="3301"/>
    <cellStyle name="20% - Accent6 248" xfId="3314"/>
    <cellStyle name="20% - Accent6 249" xfId="3327"/>
    <cellStyle name="20% - Accent6 25" xfId="379"/>
    <cellStyle name="20% - Accent6 250" xfId="3339"/>
    <cellStyle name="20% - Accent6 251" xfId="3351"/>
    <cellStyle name="20% - Accent6 252" xfId="3363"/>
    <cellStyle name="20% - Accent6 253" xfId="3373"/>
    <cellStyle name="20% - Accent6 254" xfId="3383"/>
    <cellStyle name="20% - Accent6 255" xfId="3390"/>
    <cellStyle name="20% - Accent6 256" xfId="3405"/>
    <cellStyle name="20% - Accent6 26" xfId="393"/>
    <cellStyle name="20% - Accent6 27" xfId="406"/>
    <cellStyle name="20% - Accent6 28" xfId="420"/>
    <cellStyle name="20% - Accent6 29" xfId="432"/>
    <cellStyle name="20% - Accent6 3" xfId="93"/>
    <cellStyle name="20% - Accent6 30" xfId="444"/>
    <cellStyle name="20% - Accent6 31" xfId="456"/>
    <cellStyle name="20% - Accent6 32" xfId="467"/>
    <cellStyle name="20% - Accent6 33" xfId="480"/>
    <cellStyle name="20% - Accent6 34" xfId="497"/>
    <cellStyle name="20% - Accent6 35" xfId="510"/>
    <cellStyle name="20% - Accent6 36" xfId="523"/>
    <cellStyle name="20% - Accent6 37" xfId="536"/>
    <cellStyle name="20% - Accent6 38" xfId="549"/>
    <cellStyle name="20% - Accent6 39" xfId="562"/>
    <cellStyle name="20% - Accent6 4" xfId="106"/>
    <cellStyle name="20% - Accent6 40" xfId="575"/>
    <cellStyle name="20% - Accent6 41" xfId="588"/>
    <cellStyle name="20% - Accent6 42" xfId="601"/>
    <cellStyle name="20% - Accent6 43" xfId="614"/>
    <cellStyle name="20% - Accent6 44" xfId="627"/>
    <cellStyle name="20% - Accent6 45" xfId="640"/>
    <cellStyle name="20% - Accent6 46" xfId="653"/>
    <cellStyle name="20% - Accent6 47" xfId="666"/>
    <cellStyle name="20% - Accent6 48" xfId="679"/>
    <cellStyle name="20% - Accent6 49" xfId="692"/>
    <cellStyle name="20% - Accent6 5" xfId="119"/>
    <cellStyle name="20% - Accent6 50" xfId="705"/>
    <cellStyle name="20% - Accent6 51" xfId="718"/>
    <cellStyle name="20% - Accent6 52" xfId="731"/>
    <cellStyle name="20% - Accent6 53" xfId="744"/>
    <cellStyle name="20% - Accent6 54" xfId="757"/>
    <cellStyle name="20% - Accent6 55" xfId="770"/>
    <cellStyle name="20% - Accent6 56" xfId="783"/>
    <cellStyle name="20% - Accent6 57" xfId="796"/>
    <cellStyle name="20% - Accent6 58" xfId="809"/>
    <cellStyle name="20% - Accent6 59" xfId="822"/>
    <cellStyle name="20% - Accent6 6" xfId="132"/>
    <cellStyle name="20% - Accent6 60" xfId="835"/>
    <cellStyle name="20% - Accent6 61" xfId="848"/>
    <cellStyle name="20% - Accent6 62" xfId="861"/>
    <cellStyle name="20% - Accent6 63" xfId="874"/>
    <cellStyle name="20% - Accent6 64" xfId="887"/>
    <cellStyle name="20% - Accent6 65" xfId="900"/>
    <cellStyle name="20% - Accent6 66" xfId="913"/>
    <cellStyle name="20% - Accent6 67" xfId="926"/>
    <cellStyle name="20% - Accent6 68" xfId="939"/>
    <cellStyle name="20% - Accent6 69" xfId="953"/>
    <cellStyle name="20% - Accent6 7" xfId="145"/>
    <cellStyle name="20% - Accent6 70" xfId="967"/>
    <cellStyle name="20% - Accent6 71" xfId="980"/>
    <cellStyle name="20% - Accent6 72" xfId="993"/>
    <cellStyle name="20% - Accent6 73" xfId="1007"/>
    <cellStyle name="20% - Accent6 74" xfId="1021"/>
    <cellStyle name="20% - Accent6 75" xfId="1034"/>
    <cellStyle name="20% - Accent6 76" xfId="1047"/>
    <cellStyle name="20% - Accent6 77" xfId="1059"/>
    <cellStyle name="20% - Accent6 78" xfId="1073"/>
    <cellStyle name="20% - Accent6 79" xfId="1084"/>
    <cellStyle name="20% - Accent6 8" xfId="158"/>
    <cellStyle name="20% - Accent6 80" xfId="1096"/>
    <cellStyle name="20% - Accent6 81" xfId="1107"/>
    <cellStyle name="20% - Accent6 82" xfId="1125"/>
    <cellStyle name="20% - Accent6 83" xfId="1145"/>
    <cellStyle name="20% - Accent6 84" xfId="1159"/>
    <cellStyle name="20% - Accent6 85" xfId="1173"/>
    <cellStyle name="20% - Accent6 86" xfId="1186"/>
    <cellStyle name="20% - Accent6 87" xfId="1199"/>
    <cellStyle name="20% - Accent6 88" xfId="1212"/>
    <cellStyle name="20% - Accent6 89" xfId="1225"/>
    <cellStyle name="20% - Accent6 9" xfId="171"/>
    <cellStyle name="20% - Accent6 90" xfId="1238"/>
    <cellStyle name="20% - Accent6 91" xfId="1251"/>
    <cellStyle name="20% - Accent6 92" xfId="1264"/>
    <cellStyle name="20% - Accent6 93" xfId="1277"/>
    <cellStyle name="20% - Accent6 94" xfId="1290"/>
    <cellStyle name="20% - Accent6 95" xfId="1303"/>
    <cellStyle name="20% - Accent6 96" xfId="1316"/>
    <cellStyle name="20% - Accent6 97" xfId="1329"/>
    <cellStyle name="20% - Accent6 98" xfId="1342"/>
    <cellStyle name="20% - Accent6 99" xfId="1355"/>
    <cellStyle name="40% - Accent1" xfId="7" builtinId="31" customBuiltin="1"/>
    <cellStyle name="40% - Accent1 10" xfId="160"/>
    <cellStyle name="40% - Accent1 100" xfId="1344"/>
    <cellStyle name="40% - Accent1 101" xfId="1357"/>
    <cellStyle name="40% - Accent1 102" xfId="1370"/>
    <cellStyle name="40% - Accent1 103" xfId="1383"/>
    <cellStyle name="40% - Accent1 104" xfId="1395"/>
    <cellStyle name="40% - Accent1 105" xfId="1407"/>
    <cellStyle name="40% - Accent1 106" xfId="1417"/>
    <cellStyle name="40% - Accent1 107" xfId="1438"/>
    <cellStyle name="40% - Accent1 108" xfId="1452"/>
    <cellStyle name="40% - Accent1 109" xfId="1464"/>
    <cellStyle name="40% - Accent1 11" xfId="173"/>
    <cellStyle name="40% - Accent1 110" xfId="1457"/>
    <cellStyle name="40% - Accent1 111" xfId="1488"/>
    <cellStyle name="40% - Accent1 112" xfId="1501"/>
    <cellStyle name="40% - Accent1 113" xfId="1514"/>
    <cellStyle name="40% - Accent1 114" xfId="1527"/>
    <cellStyle name="40% - Accent1 115" xfId="1540"/>
    <cellStyle name="40% - Accent1 116" xfId="1552"/>
    <cellStyle name="40% - Accent1 117" xfId="1564"/>
    <cellStyle name="40% - Accent1 118" xfId="1577"/>
    <cellStyle name="40% - Accent1 119" xfId="1597"/>
    <cellStyle name="40% - Accent1 12" xfId="186"/>
    <cellStyle name="40% - Accent1 120" xfId="1605"/>
    <cellStyle name="40% - Accent1 121" xfId="1594"/>
    <cellStyle name="40% - Accent1 122" xfId="1633"/>
    <cellStyle name="40% - Accent1 123" xfId="1646"/>
    <cellStyle name="40% - Accent1 124" xfId="1659"/>
    <cellStyle name="40% - Accent1 125" xfId="1672"/>
    <cellStyle name="40% - Accent1 126" xfId="1685"/>
    <cellStyle name="40% - Accent1 127" xfId="1698"/>
    <cellStyle name="40% - Accent1 128" xfId="1711"/>
    <cellStyle name="40% - Accent1 129" xfId="1724"/>
    <cellStyle name="40% - Accent1 13" xfId="199"/>
    <cellStyle name="40% - Accent1 130" xfId="1737"/>
    <cellStyle name="40% - Accent1 131" xfId="1750"/>
    <cellStyle name="40% - Accent1 132" xfId="1763"/>
    <cellStyle name="40% - Accent1 133" xfId="1776"/>
    <cellStyle name="40% - Accent1 134" xfId="1789"/>
    <cellStyle name="40% - Accent1 135" xfId="1802"/>
    <cellStyle name="40% - Accent1 136" xfId="1815"/>
    <cellStyle name="40% - Accent1 137" xfId="1828"/>
    <cellStyle name="40% - Accent1 138" xfId="1841"/>
    <cellStyle name="40% - Accent1 139" xfId="1854"/>
    <cellStyle name="40% - Accent1 14" xfId="212"/>
    <cellStyle name="40% - Accent1 140" xfId="1867"/>
    <cellStyle name="40% - Accent1 141" xfId="1880"/>
    <cellStyle name="40% - Accent1 142" xfId="1893"/>
    <cellStyle name="40% - Accent1 143" xfId="1906"/>
    <cellStyle name="40% - Accent1 144" xfId="1919"/>
    <cellStyle name="40% - Accent1 145" xfId="1932"/>
    <cellStyle name="40% - Accent1 146" xfId="1945"/>
    <cellStyle name="40% - Accent1 147" xfId="1958"/>
    <cellStyle name="40% - Accent1 148" xfId="1971"/>
    <cellStyle name="40% - Accent1 149" xfId="1984"/>
    <cellStyle name="40% - Accent1 15" xfId="225"/>
    <cellStyle name="40% - Accent1 150" xfId="1997"/>
    <cellStyle name="40% - Accent1 151" xfId="2010"/>
    <cellStyle name="40% - Accent1 152" xfId="2023"/>
    <cellStyle name="40% - Accent1 153" xfId="2036"/>
    <cellStyle name="40% - Accent1 154" xfId="2049"/>
    <cellStyle name="40% - Accent1 155" xfId="2062"/>
    <cellStyle name="40% - Accent1 156" xfId="2075"/>
    <cellStyle name="40% - Accent1 157" xfId="2088"/>
    <cellStyle name="40% - Accent1 158" xfId="2101"/>
    <cellStyle name="40% - Accent1 159" xfId="2115"/>
    <cellStyle name="40% - Accent1 16" xfId="238"/>
    <cellStyle name="40% - Accent1 160" xfId="2128"/>
    <cellStyle name="40% - Accent1 161" xfId="2142"/>
    <cellStyle name="40% - Accent1 162" xfId="2156"/>
    <cellStyle name="40% - Accent1 163" xfId="2168"/>
    <cellStyle name="40% - Accent1 164" xfId="2180"/>
    <cellStyle name="40% - Accent1 165" xfId="2192"/>
    <cellStyle name="40% - Accent1 166" xfId="2195"/>
    <cellStyle name="40% - Accent1 167" xfId="2213"/>
    <cellStyle name="40% - Accent1 168" xfId="2231"/>
    <cellStyle name="40% - Accent1 169" xfId="2244"/>
    <cellStyle name="40% - Accent1 17" xfId="251"/>
    <cellStyle name="40% - Accent1 170" xfId="2257"/>
    <cellStyle name="40% - Accent1 171" xfId="2270"/>
    <cellStyle name="40% - Accent1 172" xfId="2283"/>
    <cellStyle name="40% - Accent1 173" xfId="2297"/>
    <cellStyle name="40% - Accent1 174" xfId="2310"/>
    <cellStyle name="40% - Accent1 175" xfId="2322"/>
    <cellStyle name="40% - Accent1 176" xfId="2334"/>
    <cellStyle name="40% - Accent1 177" xfId="2346"/>
    <cellStyle name="40% - Accent1 178" xfId="2349"/>
    <cellStyle name="40% - Accent1 179" xfId="2367"/>
    <cellStyle name="40% - Accent1 18" xfId="264"/>
    <cellStyle name="40% - Accent1 180" xfId="2385"/>
    <cellStyle name="40% - Accent1 181" xfId="2398"/>
    <cellStyle name="40% - Accent1 182" xfId="2411"/>
    <cellStyle name="40% - Accent1 183" xfId="2424"/>
    <cellStyle name="40% - Accent1 184" xfId="2437"/>
    <cellStyle name="40% - Accent1 185" xfId="2450"/>
    <cellStyle name="40% - Accent1 186" xfId="2463"/>
    <cellStyle name="40% - Accent1 187" xfId="2476"/>
    <cellStyle name="40% - Accent1 188" xfId="2489"/>
    <cellStyle name="40% - Accent1 189" xfId="2502"/>
    <cellStyle name="40% - Accent1 19" xfId="277"/>
    <cellStyle name="40% - Accent1 190" xfId="2515"/>
    <cellStyle name="40% - Accent1 191" xfId="2528"/>
    <cellStyle name="40% - Accent1 192" xfId="2541"/>
    <cellStyle name="40% - Accent1 193" xfId="2554"/>
    <cellStyle name="40% - Accent1 194" xfId="2567"/>
    <cellStyle name="40% - Accent1 195" xfId="2580"/>
    <cellStyle name="40% - Accent1 196" xfId="2592"/>
    <cellStyle name="40% - Accent1 197" xfId="2604"/>
    <cellStyle name="40% - Accent1 198" xfId="2614"/>
    <cellStyle name="40% - Accent1 199" xfId="2648"/>
    <cellStyle name="40% - Accent1 2" xfId="62"/>
    <cellStyle name="40% - Accent1 20" xfId="290"/>
    <cellStyle name="40% - Accent1 200" xfId="2650"/>
    <cellStyle name="40% - Accent1 201" xfId="2669"/>
    <cellStyle name="40% - Accent1 202" xfId="2683"/>
    <cellStyle name="40% - Accent1 203" xfId="2696"/>
    <cellStyle name="40% - Accent1 204" xfId="2709"/>
    <cellStyle name="40% - Accent1 205" xfId="2722"/>
    <cellStyle name="40% - Accent1 206" xfId="2735"/>
    <cellStyle name="40% - Accent1 207" xfId="2748"/>
    <cellStyle name="40% - Accent1 208" xfId="2760"/>
    <cellStyle name="40% - Accent1 209" xfId="2772"/>
    <cellStyle name="40% - Accent1 21" xfId="303"/>
    <cellStyle name="40% - Accent1 210" xfId="2782"/>
    <cellStyle name="40% - Accent1 211" xfId="2806"/>
    <cellStyle name="40% - Accent1 212" xfId="2819"/>
    <cellStyle name="40% - Accent1 213" xfId="2835"/>
    <cellStyle name="40% - Accent1 214" xfId="2841"/>
    <cellStyle name="40% - Accent1 215" xfId="2851"/>
    <cellStyle name="40% - Accent1 216" xfId="2875"/>
    <cellStyle name="40% - Accent1 217" xfId="2877"/>
    <cellStyle name="40% - Accent1 218" xfId="2895"/>
    <cellStyle name="40% - Accent1 219" xfId="2908"/>
    <cellStyle name="40% - Accent1 22" xfId="316"/>
    <cellStyle name="40% - Accent1 220" xfId="2921"/>
    <cellStyle name="40% - Accent1 221" xfId="2934"/>
    <cellStyle name="40% - Accent1 222" xfId="2947"/>
    <cellStyle name="40% - Accent1 223" xfId="2960"/>
    <cellStyle name="40% - Accent1 224" xfId="2973"/>
    <cellStyle name="40% - Accent1 225" xfId="2986"/>
    <cellStyle name="40% - Accent1 226" xfId="2999"/>
    <cellStyle name="40% - Accent1 227" xfId="3012"/>
    <cellStyle name="40% - Accent1 228" xfId="3025"/>
    <cellStyle name="40% - Accent1 229" xfId="3038"/>
    <cellStyle name="40% - Accent1 23" xfId="329"/>
    <cellStyle name="40% - Accent1 230" xfId="3051"/>
    <cellStyle name="40% - Accent1 231" xfId="3064"/>
    <cellStyle name="40% - Accent1 232" xfId="3077"/>
    <cellStyle name="40% - Accent1 233" xfId="3090"/>
    <cellStyle name="40% - Accent1 234" xfId="3103"/>
    <cellStyle name="40% - Accent1 235" xfId="3115"/>
    <cellStyle name="40% - Accent1 236" xfId="3127"/>
    <cellStyle name="40% - Accent1 237" xfId="3137"/>
    <cellStyle name="40% - Accent1 238" xfId="3162"/>
    <cellStyle name="40% - Accent1 239" xfId="3180"/>
    <cellStyle name="40% - Accent1 24" xfId="342"/>
    <cellStyle name="40% - Accent1 240" xfId="3173"/>
    <cellStyle name="40% - Accent1 241" xfId="3192"/>
    <cellStyle name="40% - Accent1 242" xfId="3214"/>
    <cellStyle name="40% - Accent1 243" xfId="3216"/>
    <cellStyle name="40% - Accent1 244" xfId="3244"/>
    <cellStyle name="40% - Accent1 245" xfId="3246"/>
    <cellStyle name="40% - Accent1 246" xfId="3264"/>
    <cellStyle name="40% - Accent1 247" xfId="3277"/>
    <cellStyle name="40% - Accent1 248" xfId="3290"/>
    <cellStyle name="40% - Accent1 249" xfId="3303"/>
    <cellStyle name="40% - Accent1 25" xfId="355"/>
    <cellStyle name="40% - Accent1 250" xfId="3316"/>
    <cellStyle name="40% - Accent1 251" xfId="3329"/>
    <cellStyle name="40% - Accent1 252" xfId="3341"/>
    <cellStyle name="40% - Accent1 253" xfId="3353"/>
    <cellStyle name="40% - Accent1 254" xfId="3365"/>
    <cellStyle name="40% - Accent1 255" xfId="3375"/>
    <cellStyle name="40% - Accent1 256" xfId="3396"/>
    <cellStyle name="40% - Accent1 26" xfId="368"/>
    <cellStyle name="40% - Accent1 27" xfId="381"/>
    <cellStyle name="40% - Accent1 28" xfId="395"/>
    <cellStyle name="40% - Accent1 29" xfId="408"/>
    <cellStyle name="40% - Accent1 3" xfId="64"/>
    <cellStyle name="40% - Accent1 30" xfId="422"/>
    <cellStyle name="40% - Accent1 31" xfId="434"/>
    <cellStyle name="40% - Accent1 32" xfId="446"/>
    <cellStyle name="40% - Accent1 33" xfId="458"/>
    <cellStyle name="40% - Accent1 34" xfId="474"/>
    <cellStyle name="40% - Accent1 35" xfId="460"/>
    <cellStyle name="40% - Accent1 36" xfId="499"/>
    <cellStyle name="40% - Accent1 37" xfId="512"/>
    <cellStyle name="40% - Accent1 38" xfId="525"/>
    <cellStyle name="40% - Accent1 39" xfId="538"/>
    <cellStyle name="40% - Accent1 4" xfId="82"/>
    <cellStyle name="40% - Accent1 40" xfId="551"/>
    <cellStyle name="40% - Accent1 41" xfId="564"/>
    <cellStyle name="40% - Accent1 42" xfId="577"/>
    <cellStyle name="40% - Accent1 43" xfId="590"/>
    <cellStyle name="40% - Accent1 44" xfId="603"/>
    <cellStyle name="40% - Accent1 45" xfId="616"/>
    <cellStyle name="40% - Accent1 46" xfId="629"/>
    <cellStyle name="40% - Accent1 47" xfId="642"/>
    <cellStyle name="40% - Accent1 48" xfId="655"/>
    <cellStyle name="40% - Accent1 49" xfId="668"/>
    <cellStyle name="40% - Accent1 5" xfId="95"/>
    <cellStyle name="40% - Accent1 50" xfId="681"/>
    <cellStyle name="40% - Accent1 51" xfId="694"/>
    <cellStyle name="40% - Accent1 52" xfId="707"/>
    <cellStyle name="40% - Accent1 53" xfId="720"/>
    <cellStyle name="40% - Accent1 54" xfId="733"/>
    <cellStyle name="40% - Accent1 55" xfId="746"/>
    <cellStyle name="40% - Accent1 56" xfId="759"/>
    <cellStyle name="40% - Accent1 57" xfId="772"/>
    <cellStyle name="40% - Accent1 58" xfId="785"/>
    <cellStyle name="40% - Accent1 59" xfId="798"/>
    <cellStyle name="40% - Accent1 6" xfId="108"/>
    <cellStyle name="40% - Accent1 60" xfId="811"/>
    <cellStyle name="40% - Accent1 61" xfId="824"/>
    <cellStyle name="40% - Accent1 62" xfId="837"/>
    <cellStyle name="40% - Accent1 63" xfId="850"/>
    <cellStyle name="40% - Accent1 64" xfId="863"/>
    <cellStyle name="40% - Accent1 65" xfId="876"/>
    <cellStyle name="40% - Accent1 66" xfId="889"/>
    <cellStyle name="40% - Accent1 67" xfId="902"/>
    <cellStyle name="40% - Accent1 68" xfId="915"/>
    <cellStyle name="40% - Accent1 69" xfId="928"/>
    <cellStyle name="40% - Accent1 7" xfId="121"/>
    <cellStyle name="40% - Accent1 70" xfId="941"/>
    <cellStyle name="40% - Accent1 71" xfId="955"/>
    <cellStyle name="40% - Accent1 72" xfId="969"/>
    <cellStyle name="40% - Accent1 73" xfId="982"/>
    <cellStyle name="40% - Accent1 74" xfId="995"/>
    <cellStyle name="40% - Accent1 75" xfId="1009"/>
    <cellStyle name="40% - Accent1 76" xfId="1023"/>
    <cellStyle name="40% - Accent1 77" xfId="1036"/>
    <cellStyle name="40% - Accent1 78" xfId="1049"/>
    <cellStyle name="40% - Accent1 79" xfId="1061"/>
    <cellStyle name="40% - Accent1 8" xfId="134"/>
    <cellStyle name="40% - Accent1 80" xfId="1075"/>
    <cellStyle name="40% - Accent1 81" xfId="1086"/>
    <cellStyle name="40% - Accent1 82" xfId="1077"/>
    <cellStyle name="40% - Accent1 83" xfId="1113"/>
    <cellStyle name="40% - Accent1 84" xfId="1128"/>
    <cellStyle name="40% - Accent1 85" xfId="1147"/>
    <cellStyle name="40% - Accent1 86" xfId="1161"/>
    <cellStyle name="40% - Accent1 87" xfId="1175"/>
    <cellStyle name="40% - Accent1 88" xfId="1188"/>
    <cellStyle name="40% - Accent1 89" xfId="1201"/>
    <cellStyle name="40% - Accent1 9" xfId="147"/>
    <cellStyle name="40% - Accent1 90" xfId="1214"/>
    <cellStyle name="40% - Accent1 91" xfId="1227"/>
    <cellStyle name="40% - Accent1 92" xfId="1240"/>
    <cellStyle name="40% - Accent1 93" xfId="1253"/>
    <cellStyle name="40% - Accent1 94" xfId="1266"/>
    <cellStyle name="40% - Accent1 95" xfId="1279"/>
    <cellStyle name="40% - Accent1 96" xfId="1292"/>
    <cellStyle name="40% - Accent1 97" xfId="1305"/>
    <cellStyle name="40% - Accent1 98" xfId="1318"/>
    <cellStyle name="40% - Accent1 99" xfId="1331"/>
    <cellStyle name="40% - Accent2" xfId="8" builtinId="35" customBuiltin="1"/>
    <cellStyle name="40% - Accent2 10" xfId="166"/>
    <cellStyle name="40% - Accent2 100" xfId="1350"/>
    <cellStyle name="40% - Accent2 101" xfId="1363"/>
    <cellStyle name="40% - Accent2 102" xfId="1376"/>
    <cellStyle name="40% - Accent2 103" xfId="1389"/>
    <cellStyle name="40% - Accent2 104" xfId="1401"/>
    <cellStyle name="40% - Accent2 105" xfId="1411"/>
    <cellStyle name="40% - Accent2 106" xfId="1421"/>
    <cellStyle name="40% - Accent2 107" xfId="1441"/>
    <cellStyle name="40% - Accent2 108" xfId="1456"/>
    <cellStyle name="40% - Accent2 109" xfId="1472"/>
    <cellStyle name="40% - Accent2 11" xfId="179"/>
    <cellStyle name="40% - Accent2 110" xfId="1481"/>
    <cellStyle name="40% - Accent2 111" xfId="1494"/>
    <cellStyle name="40% - Accent2 112" xfId="1507"/>
    <cellStyle name="40% - Accent2 113" xfId="1520"/>
    <cellStyle name="40% - Accent2 114" xfId="1533"/>
    <cellStyle name="40% - Accent2 115" xfId="1546"/>
    <cellStyle name="40% - Accent2 116" xfId="1558"/>
    <cellStyle name="40% - Accent2 117" xfId="1570"/>
    <cellStyle name="40% - Accent2 118" xfId="1583"/>
    <cellStyle name="40% - Accent2 119" xfId="1567"/>
    <cellStyle name="40% - Accent2 12" xfId="192"/>
    <cellStyle name="40% - Accent2 120" xfId="1617"/>
    <cellStyle name="40% - Accent2 121" xfId="1626"/>
    <cellStyle name="40% - Accent2 122" xfId="1639"/>
    <cellStyle name="40% - Accent2 123" xfId="1652"/>
    <cellStyle name="40% - Accent2 124" xfId="1665"/>
    <cellStyle name="40% - Accent2 125" xfId="1678"/>
    <cellStyle name="40% - Accent2 126" xfId="1691"/>
    <cellStyle name="40% - Accent2 127" xfId="1704"/>
    <cellStyle name="40% - Accent2 128" xfId="1717"/>
    <cellStyle name="40% - Accent2 129" xfId="1730"/>
    <cellStyle name="40% - Accent2 13" xfId="205"/>
    <cellStyle name="40% - Accent2 130" xfId="1743"/>
    <cellStyle name="40% - Accent2 131" xfId="1756"/>
    <cellStyle name="40% - Accent2 132" xfId="1769"/>
    <cellStyle name="40% - Accent2 133" xfId="1782"/>
    <cellStyle name="40% - Accent2 134" xfId="1795"/>
    <cellStyle name="40% - Accent2 135" xfId="1808"/>
    <cellStyle name="40% - Accent2 136" xfId="1821"/>
    <cellStyle name="40% - Accent2 137" xfId="1834"/>
    <cellStyle name="40% - Accent2 138" xfId="1847"/>
    <cellStyle name="40% - Accent2 139" xfId="1860"/>
    <cellStyle name="40% - Accent2 14" xfId="218"/>
    <cellStyle name="40% - Accent2 140" xfId="1873"/>
    <cellStyle name="40% - Accent2 141" xfId="1886"/>
    <cellStyle name="40% - Accent2 142" xfId="1899"/>
    <cellStyle name="40% - Accent2 143" xfId="1912"/>
    <cellStyle name="40% - Accent2 144" xfId="1925"/>
    <cellStyle name="40% - Accent2 145" xfId="1938"/>
    <cellStyle name="40% - Accent2 146" xfId="1951"/>
    <cellStyle name="40% - Accent2 147" xfId="1964"/>
    <cellStyle name="40% - Accent2 148" xfId="1977"/>
    <cellStyle name="40% - Accent2 149" xfId="1990"/>
    <cellStyle name="40% - Accent2 15" xfId="231"/>
    <cellStyle name="40% - Accent2 150" xfId="2003"/>
    <cellStyle name="40% - Accent2 151" xfId="2016"/>
    <cellStyle name="40% - Accent2 152" xfId="2029"/>
    <cellStyle name="40% - Accent2 153" xfId="2042"/>
    <cellStyle name="40% - Accent2 154" xfId="2055"/>
    <cellStyle name="40% - Accent2 155" xfId="2068"/>
    <cellStyle name="40% - Accent2 156" xfId="2081"/>
    <cellStyle name="40% - Accent2 157" xfId="2094"/>
    <cellStyle name="40% - Accent2 158" xfId="2107"/>
    <cellStyle name="40% - Accent2 159" xfId="2121"/>
    <cellStyle name="40% - Accent2 16" xfId="244"/>
    <cellStyle name="40% - Accent2 160" xfId="2134"/>
    <cellStyle name="40% - Accent2 161" xfId="2148"/>
    <cellStyle name="40% - Accent2 162" xfId="2162"/>
    <cellStyle name="40% - Accent2 163" xfId="2174"/>
    <cellStyle name="40% - Accent2 164" xfId="2186"/>
    <cellStyle name="40% - Accent2 165" xfId="2198"/>
    <cellStyle name="40% - Accent2 166" xfId="2206"/>
    <cellStyle name="40% - Accent2 167" xfId="2224"/>
    <cellStyle name="40% - Accent2 168" xfId="2237"/>
    <cellStyle name="40% - Accent2 169" xfId="2250"/>
    <cellStyle name="40% - Accent2 17" xfId="257"/>
    <cellStyle name="40% - Accent2 170" xfId="2263"/>
    <cellStyle name="40% - Accent2 171" xfId="2276"/>
    <cellStyle name="40% - Accent2 172" xfId="2289"/>
    <cellStyle name="40% - Accent2 173" xfId="2303"/>
    <cellStyle name="40% - Accent2 174" xfId="2316"/>
    <cellStyle name="40% - Accent2 175" xfId="2328"/>
    <cellStyle name="40% - Accent2 176" xfId="2340"/>
    <cellStyle name="40% - Accent2 177" xfId="2352"/>
    <cellStyle name="40% - Accent2 178" xfId="2360"/>
    <cellStyle name="40% - Accent2 179" xfId="2378"/>
    <cellStyle name="40% - Accent2 18" xfId="270"/>
    <cellStyle name="40% - Accent2 180" xfId="2391"/>
    <cellStyle name="40% - Accent2 181" xfId="2404"/>
    <cellStyle name="40% - Accent2 182" xfId="2417"/>
    <cellStyle name="40% - Accent2 183" xfId="2430"/>
    <cellStyle name="40% - Accent2 184" xfId="2443"/>
    <cellStyle name="40% - Accent2 185" xfId="2456"/>
    <cellStyle name="40% - Accent2 186" xfId="2469"/>
    <cellStyle name="40% - Accent2 187" xfId="2482"/>
    <cellStyle name="40% - Accent2 188" xfId="2495"/>
    <cellStyle name="40% - Accent2 189" xfId="2508"/>
    <cellStyle name="40% - Accent2 19" xfId="283"/>
    <cellStyle name="40% - Accent2 190" xfId="2521"/>
    <cellStyle name="40% - Accent2 191" xfId="2534"/>
    <cellStyle name="40% - Accent2 192" xfId="2547"/>
    <cellStyle name="40% - Accent2 193" xfId="2560"/>
    <cellStyle name="40% - Accent2 194" xfId="2573"/>
    <cellStyle name="40% - Accent2 195" xfId="2586"/>
    <cellStyle name="40% - Accent2 196" xfId="2598"/>
    <cellStyle name="40% - Accent2 197" xfId="2608"/>
    <cellStyle name="40% - Accent2 198" xfId="2618"/>
    <cellStyle name="40% - Accent2 199" xfId="2652"/>
    <cellStyle name="40% - Accent2 2" xfId="66"/>
    <cellStyle name="40% - Accent2 20" xfId="296"/>
    <cellStyle name="40% - Accent2 200" xfId="2661"/>
    <cellStyle name="40% - Accent2 201" xfId="2675"/>
    <cellStyle name="40% - Accent2 202" xfId="2689"/>
    <cellStyle name="40% - Accent2 203" xfId="2702"/>
    <cellStyle name="40% - Accent2 204" xfId="2715"/>
    <cellStyle name="40% - Accent2 205" xfId="2728"/>
    <cellStyle name="40% - Accent2 206" xfId="2741"/>
    <cellStyle name="40% - Accent2 207" xfId="2754"/>
    <cellStyle name="40% - Accent2 208" xfId="2766"/>
    <cellStyle name="40% - Accent2 209" xfId="2776"/>
    <cellStyle name="40% - Accent2 21" xfId="309"/>
    <cellStyle name="40% - Accent2 210" xfId="2786"/>
    <cellStyle name="40% - Accent2 211" xfId="2809"/>
    <cellStyle name="40% - Accent2 212" xfId="2807"/>
    <cellStyle name="40% - Accent2 213" xfId="2823"/>
    <cellStyle name="40% - Accent2 214" xfId="2847"/>
    <cellStyle name="40% - Accent2 215" xfId="2860"/>
    <cellStyle name="40% - Accent2 216" xfId="2879"/>
    <cellStyle name="40% - Accent2 217" xfId="2888"/>
    <cellStyle name="40% - Accent2 218" xfId="2901"/>
    <cellStyle name="40% - Accent2 219" xfId="2914"/>
    <cellStyle name="40% - Accent2 22" xfId="322"/>
    <cellStyle name="40% - Accent2 220" xfId="2927"/>
    <cellStyle name="40% - Accent2 221" xfId="2940"/>
    <cellStyle name="40% - Accent2 222" xfId="2953"/>
    <cellStyle name="40% - Accent2 223" xfId="2966"/>
    <cellStyle name="40% - Accent2 224" xfId="2979"/>
    <cellStyle name="40% - Accent2 225" xfId="2992"/>
    <cellStyle name="40% - Accent2 226" xfId="3005"/>
    <cellStyle name="40% - Accent2 227" xfId="3018"/>
    <cellStyle name="40% - Accent2 228" xfId="3031"/>
    <cellStyle name="40% - Accent2 229" xfId="3044"/>
    <cellStyle name="40% - Accent2 23" xfId="335"/>
    <cellStyle name="40% - Accent2 230" xfId="3057"/>
    <cellStyle name="40% - Accent2 231" xfId="3070"/>
    <cellStyle name="40% - Accent2 232" xfId="3083"/>
    <cellStyle name="40% - Accent2 233" xfId="3096"/>
    <cellStyle name="40% - Accent2 234" xfId="3109"/>
    <cellStyle name="40% - Accent2 235" xfId="3121"/>
    <cellStyle name="40% - Accent2 236" xfId="3131"/>
    <cellStyle name="40% - Accent2 237" xfId="3141"/>
    <cellStyle name="40% - Accent2 238" xfId="3166"/>
    <cellStyle name="40% - Accent2 239" xfId="3167"/>
    <cellStyle name="40% - Accent2 24" xfId="348"/>
    <cellStyle name="40% - Accent2 240" xfId="3186"/>
    <cellStyle name="40% - Accent2 241" xfId="3196"/>
    <cellStyle name="40% - Accent2 242" xfId="3218"/>
    <cellStyle name="40% - Accent2 243" xfId="3224"/>
    <cellStyle name="40% - Accent2 244" xfId="3248"/>
    <cellStyle name="40% - Accent2 245" xfId="3257"/>
    <cellStyle name="40% - Accent2 246" xfId="3270"/>
    <cellStyle name="40% - Accent2 247" xfId="3283"/>
    <cellStyle name="40% - Accent2 248" xfId="3296"/>
    <cellStyle name="40% - Accent2 249" xfId="3309"/>
    <cellStyle name="40% - Accent2 25" xfId="361"/>
    <cellStyle name="40% - Accent2 250" xfId="3322"/>
    <cellStyle name="40% - Accent2 251" xfId="3335"/>
    <cellStyle name="40% - Accent2 252" xfId="3347"/>
    <cellStyle name="40% - Accent2 253" xfId="3359"/>
    <cellStyle name="40% - Accent2 254" xfId="3369"/>
    <cellStyle name="40% - Accent2 255" xfId="3379"/>
    <cellStyle name="40% - Accent2 256" xfId="3398"/>
    <cellStyle name="40% - Accent2 26" xfId="374"/>
    <cellStyle name="40% - Accent2 27" xfId="387"/>
    <cellStyle name="40% - Accent2 28" xfId="401"/>
    <cellStyle name="40% - Accent2 29" xfId="414"/>
    <cellStyle name="40% - Accent2 3" xfId="75"/>
    <cellStyle name="40% - Accent2 30" xfId="428"/>
    <cellStyle name="40% - Accent2 31" xfId="440"/>
    <cellStyle name="40% - Accent2 32" xfId="452"/>
    <cellStyle name="40% - Accent2 33" xfId="463"/>
    <cellStyle name="40% - Accent2 34" xfId="483"/>
    <cellStyle name="40% - Accent2 35" xfId="492"/>
    <cellStyle name="40% - Accent2 36" xfId="505"/>
    <cellStyle name="40% - Accent2 37" xfId="518"/>
    <cellStyle name="40% - Accent2 38" xfId="531"/>
    <cellStyle name="40% - Accent2 39" xfId="544"/>
    <cellStyle name="40% - Accent2 4" xfId="88"/>
    <cellStyle name="40% - Accent2 40" xfId="557"/>
    <cellStyle name="40% - Accent2 41" xfId="570"/>
    <cellStyle name="40% - Accent2 42" xfId="583"/>
    <cellStyle name="40% - Accent2 43" xfId="596"/>
    <cellStyle name="40% - Accent2 44" xfId="609"/>
    <cellStyle name="40% - Accent2 45" xfId="622"/>
    <cellStyle name="40% - Accent2 46" xfId="635"/>
    <cellStyle name="40% - Accent2 47" xfId="648"/>
    <cellStyle name="40% - Accent2 48" xfId="661"/>
    <cellStyle name="40% - Accent2 49" xfId="674"/>
    <cellStyle name="40% - Accent2 5" xfId="101"/>
    <cellStyle name="40% - Accent2 50" xfId="687"/>
    <cellStyle name="40% - Accent2 51" xfId="700"/>
    <cellStyle name="40% - Accent2 52" xfId="713"/>
    <cellStyle name="40% - Accent2 53" xfId="726"/>
    <cellStyle name="40% - Accent2 54" xfId="739"/>
    <cellStyle name="40% - Accent2 55" xfId="752"/>
    <cellStyle name="40% - Accent2 56" xfId="765"/>
    <cellStyle name="40% - Accent2 57" xfId="778"/>
    <cellStyle name="40% - Accent2 58" xfId="791"/>
    <cellStyle name="40% - Accent2 59" xfId="804"/>
    <cellStyle name="40% - Accent2 6" xfId="114"/>
    <cellStyle name="40% - Accent2 60" xfId="817"/>
    <cellStyle name="40% - Accent2 61" xfId="830"/>
    <cellStyle name="40% - Accent2 62" xfId="843"/>
    <cellStyle name="40% - Accent2 63" xfId="856"/>
    <cellStyle name="40% - Accent2 64" xfId="869"/>
    <cellStyle name="40% - Accent2 65" xfId="882"/>
    <cellStyle name="40% - Accent2 66" xfId="895"/>
    <cellStyle name="40% - Accent2 67" xfId="908"/>
    <cellStyle name="40% - Accent2 68" xfId="921"/>
    <cellStyle name="40% - Accent2 69" xfId="934"/>
    <cellStyle name="40% - Accent2 7" xfId="127"/>
    <cellStyle name="40% - Accent2 70" xfId="947"/>
    <cellStyle name="40% - Accent2 71" xfId="961"/>
    <cellStyle name="40% - Accent2 72" xfId="975"/>
    <cellStyle name="40% - Accent2 73" xfId="988"/>
    <cellStyle name="40% - Accent2 74" xfId="1001"/>
    <cellStyle name="40% - Accent2 75" xfId="1015"/>
    <cellStyle name="40% - Accent2 76" xfId="1029"/>
    <cellStyle name="40% - Accent2 77" xfId="1042"/>
    <cellStyle name="40% - Accent2 78" xfId="1055"/>
    <cellStyle name="40% - Accent2 79" xfId="1067"/>
    <cellStyle name="40% - Accent2 8" xfId="140"/>
    <cellStyle name="40% - Accent2 80" xfId="1080"/>
    <cellStyle name="40% - Accent2 81" xfId="1091"/>
    <cellStyle name="40% - Accent2 82" xfId="1112"/>
    <cellStyle name="40% - Accent2 83" xfId="1130"/>
    <cellStyle name="40% - Accent2 84" xfId="1139"/>
    <cellStyle name="40% - Accent2 85" xfId="1153"/>
    <cellStyle name="40% - Accent2 86" xfId="1167"/>
    <cellStyle name="40% - Accent2 87" xfId="1181"/>
    <cellStyle name="40% - Accent2 88" xfId="1194"/>
    <cellStyle name="40% - Accent2 89" xfId="1207"/>
    <cellStyle name="40% - Accent2 9" xfId="153"/>
    <cellStyle name="40% - Accent2 90" xfId="1220"/>
    <cellStyle name="40% - Accent2 91" xfId="1233"/>
    <cellStyle name="40% - Accent2 92" xfId="1246"/>
    <cellStyle name="40% - Accent2 93" xfId="1259"/>
    <cellStyle name="40% - Accent2 94" xfId="1272"/>
    <cellStyle name="40% - Accent2 95" xfId="1285"/>
    <cellStyle name="40% - Accent2 96" xfId="1298"/>
    <cellStyle name="40% - Accent2 97" xfId="1311"/>
    <cellStyle name="40% - Accent2 98" xfId="1324"/>
    <cellStyle name="40% - Accent2 99" xfId="1337"/>
    <cellStyle name="40% - Accent3" xfId="9" builtinId="39" customBuiltin="1"/>
    <cellStyle name="40% - Accent3 10" xfId="174"/>
    <cellStyle name="40% - Accent3 100" xfId="1358"/>
    <cellStyle name="40% - Accent3 101" xfId="1371"/>
    <cellStyle name="40% - Accent3 102" xfId="1384"/>
    <cellStyle name="40% - Accent3 103" xfId="1396"/>
    <cellStyle name="40% - Accent3 104" xfId="1408"/>
    <cellStyle name="40% - Accent3 105" xfId="1418"/>
    <cellStyle name="40% - Accent3 106" xfId="1427"/>
    <cellStyle name="40% - Accent3 107" xfId="1444"/>
    <cellStyle name="40% - Accent3 108" xfId="1460"/>
    <cellStyle name="40% - Accent3 109" xfId="1476"/>
    <cellStyle name="40% - Accent3 11" xfId="187"/>
    <cellStyle name="40% - Accent3 110" xfId="1489"/>
    <cellStyle name="40% - Accent3 111" xfId="1502"/>
    <cellStyle name="40% - Accent3 112" xfId="1515"/>
    <cellStyle name="40% - Accent3 113" xfId="1528"/>
    <cellStyle name="40% - Accent3 114" xfId="1541"/>
    <cellStyle name="40% - Accent3 115" xfId="1553"/>
    <cellStyle name="40% - Accent3 116" xfId="1565"/>
    <cellStyle name="40% - Accent3 117" xfId="1578"/>
    <cellStyle name="40% - Accent3 118" xfId="1589"/>
    <cellStyle name="40% - Accent3 119" xfId="1604"/>
    <cellStyle name="40% - Accent3 12" xfId="200"/>
    <cellStyle name="40% - Accent3 120" xfId="1621"/>
    <cellStyle name="40% - Accent3 121" xfId="1634"/>
    <cellStyle name="40% - Accent3 122" xfId="1647"/>
    <cellStyle name="40% - Accent3 123" xfId="1660"/>
    <cellStyle name="40% - Accent3 124" xfId="1673"/>
    <cellStyle name="40% - Accent3 125" xfId="1686"/>
    <cellStyle name="40% - Accent3 126" xfId="1699"/>
    <cellStyle name="40% - Accent3 127" xfId="1712"/>
    <cellStyle name="40% - Accent3 128" xfId="1725"/>
    <cellStyle name="40% - Accent3 129" xfId="1738"/>
    <cellStyle name="40% - Accent3 13" xfId="213"/>
    <cellStyle name="40% - Accent3 130" xfId="1751"/>
    <cellStyle name="40% - Accent3 131" xfId="1764"/>
    <cellStyle name="40% - Accent3 132" xfId="1777"/>
    <cellStyle name="40% - Accent3 133" xfId="1790"/>
    <cellStyle name="40% - Accent3 134" xfId="1803"/>
    <cellStyle name="40% - Accent3 135" xfId="1816"/>
    <cellStyle name="40% - Accent3 136" xfId="1829"/>
    <cellStyle name="40% - Accent3 137" xfId="1842"/>
    <cellStyle name="40% - Accent3 138" xfId="1855"/>
    <cellStyle name="40% - Accent3 139" xfId="1868"/>
    <cellStyle name="40% - Accent3 14" xfId="226"/>
    <cellStyle name="40% - Accent3 140" xfId="1881"/>
    <cellStyle name="40% - Accent3 141" xfId="1894"/>
    <cellStyle name="40% - Accent3 142" xfId="1907"/>
    <cellStyle name="40% - Accent3 143" xfId="1920"/>
    <cellStyle name="40% - Accent3 144" xfId="1933"/>
    <cellStyle name="40% - Accent3 145" xfId="1946"/>
    <cellStyle name="40% - Accent3 146" xfId="1959"/>
    <cellStyle name="40% - Accent3 147" xfId="1972"/>
    <cellStyle name="40% - Accent3 148" xfId="1985"/>
    <cellStyle name="40% - Accent3 149" xfId="1998"/>
    <cellStyle name="40% - Accent3 15" xfId="239"/>
    <cellStyle name="40% - Accent3 150" xfId="2011"/>
    <cellStyle name="40% - Accent3 151" xfId="2024"/>
    <cellStyle name="40% - Accent3 152" xfId="2037"/>
    <cellStyle name="40% - Accent3 153" xfId="2050"/>
    <cellStyle name="40% - Accent3 154" xfId="2063"/>
    <cellStyle name="40% - Accent3 155" xfId="2076"/>
    <cellStyle name="40% - Accent3 156" xfId="2089"/>
    <cellStyle name="40% - Accent3 157" xfId="2102"/>
    <cellStyle name="40% - Accent3 158" xfId="2116"/>
    <cellStyle name="40% - Accent3 159" xfId="2129"/>
    <cellStyle name="40% - Accent3 16" xfId="252"/>
    <cellStyle name="40% - Accent3 160" xfId="2143"/>
    <cellStyle name="40% - Accent3 161" xfId="2157"/>
    <cellStyle name="40% - Accent3 162" xfId="2169"/>
    <cellStyle name="40% - Accent3 163" xfId="2181"/>
    <cellStyle name="40% - Accent3 164" xfId="2193"/>
    <cellStyle name="40% - Accent3 165" xfId="2205"/>
    <cellStyle name="40% - Accent3 166" xfId="2219"/>
    <cellStyle name="40% - Accent3 167" xfId="2232"/>
    <cellStyle name="40% - Accent3 168" xfId="2245"/>
    <cellStyle name="40% - Accent3 169" xfId="2258"/>
    <cellStyle name="40% - Accent3 17" xfId="265"/>
    <cellStyle name="40% - Accent3 170" xfId="2271"/>
    <cellStyle name="40% - Accent3 171" xfId="2284"/>
    <cellStyle name="40% - Accent3 172" xfId="2298"/>
    <cellStyle name="40% - Accent3 173" xfId="2311"/>
    <cellStyle name="40% - Accent3 174" xfId="2323"/>
    <cellStyle name="40% - Accent3 175" xfId="2335"/>
    <cellStyle name="40% - Accent3 176" xfId="2347"/>
    <cellStyle name="40% - Accent3 177" xfId="2359"/>
    <cellStyle name="40% - Accent3 178" xfId="2373"/>
    <cellStyle name="40% - Accent3 179" xfId="2386"/>
    <cellStyle name="40% - Accent3 18" xfId="278"/>
    <cellStyle name="40% - Accent3 180" xfId="2399"/>
    <cellStyle name="40% - Accent3 181" xfId="2412"/>
    <cellStyle name="40% - Accent3 182" xfId="2425"/>
    <cellStyle name="40% - Accent3 183" xfId="2438"/>
    <cellStyle name="40% - Accent3 184" xfId="2451"/>
    <cellStyle name="40% - Accent3 185" xfId="2464"/>
    <cellStyle name="40% - Accent3 186" xfId="2477"/>
    <cellStyle name="40% - Accent3 187" xfId="2490"/>
    <cellStyle name="40% - Accent3 188" xfId="2503"/>
    <cellStyle name="40% - Accent3 189" xfId="2516"/>
    <cellStyle name="40% - Accent3 19" xfId="291"/>
    <cellStyle name="40% - Accent3 190" xfId="2529"/>
    <cellStyle name="40% - Accent3 191" xfId="2542"/>
    <cellStyle name="40% - Accent3 192" xfId="2555"/>
    <cellStyle name="40% - Accent3 193" xfId="2568"/>
    <cellStyle name="40% - Accent3 194" xfId="2581"/>
    <cellStyle name="40% - Accent3 195" xfId="2593"/>
    <cellStyle name="40% - Accent3 196" xfId="2605"/>
    <cellStyle name="40% - Accent3 197" xfId="2615"/>
    <cellStyle name="40% - Accent3 198" xfId="2624"/>
    <cellStyle name="40% - Accent3 199" xfId="2656"/>
    <cellStyle name="40% - Accent3 2" xfId="70"/>
    <cellStyle name="40% - Accent3 20" xfId="304"/>
    <cellStyle name="40% - Accent3 200" xfId="2670"/>
    <cellStyle name="40% - Accent3 201" xfId="2684"/>
    <cellStyle name="40% - Accent3 202" xfId="2697"/>
    <cellStyle name="40% - Accent3 203" xfId="2710"/>
    <cellStyle name="40% - Accent3 204" xfId="2723"/>
    <cellStyle name="40% - Accent3 205" xfId="2736"/>
    <cellStyle name="40% - Accent3 206" xfId="2749"/>
    <cellStyle name="40% - Accent3 207" xfId="2761"/>
    <cellStyle name="40% - Accent3 208" xfId="2773"/>
    <cellStyle name="40% - Accent3 209" xfId="2783"/>
    <cellStyle name="40% - Accent3 21" xfId="317"/>
    <cellStyle name="40% - Accent3 210" xfId="2792"/>
    <cellStyle name="40% - Accent3 211" xfId="2812"/>
    <cellStyle name="40% - Accent3 212" xfId="2825"/>
    <cellStyle name="40% - Accent3 213" xfId="2838"/>
    <cellStyle name="40% - Accent3 214" xfId="2850"/>
    <cellStyle name="40% - Accent3 215" xfId="2862"/>
    <cellStyle name="40% - Accent3 216" xfId="2883"/>
    <cellStyle name="40% - Accent3 217" xfId="2896"/>
    <cellStyle name="40% - Accent3 218" xfId="2909"/>
    <cellStyle name="40% - Accent3 219" xfId="2922"/>
    <cellStyle name="40% - Accent3 22" xfId="330"/>
    <cellStyle name="40% - Accent3 220" xfId="2935"/>
    <cellStyle name="40% - Accent3 221" xfId="2948"/>
    <cellStyle name="40% - Accent3 222" xfId="2961"/>
    <cellStyle name="40% - Accent3 223" xfId="2974"/>
    <cellStyle name="40% - Accent3 224" xfId="2987"/>
    <cellStyle name="40% - Accent3 225" xfId="3000"/>
    <cellStyle name="40% - Accent3 226" xfId="3013"/>
    <cellStyle name="40% - Accent3 227" xfId="3026"/>
    <cellStyle name="40% - Accent3 228" xfId="3039"/>
    <cellStyle name="40% - Accent3 229" xfId="3052"/>
    <cellStyle name="40% - Accent3 23" xfId="343"/>
    <cellStyle name="40% - Accent3 230" xfId="3065"/>
    <cellStyle name="40% - Accent3 231" xfId="3078"/>
    <cellStyle name="40% - Accent3 232" xfId="3091"/>
    <cellStyle name="40% - Accent3 233" xfId="3104"/>
    <cellStyle name="40% - Accent3 234" xfId="3116"/>
    <cellStyle name="40% - Accent3 235" xfId="3128"/>
    <cellStyle name="40% - Accent3 236" xfId="3138"/>
    <cellStyle name="40% - Accent3 237" xfId="3147"/>
    <cellStyle name="40% - Accent3 238" xfId="3169"/>
    <cellStyle name="40% - Accent3 239" xfId="3183"/>
    <cellStyle name="40% - Accent3 24" xfId="356"/>
    <cellStyle name="40% - Accent3 240" xfId="3193"/>
    <cellStyle name="40% - Accent3 241" xfId="3202"/>
    <cellStyle name="40% - Accent3 242" xfId="3221"/>
    <cellStyle name="40% - Accent3 243" xfId="3230"/>
    <cellStyle name="40% - Accent3 244" xfId="3252"/>
    <cellStyle name="40% - Accent3 245" xfId="3265"/>
    <cellStyle name="40% - Accent3 246" xfId="3278"/>
    <cellStyle name="40% - Accent3 247" xfId="3291"/>
    <cellStyle name="40% - Accent3 248" xfId="3304"/>
    <cellStyle name="40% - Accent3 249" xfId="3317"/>
    <cellStyle name="40% - Accent3 25" xfId="369"/>
    <cellStyle name="40% - Accent3 250" xfId="3330"/>
    <cellStyle name="40% - Accent3 251" xfId="3342"/>
    <cellStyle name="40% - Accent3 252" xfId="3354"/>
    <cellStyle name="40% - Accent3 253" xfId="3366"/>
    <cellStyle name="40% - Accent3 254" xfId="3376"/>
    <cellStyle name="40% - Accent3 255" xfId="3385"/>
    <cellStyle name="40% - Accent3 256" xfId="3400"/>
    <cellStyle name="40% - Accent3 26" xfId="382"/>
    <cellStyle name="40% - Accent3 27" xfId="396"/>
    <cellStyle name="40% - Accent3 28" xfId="409"/>
    <cellStyle name="40% - Accent3 29" xfId="423"/>
    <cellStyle name="40% - Accent3 3" xfId="83"/>
    <cellStyle name="40% - Accent3 30" xfId="435"/>
    <cellStyle name="40% - Accent3 31" xfId="447"/>
    <cellStyle name="40% - Accent3 32" xfId="459"/>
    <cellStyle name="40% - Accent3 33" xfId="470"/>
    <cellStyle name="40% - Accent3 34" xfId="487"/>
    <cellStyle name="40% - Accent3 35" xfId="500"/>
    <cellStyle name="40% - Accent3 36" xfId="513"/>
    <cellStyle name="40% - Accent3 37" xfId="526"/>
    <cellStyle name="40% - Accent3 38" xfId="539"/>
    <cellStyle name="40% - Accent3 39" xfId="552"/>
    <cellStyle name="40% - Accent3 4" xfId="96"/>
    <cellStyle name="40% - Accent3 40" xfId="565"/>
    <cellStyle name="40% - Accent3 41" xfId="578"/>
    <cellStyle name="40% - Accent3 42" xfId="591"/>
    <cellStyle name="40% - Accent3 43" xfId="604"/>
    <cellStyle name="40% - Accent3 44" xfId="617"/>
    <cellStyle name="40% - Accent3 45" xfId="630"/>
    <cellStyle name="40% - Accent3 46" xfId="643"/>
    <cellStyle name="40% - Accent3 47" xfId="656"/>
    <cellStyle name="40% - Accent3 48" xfId="669"/>
    <cellStyle name="40% - Accent3 49" xfId="682"/>
    <cellStyle name="40% - Accent3 5" xfId="109"/>
    <cellStyle name="40% - Accent3 50" xfId="695"/>
    <cellStyle name="40% - Accent3 51" xfId="708"/>
    <cellStyle name="40% - Accent3 52" xfId="721"/>
    <cellStyle name="40% - Accent3 53" xfId="734"/>
    <cellStyle name="40% - Accent3 54" xfId="747"/>
    <cellStyle name="40% - Accent3 55" xfId="760"/>
    <cellStyle name="40% - Accent3 56" xfId="773"/>
    <cellStyle name="40% - Accent3 57" xfId="786"/>
    <cellStyle name="40% - Accent3 58" xfId="799"/>
    <cellStyle name="40% - Accent3 59" xfId="812"/>
    <cellStyle name="40% - Accent3 6" xfId="122"/>
    <cellStyle name="40% - Accent3 60" xfId="825"/>
    <cellStyle name="40% - Accent3 61" xfId="838"/>
    <cellStyle name="40% - Accent3 62" xfId="851"/>
    <cellStyle name="40% - Accent3 63" xfId="864"/>
    <cellStyle name="40% - Accent3 64" xfId="877"/>
    <cellStyle name="40% - Accent3 65" xfId="890"/>
    <cellStyle name="40% - Accent3 66" xfId="903"/>
    <cellStyle name="40% - Accent3 67" xfId="916"/>
    <cellStyle name="40% - Accent3 68" xfId="929"/>
    <cellStyle name="40% - Accent3 69" xfId="942"/>
    <cellStyle name="40% - Accent3 7" xfId="135"/>
    <cellStyle name="40% - Accent3 70" xfId="956"/>
    <cellStyle name="40% - Accent3 71" xfId="970"/>
    <cellStyle name="40% - Accent3 72" xfId="983"/>
    <cellStyle name="40% - Accent3 73" xfId="996"/>
    <cellStyle name="40% - Accent3 74" xfId="1010"/>
    <cellStyle name="40% - Accent3 75" xfId="1024"/>
    <cellStyle name="40% - Accent3 76" xfId="1037"/>
    <cellStyle name="40% - Accent3 77" xfId="1050"/>
    <cellStyle name="40% - Accent3 78" xfId="1062"/>
    <cellStyle name="40% - Accent3 79" xfId="1076"/>
    <cellStyle name="40% - Accent3 8" xfId="148"/>
    <cellStyle name="40% - Accent3 80" xfId="1087"/>
    <cellStyle name="40% - Accent3 81" xfId="1099"/>
    <cellStyle name="40% - Accent3 82" xfId="1115"/>
    <cellStyle name="40% - Accent3 83" xfId="1134"/>
    <cellStyle name="40% - Accent3 84" xfId="1148"/>
    <cellStyle name="40% - Accent3 85" xfId="1162"/>
    <cellStyle name="40% - Accent3 86" xfId="1176"/>
    <cellStyle name="40% - Accent3 87" xfId="1189"/>
    <cellStyle name="40% - Accent3 88" xfId="1202"/>
    <cellStyle name="40% - Accent3 89" xfId="1215"/>
    <cellStyle name="40% - Accent3 9" xfId="161"/>
    <cellStyle name="40% - Accent3 90" xfId="1228"/>
    <cellStyle name="40% - Accent3 91" xfId="1241"/>
    <cellStyle name="40% - Accent3 92" xfId="1254"/>
    <cellStyle name="40% - Accent3 93" xfId="1267"/>
    <cellStyle name="40% - Accent3 94" xfId="1280"/>
    <cellStyle name="40% - Accent3 95" xfId="1293"/>
    <cellStyle name="40% - Accent3 96" xfId="1306"/>
    <cellStyle name="40% - Accent3 97" xfId="1319"/>
    <cellStyle name="40% - Accent3 98" xfId="1332"/>
    <cellStyle name="40% - Accent3 99" xfId="1345"/>
    <cellStyle name="40% - Accent4" xfId="10" builtinId="43" customBuiltin="1"/>
    <cellStyle name="40% - Accent4 10" xfId="178"/>
    <cellStyle name="40% - Accent4 100" xfId="1362"/>
    <cellStyle name="40% - Accent4 101" xfId="1375"/>
    <cellStyle name="40% - Accent4 102" xfId="1388"/>
    <cellStyle name="40% - Accent4 103" xfId="1400"/>
    <cellStyle name="40% - Accent4 104" xfId="1410"/>
    <cellStyle name="40% - Accent4 105" xfId="1420"/>
    <cellStyle name="40% - Accent4 106" xfId="1429"/>
    <cellStyle name="40% - Accent4 107" xfId="1446"/>
    <cellStyle name="40% - Accent4 108" xfId="1463"/>
    <cellStyle name="40% - Accent4 109" xfId="1480"/>
    <cellStyle name="40% - Accent4 11" xfId="191"/>
    <cellStyle name="40% - Accent4 110" xfId="1493"/>
    <cellStyle name="40% - Accent4 111" xfId="1506"/>
    <cellStyle name="40% - Accent4 112" xfId="1519"/>
    <cellStyle name="40% - Accent4 113" xfId="1532"/>
    <cellStyle name="40% - Accent4 114" xfId="1545"/>
    <cellStyle name="40% - Accent4 115" xfId="1557"/>
    <cellStyle name="40% - Accent4 116" xfId="1569"/>
    <cellStyle name="40% - Accent4 117" xfId="1582"/>
    <cellStyle name="40% - Accent4 118" xfId="1593"/>
    <cellStyle name="40% - Accent4 119" xfId="1608"/>
    <cellStyle name="40% - Accent4 12" xfId="204"/>
    <cellStyle name="40% - Accent4 120" xfId="1625"/>
    <cellStyle name="40% - Accent4 121" xfId="1638"/>
    <cellStyle name="40% - Accent4 122" xfId="1651"/>
    <cellStyle name="40% - Accent4 123" xfId="1664"/>
    <cellStyle name="40% - Accent4 124" xfId="1677"/>
    <cellStyle name="40% - Accent4 125" xfId="1690"/>
    <cellStyle name="40% - Accent4 126" xfId="1703"/>
    <cellStyle name="40% - Accent4 127" xfId="1716"/>
    <cellStyle name="40% - Accent4 128" xfId="1729"/>
    <cellStyle name="40% - Accent4 129" xfId="1742"/>
    <cellStyle name="40% - Accent4 13" xfId="217"/>
    <cellStyle name="40% - Accent4 130" xfId="1755"/>
    <cellStyle name="40% - Accent4 131" xfId="1768"/>
    <cellStyle name="40% - Accent4 132" xfId="1781"/>
    <cellStyle name="40% - Accent4 133" xfId="1794"/>
    <cellStyle name="40% - Accent4 134" xfId="1807"/>
    <cellStyle name="40% - Accent4 135" xfId="1820"/>
    <cellStyle name="40% - Accent4 136" xfId="1833"/>
    <cellStyle name="40% - Accent4 137" xfId="1846"/>
    <cellStyle name="40% - Accent4 138" xfId="1859"/>
    <cellStyle name="40% - Accent4 139" xfId="1872"/>
    <cellStyle name="40% - Accent4 14" xfId="230"/>
    <cellStyle name="40% - Accent4 140" xfId="1885"/>
    <cellStyle name="40% - Accent4 141" xfId="1898"/>
    <cellStyle name="40% - Accent4 142" xfId="1911"/>
    <cellStyle name="40% - Accent4 143" xfId="1924"/>
    <cellStyle name="40% - Accent4 144" xfId="1937"/>
    <cellStyle name="40% - Accent4 145" xfId="1950"/>
    <cellStyle name="40% - Accent4 146" xfId="1963"/>
    <cellStyle name="40% - Accent4 147" xfId="1976"/>
    <cellStyle name="40% - Accent4 148" xfId="1989"/>
    <cellStyle name="40% - Accent4 149" xfId="2002"/>
    <cellStyle name="40% - Accent4 15" xfId="243"/>
    <cellStyle name="40% - Accent4 150" xfId="2015"/>
    <cellStyle name="40% - Accent4 151" xfId="2028"/>
    <cellStyle name="40% - Accent4 152" xfId="2041"/>
    <cellStyle name="40% - Accent4 153" xfId="2054"/>
    <cellStyle name="40% - Accent4 154" xfId="2067"/>
    <cellStyle name="40% - Accent4 155" xfId="2080"/>
    <cellStyle name="40% - Accent4 156" xfId="2093"/>
    <cellStyle name="40% - Accent4 157" xfId="2106"/>
    <cellStyle name="40% - Accent4 158" xfId="2120"/>
    <cellStyle name="40% - Accent4 159" xfId="2133"/>
    <cellStyle name="40% - Accent4 16" xfId="256"/>
    <cellStyle name="40% - Accent4 160" xfId="2147"/>
    <cellStyle name="40% - Accent4 161" xfId="2161"/>
    <cellStyle name="40% - Accent4 162" xfId="2173"/>
    <cellStyle name="40% - Accent4 163" xfId="2185"/>
    <cellStyle name="40% - Accent4 164" xfId="2197"/>
    <cellStyle name="40% - Accent4 165" xfId="2208"/>
    <cellStyle name="40% - Accent4 166" xfId="2223"/>
    <cellStyle name="40% - Accent4 167" xfId="2236"/>
    <cellStyle name="40% - Accent4 168" xfId="2249"/>
    <cellStyle name="40% - Accent4 169" xfId="2262"/>
    <cellStyle name="40% - Accent4 17" xfId="269"/>
    <cellStyle name="40% - Accent4 170" xfId="2275"/>
    <cellStyle name="40% - Accent4 171" xfId="2288"/>
    <cellStyle name="40% - Accent4 172" xfId="2302"/>
    <cellStyle name="40% - Accent4 173" xfId="2315"/>
    <cellStyle name="40% - Accent4 174" xfId="2327"/>
    <cellStyle name="40% - Accent4 175" xfId="2339"/>
    <cellStyle name="40% - Accent4 176" xfId="2351"/>
    <cellStyle name="40% - Accent4 177" xfId="2362"/>
    <cellStyle name="40% - Accent4 178" xfId="2377"/>
    <cellStyle name="40% - Accent4 179" xfId="2390"/>
    <cellStyle name="40% - Accent4 18" xfId="282"/>
    <cellStyle name="40% - Accent4 180" xfId="2403"/>
    <cellStyle name="40% - Accent4 181" xfId="2416"/>
    <cellStyle name="40% - Accent4 182" xfId="2429"/>
    <cellStyle name="40% - Accent4 183" xfId="2442"/>
    <cellStyle name="40% - Accent4 184" xfId="2455"/>
    <cellStyle name="40% - Accent4 185" xfId="2468"/>
    <cellStyle name="40% - Accent4 186" xfId="2481"/>
    <cellStyle name="40% - Accent4 187" xfId="2494"/>
    <cellStyle name="40% - Accent4 188" xfId="2507"/>
    <cellStyle name="40% - Accent4 189" xfId="2520"/>
    <cellStyle name="40% - Accent4 19" xfId="295"/>
    <cellStyle name="40% - Accent4 190" xfId="2533"/>
    <cellStyle name="40% - Accent4 191" xfId="2546"/>
    <cellStyle name="40% - Accent4 192" xfId="2559"/>
    <cellStyle name="40% - Accent4 193" xfId="2572"/>
    <cellStyle name="40% - Accent4 194" xfId="2585"/>
    <cellStyle name="40% - Accent4 195" xfId="2597"/>
    <cellStyle name="40% - Accent4 196" xfId="2607"/>
    <cellStyle name="40% - Accent4 197" xfId="2617"/>
    <cellStyle name="40% - Accent4 198" xfId="2626"/>
    <cellStyle name="40% - Accent4 199" xfId="2660"/>
    <cellStyle name="40% - Accent4 2" xfId="74"/>
    <cellStyle name="40% - Accent4 20" xfId="308"/>
    <cellStyle name="40% - Accent4 200" xfId="2674"/>
    <cellStyle name="40% - Accent4 201" xfId="2688"/>
    <cellStyle name="40% - Accent4 202" xfId="2701"/>
    <cellStyle name="40% - Accent4 203" xfId="2714"/>
    <cellStyle name="40% - Accent4 204" xfId="2727"/>
    <cellStyle name="40% - Accent4 205" xfId="2740"/>
    <cellStyle name="40% - Accent4 206" xfId="2753"/>
    <cellStyle name="40% - Accent4 207" xfId="2765"/>
    <cellStyle name="40% - Accent4 208" xfId="2775"/>
    <cellStyle name="40% - Accent4 209" xfId="2785"/>
    <cellStyle name="40% - Accent4 21" xfId="321"/>
    <cellStyle name="40% - Accent4 210" xfId="2794"/>
    <cellStyle name="40% - Accent4 211" xfId="2815"/>
    <cellStyle name="40% - Accent4 212" xfId="2828"/>
    <cellStyle name="40% - Accent4 213" xfId="2840"/>
    <cellStyle name="40% - Accent4 214" xfId="2853"/>
    <cellStyle name="40% - Accent4 215" xfId="2865"/>
    <cellStyle name="40% - Accent4 216" xfId="2887"/>
    <cellStyle name="40% - Accent4 217" xfId="2900"/>
    <cellStyle name="40% - Accent4 218" xfId="2913"/>
    <cellStyle name="40% - Accent4 219" xfId="2926"/>
    <cellStyle name="40% - Accent4 22" xfId="334"/>
    <cellStyle name="40% - Accent4 220" xfId="2939"/>
    <cellStyle name="40% - Accent4 221" xfId="2952"/>
    <cellStyle name="40% - Accent4 222" xfId="2965"/>
    <cellStyle name="40% - Accent4 223" xfId="2978"/>
    <cellStyle name="40% - Accent4 224" xfId="2991"/>
    <cellStyle name="40% - Accent4 225" xfId="3004"/>
    <cellStyle name="40% - Accent4 226" xfId="3017"/>
    <cellStyle name="40% - Accent4 227" xfId="3030"/>
    <cellStyle name="40% - Accent4 228" xfId="3043"/>
    <cellStyle name="40% - Accent4 229" xfId="3056"/>
    <cellStyle name="40% - Accent4 23" xfId="347"/>
    <cellStyle name="40% - Accent4 230" xfId="3069"/>
    <cellStyle name="40% - Accent4 231" xfId="3082"/>
    <cellStyle name="40% - Accent4 232" xfId="3095"/>
    <cellStyle name="40% - Accent4 233" xfId="3108"/>
    <cellStyle name="40% - Accent4 234" xfId="3120"/>
    <cellStyle name="40% - Accent4 235" xfId="3130"/>
    <cellStyle name="40% - Accent4 236" xfId="3140"/>
    <cellStyle name="40% - Accent4 237" xfId="3149"/>
    <cellStyle name="40% - Accent4 238" xfId="3172"/>
    <cellStyle name="40% - Accent4 239" xfId="3185"/>
    <cellStyle name="40% - Accent4 24" xfId="360"/>
    <cellStyle name="40% - Accent4 240" xfId="3195"/>
    <cellStyle name="40% - Accent4 241" xfId="3204"/>
    <cellStyle name="40% - Accent4 242" xfId="3223"/>
    <cellStyle name="40% - Accent4 243" xfId="3232"/>
    <cellStyle name="40% - Accent4 244" xfId="3256"/>
    <cellStyle name="40% - Accent4 245" xfId="3269"/>
    <cellStyle name="40% - Accent4 246" xfId="3282"/>
    <cellStyle name="40% - Accent4 247" xfId="3295"/>
    <cellStyle name="40% - Accent4 248" xfId="3308"/>
    <cellStyle name="40% - Accent4 249" xfId="3321"/>
    <cellStyle name="40% - Accent4 25" xfId="373"/>
    <cellStyle name="40% - Accent4 250" xfId="3334"/>
    <cellStyle name="40% - Accent4 251" xfId="3346"/>
    <cellStyle name="40% - Accent4 252" xfId="3358"/>
    <cellStyle name="40% - Accent4 253" xfId="3368"/>
    <cellStyle name="40% - Accent4 254" xfId="3378"/>
    <cellStyle name="40% - Accent4 255" xfId="3387"/>
    <cellStyle name="40% - Accent4 256" xfId="3402"/>
    <cellStyle name="40% - Accent4 26" xfId="386"/>
    <cellStyle name="40% - Accent4 27" xfId="400"/>
    <cellStyle name="40% - Accent4 28" xfId="413"/>
    <cellStyle name="40% - Accent4 29" xfId="427"/>
    <cellStyle name="40% - Accent4 3" xfId="87"/>
    <cellStyle name="40% - Accent4 30" xfId="439"/>
    <cellStyle name="40% - Accent4 31" xfId="451"/>
    <cellStyle name="40% - Accent4 32" xfId="462"/>
    <cellStyle name="40% - Accent4 33" xfId="473"/>
    <cellStyle name="40% - Accent4 34" xfId="491"/>
    <cellStyle name="40% - Accent4 35" xfId="504"/>
    <cellStyle name="40% - Accent4 36" xfId="517"/>
    <cellStyle name="40% - Accent4 37" xfId="530"/>
    <cellStyle name="40% - Accent4 38" xfId="543"/>
    <cellStyle name="40% - Accent4 39" xfId="556"/>
    <cellStyle name="40% - Accent4 4" xfId="100"/>
    <cellStyle name="40% - Accent4 40" xfId="569"/>
    <cellStyle name="40% - Accent4 41" xfId="582"/>
    <cellStyle name="40% - Accent4 42" xfId="595"/>
    <cellStyle name="40% - Accent4 43" xfId="608"/>
    <cellStyle name="40% - Accent4 44" xfId="621"/>
    <cellStyle name="40% - Accent4 45" xfId="634"/>
    <cellStyle name="40% - Accent4 46" xfId="647"/>
    <cellStyle name="40% - Accent4 47" xfId="660"/>
    <cellStyle name="40% - Accent4 48" xfId="673"/>
    <cellStyle name="40% - Accent4 49" xfId="686"/>
    <cellStyle name="40% - Accent4 5" xfId="113"/>
    <cellStyle name="40% - Accent4 50" xfId="699"/>
    <cellStyle name="40% - Accent4 51" xfId="712"/>
    <cellStyle name="40% - Accent4 52" xfId="725"/>
    <cellStyle name="40% - Accent4 53" xfId="738"/>
    <cellStyle name="40% - Accent4 54" xfId="751"/>
    <cellStyle name="40% - Accent4 55" xfId="764"/>
    <cellStyle name="40% - Accent4 56" xfId="777"/>
    <cellStyle name="40% - Accent4 57" xfId="790"/>
    <cellStyle name="40% - Accent4 58" xfId="803"/>
    <cellStyle name="40% - Accent4 59" xfId="816"/>
    <cellStyle name="40% - Accent4 6" xfId="126"/>
    <cellStyle name="40% - Accent4 60" xfId="829"/>
    <cellStyle name="40% - Accent4 61" xfId="842"/>
    <cellStyle name="40% - Accent4 62" xfId="855"/>
    <cellStyle name="40% - Accent4 63" xfId="868"/>
    <cellStyle name="40% - Accent4 64" xfId="881"/>
    <cellStyle name="40% - Accent4 65" xfId="894"/>
    <cellStyle name="40% - Accent4 66" xfId="907"/>
    <cellStyle name="40% - Accent4 67" xfId="920"/>
    <cellStyle name="40% - Accent4 68" xfId="933"/>
    <cellStyle name="40% - Accent4 69" xfId="946"/>
    <cellStyle name="40% - Accent4 7" xfId="139"/>
    <cellStyle name="40% - Accent4 70" xfId="960"/>
    <cellStyle name="40% - Accent4 71" xfId="974"/>
    <cellStyle name="40% - Accent4 72" xfId="987"/>
    <cellStyle name="40% - Accent4 73" xfId="1000"/>
    <cellStyle name="40% - Accent4 74" xfId="1014"/>
    <cellStyle name="40% - Accent4 75" xfId="1028"/>
    <cellStyle name="40% - Accent4 76" xfId="1041"/>
    <cellStyle name="40% - Accent4 77" xfId="1054"/>
    <cellStyle name="40% - Accent4 78" xfId="1066"/>
    <cellStyle name="40% - Accent4 79" xfId="1079"/>
    <cellStyle name="40% - Accent4 8" xfId="152"/>
    <cellStyle name="40% - Accent4 80" xfId="1090"/>
    <cellStyle name="40% - Accent4 81" xfId="1102"/>
    <cellStyle name="40% - Accent4 82" xfId="1119"/>
    <cellStyle name="40% - Accent4 83" xfId="1138"/>
    <cellStyle name="40% - Accent4 84" xfId="1152"/>
    <cellStyle name="40% - Accent4 85" xfId="1166"/>
    <cellStyle name="40% - Accent4 86" xfId="1180"/>
    <cellStyle name="40% - Accent4 87" xfId="1193"/>
    <cellStyle name="40% - Accent4 88" xfId="1206"/>
    <cellStyle name="40% - Accent4 89" xfId="1219"/>
    <cellStyle name="40% - Accent4 9" xfId="165"/>
    <cellStyle name="40% - Accent4 90" xfId="1232"/>
    <cellStyle name="40% - Accent4 91" xfId="1245"/>
    <cellStyle name="40% - Accent4 92" xfId="1258"/>
    <cellStyle name="40% - Accent4 93" xfId="1271"/>
    <cellStyle name="40% - Accent4 94" xfId="1284"/>
    <cellStyle name="40% - Accent4 95" xfId="1297"/>
    <cellStyle name="40% - Accent4 96" xfId="1310"/>
    <cellStyle name="40% - Accent4 97" xfId="1323"/>
    <cellStyle name="40% - Accent4 98" xfId="1336"/>
    <cellStyle name="40% - Accent4 99" xfId="1349"/>
    <cellStyle name="40% - Accent5" xfId="11" builtinId="47" customBuiltin="1"/>
    <cellStyle name="40% - Accent5 10" xfId="181"/>
    <cellStyle name="40% - Accent5 100" xfId="1365"/>
    <cellStyle name="40% - Accent5 101" xfId="1378"/>
    <cellStyle name="40% - Accent5 102" xfId="1391"/>
    <cellStyle name="40% - Accent5 103" xfId="1403"/>
    <cellStyle name="40% - Accent5 104" xfId="1413"/>
    <cellStyle name="40% - Accent5 105" xfId="1423"/>
    <cellStyle name="40% - Accent5 106" xfId="1431"/>
    <cellStyle name="40% - Accent5 107" xfId="1448"/>
    <cellStyle name="40% - Accent5 108" xfId="1466"/>
    <cellStyle name="40% - Accent5 109" xfId="1483"/>
    <cellStyle name="40% - Accent5 11" xfId="194"/>
    <cellStyle name="40% - Accent5 110" xfId="1496"/>
    <cellStyle name="40% - Accent5 111" xfId="1509"/>
    <cellStyle name="40% - Accent5 112" xfId="1522"/>
    <cellStyle name="40% - Accent5 113" xfId="1535"/>
    <cellStyle name="40% - Accent5 114" xfId="1548"/>
    <cellStyle name="40% - Accent5 115" xfId="1560"/>
    <cellStyle name="40% - Accent5 116" xfId="1572"/>
    <cellStyle name="40% - Accent5 117" xfId="1585"/>
    <cellStyle name="40% - Accent5 118" xfId="1596"/>
    <cellStyle name="40% - Accent5 119" xfId="1612"/>
    <cellStyle name="40% - Accent5 12" xfId="207"/>
    <cellStyle name="40% - Accent5 120" xfId="1628"/>
    <cellStyle name="40% - Accent5 121" xfId="1641"/>
    <cellStyle name="40% - Accent5 122" xfId="1654"/>
    <cellStyle name="40% - Accent5 123" xfId="1667"/>
    <cellStyle name="40% - Accent5 124" xfId="1680"/>
    <cellStyle name="40% - Accent5 125" xfId="1693"/>
    <cellStyle name="40% - Accent5 126" xfId="1706"/>
    <cellStyle name="40% - Accent5 127" xfId="1719"/>
    <cellStyle name="40% - Accent5 128" xfId="1732"/>
    <cellStyle name="40% - Accent5 129" xfId="1745"/>
    <cellStyle name="40% - Accent5 13" xfId="220"/>
    <cellStyle name="40% - Accent5 130" xfId="1758"/>
    <cellStyle name="40% - Accent5 131" xfId="1771"/>
    <cellStyle name="40% - Accent5 132" xfId="1784"/>
    <cellStyle name="40% - Accent5 133" xfId="1797"/>
    <cellStyle name="40% - Accent5 134" xfId="1810"/>
    <cellStyle name="40% - Accent5 135" xfId="1823"/>
    <cellStyle name="40% - Accent5 136" xfId="1836"/>
    <cellStyle name="40% - Accent5 137" xfId="1849"/>
    <cellStyle name="40% - Accent5 138" xfId="1862"/>
    <cellStyle name="40% - Accent5 139" xfId="1875"/>
    <cellStyle name="40% - Accent5 14" xfId="233"/>
    <cellStyle name="40% - Accent5 140" xfId="1888"/>
    <cellStyle name="40% - Accent5 141" xfId="1901"/>
    <cellStyle name="40% - Accent5 142" xfId="1914"/>
    <cellStyle name="40% - Accent5 143" xfId="1927"/>
    <cellStyle name="40% - Accent5 144" xfId="1940"/>
    <cellStyle name="40% - Accent5 145" xfId="1953"/>
    <cellStyle name="40% - Accent5 146" xfId="1966"/>
    <cellStyle name="40% - Accent5 147" xfId="1979"/>
    <cellStyle name="40% - Accent5 148" xfId="1992"/>
    <cellStyle name="40% - Accent5 149" xfId="2005"/>
    <cellStyle name="40% - Accent5 15" xfId="246"/>
    <cellStyle name="40% - Accent5 150" xfId="2018"/>
    <cellStyle name="40% - Accent5 151" xfId="2031"/>
    <cellStyle name="40% - Accent5 152" xfId="2044"/>
    <cellStyle name="40% - Accent5 153" xfId="2057"/>
    <cellStyle name="40% - Accent5 154" xfId="2070"/>
    <cellStyle name="40% - Accent5 155" xfId="2083"/>
    <cellStyle name="40% - Accent5 156" xfId="2096"/>
    <cellStyle name="40% - Accent5 157" xfId="2110"/>
    <cellStyle name="40% - Accent5 158" xfId="2123"/>
    <cellStyle name="40% - Accent5 159" xfId="2137"/>
    <cellStyle name="40% - Accent5 16" xfId="259"/>
    <cellStyle name="40% - Accent5 160" xfId="2151"/>
    <cellStyle name="40% - Accent5 161" xfId="2164"/>
    <cellStyle name="40% - Accent5 162" xfId="2176"/>
    <cellStyle name="40% - Accent5 163" xfId="2188"/>
    <cellStyle name="40% - Accent5 164" xfId="2200"/>
    <cellStyle name="40% - Accent5 165" xfId="2212"/>
    <cellStyle name="40% - Accent5 166" xfId="2226"/>
    <cellStyle name="40% - Accent5 167" xfId="2239"/>
    <cellStyle name="40% - Accent5 168" xfId="2252"/>
    <cellStyle name="40% - Accent5 169" xfId="2265"/>
    <cellStyle name="40% - Accent5 17" xfId="272"/>
    <cellStyle name="40% - Accent5 170" xfId="2278"/>
    <cellStyle name="40% - Accent5 171" xfId="2292"/>
    <cellStyle name="40% - Accent5 172" xfId="2305"/>
    <cellStyle name="40% - Accent5 173" xfId="2318"/>
    <cellStyle name="40% - Accent5 174" xfId="2330"/>
    <cellStyle name="40% - Accent5 175" xfId="2342"/>
    <cellStyle name="40% - Accent5 176" xfId="2354"/>
    <cellStyle name="40% - Accent5 177" xfId="2366"/>
    <cellStyle name="40% - Accent5 178" xfId="2380"/>
    <cellStyle name="40% - Accent5 179" xfId="2393"/>
    <cellStyle name="40% - Accent5 18" xfId="285"/>
    <cellStyle name="40% - Accent5 180" xfId="2406"/>
    <cellStyle name="40% - Accent5 181" xfId="2419"/>
    <cellStyle name="40% - Accent5 182" xfId="2432"/>
    <cellStyle name="40% - Accent5 183" xfId="2445"/>
    <cellStyle name="40% - Accent5 184" xfId="2458"/>
    <cellStyle name="40% - Accent5 185" xfId="2471"/>
    <cellStyle name="40% - Accent5 186" xfId="2484"/>
    <cellStyle name="40% - Accent5 187" xfId="2497"/>
    <cellStyle name="40% - Accent5 188" xfId="2510"/>
    <cellStyle name="40% - Accent5 189" xfId="2523"/>
    <cellStyle name="40% - Accent5 19" xfId="298"/>
    <cellStyle name="40% - Accent5 190" xfId="2536"/>
    <cellStyle name="40% - Accent5 191" xfId="2549"/>
    <cellStyle name="40% - Accent5 192" xfId="2562"/>
    <cellStyle name="40% - Accent5 193" xfId="2575"/>
    <cellStyle name="40% - Accent5 194" xfId="2588"/>
    <cellStyle name="40% - Accent5 195" xfId="2600"/>
    <cellStyle name="40% - Accent5 196" xfId="2610"/>
    <cellStyle name="40% - Accent5 197" xfId="2620"/>
    <cellStyle name="40% - Accent5 198" xfId="2628"/>
    <cellStyle name="40% - Accent5 199" xfId="2664"/>
    <cellStyle name="40% - Accent5 2" xfId="77"/>
    <cellStyle name="40% - Accent5 20" xfId="311"/>
    <cellStyle name="40% - Accent5 200" xfId="2678"/>
    <cellStyle name="40% - Accent5 201" xfId="2691"/>
    <cellStyle name="40% - Accent5 202" xfId="2704"/>
    <cellStyle name="40% - Accent5 203" xfId="2717"/>
    <cellStyle name="40% - Accent5 204" xfId="2730"/>
    <cellStyle name="40% - Accent5 205" xfId="2743"/>
    <cellStyle name="40% - Accent5 206" xfId="2756"/>
    <cellStyle name="40% - Accent5 207" xfId="2768"/>
    <cellStyle name="40% - Accent5 208" xfId="2778"/>
    <cellStyle name="40% - Accent5 209" xfId="2788"/>
    <cellStyle name="40% - Accent5 21" xfId="324"/>
    <cellStyle name="40% - Accent5 210" xfId="2796"/>
    <cellStyle name="40% - Accent5 211" xfId="2818"/>
    <cellStyle name="40% - Accent5 212" xfId="2831"/>
    <cellStyle name="40% - Accent5 213" xfId="2843"/>
    <cellStyle name="40% - Accent5 214" xfId="2856"/>
    <cellStyle name="40% - Accent5 215" xfId="2867"/>
    <cellStyle name="40% - Accent5 216" xfId="2890"/>
    <cellStyle name="40% - Accent5 217" xfId="2903"/>
    <cellStyle name="40% - Accent5 218" xfId="2916"/>
    <cellStyle name="40% - Accent5 219" xfId="2929"/>
    <cellStyle name="40% - Accent5 22" xfId="337"/>
    <cellStyle name="40% - Accent5 220" xfId="2942"/>
    <cellStyle name="40% - Accent5 221" xfId="2955"/>
    <cellStyle name="40% - Accent5 222" xfId="2968"/>
    <cellStyle name="40% - Accent5 223" xfId="2981"/>
    <cellStyle name="40% - Accent5 224" xfId="2994"/>
    <cellStyle name="40% - Accent5 225" xfId="3007"/>
    <cellStyle name="40% - Accent5 226" xfId="3020"/>
    <cellStyle name="40% - Accent5 227" xfId="3033"/>
    <cellStyle name="40% - Accent5 228" xfId="3046"/>
    <cellStyle name="40% - Accent5 229" xfId="3059"/>
    <cellStyle name="40% - Accent5 23" xfId="350"/>
    <cellStyle name="40% - Accent5 230" xfId="3072"/>
    <cellStyle name="40% - Accent5 231" xfId="3085"/>
    <cellStyle name="40% - Accent5 232" xfId="3098"/>
    <cellStyle name="40% - Accent5 233" xfId="3111"/>
    <cellStyle name="40% - Accent5 234" xfId="3123"/>
    <cellStyle name="40% - Accent5 235" xfId="3133"/>
    <cellStyle name="40% - Accent5 236" xfId="3143"/>
    <cellStyle name="40% - Accent5 237" xfId="3151"/>
    <cellStyle name="40% - Accent5 238" xfId="3176"/>
    <cellStyle name="40% - Accent5 239" xfId="3188"/>
    <cellStyle name="40% - Accent5 24" xfId="363"/>
    <cellStyle name="40% - Accent5 240" xfId="3198"/>
    <cellStyle name="40% - Accent5 241" xfId="3206"/>
    <cellStyle name="40% - Accent5 242" xfId="3226"/>
    <cellStyle name="40% - Accent5 243" xfId="3234"/>
    <cellStyle name="40% - Accent5 244" xfId="3259"/>
    <cellStyle name="40% - Accent5 245" xfId="3272"/>
    <cellStyle name="40% - Accent5 246" xfId="3285"/>
    <cellStyle name="40% - Accent5 247" xfId="3298"/>
    <cellStyle name="40% - Accent5 248" xfId="3311"/>
    <cellStyle name="40% - Accent5 249" xfId="3324"/>
    <cellStyle name="40% - Accent5 25" xfId="376"/>
    <cellStyle name="40% - Accent5 250" xfId="3337"/>
    <cellStyle name="40% - Accent5 251" xfId="3349"/>
    <cellStyle name="40% - Accent5 252" xfId="3361"/>
    <cellStyle name="40% - Accent5 253" xfId="3371"/>
    <cellStyle name="40% - Accent5 254" xfId="3381"/>
    <cellStyle name="40% - Accent5 255" xfId="3389"/>
    <cellStyle name="40% - Accent5 256" xfId="3404"/>
    <cellStyle name="40% - Accent5 26" xfId="390"/>
    <cellStyle name="40% - Accent5 27" xfId="403"/>
    <cellStyle name="40% - Accent5 28" xfId="417"/>
    <cellStyle name="40% - Accent5 29" xfId="430"/>
    <cellStyle name="40% - Accent5 3" xfId="90"/>
    <cellStyle name="40% - Accent5 30" xfId="442"/>
    <cellStyle name="40% - Accent5 31" xfId="454"/>
    <cellStyle name="40% - Accent5 32" xfId="465"/>
    <cellStyle name="40% - Accent5 33" xfId="477"/>
    <cellStyle name="40% - Accent5 34" xfId="494"/>
    <cellStyle name="40% - Accent5 35" xfId="507"/>
    <cellStyle name="40% - Accent5 36" xfId="520"/>
    <cellStyle name="40% - Accent5 37" xfId="533"/>
    <cellStyle name="40% - Accent5 38" xfId="546"/>
    <cellStyle name="40% - Accent5 39" xfId="559"/>
    <cellStyle name="40% - Accent5 4" xfId="103"/>
    <cellStyle name="40% - Accent5 40" xfId="572"/>
    <cellStyle name="40% - Accent5 41" xfId="585"/>
    <cellStyle name="40% - Accent5 42" xfId="598"/>
    <cellStyle name="40% - Accent5 43" xfId="611"/>
    <cellStyle name="40% - Accent5 44" xfId="624"/>
    <cellStyle name="40% - Accent5 45" xfId="637"/>
    <cellStyle name="40% - Accent5 46" xfId="650"/>
    <cellStyle name="40% - Accent5 47" xfId="663"/>
    <cellStyle name="40% - Accent5 48" xfId="676"/>
    <cellStyle name="40% - Accent5 49" xfId="689"/>
    <cellStyle name="40% - Accent5 5" xfId="116"/>
    <cellStyle name="40% - Accent5 50" xfId="702"/>
    <cellStyle name="40% - Accent5 51" xfId="715"/>
    <cellStyle name="40% - Accent5 52" xfId="728"/>
    <cellStyle name="40% - Accent5 53" xfId="741"/>
    <cellStyle name="40% - Accent5 54" xfId="754"/>
    <cellStyle name="40% - Accent5 55" xfId="767"/>
    <cellStyle name="40% - Accent5 56" xfId="780"/>
    <cellStyle name="40% - Accent5 57" xfId="793"/>
    <cellStyle name="40% - Accent5 58" xfId="806"/>
    <cellStyle name="40% - Accent5 59" xfId="819"/>
    <cellStyle name="40% - Accent5 6" xfId="129"/>
    <cellStyle name="40% - Accent5 60" xfId="832"/>
    <cellStyle name="40% - Accent5 61" xfId="845"/>
    <cellStyle name="40% - Accent5 62" xfId="858"/>
    <cellStyle name="40% - Accent5 63" xfId="871"/>
    <cellStyle name="40% - Accent5 64" xfId="884"/>
    <cellStyle name="40% - Accent5 65" xfId="897"/>
    <cellStyle name="40% - Accent5 66" xfId="910"/>
    <cellStyle name="40% - Accent5 67" xfId="923"/>
    <cellStyle name="40% - Accent5 68" xfId="936"/>
    <cellStyle name="40% - Accent5 69" xfId="950"/>
    <cellStyle name="40% - Accent5 7" xfId="142"/>
    <cellStyle name="40% - Accent5 70" xfId="964"/>
    <cellStyle name="40% - Accent5 71" xfId="977"/>
    <cellStyle name="40% - Accent5 72" xfId="990"/>
    <cellStyle name="40% - Accent5 73" xfId="1004"/>
    <cellStyle name="40% - Accent5 74" xfId="1018"/>
    <cellStyle name="40% - Accent5 75" xfId="1031"/>
    <cellStyle name="40% - Accent5 76" xfId="1044"/>
    <cellStyle name="40% - Accent5 77" xfId="1057"/>
    <cellStyle name="40% - Accent5 78" xfId="1070"/>
    <cellStyle name="40% - Accent5 79" xfId="1082"/>
    <cellStyle name="40% - Accent5 8" xfId="155"/>
    <cellStyle name="40% - Accent5 80" xfId="1093"/>
    <cellStyle name="40% - Accent5 81" xfId="1104"/>
    <cellStyle name="40% - Accent5 82" xfId="1122"/>
    <cellStyle name="40% - Accent5 83" xfId="1142"/>
    <cellStyle name="40% - Accent5 84" xfId="1156"/>
    <cellStyle name="40% - Accent5 85" xfId="1170"/>
    <cellStyle name="40% - Accent5 86" xfId="1183"/>
    <cellStyle name="40% - Accent5 87" xfId="1196"/>
    <cellStyle name="40% - Accent5 88" xfId="1209"/>
    <cellStyle name="40% - Accent5 89" xfId="1222"/>
    <cellStyle name="40% - Accent5 9" xfId="168"/>
    <cellStyle name="40% - Accent5 90" xfId="1235"/>
    <cellStyle name="40% - Accent5 91" xfId="1248"/>
    <cellStyle name="40% - Accent5 92" xfId="1261"/>
    <cellStyle name="40% - Accent5 93" xfId="1274"/>
    <cellStyle name="40% - Accent5 94" xfId="1287"/>
    <cellStyle name="40% - Accent5 95" xfId="1300"/>
    <cellStyle name="40% - Accent5 96" xfId="1313"/>
    <cellStyle name="40% - Accent5 97" xfId="1326"/>
    <cellStyle name="40% - Accent5 98" xfId="1339"/>
    <cellStyle name="40% - Accent5 99" xfId="1352"/>
    <cellStyle name="40% - Accent6" xfId="12" builtinId="51" customBuiltin="1"/>
    <cellStyle name="40% - Accent6 10" xfId="185"/>
    <cellStyle name="40% - Accent6 100" xfId="1369"/>
    <cellStyle name="40% - Accent6 101" xfId="1382"/>
    <cellStyle name="40% - Accent6 102" xfId="1394"/>
    <cellStyle name="40% - Accent6 103" xfId="1406"/>
    <cellStyle name="40% - Accent6 104" xfId="1416"/>
    <cellStyle name="40% - Accent6 105" xfId="1426"/>
    <cellStyle name="40% - Accent6 106" xfId="1433"/>
    <cellStyle name="40% - Accent6 107" xfId="1451"/>
    <cellStyle name="40% - Accent6 108" xfId="1470"/>
    <cellStyle name="40% - Accent6 109" xfId="1487"/>
    <cellStyle name="40% - Accent6 11" xfId="198"/>
    <cellStyle name="40% - Accent6 110" xfId="1500"/>
    <cellStyle name="40% - Accent6 111" xfId="1513"/>
    <cellStyle name="40% - Accent6 112" xfId="1526"/>
    <cellStyle name="40% - Accent6 113" xfId="1539"/>
    <cellStyle name="40% - Accent6 114" xfId="1551"/>
    <cellStyle name="40% - Accent6 115" xfId="1563"/>
    <cellStyle name="40% - Accent6 116" xfId="1576"/>
    <cellStyle name="40% - Accent6 117" xfId="1588"/>
    <cellStyle name="40% - Accent6 118" xfId="1600"/>
    <cellStyle name="40% - Accent6 119" xfId="1615"/>
    <cellStyle name="40% - Accent6 12" xfId="211"/>
    <cellStyle name="40% - Accent6 120" xfId="1632"/>
    <cellStyle name="40% - Accent6 121" xfId="1645"/>
    <cellStyle name="40% - Accent6 122" xfId="1658"/>
    <cellStyle name="40% - Accent6 123" xfId="1671"/>
    <cellStyle name="40% - Accent6 124" xfId="1684"/>
    <cellStyle name="40% - Accent6 125" xfId="1697"/>
    <cellStyle name="40% - Accent6 126" xfId="1710"/>
    <cellStyle name="40% - Accent6 127" xfId="1723"/>
    <cellStyle name="40% - Accent6 128" xfId="1736"/>
    <cellStyle name="40% - Accent6 129" xfId="1749"/>
    <cellStyle name="40% - Accent6 13" xfId="224"/>
    <cellStyle name="40% - Accent6 130" xfId="1762"/>
    <cellStyle name="40% - Accent6 131" xfId="1775"/>
    <cellStyle name="40% - Accent6 132" xfId="1788"/>
    <cellStyle name="40% - Accent6 133" xfId="1801"/>
    <cellStyle name="40% - Accent6 134" xfId="1814"/>
    <cellStyle name="40% - Accent6 135" xfId="1827"/>
    <cellStyle name="40% - Accent6 136" xfId="1840"/>
    <cellStyle name="40% - Accent6 137" xfId="1853"/>
    <cellStyle name="40% - Accent6 138" xfId="1866"/>
    <cellStyle name="40% - Accent6 139" xfId="1879"/>
    <cellStyle name="40% - Accent6 14" xfId="237"/>
    <cellStyle name="40% - Accent6 140" xfId="1892"/>
    <cellStyle name="40% - Accent6 141" xfId="1905"/>
    <cellStyle name="40% - Accent6 142" xfId="1918"/>
    <cellStyle name="40% - Accent6 143" xfId="1931"/>
    <cellStyle name="40% - Accent6 144" xfId="1944"/>
    <cellStyle name="40% - Accent6 145" xfId="1957"/>
    <cellStyle name="40% - Accent6 146" xfId="1970"/>
    <cellStyle name="40% - Accent6 147" xfId="1983"/>
    <cellStyle name="40% - Accent6 148" xfId="1996"/>
    <cellStyle name="40% - Accent6 149" xfId="2009"/>
    <cellStyle name="40% - Accent6 15" xfId="250"/>
    <cellStyle name="40% - Accent6 150" xfId="2022"/>
    <cellStyle name="40% - Accent6 151" xfId="2035"/>
    <cellStyle name="40% - Accent6 152" xfId="2048"/>
    <cellStyle name="40% - Accent6 153" xfId="2061"/>
    <cellStyle name="40% - Accent6 154" xfId="2074"/>
    <cellStyle name="40% - Accent6 155" xfId="2087"/>
    <cellStyle name="40% - Accent6 156" xfId="2100"/>
    <cellStyle name="40% - Accent6 157" xfId="2114"/>
    <cellStyle name="40% - Accent6 158" xfId="2127"/>
    <cellStyle name="40% - Accent6 159" xfId="2141"/>
    <cellStyle name="40% - Accent6 16" xfId="263"/>
    <cellStyle name="40% - Accent6 160" xfId="2155"/>
    <cellStyle name="40% - Accent6 161" xfId="2167"/>
    <cellStyle name="40% - Accent6 162" xfId="2179"/>
    <cellStyle name="40% - Accent6 163" xfId="2191"/>
    <cellStyle name="40% - Accent6 164" xfId="2203"/>
    <cellStyle name="40% - Accent6 165" xfId="2216"/>
    <cellStyle name="40% - Accent6 166" xfId="2230"/>
    <cellStyle name="40% - Accent6 167" xfId="2243"/>
    <cellStyle name="40% - Accent6 168" xfId="2256"/>
    <cellStyle name="40% - Accent6 169" xfId="2269"/>
    <cellStyle name="40% - Accent6 17" xfId="276"/>
    <cellStyle name="40% - Accent6 170" xfId="2282"/>
    <cellStyle name="40% - Accent6 171" xfId="2296"/>
    <cellStyle name="40% - Accent6 172" xfId="2309"/>
    <cellStyle name="40% - Accent6 173" xfId="2321"/>
    <cellStyle name="40% - Accent6 174" xfId="2333"/>
    <cellStyle name="40% - Accent6 175" xfId="2345"/>
    <cellStyle name="40% - Accent6 176" xfId="2357"/>
    <cellStyle name="40% - Accent6 177" xfId="2370"/>
    <cellStyle name="40% - Accent6 178" xfId="2384"/>
    <cellStyle name="40% - Accent6 179" xfId="2397"/>
    <cellStyle name="40% - Accent6 18" xfId="289"/>
    <cellStyle name="40% - Accent6 180" xfId="2410"/>
    <cellStyle name="40% - Accent6 181" xfId="2423"/>
    <cellStyle name="40% - Accent6 182" xfId="2436"/>
    <cellStyle name="40% - Accent6 183" xfId="2449"/>
    <cellStyle name="40% - Accent6 184" xfId="2462"/>
    <cellStyle name="40% - Accent6 185" xfId="2475"/>
    <cellStyle name="40% - Accent6 186" xfId="2488"/>
    <cellStyle name="40% - Accent6 187" xfId="2501"/>
    <cellStyle name="40% - Accent6 188" xfId="2514"/>
    <cellStyle name="40% - Accent6 189" xfId="2527"/>
    <cellStyle name="40% - Accent6 19" xfId="302"/>
    <cellStyle name="40% - Accent6 190" xfId="2540"/>
    <cellStyle name="40% - Accent6 191" xfId="2553"/>
    <cellStyle name="40% - Accent6 192" xfId="2566"/>
    <cellStyle name="40% - Accent6 193" xfId="2579"/>
    <cellStyle name="40% - Accent6 194" xfId="2591"/>
    <cellStyle name="40% - Accent6 195" xfId="2603"/>
    <cellStyle name="40% - Accent6 196" xfId="2613"/>
    <cellStyle name="40% - Accent6 197" xfId="2623"/>
    <cellStyle name="40% - Accent6 198" xfId="2630"/>
    <cellStyle name="40% - Accent6 199" xfId="2668"/>
    <cellStyle name="40% - Accent6 2" xfId="81"/>
    <cellStyle name="40% - Accent6 20" xfId="315"/>
    <cellStyle name="40% - Accent6 200" xfId="2682"/>
    <cellStyle name="40% - Accent6 201" xfId="2695"/>
    <cellStyle name="40% - Accent6 202" xfId="2708"/>
    <cellStyle name="40% - Accent6 203" xfId="2721"/>
    <cellStyle name="40% - Accent6 204" xfId="2734"/>
    <cellStyle name="40% - Accent6 205" xfId="2747"/>
    <cellStyle name="40% - Accent6 206" xfId="2759"/>
    <cellStyle name="40% - Accent6 207" xfId="2771"/>
    <cellStyle name="40% - Accent6 208" xfId="2781"/>
    <cellStyle name="40% - Accent6 209" xfId="2791"/>
    <cellStyle name="40% - Accent6 21" xfId="328"/>
    <cellStyle name="40% - Accent6 210" xfId="2798"/>
    <cellStyle name="40% - Accent6 211" xfId="2821"/>
    <cellStyle name="40% - Accent6 212" xfId="2834"/>
    <cellStyle name="40% - Accent6 213" xfId="2846"/>
    <cellStyle name="40% - Accent6 214" xfId="2858"/>
    <cellStyle name="40% - Accent6 215" xfId="2869"/>
    <cellStyle name="40% - Accent6 216" xfId="2894"/>
    <cellStyle name="40% - Accent6 217" xfId="2907"/>
    <cellStyle name="40% - Accent6 218" xfId="2920"/>
    <cellStyle name="40% - Accent6 219" xfId="2933"/>
    <cellStyle name="40% - Accent6 22" xfId="341"/>
    <cellStyle name="40% - Accent6 220" xfId="2946"/>
    <cellStyle name="40% - Accent6 221" xfId="2959"/>
    <cellStyle name="40% - Accent6 222" xfId="2972"/>
    <cellStyle name="40% - Accent6 223" xfId="2985"/>
    <cellStyle name="40% - Accent6 224" xfId="2998"/>
    <cellStyle name="40% - Accent6 225" xfId="3011"/>
    <cellStyle name="40% - Accent6 226" xfId="3024"/>
    <cellStyle name="40% - Accent6 227" xfId="3037"/>
    <cellStyle name="40% - Accent6 228" xfId="3050"/>
    <cellStyle name="40% - Accent6 229" xfId="3063"/>
    <cellStyle name="40% - Accent6 23" xfId="354"/>
    <cellStyle name="40% - Accent6 230" xfId="3076"/>
    <cellStyle name="40% - Accent6 231" xfId="3089"/>
    <cellStyle name="40% - Accent6 232" xfId="3102"/>
    <cellStyle name="40% - Accent6 233" xfId="3114"/>
    <cellStyle name="40% - Accent6 234" xfId="3126"/>
    <cellStyle name="40% - Accent6 235" xfId="3136"/>
    <cellStyle name="40% - Accent6 236" xfId="3146"/>
    <cellStyle name="40% - Accent6 237" xfId="3153"/>
    <cellStyle name="40% - Accent6 238" xfId="3179"/>
    <cellStyle name="40% - Accent6 239" xfId="3191"/>
    <cellStyle name="40% - Accent6 24" xfId="367"/>
    <cellStyle name="40% - Accent6 240" xfId="3201"/>
    <cellStyle name="40% - Accent6 241" xfId="3208"/>
    <cellStyle name="40% - Accent6 242" xfId="3229"/>
    <cellStyle name="40% - Accent6 243" xfId="3236"/>
    <cellStyle name="40% - Accent6 244" xfId="3263"/>
    <cellStyle name="40% - Accent6 245" xfId="3276"/>
    <cellStyle name="40% - Accent6 246" xfId="3289"/>
    <cellStyle name="40% - Accent6 247" xfId="3302"/>
    <cellStyle name="40% - Accent6 248" xfId="3315"/>
    <cellStyle name="40% - Accent6 249" xfId="3328"/>
    <cellStyle name="40% - Accent6 25" xfId="380"/>
    <cellStyle name="40% - Accent6 250" xfId="3340"/>
    <cellStyle name="40% - Accent6 251" xfId="3352"/>
    <cellStyle name="40% - Accent6 252" xfId="3364"/>
    <cellStyle name="40% - Accent6 253" xfId="3374"/>
    <cellStyle name="40% - Accent6 254" xfId="3384"/>
    <cellStyle name="40% - Accent6 255" xfId="3391"/>
    <cellStyle name="40% - Accent6 256" xfId="3406"/>
    <cellStyle name="40% - Accent6 26" xfId="394"/>
    <cellStyle name="40% - Accent6 27" xfId="407"/>
    <cellStyle name="40% - Accent6 28" xfId="421"/>
    <cellStyle name="40% - Accent6 29" xfId="433"/>
    <cellStyle name="40% - Accent6 3" xfId="94"/>
    <cellStyle name="40% - Accent6 30" xfId="445"/>
    <cellStyle name="40% - Accent6 31" xfId="457"/>
    <cellStyle name="40% - Accent6 32" xfId="468"/>
    <cellStyle name="40% - Accent6 33" xfId="481"/>
    <cellStyle name="40% - Accent6 34" xfId="498"/>
    <cellStyle name="40% - Accent6 35" xfId="511"/>
    <cellStyle name="40% - Accent6 36" xfId="524"/>
    <cellStyle name="40% - Accent6 37" xfId="537"/>
    <cellStyle name="40% - Accent6 38" xfId="550"/>
    <cellStyle name="40% - Accent6 39" xfId="563"/>
    <cellStyle name="40% - Accent6 4" xfId="107"/>
    <cellStyle name="40% - Accent6 40" xfId="576"/>
    <cellStyle name="40% - Accent6 41" xfId="589"/>
    <cellStyle name="40% - Accent6 42" xfId="602"/>
    <cellStyle name="40% - Accent6 43" xfId="615"/>
    <cellStyle name="40% - Accent6 44" xfId="628"/>
    <cellStyle name="40% - Accent6 45" xfId="641"/>
    <cellStyle name="40% - Accent6 46" xfId="654"/>
    <cellStyle name="40% - Accent6 47" xfId="667"/>
    <cellStyle name="40% - Accent6 48" xfId="680"/>
    <cellStyle name="40% - Accent6 49" xfId="693"/>
    <cellStyle name="40% - Accent6 5" xfId="120"/>
    <cellStyle name="40% - Accent6 50" xfId="706"/>
    <cellStyle name="40% - Accent6 51" xfId="719"/>
    <cellStyle name="40% - Accent6 52" xfId="732"/>
    <cellStyle name="40% - Accent6 53" xfId="745"/>
    <cellStyle name="40% - Accent6 54" xfId="758"/>
    <cellStyle name="40% - Accent6 55" xfId="771"/>
    <cellStyle name="40% - Accent6 56" xfId="784"/>
    <cellStyle name="40% - Accent6 57" xfId="797"/>
    <cellStyle name="40% - Accent6 58" xfId="810"/>
    <cellStyle name="40% - Accent6 59" xfId="823"/>
    <cellStyle name="40% - Accent6 6" xfId="133"/>
    <cellStyle name="40% - Accent6 60" xfId="836"/>
    <cellStyle name="40% - Accent6 61" xfId="849"/>
    <cellStyle name="40% - Accent6 62" xfId="862"/>
    <cellStyle name="40% - Accent6 63" xfId="875"/>
    <cellStyle name="40% - Accent6 64" xfId="888"/>
    <cellStyle name="40% - Accent6 65" xfId="901"/>
    <cellStyle name="40% - Accent6 66" xfId="914"/>
    <cellStyle name="40% - Accent6 67" xfId="927"/>
    <cellStyle name="40% - Accent6 68" xfId="940"/>
    <cellStyle name="40% - Accent6 69" xfId="954"/>
    <cellStyle name="40% - Accent6 7" xfId="146"/>
    <cellStyle name="40% - Accent6 70" xfId="968"/>
    <cellStyle name="40% - Accent6 71" xfId="981"/>
    <cellStyle name="40% - Accent6 72" xfId="994"/>
    <cellStyle name="40% - Accent6 73" xfId="1008"/>
    <cellStyle name="40% - Accent6 74" xfId="1022"/>
    <cellStyle name="40% - Accent6 75" xfId="1035"/>
    <cellStyle name="40% - Accent6 76" xfId="1048"/>
    <cellStyle name="40% - Accent6 77" xfId="1060"/>
    <cellStyle name="40% - Accent6 78" xfId="1074"/>
    <cellStyle name="40% - Accent6 79" xfId="1085"/>
    <cellStyle name="40% - Accent6 8" xfId="159"/>
    <cellStyle name="40% - Accent6 80" xfId="1097"/>
    <cellStyle name="40% - Accent6 81" xfId="1108"/>
    <cellStyle name="40% - Accent6 82" xfId="1126"/>
    <cellStyle name="40% - Accent6 83" xfId="1146"/>
    <cellStyle name="40% - Accent6 84" xfId="1160"/>
    <cellStyle name="40% - Accent6 85" xfId="1174"/>
    <cellStyle name="40% - Accent6 86" xfId="1187"/>
    <cellStyle name="40% - Accent6 87" xfId="1200"/>
    <cellStyle name="40% - Accent6 88" xfId="1213"/>
    <cellStyle name="40% - Accent6 89" xfId="1226"/>
    <cellStyle name="40% - Accent6 9" xfId="172"/>
    <cellStyle name="40% - Accent6 90" xfId="1239"/>
    <cellStyle name="40% - Accent6 91" xfId="1252"/>
    <cellStyle name="40% - Accent6 92" xfId="1265"/>
    <cellStyle name="40% - Accent6 93" xfId="1278"/>
    <cellStyle name="40% - Accent6 94" xfId="1291"/>
    <cellStyle name="40% - Accent6 95" xfId="1304"/>
    <cellStyle name="40% - Accent6 96" xfId="1317"/>
    <cellStyle name="40% - Accent6 97" xfId="1330"/>
    <cellStyle name="40% - Accent6 98" xfId="1343"/>
    <cellStyle name="40% - Accent6 99" xfId="1356"/>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3426"/>
    <cellStyle name="Comma_provincedta" xfId="29"/>
    <cellStyle name="data" xfId="30"/>
    <cellStyle name="Data1" xfId="31"/>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Input" xfId="38" builtinId="20" customBuiltin="1"/>
    <cellStyle name="Linked Cell" xfId="39" builtinId="24" customBuiltin="1"/>
    <cellStyle name="Neutral" xfId="40" builtinId="28" customBuiltin="1"/>
    <cellStyle name="Normal" xfId="0" builtinId="0"/>
    <cellStyle name="Normal 10" xfId="2639"/>
    <cellStyle name="Normal 10 2" xfId="3408"/>
    <cellStyle name="Normal 11" xfId="2633"/>
    <cellStyle name="Normal 11 2" xfId="3409"/>
    <cellStyle name="Normal 12" xfId="2632"/>
    <cellStyle name="Normal 12 2" xfId="3410"/>
    <cellStyle name="Normal 120" xfId="1442"/>
    <cellStyle name="Normal 13" xfId="2645"/>
    <cellStyle name="Normal 13 2" xfId="3411"/>
    <cellStyle name="Normal 14" xfId="2662"/>
    <cellStyle name="Normal 14 2" xfId="3412"/>
    <cellStyle name="Normal 15" xfId="2676"/>
    <cellStyle name="Normal 15 2" xfId="3413"/>
    <cellStyle name="Normal 15 3" xfId="3414"/>
    <cellStyle name="Normal 16" xfId="2799"/>
    <cellStyle name="Normal 17" xfId="2801"/>
    <cellStyle name="Normal 18" xfId="2800"/>
    <cellStyle name="Normal 19" xfId="2802"/>
    <cellStyle name="Normal 2" xfId="41"/>
    <cellStyle name="Normal 2 2" xfId="3415"/>
    <cellStyle name="Normal 2 2 2" xfId="3416"/>
    <cellStyle name="Normal 2 3" xfId="3417"/>
    <cellStyle name="Normal 2 4" xfId="3418"/>
    <cellStyle name="Normal 20" xfId="3154"/>
    <cellStyle name="Normal 21" xfId="3155"/>
    <cellStyle name="Normal 22" xfId="3209"/>
    <cellStyle name="Normal 23" xfId="3158"/>
    <cellStyle name="Normal 24" xfId="3211"/>
    <cellStyle name="Normal 25" xfId="3393"/>
    <cellStyle name="Normal 3" xfId="42"/>
    <cellStyle name="Normal 3 2" xfId="3419"/>
    <cellStyle name="Normal 4" xfId="2631"/>
    <cellStyle name="Normal 4 2" xfId="3407"/>
    <cellStyle name="Normal 5" xfId="2642"/>
    <cellStyle name="Normal 5 2" xfId="3420"/>
    <cellStyle name="Normal 6" xfId="2640"/>
    <cellStyle name="Normal 6 2" xfId="3421"/>
    <cellStyle name="Normal 7" xfId="2636"/>
    <cellStyle name="Normal 7 2" xfId="3422"/>
    <cellStyle name="Normal 8" xfId="2638"/>
    <cellStyle name="Normal 8 2" xfId="3423"/>
    <cellStyle name="Normal 81" xfId="948"/>
    <cellStyle name="Normal 82" xfId="962"/>
    <cellStyle name="Normal 84" xfId="1072"/>
    <cellStyle name="Normal 85" xfId="1106"/>
    <cellStyle name="Normal 88" xfId="1105"/>
    <cellStyle name="Normal 89" xfId="1002"/>
    <cellStyle name="Normal 9" xfId="2634"/>
    <cellStyle name="Normal 9 2" xfId="3424"/>
    <cellStyle name="Normal 90" xfId="1068"/>
    <cellStyle name="Normal 91" xfId="1124"/>
    <cellStyle name="Normal 92" xfId="1016"/>
    <cellStyle name="Normal 93" xfId="1095"/>
    <cellStyle name="Normal 94" xfId="1123"/>
    <cellStyle name="Normal 95" xfId="1140"/>
    <cellStyle name="Normal 96" xfId="1154"/>
    <cellStyle name="Normal 97" xfId="1168"/>
    <cellStyle name="Normal_All Tables" xfId="43"/>
    <cellStyle name="Normal_Book3" xfId="44"/>
    <cellStyle name="Normal_D110-V2" xfId="3392"/>
    <cellStyle name="Normal_level-comp" xfId="45"/>
    <cellStyle name="Normal_levels" xfId="46"/>
    <cellStyle name="Normal_provincedta" xfId="47"/>
    <cellStyle name="Normal_Provinces-May 11 2006-rescaling 1981 2" xfId="48"/>
    <cellStyle name="Note 10" xfId="105"/>
    <cellStyle name="Note 100" xfId="1289"/>
    <cellStyle name="Note 101" xfId="1302"/>
    <cellStyle name="Note 102" xfId="1315"/>
    <cellStyle name="Note 103" xfId="1328"/>
    <cellStyle name="Note 104" xfId="1341"/>
    <cellStyle name="Note 105" xfId="1354"/>
    <cellStyle name="Note 106" xfId="1367"/>
    <cellStyle name="Note 107" xfId="1380"/>
    <cellStyle name="Note 108" xfId="1436"/>
    <cellStyle name="Note 109" xfId="1449"/>
    <cellStyle name="Note 11" xfId="118"/>
    <cellStyle name="Note 110" xfId="1458"/>
    <cellStyle name="Note 111" xfId="1435"/>
    <cellStyle name="Note 112" xfId="1434"/>
    <cellStyle name="Note 113" xfId="1468"/>
    <cellStyle name="Note 114" xfId="1454"/>
    <cellStyle name="Note 115" xfId="1485"/>
    <cellStyle name="Note 116" xfId="1498"/>
    <cellStyle name="Note 117" xfId="1511"/>
    <cellStyle name="Note 118" xfId="1524"/>
    <cellStyle name="Note 119" xfId="1537"/>
    <cellStyle name="Note 12" xfId="131"/>
    <cellStyle name="Note 120" xfId="1591"/>
    <cellStyle name="Note 121" xfId="1590"/>
    <cellStyle name="Note 122" xfId="1566"/>
    <cellStyle name="Note 123" xfId="1574"/>
    <cellStyle name="Note 124" xfId="1610"/>
    <cellStyle name="Note 125" xfId="1580"/>
    <cellStyle name="Note 126" xfId="1630"/>
    <cellStyle name="Note 127" xfId="1643"/>
    <cellStyle name="Note 128" xfId="1656"/>
    <cellStyle name="Note 129" xfId="1669"/>
    <cellStyle name="Note 13" xfId="144"/>
    <cellStyle name="Note 130" xfId="1682"/>
    <cellStyle name="Note 131" xfId="1695"/>
    <cellStyle name="Note 132" xfId="1708"/>
    <cellStyle name="Note 133" xfId="1721"/>
    <cellStyle name="Note 134" xfId="1734"/>
    <cellStyle name="Note 135" xfId="1747"/>
    <cellStyle name="Note 136" xfId="1760"/>
    <cellStyle name="Note 137" xfId="1773"/>
    <cellStyle name="Note 138" xfId="1786"/>
    <cellStyle name="Note 139" xfId="1799"/>
    <cellStyle name="Note 14" xfId="157"/>
    <cellStyle name="Note 140" xfId="1812"/>
    <cellStyle name="Note 141" xfId="1825"/>
    <cellStyle name="Note 142" xfId="1838"/>
    <cellStyle name="Note 143" xfId="1851"/>
    <cellStyle name="Note 144" xfId="1864"/>
    <cellStyle name="Note 145" xfId="1877"/>
    <cellStyle name="Note 146" xfId="1890"/>
    <cellStyle name="Note 147" xfId="1903"/>
    <cellStyle name="Note 148" xfId="1916"/>
    <cellStyle name="Note 149" xfId="1929"/>
    <cellStyle name="Note 15" xfId="170"/>
    <cellStyle name="Note 150" xfId="1942"/>
    <cellStyle name="Note 151" xfId="1955"/>
    <cellStyle name="Note 152" xfId="1968"/>
    <cellStyle name="Note 153" xfId="1981"/>
    <cellStyle name="Note 154" xfId="1994"/>
    <cellStyle name="Note 155" xfId="2007"/>
    <cellStyle name="Note 156" xfId="2020"/>
    <cellStyle name="Note 157" xfId="2033"/>
    <cellStyle name="Note 158" xfId="2046"/>
    <cellStyle name="Note 159" xfId="2059"/>
    <cellStyle name="Note 16" xfId="183"/>
    <cellStyle name="Note 160" xfId="2072"/>
    <cellStyle name="Note 161" xfId="2085"/>
    <cellStyle name="Note 162" xfId="2098"/>
    <cellStyle name="Note 163" xfId="2112"/>
    <cellStyle name="Note 164" xfId="2125"/>
    <cellStyle name="Note 165" xfId="2139"/>
    <cellStyle name="Note 166" xfId="2153"/>
    <cellStyle name="Note 167" xfId="2214"/>
    <cellStyle name="Note 168" xfId="1598"/>
    <cellStyle name="Note 169" xfId="2135"/>
    <cellStyle name="Note 17" xfId="196"/>
    <cellStyle name="Note 170" xfId="1606"/>
    <cellStyle name="Note 171" xfId="2210"/>
    <cellStyle name="Note 172" xfId="2228"/>
    <cellStyle name="Note 173" xfId="2241"/>
    <cellStyle name="Note 174" xfId="2254"/>
    <cellStyle name="Note 175" xfId="2267"/>
    <cellStyle name="Note 176" xfId="2280"/>
    <cellStyle name="Note 177" xfId="2294"/>
    <cellStyle name="Note 178" xfId="2307"/>
    <cellStyle name="Note 179" xfId="2368"/>
    <cellStyle name="Note 18" xfId="209"/>
    <cellStyle name="Note 180" xfId="2149"/>
    <cellStyle name="Note 181" xfId="2290"/>
    <cellStyle name="Note 182" xfId="2108"/>
    <cellStyle name="Note 183" xfId="2364"/>
    <cellStyle name="Note 184" xfId="2382"/>
    <cellStyle name="Note 185" xfId="2395"/>
    <cellStyle name="Note 186" xfId="2408"/>
    <cellStyle name="Note 187" xfId="2421"/>
    <cellStyle name="Note 188" xfId="2434"/>
    <cellStyle name="Note 189" xfId="2447"/>
    <cellStyle name="Note 19" xfId="222"/>
    <cellStyle name="Note 190" xfId="2460"/>
    <cellStyle name="Note 191" xfId="2473"/>
    <cellStyle name="Note 192" xfId="2486"/>
    <cellStyle name="Note 193" xfId="2499"/>
    <cellStyle name="Note 194" xfId="2512"/>
    <cellStyle name="Note 195" xfId="2525"/>
    <cellStyle name="Note 196" xfId="2538"/>
    <cellStyle name="Note 197" xfId="2551"/>
    <cellStyle name="Note 198" xfId="2564"/>
    <cellStyle name="Note 199" xfId="2577"/>
    <cellStyle name="Note 2" xfId="49"/>
    <cellStyle name="Note 2 2" xfId="3425"/>
    <cellStyle name="Note 20" xfId="235"/>
    <cellStyle name="Note 200" xfId="2643"/>
    <cellStyle name="Note 201" xfId="2637"/>
    <cellStyle name="Note 202" xfId="2635"/>
    <cellStyle name="Note 203" xfId="2641"/>
    <cellStyle name="Note 204" xfId="2644"/>
    <cellStyle name="Note 205" xfId="2666"/>
    <cellStyle name="Note 206" xfId="2680"/>
    <cellStyle name="Note 207" xfId="2693"/>
    <cellStyle name="Note 208" xfId="2706"/>
    <cellStyle name="Note 209" xfId="2719"/>
    <cellStyle name="Note 21" xfId="248"/>
    <cellStyle name="Note 210" xfId="2732"/>
    <cellStyle name="Note 211" xfId="2745"/>
    <cellStyle name="Note 212" xfId="2803"/>
    <cellStyle name="Note 213" xfId="2813"/>
    <cellStyle name="Note 214" xfId="2829"/>
    <cellStyle name="Note 215" xfId="2836"/>
    <cellStyle name="Note 216" xfId="2816"/>
    <cellStyle name="Note 217" xfId="2871"/>
    <cellStyle name="Note 218" xfId="2848"/>
    <cellStyle name="Note 219" xfId="2863"/>
    <cellStyle name="Note 22" xfId="261"/>
    <cellStyle name="Note 220" xfId="2870"/>
    <cellStyle name="Note 221" xfId="2872"/>
    <cellStyle name="Note 222" xfId="2892"/>
    <cellStyle name="Note 223" xfId="2905"/>
    <cellStyle name="Note 224" xfId="2918"/>
    <cellStyle name="Note 225" xfId="2931"/>
    <cellStyle name="Note 226" xfId="2944"/>
    <cellStyle name="Note 227" xfId="2957"/>
    <cellStyle name="Note 228" xfId="2970"/>
    <cellStyle name="Note 229" xfId="2983"/>
    <cellStyle name="Note 23" xfId="274"/>
    <cellStyle name="Note 230" xfId="2996"/>
    <cellStyle name="Note 231" xfId="3009"/>
    <cellStyle name="Note 232" xfId="3022"/>
    <cellStyle name="Note 233" xfId="3035"/>
    <cellStyle name="Note 234" xfId="3048"/>
    <cellStyle name="Note 235" xfId="3061"/>
    <cellStyle name="Note 236" xfId="3074"/>
    <cellStyle name="Note 237" xfId="3087"/>
    <cellStyle name="Note 238" xfId="3100"/>
    <cellStyle name="Note 239" xfId="3159"/>
    <cellStyle name="Note 24" xfId="287"/>
    <cellStyle name="Note 240" xfId="3174"/>
    <cellStyle name="Note 241" xfId="3156"/>
    <cellStyle name="Note 242" xfId="3157"/>
    <cellStyle name="Note 243" xfId="3212"/>
    <cellStyle name="Note 244" xfId="3210"/>
    <cellStyle name="Note 245" xfId="3240"/>
    <cellStyle name="Note 246" xfId="3238"/>
    <cellStyle name="Note 247" xfId="3237"/>
    <cellStyle name="Note 248" xfId="3239"/>
    <cellStyle name="Note 249" xfId="3241"/>
    <cellStyle name="Note 25" xfId="300"/>
    <cellStyle name="Note 250" xfId="3261"/>
    <cellStyle name="Note 251" xfId="3274"/>
    <cellStyle name="Note 252" xfId="3287"/>
    <cellStyle name="Note 253" xfId="3300"/>
    <cellStyle name="Note 254" xfId="3313"/>
    <cellStyle name="Note 255" xfId="3326"/>
    <cellStyle name="Note 256" xfId="3394"/>
    <cellStyle name="Note 26" xfId="313"/>
    <cellStyle name="Note 27" xfId="326"/>
    <cellStyle name="Note 28" xfId="339"/>
    <cellStyle name="Note 29" xfId="352"/>
    <cellStyle name="Note 3" xfId="58"/>
    <cellStyle name="Note 30" xfId="365"/>
    <cellStyle name="Note 31" xfId="378"/>
    <cellStyle name="Note 32" xfId="392"/>
    <cellStyle name="Note 33" xfId="405"/>
    <cellStyle name="Note 34" xfId="419"/>
    <cellStyle name="Note 35" xfId="448"/>
    <cellStyle name="Note 36" xfId="388"/>
    <cellStyle name="Note 37" xfId="415"/>
    <cellStyle name="Note 38" xfId="479"/>
    <cellStyle name="Note 39" xfId="469"/>
    <cellStyle name="Note 4" xfId="56"/>
    <cellStyle name="Note 40" xfId="496"/>
    <cellStyle name="Note 41" xfId="509"/>
    <cellStyle name="Note 42" xfId="522"/>
    <cellStyle name="Note 43" xfId="535"/>
    <cellStyle name="Note 44" xfId="548"/>
    <cellStyle name="Note 45" xfId="561"/>
    <cellStyle name="Note 46" xfId="574"/>
    <cellStyle name="Note 47" xfId="587"/>
    <cellStyle name="Note 48" xfId="600"/>
    <cellStyle name="Note 49" xfId="613"/>
    <cellStyle name="Note 5" xfId="55"/>
    <cellStyle name="Note 50" xfId="626"/>
    <cellStyle name="Note 51" xfId="639"/>
    <cellStyle name="Note 52" xfId="652"/>
    <cellStyle name="Note 53" xfId="665"/>
    <cellStyle name="Note 54" xfId="678"/>
    <cellStyle name="Note 55" xfId="691"/>
    <cellStyle name="Note 56" xfId="704"/>
    <cellStyle name="Note 57" xfId="717"/>
    <cellStyle name="Note 58" xfId="730"/>
    <cellStyle name="Note 59" xfId="743"/>
    <cellStyle name="Note 6" xfId="57"/>
    <cellStyle name="Note 60" xfId="756"/>
    <cellStyle name="Note 61" xfId="769"/>
    <cellStyle name="Note 62" xfId="782"/>
    <cellStyle name="Note 63" xfId="795"/>
    <cellStyle name="Note 64" xfId="808"/>
    <cellStyle name="Note 65" xfId="821"/>
    <cellStyle name="Note 66" xfId="834"/>
    <cellStyle name="Note 67" xfId="847"/>
    <cellStyle name="Note 68" xfId="860"/>
    <cellStyle name="Note 69" xfId="873"/>
    <cellStyle name="Note 7" xfId="59"/>
    <cellStyle name="Note 70" xfId="886"/>
    <cellStyle name="Note 71" xfId="899"/>
    <cellStyle name="Note 72" xfId="912"/>
    <cellStyle name="Note 73" xfId="925"/>
    <cellStyle name="Note 74" xfId="938"/>
    <cellStyle name="Note 75" xfId="952"/>
    <cellStyle name="Note 76" xfId="966"/>
    <cellStyle name="Note 77" xfId="979"/>
    <cellStyle name="Note 78" xfId="992"/>
    <cellStyle name="Note 79" xfId="1006"/>
    <cellStyle name="Note 8" xfId="79"/>
    <cellStyle name="Note 80" xfId="1020"/>
    <cellStyle name="Note 81" xfId="1033"/>
    <cellStyle name="Note 82" xfId="1046"/>
    <cellStyle name="Note 83" xfId="1109"/>
    <cellStyle name="Note 84" xfId="1100"/>
    <cellStyle name="Note 85" xfId="1098"/>
    <cellStyle name="Note 86" xfId="475"/>
    <cellStyle name="Note 87" xfId="1117"/>
    <cellStyle name="Note 88" xfId="1127"/>
    <cellStyle name="Note 89" xfId="1144"/>
    <cellStyle name="Note 9" xfId="92"/>
    <cellStyle name="Note 90" xfId="1158"/>
    <cellStyle name="Note 91" xfId="1172"/>
    <cellStyle name="Note 92" xfId="1185"/>
    <cellStyle name="Note 93" xfId="1198"/>
    <cellStyle name="Note 94" xfId="1211"/>
    <cellStyle name="Note 95" xfId="1224"/>
    <cellStyle name="Note 96" xfId="1237"/>
    <cellStyle name="Note 97" xfId="1250"/>
    <cellStyle name="Note 98" xfId="1263"/>
    <cellStyle name="Note 99" xfId="1276"/>
    <cellStyle name="Output" xfId="50" builtinId="21" customBuiltin="1"/>
    <cellStyle name="Percent" xfId="51" builtinId="5"/>
    <cellStyle name="Title" xfId="52" builtinId="15" customBuiltin="1"/>
    <cellStyle name="Total" xfId="53" builtinId="25" customBuiltin="1"/>
    <cellStyle name="Warning Text" xfId="5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worksheet" Target="worksheets/sheet10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76.xml"/><Relationship Id="rId138" Type="http://schemas.openxmlformats.org/officeDocument/2006/relationships/worksheet" Target="worksheets/sheet122.xml"/><Relationship Id="rId159" Type="http://schemas.openxmlformats.org/officeDocument/2006/relationships/worksheet" Target="worksheets/sheet129.xml"/><Relationship Id="rId170" Type="http://schemas.openxmlformats.org/officeDocument/2006/relationships/worksheet" Target="worksheets/sheet140.xml"/><Relationship Id="rId191" Type="http://schemas.openxmlformats.org/officeDocument/2006/relationships/worksheet" Target="worksheets/sheet161.xml"/><Relationship Id="rId205" Type="http://schemas.openxmlformats.org/officeDocument/2006/relationships/worksheet" Target="worksheets/sheet175.xml"/><Relationship Id="rId107" Type="http://schemas.openxmlformats.org/officeDocument/2006/relationships/worksheet" Target="worksheets/sheet9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chartsheet" Target="chartsheets/sheet4.xml"/><Relationship Id="rId128" Type="http://schemas.openxmlformats.org/officeDocument/2006/relationships/chartsheet" Target="chartsheets/sheet9.xml"/><Relationship Id="rId149" Type="http://schemas.openxmlformats.org/officeDocument/2006/relationships/chartsheet" Target="chartsheets/sheet21.xml"/><Relationship Id="rId5" Type="http://schemas.openxmlformats.org/officeDocument/2006/relationships/worksheet" Target="worksheets/sheet5.xml"/><Relationship Id="rId95" Type="http://schemas.openxmlformats.org/officeDocument/2006/relationships/worksheet" Target="worksheets/sheet87.xml"/><Relationship Id="rId160" Type="http://schemas.openxmlformats.org/officeDocument/2006/relationships/worksheet" Target="worksheets/sheet130.xml"/><Relationship Id="rId181" Type="http://schemas.openxmlformats.org/officeDocument/2006/relationships/worksheet" Target="worksheets/sheet151.xml"/><Relationship Id="rId216" Type="http://schemas.openxmlformats.org/officeDocument/2006/relationships/externalLink" Target="externalLinks/externalLink1.xml"/><Relationship Id="rId211" Type="http://schemas.openxmlformats.org/officeDocument/2006/relationships/worksheet" Target="worksheets/sheet18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05.xml"/><Relationship Id="rId118" Type="http://schemas.openxmlformats.org/officeDocument/2006/relationships/worksheet" Target="worksheets/sheet110.xml"/><Relationship Id="rId134" Type="http://schemas.openxmlformats.org/officeDocument/2006/relationships/chartsheet" Target="chartsheets/sheet15.xml"/><Relationship Id="rId139" Type="http://schemas.openxmlformats.org/officeDocument/2006/relationships/worksheet" Target="worksheets/sheet123.xml"/><Relationship Id="rId80" Type="http://schemas.openxmlformats.org/officeDocument/2006/relationships/worksheet" Target="worksheets/sheet72.xml"/><Relationship Id="rId85" Type="http://schemas.openxmlformats.org/officeDocument/2006/relationships/worksheet" Target="worksheets/sheet77.xml"/><Relationship Id="rId150" Type="http://schemas.openxmlformats.org/officeDocument/2006/relationships/chartsheet" Target="chartsheets/sheet22.xml"/><Relationship Id="rId155" Type="http://schemas.openxmlformats.org/officeDocument/2006/relationships/chartsheet" Target="chartsheets/sheet27.xml"/><Relationship Id="rId171" Type="http://schemas.openxmlformats.org/officeDocument/2006/relationships/worksheet" Target="worksheets/sheet141.xml"/><Relationship Id="rId176" Type="http://schemas.openxmlformats.org/officeDocument/2006/relationships/worksheet" Target="worksheets/sheet146.xml"/><Relationship Id="rId192" Type="http://schemas.openxmlformats.org/officeDocument/2006/relationships/worksheet" Target="worksheets/sheet162.xml"/><Relationship Id="rId197" Type="http://schemas.openxmlformats.org/officeDocument/2006/relationships/worksheet" Target="worksheets/sheet167.xml"/><Relationship Id="rId206" Type="http://schemas.openxmlformats.org/officeDocument/2006/relationships/worksheet" Target="worksheets/sheet176.xml"/><Relationship Id="rId201" Type="http://schemas.openxmlformats.org/officeDocument/2006/relationships/worksheet" Target="worksheets/sheet171.xml"/><Relationship Id="rId222"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95.xml"/><Relationship Id="rId108" Type="http://schemas.openxmlformats.org/officeDocument/2006/relationships/worksheet" Target="worksheets/sheet100.xml"/><Relationship Id="rId124" Type="http://schemas.openxmlformats.org/officeDocument/2006/relationships/worksheet" Target="worksheets/sheet116.xml"/><Relationship Id="rId129" Type="http://schemas.openxmlformats.org/officeDocument/2006/relationships/chartsheet" Target="chartsheets/sheet1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chartsheet" Target="chartsheets/sheet5.xml"/><Relationship Id="rId91" Type="http://schemas.openxmlformats.org/officeDocument/2006/relationships/worksheet" Target="worksheets/sheet83.xml"/><Relationship Id="rId96" Type="http://schemas.openxmlformats.org/officeDocument/2006/relationships/worksheet" Target="worksheets/sheet88.xml"/><Relationship Id="rId140" Type="http://schemas.openxmlformats.org/officeDocument/2006/relationships/worksheet" Target="worksheets/sheet124.xml"/><Relationship Id="rId145" Type="http://schemas.openxmlformats.org/officeDocument/2006/relationships/chartsheet" Target="chartsheets/sheet17.xml"/><Relationship Id="rId161" Type="http://schemas.openxmlformats.org/officeDocument/2006/relationships/worksheet" Target="worksheets/sheet131.xml"/><Relationship Id="rId166" Type="http://schemas.openxmlformats.org/officeDocument/2006/relationships/worksheet" Target="worksheets/sheet136.xml"/><Relationship Id="rId182" Type="http://schemas.openxmlformats.org/officeDocument/2006/relationships/worksheet" Target="worksheets/sheet152.xml"/><Relationship Id="rId187" Type="http://schemas.openxmlformats.org/officeDocument/2006/relationships/worksheet" Target="worksheets/sheet157.xml"/><Relationship Id="rId217"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18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06.xml"/><Relationship Id="rId119" Type="http://schemas.openxmlformats.org/officeDocument/2006/relationships/worksheet" Target="worksheets/sheet11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73.xml"/><Relationship Id="rId86" Type="http://schemas.openxmlformats.org/officeDocument/2006/relationships/worksheet" Target="worksheets/sheet78.xml"/><Relationship Id="rId130" Type="http://schemas.openxmlformats.org/officeDocument/2006/relationships/chartsheet" Target="chartsheets/sheet11.xml"/><Relationship Id="rId135" Type="http://schemas.openxmlformats.org/officeDocument/2006/relationships/chartsheet" Target="chartsheets/sheet16.xml"/><Relationship Id="rId151" Type="http://schemas.openxmlformats.org/officeDocument/2006/relationships/chartsheet" Target="chartsheets/sheet23.xml"/><Relationship Id="rId156" Type="http://schemas.openxmlformats.org/officeDocument/2006/relationships/chartsheet" Target="chartsheets/sheet28.xml"/><Relationship Id="rId177" Type="http://schemas.openxmlformats.org/officeDocument/2006/relationships/worksheet" Target="worksheets/sheet147.xml"/><Relationship Id="rId198" Type="http://schemas.openxmlformats.org/officeDocument/2006/relationships/worksheet" Target="worksheets/sheet168.xml"/><Relationship Id="rId172" Type="http://schemas.openxmlformats.org/officeDocument/2006/relationships/worksheet" Target="worksheets/sheet142.xml"/><Relationship Id="rId193" Type="http://schemas.openxmlformats.org/officeDocument/2006/relationships/worksheet" Target="worksheets/sheet163.xml"/><Relationship Id="rId202" Type="http://schemas.openxmlformats.org/officeDocument/2006/relationships/worksheet" Target="worksheets/sheet172.xml"/><Relationship Id="rId207" Type="http://schemas.openxmlformats.org/officeDocument/2006/relationships/worksheet" Target="worksheets/sheet177.xml"/><Relationship Id="rId223"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hartsheet" Target="chartsheets/sheet6.xml"/><Relationship Id="rId97" Type="http://schemas.openxmlformats.org/officeDocument/2006/relationships/worksheet" Target="worksheets/sheet89.xml"/><Relationship Id="rId104" Type="http://schemas.openxmlformats.org/officeDocument/2006/relationships/worksheet" Target="worksheets/sheet96.xml"/><Relationship Id="rId120" Type="http://schemas.openxmlformats.org/officeDocument/2006/relationships/worksheet" Target="worksheets/sheet112.xml"/><Relationship Id="rId125" Type="http://schemas.openxmlformats.org/officeDocument/2006/relationships/worksheet" Target="worksheets/sheet117.xml"/><Relationship Id="rId141" Type="http://schemas.openxmlformats.org/officeDocument/2006/relationships/worksheet" Target="worksheets/sheet125.xml"/><Relationship Id="rId146" Type="http://schemas.openxmlformats.org/officeDocument/2006/relationships/chartsheet" Target="chartsheets/sheet18.xml"/><Relationship Id="rId167" Type="http://schemas.openxmlformats.org/officeDocument/2006/relationships/worksheet" Target="worksheets/sheet137.xml"/><Relationship Id="rId188" Type="http://schemas.openxmlformats.org/officeDocument/2006/relationships/worksheet" Target="worksheets/sheet158.xml"/><Relationship Id="rId7" Type="http://schemas.openxmlformats.org/officeDocument/2006/relationships/worksheet" Target="worksheets/sheet7.xml"/><Relationship Id="rId71" Type="http://schemas.openxmlformats.org/officeDocument/2006/relationships/chartsheet" Target="chartsheets/sheet1.xml"/><Relationship Id="rId92" Type="http://schemas.openxmlformats.org/officeDocument/2006/relationships/worksheet" Target="worksheets/sheet84.xml"/><Relationship Id="rId162" Type="http://schemas.openxmlformats.org/officeDocument/2006/relationships/worksheet" Target="worksheets/sheet132.xml"/><Relationship Id="rId183" Type="http://schemas.openxmlformats.org/officeDocument/2006/relationships/worksheet" Target="worksheets/sheet153.xml"/><Relationship Id="rId213" Type="http://schemas.openxmlformats.org/officeDocument/2006/relationships/worksheet" Target="worksheets/sheet183.xml"/><Relationship Id="rId218"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79.xml"/><Relationship Id="rId110" Type="http://schemas.openxmlformats.org/officeDocument/2006/relationships/worksheet" Target="worksheets/sheet102.xml"/><Relationship Id="rId115" Type="http://schemas.openxmlformats.org/officeDocument/2006/relationships/worksheet" Target="worksheets/sheet107.xml"/><Relationship Id="rId131" Type="http://schemas.openxmlformats.org/officeDocument/2006/relationships/chartsheet" Target="chartsheets/sheet12.xml"/><Relationship Id="rId136" Type="http://schemas.openxmlformats.org/officeDocument/2006/relationships/worksheet" Target="worksheets/sheet120.xml"/><Relationship Id="rId157" Type="http://schemas.openxmlformats.org/officeDocument/2006/relationships/chartsheet" Target="chartsheets/sheet29.xml"/><Relationship Id="rId178" Type="http://schemas.openxmlformats.org/officeDocument/2006/relationships/worksheet" Target="worksheets/sheet148.xml"/><Relationship Id="rId61" Type="http://schemas.openxmlformats.org/officeDocument/2006/relationships/worksheet" Target="worksheets/sheet61.xml"/><Relationship Id="rId82" Type="http://schemas.openxmlformats.org/officeDocument/2006/relationships/worksheet" Target="worksheets/sheet74.xml"/><Relationship Id="rId152" Type="http://schemas.openxmlformats.org/officeDocument/2006/relationships/chartsheet" Target="chartsheets/sheet24.xml"/><Relationship Id="rId173" Type="http://schemas.openxmlformats.org/officeDocument/2006/relationships/worksheet" Target="worksheets/sheet143.xml"/><Relationship Id="rId194" Type="http://schemas.openxmlformats.org/officeDocument/2006/relationships/worksheet" Target="worksheets/sheet164.xml"/><Relationship Id="rId199" Type="http://schemas.openxmlformats.org/officeDocument/2006/relationships/worksheet" Target="worksheets/sheet169.xml"/><Relationship Id="rId203" Type="http://schemas.openxmlformats.org/officeDocument/2006/relationships/worksheet" Target="worksheets/sheet173.xml"/><Relationship Id="rId208" Type="http://schemas.openxmlformats.org/officeDocument/2006/relationships/worksheet" Target="worksheets/sheet178.xml"/><Relationship Id="rId19" Type="http://schemas.openxmlformats.org/officeDocument/2006/relationships/worksheet" Target="worksheets/sheet19.xml"/><Relationship Id="rId224" Type="http://schemas.openxmlformats.org/officeDocument/2006/relationships/calcChain" Target="calcChain.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chartsheet" Target="chartsheets/sheet7.xml"/><Relationship Id="rId100" Type="http://schemas.openxmlformats.org/officeDocument/2006/relationships/worksheet" Target="worksheets/sheet92.xml"/><Relationship Id="rId105" Type="http://schemas.openxmlformats.org/officeDocument/2006/relationships/worksheet" Target="worksheets/sheet97.xml"/><Relationship Id="rId126" Type="http://schemas.openxmlformats.org/officeDocument/2006/relationships/worksheet" Target="worksheets/sheet118.xml"/><Relationship Id="rId147" Type="http://schemas.openxmlformats.org/officeDocument/2006/relationships/chartsheet" Target="chartsheets/sheet19.xml"/><Relationship Id="rId168" Type="http://schemas.openxmlformats.org/officeDocument/2006/relationships/worksheet" Target="worksheets/sheet13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hartsheet" Target="chartsheets/sheet2.xml"/><Relationship Id="rId93" Type="http://schemas.openxmlformats.org/officeDocument/2006/relationships/worksheet" Target="worksheets/sheet85.xml"/><Relationship Id="rId98" Type="http://schemas.openxmlformats.org/officeDocument/2006/relationships/worksheet" Target="worksheets/sheet90.xml"/><Relationship Id="rId121" Type="http://schemas.openxmlformats.org/officeDocument/2006/relationships/worksheet" Target="worksheets/sheet113.xml"/><Relationship Id="rId142" Type="http://schemas.openxmlformats.org/officeDocument/2006/relationships/worksheet" Target="worksheets/sheet126.xml"/><Relationship Id="rId163" Type="http://schemas.openxmlformats.org/officeDocument/2006/relationships/worksheet" Target="worksheets/sheet133.xml"/><Relationship Id="rId184" Type="http://schemas.openxmlformats.org/officeDocument/2006/relationships/worksheet" Target="worksheets/sheet154.xml"/><Relationship Id="rId189" Type="http://schemas.openxmlformats.org/officeDocument/2006/relationships/worksheet" Target="worksheets/sheet159.xml"/><Relationship Id="rId219" Type="http://schemas.openxmlformats.org/officeDocument/2006/relationships/externalLink" Target="externalLinks/externalLink4.xml"/><Relationship Id="rId3" Type="http://schemas.openxmlformats.org/officeDocument/2006/relationships/worksheet" Target="worksheets/sheet3.xml"/><Relationship Id="rId214" Type="http://schemas.openxmlformats.org/officeDocument/2006/relationships/worksheet" Target="worksheets/sheet18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08.xml"/><Relationship Id="rId137" Type="http://schemas.openxmlformats.org/officeDocument/2006/relationships/worksheet" Target="worksheets/sheet121.xml"/><Relationship Id="rId158" Type="http://schemas.openxmlformats.org/officeDocument/2006/relationships/chartsheet" Target="chartsheets/sheet3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75.xml"/><Relationship Id="rId88" Type="http://schemas.openxmlformats.org/officeDocument/2006/relationships/worksheet" Target="worksheets/sheet80.xml"/><Relationship Id="rId111" Type="http://schemas.openxmlformats.org/officeDocument/2006/relationships/worksheet" Target="worksheets/sheet103.xml"/><Relationship Id="rId132" Type="http://schemas.openxmlformats.org/officeDocument/2006/relationships/chartsheet" Target="chartsheets/sheet13.xml"/><Relationship Id="rId153" Type="http://schemas.openxmlformats.org/officeDocument/2006/relationships/chartsheet" Target="chartsheets/sheet25.xml"/><Relationship Id="rId174" Type="http://schemas.openxmlformats.org/officeDocument/2006/relationships/worksheet" Target="worksheets/sheet144.xml"/><Relationship Id="rId179" Type="http://schemas.openxmlformats.org/officeDocument/2006/relationships/worksheet" Target="worksheets/sheet149.xml"/><Relationship Id="rId195" Type="http://schemas.openxmlformats.org/officeDocument/2006/relationships/worksheet" Target="worksheets/sheet165.xml"/><Relationship Id="rId209" Type="http://schemas.openxmlformats.org/officeDocument/2006/relationships/worksheet" Target="worksheets/sheet179.xml"/><Relationship Id="rId190" Type="http://schemas.openxmlformats.org/officeDocument/2006/relationships/worksheet" Target="worksheets/sheet160.xml"/><Relationship Id="rId204" Type="http://schemas.openxmlformats.org/officeDocument/2006/relationships/worksheet" Target="worksheets/sheet174.xml"/><Relationship Id="rId220" Type="http://schemas.openxmlformats.org/officeDocument/2006/relationships/externalLink" Target="externalLinks/externalLink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98.xml"/><Relationship Id="rId127"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chartsheet" Target="chartsheets/sheet3.xml"/><Relationship Id="rId78" Type="http://schemas.openxmlformats.org/officeDocument/2006/relationships/chartsheet" Target="chartsheets/sheet8.xml"/><Relationship Id="rId94" Type="http://schemas.openxmlformats.org/officeDocument/2006/relationships/worksheet" Target="worksheets/sheet86.xml"/><Relationship Id="rId99" Type="http://schemas.openxmlformats.org/officeDocument/2006/relationships/worksheet" Target="worksheets/sheet91.xml"/><Relationship Id="rId101" Type="http://schemas.openxmlformats.org/officeDocument/2006/relationships/worksheet" Target="worksheets/sheet93.xml"/><Relationship Id="rId122" Type="http://schemas.openxmlformats.org/officeDocument/2006/relationships/worksheet" Target="worksheets/sheet114.xml"/><Relationship Id="rId143" Type="http://schemas.openxmlformats.org/officeDocument/2006/relationships/worksheet" Target="worksheets/sheet127.xml"/><Relationship Id="rId148" Type="http://schemas.openxmlformats.org/officeDocument/2006/relationships/chartsheet" Target="chartsheets/sheet20.xml"/><Relationship Id="rId164" Type="http://schemas.openxmlformats.org/officeDocument/2006/relationships/worksheet" Target="worksheets/sheet134.xml"/><Relationship Id="rId169" Type="http://schemas.openxmlformats.org/officeDocument/2006/relationships/worksheet" Target="worksheets/sheet139.xml"/><Relationship Id="rId185" Type="http://schemas.openxmlformats.org/officeDocument/2006/relationships/worksheet" Target="worksheets/sheet15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50.xml"/><Relationship Id="rId210" Type="http://schemas.openxmlformats.org/officeDocument/2006/relationships/worksheet" Target="worksheets/sheet180.xml"/><Relationship Id="rId215" Type="http://schemas.openxmlformats.org/officeDocument/2006/relationships/worksheet" Target="worksheets/sheet18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1.xml"/><Relationship Id="rId112" Type="http://schemas.openxmlformats.org/officeDocument/2006/relationships/worksheet" Target="worksheets/sheet104.xml"/><Relationship Id="rId133" Type="http://schemas.openxmlformats.org/officeDocument/2006/relationships/chartsheet" Target="chartsheets/sheet14.xml"/><Relationship Id="rId154" Type="http://schemas.openxmlformats.org/officeDocument/2006/relationships/chartsheet" Target="chartsheets/sheet26.xml"/><Relationship Id="rId175" Type="http://schemas.openxmlformats.org/officeDocument/2006/relationships/worksheet" Target="worksheets/sheet145.xml"/><Relationship Id="rId196" Type="http://schemas.openxmlformats.org/officeDocument/2006/relationships/worksheet" Target="worksheets/sheet166.xml"/><Relationship Id="rId200" Type="http://schemas.openxmlformats.org/officeDocument/2006/relationships/worksheet" Target="worksheets/sheet170.xml"/><Relationship Id="rId16" Type="http://schemas.openxmlformats.org/officeDocument/2006/relationships/worksheet" Target="worksheets/sheet16.xml"/><Relationship Id="rId221" Type="http://schemas.openxmlformats.org/officeDocument/2006/relationships/theme" Target="theme/theme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1.xml"/><Relationship Id="rId102" Type="http://schemas.openxmlformats.org/officeDocument/2006/relationships/worksheet" Target="worksheets/sheet94.xml"/><Relationship Id="rId123" Type="http://schemas.openxmlformats.org/officeDocument/2006/relationships/worksheet" Target="worksheets/sheet115.xml"/><Relationship Id="rId144" Type="http://schemas.openxmlformats.org/officeDocument/2006/relationships/worksheet" Target="worksheets/sheet128.xml"/><Relationship Id="rId90" Type="http://schemas.openxmlformats.org/officeDocument/2006/relationships/worksheet" Target="worksheets/sheet82.xml"/><Relationship Id="rId165" Type="http://schemas.openxmlformats.org/officeDocument/2006/relationships/worksheet" Target="worksheets/sheet135.xml"/><Relationship Id="rId186" Type="http://schemas.openxmlformats.org/officeDocument/2006/relationships/worksheet" Target="worksheets/sheet15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chart1.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7249886199649508"/>
          <c:y val="2.4096385542168676E-2"/>
          <c:w val="0.73382146419889904"/>
          <c:h val="0.83132530120481962"/>
        </c:manualLayout>
      </c:layout>
      <c:lineChart>
        <c:grouping val="standard"/>
        <c:ser>
          <c:idx val="1"/>
          <c:order val="1"/>
          <c:tx>
            <c:v>Index of Real GDP per capita (Chained)</c:v>
          </c:tx>
          <c:marker>
            <c:symbol val="none"/>
          </c:marker>
          <c:cat>
            <c:numRef>
              <c:f>'C1'!$A$26:$A$55</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'C1'!$E$26:$E$55</c:f>
              <c:numCache>
                <c:formatCode>0.00</c:formatCode>
                <c:ptCount val="30"/>
                <c:pt idx="0">
                  <c:v>1</c:v>
                </c:pt>
                <c:pt idx="1">
                  <c:v>0.95992228160891968</c:v>
                </c:pt>
                <c:pt idx="2">
                  <c:v>0.97631252493473097</c:v>
                </c:pt>
                <c:pt idx="3">
                  <c:v>1.023373164412158</c:v>
                </c:pt>
                <c:pt idx="4">
                  <c:v>1.0625374852042129</c:v>
                </c:pt>
                <c:pt idx="5">
                  <c:v>1.0774950645832027</c:v>
                </c:pt>
                <c:pt idx="6">
                  <c:v>1.1086131682562641</c:v>
                </c:pt>
                <c:pt idx="7">
                  <c:v>1.1487686187344379</c:v>
                </c:pt>
                <c:pt idx="8">
                  <c:v>1.1578970927424652</c:v>
                </c:pt>
                <c:pt idx="9">
                  <c:v>1.1427724577223823</c:v>
                </c:pt>
                <c:pt idx="10">
                  <c:v>1.1050450316926577</c:v>
                </c:pt>
                <c:pt idx="11">
                  <c:v>1.1015994599011454</c:v>
                </c:pt>
                <c:pt idx="12">
                  <c:v>1.1150397422610945</c:v>
                </c:pt>
                <c:pt idx="13">
                  <c:v>1.155879151159152</c:v>
                </c:pt>
                <c:pt idx="14">
                  <c:v>1.1761080069023411</c:v>
                </c:pt>
                <c:pt idx="15">
                  <c:v>1.1827188997394475</c:v>
                </c:pt>
                <c:pt idx="16">
                  <c:v>1.2205098553099314</c:v>
                </c:pt>
                <c:pt idx="17">
                  <c:v>1.2600188954796516</c:v>
                </c:pt>
                <c:pt idx="18">
                  <c:v>1.3189554302677304</c:v>
                </c:pt>
                <c:pt idx="19">
                  <c:v>1.3751141740449442</c:v>
                </c:pt>
                <c:pt idx="20">
                  <c:v>1.3846047310868712</c:v>
                </c:pt>
                <c:pt idx="21">
                  <c:v>1.4098879060886766</c:v>
                </c:pt>
                <c:pt idx="22">
                  <c:v>1.423424199892706</c:v>
                </c:pt>
                <c:pt idx="23">
                  <c:v>1.4540019676421194</c:v>
                </c:pt>
                <c:pt idx="24">
                  <c:v>1.4837525320338874</c:v>
                </c:pt>
                <c:pt idx="25">
                  <c:v>1.5101439096611207</c:v>
                </c:pt>
                <c:pt idx="26">
                  <c:v>1.5267919291093406</c:v>
                </c:pt>
                <c:pt idx="27">
                  <c:v>1.5169115008061871</c:v>
                </c:pt>
                <c:pt idx="28">
                  <c:v>1.4618288575369833</c:v>
                </c:pt>
                <c:pt idx="29">
                  <c:v>1.4625007959631018</c:v>
                </c:pt>
              </c:numCache>
            </c:numRef>
          </c:val>
        </c:ser>
        <c:marker val="1"/>
        <c:axId val="129512576"/>
        <c:axId val="129514112"/>
      </c:lineChart>
      <c:lineChart>
        <c:grouping val="standard"/>
        <c:ser>
          <c:idx val="0"/>
          <c:order val="0"/>
          <c:tx>
            <c:v>Index of Overall Ecomomic Well-being</c:v>
          </c:tx>
          <c:marker>
            <c:symbol val="none"/>
          </c:marker>
          <c:val>
            <c:numRef>
              <c:f>'C1'!$H$26:$H$55</c:f>
              <c:numCache>
                <c:formatCode>0.00</c:formatCode>
                <c:ptCount val="30"/>
                <c:pt idx="0">
                  <c:v>1</c:v>
                </c:pt>
                <c:pt idx="1">
                  <c:v>0.96697453243086962</c:v>
                </c:pt>
                <c:pt idx="2">
                  <c:v>0.94552311210952122</c:v>
                </c:pt>
                <c:pt idx="3">
                  <c:v>0.95675730863949349</c:v>
                </c:pt>
                <c:pt idx="4">
                  <c:v>0.99833701252584039</c:v>
                </c:pt>
                <c:pt idx="5">
                  <c:v>1.0087586079828659</c:v>
                </c:pt>
                <c:pt idx="6">
                  <c:v>1.0324329710472897</c:v>
                </c:pt>
                <c:pt idx="7">
                  <c:v>1.0883831218167683</c:v>
                </c:pt>
                <c:pt idx="8">
                  <c:v>1.124533408561339</c:v>
                </c:pt>
                <c:pt idx="9">
                  <c:v>1.0954442499592745</c:v>
                </c:pt>
                <c:pt idx="10">
                  <c:v>1.0742283336230387</c:v>
                </c:pt>
                <c:pt idx="11">
                  <c:v>1.0711472382014182</c:v>
                </c:pt>
                <c:pt idx="12">
                  <c:v>1.0716088780303314</c:v>
                </c:pt>
                <c:pt idx="13">
                  <c:v>1.0856328392407162</c:v>
                </c:pt>
                <c:pt idx="14">
                  <c:v>1.0894045964970784</c:v>
                </c:pt>
                <c:pt idx="15">
                  <c:v>1.0647387454897002</c:v>
                </c:pt>
                <c:pt idx="16">
                  <c:v>1.0666885661768561</c:v>
                </c:pt>
                <c:pt idx="17">
                  <c:v>1.0813233328905061</c:v>
                </c:pt>
                <c:pt idx="18">
                  <c:v>1.1048967216754699</c:v>
                </c:pt>
                <c:pt idx="19">
                  <c:v>1.1381970498481062</c:v>
                </c:pt>
                <c:pt idx="20">
                  <c:v>1.1381893382703021</c:v>
                </c:pt>
                <c:pt idx="21">
                  <c:v>1.1216149642064179</c:v>
                </c:pt>
                <c:pt idx="22">
                  <c:v>1.1401722543646142</c:v>
                </c:pt>
                <c:pt idx="23">
                  <c:v>1.1520649545610917</c:v>
                </c:pt>
                <c:pt idx="24">
                  <c:v>1.1861945624878831</c:v>
                </c:pt>
                <c:pt idx="25">
                  <c:v>1.2411851681860251</c:v>
                </c:pt>
                <c:pt idx="26">
                  <c:v>1.2702622671050539</c:v>
                </c:pt>
                <c:pt idx="27">
                  <c:v>1.2836946652766406</c:v>
                </c:pt>
                <c:pt idx="28">
                  <c:v>1.2362617224571342</c:v>
                </c:pt>
                <c:pt idx="29">
                  <c:v>1.2541662265482272</c:v>
                </c:pt>
              </c:numCache>
            </c:numRef>
          </c:val>
        </c:ser>
        <c:marker val="1"/>
        <c:axId val="129522304"/>
        <c:axId val="129520768"/>
      </c:lineChart>
      <c:catAx>
        <c:axId val="129512576"/>
        <c:scaling>
          <c:orientation val="minMax"/>
        </c:scaling>
        <c:axPos val="b"/>
        <c:numFmt formatCode="General" sourceLinked="1"/>
        <c:majorTickMark val="none"/>
        <c:tickLblPos val="nextTo"/>
        <c:txPr>
          <a:bodyPr rot="5400000" vert="horz"/>
          <a:lstStyle/>
          <a:p>
            <a:pPr>
              <a:defRPr lang="en-CA"/>
            </a:pPr>
            <a:endParaRPr lang="en-US"/>
          </a:p>
        </c:txPr>
        <c:crossAx val="129514112"/>
        <c:crosses val="autoZero"/>
        <c:auto val="1"/>
        <c:lblAlgn val="ctr"/>
        <c:lblOffset val="100"/>
      </c:catAx>
      <c:valAx>
        <c:axId val="129514112"/>
        <c:scaling>
          <c:orientation val="minMax"/>
          <c:min val="0.8"/>
        </c:scaling>
        <c:axPos val="l"/>
        <c:majorGridlines/>
        <c:title>
          <c:tx>
            <c:rich>
              <a:bodyPr/>
              <a:lstStyle/>
              <a:p>
                <a:pPr>
                  <a:defRPr lang="en-CA" b="0"/>
                </a:pPr>
                <a:r>
                  <a:rPr lang="en-US" b="0"/>
                  <a:t>Index (normalized to 100 in 1981)</a:t>
                </a:r>
              </a:p>
            </c:rich>
          </c:tx>
          <c:layout>
            <c:manualLayout>
              <c:xMode val="edge"/>
              <c:yMode val="edge"/>
              <c:x val="2.1635819507801569E-2"/>
              <c:y val="0.13877525851437303"/>
            </c:manualLayout>
          </c:layout>
        </c:title>
        <c:numFmt formatCode="0.00" sourceLinked="1"/>
        <c:majorTickMark val="none"/>
        <c:tickLblPos val="nextTo"/>
        <c:txPr>
          <a:bodyPr/>
          <a:lstStyle/>
          <a:p>
            <a:pPr>
              <a:defRPr lang="en-CA"/>
            </a:pPr>
            <a:endParaRPr lang="en-US"/>
          </a:p>
        </c:txPr>
        <c:crossAx val="129512576"/>
        <c:crosses val="autoZero"/>
        <c:crossBetween val="between"/>
      </c:valAx>
      <c:valAx>
        <c:axId val="129520768"/>
        <c:scaling>
          <c:orientation val="minMax"/>
        </c:scaling>
        <c:delete val="1"/>
        <c:axPos val="r"/>
        <c:numFmt formatCode="0.00" sourceLinked="1"/>
        <c:tickLblPos val="none"/>
        <c:crossAx val="129522304"/>
        <c:crosses val="max"/>
        <c:crossBetween val="between"/>
      </c:valAx>
      <c:catAx>
        <c:axId val="129522304"/>
        <c:scaling>
          <c:orientation val="minMax"/>
        </c:scaling>
        <c:delete val="1"/>
        <c:axPos val="b"/>
        <c:numFmt formatCode="General" sourceLinked="1"/>
        <c:tickLblPos val="none"/>
        <c:crossAx val="129520768"/>
        <c:crosses val="autoZero"/>
        <c:auto val="1"/>
        <c:lblAlgn val="ctr"/>
        <c:lblOffset val="100"/>
      </c:catAx>
    </c:plotArea>
    <c:legend>
      <c:legendPos val="r"/>
      <c:layout>
        <c:manualLayout>
          <c:xMode val="edge"/>
          <c:yMode val="edge"/>
          <c:x val="0.1956223184279087"/>
          <c:y val="4.9494987825317506E-2"/>
          <c:w val="0.43619412887042258"/>
          <c:h val="8.9098754180366765E-2"/>
        </c:manualLayout>
      </c:layout>
      <c:spPr>
        <a:solidFill>
          <a:schemeClr val="bg1"/>
        </a:solidFill>
        <a:ln>
          <a:solidFill>
            <a:sysClr val="windowText" lastClr="000000"/>
          </a:solidFill>
        </a:ln>
      </c:spPr>
      <c:txPr>
        <a:bodyPr/>
        <a:lstStyle/>
        <a:p>
          <a:pPr>
            <a:defRPr lang="en-CA" sz="800"/>
          </a:pPr>
          <a:endParaRPr lang="en-US"/>
        </a:p>
      </c:txPr>
    </c:legend>
    <c:plotVisOnly val="1"/>
    <c:dispBlanksAs val="gap"/>
  </c:chart>
  <c:spPr>
    <a:ln>
      <a:noFill/>
    </a:ln>
  </c:spPr>
  <c:printSettings>
    <c:headerFooter/>
    <c:pageMargins b="0.75000000000000167" l="0.70000000000000062" r="0.70000000000000062" t="0.75000000000000167"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9: Overall Index of Economic Well-being, New Brunswick vs. Canada</a:t>
            </a:r>
          </a:p>
        </c:rich>
      </c:tx>
      <c:layout>
        <c:manualLayout>
          <c:xMode val="edge"/>
          <c:yMode val="edge"/>
          <c:x val="0.21864594894561598"/>
          <c:y val="1.9575856443719643E-2"/>
        </c:manualLayout>
      </c:layout>
      <c:spPr>
        <a:noFill/>
        <a:ln w="25400">
          <a:noFill/>
        </a:ln>
      </c:spPr>
    </c:title>
    <c:plotArea>
      <c:layout>
        <c:manualLayout>
          <c:layoutTarget val="inner"/>
          <c:xMode val="edge"/>
          <c:yMode val="edge"/>
          <c:x val="4.1065482796892344E-2"/>
          <c:y val="0.12234910277324652"/>
          <c:w val="0.84239733629301672"/>
          <c:h val="0.81076672104404557"/>
        </c:manualLayout>
      </c:layout>
      <c:lineChart>
        <c:grouping val="standard"/>
        <c:ser>
          <c:idx val="1"/>
          <c:order val="0"/>
          <c:tx>
            <c:strRef>
              <c:f>'11'!$F$4</c:f>
              <c:strCache>
                <c:ptCount val="1"/>
                <c:pt idx="0">
                  <c:v>NB</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'11'!$AX$5:$AX$34</c:f>
              <c:numCache>
                <c:formatCode>0.000</c:formatCode>
                <c:ptCount val="19"/>
                <c:pt idx="0">
                  <c:v>0.28130398038846005</c:v>
                </c:pt>
                <c:pt idx="1">
                  <c:v>0.27462929228780336</c:v>
                </c:pt>
                <c:pt idx="2">
                  <c:v>0.24268828689987026</c:v>
                </c:pt>
                <c:pt idx="3">
                  <c:v>0.29470905072151476</c:v>
                </c:pt>
                <c:pt idx="4">
                  <c:v>0.34415307125392819</c:v>
                </c:pt>
                <c:pt idx="5">
                  <c:v>0.36960807540334273</c:v>
                </c:pt>
                <c:pt idx="6">
                  <c:v>0.35793312782237163</c:v>
                </c:pt>
                <c:pt idx="7">
                  <c:v>0.40380854445095876</c:v>
                </c:pt>
                <c:pt idx="8">
                  <c:v>0.41385266395175652</c:v>
                </c:pt>
                <c:pt idx="9">
                  <c:v>0.41739782463458652</c:v>
                </c:pt>
                <c:pt idx="10">
                  <c:v>0.40938665075852987</c:v>
                </c:pt>
                <c:pt idx="11">
                  <c:v>0.40098644095645836</c:v>
                </c:pt>
                <c:pt idx="12">
                  <c:v>0.40114877132092819</c:v>
                </c:pt>
                <c:pt idx="13">
                  <c:v>0.38570111332822571</c:v>
                </c:pt>
                <c:pt idx="14">
                  <c:v>0.41837029399779413</c:v>
                </c:pt>
                <c:pt idx="15">
                  <c:v>0.42930919566229225</c:v>
                </c:pt>
                <c:pt idx="16">
                  <c:v>0.41347284761594705</c:v>
                </c:pt>
                <c:pt idx="17">
                  <c:v>0.43131786219393403</c:v>
                </c:pt>
                <c:pt idx="18">
                  <c:v>0.44076766451187394</c:v>
                </c:pt>
              </c:numCache>
            </c:numRef>
          </c:val>
        </c:ser>
        <c:ser>
          <c:idx val="0"/>
          <c:order val="1"/>
          <c:tx>
            <c:strRef>
              <c:f>'11'!$AT$4</c:f>
              <c:strCache>
                <c:ptCount val="1"/>
                <c:pt idx="0">
                  <c:v>Canada</c:v>
                </c:pt>
              </c:strCache>
            </c:strRef>
          </c:tx>
          <c:spPr>
            <a:ln w="12700">
              <a:solidFill>
                <a:srgbClr val="000000"/>
              </a:solidFill>
              <a:prstDash val="solid"/>
            </a:ln>
          </c:spPr>
          <c:marker>
            <c:symbol val="square"/>
            <c:size val="3"/>
            <c:spPr>
              <a:noFill/>
              <a:ln w="9525">
                <a:noFill/>
              </a:ln>
            </c:spPr>
          </c:marker>
          <c:val>
            <c:numRef>
              <c:f>'11'!$AT$5:$AT$34</c:f>
              <c:numCache>
                <c:formatCode>0.000</c:formatCode>
                <c:ptCount val="19"/>
                <c:pt idx="0">
                  <c:v>0.44780458265691525</c:v>
                </c:pt>
                <c:pt idx="1">
                  <c:v>0.43301562693507134</c:v>
                </c:pt>
                <c:pt idx="2">
                  <c:v>0.42340958261067185</c:v>
                </c:pt>
                <c:pt idx="3">
                  <c:v>0.42844030729926186</c:v>
                </c:pt>
                <c:pt idx="4">
                  <c:v>0.44705988924508555</c:v>
                </c:pt>
                <c:pt idx="5">
                  <c:v>0.45172672744933806</c:v>
                </c:pt>
                <c:pt idx="6">
                  <c:v>0.46232821572107063</c:v>
                </c:pt>
                <c:pt idx="7">
                  <c:v>0.48738294963598849</c:v>
                </c:pt>
                <c:pt idx="8">
                  <c:v>0.50357121370456881</c:v>
                </c:pt>
                <c:pt idx="9">
                  <c:v>0.49054495517693048</c:v>
                </c:pt>
                <c:pt idx="10">
                  <c:v>0.48104437061629834</c:v>
                </c:pt>
                <c:pt idx="11">
                  <c:v>0.47966464196689351</c:v>
                </c:pt>
                <c:pt idx="12">
                  <c:v>0.4798713663978178</c:v>
                </c:pt>
                <c:pt idx="13">
                  <c:v>0.48615136049483088</c:v>
                </c:pt>
                <c:pt idx="14">
                  <c:v>0.4878403706788994</c:v>
                </c:pt>
                <c:pt idx="15">
                  <c:v>0.47679488956266264</c:v>
                </c:pt>
                <c:pt idx="16">
                  <c:v>0.47766802820173043</c:v>
                </c:pt>
                <c:pt idx="17">
                  <c:v>0.48422154380221771</c:v>
                </c:pt>
                <c:pt idx="18">
                  <c:v>0.49477781532887766</c:v>
                </c:pt>
              </c:numCache>
            </c:numRef>
          </c:val>
        </c:ser>
        <c:marker val="1"/>
        <c:axId val="128564608"/>
        <c:axId val="130205184"/>
      </c:lineChart>
      <c:catAx>
        <c:axId val="128564608"/>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0205184"/>
        <c:crosses val="autoZero"/>
        <c:auto val="1"/>
        <c:lblAlgn val="ctr"/>
        <c:lblOffset val="100"/>
        <c:tickLblSkip val="3"/>
        <c:tickMarkSkip val="1"/>
      </c:catAx>
      <c:valAx>
        <c:axId val="130205184"/>
        <c:scaling>
          <c:orientation val="minMax"/>
          <c:max val="1.4"/>
          <c:min val="0.8"/>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28564608"/>
        <c:crosses val="autoZero"/>
        <c:crossBetween val="midCat"/>
      </c:valAx>
      <c:spPr>
        <a:solidFill>
          <a:srgbClr val="FFFFFF"/>
        </a:solidFill>
        <a:ln w="3175">
          <a:solidFill>
            <a:srgbClr val="000000"/>
          </a:solidFill>
          <a:prstDash val="solid"/>
        </a:ln>
      </c:spPr>
    </c:plotArea>
    <c:legend>
      <c:legendPos val="r"/>
      <c:layout>
        <c:manualLayout>
          <c:xMode val="edge"/>
          <c:yMode val="edge"/>
          <c:wMode val="edge"/>
          <c:hMode val="edge"/>
          <c:x val="0.91120976692563749"/>
          <c:y val="0.49265905383360531"/>
          <c:w val="0.99556048834627453"/>
          <c:h val="0.5628058727569336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00.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9.0434782608695655E-2"/>
          <c:y val="4.8780487804878488E-2"/>
          <c:w val="0.89043478260869569"/>
          <c:h val="0.53658536585365413"/>
        </c:manualLayout>
      </c:layout>
      <c:barChart>
        <c:barDir val="col"/>
        <c:grouping val="clustered"/>
        <c:ser>
          <c:idx val="0"/>
          <c:order val="0"/>
          <c:tx>
            <c:strRef>
              <c:f>'C1a'!$A$27</c:f>
              <c:strCache>
                <c:ptCount val="1"/>
                <c:pt idx="0">
                  <c:v>Index of Economic Well-being</c:v>
                </c:pt>
              </c:strCache>
            </c:strRef>
          </c:tx>
          <c:cat>
            <c:strRef>
              <c:f>'C1a'!$B$26:$L$26</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('[1]9'!$L$51,'[1]9'!$W$51,'[1]9'!$AH$51,'[1]9'!$AP$51,'[1]9'!$AX$51,'[1]9'!$BF$51,'[1]9'!$BN$51,'[1]9'!$BV$51,'[1]9'!$CD$51,'[1]9'!$CL$51,'[1]9'!$CT$51)</c:f>
              <c:numCache>
                <c:formatCode>General</c:formatCode>
                <c:ptCount val="11"/>
                <c:pt idx="0">
                  <c:v>1.0659439285221062</c:v>
                </c:pt>
                <c:pt idx="1">
                  <c:v>2.138477955689333</c:v>
                </c:pt>
                <c:pt idx="2">
                  <c:v>1.5504195691422806</c:v>
                </c:pt>
                <c:pt idx="3">
                  <c:v>0.97383770112111634</c:v>
                </c:pt>
                <c:pt idx="4">
                  <c:v>1.6042522688858973</c:v>
                </c:pt>
                <c:pt idx="5">
                  <c:v>1.1959769421995059</c:v>
                </c:pt>
                <c:pt idx="6">
                  <c:v>0.66379697303582397</c:v>
                </c:pt>
                <c:pt idx="7">
                  <c:v>1.4129090728904892</c:v>
                </c:pt>
                <c:pt idx="8">
                  <c:v>1.2276101356268443</c:v>
                </c:pt>
                <c:pt idx="9">
                  <c:v>0.79659652000336756</c:v>
                </c:pt>
                <c:pt idx="10">
                  <c:v>0.84597342955645694</c:v>
                </c:pt>
              </c:numCache>
            </c:numRef>
          </c:val>
        </c:ser>
        <c:ser>
          <c:idx val="1"/>
          <c:order val="1"/>
          <c:tx>
            <c:strRef>
              <c:f>'C1a'!$A$28</c:f>
              <c:strCache>
                <c:ptCount val="1"/>
                <c:pt idx="0">
                  <c:v>Per-capita GDP</c:v>
                </c:pt>
              </c:strCache>
            </c:strRef>
          </c:tx>
          <c:val>
            <c:numRef>
              <c:f>'C1a'!$B$28:$L$28</c:f>
              <c:numCache>
                <c:formatCode>General</c:formatCode>
                <c:ptCount val="11"/>
                <c:pt idx="0">
                  <c:v>1.5623344546885187</c:v>
                </c:pt>
                <c:pt idx="1">
                  <c:v>3.2271089021235877</c:v>
                </c:pt>
                <c:pt idx="2">
                  <c:v>2.0667920338117707</c:v>
                </c:pt>
                <c:pt idx="3">
                  <c:v>1.9124978871920328</c:v>
                </c:pt>
                <c:pt idx="4">
                  <c:v>2.2670804283991597</c:v>
                </c:pt>
                <c:pt idx="5">
                  <c:v>1.4016280649084223</c:v>
                </c:pt>
                <c:pt idx="6">
                  <c:v>1.3593276218480277</c:v>
                </c:pt>
                <c:pt idx="7">
                  <c:v>2.1012778761403172</c:v>
                </c:pt>
                <c:pt idx="8">
                  <c:v>1.986208068973716</c:v>
                </c:pt>
                <c:pt idx="9">
                  <c:v>0.70530399558761392</c:v>
                </c:pt>
                <c:pt idx="10">
                  <c:v>0.85534437329999324</c:v>
                </c:pt>
              </c:numCache>
            </c:numRef>
          </c:val>
        </c:ser>
        <c:axId val="136265728"/>
        <c:axId val="136267264"/>
      </c:barChart>
      <c:catAx>
        <c:axId val="136265728"/>
        <c:scaling>
          <c:orientation val="minMax"/>
        </c:scaling>
        <c:axPos val="b"/>
        <c:numFmt formatCode="General" sourceLinked="1"/>
        <c:tickLblPos val="nextTo"/>
        <c:txPr>
          <a:bodyPr/>
          <a:lstStyle/>
          <a:p>
            <a:pPr>
              <a:defRPr lang="en-CA"/>
            </a:pPr>
            <a:endParaRPr lang="en-US"/>
          </a:p>
        </c:txPr>
        <c:crossAx val="136267264"/>
        <c:crosses val="autoZero"/>
        <c:auto val="1"/>
        <c:lblAlgn val="ctr"/>
        <c:lblOffset val="100"/>
      </c:catAx>
      <c:valAx>
        <c:axId val="136267264"/>
        <c:scaling>
          <c:orientation val="minMax"/>
        </c:scaling>
        <c:axPos val="l"/>
        <c:majorGridlines/>
        <c:title>
          <c:tx>
            <c:rich>
              <a:bodyPr rot="-5400000" vert="horz"/>
              <a:lstStyle/>
              <a:p>
                <a:pPr>
                  <a:defRPr lang="en-CA" b="0"/>
                </a:pPr>
                <a:r>
                  <a:rPr lang="en-US" b="0"/>
                  <a:t>Growth</a:t>
                </a:r>
                <a:r>
                  <a:rPr lang="en-US" b="0" baseline="0"/>
                  <a:t> Rate (per cent per year)</a:t>
                </a:r>
                <a:endParaRPr lang="en-US" b="0"/>
              </a:p>
            </c:rich>
          </c:tx>
        </c:title>
        <c:numFmt formatCode="General" sourceLinked="1"/>
        <c:tickLblPos val="nextTo"/>
        <c:txPr>
          <a:bodyPr/>
          <a:lstStyle/>
          <a:p>
            <a:pPr>
              <a:defRPr lang="en-CA"/>
            </a:pPr>
            <a:endParaRPr lang="en-US"/>
          </a:p>
        </c:txPr>
        <c:crossAx val="136265728"/>
        <c:crosses val="autoZero"/>
        <c:crossBetween val="between"/>
      </c:valAx>
    </c:plotArea>
    <c:legend>
      <c:legendPos val="r"/>
      <c:layout>
        <c:manualLayout>
          <c:xMode val="edge"/>
          <c:yMode val="edge"/>
          <c:x val="0.54235161474381177"/>
          <c:y val="5.4787785673132333E-2"/>
          <c:w val="0.43438749286774203"/>
          <c:h val="0.12190576787657677"/>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22" l="0.70000000000000062" r="0.70000000000000062" t="0.75000000000000422" header="0.30000000000000032" footer="0.30000000000000032"/>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2083333333333333"/>
          <c:y val="4.8611111111111112E-2"/>
          <c:w val="0.85416666666666652"/>
          <c:h val="0.59375"/>
        </c:manualLayout>
      </c:layout>
      <c:barChart>
        <c:barDir val="col"/>
        <c:grouping val="clustered"/>
        <c:ser>
          <c:idx val="0"/>
          <c:order val="0"/>
          <c:tx>
            <c:v>1981</c:v>
          </c:tx>
          <c:spPr>
            <a:solidFill>
              <a:schemeClr val="tx1"/>
            </a:solidFill>
          </c:spPr>
          <c:cat>
            <c:strLit>
              <c:ptCount val="5"/>
              <c:pt idx="0">
                <c:v>Index of Economic Well-being</c:v>
              </c:pt>
              <c:pt idx="1">
                <c:v>Consumption Domain</c:v>
              </c:pt>
              <c:pt idx="2">
                <c:v>Wealth Domain</c:v>
              </c:pt>
              <c:pt idx="3">
                <c:v>Economic Equality Domain</c:v>
              </c:pt>
              <c:pt idx="4">
                <c:v>Economic Security Domain</c:v>
              </c:pt>
            </c:strLit>
          </c:cat>
          <c:val>
            <c:numRef>
              <c:f>('[2]9'!$L$19,'[2]9'!$B$19,'[2]9'!$E$19,'[2]9'!$H$19,'[2]9'!$J$19)</c:f>
              <c:numCache>
                <c:formatCode>General</c:formatCode>
                <c:ptCount val="5"/>
                <c:pt idx="0">
                  <c:v>0.43873121422754097</c:v>
                </c:pt>
                <c:pt idx="1">
                  <c:v>0.27078562954425206</c:v>
                </c:pt>
                <c:pt idx="2">
                  <c:v>0.29266674413317117</c:v>
                </c:pt>
                <c:pt idx="3">
                  <c:v>0.54469146067546992</c:v>
                </c:pt>
                <c:pt idx="4">
                  <c:v>0.64678102255727776</c:v>
                </c:pt>
              </c:numCache>
            </c:numRef>
          </c:val>
        </c:ser>
        <c:ser>
          <c:idx val="1"/>
          <c:order val="1"/>
          <c:tx>
            <c:v>2008</c:v>
          </c:tx>
          <c:cat>
            <c:strLit>
              <c:ptCount val="5"/>
              <c:pt idx="0">
                <c:v>Index of Economic Well-being</c:v>
              </c:pt>
              <c:pt idx="1">
                <c:v>Consumption Domain</c:v>
              </c:pt>
              <c:pt idx="2">
                <c:v>Wealth Domain</c:v>
              </c:pt>
              <c:pt idx="3">
                <c:v>Economic Equality Domain</c:v>
              </c:pt>
              <c:pt idx="4">
                <c:v>Economic Security Domain</c:v>
              </c:pt>
            </c:strLit>
          </c:cat>
          <c:val>
            <c:numRef>
              <c:f>('[2]9'!$L$46,'[2]9'!$B$46,'[2]9'!$E$46,'[2]9'!$H$46,'[2]9'!$J$46)</c:f>
              <c:numCache>
                <c:formatCode>General</c:formatCode>
                <c:ptCount val="5"/>
                <c:pt idx="0">
                  <c:v>0.60529478062108566</c:v>
                </c:pt>
                <c:pt idx="1">
                  <c:v>0.83731839475495085</c:v>
                </c:pt>
                <c:pt idx="2">
                  <c:v>0.5670817014186218</c:v>
                </c:pt>
                <c:pt idx="3">
                  <c:v>0.4688780506750308</c:v>
                </c:pt>
                <c:pt idx="4">
                  <c:v>0.5479009756357297</c:v>
                </c:pt>
              </c:numCache>
            </c:numRef>
          </c:val>
        </c:ser>
        <c:axId val="137525120"/>
        <c:axId val="137526656"/>
      </c:barChart>
      <c:catAx>
        <c:axId val="137525120"/>
        <c:scaling>
          <c:orientation val="minMax"/>
        </c:scaling>
        <c:axPos val="b"/>
        <c:numFmt formatCode="General" sourceLinked="1"/>
        <c:tickLblPos val="nextTo"/>
        <c:txPr>
          <a:bodyPr rot="0"/>
          <a:lstStyle/>
          <a:p>
            <a:pPr>
              <a:defRPr lang="en-CA"/>
            </a:pPr>
            <a:endParaRPr lang="en-US"/>
          </a:p>
        </c:txPr>
        <c:crossAx val="137526656"/>
        <c:crosses val="autoZero"/>
        <c:auto val="1"/>
        <c:lblAlgn val="ctr"/>
        <c:lblOffset val="100"/>
      </c:catAx>
      <c:valAx>
        <c:axId val="137526656"/>
        <c:scaling>
          <c:orientation val="minMax"/>
        </c:scaling>
        <c:axPos val="l"/>
        <c:majorGridlines/>
        <c:title>
          <c:tx>
            <c:rich>
              <a:bodyPr rot="-5400000" vert="horz"/>
              <a:lstStyle/>
              <a:p>
                <a:pPr>
                  <a:defRPr lang="en-CA" b="0"/>
                </a:pPr>
                <a:r>
                  <a:rPr lang="en-US" b="0"/>
                  <a:t>Index</a:t>
                </a:r>
                <a:r>
                  <a:rPr lang="en-US" b="0" baseline="0"/>
                  <a:t> Value</a:t>
                </a:r>
                <a:endParaRPr lang="en-US" b="0"/>
              </a:p>
            </c:rich>
          </c:tx>
        </c:title>
        <c:numFmt formatCode="0.0" sourceLinked="0"/>
        <c:tickLblPos val="nextTo"/>
        <c:txPr>
          <a:bodyPr/>
          <a:lstStyle/>
          <a:p>
            <a:pPr>
              <a:defRPr lang="en-CA"/>
            </a:pPr>
            <a:endParaRPr lang="en-US"/>
          </a:p>
        </c:txPr>
        <c:crossAx val="137525120"/>
        <c:crosses val="autoZero"/>
        <c:crossBetween val="between"/>
      </c:valAx>
    </c:plotArea>
    <c:legend>
      <c:legendPos val="r"/>
      <c:layout>
        <c:manualLayout>
          <c:xMode val="edge"/>
          <c:yMode val="edge"/>
          <c:x val="0.8603764216972879"/>
          <c:y val="3.2023549139690868E-2"/>
          <c:w val="0.10351246719160101"/>
          <c:h val="0.16743438320210088"/>
        </c:manualLayout>
      </c:layout>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22" l="0.70000000000000062" r="0.70000000000000062" t="0.75000000000000422" header="0.30000000000000032" footer="0.30000000000000032"/>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2: Index of Total Stocks of Wealth </a:t>
            </a:r>
          </a:p>
        </c:rich>
      </c:tx>
      <c:layout>
        <c:manualLayout>
          <c:xMode val="edge"/>
          <c:yMode val="edge"/>
          <c:x val="0.34739178690344386"/>
          <c:y val="1.9575856443719588E-2"/>
        </c:manualLayout>
      </c:layout>
      <c:spPr>
        <a:noFill/>
        <a:ln w="25400">
          <a:noFill/>
        </a:ln>
      </c:spPr>
    </c:title>
    <c:plotArea>
      <c:layout>
        <c:manualLayout>
          <c:layoutTarget val="inner"/>
          <c:xMode val="edge"/>
          <c:yMode val="edge"/>
          <c:x val="4.1065482796892344E-2"/>
          <c:y val="0.12234910277324652"/>
          <c:w val="0.83795782463929591"/>
          <c:h val="0.81076672104404557"/>
        </c:manualLayout>
      </c:layout>
      <c:lineChart>
        <c:grouping val="standard"/>
        <c:ser>
          <c:idx val="1"/>
          <c:order val="0"/>
          <c:tx>
            <c:strRef>
              <c:f>'[1]11'!$C$4</c:f>
              <c:strCache>
                <c:ptCount val="1"/>
                <c:pt idx="0">
                  <c:v>Nfld.</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'[1]11'!$N$5:$N$34</c:f>
              <c:numCache>
                <c:formatCode>General</c:formatCode>
                <c:ptCount val="30"/>
                <c:pt idx="0">
                  <c:v>0.51627837512046104</c:v>
                </c:pt>
                <c:pt idx="1">
                  <c:v>0.52323122012607359</c:v>
                </c:pt>
                <c:pt idx="2">
                  <c:v>0.52902507968547707</c:v>
                </c:pt>
                <c:pt idx="3">
                  <c:v>0.53483261090275636</c:v>
                </c:pt>
                <c:pt idx="4">
                  <c:v>0.54299772953321435</c:v>
                </c:pt>
                <c:pt idx="5">
                  <c:v>0.5468362753131899</c:v>
                </c:pt>
                <c:pt idx="6">
                  <c:v>0.54494148419148591</c:v>
                </c:pt>
                <c:pt idx="7">
                  <c:v>0.5488789539431761</c:v>
                </c:pt>
                <c:pt idx="8">
                  <c:v>0.55739143987723683</c:v>
                </c:pt>
                <c:pt idx="9">
                  <c:v>0.54111844039290991</c:v>
                </c:pt>
                <c:pt idx="11">
                  <c:v>0.43431777550863371</c:v>
                </c:pt>
                <c:pt idx="12">
                  <c:v>0.41556474208349992</c:v>
                </c:pt>
                <c:pt idx="13">
                  <c:v>0.39295370996555945</c:v>
                </c:pt>
                <c:pt idx="14">
                  <c:v>0.40478745770310492</c:v>
                </c:pt>
                <c:pt idx="15">
                  <c:v>0.4228864089349712</c:v>
                </c:pt>
                <c:pt idx="16">
                  <c:v>0.42916649559662734</c:v>
                </c:pt>
                <c:pt idx="17">
                  <c:v>0.43721869020108106</c:v>
                </c:pt>
                <c:pt idx="18">
                  <c:v>0.46600470813177763</c:v>
                </c:pt>
                <c:pt idx="19">
                  <c:v>0.48662893148141484</c:v>
                </c:pt>
                <c:pt idx="20">
                  <c:v>0.46724890649787587</c:v>
                </c:pt>
                <c:pt idx="21">
                  <c:v>0.43708777453122211</c:v>
                </c:pt>
                <c:pt idx="22">
                  <c:v>0.43855923425665522</c:v>
                </c:pt>
                <c:pt idx="23">
                  <c:v>0.42768449997656349</c:v>
                </c:pt>
                <c:pt idx="24">
                  <c:v>0.43697908877899738</c:v>
                </c:pt>
                <c:pt idx="25">
                  <c:v>0.43735180756935788</c:v>
                </c:pt>
                <c:pt idx="26">
                  <c:v>0.42344216894692821</c:v>
                </c:pt>
                <c:pt idx="27">
                  <c:v>0.42233045447064677</c:v>
                </c:pt>
                <c:pt idx="28">
                  <c:v>0.43820299168959631</c:v>
                </c:pt>
                <c:pt idx="29">
                  <c:v>0.45535230700171675</c:v>
                </c:pt>
              </c:numCache>
            </c:numRef>
          </c:val>
        </c:ser>
        <c:ser>
          <c:idx val="2"/>
          <c:order val="1"/>
          <c:tx>
            <c:strRef>
              <c:f>'[1]11'!$D$4</c:f>
              <c:strCache>
                <c:ptCount val="1"/>
                <c:pt idx="0">
                  <c:v>PEI</c:v>
                </c:pt>
              </c:strCache>
            </c:strRef>
          </c:tx>
          <c:spPr>
            <a:ln w="12700">
              <a:solidFill>
                <a:srgbClr val="969696"/>
              </a:solidFill>
              <a:prstDash val="solid"/>
            </a:ln>
          </c:spPr>
          <c:marker>
            <c:symbol val="square"/>
            <c:size val="5"/>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'[1]11'!$O$5:$O$34</c:f>
              <c:numCache>
                <c:formatCode>General</c:formatCode>
                <c:ptCount val="30"/>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er>
        <c:ser>
          <c:idx val="3"/>
          <c:order val="2"/>
          <c:tx>
            <c:strRef>
              <c:f>'[1]11'!$E$4</c:f>
              <c:strCache>
                <c:ptCount val="1"/>
                <c:pt idx="0">
                  <c:v>NS</c:v>
                </c:pt>
              </c:strCache>
            </c:strRef>
          </c:tx>
          <c:spPr>
            <a:ln w="12700">
              <a:solidFill>
                <a:srgbClr val="000000"/>
              </a:solidFill>
              <a:prstDash val="solid"/>
            </a:ln>
          </c:spPr>
          <c:marker>
            <c:symbol val="triangle"/>
            <c:size val="3"/>
            <c:spPr>
              <a:solidFill>
                <a:srgbClr val="000000"/>
              </a:solidFill>
              <a:ln>
                <a:solidFill>
                  <a:srgbClr val="000000"/>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'[1]11'!$P$5:$P$34</c:f>
              <c:numCache>
                <c:formatCode>General</c:formatCode>
                <c:ptCount val="30"/>
                <c:pt idx="0">
                  <c:v>0.72177347266255232</c:v>
                </c:pt>
                <c:pt idx="1">
                  <c:v>0.70071983618307432</c:v>
                </c:pt>
                <c:pt idx="2">
                  <c:v>0.67933545924318617</c:v>
                </c:pt>
                <c:pt idx="3">
                  <c:v>0.66264267857180192</c:v>
                </c:pt>
                <c:pt idx="4">
                  <c:v>0.64718910641050642</c:v>
                </c:pt>
                <c:pt idx="5">
                  <c:v>0.56215413777752721</c:v>
                </c:pt>
                <c:pt idx="6">
                  <c:v>0.44632072296477959</c:v>
                </c:pt>
                <c:pt idx="7">
                  <c:v>0.41127149758043891</c:v>
                </c:pt>
                <c:pt idx="8">
                  <c:v>0.41506499806201941</c:v>
                </c:pt>
                <c:pt idx="9">
                  <c:v>0.43850241123062539</c:v>
                </c:pt>
                <c:pt idx="11">
                  <c:v>0.44909260107801646</c:v>
                </c:pt>
                <c:pt idx="12">
                  <c:v>0.44666904938031632</c:v>
                </c:pt>
                <c:pt idx="13">
                  <c:v>0.40863646553386346</c:v>
                </c:pt>
                <c:pt idx="14">
                  <c:v>0.49070670897456781</c:v>
                </c:pt>
                <c:pt idx="15">
                  <c:v>0.49999542088500337</c:v>
                </c:pt>
                <c:pt idx="16">
                  <c:v>0.56534231316203654</c:v>
                </c:pt>
                <c:pt idx="17">
                  <c:v>0.54013064508574682</c:v>
                </c:pt>
                <c:pt idx="18">
                  <c:v>0.58920366791979761</c:v>
                </c:pt>
                <c:pt idx="19">
                  <c:v>0.62987578743449901</c:v>
                </c:pt>
                <c:pt idx="20">
                  <c:v>0.57719324388832272</c:v>
                </c:pt>
                <c:pt idx="21">
                  <c:v>0.56699870848109613</c:v>
                </c:pt>
                <c:pt idx="22">
                  <c:v>0.50873485431004051</c:v>
                </c:pt>
                <c:pt idx="23">
                  <c:v>0.52651099572485915</c:v>
                </c:pt>
                <c:pt idx="24">
                  <c:v>0.50186027945703438</c:v>
                </c:pt>
                <c:pt idx="25">
                  <c:v>0.50537078402873337</c:v>
                </c:pt>
                <c:pt idx="26">
                  <c:v>0.52127508097704522</c:v>
                </c:pt>
                <c:pt idx="27">
                  <c:v>0.53318897456422532</c:v>
                </c:pt>
                <c:pt idx="28">
                  <c:v>0.50607930492649511</c:v>
                </c:pt>
                <c:pt idx="29">
                  <c:v>0.53665673068449959</c:v>
                </c:pt>
              </c:numCache>
            </c:numRef>
          </c:val>
        </c:ser>
        <c:ser>
          <c:idx val="4"/>
          <c:order val="3"/>
          <c:tx>
            <c:strRef>
              <c:f>'[1]11'!$F$4</c:f>
              <c:strCache>
                <c:ptCount val="1"/>
                <c:pt idx="0">
                  <c:v>NB</c:v>
                </c:pt>
              </c:strCache>
            </c:strRef>
          </c:tx>
          <c:spPr>
            <a:ln w="12700">
              <a:solidFill>
                <a:srgbClr val="969696"/>
              </a:solidFill>
              <a:prstDash val="solid"/>
            </a:ln>
          </c:spPr>
          <c:marker>
            <c:symbol val="triangle"/>
            <c:size val="5"/>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'[1]11'!$Q$5:$Q$34</c:f>
              <c:numCache>
                <c:formatCode>General</c:formatCode>
                <c:ptCount val="30"/>
                <c:pt idx="0">
                  <c:v>6.3347682465001803E-2</c:v>
                </c:pt>
                <c:pt idx="1">
                  <c:v>6.5541934030612814E-2</c:v>
                </c:pt>
                <c:pt idx="2">
                  <c:v>7.1838266463759473E-2</c:v>
                </c:pt>
                <c:pt idx="3">
                  <c:v>7.5213783441039642E-2</c:v>
                </c:pt>
                <c:pt idx="4">
                  <c:v>7.6636633205470372E-2</c:v>
                </c:pt>
                <c:pt idx="5">
                  <c:v>6.9596066914740073E-2</c:v>
                </c:pt>
                <c:pt idx="6">
                  <c:v>7.256867080709109E-2</c:v>
                </c:pt>
                <c:pt idx="7">
                  <c:v>7.7050384994421947E-2</c:v>
                </c:pt>
                <c:pt idx="8">
                  <c:v>7.983094519684529E-2</c:v>
                </c:pt>
                <c:pt idx="9">
                  <c:v>8.5779487698017409E-2</c:v>
                </c:pt>
                <c:pt idx="11">
                  <c:v>8.3333333333333329E-2</c:v>
                </c:pt>
                <c:pt idx="12">
                  <c:v>8.9281283184253796E-2</c:v>
                </c:pt>
                <c:pt idx="13">
                  <c:v>9.5343636488266839E-2</c:v>
                </c:pt>
                <c:pt idx="14">
                  <c:v>9.8130122079731569E-2</c:v>
                </c:pt>
                <c:pt idx="15">
                  <c:v>0.10146504219344224</c:v>
                </c:pt>
                <c:pt idx="16">
                  <c:v>0.10438293491777959</c:v>
                </c:pt>
                <c:pt idx="17">
                  <c:v>0.1042514675310474</c:v>
                </c:pt>
                <c:pt idx="18">
                  <c:v>0.11466134059851472</c:v>
                </c:pt>
                <c:pt idx="19">
                  <c:v>0.12055287019487501</c:v>
                </c:pt>
                <c:pt idx="20">
                  <c:v>0.14178150716007895</c:v>
                </c:pt>
                <c:pt idx="21">
                  <c:v>0.14916658002738842</c:v>
                </c:pt>
                <c:pt idx="22">
                  <c:v>0.15693930678906781</c:v>
                </c:pt>
                <c:pt idx="23">
                  <c:v>0.16682997876727332</c:v>
                </c:pt>
                <c:pt idx="24">
                  <c:v>0.17050303556058374</c:v>
                </c:pt>
                <c:pt idx="25">
                  <c:v>0.17902527982478927</c:v>
                </c:pt>
                <c:pt idx="26">
                  <c:v>0.18532294685227529</c:v>
                </c:pt>
                <c:pt idx="27">
                  <c:v>0.19544371911765804</c:v>
                </c:pt>
                <c:pt idx="28">
                  <c:v>0.20012655347817557</c:v>
                </c:pt>
                <c:pt idx="29">
                  <c:v>0.2097654314222295</c:v>
                </c:pt>
              </c:numCache>
            </c:numRef>
          </c:val>
        </c:ser>
        <c:ser>
          <c:idx val="5"/>
          <c:order val="4"/>
          <c:tx>
            <c:strRef>
              <c:f>'[1]11'!$G$4</c:f>
              <c:strCache>
                <c:ptCount val="1"/>
                <c:pt idx="0">
                  <c:v>PQ</c:v>
                </c:pt>
              </c:strCache>
            </c:strRef>
          </c:tx>
          <c:spPr>
            <a:ln w="12700">
              <a:solidFill>
                <a:srgbClr val="000000"/>
              </a:solidFill>
              <a:prstDash val="solid"/>
            </a:ln>
          </c:spPr>
          <c:marker>
            <c:symbol val="circle"/>
            <c:size val="5"/>
            <c:spPr>
              <a:solidFill>
                <a:srgbClr val="333333"/>
              </a:solidFill>
              <a:ln>
                <a:solidFill>
                  <a:srgbClr val="333333"/>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'[1]11'!$R$5:$R$34</c:f>
              <c:numCache>
                <c:formatCode>General</c:formatCode>
                <c:ptCount val="30"/>
                <c:pt idx="0">
                  <c:v>0.11339982632106221</c:v>
                </c:pt>
                <c:pt idx="1">
                  <c:v>0.11496901454555626</c:v>
                </c:pt>
                <c:pt idx="2">
                  <c:v>0.11894204171691478</c:v>
                </c:pt>
                <c:pt idx="3">
                  <c:v>0.12277665824207651</c:v>
                </c:pt>
                <c:pt idx="4">
                  <c:v>0.12402241876866144</c:v>
                </c:pt>
                <c:pt idx="5">
                  <c:v>0.1239111982816883</c:v>
                </c:pt>
                <c:pt idx="6">
                  <c:v>0.13134527746258637</c:v>
                </c:pt>
                <c:pt idx="7">
                  <c:v>0.13186799117019488</c:v>
                </c:pt>
                <c:pt idx="8">
                  <c:v>0.15125654081317874</c:v>
                </c:pt>
                <c:pt idx="9">
                  <c:v>0.16116972521043407</c:v>
                </c:pt>
                <c:pt idx="11">
                  <c:v>0.14694714531033681</c:v>
                </c:pt>
                <c:pt idx="12">
                  <c:v>0.15069301502087321</c:v>
                </c:pt>
                <c:pt idx="13">
                  <c:v>0.15852802098089919</c:v>
                </c:pt>
                <c:pt idx="14">
                  <c:v>0.16912524089520367</c:v>
                </c:pt>
                <c:pt idx="15">
                  <c:v>0.16744829957191457</c:v>
                </c:pt>
                <c:pt idx="16">
                  <c:v>0.16818875949711412</c:v>
                </c:pt>
                <c:pt idx="17">
                  <c:v>0.17973446813747457</c:v>
                </c:pt>
                <c:pt idx="18">
                  <c:v>0.19253939867773007</c:v>
                </c:pt>
                <c:pt idx="19">
                  <c:v>0.20050429636316444</c:v>
                </c:pt>
                <c:pt idx="20">
                  <c:v>0.22021825778367982</c:v>
                </c:pt>
                <c:pt idx="21">
                  <c:v>0.21775641692878309</c:v>
                </c:pt>
                <c:pt idx="22">
                  <c:v>0.21034517203092301</c:v>
                </c:pt>
                <c:pt idx="23">
                  <c:v>0.2071308278811716</c:v>
                </c:pt>
                <c:pt idx="24">
                  <c:v>0.20840665371239739</c:v>
                </c:pt>
                <c:pt idx="25">
                  <c:v>0.22020052659258094</c:v>
                </c:pt>
                <c:pt idx="26">
                  <c:v>0.22505695379372095</c:v>
                </c:pt>
                <c:pt idx="27">
                  <c:v>0.23504369444822079</c:v>
                </c:pt>
                <c:pt idx="28">
                  <c:v>0.24213516525137313</c:v>
                </c:pt>
                <c:pt idx="29">
                  <c:v>0.25011930263782917</c:v>
                </c:pt>
              </c:numCache>
            </c:numRef>
          </c:val>
        </c:ser>
        <c:ser>
          <c:idx val="6"/>
          <c:order val="5"/>
          <c:tx>
            <c:strRef>
              <c:f>'[1]11'!$H$4</c:f>
              <c:strCache>
                <c:ptCount val="1"/>
                <c:pt idx="0">
                  <c:v>ON</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'[1]11'!$S$5:$S$34</c:f>
              <c:numCache>
                <c:formatCode>General</c:formatCode>
                <c:ptCount val="30"/>
                <c:pt idx="0">
                  <c:v>0.12290521742247182</c:v>
                </c:pt>
                <c:pt idx="1">
                  <c:v>0.12290759002592769</c:v>
                </c:pt>
                <c:pt idx="2">
                  <c:v>0.12730900595467665</c:v>
                </c:pt>
                <c:pt idx="3">
                  <c:v>0.14183852621044241</c:v>
                </c:pt>
                <c:pt idx="4">
                  <c:v>0.1488712983015332</c:v>
                </c:pt>
                <c:pt idx="5">
                  <c:v>0.14260058967873457</c:v>
                </c:pt>
                <c:pt idx="6">
                  <c:v>0.14846835142167036</c:v>
                </c:pt>
                <c:pt idx="7">
                  <c:v>0.15046591128102102</c:v>
                </c:pt>
                <c:pt idx="8">
                  <c:v>0.17291677948304016</c:v>
                </c:pt>
                <c:pt idx="9">
                  <c:v>0.18850216718431448</c:v>
                </c:pt>
                <c:pt idx="11">
                  <c:v>0.16814819021960303</c:v>
                </c:pt>
                <c:pt idx="12">
                  <c:v>0.15950990652166072</c:v>
                </c:pt>
                <c:pt idx="13">
                  <c:v>0.15747883824996931</c:v>
                </c:pt>
                <c:pt idx="14">
                  <c:v>0.15763619612798596</c:v>
                </c:pt>
                <c:pt idx="15">
                  <c:v>0.15475342056003716</c:v>
                </c:pt>
                <c:pt idx="16">
                  <c:v>0.15835273718361748</c:v>
                </c:pt>
                <c:pt idx="17">
                  <c:v>0.17727589775246141</c:v>
                </c:pt>
                <c:pt idx="18">
                  <c:v>0.20489493548366591</c:v>
                </c:pt>
                <c:pt idx="19">
                  <c:v>0.22051224186835261</c:v>
                </c:pt>
                <c:pt idx="20">
                  <c:v>0.23993783618046804</c:v>
                </c:pt>
                <c:pt idx="21">
                  <c:v>0.23422152335117968</c:v>
                </c:pt>
                <c:pt idx="22">
                  <c:v>0.22597256320584877</c:v>
                </c:pt>
                <c:pt idx="23">
                  <c:v>0.21625139910973568</c:v>
                </c:pt>
                <c:pt idx="24">
                  <c:v>0.2220218171656799</c:v>
                </c:pt>
                <c:pt idx="25">
                  <c:v>0.25037446623258164</c:v>
                </c:pt>
                <c:pt idx="26">
                  <c:v>0.26745564163271107</c:v>
                </c:pt>
                <c:pt idx="27">
                  <c:v>0.28282028659897013</c:v>
                </c:pt>
                <c:pt idx="28">
                  <c:v>0.29206298271631626</c:v>
                </c:pt>
                <c:pt idx="29">
                  <c:v>0.30740618975566519</c:v>
                </c:pt>
              </c:numCache>
            </c:numRef>
          </c:val>
        </c:ser>
        <c:ser>
          <c:idx val="7"/>
          <c:order val="6"/>
          <c:tx>
            <c:strRef>
              <c:f>'[1]11'!$I$4</c:f>
              <c:strCache>
                <c:ptCount val="1"/>
                <c:pt idx="0">
                  <c:v>Man.</c:v>
                </c:pt>
              </c:strCache>
            </c:strRef>
          </c:tx>
          <c:spPr>
            <a:ln w="12700">
              <a:solidFill>
                <a:srgbClr val="000000"/>
              </a:solidFill>
              <a:prstDash val="solid"/>
            </a:ln>
          </c:spPr>
          <c:marker>
            <c:symbol val="none"/>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'[1]11'!$T$5:$T$34</c:f>
              <c:numCache>
                <c:formatCode>General</c:formatCode>
                <c:ptCount val="30"/>
                <c:pt idx="0">
                  <c:v>0.16822268850423303</c:v>
                </c:pt>
                <c:pt idx="1">
                  <c:v>0.1713449091261123</c:v>
                </c:pt>
                <c:pt idx="2">
                  <c:v>0.17641997515746841</c:v>
                </c:pt>
                <c:pt idx="3">
                  <c:v>0.18229397042746154</c:v>
                </c:pt>
                <c:pt idx="4">
                  <c:v>0.18594154485327699</c:v>
                </c:pt>
                <c:pt idx="5">
                  <c:v>0.18156070444109121</c:v>
                </c:pt>
                <c:pt idx="6">
                  <c:v>0.18923564763836656</c:v>
                </c:pt>
                <c:pt idx="7">
                  <c:v>0.19452159960343532</c:v>
                </c:pt>
                <c:pt idx="8">
                  <c:v>0.2101538002610675</c:v>
                </c:pt>
                <c:pt idx="9">
                  <c:v>0.22173567377167669</c:v>
                </c:pt>
                <c:pt idx="11">
                  <c:v>0.21594515318213009</c:v>
                </c:pt>
                <c:pt idx="12">
                  <c:v>0.2164808067663585</c:v>
                </c:pt>
                <c:pt idx="13">
                  <c:v>0.22088967051474909</c:v>
                </c:pt>
                <c:pt idx="14">
                  <c:v>0.22572076755564693</c:v>
                </c:pt>
                <c:pt idx="15">
                  <c:v>0.22651504380879697</c:v>
                </c:pt>
                <c:pt idx="16">
                  <c:v>0.2317556407322536</c:v>
                </c:pt>
                <c:pt idx="17">
                  <c:v>0.24014402635822443</c:v>
                </c:pt>
                <c:pt idx="18">
                  <c:v>0.25554785228246196</c:v>
                </c:pt>
                <c:pt idx="19">
                  <c:v>0.25947355555640561</c:v>
                </c:pt>
                <c:pt idx="20">
                  <c:v>0.27372775552575829</c:v>
                </c:pt>
                <c:pt idx="21">
                  <c:v>0.27266689061637583</c:v>
                </c:pt>
                <c:pt idx="22">
                  <c:v>0.27320660524641727</c:v>
                </c:pt>
                <c:pt idx="23">
                  <c:v>0.27218671962210655</c:v>
                </c:pt>
                <c:pt idx="24">
                  <c:v>0.27809220765069997</c:v>
                </c:pt>
                <c:pt idx="25">
                  <c:v>0.29482720605371121</c:v>
                </c:pt>
                <c:pt idx="26">
                  <c:v>0.30676039606596389</c:v>
                </c:pt>
                <c:pt idx="27">
                  <c:v>0.32196589395649711</c:v>
                </c:pt>
                <c:pt idx="28">
                  <c:v>0.32756685771667432</c:v>
                </c:pt>
                <c:pt idx="29">
                  <c:v>0.33912587311729753</c:v>
                </c:pt>
              </c:numCache>
            </c:numRef>
          </c:val>
        </c:ser>
        <c:ser>
          <c:idx val="8"/>
          <c:order val="7"/>
          <c:tx>
            <c:strRef>
              <c:f>'[1]11'!$J$4</c:f>
              <c:strCache>
                <c:ptCount val="1"/>
                <c:pt idx="0">
                  <c:v>Sask.</c:v>
                </c:pt>
              </c:strCache>
            </c:strRef>
          </c:tx>
          <c:spPr>
            <a:ln w="12700">
              <a:solidFill>
                <a:srgbClr val="000000"/>
              </a:solidFill>
              <a:prstDash val="sysDash"/>
            </a:ln>
          </c:spPr>
          <c:marker>
            <c:symbol val="square"/>
            <c:size val="3"/>
            <c:spPr>
              <a:noFill/>
              <a:ln w="9525">
                <a:noFill/>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'[1]11'!$U$5:$U$34</c:f>
              <c:numCache>
                <c:formatCode>General</c:formatCode>
                <c:ptCount val="30"/>
                <c:pt idx="0">
                  <c:v>0.1703045496423316</c:v>
                </c:pt>
                <c:pt idx="1">
                  <c:v>0.17286355937090875</c:v>
                </c:pt>
                <c:pt idx="2">
                  <c:v>0.17694340525392729</c:v>
                </c:pt>
                <c:pt idx="3">
                  <c:v>0.18132523644852566</c:v>
                </c:pt>
                <c:pt idx="4">
                  <c:v>0.18272372373091852</c:v>
                </c:pt>
                <c:pt idx="5">
                  <c:v>0.18774397257138192</c:v>
                </c:pt>
                <c:pt idx="6">
                  <c:v>0.19340780861516976</c:v>
                </c:pt>
                <c:pt idx="7">
                  <c:v>0.19488700186738911</c:v>
                </c:pt>
                <c:pt idx="8">
                  <c:v>0.21068241052935827</c:v>
                </c:pt>
                <c:pt idx="9">
                  <c:v>0.22184061473927175</c:v>
                </c:pt>
                <c:pt idx="11">
                  <c:v>0.2122084331100933</c:v>
                </c:pt>
                <c:pt idx="12">
                  <c:v>0.21245298179675606</c:v>
                </c:pt>
                <c:pt idx="13">
                  <c:v>0.2175619209276779</c:v>
                </c:pt>
                <c:pt idx="14">
                  <c:v>0.22276462275326292</c:v>
                </c:pt>
                <c:pt idx="15">
                  <c:v>0.2234500731430035</c:v>
                </c:pt>
                <c:pt idx="16">
                  <c:v>0.22626099276939704</c:v>
                </c:pt>
                <c:pt idx="17">
                  <c:v>0.23703809698685283</c:v>
                </c:pt>
                <c:pt idx="18">
                  <c:v>0.25277616775937939</c:v>
                </c:pt>
                <c:pt idx="19">
                  <c:v>0.25661645261972105</c:v>
                </c:pt>
                <c:pt idx="20">
                  <c:v>0.26881748522463411</c:v>
                </c:pt>
                <c:pt idx="21">
                  <c:v>0.26920992435857438</c:v>
                </c:pt>
                <c:pt idx="22">
                  <c:v>0.26739968273696751</c:v>
                </c:pt>
                <c:pt idx="23">
                  <c:v>0.26448476911998969</c:v>
                </c:pt>
                <c:pt idx="24">
                  <c:v>0.26932075937103961</c:v>
                </c:pt>
                <c:pt idx="25">
                  <c:v>0.27629980735926479</c:v>
                </c:pt>
                <c:pt idx="26">
                  <c:v>0.28286413120410803</c:v>
                </c:pt>
                <c:pt idx="27">
                  <c:v>0.2920792363847679</c:v>
                </c:pt>
                <c:pt idx="28">
                  <c:v>0.29408333842304085</c:v>
                </c:pt>
                <c:pt idx="29">
                  <c:v>0.30743124636736158</c:v>
                </c:pt>
              </c:numCache>
            </c:numRef>
          </c:val>
        </c:ser>
        <c:ser>
          <c:idx val="9"/>
          <c:order val="8"/>
          <c:tx>
            <c:strRef>
              <c:f>'[1]11'!$K$4</c:f>
              <c:strCache>
                <c:ptCount val="1"/>
                <c:pt idx="0">
                  <c:v>Alb.</c:v>
                </c:pt>
              </c:strCache>
            </c:strRef>
          </c:tx>
          <c:spPr>
            <a:ln w="12700">
              <a:solidFill>
                <a:srgbClr val="000000"/>
              </a:solidFill>
              <a:prstDash val="lgDash"/>
            </a:ln>
          </c:spPr>
          <c:marker>
            <c:symbol val="diamond"/>
            <c:size val="5"/>
            <c:spPr>
              <a:solidFill>
                <a:srgbClr val="333333"/>
              </a:solidFill>
              <a:ln>
                <a:solidFill>
                  <a:srgbClr val="333333"/>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'[1]11'!$V$5:$V$34</c:f>
              <c:numCache>
                <c:formatCode>General</c:formatCode>
                <c:ptCount val="30"/>
                <c:pt idx="0">
                  <c:v>0.23452319283116199</c:v>
                </c:pt>
                <c:pt idx="1">
                  <c:v>0.23641321323086489</c:v>
                </c:pt>
                <c:pt idx="2">
                  <c:v>0.23900511893824636</c:v>
                </c:pt>
                <c:pt idx="3">
                  <c:v>0.24093137611561241</c:v>
                </c:pt>
                <c:pt idx="4">
                  <c:v>0.2416425479440221</c:v>
                </c:pt>
                <c:pt idx="5">
                  <c:v>0.24430314790959662</c:v>
                </c:pt>
                <c:pt idx="6">
                  <c:v>0.24715224018122448</c:v>
                </c:pt>
                <c:pt idx="7">
                  <c:v>0.24954023927678709</c:v>
                </c:pt>
                <c:pt idx="8">
                  <c:v>0.27411834014783015</c:v>
                </c:pt>
                <c:pt idx="9">
                  <c:v>0.28341846622910133</c:v>
                </c:pt>
                <c:pt idx="11">
                  <c:v>0.26448098133586145</c:v>
                </c:pt>
                <c:pt idx="12">
                  <c:v>0.25784784707979164</c:v>
                </c:pt>
                <c:pt idx="13">
                  <c:v>0.25751829468680792</c:v>
                </c:pt>
                <c:pt idx="14">
                  <c:v>0.26329311388363041</c:v>
                </c:pt>
                <c:pt idx="15">
                  <c:v>0.25759476946077231</c:v>
                </c:pt>
                <c:pt idx="16">
                  <c:v>0.25907549287258425</c:v>
                </c:pt>
                <c:pt idx="17">
                  <c:v>0.26719447727865059</c:v>
                </c:pt>
                <c:pt idx="18">
                  <c:v>0.27999538298860749</c:v>
                </c:pt>
                <c:pt idx="19">
                  <c:v>0.28595596673529911</c:v>
                </c:pt>
                <c:pt idx="20">
                  <c:v>0.29991287208218559</c:v>
                </c:pt>
                <c:pt idx="21">
                  <c:v>0.29739454285352973</c:v>
                </c:pt>
                <c:pt idx="22">
                  <c:v>0.2954967331752747</c:v>
                </c:pt>
                <c:pt idx="23">
                  <c:v>0.29130089587010916</c:v>
                </c:pt>
                <c:pt idx="24">
                  <c:v>0.29608557787068956</c:v>
                </c:pt>
                <c:pt idx="25">
                  <c:v>0.30635834900822306</c:v>
                </c:pt>
                <c:pt idx="26">
                  <c:v>0.3110772305533715</c:v>
                </c:pt>
                <c:pt idx="27">
                  <c:v>0.32125861814384188</c:v>
                </c:pt>
                <c:pt idx="28">
                  <c:v>0.32385167512002194</c:v>
                </c:pt>
                <c:pt idx="29">
                  <c:v>0.33482581407941925</c:v>
                </c:pt>
              </c:numCache>
            </c:numRef>
          </c:val>
        </c:ser>
        <c:ser>
          <c:idx val="10"/>
          <c:order val="9"/>
          <c:tx>
            <c:strRef>
              <c:f>'[1]11'!$L$4</c:f>
              <c:strCache>
                <c:ptCount val="1"/>
                <c:pt idx="0">
                  <c:v>BC</c:v>
                </c:pt>
              </c:strCache>
            </c:strRef>
          </c:tx>
          <c:spPr>
            <a:ln w="12700">
              <a:solidFill>
                <a:srgbClr val="808080"/>
              </a:solidFill>
              <a:prstDash val="solid"/>
            </a:ln>
          </c:spPr>
          <c:marker>
            <c:symbol val="square"/>
            <c:size val="3"/>
            <c:spPr>
              <a:noFill/>
              <a:ln w="9525">
                <a:noFill/>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'[1]11'!$W$5:$W$34</c:f>
              <c:numCache>
                <c:formatCode>General</c:formatCode>
                <c:ptCount val="30"/>
                <c:pt idx="0">
                  <c:v>0.33757673602300425</c:v>
                </c:pt>
                <c:pt idx="1">
                  <c:v>0.3336339470450424</c:v>
                </c:pt>
                <c:pt idx="2">
                  <c:v>0.33555833297975851</c:v>
                </c:pt>
                <c:pt idx="3">
                  <c:v>0.3391844404077668</c:v>
                </c:pt>
                <c:pt idx="4">
                  <c:v>0.3338662847116507</c:v>
                </c:pt>
                <c:pt idx="5">
                  <c:v>0.31851711516638082</c:v>
                </c:pt>
                <c:pt idx="6">
                  <c:v>0.32363439874671518</c:v>
                </c:pt>
                <c:pt idx="7">
                  <c:v>0.33482569226324826</c:v>
                </c:pt>
                <c:pt idx="8">
                  <c:v>0.41538995170405679</c:v>
                </c:pt>
                <c:pt idx="9">
                  <c:v>0.41914492466468417</c:v>
                </c:pt>
                <c:pt idx="11">
                  <c:v>0.37988859902323946</c:v>
                </c:pt>
                <c:pt idx="12">
                  <c:v>0.36462979419503155</c:v>
                </c:pt>
                <c:pt idx="13">
                  <c:v>0.37867061401847019</c:v>
                </c:pt>
                <c:pt idx="14">
                  <c:v>0.39732114743277031</c:v>
                </c:pt>
                <c:pt idx="15">
                  <c:v>0.38818477818707164</c:v>
                </c:pt>
                <c:pt idx="16">
                  <c:v>0.35115528635693849</c:v>
                </c:pt>
                <c:pt idx="17">
                  <c:v>0.38536243238037848</c:v>
                </c:pt>
                <c:pt idx="18">
                  <c:v>0.40534069633893627</c:v>
                </c:pt>
                <c:pt idx="19">
                  <c:v>0.42029453298451785</c:v>
                </c:pt>
                <c:pt idx="20">
                  <c:v>0.4267035170552419</c:v>
                </c:pt>
                <c:pt idx="21">
                  <c:v>0.39898955340758119</c:v>
                </c:pt>
                <c:pt idx="22">
                  <c:v>0.4001864807185162</c:v>
                </c:pt>
                <c:pt idx="23">
                  <c:v>0.38734510770400188</c:v>
                </c:pt>
                <c:pt idx="24">
                  <c:v>0.41565822386123658</c:v>
                </c:pt>
                <c:pt idx="25">
                  <c:v>0.43894164695940369</c:v>
                </c:pt>
                <c:pt idx="26">
                  <c:v>0.44222694534955259</c:v>
                </c:pt>
                <c:pt idx="27">
                  <c:v>0.45423682810809618</c:v>
                </c:pt>
                <c:pt idx="28">
                  <c:v>0.44075915339571081</c:v>
                </c:pt>
                <c:pt idx="29">
                  <c:v>0.48286079213489835</c:v>
                </c:pt>
              </c:numCache>
            </c:numRef>
          </c:val>
        </c:ser>
        <c:marker val="1"/>
        <c:axId val="137681920"/>
        <c:axId val="137573120"/>
      </c:lineChart>
      <c:catAx>
        <c:axId val="137681920"/>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7573120"/>
        <c:crosses val="autoZero"/>
        <c:auto val="1"/>
        <c:lblAlgn val="ctr"/>
        <c:lblOffset val="100"/>
        <c:tickLblSkip val="3"/>
        <c:tickMarkSkip val="1"/>
      </c:catAx>
      <c:valAx>
        <c:axId val="137573120"/>
        <c:scaling>
          <c:orientation val="minMax"/>
          <c:max val="1.9000000000000001"/>
          <c:min val="0.9"/>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7681920"/>
        <c:crosses val="autoZero"/>
        <c:crossBetween val="midCat"/>
      </c:valAx>
      <c:spPr>
        <a:solidFill>
          <a:srgbClr val="FFFFFF"/>
        </a:solidFill>
        <a:ln w="3175">
          <a:solidFill>
            <a:srgbClr val="000000"/>
          </a:solidFill>
          <a:prstDash val="solid"/>
        </a:ln>
      </c:spPr>
    </c:plotArea>
    <c:legend>
      <c:legendPos val="r"/>
      <c:layout>
        <c:manualLayout>
          <c:xMode val="edge"/>
          <c:yMode val="edge"/>
          <c:x val="0.90677025527192012"/>
          <c:y val="0.35562805872756931"/>
          <c:w val="8.8790233074358071E-2"/>
          <c:h val="0.3442088091353953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0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3: Index of Equality </a:t>
            </a:r>
          </a:p>
        </c:rich>
      </c:tx>
      <c:layout>
        <c:manualLayout>
          <c:xMode val="edge"/>
          <c:yMode val="edge"/>
          <c:x val="0.40177580466148721"/>
          <c:y val="1.9575856443719588E-2"/>
        </c:manualLayout>
      </c:layout>
      <c:spPr>
        <a:noFill/>
        <a:ln w="25400">
          <a:noFill/>
        </a:ln>
      </c:spPr>
    </c:title>
    <c:plotArea>
      <c:layout>
        <c:manualLayout>
          <c:layoutTarget val="inner"/>
          <c:xMode val="edge"/>
          <c:yMode val="edge"/>
          <c:x val="4.1065482796892344E-2"/>
          <c:y val="0.12234910277324652"/>
          <c:w val="0.83795782463929591"/>
          <c:h val="0.81076672104404557"/>
        </c:manualLayout>
      </c:layout>
      <c:lineChart>
        <c:grouping val="standard"/>
        <c:ser>
          <c:idx val="1"/>
          <c:order val="0"/>
          <c:tx>
            <c:strRef>
              <c:f>'[1]11'!$C$4</c:f>
              <c:strCache>
                <c:ptCount val="1"/>
                <c:pt idx="0">
                  <c:v>Nfld.</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'[1]11'!$Y$5:$Y$34</c:f>
              <c:numCache>
                <c:formatCode>General</c:formatCode>
                <c:ptCount val="30"/>
                <c:pt idx="0">
                  <c:v>0</c:v>
                </c:pt>
                <c:pt idx="1">
                  <c:v>0</c:v>
                </c:pt>
                <c:pt idx="2">
                  <c:v>0</c:v>
                </c:pt>
                <c:pt idx="3">
                  <c:v>0</c:v>
                </c:pt>
                <c:pt idx="4">
                  <c:v>0</c:v>
                </c:pt>
                <c:pt idx="5">
                  <c:v>0</c:v>
                </c:pt>
                <c:pt idx="6">
                  <c:v>0</c:v>
                </c:pt>
                <c:pt idx="7">
                  <c:v>0</c:v>
                </c:pt>
                <c:pt idx="8">
                  <c:v>0</c:v>
                </c:pt>
                <c:pt idx="9">
                  <c:v>0</c:v>
                </c:pt>
                <c:pt idx="11">
                  <c:v>26074.431381273986</c:v>
                </c:pt>
                <c:pt idx="12">
                  <c:v>25039.100267025853</c:v>
                </c:pt>
                <c:pt idx="13">
                  <c:v>25459.529060227025</c:v>
                </c:pt>
                <c:pt idx="14">
                  <c:v>26682.309719472061</c:v>
                </c:pt>
                <c:pt idx="15">
                  <c:v>27721.891287210416</c:v>
                </c:pt>
                <c:pt idx="16">
                  <c:v>28093.5293884083</c:v>
                </c:pt>
                <c:pt idx="17">
                  <c:v>28912.453245355835</c:v>
                </c:pt>
                <c:pt idx="18">
                  <c:v>29952.47221435851</c:v>
                </c:pt>
                <c:pt idx="19">
                  <c:v>30216.928873625016</c:v>
                </c:pt>
                <c:pt idx="20">
                  <c:v>29798.228034550051</c:v>
                </c:pt>
                <c:pt idx="21">
                  <c:v>28826.325742054458</c:v>
                </c:pt>
                <c:pt idx="22">
                  <c:v>28742.457051606529</c:v>
                </c:pt>
                <c:pt idx="23">
                  <c:v>29072.109692259877</c:v>
                </c:pt>
                <c:pt idx="24">
                  <c:v>30137.437510798991</c:v>
                </c:pt>
                <c:pt idx="25">
                  <c:v>30662.315965575126</c:v>
                </c:pt>
                <c:pt idx="26">
                  <c:v>30854.449869283748</c:v>
                </c:pt>
                <c:pt idx="27">
                  <c:v>31841.392670154055</c:v>
                </c:pt>
                <c:pt idx="28">
                  <c:v>32873.409766649915</c:v>
                </c:pt>
                <c:pt idx="29">
                  <c:v>34415.091710047971</c:v>
                </c:pt>
              </c:numCache>
            </c:numRef>
          </c:val>
        </c:ser>
        <c:ser>
          <c:idx val="2"/>
          <c:order val="1"/>
          <c:tx>
            <c:strRef>
              <c:f>'[1]11'!$D$4</c:f>
              <c:strCache>
                <c:ptCount val="1"/>
                <c:pt idx="0">
                  <c:v>PEI</c:v>
                </c:pt>
              </c:strCache>
            </c:strRef>
          </c:tx>
          <c:spPr>
            <a:ln w="12700">
              <a:solidFill>
                <a:srgbClr val="969696"/>
              </a:solidFill>
              <a:prstDash val="solid"/>
            </a:ln>
          </c:spPr>
          <c:marker>
            <c:symbol val="square"/>
            <c:size val="5"/>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'[1]11'!$Z$5:$Z$34</c:f>
              <c:numCache>
                <c:formatCode>General</c:formatCode>
                <c:ptCount val="30"/>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er>
        <c:ser>
          <c:idx val="3"/>
          <c:order val="2"/>
          <c:tx>
            <c:strRef>
              <c:f>'[1]11'!$E$4</c:f>
              <c:strCache>
                <c:ptCount val="1"/>
                <c:pt idx="0">
                  <c:v>NS</c:v>
                </c:pt>
              </c:strCache>
            </c:strRef>
          </c:tx>
          <c:spPr>
            <a:ln w="12700">
              <a:solidFill>
                <a:srgbClr val="000000"/>
              </a:solidFill>
              <a:prstDash val="solid"/>
            </a:ln>
          </c:spPr>
          <c:marker>
            <c:symbol val="triangle"/>
            <c:size val="3"/>
            <c:spPr>
              <a:solidFill>
                <a:srgbClr val="000000"/>
              </a:solidFill>
              <a:ln>
                <a:solidFill>
                  <a:srgbClr val="000000"/>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'[1]11'!$AA$5:$AA$34</c:f>
              <c:numCache>
                <c:formatCode>General</c:formatCode>
                <c:ptCount val="30"/>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er>
        <c:ser>
          <c:idx val="4"/>
          <c:order val="3"/>
          <c:tx>
            <c:strRef>
              <c:f>'[1]11'!$F$4</c:f>
              <c:strCache>
                <c:ptCount val="1"/>
                <c:pt idx="0">
                  <c:v>NB</c:v>
                </c:pt>
              </c:strCache>
            </c:strRef>
          </c:tx>
          <c:spPr>
            <a:ln w="12700">
              <a:solidFill>
                <a:srgbClr val="969696"/>
              </a:solidFill>
              <a:prstDash val="solid"/>
            </a:ln>
          </c:spPr>
          <c:marker>
            <c:symbol val="triangle"/>
            <c:size val="5"/>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'[1]11'!$AB$5:$AB$34</c:f>
              <c:numCache>
                <c:formatCode>General</c:formatCode>
                <c:ptCount val="30"/>
                <c:pt idx="0">
                  <c:v>1.1383616990041951</c:v>
                </c:pt>
                <c:pt idx="1">
                  <c:v>1.1383616990041951</c:v>
                </c:pt>
                <c:pt idx="2">
                  <c:v>1.1383616990041951</c:v>
                </c:pt>
                <c:pt idx="3">
                  <c:v>1.1499479499270713</c:v>
                </c:pt>
                <c:pt idx="4">
                  <c:v>1.161534200849947</c:v>
                </c:pt>
                <c:pt idx="5">
                  <c:v>1.1586908117345747</c:v>
                </c:pt>
                <c:pt idx="6">
                  <c:v>1.1558474226192024</c:v>
                </c:pt>
                <c:pt idx="7">
                  <c:v>1.1515711445008074</c:v>
                </c:pt>
                <c:pt idx="8">
                  <c:v>1.1472948663824125</c:v>
                </c:pt>
                <c:pt idx="9">
                  <c:v>0.98976787793074261</c:v>
                </c:pt>
                <c:pt idx="11">
                  <c:v>0.76370726263820932</c:v>
                </c:pt>
                <c:pt idx="12">
                  <c:v>0.80253281652799702</c:v>
                </c:pt>
                <c:pt idx="13">
                  <c:v>0.72314072141957308</c:v>
                </c:pt>
                <c:pt idx="14">
                  <c:v>0.71394373366570862</c:v>
                </c:pt>
                <c:pt idx="15">
                  <c:v>0.79462545708262988</c:v>
                </c:pt>
                <c:pt idx="16">
                  <c:v>0.87751942197041566</c:v>
                </c:pt>
                <c:pt idx="17">
                  <c:v>0.81919448366565395</c:v>
                </c:pt>
                <c:pt idx="18">
                  <c:v>0.87538448154164183</c:v>
                </c:pt>
                <c:pt idx="19">
                  <c:v>0.80552291489324812</c:v>
                </c:pt>
                <c:pt idx="20">
                  <c:v>0.88306451612903225</c:v>
                </c:pt>
                <c:pt idx="21">
                  <c:v>0.74339816466927899</c:v>
                </c:pt>
                <c:pt idx="22">
                  <c:v>0.81791412643747397</c:v>
                </c:pt>
                <c:pt idx="23">
                  <c:v>0.88138815738874532</c:v>
                </c:pt>
                <c:pt idx="24">
                  <c:v>0.86027209736536858</c:v>
                </c:pt>
                <c:pt idx="25">
                  <c:v>0.75272110075053178</c:v>
                </c:pt>
                <c:pt idx="26">
                  <c:v>0.74738308141061438</c:v>
                </c:pt>
                <c:pt idx="27">
                  <c:v>0.70343794662866799</c:v>
                </c:pt>
                <c:pt idx="28">
                  <c:v>0.73927269423916508</c:v>
                </c:pt>
                <c:pt idx="29">
                  <c:v>0.65120052256380301</c:v>
                </c:pt>
              </c:numCache>
            </c:numRef>
          </c:val>
        </c:ser>
        <c:ser>
          <c:idx val="5"/>
          <c:order val="4"/>
          <c:tx>
            <c:strRef>
              <c:f>'[1]11'!$G$4</c:f>
              <c:strCache>
                <c:ptCount val="1"/>
                <c:pt idx="0">
                  <c:v>PQ</c:v>
                </c:pt>
              </c:strCache>
            </c:strRef>
          </c:tx>
          <c:spPr>
            <a:ln w="12700">
              <a:solidFill>
                <a:srgbClr val="000000"/>
              </a:solidFill>
              <a:prstDash val="solid"/>
            </a:ln>
          </c:spPr>
          <c:marker>
            <c:symbol val="circle"/>
            <c:size val="5"/>
            <c:spPr>
              <a:solidFill>
                <a:srgbClr val="333333"/>
              </a:solidFill>
              <a:ln>
                <a:solidFill>
                  <a:srgbClr val="333333"/>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'[1]11'!$AC$5:$AC$34</c:f>
              <c:numCache>
                <c:formatCode>General</c:formatCode>
                <c:ptCount val="30"/>
                <c:pt idx="0">
                  <c:v>1.1102630421191557</c:v>
                </c:pt>
                <c:pt idx="1">
                  <c:v>1.1102630421191557</c:v>
                </c:pt>
                <c:pt idx="2">
                  <c:v>1.1102630421191557</c:v>
                </c:pt>
                <c:pt idx="3">
                  <c:v>1.1156763615587144</c:v>
                </c:pt>
                <c:pt idx="4">
                  <c:v>1.1210896809982733</c:v>
                </c:pt>
                <c:pt idx="5">
                  <c:v>1.1167046558627356</c:v>
                </c:pt>
                <c:pt idx="6">
                  <c:v>1.1123196307271976</c:v>
                </c:pt>
                <c:pt idx="7">
                  <c:v>1.1113858922212474</c:v>
                </c:pt>
                <c:pt idx="8">
                  <c:v>1.1104521537152972</c:v>
                </c:pt>
                <c:pt idx="9">
                  <c:v>1.0233700284683769</c:v>
                </c:pt>
                <c:pt idx="11">
                  <c:v>0.67396393859406012</c:v>
                </c:pt>
                <c:pt idx="12">
                  <c:v>0.62634704655334983</c:v>
                </c:pt>
                <c:pt idx="13">
                  <c:v>0.56499044045204982</c:v>
                </c:pt>
                <c:pt idx="14">
                  <c:v>0.61273890617117044</c:v>
                </c:pt>
                <c:pt idx="15">
                  <c:v>0.61429580914748905</c:v>
                </c:pt>
                <c:pt idx="16">
                  <c:v>0.65114500673445397</c:v>
                </c:pt>
                <c:pt idx="17">
                  <c:v>0.66076700675870825</c:v>
                </c:pt>
                <c:pt idx="18">
                  <c:v>0.69941327383896379</c:v>
                </c:pt>
                <c:pt idx="19">
                  <c:v>0.71817922541579537</c:v>
                </c:pt>
                <c:pt idx="20">
                  <c:v>0.74357002522358973</c:v>
                </c:pt>
                <c:pt idx="21">
                  <c:v>0.70139030400623703</c:v>
                </c:pt>
                <c:pt idx="22">
                  <c:v>0.65879065592209762</c:v>
                </c:pt>
                <c:pt idx="23">
                  <c:v>0.66352125063837253</c:v>
                </c:pt>
                <c:pt idx="24">
                  <c:v>0.54942425404280959</c:v>
                </c:pt>
                <c:pt idx="25">
                  <c:v>0.57284781019077879</c:v>
                </c:pt>
                <c:pt idx="26">
                  <c:v>0.51793319236571944</c:v>
                </c:pt>
                <c:pt idx="27">
                  <c:v>0.48720633231445504</c:v>
                </c:pt>
                <c:pt idx="28">
                  <c:v>0.44519879815376406</c:v>
                </c:pt>
                <c:pt idx="29">
                  <c:v>0.46849150604987444</c:v>
                </c:pt>
              </c:numCache>
            </c:numRef>
          </c:val>
        </c:ser>
        <c:ser>
          <c:idx val="6"/>
          <c:order val="5"/>
          <c:tx>
            <c:strRef>
              <c:f>'[1]11'!$H$4</c:f>
              <c:strCache>
                <c:ptCount val="1"/>
                <c:pt idx="0">
                  <c:v>ON</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'[1]11'!$AD$5:$AD$34</c:f>
              <c:numCache>
                <c:formatCode>General</c:formatCode>
                <c:ptCount val="30"/>
                <c:pt idx="0">
                  <c:v>1.1383877521953301</c:v>
                </c:pt>
                <c:pt idx="1">
                  <c:v>1.1383877521953301</c:v>
                </c:pt>
                <c:pt idx="2">
                  <c:v>1.1383877521953301</c:v>
                </c:pt>
                <c:pt idx="3">
                  <c:v>1.1347120873417667</c:v>
                </c:pt>
                <c:pt idx="4">
                  <c:v>1.1310364224882037</c:v>
                </c:pt>
                <c:pt idx="5">
                  <c:v>1.1197186316574534</c:v>
                </c:pt>
                <c:pt idx="6">
                  <c:v>1.1084008408267032</c:v>
                </c:pt>
                <c:pt idx="7">
                  <c:v>1.111669390902182</c:v>
                </c:pt>
                <c:pt idx="8">
                  <c:v>1.1149379409776607</c:v>
                </c:pt>
                <c:pt idx="9">
                  <c:v>1.0435313187909576</c:v>
                </c:pt>
                <c:pt idx="11">
                  <c:v>0.60461580665998671</c:v>
                </c:pt>
                <c:pt idx="12">
                  <c:v>0.58180957014243928</c:v>
                </c:pt>
                <c:pt idx="13">
                  <c:v>0.41470967597285679</c:v>
                </c:pt>
                <c:pt idx="14">
                  <c:v>0.55635490277402977</c:v>
                </c:pt>
                <c:pt idx="15">
                  <c:v>0.66942582164628051</c:v>
                </c:pt>
                <c:pt idx="16">
                  <c:v>0.70485609020660078</c:v>
                </c:pt>
                <c:pt idx="17">
                  <c:v>0.64391440195860694</c:v>
                </c:pt>
                <c:pt idx="18">
                  <c:v>0.756860473491486</c:v>
                </c:pt>
                <c:pt idx="19">
                  <c:v>0.74680434174354182</c:v>
                </c:pt>
                <c:pt idx="20">
                  <c:v>0.72244607002858452</c:v>
                </c:pt>
                <c:pt idx="21">
                  <c:v>0.66494981862449032</c:v>
                </c:pt>
                <c:pt idx="22">
                  <c:v>0.6468223785874011</c:v>
                </c:pt>
                <c:pt idx="23">
                  <c:v>0.61215957396844889</c:v>
                </c:pt>
                <c:pt idx="24">
                  <c:v>0.58582078749596389</c:v>
                </c:pt>
                <c:pt idx="25">
                  <c:v>0.61675116557826137</c:v>
                </c:pt>
                <c:pt idx="26">
                  <c:v>0.59386381207079575</c:v>
                </c:pt>
                <c:pt idx="27">
                  <c:v>0.53229343796688566</c:v>
                </c:pt>
                <c:pt idx="28">
                  <c:v>0.59856659802643553</c:v>
                </c:pt>
                <c:pt idx="29">
                  <c:v>0.64691723052954719</c:v>
                </c:pt>
              </c:numCache>
            </c:numRef>
          </c:val>
        </c:ser>
        <c:ser>
          <c:idx val="7"/>
          <c:order val="6"/>
          <c:tx>
            <c:strRef>
              <c:f>'[1]11'!$I$4</c:f>
              <c:strCache>
                <c:ptCount val="1"/>
                <c:pt idx="0">
                  <c:v>Man.</c:v>
                </c:pt>
              </c:strCache>
            </c:strRef>
          </c:tx>
          <c:spPr>
            <a:ln w="12700">
              <a:solidFill>
                <a:srgbClr val="000000"/>
              </a:solidFill>
              <a:prstDash val="solid"/>
            </a:ln>
          </c:spPr>
          <c:marker>
            <c:symbol val="none"/>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'[1]11'!$AE$5:$AE$34</c:f>
              <c:numCache>
                <c:formatCode>General</c:formatCode>
                <c:ptCount val="30"/>
                <c:pt idx="0">
                  <c:v>1.105184569623475</c:v>
                </c:pt>
                <c:pt idx="1">
                  <c:v>1.105184569623475</c:v>
                </c:pt>
                <c:pt idx="2">
                  <c:v>1.105184569623475</c:v>
                </c:pt>
                <c:pt idx="3">
                  <c:v>1.1166421537292379</c:v>
                </c:pt>
                <c:pt idx="4">
                  <c:v>1.1280997378350008</c:v>
                </c:pt>
                <c:pt idx="5">
                  <c:v>1.1249963963109888</c:v>
                </c:pt>
                <c:pt idx="6">
                  <c:v>1.1218930547869768</c:v>
                </c:pt>
                <c:pt idx="7">
                  <c:v>1.1208900736860605</c:v>
                </c:pt>
                <c:pt idx="8">
                  <c:v>1.1198870925851443</c:v>
                </c:pt>
                <c:pt idx="9">
                  <c:v>1.0166495983608503</c:v>
                </c:pt>
                <c:pt idx="11">
                  <c:v>0.4373420051197181</c:v>
                </c:pt>
                <c:pt idx="12">
                  <c:v>0.43025652425702798</c:v>
                </c:pt>
                <c:pt idx="13">
                  <c:v>0.34728614621145687</c:v>
                </c:pt>
                <c:pt idx="14">
                  <c:v>0.31989902730134223</c:v>
                </c:pt>
                <c:pt idx="15">
                  <c:v>0.41119680960025085</c:v>
                </c:pt>
                <c:pt idx="16">
                  <c:v>0.39753442159779784</c:v>
                </c:pt>
                <c:pt idx="17">
                  <c:v>0.4186666664217471</c:v>
                </c:pt>
                <c:pt idx="18">
                  <c:v>0.44660163553559257</c:v>
                </c:pt>
                <c:pt idx="19">
                  <c:v>0.54106004388378937</c:v>
                </c:pt>
                <c:pt idx="20">
                  <c:v>0.40888814798163442</c:v>
                </c:pt>
                <c:pt idx="21">
                  <c:v>0.29760756972628288</c:v>
                </c:pt>
                <c:pt idx="22">
                  <c:v>0.37082172819868503</c:v>
                </c:pt>
                <c:pt idx="23">
                  <c:v>0.28505878290515257</c:v>
                </c:pt>
                <c:pt idx="24">
                  <c:v>0.27364082396373574</c:v>
                </c:pt>
                <c:pt idx="25">
                  <c:v>0.20899800233018129</c:v>
                </c:pt>
                <c:pt idx="26">
                  <c:v>0.21773544499554709</c:v>
                </c:pt>
                <c:pt idx="27">
                  <c:v>0.15501792114695334</c:v>
                </c:pt>
                <c:pt idx="28">
                  <c:v>0.20173074598631482</c:v>
                </c:pt>
                <c:pt idx="29">
                  <c:v>0.29592609496796807</c:v>
                </c:pt>
              </c:numCache>
            </c:numRef>
          </c:val>
        </c:ser>
        <c:ser>
          <c:idx val="8"/>
          <c:order val="7"/>
          <c:tx>
            <c:strRef>
              <c:f>'[1]11'!$J$4</c:f>
              <c:strCache>
                <c:ptCount val="1"/>
                <c:pt idx="0">
                  <c:v>Sask.</c:v>
                </c:pt>
              </c:strCache>
            </c:strRef>
          </c:tx>
          <c:spPr>
            <a:ln w="12700">
              <a:solidFill>
                <a:srgbClr val="000000"/>
              </a:solidFill>
              <a:prstDash val="sysDash"/>
            </a:ln>
          </c:spPr>
          <c:marker>
            <c:symbol val="square"/>
            <c:size val="3"/>
            <c:spPr>
              <a:noFill/>
              <a:ln w="9525">
                <a:noFill/>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'[1]11'!$AF$5:$AF$34</c:f>
              <c:numCache>
                <c:formatCode>General</c:formatCode>
                <c:ptCount val="30"/>
                <c:pt idx="0">
                  <c:v>1.1246915986969337</c:v>
                </c:pt>
                <c:pt idx="1">
                  <c:v>1.1246915986969337</c:v>
                </c:pt>
                <c:pt idx="2">
                  <c:v>1.1246915986969339</c:v>
                </c:pt>
                <c:pt idx="3">
                  <c:v>1.1273204512644197</c:v>
                </c:pt>
                <c:pt idx="4">
                  <c:v>1.1299493038319059</c:v>
                </c:pt>
                <c:pt idx="5">
                  <c:v>1.126090437677798</c:v>
                </c:pt>
                <c:pt idx="6">
                  <c:v>1.1222315715236899</c:v>
                </c:pt>
                <c:pt idx="7">
                  <c:v>1.1188068278119192</c:v>
                </c:pt>
                <c:pt idx="8">
                  <c:v>1.1153820841001485</c:v>
                </c:pt>
                <c:pt idx="9">
                  <c:v>1.0211298850992014</c:v>
                </c:pt>
                <c:pt idx="11">
                  <c:v>0.62884423369950393</c:v>
                </c:pt>
                <c:pt idx="12">
                  <c:v>0.57847063650692443</c:v>
                </c:pt>
                <c:pt idx="13">
                  <c:v>0.45513008996011106</c:v>
                </c:pt>
                <c:pt idx="14">
                  <c:v>0.52834075853999196</c:v>
                </c:pt>
                <c:pt idx="15">
                  <c:v>0.57950672199838171</c:v>
                </c:pt>
                <c:pt idx="16">
                  <c:v>0.6102594466536263</c:v>
                </c:pt>
                <c:pt idx="17">
                  <c:v>0.63822175359486</c:v>
                </c:pt>
                <c:pt idx="18">
                  <c:v>0.65245975045254279</c:v>
                </c:pt>
                <c:pt idx="19">
                  <c:v>0.69504040079145313</c:v>
                </c:pt>
                <c:pt idx="20">
                  <c:v>0.6145834548368232</c:v>
                </c:pt>
                <c:pt idx="21">
                  <c:v>0.52721026701345808</c:v>
                </c:pt>
                <c:pt idx="22">
                  <c:v>0.55453117891382908</c:v>
                </c:pt>
                <c:pt idx="23">
                  <c:v>0.49990616332391424</c:v>
                </c:pt>
                <c:pt idx="24">
                  <c:v>0.51056295947623342</c:v>
                </c:pt>
                <c:pt idx="25">
                  <c:v>0.49084762679721805</c:v>
                </c:pt>
                <c:pt idx="26">
                  <c:v>0.37010063335803339</c:v>
                </c:pt>
                <c:pt idx="27">
                  <c:v>0.35128667879794251</c:v>
                </c:pt>
                <c:pt idx="28">
                  <c:v>0.41065299369050096</c:v>
                </c:pt>
                <c:pt idx="29">
                  <c:v>0.39634008409518734</c:v>
                </c:pt>
              </c:numCache>
            </c:numRef>
          </c:val>
        </c:ser>
        <c:ser>
          <c:idx val="9"/>
          <c:order val="8"/>
          <c:tx>
            <c:strRef>
              <c:f>'[1]11'!$K$4</c:f>
              <c:strCache>
                <c:ptCount val="1"/>
                <c:pt idx="0">
                  <c:v>Alb.</c:v>
                </c:pt>
              </c:strCache>
            </c:strRef>
          </c:tx>
          <c:spPr>
            <a:ln w="12700">
              <a:solidFill>
                <a:srgbClr val="000000"/>
              </a:solidFill>
              <a:prstDash val="lgDash"/>
            </a:ln>
          </c:spPr>
          <c:marker>
            <c:symbol val="diamond"/>
            <c:size val="5"/>
            <c:spPr>
              <a:solidFill>
                <a:srgbClr val="333333"/>
              </a:solidFill>
              <a:ln>
                <a:solidFill>
                  <a:srgbClr val="333333"/>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'[1]11'!$AG$5:$AG$34</c:f>
              <c:numCache>
                <c:formatCode>General</c:formatCode>
                <c:ptCount val="30"/>
                <c:pt idx="0">
                  <c:v>1.0993418733237341</c:v>
                </c:pt>
                <c:pt idx="1">
                  <c:v>1.0993418733237341</c:v>
                </c:pt>
                <c:pt idx="2">
                  <c:v>1.0993418733237341</c:v>
                </c:pt>
                <c:pt idx="3">
                  <c:v>1.1081172268699309</c:v>
                </c:pt>
                <c:pt idx="4">
                  <c:v>1.1168925804161276</c:v>
                </c:pt>
                <c:pt idx="5">
                  <c:v>1.1004373201422526</c:v>
                </c:pt>
                <c:pt idx="6">
                  <c:v>1.0839820598683776</c:v>
                </c:pt>
                <c:pt idx="7">
                  <c:v>1.0905311827833915</c:v>
                </c:pt>
                <c:pt idx="8">
                  <c:v>1.0970803056984053</c:v>
                </c:pt>
                <c:pt idx="9">
                  <c:v>0.97632701771568886</c:v>
                </c:pt>
                <c:pt idx="11">
                  <c:v>0.37528444973860736</c:v>
                </c:pt>
                <c:pt idx="12">
                  <c:v>0.38235409178729785</c:v>
                </c:pt>
                <c:pt idx="13">
                  <c:v>0.40849025403025552</c:v>
                </c:pt>
                <c:pt idx="14">
                  <c:v>0.40299713543102494</c:v>
                </c:pt>
                <c:pt idx="15">
                  <c:v>0.45439670371737317</c:v>
                </c:pt>
                <c:pt idx="16">
                  <c:v>0.48402916013767039</c:v>
                </c:pt>
                <c:pt idx="17">
                  <c:v>0.43623920485323431</c:v>
                </c:pt>
                <c:pt idx="18">
                  <c:v>0.46322135506965501</c:v>
                </c:pt>
                <c:pt idx="19">
                  <c:v>0.54213605440841128</c:v>
                </c:pt>
                <c:pt idx="20">
                  <c:v>0.45617212785889405</c:v>
                </c:pt>
                <c:pt idx="21">
                  <c:v>0.35988086711032119</c:v>
                </c:pt>
                <c:pt idx="22">
                  <c:v>0.29062988741008972</c:v>
                </c:pt>
                <c:pt idx="23">
                  <c:v>0.32731791078661998</c:v>
                </c:pt>
                <c:pt idx="24">
                  <c:v>0.32756526857901058</c:v>
                </c:pt>
                <c:pt idx="25">
                  <c:v>0.38829634656639728</c:v>
                </c:pt>
                <c:pt idx="26">
                  <c:v>0.37183579722236693</c:v>
                </c:pt>
                <c:pt idx="27">
                  <c:v>0.31561359015677265</c:v>
                </c:pt>
                <c:pt idx="28">
                  <c:v>0.40349374001045718</c:v>
                </c:pt>
                <c:pt idx="29">
                  <c:v>0.36820900195109796</c:v>
                </c:pt>
              </c:numCache>
            </c:numRef>
          </c:val>
        </c:ser>
        <c:ser>
          <c:idx val="10"/>
          <c:order val="9"/>
          <c:tx>
            <c:strRef>
              <c:f>'[1]11'!$L$4</c:f>
              <c:strCache>
                <c:ptCount val="1"/>
                <c:pt idx="0">
                  <c:v>BC</c:v>
                </c:pt>
              </c:strCache>
            </c:strRef>
          </c:tx>
          <c:spPr>
            <a:ln w="12700">
              <a:solidFill>
                <a:srgbClr val="808080"/>
              </a:solidFill>
              <a:prstDash val="solid"/>
            </a:ln>
          </c:spPr>
          <c:marker>
            <c:symbol val="square"/>
            <c:size val="3"/>
            <c:spPr>
              <a:noFill/>
              <a:ln w="9525">
                <a:noFill/>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'[1]11'!$AH$5:$AH$34</c:f>
              <c:numCache>
                <c:formatCode>General</c:formatCode>
                <c:ptCount val="30"/>
                <c:pt idx="0">
                  <c:v>1.03191991241676</c:v>
                </c:pt>
                <c:pt idx="1">
                  <c:v>1.03191991241676</c:v>
                </c:pt>
                <c:pt idx="2">
                  <c:v>1.03191991241676</c:v>
                </c:pt>
                <c:pt idx="3">
                  <c:v>1.0129622342600582</c:v>
                </c:pt>
                <c:pt idx="4">
                  <c:v>0.99400455610335636</c:v>
                </c:pt>
                <c:pt idx="5">
                  <c:v>1.0260674473797478</c:v>
                </c:pt>
                <c:pt idx="6">
                  <c:v>1.0581303386561394</c:v>
                </c:pt>
                <c:pt idx="7">
                  <c:v>1.0534986331973999</c:v>
                </c:pt>
                <c:pt idx="8">
                  <c:v>1.0488669277386604</c:v>
                </c:pt>
                <c:pt idx="9">
                  <c:v>0.98080730445404019</c:v>
                </c:pt>
                <c:pt idx="11">
                  <c:v>0.52825657416758398</c:v>
                </c:pt>
                <c:pt idx="12">
                  <c:v>0.59478786043654652</c:v>
                </c:pt>
                <c:pt idx="13">
                  <c:v>0.55162691432471977</c:v>
                </c:pt>
                <c:pt idx="14">
                  <c:v>0.54480181245246928</c:v>
                </c:pt>
                <c:pt idx="15">
                  <c:v>0.44069264310934403</c:v>
                </c:pt>
                <c:pt idx="16">
                  <c:v>0.46607527356412559</c:v>
                </c:pt>
                <c:pt idx="17">
                  <c:v>0.58652526516403414</c:v>
                </c:pt>
                <c:pt idx="18">
                  <c:v>0.5925452023190918</c:v>
                </c:pt>
                <c:pt idx="19">
                  <c:v>0.58378076991681405</c:v>
                </c:pt>
                <c:pt idx="20">
                  <c:v>0.47457714104738652</c:v>
                </c:pt>
                <c:pt idx="21">
                  <c:v>0.44458901631353209</c:v>
                </c:pt>
                <c:pt idx="22">
                  <c:v>0.42254542478743318</c:v>
                </c:pt>
                <c:pt idx="23">
                  <c:v>0.47146585185287704</c:v>
                </c:pt>
                <c:pt idx="24">
                  <c:v>0.51215799249758576</c:v>
                </c:pt>
                <c:pt idx="25">
                  <c:v>0.45862308237823668</c:v>
                </c:pt>
                <c:pt idx="26">
                  <c:v>0.49279087223232898</c:v>
                </c:pt>
                <c:pt idx="27">
                  <c:v>0.56648080693960579</c:v>
                </c:pt>
                <c:pt idx="28">
                  <c:v>0.49089844333479382</c:v>
                </c:pt>
                <c:pt idx="29">
                  <c:v>0.56224872815877402</c:v>
                </c:pt>
              </c:numCache>
            </c:numRef>
          </c:val>
        </c:ser>
        <c:marker val="1"/>
        <c:axId val="137765248"/>
        <c:axId val="137874816"/>
      </c:lineChart>
      <c:catAx>
        <c:axId val="137765248"/>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7874816"/>
        <c:crosses val="autoZero"/>
        <c:auto val="1"/>
        <c:lblAlgn val="ctr"/>
        <c:lblOffset val="100"/>
        <c:tickLblSkip val="3"/>
        <c:tickMarkSkip val="1"/>
      </c:catAx>
      <c:valAx>
        <c:axId val="137874816"/>
        <c:scaling>
          <c:orientation val="minMax"/>
          <c:max val="1.6"/>
          <c:min val="0.4"/>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7765248"/>
        <c:crosses val="autoZero"/>
        <c:crossBetween val="midCat"/>
      </c:valAx>
      <c:spPr>
        <a:solidFill>
          <a:srgbClr val="FFFFFF"/>
        </a:solidFill>
        <a:ln w="3175">
          <a:solidFill>
            <a:srgbClr val="000000"/>
          </a:solidFill>
          <a:prstDash val="solid"/>
        </a:ln>
      </c:spPr>
    </c:plotArea>
    <c:legend>
      <c:legendPos val="r"/>
      <c:layout>
        <c:manualLayout>
          <c:xMode val="edge"/>
          <c:yMode val="edge"/>
          <c:x val="0.90677025527192012"/>
          <c:y val="0.35562805872756931"/>
          <c:w val="8.8790233074358071E-2"/>
          <c:h val="0.3442088091353953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0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4: Index of Security </a:t>
            </a:r>
          </a:p>
        </c:rich>
      </c:tx>
      <c:layout>
        <c:manualLayout>
          <c:xMode val="edge"/>
          <c:yMode val="edge"/>
          <c:x val="0.40177580466148721"/>
          <c:y val="1.9575856443719588E-2"/>
        </c:manualLayout>
      </c:layout>
      <c:spPr>
        <a:noFill/>
        <a:ln w="25400">
          <a:noFill/>
        </a:ln>
      </c:spPr>
    </c:title>
    <c:plotArea>
      <c:layout>
        <c:manualLayout>
          <c:layoutTarget val="inner"/>
          <c:xMode val="edge"/>
          <c:yMode val="edge"/>
          <c:x val="4.5504994450610979E-2"/>
          <c:y val="0.12234910277324652"/>
          <c:w val="0.83351831298557644"/>
          <c:h val="0.81076672104404557"/>
        </c:manualLayout>
      </c:layout>
      <c:lineChart>
        <c:grouping val="standard"/>
        <c:ser>
          <c:idx val="1"/>
          <c:order val="0"/>
          <c:tx>
            <c:strRef>
              <c:f>'[1]11'!$C$4</c:f>
              <c:strCache>
                <c:ptCount val="1"/>
                <c:pt idx="0">
                  <c:v>Nfld.</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'[1]11'!$AJ$5:$AJ$34</c:f>
              <c:numCache>
                <c:formatCode>General</c:formatCode>
                <c:ptCount val="30"/>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er>
        <c:ser>
          <c:idx val="2"/>
          <c:order val="1"/>
          <c:tx>
            <c:strRef>
              <c:f>'[1]11'!$D$4</c:f>
              <c:strCache>
                <c:ptCount val="1"/>
                <c:pt idx="0">
                  <c:v>PEI</c:v>
                </c:pt>
              </c:strCache>
            </c:strRef>
          </c:tx>
          <c:spPr>
            <a:ln w="12700">
              <a:solidFill>
                <a:srgbClr val="969696"/>
              </a:solidFill>
              <a:prstDash val="solid"/>
            </a:ln>
          </c:spPr>
          <c:marker>
            <c:symbol val="square"/>
            <c:size val="5"/>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'[1]11'!$AK$5:$AK$34</c:f>
              <c:numCache>
                <c:formatCode>General</c:formatCode>
                <c:ptCount val="30"/>
                <c:pt idx="0">
                  <c:v>-8.0365416491324157E-3</c:v>
                </c:pt>
                <c:pt idx="1">
                  <c:v>6.2828315900254278E-3</c:v>
                </c:pt>
                <c:pt idx="2">
                  <c:v>2.8374294371563399E-2</c:v>
                </c:pt>
                <c:pt idx="3">
                  <c:v>5.8493828076600543E-2</c:v>
                </c:pt>
                <c:pt idx="4">
                  <c:v>8.1851821674177205E-2</c:v>
                </c:pt>
                <c:pt idx="5">
                  <c:v>9.5706900219441393E-2</c:v>
                </c:pt>
                <c:pt idx="6">
                  <c:v>0.10564752133835315</c:v>
                </c:pt>
                <c:pt idx="7">
                  <c:v>0.12715225003860173</c:v>
                </c:pt>
                <c:pt idx="8">
                  <c:v>0.13769666008439838</c:v>
                </c:pt>
                <c:pt idx="9">
                  <c:v>0.13665598487497951</c:v>
                </c:pt>
                <c:pt idx="11">
                  <c:v>8.3333333333333356E-2</c:v>
                </c:pt>
                <c:pt idx="12">
                  <c:v>8.727728123227313E-2</c:v>
                </c:pt>
                <c:pt idx="13">
                  <c:v>0.10046487548502983</c:v>
                </c:pt>
                <c:pt idx="14">
                  <c:v>0.12962642943497843</c:v>
                </c:pt>
                <c:pt idx="15">
                  <c:v>0.15660767207796997</c:v>
                </c:pt>
                <c:pt idx="16">
                  <c:v>0.18923124890208307</c:v>
                </c:pt>
                <c:pt idx="17">
                  <c:v>0.20767450808859586</c:v>
                </c:pt>
                <c:pt idx="18">
                  <c:v>0.24422675498068758</c:v>
                </c:pt>
                <c:pt idx="19">
                  <c:v>0.2599317559806773</c:v>
                </c:pt>
                <c:pt idx="20">
                  <c:v>0.2575997335084601</c:v>
                </c:pt>
                <c:pt idx="21">
                  <c:v>0.24933751153747211</c:v>
                </c:pt>
                <c:pt idx="22">
                  <c:v>0.25984120390422522</c:v>
                </c:pt>
                <c:pt idx="23">
                  <c:v>0.25866385252043345</c:v>
                </c:pt>
                <c:pt idx="24">
                  <c:v>0.26760035628323053</c:v>
                </c:pt>
                <c:pt idx="25">
                  <c:v>0.27886567919525745</c:v>
                </c:pt>
                <c:pt idx="26">
                  <c:v>0.28834417383325356</c:v>
                </c:pt>
                <c:pt idx="27">
                  <c:v>0.30228925834250553</c:v>
                </c:pt>
                <c:pt idx="28">
                  <c:v>0.35438270504919667</c:v>
                </c:pt>
                <c:pt idx="29">
                  <c:v>0.39821288741368666</c:v>
                </c:pt>
              </c:numCache>
            </c:numRef>
          </c:val>
        </c:ser>
        <c:ser>
          <c:idx val="3"/>
          <c:order val="2"/>
          <c:tx>
            <c:strRef>
              <c:f>'[1]11'!$E$4</c:f>
              <c:strCache>
                <c:ptCount val="1"/>
                <c:pt idx="0">
                  <c:v>NS</c:v>
                </c:pt>
              </c:strCache>
            </c:strRef>
          </c:tx>
          <c:spPr>
            <a:ln w="12700">
              <a:solidFill>
                <a:srgbClr val="000000"/>
              </a:solidFill>
              <a:prstDash val="solid"/>
            </a:ln>
          </c:spPr>
          <c:marker>
            <c:symbol val="triangle"/>
            <c:size val="3"/>
            <c:spPr>
              <a:solidFill>
                <a:srgbClr val="000000"/>
              </a:solidFill>
              <a:ln>
                <a:solidFill>
                  <a:srgbClr val="000000"/>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'[1]11'!$AL$5:$AL$34</c:f>
              <c:numCache>
                <c:formatCode>General</c:formatCode>
                <c:ptCount val="30"/>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er>
        <c:ser>
          <c:idx val="4"/>
          <c:order val="3"/>
          <c:tx>
            <c:strRef>
              <c:f>'[1]11'!$F$4</c:f>
              <c:strCache>
                <c:ptCount val="1"/>
                <c:pt idx="0">
                  <c:v>NB</c:v>
                </c:pt>
              </c:strCache>
            </c:strRef>
          </c:tx>
          <c:spPr>
            <a:ln w="12700">
              <a:solidFill>
                <a:srgbClr val="969696"/>
              </a:solidFill>
              <a:prstDash val="solid"/>
            </a:ln>
          </c:spPr>
          <c:marker>
            <c:symbol val="triangle"/>
            <c:size val="5"/>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'[1]11'!$AM$5:$AM$34</c:f>
              <c:numCache>
                <c:formatCode>General</c:formatCode>
                <c:ptCount val="30"/>
                <c:pt idx="0">
                  <c:v>0.64593422930859534</c:v>
                </c:pt>
                <c:pt idx="1">
                  <c:v>0.63362250388141406</c:v>
                </c:pt>
                <c:pt idx="2">
                  <c:v>0.64803678258506159</c:v>
                </c:pt>
                <c:pt idx="3">
                  <c:v>0.61828928615768197</c:v>
                </c:pt>
                <c:pt idx="4">
                  <c:v>0.61667681623052328</c:v>
                </c:pt>
                <c:pt idx="5">
                  <c:v>0.67701845716221631</c:v>
                </c:pt>
                <c:pt idx="6">
                  <c:v>0.69244059124272772</c:v>
                </c:pt>
                <c:pt idx="7">
                  <c:v>0.65041275742487814</c:v>
                </c:pt>
                <c:pt idx="8">
                  <c:v>0.48670102888546002</c:v>
                </c:pt>
                <c:pt idx="9">
                  <c:v>0.40052367626483215</c:v>
                </c:pt>
                <c:pt idx="11">
                  <c:v>0.4568628949412793</c:v>
                </c:pt>
                <c:pt idx="12">
                  <c:v>0.50788028288605425</c:v>
                </c:pt>
                <c:pt idx="13">
                  <c:v>0.5483827682161313</c:v>
                </c:pt>
                <c:pt idx="14">
                  <c:v>0.59313629232483978</c:v>
                </c:pt>
                <c:pt idx="15">
                  <c:v>0.56988895101527337</c:v>
                </c:pt>
                <c:pt idx="16">
                  <c:v>0.60510317816866099</c:v>
                </c:pt>
                <c:pt idx="17">
                  <c:v>0.58352383758980886</c:v>
                </c:pt>
                <c:pt idx="18">
                  <c:v>0.60869710174597746</c:v>
                </c:pt>
                <c:pt idx="19">
                  <c:v>0.55573867306733149</c:v>
                </c:pt>
                <c:pt idx="20">
                  <c:v>0.56486308792732565</c:v>
                </c:pt>
                <c:pt idx="21">
                  <c:v>0.51516682077037623</c:v>
                </c:pt>
                <c:pt idx="22">
                  <c:v>0.49275541547782831</c:v>
                </c:pt>
                <c:pt idx="23">
                  <c:v>0.51511171953227108</c:v>
                </c:pt>
                <c:pt idx="24">
                  <c:v>0.48203343263077919</c:v>
                </c:pt>
                <c:pt idx="25">
                  <c:v>0.48360928626373201</c:v>
                </c:pt>
                <c:pt idx="26">
                  <c:v>0.47307242331787125</c:v>
                </c:pt>
                <c:pt idx="27">
                  <c:v>0.44793459291630766</c:v>
                </c:pt>
                <c:pt idx="28">
                  <c:v>0.47692127360756625</c:v>
                </c:pt>
                <c:pt idx="29">
                  <c:v>0.45384308248142979</c:v>
                </c:pt>
              </c:numCache>
            </c:numRef>
          </c:val>
        </c:ser>
        <c:ser>
          <c:idx val="5"/>
          <c:order val="4"/>
          <c:tx>
            <c:strRef>
              <c:f>'[1]11'!$G$4</c:f>
              <c:strCache>
                <c:ptCount val="1"/>
                <c:pt idx="0">
                  <c:v>PQ</c:v>
                </c:pt>
              </c:strCache>
            </c:strRef>
          </c:tx>
          <c:spPr>
            <a:ln w="12700">
              <a:solidFill>
                <a:srgbClr val="000000"/>
              </a:solidFill>
              <a:prstDash val="solid"/>
            </a:ln>
          </c:spPr>
          <c:marker>
            <c:symbol val="circle"/>
            <c:size val="5"/>
            <c:spPr>
              <a:solidFill>
                <a:srgbClr val="333333"/>
              </a:solidFill>
              <a:ln>
                <a:solidFill>
                  <a:srgbClr val="333333"/>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'[1]11'!$AN$5:$AN$34</c:f>
              <c:numCache>
                <c:formatCode>General</c:formatCode>
                <c:ptCount val="30"/>
                <c:pt idx="0">
                  <c:v>0.70267921197875149</c:v>
                </c:pt>
                <c:pt idx="1">
                  <c:v>0.69311146582446914</c:v>
                </c:pt>
                <c:pt idx="2">
                  <c:v>0.67579897399508326</c:v>
                </c:pt>
                <c:pt idx="3">
                  <c:v>0.66516984979220328</c:v>
                </c:pt>
                <c:pt idx="4">
                  <c:v>0.67886494967950273</c:v>
                </c:pt>
                <c:pt idx="5">
                  <c:v>0.67065393134459661</c:v>
                </c:pt>
                <c:pt idx="6">
                  <c:v>0.69762445808578433</c:v>
                </c:pt>
                <c:pt idx="7">
                  <c:v>0.68893998305315773</c:v>
                </c:pt>
                <c:pt idx="8">
                  <c:v>0.65842548097609022</c:v>
                </c:pt>
                <c:pt idx="9">
                  <c:v>0.65679656073696913</c:v>
                </c:pt>
                <c:pt idx="11">
                  <c:v>0.68108408780916574</c:v>
                </c:pt>
                <c:pt idx="12">
                  <c:v>0.67191065825071772</c:v>
                </c:pt>
                <c:pt idx="13">
                  <c:v>0.63841711622799213</c:v>
                </c:pt>
                <c:pt idx="14">
                  <c:v>0.61153678556246838</c:v>
                </c:pt>
                <c:pt idx="15">
                  <c:v>0.59926794824119178</c:v>
                </c:pt>
                <c:pt idx="16">
                  <c:v>0.55280143273966531</c:v>
                </c:pt>
                <c:pt idx="17">
                  <c:v>0.57200642367880961</c:v>
                </c:pt>
                <c:pt idx="18">
                  <c:v>0.62969478402386569</c:v>
                </c:pt>
                <c:pt idx="19">
                  <c:v>0.62515216568241627</c:v>
                </c:pt>
                <c:pt idx="20">
                  <c:v>0.61037712537806654</c:v>
                </c:pt>
                <c:pt idx="21">
                  <c:v>0.59802733156242083</c:v>
                </c:pt>
                <c:pt idx="22">
                  <c:v>0.56499024153236332</c:v>
                </c:pt>
                <c:pt idx="23">
                  <c:v>0.53143511309907987</c:v>
                </c:pt>
                <c:pt idx="24">
                  <c:v>0.54027809061382059</c:v>
                </c:pt>
                <c:pt idx="25">
                  <c:v>0.5414085454502886</c:v>
                </c:pt>
                <c:pt idx="26">
                  <c:v>0.53539414247327421</c:v>
                </c:pt>
                <c:pt idx="27">
                  <c:v>0.51246538351499193</c:v>
                </c:pt>
                <c:pt idx="28">
                  <c:v>0.51791145511237269</c:v>
                </c:pt>
                <c:pt idx="29">
                  <c:v>0.57904625254542286</c:v>
                </c:pt>
              </c:numCache>
            </c:numRef>
          </c:val>
        </c:ser>
        <c:ser>
          <c:idx val="6"/>
          <c:order val="5"/>
          <c:tx>
            <c:strRef>
              <c:f>'[1]11'!$H$4</c:f>
              <c:strCache>
                <c:ptCount val="1"/>
                <c:pt idx="0">
                  <c:v>ON</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'[1]11'!$AO$5:$AO$34</c:f>
              <c:numCache>
                <c:formatCode>General</c:formatCode>
                <c:ptCount val="30"/>
                <c:pt idx="0">
                  <c:v>0.68367420050248318</c:v>
                </c:pt>
                <c:pt idx="1">
                  <c:v>0.68200398907535309</c:v>
                </c:pt>
                <c:pt idx="2">
                  <c:v>0.67041335729369711</c:v>
                </c:pt>
                <c:pt idx="3">
                  <c:v>0.64829806745352714</c:v>
                </c:pt>
                <c:pt idx="4">
                  <c:v>0.64304969380885357</c:v>
                </c:pt>
                <c:pt idx="5">
                  <c:v>0.64851299625844661</c:v>
                </c:pt>
                <c:pt idx="6">
                  <c:v>0.61354267066801238</c:v>
                </c:pt>
                <c:pt idx="7">
                  <c:v>0.59973790614767442</c:v>
                </c:pt>
                <c:pt idx="8">
                  <c:v>0.57423405513087644</c:v>
                </c:pt>
                <c:pt idx="9">
                  <c:v>0.54408188115797518</c:v>
                </c:pt>
                <c:pt idx="11">
                  <c:v>0.54333636106830019</c:v>
                </c:pt>
                <c:pt idx="12">
                  <c:v>0.50563769704931605</c:v>
                </c:pt>
                <c:pt idx="13">
                  <c:v>0.47663442979879422</c:v>
                </c:pt>
                <c:pt idx="14">
                  <c:v>0.50724218764286844</c:v>
                </c:pt>
                <c:pt idx="15">
                  <c:v>0.52578499530494893</c:v>
                </c:pt>
                <c:pt idx="16">
                  <c:v>0.53692264988743288</c:v>
                </c:pt>
                <c:pt idx="17">
                  <c:v>0.51493100227960953</c:v>
                </c:pt>
                <c:pt idx="18">
                  <c:v>0.56442713423580204</c:v>
                </c:pt>
                <c:pt idx="19">
                  <c:v>0.5872708993522906</c:v>
                </c:pt>
                <c:pt idx="20">
                  <c:v>0.56033470738578162</c:v>
                </c:pt>
                <c:pt idx="21">
                  <c:v>0.55494145574343956</c:v>
                </c:pt>
                <c:pt idx="22">
                  <c:v>0.51822556789381213</c:v>
                </c:pt>
                <c:pt idx="23">
                  <c:v>0.53457129971351303</c:v>
                </c:pt>
                <c:pt idx="24">
                  <c:v>0.52753598749326724</c:v>
                </c:pt>
                <c:pt idx="25">
                  <c:v>0.55961203942125959</c:v>
                </c:pt>
                <c:pt idx="26">
                  <c:v>0.56642918428842415</c:v>
                </c:pt>
                <c:pt idx="27">
                  <c:v>0.52291758785041065</c:v>
                </c:pt>
                <c:pt idx="28">
                  <c:v>0.54225600632876114</c:v>
                </c:pt>
                <c:pt idx="29">
                  <c:v>0.54939018026245745</c:v>
                </c:pt>
              </c:numCache>
            </c:numRef>
          </c:val>
        </c:ser>
        <c:ser>
          <c:idx val="7"/>
          <c:order val="6"/>
          <c:tx>
            <c:strRef>
              <c:f>'[1]11'!$I$4</c:f>
              <c:strCache>
                <c:ptCount val="1"/>
                <c:pt idx="0">
                  <c:v>Man.</c:v>
                </c:pt>
              </c:strCache>
            </c:strRef>
          </c:tx>
          <c:spPr>
            <a:ln w="12700">
              <a:solidFill>
                <a:srgbClr val="000000"/>
              </a:solidFill>
              <a:prstDash val="solid"/>
            </a:ln>
          </c:spPr>
          <c:marker>
            <c:symbol val="none"/>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'[1]11'!$AP$5:$AP$34</c:f>
              <c:numCache>
                <c:formatCode>General</c:formatCode>
                <c:ptCount val="30"/>
                <c:pt idx="0">
                  <c:v>0.68047043583448164</c:v>
                </c:pt>
                <c:pt idx="1">
                  <c:v>0.68610118711258627</c:v>
                </c:pt>
                <c:pt idx="2">
                  <c:v>0.68685284846453265</c:v>
                </c:pt>
                <c:pt idx="3">
                  <c:v>0.67963493315590207</c:v>
                </c:pt>
                <c:pt idx="4">
                  <c:v>0.6870768283442038</c:v>
                </c:pt>
                <c:pt idx="5">
                  <c:v>0.69110490008934367</c:v>
                </c:pt>
                <c:pt idx="6">
                  <c:v>0.67279595039726237</c:v>
                </c:pt>
                <c:pt idx="7">
                  <c:v>0.67257073690550839</c:v>
                </c:pt>
                <c:pt idx="8">
                  <c:v>0.69878969409150204</c:v>
                </c:pt>
                <c:pt idx="9">
                  <c:v>0.69200879415263106</c:v>
                </c:pt>
                <c:pt idx="11">
                  <c:v>0.63774514006080363</c:v>
                </c:pt>
                <c:pt idx="12">
                  <c:v>0.62294885621442775</c:v>
                </c:pt>
                <c:pt idx="13">
                  <c:v>0.62934684004979324</c:v>
                </c:pt>
                <c:pt idx="14">
                  <c:v>0.65073572413537839</c:v>
                </c:pt>
                <c:pt idx="15">
                  <c:v>0.64023770313424355</c:v>
                </c:pt>
                <c:pt idx="16">
                  <c:v>0.62292993777264249</c:v>
                </c:pt>
                <c:pt idx="17">
                  <c:v>0.62690632477915098</c:v>
                </c:pt>
                <c:pt idx="18">
                  <c:v>0.649844257784152</c:v>
                </c:pt>
                <c:pt idx="19">
                  <c:v>0.64040666455676154</c:v>
                </c:pt>
                <c:pt idx="20">
                  <c:v>0.62916892422008086</c:v>
                </c:pt>
                <c:pt idx="21">
                  <c:v>0.61375781596157897</c:v>
                </c:pt>
                <c:pt idx="22">
                  <c:v>0.58601714002726568</c:v>
                </c:pt>
                <c:pt idx="23">
                  <c:v>0.56061441855364824</c:v>
                </c:pt>
                <c:pt idx="24">
                  <c:v>0.57511021508726956</c:v>
                </c:pt>
                <c:pt idx="25">
                  <c:v>0.58614334667469514</c:v>
                </c:pt>
                <c:pt idx="26">
                  <c:v>0.57119559525256136</c:v>
                </c:pt>
                <c:pt idx="27">
                  <c:v>0.56385024203499212</c:v>
                </c:pt>
                <c:pt idx="28">
                  <c:v>0.59031922150905725</c:v>
                </c:pt>
                <c:pt idx="29">
                  <c:v>0.58570235204184007</c:v>
                </c:pt>
              </c:numCache>
            </c:numRef>
          </c:val>
        </c:ser>
        <c:ser>
          <c:idx val="8"/>
          <c:order val="7"/>
          <c:tx>
            <c:strRef>
              <c:f>'[1]11'!$J$4</c:f>
              <c:strCache>
                <c:ptCount val="1"/>
                <c:pt idx="0">
                  <c:v>Sask.</c:v>
                </c:pt>
              </c:strCache>
            </c:strRef>
          </c:tx>
          <c:spPr>
            <a:ln w="12700">
              <a:solidFill>
                <a:srgbClr val="000000"/>
              </a:solidFill>
              <a:prstDash val="sysDash"/>
            </a:ln>
          </c:spPr>
          <c:marker>
            <c:symbol val="square"/>
            <c:size val="3"/>
            <c:spPr>
              <a:noFill/>
              <a:ln w="9525">
                <a:noFill/>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'[1]11'!$AQ$5:$AQ$34</c:f>
              <c:numCache>
                <c:formatCode>General</c:formatCode>
                <c:ptCount val="30"/>
                <c:pt idx="0">
                  <c:v>0.74005042853641723</c:v>
                </c:pt>
                <c:pt idx="1">
                  <c:v>0.73692271767279294</c:v>
                </c:pt>
                <c:pt idx="2">
                  <c:v>0.73824415812614286</c:v>
                </c:pt>
                <c:pt idx="3">
                  <c:v>0.74250705656849636</c:v>
                </c:pt>
                <c:pt idx="4">
                  <c:v>0.74345347610743584</c:v>
                </c:pt>
                <c:pt idx="5">
                  <c:v>0.72894673090524142</c:v>
                </c:pt>
                <c:pt idx="6">
                  <c:v>0.69419262901413403</c:v>
                </c:pt>
                <c:pt idx="7">
                  <c:v>0.68563365350760319</c:v>
                </c:pt>
                <c:pt idx="8">
                  <c:v>0.67958934536873439</c:v>
                </c:pt>
                <c:pt idx="9">
                  <c:v>0.69900029492898896</c:v>
                </c:pt>
                <c:pt idx="11">
                  <c:v>0.72881653700162874</c:v>
                </c:pt>
                <c:pt idx="12">
                  <c:v>0.6761343636012378</c:v>
                </c:pt>
                <c:pt idx="13">
                  <c:v>0.651117190841771</c:v>
                </c:pt>
                <c:pt idx="14">
                  <c:v>0.66174826135287945</c:v>
                </c:pt>
                <c:pt idx="15">
                  <c:v>0.68015353037978699</c:v>
                </c:pt>
                <c:pt idx="16">
                  <c:v>0.68462934012047061</c:v>
                </c:pt>
                <c:pt idx="17">
                  <c:v>0.68330433760877629</c:v>
                </c:pt>
                <c:pt idx="18">
                  <c:v>0.69897424810484032</c:v>
                </c:pt>
                <c:pt idx="19">
                  <c:v>0.71886031889441981</c:v>
                </c:pt>
                <c:pt idx="20">
                  <c:v>0.68722074167091995</c:v>
                </c:pt>
                <c:pt idx="21">
                  <c:v>0.62575198232087548</c:v>
                </c:pt>
                <c:pt idx="22">
                  <c:v>0.61626330990631417</c:v>
                </c:pt>
                <c:pt idx="23">
                  <c:v>0.59401081859440863</c:v>
                </c:pt>
                <c:pt idx="24">
                  <c:v>0.59322012484396336</c:v>
                </c:pt>
                <c:pt idx="25">
                  <c:v>0.579615690800656</c:v>
                </c:pt>
                <c:pt idx="26">
                  <c:v>0.56456206971957767</c:v>
                </c:pt>
                <c:pt idx="27">
                  <c:v>0.55766408188054228</c:v>
                </c:pt>
                <c:pt idx="28">
                  <c:v>0.56247909057405876</c:v>
                </c:pt>
                <c:pt idx="29">
                  <c:v>0.56519769440984358</c:v>
                </c:pt>
              </c:numCache>
            </c:numRef>
          </c:val>
        </c:ser>
        <c:ser>
          <c:idx val="9"/>
          <c:order val="8"/>
          <c:tx>
            <c:strRef>
              <c:f>'[1]11'!$K$4</c:f>
              <c:strCache>
                <c:ptCount val="1"/>
                <c:pt idx="0">
                  <c:v>Alb.</c:v>
                </c:pt>
              </c:strCache>
            </c:strRef>
          </c:tx>
          <c:spPr>
            <a:ln w="12700">
              <a:solidFill>
                <a:srgbClr val="000000"/>
              </a:solidFill>
              <a:prstDash val="lgDash"/>
            </a:ln>
          </c:spPr>
          <c:marker>
            <c:symbol val="diamond"/>
            <c:size val="5"/>
            <c:spPr>
              <a:solidFill>
                <a:srgbClr val="333333"/>
              </a:solidFill>
              <a:ln>
                <a:solidFill>
                  <a:srgbClr val="333333"/>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'[1]11'!$AR$5:$AR$34</c:f>
              <c:numCache>
                <c:formatCode>General</c:formatCode>
                <c:ptCount val="30"/>
                <c:pt idx="0">
                  <c:v>0.68923749075407204</c:v>
                </c:pt>
                <c:pt idx="1">
                  <c:v>0.6860173173828682</c:v>
                </c:pt>
                <c:pt idx="2">
                  <c:v>0.69101652486330711</c:v>
                </c:pt>
                <c:pt idx="3">
                  <c:v>0.6950559423190501</c:v>
                </c:pt>
                <c:pt idx="4">
                  <c:v>0.70369627040003502</c:v>
                </c:pt>
                <c:pt idx="5">
                  <c:v>0.70024651115011283</c:v>
                </c:pt>
                <c:pt idx="6">
                  <c:v>0.66165273077444509</c:v>
                </c:pt>
                <c:pt idx="7">
                  <c:v>0.677796461500077</c:v>
                </c:pt>
                <c:pt idx="8">
                  <c:v>0.68016325838172886</c:v>
                </c:pt>
                <c:pt idx="9">
                  <c:v>0.66961320971597382</c:v>
                </c:pt>
                <c:pt idx="11">
                  <c:v>0.67076738582361706</c:v>
                </c:pt>
                <c:pt idx="12">
                  <c:v>0.67893712323213506</c:v>
                </c:pt>
                <c:pt idx="13">
                  <c:v>0.65924542916436057</c:v>
                </c:pt>
                <c:pt idx="14">
                  <c:v>0.69133962402805793</c:v>
                </c:pt>
                <c:pt idx="15">
                  <c:v>0.67573161011632377</c:v>
                </c:pt>
                <c:pt idx="16">
                  <c:v>0.63471008452956179</c:v>
                </c:pt>
                <c:pt idx="17">
                  <c:v>0.65793999168421069</c:v>
                </c:pt>
                <c:pt idx="18">
                  <c:v>0.69683161837807284</c:v>
                </c:pt>
                <c:pt idx="19">
                  <c:v>0.70081786089359133</c:v>
                </c:pt>
                <c:pt idx="20">
                  <c:v>0.67595769491227631</c:v>
                </c:pt>
                <c:pt idx="21">
                  <c:v>0.66313501302195743</c:v>
                </c:pt>
                <c:pt idx="22">
                  <c:v>0.63744792757425695</c:v>
                </c:pt>
                <c:pt idx="23">
                  <c:v>0.62788218332562962</c:v>
                </c:pt>
                <c:pt idx="24">
                  <c:v>0.61270584650647797</c:v>
                </c:pt>
                <c:pt idx="25">
                  <c:v>0.64866047986378317</c:v>
                </c:pt>
                <c:pt idx="26">
                  <c:v>0.61056730146948601</c:v>
                </c:pt>
                <c:pt idx="27">
                  <c:v>0.58408169288880407</c:v>
                </c:pt>
                <c:pt idx="28">
                  <c:v>0.60565665151373305</c:v>
                </c:pt>
                <c:pt idx="29">
                  <c:v>0.57577946069031316</c:v>
                </c:pt>
              </c:numCache>
            </c:numRef>
          </c:val>
        </c:ser>
        <c:ser>
          <c:idx val="10"/>
          <c:order val="9"/>
          <c:tx>
            <c:strRef>
              <c:f>'[1]11'!$L$4</c:f>
              <c:strCache>
                <c:ptCount val="1"/>
                <c:pt idx="0">
                  <c:v>BC</c:v>
                </c:pt>
              </c:strCache>
            </c:strRef>
          </c:tx>
          <c:spPr>
            <a:ln w="12700">
              <a:solidFill>
                <a:srgbClr val="808080"/>
              </a:solidFill>
              <a:prstDash val="solid"/>
            </a:ln>
          </c:spPr>
          <c:marker>
            <c:symbol val="square"/>
            <c:size val="3"/>
            <c:spPr>
              <a:noFill/>
              <a:ln w="9525">
                <a:noFill/>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'[1]11'!$AS$5:$AS$34</c:f>
              <c:numCache>
                <c:formatCode>General</c:formatCode>
                <c:ptCount val="30"/>
                <c:pt idx="0">
                  <c:v>0.60351876348609457</c:v>
                </c:pt>
                <c:pt idx="1">
                  <c:v>0.60258678738328408</c:v>
                </c:pt>
                <c:pt idx="2">
                  <c:v>0.65483074906919858</c:v>
                </c:pt>
                <c:pt idx="3">
                  <c:v>0.66025289691163058</c:v>
                </c:pt>
                <c:pt idx="4">
                  <c:v>0.66982049175838765</c:v>
                </c:pt>
                <c:pt idx="5">
                  <c:v>0.66310268131757988</c:v>
                </c:pt>
                <c:pt idx="6">
                  <c:v>0.61898026126983818</c:v>
                </c:pt>
                <c:pt idx="7">
                  <c:v>0.66249959847366535</c:v>
                </c:pt>
                <c:pt idx="8">
                  <c:v>0.67686584985440601</c:v>
                </c:pt>
                <c:pt idx="9">
                  <c:v>0.69539384241394109</c:v>
                </c:pt>
                <c:pt idx="11">
                  <c:v>0.74195086234949492</c:v>
                </c:pt>
                <c:pt idx="12">
                  <c:v>0.77182730418402634</c:v>
                </c:pt>
                <c:pt idx="13">
                  <c:v>0.73278453355460926</c:v>
                </c:pt>
                <c:pt idx="14">
                  <c:v>0.70912274189155311</c:v>
                </c:pt>
                <c:pt idx="15">
                  <c:v>0.68568815456272536</c:v>
                </c:pt>
                <c:pt idx="16">
                  <c:v>0.64945388523046832</c:v>
                </c:pt>
                <c:pt idx="17">
                  <c:v>0.6077994330969444</c:v>
                </c:pt>
                <c:pt idx="18">
                  <c:v>0.6557745166316441</c:v>
                </c:pt>
                <c:pt idx="19">
                  <c:v>0.6349639698241798</c:v>
                </c:pt>
                <c:pt idx="20">
                  <c:v>0.63926536796021305</c:v>
                </c:pt>
                <c:pt idx="21">
                  <c:v>0.62722166262316315</c:v>
                </c:pt>
                <c:pt idx="22">
                  <c:v>0.60008239927203699</c:v>
                </c:pt>
                <c:pt idx="23">
                  <c:v>0.58711682359984962</c:v>
                </c:pt>
                <c:pt idx="24">
                  <c:v>0.57388349796766769</c:v>
                </c:pt>
                <c:pt idx="25">
                  <c:v>0.59634884118558895</c:v>
                </c:pt>
                <c:pt idx="26">
                  <c:v>0.61545462420370245</c:v>
                </c:pt>
                <c:pt idx="27">
                  <c:v>0.60700645729223812</c:v>
                </c:pt>
                <c:pt idx="28">
                  <c:v>0.65420269352105509</c:v>
                </c:pt>
                <c:pt idx="29">
                  <c:v>0.62501240596016527</c:v>
                </c:pt>
              </c:numCache>
            </c:numRef>
          </c:val>
        </c:ser>
        <c:marker val="1"/>
        <c:axId val="137912320"/>
        <c:axId val="137914240"/>
      </c:lineChart>
      <c:catAx>
        <c:axId val="137912320"/>
        <c:scaling>
          <c:orientation val="minMax"/>
        </c:scaling>
        <c:axPos val="b"/>
        <c:numFmt formatCode="General" sourceLinked="1"/>
        <c:tickLblPos val="low"/>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7914240"/>
        <c:crosses val="autoZero"/>
        <c:auto val="1"/>
        <c:lblAlgn val="ctr"/>
        <c:lblOffset val="100"/>
        <c:tickLblSkip val="3"/>
        <c:tickMarkSkip val="1"/>
      </c:catAx>
      <c:valAx>
        <c:axId val="137914240"/>
        <c:scaling>
          <c:orientation val="minMax"/>
          <c:max val="1.4"/>
          <c:min val="-0.2"/>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7912320"/>
        <c:crosses val="autoZero"/>
        <c:crossBetween val="midCat"/>
      </c:valAx>
      <c:spPr>
        <a:solidFill>
          <a:srgbClr val="FFFFFF"/>
        </a:solidFill>
        <a:ln w="3175">
          <a:solidFill>
            <a:srgbClr val="000000"/>
          </a:solidFill>
          <a:prstDash val="solid"/>
        </a:ln>
      </c:spPr>
    </c:plotArea>
    <c:legend>
      <c:legendPos val="r"/>
      <c:layout>
        <c:manualLayout>
          <c:xMode val="edge"/>
          <c:yMode val="edge"/>
          <c:x val="0.90677025527192012"/>
          <c:y val="0.35562805872756931"/>
          <c:w val="8.8790233074358071E-2"/>
          <c:h val="0.3442088091353953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0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5: Overall Index of Economic Well-being, Equal Weighting of Components </a:t>
            </a:r>
          </a:p>
        </c:rich>
      </c:tx>
      <c:layout>
        <c:manualLayout>
          <c:xMode val="edge"/>
          <c:yMode val="edge"/>
          <c:x val="0.20088790233074361"/>
          <c:y val="2.1207177814029966E-2"/>
        </c:manualLayout>
      </c:layout>
      <c:spPr>
        <a:noFill/>
        <a:ln w="25400">
          <a:noFill/>
        </a:ln>
      </c:spPr>
    </c:title>
    <c:plotArea>
      <c:layout>
        <c:manualLayout>
          <c:layoutTarget val="inner"/>
          <c:xMode val="edge"/>
          <c:yMode val="edge"/>
          <c:x val="3.9955604883462822E-2"/>
          <c:y val="0.10603588907014692"/>
          <c:w val="0.83795782463929591"/>
          <c:h val="0.82871125611745999"/>
        </c:manualLayout>
      </c:layout>
      <c:lineChart>
        <c:grouping val="standard"/>
        <c:ser>
          <c:idx val="1"/>
          <c:order val="0"/>
          <c:tx>
            <c:strRef>
              <c:f>'[1]11'!$C$4</c:f>
              <c:strCache>
                <c:ptCount val="1"/>
                <c:pt idx="0">
                  <c:v>Nfld.</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'[1]11'!$AU$5:$AU$34</c:f>
              <c:numCache>
                <c:formatCode>General</c:formatCode>
                <c:ptCount val="30"/>
                <c:pt idx="0">
                  <c:v>0</c:v>
                </c:pt>
                <c:pt idx="1">
                  <c:v>0</c:v>
                </c:pt>
                <c:pt idx="2">
                  <c:v>0</c:v>
                </c:pt>
                <c:pt idx="3">
                  <c:v>0</c:v>
                </c:pt>
                <c:pt idx="4">
                  <c:v>0</c:v>
                </c:pt>
                <c:pt idx="5">
                  <c:v>0</c:v>
                </c:pt>
                <c:pt idx="6">
                  <c:v>0</c:v>
                </c:pt>
                <c:pt idx="7">
                  <c:v>0</c:v>
                </c:pt>
                <c:pt idx="8">
                  <c:v>0</c:v>
                </c:pt>
                <c:pt idx="9">
                  <c:v>0</c:v>
                </c:pt>
                <c:pt idx="11">
                  <c:v>100</c:v>
                </c:pt>
                <c:pt idx="12">
                  <c:v>96.029324286658536</c:v>
                </c:pt>
                <c:pt idx="13">
                  <c:v>97.641742164745466</c:v>
                </c:pt>
                <c:pt idx="14">
                  <c:v>102.33131963381811</c:v>
                </c:pt>
                <c:pt idx="15">
                  <c:v>106.31829657892212</c:v>
                </c:pt>
                <c:pt idx="16">
                  <c:v>107.74359362860115</c:v>
                </c:pt>
                <c:pt idx="17">
                  <c:v>110.88430970011507</c:v>
                </c:pt>
                <c:pt idx="18">
                  <c:v>114.87296415548927</c:v>
                </c:pt>
                <c:pt idx="19">
                  <c:v>115.88720164891524</c:v>
                </c:pt>
                <c:pt idx="20">
                  <c:v>114.28141077680569</c:v>
                </c:pt>
                <c:pt idx="21">
                  <c:v>110.55399567699418</c:v>
                </c:pt>
                <c:pt idx="22">
                  <c:v>110.23234459581985</c:v>
                </c:pt>
                <c:pt idx="23">
                  <c:v>111.4966200687266</c:v>
                </c:pt>
                <c:pt idx="24">
                  <c:v>115.58233838396552</c:v>
                </c:pt>
                <c:pt idx="25">
                  <c:v>117.59533896334953</c:v>
                </c:pt>
                <c:pt idx="26">
                  <c:v>118.33220605317842</c:v>
                </c:pt>
                <c:pt idx="27">
                  <c:v>122.11730413044313</c:v>
                </c:pt>
                <c:pt idx="28">
                  <c:v>126.07527000668857</c:v>
                </c:pt>
                <c:pt idx="29">
                  <c:v>131.98788961804183</c:v>
                </c:pt>
              </c:numCache>
            </c:numRef>
          </c:val>
        </c:ser>
        <c:ser>
          <c:idx val="2"/>
          <c:order val="1"/>
          <c:tx>
            <c:strRef>
              <c:f>'[1]11'!$D$4</c:f>
              <c:strCache>
                <c:ptCount val="1"/>
                <c:pt idx="0">
                  <c:v>PEI</c:v>
                </c:pt>
              </c:strCache>
            </c:strRef>
          </c:tx>
          <c:spPr>
            <a:ln w="12700">
              <a:solidFill>
                <a:srgbClr val="969696"/>
              </a:solidFill>
              <a:prstDash val="solid"/>
            </a:ln>
          </c:spPr>
          <c:marker>
            <c:symbol val="square"/>
            <c:size val="5"/>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'[1]11'!$AV$5:$AV$34</c:f>
              <c:numCache>
                <c:formatCode>General</c:formatCode>
                <c:ptCount val="30"/>
                <c:pt idx="0">
                  <c:v>-7.4167907418979162E-2</c:v>
                </c:pt>
                <c:pt idx="1">
                  <c:v>-4.7717340092079986E-2</c:v>
                </c:pt>
                <c:pt idx="2">
                  <c:v>-8.2844821348547482E-3</c:v>
                </c:pt>
                <c:pt idx="3">
                  <c:v>4.3001504320252022E-2</c:v>
                </c:pt>
                <c:pt idx="4">
                  <c:v>8.0974612299547805E-2</c:v>
                </c:pt>
                <c:pt idx="5">
                  <c:v>0.10281085913733971</c:v>
                </c:pt>
                <c:pt idx="6">
                  <c:v>0.11817809291247618</c:v>
                </c:pt>
                <c:pt idx="7">
                  <c:v>0.15060605513271608</c:v>
                </c:pt>
                <c:pt idx="8">
                  <c:v>0.16611602839604478</c:v>
                </c:pt>
                <c:pt idx="9">
                  <c:v>0.16459634538451653</c:v>
                </c:pt>
                <c:pt idx="11">
                  <c:v>8.3333333333332912E-2</c:v>
                </c:pt>
                <c:pt idx="12">
                  <c:v>8.9584484476404713E-2</c:v>
                </c:pt>
                <c:pt idx="13">
                  <c:v>0.11019683925534826</c:v>
                </c:pt>
                <c:pt idx="14">
                  <c:v>0.1542678737160306</c:v>
                </c:pt>
                <c:pt idx="15">
                  <c:v>0.19332166865227482</c:v>
                </c:pt>
                <c:pt idx="16">
                  <c:v>0.23851966036040217</c:v>
                </c:pt>
                <c:pt idx="17">
                  <c:v>0.26316302579291079</c:v>
                </c:pt>
                <c:pt idx="18">
                  <c:v>0.3102145544002603</c:v>
                </c:pt>
                <c:pt idx="19">
                  <c:v>0.329745141832894</c:v>
                </c:pt>
                <c:pt idx="20">
                  <c:v>0.32686999124711413</c:v>
                </c:pt>
                <c:pt idx="21">
                  <c:v>0.31661383340261129</c:v>
                </c:pt>
                <c:pt idx="22">
                  <c:v>0.32963366026372487</c:v>
                </c:pt>
                <c:pt idx="23">
                  <c:v>0.32818300884179408</c:v>
                </c:pt>
                <c:pt idx="24">
                  <c:v>0.33913966814914193</c:v>
                </c:pt>
                <c:pt idx="25">
                  <c:v>0.35277625496154097</c:v>
                </c:pt>
                <c:pt idx="26">
                  <c:v>0.36410213764636695</c:v>
                </c:pt>
                <c:pt idx="27">
                  <c:v>0.38052662313768698</c:v>
                </c:pt>
                <c:pt idx="28">
                  <c:v>0.43951693187107149</c:v>
                </c:pt>
                <c:pt idx="29">
                  <c:v>0.48649485089772926</c:v>
                </c:pt>
              </c:numCache>
            </c:numRef>
          </c:val>
        </c:ser>
        <c:ser>
          <c:idx val="3"/>
          <c:order val="2"/>
          <c:tx>
            <c:strRef>
              <c:f>'[1]11'!$E$4</c:f>
              <c:strCache>
                <c:ptCount val="1"/>
                <c:pt idx="0">
                  <c:v>NS</c:v>
                </c:pt>
              </c:strCache>
            </c:strRef>
          </c:tx>
          <c:spPr>
            <a:ln w="12700">
              <a:solidFill>
                <a:srgbClr val="000000"/>
              </a:solidFill>
              <a:prstDash val="solid"/>
            </a:ln>
          </c:spPr>
          <c:marker>
            <c:symbol val="triangle"/>
            <c:size val="3"/>
            <c:spPr>
              <a:solidFill>
                <a:srgbClr val="000000"/>
              </a:solidFill>
              <a:ln>
                <a:solidFill>
                  <a:srgbClr val="000000"/>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'[1]11'!$AW$5:$AW$34</c:f>
              <c:numCache>
                <c:formatCode>General</c:formatCode>
                <c:ptCount val="30"/>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er>
        <c:ser>
          <c:idx val="4"/>
          <c:order val="3"/>
          <c:tx>
            <c:strRef>
              <c:f>'[1]11'!$F$4</c:f>
              <c:strCache>
                <c:ptCount val="1"/>
                <c:pt idx="0">
                  <c:v>NB</c:v>
                </c:pt>
              </c:strCache>
            </c:strRef>
          </c:tx>
          <c:spPr>
            <a:ln w="12700">
              <a:solidFill>
                <a:srgbClr val="969696"/>
              </a:solidFill>
              <a:prstDash val="solid"/>
            </a:ln>
          </c:spPr>
          <c:marker>
            <c:symbol val="triangle"/>
            <c:size val="5"/>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'[1]11'!$AX$5:$AX$34</c:f>
              <c:numCache>
                <c:formatCode>General</c:formatCode>
                <c:ptCount val="30"/>
                <c:pt idx="0">
                  <c:v>0.47778778590847804</c:v>
                </c:pt>
                <c:pt idx="1">
                  <c:v>0.48166097496018606</c:v>
                </c:pt>
                <c:pt idx="2">
                  <c:v>0.49655488293309824</c:v>
                </c:pt>
                <c:pt idx="3">
                  <c:v>0.49921002625850364</c:v>
                </c:pt>
                <c:pt idx="4">
                  <c:v>0.51054975770867328</c:v>
                </c:pt>
                <c:pt idx="5">
                  <c:v>0.53116566338992588</c:v>
                </c:pt>
                <c:pt idx="6">
                  <c:v>0.54100298768298116</c:v>
                </c:pt>
                <c:pt idx="7">
                  <c:v>0.53335939416361522</c:v>
                </c:pt>
                <c:pt idx="8">
                  <c:v>0.49379043822363611</c:v>
                </c:pt>
                <c:pt idx="9">
                  <c:v>0.43844846055747544</c:v>
                </c:pt>
                <c:pt idx="11">
                  <c:v>0.37348915509971503</c:v>
                </c:pt>
                <c:pt idx="12">
                  <c:v>0.39381654495903584</c:v>
                </c:pt>
                <c:pt idx="13">
                  <c:v>0.38764665904897999</c:v>
                </c:pt>
                <c:pt idx="14">
                  <c:v>0.40524468628295518</c:v>
                </c:pt>
                <c:pt idx="15">
                  <c:v>0.42290420259148148</c:v>
                </c:pt>
                <c:pt idx="16">
                  <c:v>0.454731849107891</c:v>
                </c:pt>
                <c:pt idx="17">
                  <c:v>0.4462247308130402</c:v>
                </c:pt>
                <c:pt idx="18">
                  <c:v>0.48031324133581804</c:v>
                </c:pt>
                <c:pt idx="19">
                  <c:v>0.45853415457752095</c:v>
                </c:pt>
                <c:pt idx="20">
                  <c:v>0.49122917815262956</c:v>
                </c:pt>
                <c:pt idx="21">
                  <c:v>0.44515271484887364</c:v>
                </c:pt>
                <c:pt idx="22">
                  <c:v>0.47207872790769834</c:v>
                </c:pt>
                <c:pt idx="23">
                  <c:v>0.46403113095743775</c:v>
                </c:pt>
                <c:pt idx="24">
                  <c:v>0.45482573891869382</c:v>
                </c:pt>
                <c:pt idx="25">
                  <c:v>0.43195248371795641</c:v>
                </c:pt>
                <c:pt idx="26">
                  <c:v>0.43540074807479179</c:v>
                </c:pt>
                <c:pt idx="27">
                  <c:v>0.43403665157595517</c:v>
                </c:pt>
                <c:pt idx="28">
                  <c:v>0.45418697008403702</c:v>
                </c:pt>
                <c:pt idx="29">
                  <c:v>0.44070607441266207</c:v>
                </c:pt>
              </c:numCache>
            </c:numRef>
          </c:val>
        </c:ser>
        <c:ser>
          <c:idx val="5"/>
          <c:order val="4"/>
          <c:tx>
            <c:strRef>
              <c:f>'[1]11'!$G$4</c:f>
              <c:strCache>
                <c:ptCount val="1"/>
                <c:pt idx="0">
                  <c:v>PQ</c:v>
                </c:pt>
              </c:strCache>
            </c:strRef>
          </c:tx>
          <c:spPr>
            <a:ln w="12700">
              <a:solidFill>
                <a:srgbClr val="000000"/>
              </a:solidFill>
              <a:prstDash val="solid"/>
            </a:ln>
          </c:spPr>
          <c:marker>
            <c:symbol val="circle"/>
            <c:size val="5"/>
            <c:spPr>
              <a:solidFill>
                <a:srgbClr val="333333"/>
              </a:solidFill>
              <a:ln>
                <a:solidFill>
                  <a:srgbClr val="333333"/>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'[1]11'!$AY$5:$AY$34</c:f>
              <c:numCache>
                <c:formatCode>General</c:formatCode>
                <c:ptCount val="30"/>
                <c:pt idx="0">
                  <c:v>0.5066699197643687</c:v>
                </c:pt>
                <c:pt idx="1">
                  <c:v>0.50863985886115515</c:v>
                </c:pt>
                <c:pt idx="2">
                  <c:v>0.51183989575751965</c:v>
                </c:pt>
                <c:pt idx="3">
                  <c:v>0.52013873313484904</c:v>
                </c:pt>
                <c:pt idx="4">
                  <c:v>0.53026288374327979</c:v>
                </c:pt>
                <c:pt idx="5">
                  <c:v>0.53788604768793535</c:v>
                </c:pt>
                <c:pt idx="6">
                  <c:v>0.54797085155297331</c:v>
                </c:pt>
                <c:pt idx="7">
                  <c:v>0.55325683486547672</c:v>
                </c:pt>
                <c:pt idx="8">
                  <c:v>0.55384833146795487</c:v>
                </c:pt>
                <c:pt idx="9">
                  <c:v>0.53634202224751271</c:v>
                </c:pt>
                <c:pt idx="11">
                  <c:v>0.43132827229506127</c:v>
                </c:pt>
                <c:pt idx="12">
                  <c:v>0.41493832809459952</c:v>
                </c:pt>
                <c:pt idx="13">
                  <c:v>0.39371541204931526</c:v>
                </c:pt>
                <c:pt idx="14">
                  <c:v>0.4115821245488851</c:v>
                </c:pt>
                <c:pt idx="15">
                  <c:v>0.4163851073142199</c:v>
                </c:pt>
                <c:pt idx="16">
                  <c:v>0.4206906297030934</c:v>
                </c:pt>
                <c:pt idx="17">
                  <c:v>0.43736824961112503</c:v>
                </c:pt>
                <c:pt idx="18">
                  <c:v>0.47188505190069097</c:v>
                </c:pt>
                <c:pt idx="19">
                  <c:v>0.48198465296567172</c:v>
                </c:pt>
                <c:pt idx="20">
                  <c:v>0.49266681780401861</c:v>
                </c:pt>
                <c:pt idx="21">
                  <c:v>0.4785377565547152</c:v>
                </c:pt>
                <c:pt idx="22">
                  <c:v>0.46582372921614867</c:v>
                </c:pt>
                <c:pt idx="23">
                  <c:v>0.4627154906528651</c:v>
                </c:pt>
                <c:pt idx="24">
                  <c:v>0.43658877446156585</c:v>
                </c:pt>
                <c:pt idx="25">
                  <c:v>0.4498361145623842</c:v>
                </c:pt>
                <c:pt idx="26">
                  <c:v>0.43480081881559363</c:v>
                </c:pt>
                <c:pt idx="27">
                  <c:v>0.42814705507948464</c:v>
                </c:pt>
                <c:pt idx="28">
                  <c:v>0.4268488983459045</c:v>
                </c:pt>
                <c:pt idx="29">
                  <c:v>0.45955142021746831</c:v>
                </c:pt>
              </c:numCache>
            </c:numRef>
          </c:val>
        </c:ser>
        <c:ser>
          <c:idx val="6"/>
          <c:order val="5"/>
          <c:tx>
            <c:strRef>
              <c:f>'[1]11'!$H$4</c:f>
              <c:strCache>
                <c:ptCount val="1"/>
                <c:pt idx="0">
                  <c:v>ON</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'[1]11'!$AZ$5:$AZ$34</c:f>
              <c:numCache>
                <c:formatCode>General</c:formatCode>
                <c:ptCount val="30"/>
                <c:pt idx="0">
                  <c:v>0.49570735230903484</c:v>
                </c:pt>
                <c:pt idx="1">
                  <c:v>0.4975900414904183</c:v>
                </c:pt>
                <c:pt idx="2">
                  <c:v>0.497607070806383</c:v>
                </c:pt>
                <c:pt idx="3">
                  <c:v>0.49984769487660874</c:v>
                </c:pt>
                <c:pt idx="4">
                  <c:v>0.50572066500898138</c:v>
                </c:pt>
                <c:pt idx="5">
                  <c:v>0.50734691524598752</c:v>
                </c:pt>
                <c:pt idx="6">
                  <c:v>0.49924782150113012</c:v>
                </c:pt>
                <c:pt idx="7">
                  <c:v>0.49956886992009197</c:v>
                </c:pt>
                <c:pt idx="8">
                  <c:v>0.50108264587018203</c:v>
                </c:pt>
                <c:pt idx="9">
                  <c:v>0.48259090585592901</c:v>
                </c:pt>
                <c:pt idx="11">
                  <c:v>0.35307325662080724</c:v>
                </c:pt>
                <c:pt idx="12">
                  <c:v>0.33934262045069052</c:v>
                </c:pt>
                <c:pt idx="13">
                  <c:v>0.29470285010143182</c:v>
                </c:pt>
                <c:pt idx="14">
                  <c:v>0.34487449673690151</c:v>
                </c:pt>
                <c:pt idx="15">
                  <c:v>0.38732735475156765</c:v>
                </c:pt>
                <c:pt idx="16">
                  <c:v>0.40867438284202845</c:v>
                </c:pt>
                <c:pt idx="17">
                  <c:v>0.3984630133383299</c:v>
                </c:pt>
                <c:pt idx="18">
                  <c:v>0.45077994349472333</c:v>
                </c:pt>
                <c:pt idx="19">
                  <c:v>0.45910435943506839</c:v>
                </c:pt>
                <c:pt idx="20">
                  <c:v>0.45441908705003309</c:v>
                </c:pt>
                <c:pt idx="21">
                  <c:v>0.43618256796880484</c:v>
                </c:pt>
                <c:pt idx="22">
                  <c:v>0.42315059878405448</c:v>
                </c:pt>
                <c:pt idx="23">
                  <c:v>0.41978543537229462</c:v>
                </c:pt>
                <c:pt idx="24">
                  <c:v>0.41469149926741533</c:v>
                </c:pt>
                <c:pt idx="25">
                  <c:v>0.44030099302835446</c:v>
                </c:pt>
                <c:pt idx="26">
                  <c:v>0.44354078670181418</c:v>
                </c:pt>
                <c:pt idx="27">
                  <c:v>0.42555036702267923</c:v>
                </c:pt>
                <c:pt idx="28">
                  <c:v>0.45723661463669363</c:v>
                </c:pt>
                <c:pt idx="29">
                  <c:v>0.48465063948519443</c:v>
                </c:pt>
              </c:numCache>
            </c:numRef>
          </c:val>
        </c:ser>
        <c:ser>
          <c:idx val="7"/>
          <c:order val="6"/>
          <c:tx>
            <c:strRef>
              <c:f>'[1]11'!$I$4</c:f>
              <c:strCache>
                <c:ptCount val="1"/>
                <c:pt idx="0">
                  <c:v>Man.</c:v>
                </c:pt>
              </c:strCache>
            </c:strRef>
          </c:tx>
          <c:spPr>
            <a:ln w="12700">
              <a:solidFill>
                <a:srgbClr val="000000"/>
              </a:solidFill>
              <a:prstDash val="solid"/>
            </a:ln>
          </c:spPr>
          <c:marker>
            <c:symbol val="none"/>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'[1]11'!$BA$5:$BA$34</c:f>
              <c:numCache>
                <c:formatCode>General</c:formatCode>
                <c:ptCount val="30"/>
                <c:pt idx="0">
                  <c:v>0.5028354379185942</c:v>
                </c:pt>
                <c:pt idx="1">
                  <c:v>0.51056497935041778</c:v>
                </c:pt>
                <c:pt idx="2">
                  <c:v>0.5205447841394979</c:v>
                </c:pt>
                <c:pt idx="3">
                  <c:v>0.5282877578111389</c:v>
                </c:pt>
                <c:pt idx="4">
                  <c:v>0.53942872233550487</c:v>
                </c:pt>
                <c:pt idx="5">
                  <c:v>0.54448436123168953</c:v>
                </c:pt>
                <c:pt idx="6">
                  <c:v>0.54675204979259107</c:v>
                </c:pt>
                <c:pt idx="7">
                  <c:v>0.55161322794439405</c:v>
                </c:pt>
                <c:pt idx="8">
                  <c:v>0.56787497207225368</c:v>
                </c:pt>
                <c:pt idx="9">
                  <c:v>0.54741955269962117</c:v>
                </c:pt>
                <c:pt idx="11">
                  <c:v>0.36858782199596651</c:v>
                </c:pt>
                <c:pt idx="12">
                  <c:v>0.35865867844484833</c:v>
                </c:pt>
                <c:pt idx="13">
                  <c:v>0.34496369301657476</c:v>
                </c:pt>
                <c:pt idx="14">
                  <c:v>0.35136747544291419</c:v>
                </c:pt>
                <c:pt idx="15">
                  <c:v>0.37951308145846946</c:v>
                </c:pt>
                <c:pt idx="16">
                  <c:v>0.37992990046110697</c:v>
                </c:pt>
                <c:pt idx="17">
                  <c:v>0.39136944393835449</c:v>
                </c:pt>
                <c:pt idx="18">
                  <c:v>0.41474785505489176</c:v>
                </c:pt>
                <c:pt idx="19">
                  <c:v>0.44076279468820667</c:v>
                </c:pt>
                <c:pt idx="20">
                  <c:v>0.41073006559978426</c:v>
                </c:pt>
                <c:pt idx="21">
                  <c:v>0.37769898498528592</c:v>
                </c:pt>
                <c:pt idx="22">
                  <c:v>0.39455236829292972</c:v>
                </c:pt>
                <c:pt idx="23">
                  <c:v>0.36830687860711497</c:v>
                </c:pt>
                <c:pt idx="24">
                  <c:v>0.37527175921024924</c:v>
                </c:pt>
                <c:pt idx="25">
                  <c:v>0.36833941207284349</c:v>
                </c:pt>
                <c:pt idx="26">
                  <c:v>0.37521516712115477</c:v>
                </c:pt>
                <c:pt idx="27">
                  <c:v>0.36535601221468839</c:v>
                </c:pt>
                <c:pt idx="28">
                  <c:v>0.39155515206990466</c:v>
                </c:pt>
                <c:pt idx="29">
                  <c:v>0.42238374890267028</c:v>
                </c:pt>
              </c:numCache>
            </c:numRef>
          </c:val>
        </c:ser>
        <c:ser>
          <c:idx val="8"/>
          <c:order val="7"/>
          <c:tx>
            <c:strRef>
              <c:f>'[1]11'!$J$4</c:f>
              <c:strCache>
                <c:ptCount val="1"/>
                <c:pt idx="0">
                  <c:v>Sask.</c:v>
                </c:pt>
              </c:strCache>
            </c:strRef>
          </c:tx>
          <c:spPr>
            <a:ln w="12700">
              <a:solidFill>
                <a:srgbClr val="000000"/>
              </a:solidFill>
              <a:prstDash val="sysDash"/>
            </a:ln>
          </c:spPr>
          <c:marker>
            <c:symbol val="square"/>
            <c:size val="3"/>
            <c:spPr>
              <a:noFill/>
              <a:ln w="9525">
                <a:noFill/>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'[1]11'!$BB$5:$BB$34</c:f>
              <c:numCache>
                <c:formatCode>General</c:formatCode>
                <c:ptCount val="30"/>
                <c:pt idx="0">
                  <c:v>0.55055436440509598</c:v>
                </c:pt>
                <c:pt idx="1">
                  <c:v>0.55606944133714409</c:v>
                </c:pt>
                <c:pt idx="2">
                  <c:v>0.56356541816550321</c:v>
                </c:pt>
                <c:pt idx="3">
                  <c:v>0.57266125754790742</c:v>
                </c:pt>
                <c:pt idx="4">
                  <c:v>0.58022792620628505</c:v>
                </c:pt>
                <c:pt idx="5">
                  <c:v>0.58226726425072595</c:v>
                </c:pt>
                <c:pt idx="6">
                  <c:v>0.57841101689898</c:v>
                </c:pt>
                <c:pt idx="7">
                  <c:v>0.57821992979195314</c:v>
                </c:pt>
                <c:pt idx="8">
                  <c:v>0.58262347856003904</c:v>
                </c:pt>
                <c:pt idx="9">
                  <c:v>0.57141196916811143</c:v>
                </c:pt>
                <c:pt idx="11">
                  <c:v>0.45963107064838993</c:v>
                </c:pt>
                <c:pt idx="12">
                  <c:v>0.42966896267951893</c:v>
                </c:pt>
                <c:pt idx="13">
                  <c:v>0.39650429165254508</c:v>
                </c:pt>
                <c:pt idx="14">
                  <c:v>0.42375662124065916</c:v>
                </c:pt>
                <c:pt idx="15">
                  <c:v>0.44817059592781117</c:v>
                </c:pt>
                <c:pt idx="16">
                  <c:v>0.4634337332170011</c:v>
                </c:pt>
                <c:pt idx="17">
                  <c:v>0.48081273720554296</c:v>
                </c:pt>
                <c:pt idx="18">
                  <c:v>0.50011086987588016</c:v>
                </c:pt>
                <c:pt idx="19">
                  <c:v>0.52276137965268688</c:v>
                </c:pt>
                <c:pt idx="20">
                  <c:v>0.50154210697976964</c:v>
                </c:pt>
                <c:pt idx="21">
                  <c:v>0.46718885684249967</c:v>
                </c:pt>
                <c:pt idx="22">
                  <c:v>0.47834782474190723</c:v>
                </c:pt>
                <c:pt idx="23">
                  <c:v>0.46002372763724708</c:v>
                </c:pt>
                <c:pt idx="24">
                  <c:v>0.46912544143100832</c:v>
                </c:pt>
                <c:pt idx="25">
                  <c:v>0.46659708156376406</c:v>
                </c:pt>
                <c:pt idx="26">
                  <c:v>0.43664915151983902</c:v>
                </c:pt>
                <c:pt idx="27">
                  <c:v>0.44057668895166652</c:v>
                </c:pt>
                <c:pt idx="28">
                  <c:v>0.46511593577628751</c:v>
                </c:pt>
                <c:pt idx="29">
                  <c:v>0.47224300776299621</c:v>
                </c:pt>
              </c:numCache>
            </c:numRef>
          </c:val>
        </c:ser>
        <c:ser>
          <c:idx val="9"/>
          <c:order val="8"/>
          <c:tx>
            <c:strRef>
              <c:f>'[1]11'!$K$4</c:f>
              <c:strCache>
                <c:ptCount val="1"/>
                <c:pt idx="0">
                  <c:v>Alb.</c:v>
                </c:pt>
              </c:strCache>
            </c:strRef>
          </c:tx>
          <c:spPr>
            <a:ln w="12700">
              <a:solidFill>
                <a:srgbClr val="000000"/>
              </a:solidFill>
              <a:prstDash val="lgDash"/>
            </a:ln>
          </c:spPr>
          <c:marker>
            <c:symbol val="diamond"/>
            <c:size val="5"/>
            <c:spPr>
              <a:solidFill>
                <a:srgbClr val="333333"/>
              </a:solidFill>
              <a:ln>
                <a:solidFill>
                  <a:srgbClr val="333333"/>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'[1]11'!$BC$5:$BC$34</c:f>
              <c:numCache>
                <c:formatCode>General</c:formatCode>
                <c:ptCount val="30"/>
                <c:pt idx="0">
                  <c:v>0.53694583170922894</c:v>
                </c:pt>
                <c:pt idx="1">
                  <c:v>0.54161886903927847</c:v>
                </c:pt>
                <c:pt idx="2">
                  <c:v>0.55015952061877704</c:v>
                </c:pt>
                <c:pt idx="3">
                  <c:v>0.56112490951255523</c:v>
                </c:pt>
                <c:pt idx="4">
                  <c:v>0.56990829322997583</c:v>
                </c:pt>
                <c:pt idx="5">
                  <c:v>0.57331101653572081</c:v>
                </c:pt>
                <c:pt idx="6">
                  <c:v>0.56192071810280053</c:v>
                </c:pt>
                <c:pt idx="7">
                  <c:v>0.56820615281060405</c:v>
                </c:pt>
                <c:pt idx="8">
                  <c:v>0.58014142616291864</c:v>
                </c:pt>
                <c:pt idx="9">
                  <c:v>0.55323665810327416</c:v>
                </c:pt>
                <c:pt idx="11">
                  <c:v>0.37954965941655039</c:v>
                </c:pt>
                <c:pt idx="12">
                  <c:v>0.38569442145421839</c:v>
                </c:pt>
                <c:pt idx="13">
                  <c:v>0.38912151140224138</c:v>
                </c:pt>
                <c:pt idx="14">
                  <c:v>0.40884898957203319</c:v>
                </c:pt>
                <c:pt idx="15">
                  <c:v>0.42476444914935713</c:v>
                </c:pt>
                <c:pt idx="16">
                  <c:v>0.42980651000295567</c:v>
                </c:pt>
                <c:pt idx="17">
                  <c:v>0.42851551635647944</c:v>
                </c:pt>
                <c:pt idx="18">
                  <c:v>0.45013657821070485</c:v>
                </c:pt>
                <c:pt idx="19">
                  <c:v>0.47727133459972382</c:v>
                </c:pt>
                <c:pt idx="20">
                  <c:v>0.45629392809856767</c:v>
                </c:pt>
                <c:pt idx="21">
                  <c:v>0.42747790558753185</c:v>
                </c:pt>
                <c:pt idx="22">
                  <c:v>0.40696397846593846</c:v>
                </c:pt>
                <c:pt idx="23">
                  <c:v>0.41401530225073963</c:v>
                </c:pt>
                <c:pt idx="24">
                  <c:v>0.41514337155810366</c:v>
                </c:pt>
                <c:pt idx="25">
                  <c:v>0.44422184893775002</c:v>
                </c:pt>
                <c:pt idx="26">
                  <c:v>0.43472053944300415</c:v>
                </c:pt>
                <c:pt idx="27">
                  <c:v>0.42251697587875559</c:v>
                </c:pt>
                <c:pt idx="28">
                  <c:v>0.45387873607567153</c:v>
                </c:pt>
                <c:pt idx="29">
                  <c:v>0.44636699279148162</c:v>
                </c:pt>
              </c:numCache>
            </c:numRef>
          </c:val>
        </c:ser>
        <c:ser>
          <c:idx val="10"/>
          <c:order val="9"/>
          <c:tx>
            <c:strRef>
              <c:f>'[1]11'!$L$4</c:f>
              <c:strCache>
                <c:ptCount val="1"/>
                <c:pt idx="0">
                  <c:v>BC</c:v>
                </c:pt>
              </c:strCache>
            </c:strRef>
          </c:tx>
          <c:spPr>
            <a:ln w="12700">
              <a:solidFill>
                <a:srgbClr val="808080"/>
              </a:solidFill>
              <a:prstDash val="solid"/>
            </a:ln>
          </c:spPr>
          <c:marker>
            <c:symbol val="square"/>
            <c:size val="3"/>
            <c:spPr>
              <a:noFill/>
              <a:ln w="9525">
                <a:noFill/>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'[1]11'!$BD$5:$BD$34</c:f>
              <c:numCache>
                <c:formatCode>General</c:formatCode>
                <c:ptCount val="30"/>
                <c:pt idx="0">
                  <c:v>0.49732674662567067</c:v>
                </c:pt>
                <c:pt idx="1">
                  <c:v>0.50426535733016475</c:v>
                </c:pt>
                <c:pt idx="2">
                  <c:v>0.52482169853447425</c:v>
                </c:pt>
                <c:pt idx="3">
                  <c:v>0.53672476027559424</c:v>
                </c:pt>
                <c:pt idx="4">
                  <c:v>0.54576739164480526</c:v>
                </c:pt>
                <c:pt idx="5">
                  <c:v>0.55573225799425219</c:v>
                </c:pt>
                <c:pt idx="6">
                  <c:v>0.55730226959887186</c:v>
                </c:pt>
                <c:pt idx="7">
                  <c:v>0.57540499706560466</c:v>
                </c:pt>
                <c:pt idx="8">
                  <c:v>0.60456960741716959</c:v>
                </c:pt>
                <c:pt idx="9">
                  <c:v>0.59972231727530845</c:v>
                </c:pt>
                <c:pt idx="11">
                  <c:v>0.47058467460466957</c:v>
                </c:pt>
                <c:pt idx="12">
                  <c:v>0.48573181869844118</c:v>
                </c:pt>
                <c:pt idx="13">
                  <c:v>0.46946872553400437</c:v>
                </c:pt>
                <c:pt idx="14">
                  <c:v>0.46803476489121737</c:v>
                </c:pt>
                <c:pt idx="15">
                  <c:v>0.435189064385192</c:v>
                </c:pt>
                <c:pt idx="16">
                  <c:v>0.42871119678865088</c:v>
                </c:pt>
                <c:pt idx="17">
                  <c:v>0.46035955263210149</c:v>
                </c:pt>
                <c:pt idx="18">
                  <c:v>0.48093774731583461</c:v>
                </c:pt>
                <c:pt idx="19">
                  <c:v>0.48444611377747171</c:v>
                </c:pt>
                <c:pt idx="20">
                  <c:v>0.46478566887187323</c:v>
                </c:pt>
                <c:pt idx="21">
                  <c:v>0.4458546638267864</c:v>
                </c:pt>
                <c:pt idx="22">
                  <c:v>0.43598750701897787</c:v>
                </c:pt>
                <c:pt idx="23">
                  <c:v>0.44503050645479192</c:v>
                </c:pt>
                <c:pt idx="24">
                  <c:v>0.46113592630875161</c:v>
                </c:pt>
                <c:pt idx="25">
                  <c:v>0.4609886604418566</c:v>
                </c:pt>
                <c:pt idx="26">
                  <c:v>0.47912814496526307</c:v>
                </c:pt>
                <c:pt idx="27">
                  <c:v>0.50528308777620867</c:v>
                </c:pt>
                <c:pt idx="28">
                  <c:v>0.50030735627036638</c:v>
                </c:pt>
                <c:pt idx="29">
                  <c:v>0.52498163020626987</c:v>
                </c:pt>
              </c:numCache>
            </c:numRef>
          </c:val>
        </c:ser>
        <c:marker val="1"/>
        <c:axId val="138044160"/>
        <c:axId val="138046080"/>
      </c:lineChart>
      <c:catAx>
        <c:axId val="138044160"/>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8046080"/>
        <c:crosses val="autoZero"/>
        <c:auto val="1"/>
        <c:lblAlgn val="ctr"/>
        <c:lblOffset val="100"/>
        <c:tickLblSkip val="3"/>
        <c:tickMarkSkip val="1"/>
      </c:catAx>
      <c:valAx>
        <c:axId val="138046080"/>
        <c:scaling>
          <c:orientation val="minMax"/>
          <c:max val="1.45"/>
          <c:min val="0.750000000000005"/>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8044160"/>
        <c:crosses val="autoZero"/>
        <c:crossBetween val="midCat"/>
      </c:valAx>
      <c:spPr>
        <a:solidFill>
          <a:srgbClr val="FFFFFF"/>
        </a:solidFill>
        <a:ln w="3175">
          <a:solidFill>
            <a:srgbClr val="000000"/>
          </a:solidFill>
          <a:prstDash val="solid"/>
        </a:ln>
      </c:spPr>
    </c:plotArea>
    <c:legend>
      <c:legendPos val="r"/>
      <c:layout>
        <c:manualLayout>
          <c:xMode val="edge"/>
          <c:yMode val="edge"/>
          <c:x val="0.91009988901220851"/>
          <c:y val="0.35725938009788138"/>
          <c:w val="8.8790233074365732E-2"/>
          <c:h val="0.3442088091353978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0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6: Overall Index of Economic Well-being, Newfoundland vs. Canada</a:t>
            </a:r>
          </a:p>
        </c:rich>
      </c:tx>
      <c:layout>
        <c:manualLayout>
          <c:xMode val="edge"/>
          <c:yMode val="edge"/>
          <c:x val="0.22419533851276557"/>
          <c:y val="1.9575856443719588E-2"/>
        </c:manualLayout>
      </c:layout>
      <c:spPr>
        <a:noFill/>
        <a:ln w="25400">
          <a:noFill/>
        </a:ln>
      </c:spPr>
    </c:title>
    <c:plotArea>
      <c:layout>
        <c:manualLayout>
          <c:layoutTarget val="inner"/>
          <c:xMode val="edge"/>
          <c:yMode val="edge"/>
          <c:x val="4.1065482796892344E-2"/>
          <c:y val="0.12234910277324652"/>
          <c:w val="0.84239733629301472"/>
          <c:h val="0.81076672104404557"/>
        </c:manualLayout>
      </c:layout>
      <c:lineChart>
        <c:grouping val="standard"/>
        <c:ser>
          <c:idx val="1"/>
          <c:order val="0"/>
          <c:tx>
            <c:strRef>
              <c:f>'[1]11'!$C$4</c:f>
              <c:strCache>
                <c:ptCount val="1"/>
                <c:pt idx="0">
                  <c:v>Nfld.</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'[1]11'!$AU$5:$AU$34</c:f>
              <c:numCache>
                <c:formatCode>General</c:formatCode>
                <c:ptCount val="30"/>
                <c:pt idx="0">
                  <c:v>0</c:v>
                </c:pt>
                <c:pt idx="1">
                  <c:v>0</c:v>
                </c:pt>
                <c:pt idx="2">
                  <c:v>0</c:v>
                </c:pt>
                <c:pt idx="3">
                  <c:v>0</c:v>
                </c:pt>
                <c:pt idx="4">
                  <c:v>0</c:v>
                </c:pt>
                <c:pt idx="5">
                  <c:v>0</c:v>
                </c:pt>
                <c:pt idx="6">
                  <c:v>0</c:v>
                </c:pt>
                <c:pt idx="7">
                  <c:v>0</c:v>
                </c:pt>
                <c:pt idx="8">
                  <c:v>0</c:v>
                </c:pt>
                <c:pt idx="9">
                  <c:v>0</c:v>
                </c:pt>
                <c:pt idx="11">
                  <c:v>100</c:v>
                </c:pt>
                <c:pt idx="12">
                  <c:v>96.029324286658536</c:v>
                </c:pt>
                <c:pt idx="13">
                  <c:v>97.641742164745466</c:v>
                </c:pt>
                <c:pt idx="14">
                  <c:v>102.33131963381811</c:v>
                </c:pt>
                <c:pt idx="15">
                  <c:v>106.31829657892212</c:v>
                </c:pt>
                <c:pt idx="16">
                  <c:v>107.74359362860115</c:v>
                </c:pt>
                <c:pt idx="17">
                  <c:v>110.88430970011507</c:v>
                </c:pt>
                <c:pt idx="18">
                  <c:v>114.87296415548927</c:v>
                </c:pt>
                <c:pt idx="19">
                  <c:v>115.88720164891524</c:v>
                </c:pt>
                <c:pt idx="20">
                  <c:v>114.28141077680569</c:v>
                </c:pt>
                <c:pt idx="21">
                  <c:v>110.55399567699418</c:v>
                </c:pt>
                <c:pt idx="22">
                  <c:v>110.23234459581985</c:v>
                </c:pt>
                <c:pt idx="23">
                  <c:v>111.4966200687266</c:v>
                </c:pt>
                <c:pt idx="24">
                  <c:v>115.58233838396552</c:v>
                </c:pt>
                <c:pt idx="25">
                  <c:v>117.59533896334953</c:v>
                </c:pt>
                <c:pt idx="26">
                  <c:v>118.33220605317842</c:v>
                </c:pt>
                <c:pt idx="27">
                  <c:v>122.11730413044313</c:v>
                </c:pt>
                <c:pt idx="28">
                  <c:v>126.07527000668857</c:v>
                </c:pt>
                <c:pt idx="29">
                  <c:v>131.98788961804183</c:v>
                </c:pt>
              </c:numCache>
            </c:numRef>
          </c:val>
        </c:ser>
        <c:ser>
          <c:idx val="0"/>
          <c:order val="1"/>
          <c:tx>
            <c:strRef>
              <c:f>'[1]11'!$AT$4</c:f>
              <c:strCache>
                <c:ptCount val="1"/>
                <c:pt idx="0">
                  <c:v>Canada</c:v>
                </c:pt>
              </c:strCache>
            </c:strRef>
          </c:tx>
          <c:spPr>
            <a:ln w="12700">
              <a:solidFill>
                <a:srgbClr val="000000"/>
              </a:solidFill>
              <a:prstDash val="solid"/>
            </a:ln>
          </c:spPr>
          <c:marker>
            <c:symbol val="none"/>
          </c:marker>
          <c:val>
            <c:numRef>
              <c:f>'[1]11'!$AT$5:$AT$34</c:f>
              <c:numCache>
                <c:formatCode>General</c:formatCode>
                <c:ptCount val="30"/>
                <c:pt idx="0">
                  <c:v>1.1078448008650001</c:v>
                </c:pt>
                <c:pt idx="1">
                  <c:v>1.1078448008650001</c:v>
                </c:pt>
                <c:pt idx="2">
                  <c:v>1.1078448008650001</c:v>
                </c:pt>
                <c:pt idx="3">
                  <c:v>1.1097213114577633</c:v>
                </c:pt>
                <c:pt idx="4">
                  <c:v>1.1115978220505263</c:v>
                </c:pt>
                <c:pt idx="5">
                  <c:v>1.1144125879396709</c:v>
                </c:pt>
                <c:pt idx="6">
                  <c:v>1.1172273538288153</c:v>
                </c:pt>
                <c:pt idx="7">
                  <c:v>1.1149755411174995</c:v>
                </c:pt>
                <c:pt idx="8">
                  <c:v>1.1127237284061842</c:v>
                </c:pt>
                <c:pt idx="9">
                  <c:v>0.9964883080382696</c:v>
                </c:pt>
                <c:pt idx="11">
                  <c:v>0.54469146067546736</c:v>
                </c:pt>
                <c:pt idx="12">
                  <c:v>0.51693640159030863</c:v>
                </c:pt>
                <c:pt idx="13">
                  <c:v>0.42193516823383936</c:v>
                </c:pt>
                <c:pt idx="14">
                  <c:v>0.43870225637785498</c:v>
                </c:pt>
                <c:pt idx="15">
                  <c:v>0.48235518471361249</c:v>
                </c:pt>
                <c:pt idx="16">
                  <c:v>0.51002979275189742</c:v>
                </c:pt>
                <c:pt idx="17">
                  <c:v>0.51580076402779018</c:v>
                </c:pt>
                <c:pt idx="18">
                  <c:v>0.56180182926037636</c:v>
                </c:pt>
                <c:pt idx="19">
                  <c:v>0.60413115597439804</c:v>
                </c:pt>
                <c:pt idx="20">
                  <c:v>0.51006822233299076</c:v>
                </c:pt>
                <c:pt idx="21">
                  <c:v>0.42777562711554251</c:v>
                </c:pt>
                <c:pt idx="22">
                  <c:v>0.4330192290850241</c:v>
                </c:pt>
                <c:pt idx="23">
                  <c:v>0.39438851039997214</c:v>
                </c:pt>
                <c:pt idx="24">
                  <c:v>0.40880436906528628</c:v>
                </c:pt>
                <c:pt idx="25">
                  <c:v>0.38152171029381599</c:v>
                </c:pt>
                <c:pt idx="26">
                  <c:v>0.31137547206711985</c:v>
                </c:pt>
                <c:pt idx="27">
                  <c:v>0.28048039640379308</c:v>
                </c:pt>
                <c:pt idx="28">
                  <c:v>0.30885504696863875</c:v>
                </c:pt>
                <c:pt idx="29">
                  <c:v>0.32940709067285867</c:v>
                </c:pt>
              </c:numCache>
            </c:numRef>
          </c:val>
        </c:ser>
        <c:marker val="1"/>
        <c:axId val="138083712"/>
        <c:axId val="136078464"/>
      </c:lineChart>
      <c:catAx>
        <c:axId val="138083712"/>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6078464"/>
        <c:crosses val="autoZero"/>
        <c:auto val="1"/>
        <c:lblAlgn val="ctr"/>
        <c:lblOffset val="100"/>
        <c:tickLblSkip val="3"/>
        <c:tickMarkSkip val="1"/>
      </c:catAx>
      <c:valAx>
        <c:axId val="136078464"/>
        <c:scaling>
          <c:orientation val="minMax"/>
          <c:max val="1.4"/>
          <c:min val="0.8"/>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8083712"/>
        <c:crosses val="autoZero"/>
        <c:crossBetween val="midCat"/>
      </c:valAx>
      <c:spPr>
        <a:solidFill>
          <a:srgbClr val="FFFFFF"/>
        </a:solidFill>
        <a:ln w="3175">
          <a:solidFill>
            <a:srgbClr val="000000"/>
          </a:solidFill>
          <a:prstDash val="solid"/>
        </a:ln>
      </c:spPr>
    </c:plotArea>
    <c:legend>
      <c:legendPos val="r"/>
      <c:layout>
        <c:manualLayout>
          <c:xMode val="edge"/>
          <c:yMode val="edge"/>
          <c:x val="0.91120976692563749"/>
          <c:y val="0.49265905383360531"/>
          <c:w val="8.4350721420640595E-2"/>
          <c:h val="7.014681892332833E-2"/>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0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7: Overall Index of Economic Well-being, Prince Edward Island vs. Canada</a:t>
            </a:r>
          </a:p>
        </c:rich>
      </c:tx>
      <c:layout>
        <c:manualLayout>
          <c:xMode val="edge"/>
          <c:yMode val="edge"/>
          <c:x val="0.19866814650388456"/>
          <c:y val="1.9575856443719588E-2"/>
        </c:manualLayout>
      </c:layout>
      <c:spPr>
        <a:noFill/>
        <a:ln w="25400">
          <a:noFill/>
        </a:ln>
      </c:spPr>
    </c:title>
    <c:plotArea>
      <c:layout>
        <c:manualLayout>
          <c:layoutTarget val="inner"/>
          <c:xMode val="edge"/>
          <c:yMode val="edge"/>
          <c:x val="4.1065482796892344E-2"/>
          <c:y val="0.12234910277324652"/>
          <c:w val="0.84239733629301472"/>
          <c:h val="0.81076672104404557"/>
        </c:manualLayout>
      </c:layout>
      <c:lineChart>
        <c:grouping val="standard"/>
        <c:ser>
          <c:idx val="1"/>
          <c:order val="0"/>
          <c:tx>
            <c:strRef>
              <c:f>'[1]11'!$D$4</c:f>
              <c:strCache>
                <c:ptCount val="1"/>
                <c:pt idx="0">
                  <c:v>PEI</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'[1]11'!$AV$5:$AV$34</c:f>
              <c:numCache>
                <c:formatCode>General</c:formatCode>
                <c:ptCount val="30"/>
                <c:pt idx="0">
                  <c:v>-7.4167907418979162E-2</c:v>
                </c:pt>
                <c:pt idx="1">
                  <c:v>-4.7717340092079986E-2</c:v>
                </c:pt>
                <c:pt idx="2">
                  <c:v>-8.2844821348547482E-3</c:v>
                </c:pt>
                <c:pt idx="3">
                  <c:v>4.3001504320252022E-2</c:v>
                </c:pt>
                <c:pt idx="4">
                  <c:v>8.0974612299547805E-2</c:v>
                </c:pt>
                <c:pt idx="5">
                  <c:v>0.10281085913733971</c:v>
                </c:pt>
                <c:pt idx="6">
                  <c:v>0.11817809291247618</c:v>
                </c:pt>
                <c:pt idx="7">
                  <c:v>0.15060605513271608</c:v>
                </c:pt>
                <c:pt idx="8">
                  <c:v>0.16611602839604478</c:v>
                </c:pt>
                <c:pt idx="9">
                  <c:v>0.16459634538451653</c:v>
                </c:pt>
                <c:pt idx="11">
                  <c:v>8.3333333333332912E-2</c:v>
                </c:pt>
                <c:pt idx="12">
                  <c:v>8.9584484476404713E-2</c:v>
                </c:pt>
                <c:pt idx="13">
                  <c:v>0.11019683925534826</c:v>
                </c:pt>
                <c:pt idx="14">
                  <c:v>0.1542678737160306</c:v>
                </c:pt>
                <c:pt idx="15">
                  <c:v>0.19332166865227482</c:v>
                </c:pt>
                <c:pt idx="16">
                  <c:v>0.23851966036040217</c:v>
                </c:pt>
                <c:pt idx="17">
                  <c:v>0.26316302579291079</c:v>
                </c:pt>
                <c:pt idx="18">
                  <c:v>0.3102145544002603</c:v>
                </c:pt>
                <c:pt idx="19">
                  <c:v>0.329745141832894</c:v>
                </c:pt>
                <c:pt idx="20">
                  <c:v>0.32686999124711413</c:v>
                </c:pt>
                <c:pt idx="21">
                  <c:v>0.31661383340261129</c:v>
                </c:pt>
                <c:pt idx="22">
                  <c:v>0.32963366026372487</c:v>
                </c:pt>
                <c:pt idx="23">
                  <c:v>0.32818300884179408</c:v>
                </c:pt>
                <c:pt idx="24">
                  <c:v>0.33913966814914193</c:v>
                </c:pt>
                <c:pt idx="25">
                  <c:v>0.35277625496154097</c:v>
                </c:pt>
                <c:pt idx="26">
                  <c:v>0.36410213764636695</c:v>
                </c:pt>
                <c:pt idx="27">
                  <c:v>0.38052662313768698</c:v>
                </c:pt>
                <c:pt idx="28">
                  <c:v>0.43951693187107149</c:v>
                </c:pt>
                <c:pt idx="29">
                  <c:v>0.48649485089772926</c:v>
                </c:pt>
              </c:numCache>
            </c:numRef>
          </c:val>
        </c:ser>
        <c:ser>
          <c:idx val="0"/>
          <c:order val="1"/>
          <c:tx>
            <c:strRef>
              <c:f>'[1]11'!$AT$4</c:f>
              <c:strCache>
                <c:ptCount val="1"/>
                <c:pt idx="0">
                  <c:v>Canada</c:v>
                </c:pt>
              </c:strCache>
            </c:strRef>
          </c:tx>
          <c:spPr>
            <a:ln w="12700">
              <a:solidFill>
                <a:srgbClr val="000000"/>
              </a:solidFill>
              <a:prstDash val="solid"/>
            </a:ln>
          </c:spPr>
          <c:marker>
            <c:symbol val="none"/>
          </c:marker>
          <c:val>
            <c:numRef>
              <c:f>'[1]11'!$AT$5:$AT$34</c:f>
              <c:numCache>
                <c:formatCode>General</c:formatCode>
                <c:ptCount val="30"/>
                <c:pt idx="0">
                  <c:v>1.1078448008650001</c:v>
                </c:pt>
                <c:pt idx="1">
                  <c:v>1.1078448008650001</c:v>
                </c:pt>
                <c:pt idx="2">
                  <c:v>1.1078448008650001</c:v>
                </c:pt>
                <c:pt idx="3">
                  <c:v>1.1097213114577633</c:v>
                </c:pt>
                <c:pt idx="4">
                  <c:v>1.1115978220505263</c:v>
                </c:pt>
                <c:pt idx="5">
                  <c:v>1.1144125879396709</c:v>
                </c:pt>
                <c:pt idx="6">
                  <c:v>1.1172273538288153</c:v>
                </c:pt>
                <c:pt idx="7">
                  <c:v>1.1149755411174995</c:v>
                </c:pt>
                <c:pt idx="8">
                  <c:v>1.1127237284061842</c:v>
                </c:pt>
                <c:pt idx="9">
                  <c:v>0.9964883080382696</c:v>
                </c:pt>
                <c:pt idx="11">
                  <c:v>0.54469146067546736</c:v>
                </c:pt>
                <c:pt idx="12">
                  <c:v>0.51693640159030863</c:v>
                </c:pt>
                <c:pt idx="13">
                  <c:v>0.42193516823383936</c:v>
                </c:pt>
                <c:pt idx="14">
                  <c:v>0.43870225637785498</c:v>
                </c:pt>
                <c:pt idx="15">
                  <c:v>0.48235518471361249</c:v>
                </c:pt>
                <c:pt idx="16">
                  <c:v>0.51002979275189742</c:v>
                </c:pt>
                <c:pt idx="17">
                  <c:v>0.51580076402779018</c:v>
                </c:pt>
                <c:pt idx="18">
                  <c:v>0.56180182926037636</c:v>
                </c:pt>
                <c:pt idx="19">
                  <c:v>0.60413115597439804</c:v>
                </c:pt>
                <c:pt idx="20">
                  <c:v>0.51006822233299076</c:v>
                </c:pt>
                <c:pt idx="21">
                  <c:v>0.42777562711554251</c:v>
                </c:pt>
                <c:pt idx="22">
                  <c:v>0.4330192290850241</c:v>
                </c:pt>
                <c:pt idx="23">
                  <c:v>0.39438851039997214</c:v>
                </c:pt>
                <c:pt idx="24">
                  <c:v>0.40880436906528628</c:v>
                </c:pt>
                <c:pt idx="25">
                  <c:v>0.38152171029381599</c:v>
                </c:pt>
                <c:pt idx="26">
                  <c:v>0.31137547206711985</c:v>
                </c:pt>
                <c:pt idx="27">
                  <c:v>0.28048039640379308</c:v>
                </c:pt>
                <c:pt idx="28">
                  <c:v>0.30885504696863875</c:v>
                </c:pt>
                <c:pt idx="29">
                  <c:v>0.32940709067285867</c:v>
                </c:pt>
              </c:numCache>
            </c:numRef>
          </c:val>
        </c:ser>
        <c:marker val="1"/>
        <c:axId val="136136576"/>
        <c:axId val="136138112"/>
      </c:lineChart>
      <c:catAx>
        <c:axId val="136136576"/>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6138112"/>
        <c:crosses val="autoZero"/>
        <c:auto val="1"/>
        <c:lblAlgn val="ctr"/>
        <c:lblOffset val="100"/>
        <c:tickLblSkip val="3"/>
        <c:tickMarkSkip val="1"/>
      </c:catAx>
      <c:valAx>
        <c:axId val="136138112"/>
        <c:scaling>
          <c:orientation val="minMax"/>
          <c:max val="1.4"/>
          <c:min val="0.8"/>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6136576"/>
        <c:crosses val="autoZero"/>
        <c:crossBetween val="midCat"/>
      </c:valAx>
      <c:spPr>
        <a:solidFill>
          <a:srgbClr val="FFFFFF"/>
        </a:solidFill>
        <a:ln w="3175">
          <a:solidFill>
            <a:srgbClr val="000000"/>
          </a:solidFill>
          <a:prstDash val="solid"/>
        </a:ln>
      </c:spPr>
    </c:plotArea>
    <c:legend>
      <c:legendPos val="r"/>
      <c:layout>
        <c:manualLayout>
          <c:xMode val="edge"/>
          <c:yMode val="edge"/>
          <c:x val="0.91120976692563749"/>
          <c:y val="0.49265905383360531"/>
          <c:w val="8.4350721420640595E-2"/>
          <c:h val="7.014681892332833E-2"/>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0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8: Overall Index of Economic Well-being, Nova Scotia vs. Canada</a:t>
            </a:r>
          </a:p>
        </c:rich>
      </c:tx>
      <c:layout>
        <c:manualLayout>
          <c:xMode val="edge"/>
          <c:yMode val="edge"/>
          <c:x val="0.23196448390677227"/>
          <c:y val="1.9575856443719588E-2"/>
        </c:manualLayout>
      </c:layout>
      <c:spPr>
        <a:noFill/>
        <a:ln w="25400">
          <a:noFill/>
        </a:ln>
      </c:spPr>
    </c:title>
    <c:plotArea>
      <c:layout>
        <c:manualLayout>
          <c:layoutTarget val="inner"/>
          <c:xMode val="edge"/>
          <c:yMode val="edge"/>
          <c:x val="4.1065482796892344E-2"/>
          <c:y val="0.12234910277324652"/>
          <c:w val="0.84239733629301472"/>
          <c:h val="0.81076672104404557"/>
        </c:manualLayout>
      </c:layout>
      <c:lineChart>
        <c:grouping val="standard"/>
        <c:ser>
          <c:idx val="1"/>
          <c:order val="0"/>
          <c:tx>
            <c:strRef>
              <c:f>'[1]11'!$E$4</c:f>
              <c:strCache>
                <c:ptCount val="1"/>
                <c:pt idx="0">
                  <c:v>NS</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'[1]11'!$AW$5:$AW$34</c:f>
              <c:numCache>
                <c:formatCode>General</c:formatCode>
                <c:ptCount val="30"/>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er>
        <c:ser>
          <c:idx val="0"/>
          <c:order val="1"/>
          <c:tx>
            <c:strRef>
              <c:f>'[1]11'!$AT$4</c:f>
              <c:strCache>
                <c:ptCount val="1"/>
                <c:pt idx="0">
                  <c:v>Canada</c:v>
                </c:pt>
              </c:strCache>
            </c:strRef>
          </c:tx>
          <c:spPr>
            <a:ln w="12700">
              <a:solidFill>
                <a:srgbClr val="000000"/>
              </a:solidFill>
              <a:prstDash val="solid"/>
            </a:ln>
          </c:spPr>
          <c:marker>
            <c:symbol val="none"/>
          </c:marker>
          <c:val>
            <c:numRef>
              <c:f>'[1]11'!$AT$5:$AT$34</c:f>
              <c:numCache>
                <c:formatCode>General</c:formatCode>
                <c:ptCount val="30"/>
                <c:pt idx="0">
                  <c:v>1.1078448008650001</c:v>
                </c:pt>
                <c:pt idx="1">
                  <c:v>1.1078448008650001</c:v>
                </c:pt>
                <c:pt idx="2">
                  <c:v>1.1078448008650001</c:v>
                </c:pt>
                <c:pt idx="3">
                  <c:v>1.1097213114577633</c:v>
                </c:pt>
                <c:pt idx="4">
                  <c:v>1.1115978220505263</c:v>
                </c:pt>
                <c:pt idx="5">
                  <c:v>1.1144125879396709</c:v>
                </c:pt>
                <c:pt idx="6">
                  <c:v>1.1172273538288153</c:v>
                </c:pt>
                <c:pt idx="7">
                  <c:v>1.1149755411174995</c:v>
                </c:pt>
                <c:pt idx="8">
                  <c:v>1.1127237284061842</c:v>
                </c:pt>
                <c:pt idx="9">
                  <c:v>0.9964883080382696</c:v>
                </c:pt>
                <c:pt idx="11">
                  <c:v>0.54469146067546736</c:v>
                </c:pt>
                <c:pt idx="12">
                  <c:v>0.51693640159030863</c:v>
                </c:pt>
                <c:pt idx="13">
                  <c:v>0.42193516823383936</c:v>
                </c:pt>
                <c:pt idx="14">
                  <c:v>0.43870225637785498</c:v>
                </c:pt>
                <c:pt idx="15">
                  <c:v>0.48235518471361249</c:v>
                </c:pt>
                <c:pt idx="16">
                  <c:v>0.51002979275189742</c:v>
                </c:pt>
                <c:pt idx="17">
                  <c:v>0.51580076402779018</c:v>
                </c:pt>
                <c:pt idx="18">
                  <c:v>0.56180182926037636</c:v>
                </c:pt>
                <c:pt idx="19">
                  <c:v>0.60413115597439804</c:v>
                </c:pt>
                <c:pt idx="20">
                  <c:v>0.51006822233299076</c:v>
                </c:pt>
                <c:pt idx="21">
                  <c:v>0.42777562711554251</c:v>
                </c:pt>
                <c:pt idx="22">
                  <c:v>0.4330192290850241</c:v>
                </c:pt>
                <c:pt idx="23">
                  <c:v>0.39438851039997214</c:v>
                </c:pt>
                <c:pt idx="24">
                  <c:v>0.40880436906528628</c:v>
                </c:pt>
                <c:pt idx="25">
                  <c:v>0.38152171029381599</c:v>
                </c:pt>
                <c:pt idx="26">
                  <c:v>0.31137547206711985</c:v>
                </c:pt>
                <c:pt idx="27">
                  <c:v>0.28048039640379308</c:v>
                </c:pt>
                <c:pt idx="28">
                  <c:v>0.30885504696863875</c:v>
                </c:pt>
                <c:pt idx="29">
                  <c:v>0.32940709067285867</c:v>
                </c:pt>
              </c:numCache>
            </c:numRef>
          </c:val>
        </c:ser>
        <c:marker val="1"/>
        <c:axId val="137306496"/>
        <c:axId val="137308032"/>
      </c:lineChart>
      <c:catAx>
        <c:axId val="137306496"/>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7308032"/>
        <c:crosses val="autoZero"/>
        <c:auto val="1"/>
        <c:lblAlgn val="ctr"/>
        <c:lblOffset val="100"/>
        <c:tickLblSkip val="3"/>
        <c:tickMarkSkip val="1"/>
      </c:catAx>
      <c:valAx>
        <c:axId val="137308032"/>
        <c:scaling>
          <c:orientation val="minMax"/>
          <c:max val="1.4"/>
          <c:min val="0.8"/>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7306496"/>
        <c:crosses val="autoZero"/>
        <c:crossBetween val="midCat"/>
      </c:valAx>
      <c:spPr>
        <a:solidFill>
          <a:srgbClr val="FFFFFF"/>
        </a:solidFill>
        <a:ln w="3175">
          <a:solidFill>
            <a:srgbClr val="000000"/>
          </a:solidFill>
          <a:prstDash val="solid"/>
        </a:ln>
      </c:spPr>
    </c:plotArea>
    <c:legend>
      <c:legendPos val="r"/>
      <c:layout>
        <c:manualLayout>
          <c:xMode val="edge"/>
          <c:yMode val="edge"/>
          <c:x val="0.91120976692563749"/>
          <c:y val="0.49265905383360531"/>
          <c:w val="8.4350721420640595E-2"/>
          <c:h val="7.014681892332833E-2"/>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0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9: Overall Index of Economic Well-being, New Brunswick vs. Canada</a:t>
            </a:r>
          </a:p>
        </c:rich>
      </c:tx>
      <c:layout>
        <c:manualLayout>
          <c:xMode val="edge"/>
          <c:yMode val="edge"/>
          <c:x val="0.21864594894561598"/>
          <c:y val="1.9575856443719588E-2"/>
        </c:manualLayout>
      </c:layout>
      <c:spPr>
        <a:noFill/>
        <a:ln w="25400">
          <a:noFill/>
        </a:ln>
      </c:spPr>
    </c:title>
    <c:plotArea>
      <c:layout>
        <c:manualLayout>
          <c:layoutTarget val="inner"/>
          <c:xMode val="edge"/>
          <c:yMode val="edge"/>
          <c:x val="4.1065482796892344E-2"/>
          <c:y val="0.12234910277324652"/>
          <c:w val="0.84239733629301472"/>
          <c:h val="0.81076672104404557"/>
        </c:manualLayout>
      </c:layout>
      <c:lineChart>
        <c:grouping val="standard"/>
        <c:ser>
          <c:idx val="1"/>
          <c:order val="0"/>
          <c:tx>
            <c:strRef>
              <c:f>'[1]11'!$F$4</c:f>
              <c:strCache>
                <c:ptCount val="1"/>
                <c:pt idx="0">
                  <c:v>NB</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'[1]11'!$AX$5:$AX$34</c:f>
              <c:numCache>
                <c:formatCode>General</c:formatCode>
                <c:ptCount val="30"/>
                <c:pt idx="0">
                  <c:v>0.47778778590847804</c:v>
                </c:pt>
                <c:pt idx="1">
                  <c:v>0.48166097496018606</c:v>
                </c:pt>
                <c:pt idx="2">
                  <c:v>0.49655488293309824</c:v>
                </c:pt>
                <c:pt idx="3">
                  <c:v>0.49921002625850364</c:v>
                </c:pt>
                <c:pt idx="4">
                  <c:v>0.51054975770867328</c:v>
                </c:pt>
                <c:pt idx="5">
                  <c:v>0.53116566338992588</c:v>
                </c:pt>
                <c:pt idx="6">
                  <c:v>0.54100298768298116</c:v>
                </c:pt>
                <c:pt idx="7">
                  <c:v>0.53335939416361522</c:v>
                </c:pt>
                <c:pt idx="8">
                  <c:v>0.49379043822363611</c:v>
                </c:pt>
                <c:pt idx="9">
                  <c:v>0.43844846055747544</c:v>
                </c:pt>
                <c:pt idx="11">
                  <c:v>0.37348915509971503</c:v>
                </c:pt>
                <c:pt idx="12">
                  <c:v>0.39381654495903584</c:v>
                </c:pt>
                <c:pt idx="13">
                  <c:v>0.38764665904897999</c:v>
                </c:pt>
                <c:pt idx="14">
                  <c:v>0.40524468628295518</c:v>
                </c:pt>
                <c:pt idx="15">
                  <c:v>0.42290420259148148</c:v>
                </c:pt>
                <c:pt idx="16">
                  <c:v>0.454731849107891</c:v>
                </c:pt>
                <c:pt idx="17">
                  <c:v>0.4462247308130402</c:v>
                </c:pt>
                <c:pt idx="18">
                  <c:v>0.48031324133581804</c:v>
                </c:pt>
                <c:pt idx="19">
                  <c:v>0.45853415457752095</c:v>
                </c:pt>
                <c:pt idx="20">
                  <c:v>0.49122917815262956</c:v>
                </c:pt>
                <c:pt idx="21">
                  <c:v>0.44515271484887364</c:v>
                </c:pt>
                <c:pt idx="22">
                  <c:v>0.47207872790769834</c:v>
                </c:pt>
                <c:pt idx="23">
                  <c:v>0.46403113095743775</c:v>
                </c:pt>
                <c:pt idx="24">
                  <c:v>0.45482573891869382</c:v>
                </c:pt>
                <c:pt idx="25">
                  <c:v>0.43195248371795641</c:v>
                </c:pt>
                <c:pt idx="26">
                  <c:v>0.43540074807479179</c:v>
                </c:pt>
                <c:pt idx="27">
                  <c:v>0.43403665157595517</c:v>
                </c:pt>
                <c:pt idx="28">
                  <c:v>0.45418697008403702</c:v>
                </c:pt>
                <c:pt idx="29">
                  <c:v>0.44070607441266207</c:v>
                </c:pt>
              </c:numCache>
            </c:numRef>
          </c:val>
        </c:ser>
        <c:ser>
          <c:idx val="0"/>
          <c:order val="1"/>
          <c:tx>
            <c:strRef>
              <c:f>'[1]11'!$AT$4</c:f>
              <c:strCache>
                <c:ptCount val="1"/>
                <c:pt idx="0">
                  <c:v>Canada</c:v>
                </c:pt>
              </c:strCache>
            </c:strRef>
          </c:tx>
          <c:spPr>
            <a:ln w="12700">
              <a:solidFill>
                <a:srgbClr val="000000"/>
              </a:solidFill>
              <a:prstDash val="solid"/>
            </a:ln>
          </c:spPr>
          <c:marker>
            <c:symbol val="square"/>
            <c:size val="3"/>
            <c:spPr>
              <a:noFill/>
              <a:ln w="9525">
                <a:noFill/>
              </a:ln>
            </c:spPr>
          </c:marker>
          <c:val>
            <c:numRef>
              <c:f>'[1]11'!$AT$5:$AT$34</c:f>
              <c:numCache>
                <c:formatCode>General</c:formatCode>
                <c:ptCount val="30"/>
                <c:pt idx="0">
                  <c:v>1.1078448008650001</c:v>
                </c:pt>
                <c:pt idx="1">
                  <c:v>1.1078448008650001</c:v>
                </c:pt>
                <c:pt idx="2">
                  <c:v>1.1078448008650001</c:v>
                </c:pt>
                <c:pt idx="3">
                  <c:v>1.1097213114577633</c:v>
                </c:pt>
                <c:pt idx="4">
                  <c:v>1.1115978220505263</c:v>
                </c:pt>
                <c:pt idx="5">
                  <c:v>1.1144125879396709</c:v>
                </c:pt>
                <c:pt idx="6">
                  <c:v>1.1172273538288153</c:v>
                </c:pt>
                <c:pt idx="7">
                  <c:v>1.1149755411174995</c:v>
                </c:pt>
                <c:pt idx="8">
                  <c:v>1.1127237284061842</c:v>
                </c:pt>
                <c:pt idx="9">
                  <c:v>0.9964883080382696</c:v>
                </c:pt>
                <c:pt idx="11">
                  <c:v>0.54469146067546736</c:v>
                </c:pt>
                <c:pt idx="12">
                  <c:v>0.51693640159030863</c:v>
                </c:pt>
                <c:pt idx="13">
                  <c:v>0.42193516823383936</c:v>
                </c:pt>
                <c:pt idx="14">
                  <c:v>0.43870225637785498</c:v>
                </c:pt>
                <c:pt idx="15">
                  <c:v>0.48235518471361249</c:v>
                </c:pt>
                <c:pt idx="16">
                  <c:v>0.51002979275189742</c:v>
                </c:pt>
                <c:pt idx="17">
                  <c:v>0.51580076402779018</c:v>
                </c:pt>
                <c:pt idx="18">
                  <c:v>0.56180182926037636</c:v>
                </c:pt>
                <c:pt idx="19">
                  <c:v>0.60413115597439804</c:v>
                </c:pt>
                <c:pt idx="20">
                  <c:v>0.51006822233299076</c:v>
                </c:pt>
                <c:pt idx="21">
                  <c:v>0.42777562711554251</c:v>
                </c:pt>
                <c:pt idx="22">
                  <c:v>0.4330192290850241</c:v>
                </c:pt>
                <c:pt idx="23">
                  <c:v>0.39438851039997214</c:v>
                </c:pt>
                <c:pt idx="24">
                  <c:v>0.40880436906528628</c:v>
                </c:pt>
                <c:pt idx="25">
                  <c:v>0.38152171029381599</c:v>
                </c:pt>
                <c:pt idx="26">
                  <c:v>0.31137547206711985</c:v>
                </c:pt>
                <c:pt idx="27">
                  <c:v>0.28048039640379308</c:v>
                </c:pt>
                <c:pt idx="28">
                  <c:v>0.30885504696863875</c:v>
                </c:pt>
                <c:pt idx="29">
                  <c:v>0.32940709067285867</c:v>
                </c:pt>
              </c:numCache>
            </c:numRef>
          </c:val>
        </c:ser>
        <c:marker val="1"/>
        <c:axId val="136202496"/>
        <c:axId val="136225152"/>
      </c:lineChart>
      <c:catAx>
        <c:axId val="136202496"/>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6225152"/>
        <c:crosses val="autoZero"/>
        <c:auto val="1"/>
        <c:lblAlgn val="ctr"/>
        <c:lblOffset val="100"/>
        <c:tickLblSkip val="3"/>
        <c:tickMarkSkip val="1"/>
      </c:catAx>
      <c:valAx>
        <c:axId val="136225152"/>
        <c:scaling>
          <c:orientation val="minMax"/>
          <c:max val="1.4"/>
          <c:min val="0.8"/>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6202496"/>
        <c:crosses val="autoZero"/>
        <c:crossBetween val="midCat"/>
      </c:valAx>
      <c:spPr>
        <a:solidFill>
          <a:srgbClr val="FFFFFF"/>
        </a:solidFill>
        <a:ln w="3175">
          <a:solidFill>
            <a:srgbClr val="000000"/>
          </a:solidFill>
          <a:prstDash val="solid"/>
        </a:ln>
      </c:spPr>
    </c:plotArea>
    <c:legend>
      <c:legendPos val="r"/>
      <c:layout>
        <c:manualLayout>
          <c:xMode val="edge"/>
          <c:yMode val="edge"/>
          <c:x val="0.91120976692563749"/>
          <c:y val="0.49265905383360531"/>
          <c:w val="8.4350721420640595E-2"/>
          <c:h val="7.014681892332833E-2"/>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10: Overall Index of Economic Well-being, Quebec vs. Canada</a:t>
            </a:r>
          </a:p>
        </c:rich>
      </c:tx>
      <c:layout>
        <c:manualLayout>
          <c:xMode val="edge"/>
          <c:yMode val="edge"/>
          <c:x val="0.24417314095449499"/>
          <c:y val="1.9575856443719643E-2"/>
        </c:manualLayout>
      </c:layout>
      <c:spPr>
        <a:noFill/>
        <a:ln w="25400">
          <a:noFill/>
        </a:ln>
      </c:spPr>
    </c:title>
    <c:plotArea>
      <c:layout>
        <c:manualLayout>
          <c:layoutTarget val="inner"/>
          <c:xMode val="edge"/>
          <c:yMode val="edge"/>
          <c:x val="4.1065482796892344E-2"/>
          <c:y val="0.12234910277324652"/>
          <c:w val="0.84239733629301672"/>
          <c:h val="0.81076672104404557"/>
        </c:manualLayout>
      </c:layout>
      <c:lineChart>
        <c:grouping val="standard"/>
        <c:ser>
          <c:idx val="1"/>
          <c:order val="0"/>
          <c:tx>
            <c:strRef>
              <c:f>'11'!$G$4</c:f>
              <c:strCache>
                <c:ptCount val="1"/>
                <c:pt idx="0">
                  <c:v>PQ</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'11'!$AY$5:$AY$34</c:f>
              <c:numCache>
                <c:formatCode>0.000</c:formatCode>
                <c:ptCount val="19"/>
                <c:pt idx="0">
                  <c:v>0.3866258603521715</c:v>
                </c:pt>
                <c:pt idx="1">
                  <c:v>0.38574398124065179</c:v>
                </c:pt>
                <c:pt idx="2">
                  <c:v>0.39549664744504109</c:v>
                </c:pt>
                <c:pt idx="3">
                  <c:v>0.39257963908802296</c:v>
                </c:pt>
                <c:pt idx="4">
                  <c:v>0.41466556783867087</c:v>
                </c:pt>
                <c:pt idx="5">
                  <c:v>0.41423863982971298</c:v>
                </c:pt>
                <c:pt idx="6">
                  <c:v>0.41971394853868882</c:v>
                </c:pt>
                <c:pt idx="7">
                  <c:v>0.44791545220064555</c:v>
                </c:pt>
                <c:pt idx="8">
                  <c:v>0.46191438307693566</c:v>
                </c:pt>
                <c:pt idx="9">
                  <c:v>0.44965337879768102</c:v>
                </c:pt>
                <c:pt idx="10">
                  <c:v>0.44040110326575899</c:v>
                </c:pt>
                <c:pt idx="11">
                  <c:v>0.45098452066506756</c:v>
                </c:pt>
                <c:pt idx="12">
                  <c:v>0.4335529352984141</c:v>
                </c:pt>
                <c:pt idx="13">
                  <c:v>0.44223822482210551</c:v>
                </c:pt>
                <c:pt idx="14">
                  <c:v>0.43569349256613327</c:v>
                </c:pt>
                <c:pt idx="15">
                  <c:v>0.44936967275429407</c:v>
                </c:pt>
                <c:pt idx="16">
                  <c:v>0.4361326463249936</c:v>
                </c:pt>
                <c:pt idx="17">
                  <c:v>0.46054054826625379</c:v>
                </c:pt>
                <c:pt idx="18">
                  <c:v>0.47787911343651368</c:v>
                </c:pt>
              </c:numCache>
            </c:numRef>
          </c:val>
        </c:ser>
        <c:ser>
          <c:idx val="0"/>
          <c:order val="1"/>
          <c:tx>
            <c:strRef>
              <c:f>'11'!$AT$4</c:f>
              <c:strCache>
                <c:ptCount val="1"/>
                <c:pt idx="0">
                  <c:v>Canada</c:v>
                </c:pt>
              </c:strCache>
            </c:strRef>
          </c:tx>
          <c:spPr>
            <a:ln w="12700">
              <a:solidFill>
                <a:srgbClr val="000000"/>
              </a:solidFill>
              <a:prstDash val="solid"/>
            </a:ln>
          </c:spPr>
          <c:marker>
            <c:symbol val="none"/>
          </c:marker>
          <c:val>
            <c:numRef>
              <c:f>'11'!$AT$5:$AT$34</c:f>
              <c:numCache>
                <c:formatCode>0.000</c:formatCode>
                <c:ptCount val="19"/>
                <c:pt idx="0">
                  <c:v>0.44780458265691525</c:v>
                </c:pt>
                <c:pt idx="1">
                  <c:v>0.43301562693507134</c:v>
                </c:pt>
                <c:pt idx="2">
                  <c:v>0.42340958261067185</c:v>
                </c:pt>
                <c:pt idx="3">
                  <c:v>0.42844030729926186</c:v>
                </c:pt>
                <c:pt idx="4">
                  <c:v>0.44705988924508555</c:v>
                </c:pt>
                <c:pt idx="5">
                  <c:v>0.45172672744933806</c:v>
                </c:pt>
                <c:pt idx="6">
                  <c:v>0.46232821572107063</c:v>
                </c:pt>
                <c:pt idx="7">
                  <c:v>0.48738294963598849</c:v>
                </c:pt>
                <c:pt idx="8">
                  <c:v>0.50357121370456881</c:v>
                </c:pt>
                <c:pt idx="9">
                  <c:v>0.49054495517693048</c:v>
                </c:pt>
                <c:pt idx="10">
                  <c:v>0.48104437061629834</c:v>
                </c:pt>
                <c:pt idx="11">
                  <c:v>0.47966464196689351</c:v>
                </c:pt>
                <c:pt idx="12">
                  <c:v>0.4798713663978178</c:v>
                </c:pt>
                <c:pt idx="13">
                  <c:v>0.48615136049483088</c:v>
                </c:pt>
                <c:pt idx="14">
                  <c:v>0.4878403706788994</c:v>
                </c:pt>
                <c:pt idx="15">
                  <c:v>0.47679488956266264</c:v>
                </c:pt>
                <c:pt idx="16">
                  <c:v>0.47766802820173043</c:v>
                </c:pt>
                <c:pt idx="17">
                  <c:v>0.48422154380221771</c:v>
                </c:pt>
                <c:pt idx="18">
                  <c:v>0.49477781532887766</c:v>
                </c:pt>
              </c:numCache>
            </c:numRef>
          </c:val>
        </c:ser>
        <c:marker val="1"/>
        <c:axId val="130246912"/>
        <c:axId val="130248704"/>
      </c:lineChart>
      <c:catAx>
        <c:axId val="130246912"/>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0248704"/>
        <c:crosses val="autoZero"/>
        <c:auto val="1"/>
        <c:lblAlgn val="ctr"/>
        <c:lblOffset val="100"/>
        <c:tickLblSkip val="3"/>
        <c:tickMarkSkip val="1"/>
      </c:catAx>
      <c:valAx>
        <c:axId val="130248704"/>
        <c:scaling>
          <c:orientation val="minMax"/>
          <c:max val="1.4"/>
          <c:min val="0.8"/>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0246912"/>
        <c:crosses val="autoZero"/>
        <c:crossBetween val="midCat"/>
      </c:valAx>
      <c:spPr>
        <a:solidFill>
          <a:srgbClr val="FFFFFF"/>
        </a:solidFill>
        <a:ln w="3175">
          <a:solidFill>
            <a:srgbClr val="000000"/>
          </a:solidFill>
          <a:prstDash val="solid"/>
        </a:ln>
      </c:spPr>
    </c:plotArea>
    <c:legend>
      <c:legendPos val="r"/>
      <c:layout>
        <c:manualLayout>
          <c:xMode val="edge"/>
          <c:yMode val="edge"/>
          <c:wMode val="edge"/>
          <c:hMode val="edge"/>
          <c:x val="0.91120976692563749"/>
          <c:y val="0.49265905383360531"/>
          <c:w val="0.99556048834627453"/>
          <c:h val="0.5628058727569336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10: Overall Index of Economic Well-being, Quebec vs. Canada</a:t>
            </a:r>
          </a:p>
        </c:rich>
      </c:tx>
      <c:layout>
        <c:manualLayout>
          <c:xMode val="edge"/>
          <c:yMode val="edge"/>
          <c:x val="0.24417314095449499"/>
          <c:y val="1.9575856443719588E-2"/>
        </c:manualLayout>
      </c:layout>
      <c:spPr>
        <a:noFill/>
        <a:ln w="25400">
          <a:noFill/>
        </a:ln>
      </c:spPr>
    </c:title>
    <c:plotArea>
      <c:layout>
        <c:manualLayout>
          <c:layoutTarget val="inner"/>
          <c:xMode val="edge"/>
          <c:yMode val="edge"/>
          <c:x val="4.1065482796892344E-2"/>
          <c:y val="0.12234910277324652"/>
          <c:w val="0.84239733629301472"/>
          <c:h val="0.81076672104404557"/>
        </c:manualLayout>
      </c:layout>
      <c:lineChart>
        <c:grouping val="standard"/>
        <c:ser>
          <c:idx val="1"/>
          <c:order val="0"/>
          <c:tx>
            <c:strRef>
              <c:f>'[1]11'!$G$4</c:f>
              <c:strCache>
                <c:ptCount val="1"/>
                <c:pt idx="0">
                  <c:v>PQ</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'[1]11'!$AY$5:$AY$34</c:f>
              <c:numCache>
                <c:formatCode>General</c:formatCode>
                <c:ptCount val="30"/>
                <c:pt idx="0">
                  <c:v>0.5066699197643687</c:v>
                </c:pt>
                <c:pt idx="1">
                  <c:v>0.50863985886115515</c:v>
                </c:pt>
                <c:pt idx="2">
                  <c:v>0.51183989575751965</c:v>
                </c:pt>
                <c:pt idx="3">
                  <c:v>0.52013873313484904</c:v>
                </c:pt>
                <c:pt idx="4">
                  <c:v>0.53026288374327979</c:v>
                </c:pt>
                <c:pt idx="5">
                  <c:v>0.53788604768793535</c:v>
                </c:pt>
                <c:pt idx="6">
                  <c:v>0.54797085155297331</c:v>
                </c:pt>
                <c:pt idx="7">
                  <c:v>0.55325683486547672</c:v>
                </c:pt>
                <c:pt idx="8">
                  <c:v>0.55384833146795487</c:v>
                </c:pt>
                <c:pt idx="9">
                  <c:v>0.53634202224751271</c:v>
                </c:pt>
                <c:pt idx="11">
                  <c:v>0.43132827229506127</c:v>
                </c:pt>
                <c:pt idx="12">
                  <c:v>0.41493832809459952</c:v>
                </c:pt>
                <c:pt idx="13">
                  <c:v>0.39371541204931526</c:v>
                </c:pt>
                <c:pt idx="14">
                  <c:v>0.4115821245488851</c:v>
                </c:pt>
                <c:pt idx="15">
                  <c:v>0.4163851073142199</c:v>
                </c:pt>
                <c:pt idx="16">
                  <c:v>0.4206906297030934</c:v>
                </c:pt>
                <c:pt idx="17">
                  <c:v>0.43736824961112503</c:v>
                </c:pt>
                <c:pt idx="18">
                  <c:v>0.47188505190069097</c:v>
                </c:pt>
                <c:pt idx="19">
                  <c:v>0.48198465296567172</c:v>
                </c:pt>
                <c:pt idx="20">
                  <c:v>0.49266681780401861</c:v>
                </c:pt>
                <c:pt idx="21">
                  <c:v>0.4785377565547152</c:v>
                </c:pt>
                <c:pt idx="22">
                  <c:v>0.46582372921614867</c:v>
                </c:pt>
                <c:pt idx="23">
                  <c:v>0.4627154906528651</c:v>
                </c:pt>
                <c:pt idx="24">
                  <c:v>0.43658877446156585</c:v>
                </c:pt>
                <c:pt idx="25">
                  <c:v>0.4498361145623842</c:v>
                </c:pt>
                <c:pt idx="26">
                  <c:v>0.43480081881559363</c:v>
                </c:pt>
                <c:pt idx="27">
                  <c:v>0.42814705507948464</c:v>
                </c:pt>
                <c:pt idx="28">
                  <c:v>0.4268488983459045</c:v>
                </c:pt>
                <c:pt idx="29">
                  <c:v>0.45955142021746831</c:v>
                </c:pt>
              </c:numCache>
            </c:numRef>
          </c:val>
        </c:ser>
        <c:ser>
          <c:idx val="0"/>
          <c:order val="1"/>
          <c:tx>
            <c:strRef>
              <c:f>'[1]11'!$AT$4</c:f>
              <c:strCache>
                <c:ptCount val="1"/>
                <c:pt idx="0">
                  <c:v>Canada</c:v>
                </c:pt>
              </c:strCache>
            </c:strRef>
          </c:tx>
          <c:spPr>
            <a:ln w="12700">
              <a:solidFill>
                <a:srgbClr val="000000"/>
              </a:solidFill>
              <a:prstDash val="solid"/>
            </a:ln>
          </c:spPr>
          <c:marker>
            <c:symbol val="none"/>
          </c:marker>
          <c:val>
            <c:numRef>
              <c:f>'[1]11'!$AT$5:$AT$34</c:f>
              <c:numCache>
                <c:formatCode>General</c:formatCode>
                <c:ptCount val="30"/>
                <c:pt idx="0">
                  <c:v>1.1078448008650001</c:v>
                </c:pt>
                <c:pt idx="1">
                  <c:v>1.1078448008650001</c:v>
                </c:pt>
                <c:pt idx="2">
                  <c:v>1.1078448008650001</c:v>
                </c:pt>
                <c:pt idx="3">
                  <c:v>1.1097213114577633</c:v>
                </c:pt>
                <c:pt idx="4">
                  <c:v>1.1115978220505263</c:v>
                </c:pt>
                <c:pt idx="5">
                  <c:v>1.1144125879396709</c:v>
                </c:pt>
                <c:pt idx="6">
                  <c:v>1.1172273538288153</c:v>
                </c:pt>
                <c:pt idx="7">
                  <c:v>1.1149755411174995</c:v>
                </c:pt>
                <c:pt idx="8">
                  <c:v>1.1127237284061842</c:v>
                </c:pt>
                <c:pt idx="9">
                  <c:v>0.9964883080382696</c:v>
                </c:pt>
                <c:pt idx="11">
                  <c:v>0.54469146067546736</c:v>
                </c:pt>
                <c:pt idx="12">
                  <c:v>0.51693640159030863</c:v>
                </c:pt>
                <c:pt idx="13">
                  <c:v>0.42193516823383936</c:v>
                </c:pt>
                <c:pt idx="14">
                  <c:v>0.43870225637785498</c:v>
                </c:pt>
                <c:pt idx="15">
                  <c:v>0.48235518471361249</c:v>
                </c:pt>
                <c:pt idx="16">
                  <c:v>0.51002979275189742</c:v>
                </c:pt>
                <c:pt idx="17">
                  <c:v>0.51580076402779018</c:v>
                </c:pt>
                <c:pt idx="18">
                  <c:v>0.56180182926037636</c:v>
                </c:pt>
                <c:pt idx="19">
                  <c:v>0.60413115597439804</c:v>
                </c:pt>
                <c:pt idx="20">
                  <c:v>0.51006822233299076</c:v>
                </c:pt>
                <c:pt idx="21">
                  <c:v>0.42777562711554251</c:v>
                </c:pt>
                <c:pt idx="22">
                  <c:v>0.4330192290850241</c:v>
                </c:pt>
                <c:pt idx="23">
                  <c:v>0.39438851039997214</c:v>
                </c:pt>
                <c:pt idx="24">
                  <c:v>0.40880436906528628</c:v>
                </c:pt>
                <c:pt idx="25">
                  <c:v>0.38152171029381599</c:v>
                </c:pt>
                <c:pt idx="26">
                  <c:v>0.31137547206711985</c:v>
                </c:pt>
                <c:pt idx="27">
                  <c:v>0.28048039640379308</c:v>
                </c:pt>
                <c:pt idx="28">
                  <c:v>0.30885504696863875</c:v>
                </c:pt>
                <c:pt idx="29">
                  <c:v>0.32940709067285867</c:v>
                </c:pt>
              </c:numCache>
            </c:numRef>
          </c:val>
        </c:ser>
        <c:marker val="1"/>
        <c:axId val="137450624"/>
        <c:axId val="137452160"/>
      </c:lineChart>
      <c:catAx>
        <c:axId val="137450624"/>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7452160"/>
        <c:crosses val="autoZero"/>
        <c:auto val="1"/>
        <c:lblAlgn val="ctr"/>
        <c:lblOffset val="100"/>
        <c:tickLblSkip val="3"/>
        <c:tickMarkSkip val="1"/>
      </c:catAx>
      <c:valAx>
        <c:axId val="137452160"/>
        <c:scaling>
          <c:orientation val="minMax"/>
          <c:max val="1.4"/>
          <c:min val="0.8"/>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7450624"/>
        <c:crosses val="autoZero"/>
        <c:crossBetween val="midCat"/>
      </c:valAx>
      <c:spPr>
        <a:solidFill>
          <a:srgbClr val="FFFFFF"/>
        </a:solidFill>
        <a:ln w="3175">
          <a:solidFill>
            <a:srgbClr val="000000"/>
          </a:solidFill>
          <a:prstDash val="solid"/>
        </a:ln>
      </c:spPr>
    </c:plotArea>
    <c:legend>
      <c:legendPos val="r"/>
      <c:layout>
        <c:manualLayout>
          <c:xMode val="edge"/>
          <c:yMode val="edge"/>
          <c:x val="0.91120976692563749"/>
          <c:y val="0.49265905383360531"/>
          <c:w val="8.4350721420640595E-2"/>
          <c:h val="7.014681892332833E-2"/>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11: Overall Index of Economic Well-being, Ontario vs. Canada</a:t>
            </a:r>
          </a:p>
        </c:rich>
      </c:tx>
      <c:layout>
        <c:manualLayout>
          <c:xMode val="edge"/>
          <c:yMode val="edge"/>
          <c:x val="0.24417314095449499"/>
          <c:y val="1.9575856443719588E-2"/>
        </c:manualLayout>
      </c:layout>
      <c:spPr>
        <a:noFill/>
        <a:ln w="25400">
          <a:noFill/>
        </a:ln>
      </c:spPr>
    </c:title>
    <c:plotArea>
      <c:layout>
        <c:manualLayout>
          <c:layoutTarget val="inner"/>
          <c:xMode val="edge"/>
          <c:yMode val="edge"/>
          <c:x val="4.1065482796892344E-2"/>
          <c:y val="0.12234910277324652"/>
          <c:w val="0.84239733629301472"/>
          <c:h val="0.81076672104404557"/>
        </c:manualLayout>
      </c:layout>
      <c:lineChart>
        <c:grouping val="standard"/>
        <c:ser>
          <c:idx val="1"/>
          <c:order val="0"/>
          <c:tx>
            <c:strRef>
              <c:f>'[1]11'!$H$4</c:f>
              <c:strCache>
                <c:ptCount val="1"/>
                <c:pt idx="0">
                  <c:v>ON</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'[1]11'!$AZ$5:$AZ$34</c:f>
              <c:numCache>
                <c:formatCode>General</c:formatCode>
                <c:ptCount val="30"/>
                <c:pt idx="0">
                  <c:v>0.49570735230903484</c:v>
                </c:pt>
                <c:pt idx="1">
                  <c:v>0.4975900414904183</c:v>
                </c:pt>
                <c:pt idx="2">
                  <c:v>0.497607070806383</c:v>
                </c:pt>
                <c:pt idx="3">
                  <c:v>0.49984769487660874</c:v>
                </c:pt>
                <c:pt idx="4">
                  <c:v>0.50572066500898138</c:v>
                </c:pt>
                <c:pt idx="5">
                  <c:v>0.50734691524598752</c:v>
                </c:pt>
                <c:pt idx="6">
                  <c:v>0.49924782150113012</c:v>
                </c:pt>
                <c:pt idx="7">
                  <c:v>0.49956886992009197</c:v>
                </c:pt>
                <c:pt idx="8">
                  <c:v>0.50108264587018203</c:v>
                </c:pt>
                <c:pt idx="9">
                  <c:v>0.48259090585592901</c:v>
                </c:pt>
                <c:pt idx="11">
                  <c:v>0.35307325662080724</c:v>
                </c:pt>
                <c:pt idx="12">
                  <c:v>0.33934262045069052</c:v>
                </c:pt>
                <c:pt idx="13">
                  <c:v>0.29470285010143182</c:v>
                </c:pt>
                <c:pt idx="14">
                  <c:v>0.34487449673690151</c:v>
                </c:pt>
                <c:pt idx="15">
                  <c:v>0.38732735475156765</c:v>
                </c:pt>
                <c:pt idx="16">
                  <c:v>0.40867438284202845</c:v>
                </c:pt>
                <c:pt idx="17">
                  <c:v>0.3984630133383299</c:v>
                </c:pt>
                <c:pt idx="18">
                  <c:v>0.45077994349472333</c:v>
                </c:pt>
                <c:pt idx="19">
                  <c:v>0.45910435943506839</c:v>
                </c:pt>
                <c:pt idx="20">
                  <c:v>0.45441908705003309</c:v>
                </c:pt>
                <c:pt idx="21">
                  <c:v>0.43618256796880484</c:v>
                </c:pt>
                <c:pt idx="22">
                  <c:v>0.42315059878405448</c:v>
                </c:pt>
                <c:pt idx="23">
                  <c:v>0.41978543537229462</c:v>
                </c:pt>
                <c:pt idx="24">
                  <c:v>0.41469149926741533</c:v>
                </c:pt>
                <c:pt idx="25">
                  <c:v>0.44030099302835446</c:v>
                </c:pt>
                <c:pt idx="26">
                  <c:v>0.44354078670181418</c:v>
                </c:pt>
                <c:pt idx="27">
                  <c:v>0.42555036702267923</c:v>
                </c:pt>
                <c:pt idx="28">
                  <c:v>0.45723661463669363</c:v>
                </c:pt>
                <c:pt idx="29">
                  <c:v>0.48465063948519443</c:v>
                </c:pt>
              </c:numCache>
            </c:numRef>
          </c:val>
        </c:ser>
        <c:ser>
          <c:idx val="0"/>
          <c:order val="1"/>
          <c:tx>
            <c:strRef>
              <c:f>'[1]11'!$AT$4</c:f>
              <c:strCache>
                <c:ptCount val="1"/>
                <c:pt idx="0">
                  <c:v>Canada</c:v>
                </c:pt>
              </c:strCache>
            </c:strRef>
          </c:tx>
          <c:spPr>
            <a:ln w="12700">
              <a:solidFill>
                <a:srgbClr val="000000"/>
              </a:solidFill>
              <a:prstDash val="solid"/>
            </a:ln>
          </c:spPr>
          <c:marker>
            <c:symbol val="none"/>
          </c:marker>
          <c:val>
            <c:numRef>
              <c:f>'[1]11'!$AT$5:$AT$34</c:f>
              <c:numCache>
                <c:formatCode>General</c:formatCode>
                <c:ptCount val="30"/>
                <c:pt idx="0">
                  <c:v>1.1078448008650001</c:v>
                </c:pt>
                <c:pt idx="1">
                  <c:v>1.1078448008650001</c:v>
                </c:pt>
                <c:pt idx="2">
                  <c:v>1.1078448008650001</c:v>
                </c:pt>
                <c:pt idx="3">
                  <c:v>1.1097213114577633</c:v>
                </c:pt>
                <c:pt idx="4">
                  <c:v>1.1115978220505263</c:v>
                </c:pt>
                <c:pt idx="5">
                  <c:v>1.1144125879396709</c:v>
                </c:pt>
                <c:pt idx="6">
                  <c:v>1.1172273538288153</c:v>
                </c:pt>
                <c:pt idx="7">
                  <c:v>1.1149755411174995</c:v>
                </c:pt>
                <c:pt idx="8">
                  <c:v>1.1127237284061842</c:v>
                </c:pt>
                <c:pt idx="9">
                  <c:v>0.9964883080382696</c:v>
                </c:pt>
                <c:pt idx="11">
                  <c:v>0.54469146067546736</c:v>
                </c:pt>
                <c:pt idx="12">
                  <c:v>0.51693640159030863</c:v>
                </c:pt>
                <c:pt idx="13">
                  <c:v>0.42193516823383936</c:v>
                </c:pt>
                <c:pt idx="14">
                  <c:v>0.43870225637785498</c:v>
                </c:pt>
                <c:pt idx="15">
                  <c:v>0.48235518471361249</c:v>
                </c:pt>
                <c:pt idx="16">
                  <c:v>0.51002979275189742</c:v>
                </c:pt>
                <c:pt idx="17">
                  <c:v>0.51580076402779018</c:v>
                </c:pt>
                <c:pt idx="18">
                  <c:v>0.56180182926037636</c:v>
                </c:pt>
                <c:pt idx="19">
                  <c:v>0.60413115597439804</c:v>
                </c:pt>
                <c:pt idx="20">
                  <c:v>0.51006822233299076</c:v>
                </c:pt>
                <c:pt idx="21">
                  <c:v>0.42777562711554251</c:v>
                </c:pt>
                <c:pt idx="22">
                  <c:v>0.4330192290850241</c:v>
                </c:pt>
                <c:pt idx="23">
                  <c:v>0.39438851039997214</c:v>
                </c:pt>
                <c:pt idx="24">
                  <c:v>0.40880436906528628</c:v>
                </c:pt>
                <c:pt idx="25">
                  <c:v>0.38152171029381599</c:v>
                </c:pt>
                <c:pt idx="26">
                  <c:v>0.31137547206711985</c:v>
                </c:pt>
                <c:pt idx="27">
                  <c:v>0.28048039640379308</c:v>
                </c:pt>
                <c:pt idx="28">
                  <c:v>0.30885504696863875</c:v>
                </c:pt>
                <c:pt idx="29">
                  <c:v>0.32940709067285867</c:v>
                </c:pt>
              </c:numCache>
            </c:numRef>
          </c:val>
        </c:ser>
        <c:marker val="1"/>
        <c:axId val="137403776"/>
        <c:axId val="137417856"/>
      </c:lineChart>
      <c:catAx>
        <c:axId val="137403776"/>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7417856"/>
        <c:crosses val="autoZero"/>
        <c:auto val="1"/>
        <c:lblAlgn val="ctr"/>
        <c:lblOffset val="100"/>
        <c:tickLblSkip val="3"/>
        <c:tickMarkSkip val="1"/>
      </c:catAx>
      <c:valAx>
        <c:axId val="137417856"/>
        <c:scaling>
          <c:orientation val="minMax"/>
          <c:max val="1.4"/>
          <c:min val="0.8"/>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7403776"/>
        <c:crosses val="autoZero"/>
        <c:crossBetween val="midCat"/>
      </c:valAx>
      <c:spPr>
        <a:solidFill>
          <a:srgbClr val="FFFFFF"/>
        </a:solidFill>
        <a:ln w="3175">
          <a:solidFill>
            <a:srgbClr val="000000"/>
          </a:solidFill>
          <a:prstDash val="solid"/>
        </a:ln>
      </c:spPr>
    </c:plotArea>
    <c:legend>
      <c:legendPos val="r"/>
      <c:layout>
        <c:manualLayout>
          <c:xMode val="edge"/>
          <c:yMode val="edge"/>
          <c:x val="0.91120976692563749"/>
          <c:y val="0.49265905383360531"/>
          <c:w val="8.4350721420640595E-2"/>
          <c:h val="7.014681892332833E-2"/>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12: Overall Index of Economic Well-being, Manitoba vs. Canada</a:t>
            </a:r>
          </a:p>
        </c:rich>
      </c:tx>
      <c:layout>
        <c:manualLayout>
          <c:xMode val="edge"/>
          <c:yMode val="edge"/>
          <c:x val="0.2364039955604908"/>
          <c:y val="1.9575856443719588E-2"/>
        </c:manualLayout>
      </c:layout>
      <c:spPr>
        <a:noFill/>
        <a:ln w="25400">
          <a:noFill/>
        </a:ln>
      </c:spPr>
    </c:title>
    <c:plotArea>
      <c:layout>
        <c:manualLayout>
          <c:layoutTarget val="inner"/>
          <c:xMode val="edge"/>
          <c:yMode val="edge"/>
          <c:x val="4.1065482796892344E-2"/>
          <c:y val="0.12234910277324652"/>
          <c:w val="0.84239733629301472"/>
          <c:h val="0.81076672104404557"/>
        </c:manualLayout>
      </c:layout>
      <c:lineChart>
        <c:grouping val="standard"/>
        <c:ser>
          <c:idx val="1"/>
          <c:order val="0"/>
          <c:tx>
            <c:strRef>
              <c:f>'[1]11'!$I$4</c:f>
              <c:strCache>
                <c:ptCount val="1"/>
                <c:pt idx="0">
                  <c:v>Man.</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'[1]11'!$BA$5:$BA$34</c:f>
              <c:numCache>
                <c:formatCode>General</c:formatCode>
                <c:ptCount val="30"/>
                <c:pt idx="0">
                  <c:v>0.5028354379185942</c:v>
                </c:pt>
                <c:pt idx="1">
                  <c:v>0.51056497935041778</c:v>
                </c:pt>
                <c:pt idx="2">
                  <c:v>0.5205447841394979</c:v>
                </c:pt>
                <c:pt idx="3">
                  <c:v>0.5282877578111389</c:v>
                </c:pt>
                <c:pt idx="4">
                  <c:v>0.53942872233550487</c:v>
                </c:pt>
                <c:pt idx="5">
                  <c:v>0.54448436123168953</c:v>
                </c:pt>
                <c:pt idx="6">
                  <c:v>0.54675204979259107</c:v>
                </c:pt>
                <c:pt idx="7">
                  <c:v>0.55161322794439405</c:v>
                </c:pt>
                <c:pt idx="8">
                  <c:v>0.56787497207225368</c:v>
                </c:pt>
                <c:pt idx="9">
                  <c:v>0.54741955269962117</c:v>
                </c:pt>
                <c:pt idx="11">
                  <c:v>0.36858782199596651</c:v>
                </c:pt>
                <c:pt idx="12">
                  <c:v>0.35865867844484833</c:v>
                </c:pt>
                <c:pt idx="13">
                  <c:v>0.34496369301657476</c:v>
                </c:pt>
                <c:pt idx="14">
                  <c:v>0.35136747544291419</c:v>
                </c:pt>
                <c:pt idx="15">
                  <c:v>0.37951308145846946</c:v>
                </c:pt>
                <c:pt idx="16">
                  <c:v>0.37992990046110697</c:v>
                </c:pt>
                <c:pt idx="17">
                  <c:v>0.39136944393835449</c:v>
                </c:pt>
                <c:pt idx="18">
                  <c:v>0.41474785505489176</c:v>
                </c:pt>
                <c:pt idx="19">
                  <c:v>0.44076279468820667</c:v>
                </c:pt>
                <c:pt idx="20">
                  <c:v>0.41073006559978426</c:v>
                </c:pt>
                <c:pt idx="21">
                  <c:v>0.37769898498528592</c:v>
                </c:pt>
                <c:pt idx="22">
                  <c:v>0.39455236829292972</c:v>
                </c:pt>
                <c:pt idx="23">
                  <c:v>0.36830687860711497</c:v>
                </c:pt>
                <c:pt idx="24">
                  <c:v>0.37527175921024924</c:v>
                </c:pt>
                <c:pt idx="25">
                  <c:v>0.36833941207284349</c:v>
                </c:pt>
                <c:pt idx="26">
                  <c:v>0.37521516712115477</c:v>
                </c:pt>
                <c:pt idx="27">
                  <c:v>0.36535601221468839</c:v>
                </c:pt>
                <c:pt idx="28">
                  <c:v>0.39155515206990466</c:v>
                </c:pt>
                <c:pt idx="29">
                  <c:v>0.42238374890267028</c:v>
                </c:pt>
              </c:numCache>
            </c:numRef>
          </c:val>
        </c:ser>
        <c:ser>
          <c:idx val="0"/>
          <c:order val="1"/>
          <c:tx>
            <c:strRef>
              <c:f>'[1]11'!$AT$4</c:f>
              <c:strCache>
                <c:ptCount val="1"/>
                <c:pt idx="0">
                  <c:v>Canada</c:v>
                </c:pt>
              </c:strCache>
            </c:strRef>
          </c:tx>
          <c:spPr>
            <a:ln w="12700">
              <a:solidFill>
                <a:srgbClr val="000000"/>
              </a:solidFill>
              <a:prstDash val="solid"/>
            </a:ln>
          </c:spPr>
          <c:marker>
            <c:symbol val="none"/>
          </c:marker>
          <c:val>
            <c:numRef>
              <c:f>'[1]11'!$AT$5:$AT$34</c:f>
              <c:numCache>
                <c:formatCode>General</c:formatCode>
                <c:ptCount val="30"/>
                <c:pt idx="0">
                  <c:v>1.1078448008650001</c:v>
                </c:pt>
                <c:pt idx="1">
                  <c:v>1.1078448008650001</c:v>
                </c:pt>
                <c:pt idx="2">
                  <c:v>1.1078448008650001</c:v>
                </c:pt>
                <c:pt idx="3">
                  <c:v>1.1097213114577633</c:v>
                </c:pt>
                <c:pt idx="4">
                  <c:v>1.1115978220505263</c:v>
                </c:pt>
                <c:pt idx="5">
                  <c:v>1.1144125879396709</c:v>
                </c:pt>
                <c:pt idx="6">
                  <c:v>1.1172273538288153</c:v>
                </c:pt>
                <c:pt idx="7">
                  <c:v>1.1149755411174995</c:v>
                </c:pt>
                <c:pt idx="8">
                  <c:v>1.1127237284061842</c:v>
                </c:pt>
                <c:pt idx="9">
                  <c:v>0.9964883080382696</c:v>
                </c:pt>
                <c:pt idx="11">
                  <c:v>0.54469146067546736</c:v>
                </c:pt>
                <c:pt idx="12">
                  <c:v>0.51693640159030863</c:v>
                </c:pt>
                <c:pt idx="13">
                  <c:v>0.42193516823383936</c:v>
                </c:pt>
                <c:pt idx="14">
                  <c:v>0.43870225637785498</c:v>
                </c:pt>
                <c:pt idx="15">
                  <c:v>0.48235518471361249</c:v>
                </c:pt>
                <c:pt idx="16">
                  <c:v>0.51002979275189742</c:v>
                </c:pt>
                <c:pt idx="17">
                  <c:v>0.51580076402779018</c:v>
                </c:pt>
                <c:pt idx="18">
                  <c:v>0.56180182926037636</c:v>
                </c:pt>
                <c:pt idx="19">
                  <c:v>0.60413115597439804</c:v>
                </c:pt>
                <c:pt idx="20">
                  <c:v>0.51006822233299076</c:v>
                </c:pt>
                <c:pt idx="21">
                  <c:v>0.42777562711554251</c:v>
                </c:pt>
                <c:pt idx="22">
                  <c:v>0.4330192290850241</c:v>
                </c:pt>
                <c:pt idx="23">
                  <c:v>0.39438851039997214</c:v>
                </c:pt>
                <c:pt idx="24">
                  <c:v>0.40880436906528628</c:v>
                </c:pt>
                <c:pt idx="25">
                  <c:v>0.38152171029381599</c:v>
                </c:pt>
                <c:pt idx="26">
                  <c:v>0.31137547206711985</c:v>
                </c:pt>
                <c:pt idx="27">
                  <c:v>0.28048039640379308</c:v>
                </c:pt>
                <c:pt idx="28">
                  <c:v>0.30885504696863875</c:v>
                </c:pt>
                <c:pt idx="29">
                  <c:v>0.32940709067285867</c:v>
                </c:pt>
              </c:numCache>
            </c:numRef>
          </c:val>
        </c:ser>
        <c:marker val="1"/>
        <c:axId val="137127808"/>
        <c:axId val="137129344"/>
      </c:lineChart>
      <c:catAx>
        <c:axId val="137127808"/>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7129344"/>
        <c:crosses val="autoZero"/>
        <c:auto val="1"/>
        <c:lblAlgn val="ctr"/>
        <c:lblOffset val="100"/>
        <c:tickLblSkip val="3"/>
        <c:tickMarkSkip val="1"/>
      </c:catAx>
      <c:valAx>
        <c:axId val="137129344"/>
        <c:scaling>
          <c:orientation val="minMax"/>
          <c:max val="1.4"/>
          <c:min val="0.8"/>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7127808"/>
        <c:crosses val="autoZero"/>
        <c:crossBetween val="midCat"/>
      </c:valAx>
      <c:spPr>
        <a:solidFill>
          <a:srgbClr val="FFFFFF"/>
        </a:solidFill>
        <a:ln w="3175">
          <a:solidFill>
            <a:srgbClr val="000000"/>
          </a:solidFill>
          <a:prstDash val="solid"/>
        </a:ln>
      </c:spPr>
    </c:plotArea>
    <c:legend>
      <c:legendPos val="r"/>
      <c:layout>
        <c:manualLayout>
          <c:xMode val="edge"/>
          <c:yMode val="edge"/>
          <c:x val="0.91120976692563749"/>
          <c:y val="0.49265905383360531"/>
          <c:w val="8.4350721420640595E-2"/>
          <c:h val="7.014681892332833E-2"/>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13: Overall Index of Economic Well-being, Saskatchewan vs. Canada</a:t>
            </a:r>
          </a:p>
        </c:rich>
      </c:tx>
      <c:layout>
        <c:manualLayout>
          <c:xMode val="edge"/>
          <c:yMode val="edge"/>
          <c:x val="0.21975582685904554"/>
          <c:y val="1.9575856443719588E-2"/>
        </c:manualLayout>
      </c:layout>
      <c:spPr>
        <a:noFill/>
        <a:ln w="25400">
          <a:noFill/>
        </a:ln>
      </c:spPr>
    </c:title>
    <c:plotArea>
      <c:layout>
        <c:manualLayout>
          <c:layoutTarget val="inner"/>
          <c:xMode val="edge"/>
          <c:yMode val="edge"/>
          <c:x val="4.1065482796892344E-2"/>
          <c:y val="0.12234910277324652"/>
          <c:w val="0.84239733629301472"/>
          <c:h val="0.81076672104404557"/>
        </c:manualLayout>
      </c:layout>
      <c:lineChart>
        <c:grouping val="standard"/>
        <c:ser>
          <c:idx val="1"/>
          <c:order val="0"/>
          <c:tx>
            <c:strRef>
              <c:f>'[1]11'!$J$4</c:f>
              <c:strCache>
                <c:ptCount val="1"/>
                <c:pt idx="0">
                  <c:v>Sask.</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'[1]11'!$BB$5:$BB$34</c:f>
              <c:numCache>
                <c:formatCode>General</c:formatCode>
                <c:ptCount val="30"/>
                <c:pt idx="0">
                  <c:v>0.55055436440509598</c:v>
                </c:pt>
                <c:pt idx="1">
                  <c:v>0.55606944133714409</c:v>
                </c:pt>
                <c:pt idx="2">
                  <c:v>0.56356541816550321</c:v>
                </c:pt>
                <c:pt idx="3">
                  <c:v>0.57266125754790742</c:v>
                </c:pt>
                <c:pt idx="4">
                  <c:v>0.58022792620628505</c:v>
                </c:pt>
                <c:pt idx="5">
                  <c:v>0.58226726425072595</c:v>
                </c:pt>
                <c:pt idx="6">
                  <c:v>0.57841101689898</c:v>
                </c:pt>
                <c:pt idx="7">
                  <c:v>0.57821992979195314</c:v>
                </c:pt>
                <c:pt idx="8">
                  <c:v>0.58262347856003904</c:v>
                </c:pt>
                <c:pt idx="9">
                  <c:v>0.57141196916811143</c:v>
                </c:pt>
                <c:pt idx="11">
                  <c:v>0.45963107064838993</c:v>
                </c:pt>
                <c:pt idx="12">
                  <c:v>0.42966896267951893</c:v>
                </c:pt>
                <c:pt idx="13">
                  <c:v>0.39650429165254508</c:v>
                </c:pt>
                <c:pt idx="14">
                  <c:v>0.42375662124065916</c:v>
                </c:pt>
                <c:pt idx="15">
                  <c:v>0.44817059592781117</c:v>
                </c:pt>
                <c:pt idx="16">
                  <c:v>0.4634337332170011</c:v>
                </c:pt>
                <c:pt idx="17">
                  <c:v>0.48081273720554296</c:v>
                </c:pt>
                <c:pt idx="18">
                  <c:v>0.50011086987588016</c:v>
                </c:pt>
                <c:pt idx="19">
                  <c:v>0.52276137965268688</c:v>
                </c:pt>
                <c:pt idx="20">
                  <c:v>0.50154210697976964</c:v>
                </c:pt>
                <c:pt idx="21">
                  <c:v>0.46718885684249967</c:v>
                </c:pt>
                <c:pt idx="22">
                  <c:v>0.47834782474190723</c:v>
                </c:pt>
                <c:pt idx="23">
                  <c:v>0.46002372763724708</c:v>
                </c:pt>
                <c:pt idx="24">
                  <c:v>0.46912544143100832</c:v>
                </c:pt>
                <c:pt idx="25">
                  <c:v>0.46659708156376406</c:v>
                </c:pt>
                <c:pt idx="26">
                  <c:v>0.43664915151983902</c:v>
                </c:pt>
                <c:pt idx="27">
                  <c:v>0.44057668895166652</c:v>
                </c:pt>
                <c:pt idx="28">
                  <c:v>0.46511593577628751</c:v>
                </c:pt>
                <c:pt idx="29">
                  <c:v>0.47224300776299621</c:v>
                </c:pt>
              </c:numCache>
            </c:numRef>
          </c:val>
        </c:ser>
        <c:ser>
          <c:idx val="0"/>
          <c:order val="1"/>
          <c:tx>
            <c:strRef>
              <c:f>'[1]11'!$AT$4</c:f>
              <c:strCache>
                <c:ptCount val="1"/>
                <c:pt idx="0">
                  <c:v>Canada</c:v>
                </c:pt>
              </c:strCache>
            </c:strRef>
          </c:tx>
          <c:spPr>
            <a:ln w="12700">
              <a:solidFill>
                <a:srgbClr val="000000"/>
              </a:solidFill>
              <a:prstDash val="solid"/>
            </a:ln>
          </c:spPr>
          <c:marker>
            <c:symbol val="none"/>
          </c:marker>
          <c:val>
            <c:numRef>
              <c:f>'[1]11'!$AT$5:$AT$34</c:f>
              <c:numCache>
                <c:formatCode>General</c:formatCode>
                <c:ptCount val="30"/>
                <c:pt idx="0">
                  <c:v>1.1078448008650001</c:v>
                </c:pt>
                <c:pt idx="1">
                  <c:v>1.1078448008650001</c:v>
                </c:pt>
                <c:pt idx="2">
                  <c:v>1.1078448008650001</c:v>
                </c:pt>
                <c:pt idx="3">
                  <c:v>1.1097213114577633</c:v>
                </c:pt>
                <c:pt idx="4">
                  <c:v>1.1115978220505263</c:v>
                </c:pt>
                <c:pt idx="5">
                  <c:v>1.1144125879396709</c:v>
                </c:pt>
                <c:pt idx="6">
                  <c:v>1.1172273538288153</c:v>
                </c:pt>
                <c:pt idx="7">
                  <c:v>1.1149755411174995</c:v>
                </c:pt>
                <c:pt idx="8">
                  <c:v>1.1127237284061842</c:v>
                </c:pt>
                <c:pt idx="9">
                  <c:v>0.9964883080382696</c:v>
                </c:pt>
                <c:pt idx="11">
                  <c:v>0.54469146067546736</c:v>
                </c:pt>
                <c:pt idx="12">
                  <c:v>0.51693640159030863</c:v>
                </c:pt>
                <c:pt idx="13">
                  <c:v>0.42193516823383936</c:v>
                </c:pt>
                <c:pt idx="14">
                  <c:v>0.43870225637785498</c:v>
                </c:pt>
                <c:pt idx="15">
                  <c:v>0.48235518471361249</c:v>
                </c:pt>
                <c:pt idx="16">
                  <c:v>0.51002979275189742</c:v>
                </c:pt>
                <c:pt idx="17">
                  <c:v>0.51580076402779018</c:v>
                </c:pt>
                <c:pt idx="18">
                  <c:v>0.56180182926037636</c:v>
                </c:pt>
                <c:pt idx="19">
                  <c:v>0.60413115597439804</c:v>
                </c:pt>
                <c:pt idx="20">
                  <c:v>0.51006822233299076</c:v>
                </c:pt>
                <c:pt idx="21">
                  <c:v>0.42777562711554251</c:v>
                </c:pt>
                <c:pt idx="22">
                  <c:v>0.4330192290850241</c:v>
                </c:pt>
                <c:pt idx="23">
                  <c:v>0.39438851039997214</c:v>
                </c:pt>
                <c:pt idx="24">
                  <c:v>0.40880436906528628</c:v>
                </c:pt>
                <c:pt idx="25">
                  <c:v>0.38152171029381599</c:v>
                </c:pt>
                <c:pt idx="26">
                  <c:v>0.31137547206711985</c:v>
                </c:pt>
                <c:pt idx="27">
                  <c:v>0.28048039640379308</c:v>
                </c:pt>
                <c:pt idx="28">
                  <c:v>0.30885504696863875</c:v>
                </c:pt>
                <c:pt idx="29">
                  <c:v>0.32940709067285867</c:v>
                </c:pt>
              </c:numCache>
            </c:numRef>
          </c:val>
        </c:ser>
        <c:marker val="1"/>
        <c:axId val="138293632"/>
        <c:axId val="138295168"/>
      </c:lineChart>
      <c:catAx>
        <c:axId val="138293632"/>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8295168"/>
        <c:crosses val="autoZero"/>
        <c:auto val="1"/>
        <c:lblAlgn val="ctr"/>
        <c:lblOffset val="100"/>
        <c:tickLblSkip val="3"/>
        <c:tickMarkSkip val="1"/>
      </c:catAx>
      <c:valAx>
        <c:axId val="138295168"/>
        <c:scaling>
          <c:orientation val="minMax"/>
          <c:max val="1.4"/>
          <c:min val="0.8"/>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8293632"/>
        <c:crosses val="autoZero"/>
        <c:crossBetween val="midCat"/>
      </c:valAx>
      <c:spPr>
        <a:solidFill>
          <a:srgbClr val="FFFFFF"/>
        </a:solidFill>
        <a:ln w="3175">
          <a:solidFill>
            <a:srgbClr val="000000"/>
          </a:solidFill>
          <a:prstDash val="solid"/>
        </a:ln>
      </c:spPr>
    </c:plotArea>
    <c:legend>
      <c:legendPos val="r"/>
      <c:layout>
        <c:manualLayout>
          <c:xMode val="edge"/>
          <c:yMode val="edge"/>
          <c:x val="0.91120976692563749"/>
          <c:y val="0.49265905383360531"/>
          <c:w val="8.4350721420640595E-2"/>
          <c:h val="7.014681892332833E-2"/>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14: Overall Index of Economic Well-being, Alberta vs. Canada</a:t>
            </a:r>
          </a:p>
        </c:rich>
      </c:tx>
      <c:layout>
        <c:manualLayout>
          <c:xMode val="edge"/>
          <c:yMode val="edge"/>
          <c:x val="0.24417314095449499"/>
          <c:y val="1.9575856443719588E-2"/>
        </c:manualLayout>
      </c:layout>
      <c:spPr>
        <a:noFill/>
        <a:ln w="25400">
          <a:noFill/>
        </a:ln>
      </c:spPr>
    </c:title>
    <c:plotArea>
      <c:layout>
        <c:manualLayout>
          <c:layoutTarget val="inner"/>
          <c:xMode val="edge"/>
          <c:yMode val="edge"/>
          <c:x val="4.1065482796892344E-2"/>
          <c:y val="0.12234910277324652"/>
          <c:w val="0.84239733629301472"/>
          <c:h val="0.81076672104404557"/>
        </c:manualLayout>
      </c:layout>
      <c:lineChart>
        <c:grouping val="standard"/>
        <c:ser>
          <c:idx val="1"/>
          <c:order val="0"/>
          <c:tx>
            <c:strRef>
              <c:f>'[1]11'!$K$4</c:f>
              <c:strCache>
                <c:ptCount val="1"/>
                <c:pt idx="0">
                  <c:v>Alb.</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'[1]11'!$BC$5:$BC$34</c:f>
              <c:numCache>
                <c:formatCode>General</c:formatCode>
                <c:ptCount val="30"/>
                <c:pt idx="0">
                  <c:v>0.53694583170922894</c:v>
                </c:pt>
                <c:pt idx="1">
                  <c:v>0.54161886903927847</c:v>
                </c:pt>
                <c:pt idx="2">
                  <c:v>0.55015952061877704</c:v>
                </c:pt>
                <c:pt idx="3">
                  <c:v>0.56112490951255523</c:v>
                </c:pt>
                <c:pt idx="4">
                  <c:v>0.56990829322997583</c:v>
                </c:pt>
                <c:pt idx="5">
                  <c:v>0.57331101653572081</c:v>
                </c:pt>
                <c:pt idx="6">
                  <c:v>0.56192071810280053</c:v>
                </c:pt>
                <c:pt idx="7">
                  <c:v>0.56820615281060405</c:v>
                </c:pt>
                <c:pt idx="8">
                  <c:v>0.58014142616291864</c:v>
                </c:pt>
                <c:pt idx="9">
                  <c:v>0.55323665810327416</c:v>
                </c:pt>
                <c:pt idx="11">
                  <c:v>0.37954965941655039</c:v>
                </c:pt>
                <c:pt idx="12">
                  <c:v>0.38569442145421839</c:v>
                </c:pt>
                <c:pt idx="13">
                  <c:v>0.38912151140224138</c:v>
                </c:pt>
                <c:pt idx="14">
                  <c:v>0.40884898957203319</c:v>
                </c:pt>
                <c:pt idx="15">
                  <c:v>0.42476444914935713</c:v>
                </c:pt>
                <c:pt idx="16">
                  <c:v>0.42980651000295567</c:v>
                </c:pt>
                <c:pt idx="17">
                  <c:v>0.42851551635647944</c:v>
                </c:pt>
                <c:pt idx="18">
                  <c:v>0.45013657821070485</c:v>
                </c:pt>
                <c:pt idx="19">
                  <c:v>0.47727133459972382</c:v>
                </c:pt>
                <c:pt idx="20">
                  <c:v>0.45629392809856767</c:v>
                </c:pt>
                <c:pt idx="21">
                  <c:v>0.42747790558753185</c:v>
                </c:pt>
                <c:pt idx="22">
                  <c:v>0.40696397846593846</c:v>
                </c:pt>
                <c:pt idx="23">
                  <c:v>0.41401530225073963</c:v>
                </c:pt>
                <c:pt idx="24">
                  <c:v>0.41514337155810366</c:v>
                </c:pt>
                <c:pt idx="25">
                  <c:v>0.44422184893775002</c:v>
                </c:pt>
                <c:pt idx="26">
                  <c:v>0.43472053944300415</c:v>
                </c:pt>
                <c:pt idx="27">
                  <c:v>0.42251697587875559</c:v>
                </c:pt>
                <c:pt idx="28">
                  <c:v>0.45387873607567153</c:v>
                </c:pt>
                <c:pt idx="29">
                  <c:v>0.44636699279148162</c:v>
                </c:pt>
              </c:numCache>
            </c:numRef>
          </c:val>
        </c:ser>
        <c:ser>
          <c:idx val="0"/>
          <c:order val="1"/>
          <c:tx>
            <c:strRef>
              <c:f>'[1]11'!$AT$4</c:f>
              <c:strCache>
                <c:ptCount val="1"/>
                <c:pt idx="0">
                  <c:v>Canada</c:v>
                </c:pt>
              </c:strCache>
            </c:strRef>
          </c:tx>
          <c:spPr>
            <a:ln w="12700">
              <a:solidFill>
                <a:srgbClr val="000000"/>
              </a:solidFill>
              <a:prstDash val="solid"/>
            </a:ln>
          </c:spPr>
          <c:marker>
            <c:symbol val="none"/>
          </c:marker>
          <c:val>
            <c:numRef>
              <c:f>'[1]11'!$AT$5:$AT$34</c:f>
              <c:numCache>
                <c:formatCode>General</c:formatCode>
                <c:ptCount val="30"/>
                <c:pt idx="0">
                  <c:v>1.1078448008650001</c:v>
                </c:pt>
                <c:pt idx="1">
                  <c:v>1.1078448008650001</c:v>
                </c:pt>
                <c:pt idx="2">
                  <c:v>1.1078448008650001</c:v>
                </c:pt>
                <c:pt idx="3">
                  <c:v>1.1097213114577633</c:v>
                </c:pt>
                <c:pt idx="4">
                  <c:v>1.1115978220505263</c:v>
                </c:pt>
                <c:pt idx="5">
                  <c:v>1.1144125879396709</c:v>
                </c:pt>
                <c:pt idx="6">
                  <c:v>1.1172273538288153</c:v>
                </c:pt>
                <c:pt idx="7">
                  <c:v>1.1149755411174995</c:v>
                </c:pt>
                <c:pt idx="8">
                  <c:v>1.1127237284061842</c:v>
                </c:pt>
                <c:pt idx="9">
                  <c:v>0.9964883080382696</c:v>
                </c:pt>
                <c:pt idx="11">
                  <c:v>0.54469146067546736</c:v>
                </c:pt>
                <c:pt idx="12">
                  <c:v>0.51693640159030863</c:v>
                </c:pt>
                <c:pt idx="13">
                  <c:v>0.42193516823383936</c:v>
                </c:pt>
                <c:pt idx="14">
                  <c:v>0.43870225637785498</c:v>
                </c:pt>
                <c:pt idx="15">
                  <c:v>0.48235518471361249</c:v>
                </c:pt>
                <c:pt idx="16">
                  <c:v>0.51002979275189742</c:v>
                </c:pt>
                <c:pt idx="17">
                  <c:v>0.51580076402779018</c:v>
                </c:pt>
                <c:pt idx="18">
                  <c:v>0.56180182926037636</c:v>
                </c:pt>
                <c:pt idx="19">
                  <c:v>0.60413115597439804</c:v>
                </c:pt>
                <c:pt idx="20">
                  <c:v>0.51006822233299076</c:v>
                </c:pt>
                <c:pt idx="21">
                  <c:v>0.42777562711554251</c:v>
                </c:pt>
                <c:pt idx="22">
                  <c:v>0.4330192290850241</c:v>
                </c:pt>
                <c:pt idx="23">
                  <c:v>0.39438851039997214</c:v>
                </c:pt>
                <c:pt idx="24">
                  <c:v>0.40880436906528628</c:v>
                </c:pt>
                <c:pt idx="25">
                  <c:v>0.38152171029381599</c:v>
                </c:pt>
                <c:pt idx="26">
                  <c:v>0.31137547206711985</c:v>
                </c:pt>
                <c:pt idx="27">
                  <c:v>0.28048039640379308</c:v>
                </c:pt>
                <c:pt idx="28">
                  <c:v>0.30885504696863875</c:v>
                </c:pt>
                <c:pt idx="29">
                  <c:v>0.32940709067285867</c:v>
                </c:pt>
              </c:numCache>
            </c:numRef>
          </c:val>
        </c:ser>
        <c:marker val="1"/>
        <c:axId val="137263744"/>
        <c:axId val="137265536"/>
      </c:lineChart>
      <c:catAx>
        <c:axId val="137263744"/>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7265536"/>
        <c:crosses val="autoZero"/>
        <c:auto val="1"/>
        <c:lblAlgn val="ctr"/>
        <c:lblOffset val="100"/>
        <c:tickLblSkip val="3"/>
        <c:tickMarkSkip val="1"/>
      </c:catAx>
      <c:valAx>
        <c:axId val="137265536"/>
        <c:scaling>
          <c:orientation val="minMax"/>
          <c:max val="1.5"/>
          <c:min val="0.9"/>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7263744"/>
        <c:crosses val="autoZero"/>
        <c:crossBetween val="midCat"/>
      </c:valAx>
      <c:spPr>
        <a:solidFill>
          <a:srgbClr val="FFFFFF"/>
        </a:solidFill>
        <a:ln w="3175">
          <a:solidFill>
            <a:srgbClr val="000000"/>
          </a:solidFill>
          <a:prstDash val="solid"/>
        </a:ln>
      </c:spPr>
    </c:plotArea>
    <c:legend>
      <c:legendPos val="r"/>
      <c:layout>
        <c:manualLayout>
          <c:xMode val="edge"/>
          <c:yMode val="edge"/>
          <c:x val="0.91120976692563749"/>
          <c:y val="0.49265905383360531"/>
          <c:w val="8.4350721420640595E-2"/>
          <c:h val="7.014681892332833E-2"/>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15: Overall Index of Economic Well-being, British Columbia vs. Canada</a:t>
            </a:r>
          </a:p>
        </c:rich>
      </c:tx>
      <c:layout>
        <c:manualLayout>
          <c:xMode val="edge"/>
          <c:yMode val="edge"/>
          <c:x val="0.20976692563817981"/>
          <c:y val="1.9575856443719588E-2"/>
        </c:manualLayout>
      </c:layout>
      <c:spPr>
        <a:noFill/>
        <a:ln w="25400">
          <a:noFill/>
        </a:ln>
      </c:spPr>
    </c:title>
    <c:plotArea>
      <c:layout>
        <c:manualLayout>
          <c:layoutTarget val="inner"/>
          <c:xMode val="edge"/>
          <c:yMode val="edge"/>
          <c:x val="4.1065482796892344E-2"/>
          <c:y val="0.12234910277324652"/>
          <c:w val="0.84239733629301472"/>
          <c:h val="0.81076672104404557"/>
        </c:manualLayout>
      </c:layout>
      <c:lineChart>
        <c:grouping val="standard"/>
        <c:ser>
          <c:idx val="1"/>
          <c:order val="0"/>
          <c:tx>
            <c:strRef>
              <c:f>'[1]11'!$L$4</c:f>
              <c:strCache>
                <c:ptCount val="1"/>
                <c:pt idx="0">
                  <c:v>BC</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[1]a29!$A$8:$A$37</c:f>
              <c:numCache>
                <c:formatCode>General</c:formatCode>
                <c:ptCount val="30"/>
                <c:pt idx="0">
                  <c:v>1971</c:v>
                </c:pt>
                <c:pt idx="1">
                  <c:v>1972</c:v>
                </c:pt>
                <c:pt idx="2">
                  <c:v>1973</c:v>
                </c:pt>
                <c:pt idx="3">
                  <c:v>1974</c:v>
                </c:pt>
                <c:pt idx="4">
                  <c:v>1975</c:v>
                </c:pt>
                <c:pt idx="5">
                  <c:v>1976</c:v>
                </c:pt>
                <c:pt idx="6">
                  <c:v>1977</c:v>
                </c:pt>
                <c:pt idx="7">
                  <c:v>1978</c:v>
                </c:pt>
                <c:pt idx="8">
                  <c:v>1979</c:v>
                </c:pt>
                <c:pt idx="9">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numCache>
            </c:numRef>
          </c:cat>
          <c:val>
            <c:numRef>
              <c:f>'[1]11'!$BD$5:$BD$34</c:f>
              <c:numCache>
                <c:formatCode>General</c:formatCode>
                <c:ptCount val="30"/>
                <c:pt idx="0">
                  <c:v>0.49732674662567067</c:v>
                </c:pt>
                <c:pt idx="1">
                  <c:v>0.50426535733016475</c:v>
                </c:pt>
                <c:pt idx="2">
                  <c:v>0.52482169853447425</c:v>
                </c:pt>
                <c:pt idx="3">
                  <c:v>0.53672476027559424</c:v>
                </c:pt>
                <c:pt idx="4">
                  <c:v>0.54576739164480526</c:v>
                </c:pt>
                <c:pt idx="5">
                  <c:v>0.55573225799425219</c:v>
                </c:pt>
                <c:pt idx="6">
                  <c:v>0.55730226959887186</c:v>
                </c:pt>
                <c:pt idx="7">
                  <c:v>0.57540499706560466</c:v>
                </c:pt>
                <c:pt idx="8">
                  <c:v>0.60456960741716959</c:v>
                </c:pt>
                <c:pt idx="9">
                  <c:v>0.59972231727530845</c:v>
                </c:pt>
                <c:pt idx="11">
                  <c:v>0.47058467460466957</c:v>
                </c:pt>
                <c:pt idx="12">
                  <c:v>0.48573181869844118</c:v>
                </c:pt>
                <c:pt idx="13">
                  <c:v>0.46946872553400437</c:v>
                </c:pt>
                <c:pt idx="14">
                  <c:v>0.46803476489121737</c:v>
                </c:pt>
                <c:pt idx="15">
                  <c:v>0.435189064385192</c:v>
                </c:pt>
                <c:pt idx="16">
                  <c:v>0.42871119678865088</c:v>
                </c:pt>
                <c:pt idx="17">
                  <c:v>0.46035955263210149</c:v>
                </c:pt>
                <c:pt idx="18">
                  <c:v>0.48093774731583461</c:v>
                </c:pt>
                <c:pt idx="19">
                  <c:v>0.48444611377747171</c:v>
                </c:pt>
                <c:pt idx="20">
                  <c:v>0.46478566887187323</c:v>
                </c:pt>
                <c:pt idx="21">
                  <c:v>0.4458546638267864</c:v>
                </c:pt>
                <c:pt idx="22">
                  <c:v>0.43598750701897787</c:v>
                </c:pt>
                <c:pt idx="23">
                  <c:v>0.44503050645479192</c:v>
                </c:pt>
                <c:pt idx="24">
                  <c:v>0.46113592630875161</c:v>
                </c:pt>
                <c:pt idx="25">
                  <c:v>0.4609886604418566</c:v>
                </c:pt>
                <c:pt idx="26">
                  <c:v>0.47912814496526307</c:v>
                </c:pt>
                <c:pt idx="27">
                  <c:v>0.50528308777620867</c:v>
                </c:pt>
                <c:pt idx="28">
                  <c:v>0.50030735627036638</c:v>
                </c:pt>
                <c:pt idx="29">
                  <c:v>0.52498163020626987</c:v>
                </c:pt>
              </c:numCache>
            </c:numRef>
          </c:val>
        </c:ser>
        <c:ser>
          <c:idx val="0"/>
          <c:order val="1"/>
          <c:tx>
            <c:strRef>
              <c:f>'[1]11'!$AT$4</c:f>
              <c:strCache>
                <c:ptCount val="1"/>
                <c:pt idx="0">
                  <c:v>Canada</c:v>
                </c:pt>
              </c:strCache>
            </c:strRef>
          </c:tx>
          <c:spPr>
            <a:ln w="12700">
              <a:solidFill>
                <a:srgbClr val="000000"/>
              </a:solidFill>
              <a:prstDash val="solid"/>
            </a:ln>
          </c:spPr>
          <c:marker>
            <c:symbol val="none"/>
          </c:marker>
          <c:val>
            <c:numRef>
              <c:f>'[1]11'!$AT$5:$AT$34</c:f>
              <c:numCache>
                <c:formatCode>General</c:formatCode>
                <c:ptCount val="30"/>
                <c:pt idx="0">
                  <c:v>1.1078448008650001</c:v>
                </c:pt>
                <c:pt idx="1">
                  <c:v>1.1078448008650001</c:v>
                </c:pt>
                <c:pt idx="2">
                  <c:v>1.1078448008650001</c:v>
                </c:pt>
                <c:pt idx="3">
                  <c:v>1.1097213114577633</c:v>
                </c:pt>
                <c:pt idx="4">
                  <c:v>1.1115978220505263</c:v>
                </c:pt>
                <c:pt idx="5">
                  <c:v>1.1144125879396709</c:v>
                </c:pt>
                <c:pt idx="6">
                  <c:v>1.1172273538288153</c:v>
                </c:pt>
                <c:pt idx="7">
                  <c:v>1.1149755411174995</c:v>
                </c:pt>
                <c:pt idx="8">
                  <c:v>1.1127237284061842</c:v>
                </c:pt>
                <c:pt idx="9">
                  <c:v>0.9964883080382696</c:v>
                </c:pt>
                <c:pt idx="11">
                  <c:v>0.54469146067546736</c:v>
                </c:pt>
                <c:pt idx="12">
                  <c:v>0.51693640159030863</c:v>
                </c:pt>
                <c:pt idx="13">
                  <c:v>0.42193516823383936</c:v>
                </c:pt>
                <c:pt idx="14">
                  <c:v>0.43870225637785498</c:v>
                </c:pt>
                <c:pt idx="15">
                  <c:v>0.48235518471361249</c:v>
                </c:pt>
                <c:pt idx="16">
                  <c:v>0.51002979275189742</c:v>
                </c:pt>
                <c:pt idx="17">
                  <c:v>0.51580076402779018</c:v>
                </c:pt>
                <c:pt idx="18">
                  <c:v>0.56180182926037636</c:v>
                </c:pt>
                <c:pt idx="19">
                  <c:v>0.60413115597439804</c:v>
                </c:pt>
                <c:pt idx="20">
                  <c:v>0.51006822233299076</c:v>
                </c:pt>
                <c:pt idx="21">
                  <c:v>0.42777562711554251</c:v>
                </c:pt>
                <c:pt idx="22">
                  <c:v>0.4330192290850241</c:v>
                </c:pt>
                <c:pt idx="23">
                  <c:v>0.39438851039997214</c:v>
                </c:pt>
                <c:pt idx="24">
                  <c:v>0.40880436906528628</c:v>
                </c:pt>
                <c:pt idx="25">
                  <c:v>0.38152171029381599</c:v>
                </c:pt>
                <c:pt idx="26">
                  <c:v>0.31137547206711985</c:v>
                </c:pt>
                <c:pt idx="27">
                  <c:v>0.28048039640379308</c:v>
                </c:pt>
                <c:pt idx="28">
                  <c:v>0.30885504696863875</c:v>
                </c:pt>
                <c:pt idx="29">
                  <c:v>0.32940709067285867</c:v>
                </c:pt>
              </c:numCache>
            </c:numRef>
          </c:val>
        </c:ser>
        <c:marker val="1"/>
        <c:axId val="138421376"/>
        <c:axId val="138422912"/>
      </c:lineChart>
      <c:catAx>
        <c:axId val="138421376"/>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8422912"/>
        <c:crosses val="autoZero"/>
        <c:auto val="1"/>
        <c:lblAlgn val="ctr"/>
        <c:lblOffset val="100"/>
        <c:tickLblSkip val="3"/>
        <c:tickMarkSkip val="1"/>
      </c:catAx>
      <c:valAx>
        <c:axId val="138422912"/>
        <c:scaling>
          <c:orientation val="minMax"/>
          <c:max val="1.4"/>
          <c:min val="0.8"/>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8421376"/>
        <c:crosses val="autoZero"/>
        <c:crossBetween val="midCat"/>
      </c:valAx>
      <c:spPr>
        <a:solidFill>
          <a:srgbClr val="FFFFFF"/>
        </a:solidFill>
        <a:ln w="3175">
          <a:solidFill>
            <a:srgbClr val="000000"/>
          </a:solidFill>
          <a:prstDash val="solid"/>
        </a:ln>
      </c:spPr>
    </c:plotArea>
    <c:legend>
      <c:legendPos val="r"/>
      <c:layout>
        <c:manualLayout>
          <c:xMode val="edge"/>
          <c:yMode val="edge"/>
          <c:x val="0.91120976692563749"/>
          <c:y val="0.49265905383360531"/>
          <c:w val="8.4350721420640595E-2"/>
          <c:h val="7.014681892332833E-2"/>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16.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724988619964952"/>
          <c:y val="2.4096385542168676E-2"/>
          <c:w val="0.7338214641988996"/>
          <c:h val="0.83132530120481962"/>
        </c:manualLayout>
      </c:layout>
      <c:lineChart>
        <c:grouping val="standard"/>
        <c:ser>
          <c:idx val="0"/>
          <c:order val="0"/>
          <c:tx>
            <c:v>Index of Overall Ecomomic Well-being</c:v>
          </c:tx>
          <c:marker>
            <c:symbol val="none"/>
          </c:marker>
          <c:cat>
            <c:numRef>
              <c:f>'[1]1'!$A$19:$A$47</c:f>
              <c:numCache>
                <c:formatCode>General</c:formatCode>
                <c:ptCount val="2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numCache>
            </c:numRef>
          </c:cat>
          <c:val>
            <c:numRef>
              <c:f>Sheet1!$C$4:$C$32</c:f>
              <c:numCache>
                <c:formatCode>General</c:formatCode>
                <c:ptCount val="29"/>
                <c:pt idx="0">
                  <c:v>100</c:v>
                </c:pt>
                <c:pt idx="1">
                  <c:v>95.68218606683277</c:v>
                </c:pt>
                <c:pt idx="2">
                  <c:v>90.476082749633619</c:v>
                </c:pt>
                <c:pt idx="3">
                  <c:v>93.200757723778267</c:v>
                </c:pt>
                <c:pt idx="4">
                  <c:v>97.367971743667383</c:v>
                </c:pt>
                <c:pt idx="5">
                  <c:v>98.813937581538397</c:v>
                </c:pt>
                <c:pt idx="6">
                  <c:v>100.66792446821917</c:v>
                </c:pt>
                <c:pt idx="7">
                  <c:v>107.29579455642475</c:v>
                </c:pt>
                <c:pt idx="8">
                  <c:v>112.04444278420773</c:v>
                </c:pt>
                <c:pt idx="9">
                  <c:v>107.58226645240947</c:v>
                </c:pt>
                <c:pt idx="10">
                  <c:v>100.63778163795953</c:v>
                </c:pt>
                <c:pt idx="11">
                  <c:v>100.97657958923148</c:v>
                </c:pt>
                <c:pt idx="12">
                  <c:v>98.472713780986297</c:v>
                </c:pt>
                <c:pt idx="13">
                  <c:v>100.61275716087074</c:v>
                </c:pt>
                <c:pt idx="14">
                  <c:v>100.69857423108483</c:v>
                </c:pt>
                <c:pt idx="15">
                  <c:v>97.495933352262881</c:v>
                </c:pt>
                <c:pt idx="16">
                  <c:v>97.239965363160991</c:v>
                </c:pt>
                <c:pt idx="17">
                  <c:v>100.89455610616274</c:v>
                </c:pt>
                <c:pt idx="18">
                  <c:v>104.84312010219921</c:v>
                </c:pt>
                <c:pt idx="19">
                  <c:v>109.77695540238273</c:v>
                </c:pt>
                <c:pt idx="20">
                  <c:v>112.47481606765231</c:v>
                </c:pt>
                <c:pt idx="21">
                  <c:v>111.8021800737836</c:v>
                </c:pt>
                <c:pt idx="22">
                  <c:v>113.69492211316133</c:v>
                </c:pt>
                <c:pt idx="23">
                  <c:v>116.05144071011723</c:v>
                </c:pt>
                <c:pt idx="24">
                  <c:v>118.9719396317044</c:v>
                </c:pt>
                <c:pt idx="25">
                  <c:v>125.36120262657629</c:v>
                </c:pt>
                <c:pt idx="26">
                  <c:v>130.44026062900539</c:v>
                </c:pt>
                <c:pt idx="27">
                  <c:v>133.59532006333131</c:v>
                </c:pt>
                <c:pt idx="28">
                  <c:v>134.56602483006506</c:v>
                </c:pt>
              </c:numCache>
            </c:numRef>
          </c:val>
        </c:ser>
        <c:ser>
          <c:idx val="1"/>
          <c:order val="1"/>
          <c:tx>
            <c:v>Index of Real GDP per capita</c:v>
          </c:tx>
          <c:marker>
            <c:symbol val="none"/>
          </c:marker>
          <c:cat>
            <c:numRef>
              <c:f>'[1]1'!$A$19:$A$47</c:f>
              <c:numCache>
                <c:formatCode>General</c:formatCode>
                <c:ptCount val="2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numCache>
            </c:numRef>
          </c:cat>
          <c:val>
            <c:numRef>
              <c:f>Sheet1!$B$4:$B$32</c:f>
              <c:numCache>
                <c:formatCode>General</c:formatCode>
                <c:ptCount val="29"/>
                <c:pt idx="0">
                  <c:v>100</c:v>
                </c:pt>
                <c:pt idx="1">
                  <c:v>96.02932428665855</c:v>
                </c:pt>
                <c:pt idx="2">
                  <c:v>97.64174216474548</c:v>
                </c:pt>
                <c:pt idx="3">
                  <c:v>102.33131963381814</c:v>
                </c:pt>
                <c:pt idx="4">
                  <c:v>106.31829657892212</c:v>
                </c:pt>
                <c:pt idx="5">
                  <c:v>107.74359362860115</c:v>
                </c:pt>
                <c:pt idx="6">
                  <c:v>110.88430970011507</c:v>
                </c:pt>
                <c:pt idx="7">
                  <c:v>114.87296415548929</c:v>
                </c:pt>
                <c:pt idx="8">
                  <c:v>115.88720164891522</c:v>
                </c:pt>
                <c:pt idx="9">
                  <c:v>114.28141077680564</c:v>
                </c:pt>
                <c:pt idx="10">
                  <c:v>110.55399567699421</c:v>
                </c:pt>
                <c:pt idx="11">
                  <c:v>110.23234459581985</c:v>
                </c:pt>
                <c:pt idx="12">
                  <c:v>111.49662006872659</c:v>
                </c:pt>
                <c:pt idx="13">
                  <c:v>115.58233838396549</c:v>
                </c:pt>
                <c:pt idx="14">
                  <c:v>117.59533896334953</c:v>
                </c:pt>
                <c:pt idx="15">
                  <c:v>118.33220605317842</c:v>
                </c:pt>
                <c:pt idx="16">
                  <c:v>122.1173041304431</c:v>
                </c:pt>
                <c:pt idx="17">
                  <c:v>126.07527000668857</c:v>
                </c:pt>
                <c:pt idx="18">
                  <c:v>131.98788961804183</c:v>
                </c:pt>
                <c:pt idx="19">
                  <c:v>137.57988331813863</c:v>
                </c:pt>
                <c:pt idx="20">
                  <c:v>138.5221946105836</c:v>
                </c:pt>
                <c:pt idx="21">
                  <c:v>141.02317469405403</c:v>
                </c:pt>
                <c:pt idx="22">
                  <c:v>142.35618445267446</c:v>
                </c:pt>
                <c:pt idx="23">
                  <c:v>145.40470677846992</c:v>
                </c:pt>
                <c:pt idx="24">
                  <c:v>148.14622311457944</c:v>
                </c:pt>
                <c:pt idx="25">
                  <c:v>151.25411815999058</c:v>
                </c:pt>
                <c:pt idx="26">
                  <c:v>153.66190608370911</c:v>
                </c:pt>
                <c:pt idx="27">
                  <c:v>152.52787917920207</c:v>
                </c:pt>
                <c:pt idx="28">
                  <c:v>154.35293552425304</c:v>
                </c:pt>
              </c:numCache>
            </c:numRef>
          </c:val>
        </c:ser>
        <c:marker val="1"/>
        <c:axId val="138374528"/>
        <c:axId val="138380416"/>
      </c:lineChart>
      <c:catAx>
        <c:axId val="138374528"/>
        <c:scaling>
          <c:orientation val="minMax"/>
        </c:scaling>
        <c:axPos val="b"/>
        <c:numFmt formatCode="General" sourceLinked="1"/>
        <c:majorTickMark val="in"/>
        <c:tickLblPos val="nextTo"/>
        <c:txPr>
          <a:bodyPr/>
          <a:lstStyle/>
          <a:p>
            <a:pPr>
              <a:defRPr lang="en-CA"/>
            </a:pPr>
            <a:endParaRPr lang="en-US"/>
          </a:p>
        </c:txPr>
        <c:crossAx val="138380416"/>
        <c:crosses val="autoZero"/>
        <c:auto val="1"/>
        <c:lblAlgn val="ctr"/>
        <c:lblOffset val="100"/>
        <c:tickLblSkip val="2"/>
        <c:tickMarkSkip val="1"/>
      </c:catAx>
      <c:valAx>
        <c:axId val="138380416"/>
        <c:scaling>
          <c:orientation val="minMax"/>
          <c:min val="80"/>
        </c:scaling>
        <c:axPos val="l"/>
        <c:majorGridlines/>
        <c:title>
          <c:tx>
            <c:rich>
              <a:bodyPr/>
              <a:lstStyle/>
              <a:p>
                <a:pPr>
                  <a:defRPr lang="en-CA" b="0"/>
                </a:pPr>
                <a:r>
                  <a:rPr lang="en-US" sz="1200" b="0"/>
                  <a:t>Index (normalized to 100 in 1981)</a:t>
                </a:r>
              </a:p>
            </c:rich>
          </c:tx>
          <c:layout>
            <c:manualLayout>
              <c:xMode val="edge"/>
              <c:yMode val="edge"/>
              <c:x val="6.4789327827200538E-2"/>
              <c:y val="0.22359971405164811"/>
            </c:manualLayout>
          </c:layout>
        </c:title>
        <c:numFmt formatCode="General" sourceLinked="1"/>
        <c:majorTickMark val="none"/>
        <c:tickLblPos val="nextTo"/>
        <c:txPr>
          <a:bodyPr/>
          <a:lstStyle/>
          <a:p>
            <a:pPr>
              <a:defRPr lang="en-CA"/>
            </a:pPr>
            <a:endParaRPr lang="en-US"/>
          </a:p>
        </c:txPr>
        <c:crossAx val="138374528"/>
        <c:crossesAt val="1"/>
        <c:crossBetween val="between"/>
      </c:valAx>
    </c:plotArea>
    <c:legend>
      <c:legendPos val="r"/>
      <c:layout>
        <c:manualLayout>
          <c:xMode val="edge"/>
          <c:yMode val="edge"/>
          <c:x val="0.2335786533891234"/>
          <c:y val="4.9494946332503925E-2"/>
          <c:w val="0.27776741098948182"/>
          <c:h val="0.18982775264423954"/>
        </c:manualLayout>
      </c:layout>
      <c:spPr>
        <a:solidFill>
          <a:schemeClr val="bg1"/>
        </a:solidFill>
        <a:ln>
          <a:solidFill>
            <a:sysClr val="windowText" lastClr="000000"/>
          </a:solidFill>
        </a:ln>
      </c:spPr>
      <c:txPr>
        <a:bodyPr/>
        <a:lstStyle/>
        <a:p>
          <a:pPr>
            <a:defRPr lang="en-CA" sz="800"/>
          </a:pPr>
          <a:endParaRPr lang="en-US"/>
        </a:p>
      </c:txPr>
    </c:legend>
    <c:plotVisOnly val="1"/>
    <c:dispBlanksAs val="gap"/>
  </c:chart>
  <c:spPr>
    <a:ln>
      <a:noFill/>
    </a:ln>
  </c:spPr>
  <c:printSettings>
    <c:headerFooter/>
    <c:pageMargins b="0.75000000000000244" l="0.70000000000000062" r="0.70000000000000062" t="0.75000000000000244" header="0.30000000000000032" footer="0.30000000000000032"/>
    <c:pageSetup/>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
          <c:y val="4.8611111111111112E-2"/>
          <c:w val="0.88124999999999998"/>
          <c:h val="0.79513888888888884"/>
        </c:manualLayout>
      </c:layout>
      <c:barChart>
        <c:barDir val="col"/>
        <c:grouping val="clustered"/>
        <c:ser>
          <c:idx val="0"/>
          <c:order val="0"/>
          <c:tx>
            <c:v>Index of Economic Well-being</c:v>
          </c:tx>
          <c:spPr>
            <a:solidFill>
              <a:schemeClr val="tx1"/>
            </a:solidFill>
          </c:spPr>
          <c:cat>
            <c:strRef>
              <c:f>'C1a'!$A$6:$A$9</c:f>
              <c:strCache>
                <c:ptCount val="4"/>
                <c:pt idx="0">
                  <c:v>1981-2009</c:v>
                </c:pt>
                <c:pt idx="1">
                  <c:v>1981-1989</c:v>
                </c:pt>
                <c:pt idx="2">
                  <c:v>1989-2000</c:v>
                </c:pt>
                <c:pt idx="3">
                  <c:v>2000-2009</c:v>
                </c:pt>
              </c:strCache>
            </c:strRef>
          </c:cat>
          <c:val>
            <c:numRef>
              <c:f>'C1a'!$B$6:$B$9</c:f>
              <c:numCache>
                <c:formatCode>General</c:formatCode>
                <c:ptCount val="4"/>
                <c:pt idx="0">
                  <c:v>1.0659439285221062</c:v>
                </c:pt>
                <c:pt idx="1">
                  <c:v>1.4317200388277884</c:v>
                </c:pt>
                <c:pt idx="2">
                  <c:v>-0.18569078139941686</c:v>
                </c:pt>
                <c:pt idx="3">
                  <c:v>2.2880538499630454</c:v>
                </c:pt>
              </c:numCache>
            </c:numRef>
          </c:val>
        </c:ser>
        <c:ser>
          <c:idx val="1"/>
          <c:order val="1"/>
          <c:tx>
            <c:v>Per-capita GDP</c:v>
          </c:tx>
          <c:val>
            <c:numRef>
              <c:f>'C1a'!$C$6:$C$9</c:f>
              <c:numCache>
                <c:formatCode>General</c:formatCode>
                <c:ptCount val="4"/>
                <c:pt idx="0">
                  <c:v>1.5623344546885187</c:v>
                </c:pt>
                <c:pt idx="1">
                  <c:v>1.8601788753041415</c:v>
                </c:pt>
                <c:pt idx="2">
                  <c:v>1.5721151707197345</c:v>
                </c:pt>
                <c:pt idx="3">
                  <c:v>1.2863932173289072</c:v>
                </c:pt>
              </c:numCache>
            </c:numRef>
          </c:val>
        </c:ser>
        <c:axId val="138388224"/>
        <c:axId val="138389760"/>
      </c:barChart>
      <c:catAx>
        <c:axId val="138388224"/>
        <c:scaling>
          <c:orientation val="minMax"/>
        </c:scaling>
        <c:axPos val="b"/>
        <c:numFmt formatCode="General" sourceLinked="1"/>
        <c:tickLblPos val="nextTo"/>
        <c:txPr>
          <a:bodyPr/>
          <a:lstStyle/>
          <a:p>
            <a:pPr>
              <a:defRPr lang="en-CA"/>
            </a:pPr>
            <a:endParaRPr lang="en-US"/>
          </a:p>
        </c:txPr>
        <c:crossAx val="138389760"/>
        <c:crosses val="autoZero"/>
        <c:auto val="1"/>
        <c:lblAlgn val="ctr"/>
        <c:lblOffset val="100"/>
      </c:catAx>
      <c:valAx>
        <c:axId val="138389760"/>
        <c:scaling>
          <c:orientation val="minMax"/>
        </c:scaling>
        <c:axPos val="l"/>
        <c:majorGridlines/>
        <c:title>
          <c:tx>
            <c:rich>
              <a:bodyPr rot="-5400000" vert="horz"/>
              <a:lstStyle/>
              <a:p>
                <a:pPr>
                  <a:defRPr lang="en-CA" b="0"/>
                </a:pPr>
                <a:r>
                  <a:rPr lang="en-US" b="0"/>
                  <a:t>Growth</a:t>
                </a:r>
                <a:r>
                  <a:rPr lang="en-US" b="0" baseline="0"/>
                  <a:t> Rate (per cent per year)</a:t>
                </a:r>
                <a:endParaRPr lang="en-US" b="0"/>
              </a:p>
            </c:rich>
          </c:tx>
        </c:title>
        <c:numFmt formatCode="#,##0.0" sourceLinked="0"/>
        <c:tickLblPos val="nextTo"/>
        <c:txPr>
          <a:bodyPr/>
          <a:lstStyle/>
          <a:p>
            <a:pPr>
              <a:defRPr lang="en-CA"/>
            </a:pPr>
            <a:endParaRPr lang="en-US"/>
          </a:p>
        </c:txPr>
        <c:crossAx val="138388224"/>
        <c:crosses val="autoZero"/>
        <c:crossBetween val="between"/>
      </c:valAx>
    </c:plotArea>
    <c:legend>
      <c:legendPos val="r"/>
      <c:layout>
        <c:manualLayout>
          <c:xMode val="edge"/>
          <c:yMode val="edge"/>
          <c:x val="0.11283464566929149"/>
          <c:y val="9.6454505686789829E-2"/>
          <c:w val="0.43438757655293297"/>
          <c:h val="0.11727617381160768"/>
        </c:manualLayout>
      </c:layout>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211" l="0.70000000000000062" r="0.70000000000000062" t="0.75000000000000211" header="0.30000000000000032" footer="0.30000000000000032"/>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c:lang val="en-US"/>
  <c:style val="1"/>
  <c:chart>
    <c:title>
      <c:tx>
        <c:rich>
          <a:bodyPr/>
          <a:lstStyle/>
          <a:p>
            <a:pPr>
              <a:defRPr lang="en-CA" sz="1100"/>
            </a:pPr>
            <a:r>
              <a:rPr lang="en-US" sz="1100"/>
              <a:t>IEWB</a:t>
            </a:r>
            <a:r>
              <a:rPr lang="en-US" sz="1100" baseline="0"/>
              <a:t> Levels</a:t>
            </a:r>
            <a:endParaRPr lang="en-US" sz="1100"/>
          </a:p>
        </c:rich>
      </c:tx>
      <c:layout>
        <c:manualLayout>
          <c:xMode val="edge"/>
          <c:yMode val="edge"/>
          <c:x val="0.42998612210916176"/>
          <c:y val="0"/>
        </c:manualLayout>
      </c:layout>
      <c:overlay val="1"/>
      <c:spPr>
        <a:solidFill>
          <a:schemeClr val="bg1"/>
        </a:solidFill>
      </c:spPr>
    </c:title>
    <c:plotArea>
      <c:layout>
        <c:manualLayout>
          <c:layoutTarget val="inner"/>
          <c:xMode val="edge"/>
          <c:yMode val="edge"/>
          <c:x val="0.12627072469830905"/>
          <c:y val="7.0790599677088173E-2"/>
          <c:w val="0.85668974582890001"/>
          <c:h val="0.6976705306670915"/>
        </c:manualLayout>
      </c:layout>
      <c:lineChart>
        <c:grouping val="standard"/>
        <c:ser>
          <c:idx val="0"/>
          <c:order val="0"/>
          <c:tx>
            <c:strRef>
              <c:f>'C21'!$B$1</c:f>
              <c:strCache>
                <c:ptCount val="1"/>
              </c:strCache>
            </c:strRef>
          </c:tx>
          <c:marker>
            <c:symbol val="circle"/>
            <c:size val="5"/>
          </c:marker>
          <c:cat>
            <c:numRef>
              <c:f>[4]C21!$A$2:$A$29</c:f>
              <c:numCache>
                <c:formatCode>General</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cat>
          <c:val>
            <c:numRef>
              <c:f>[4]C21!$B$2:$B$29</c:f>
              <c:numCache>
                <c:formatCode>General</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ser>
          <c:idx val="1"/>
          <c:order val="1"/>
          <c:tx>
            <c:strRef>
              <c:f>'C21'!$C$1</c:f>
              <c:strCache>
                <c:ptCount val="1"/>
              </c:strCache>
            </c:strRef>
          </c:tx>
          <c:marker>
            <c:symbol val="square"/>
            <c:size val="4"/>
          </c:marker>
          <c:cat>
            <c:numRef>
              <c:f>[4]C21!$A$2:$A$29</c:f>
              <c:numCache>
                <c:formatCode>General</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cat>
          <c:val>
            <c:numRef>
              <c:f>[4]C21!$C$2:$C$29</c:f>
              <c:numCache>
                <c:formatCode>General</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ser>
          <c:idx val="2"/>
          <c:order val="2"/>
          <c:tx>
            <c:strRef>
              <c:f>'C21'!$D$1</c:f>
              <c:strCache>
                <c:ptCount val="1"/>
              </c:strCache>
            </c:strRef>
          </c:tx>
          <c:cat>
            <c:numRef>
              <c:f>[4]C21!$A$2:$A$29</c:f>
              <c:numCache>
                <c:formatCode>General</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cat>
          <c:val>
            <c:numRef>
              <c:f>[4]C21!$D$2:$D$29</c:f>
              <c:numCache>
                <c:formatCode>General</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ser>
          <c:idx val="3"/>
          <c:order val="3"/>
          <c:tx>
            <c:strRef>
              <c:f>'C21'!$E$1</c:f>
              <c:strCache>
                <c:ptCount val="1"/>
              </c:strCache>
            </c:strRef>
          </c:tx>
          <c:cat>
            <c:numRef>
              <c:f>[4]C21!$A$2:$A$29</c:f>
              <c:numCache>
                <c:formatCode>General</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cat>
          <c:val>
            <c:numRef>
              <c:f>[4]C21!$E$2:$E$29</c:f>
              <c:numCache>
                <c:formatCode>General</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marker val="1"/>
        <c:axId val="138172288"/>
        <c:axId val="138173824"/>
      </c:lineChart>
      <c:catAx>
        <c:axId val="138172288"/>
        <c:scaling>
          <c:orientation val="minMax"/>
        </c:scaling>
        <c:axPos val="b"/>
        <c:numFmt formatCode="General" sourceLinked="1"/>
        <c:tickLblPos val="nextTo"/>
        <c:txPr>
          <a:bodyPr rot="-4140000"/>
          <a:lstStyle/>
          <a:p>
            <a:pPr>
              <a:defRPr lang="en-CA"/>
            </a:pPr>
            <a:endParaRPr lang="en-US"/>
          </a:p>
        </c:txPr>
        <c:crossAx val="138173824"/>
        <c:crosses val="autoZero"/>
        <c:auto val="1"/>
        <c:lblAlgn val="ctr"/>
        <c:lblOffset val="100"/>
      </c:catAx>
      <c:valAx>
        <c:axId val="138173824"/>
        <c:scaling>
          <c:orientation val="minMax"/>
          <c:min val="0.30000000000000032"/>
        </c:scaling>
        <c:axPos val="l"/>
        <c:majorGridlines/>
        <c:title>
          <c:tx>
            <c:rich>
              <a:bodyPr rot="-5400000" vert="horz"/>
              <a:lstStyle/>
              <a:p>
                <a:pPr>
                  <a:defRPr lang="en-CA" b="0"/>
                </a:pPr>
                <a:r>
                  <a:rPr lang="en-US" b="0"/>
                  <a:t>Index of Economic Well-being</a:t>
                </a:r>
              </a:p>
            </c:rich>
          </c:tx>
        </c:title>
        <c:numFmt formatCode="0.00" sourceLinked="0"/>
        <c:tickLblPos val="nextTo"/>
        <c:txPr>
          <a:bodyPr/>
          <a:lstStyle/>
          <a:p>
            <a:pPr>
              <a:defRPr lang="en-CA"/>
            </a:pPr>
            <a:endParaRPr lang="en-US"/>
          </a:p>
        </c:txPr>
        <c:crossAx val="138172288"/>
        <c:crosses val="autoZero"/>
        <c:crossBetween val="between"/>
      </c:valAx>
    </c:plotArea>
    <c:legend>
      <c:legendPos val="r"/>
      <c:layout>
        <c:manualLayout>
          <c:xMode val="edge"/>
          <c:yMode val="edge"/>
          <c:x val="0.14143206482491399"/>
          <c:y val="7.1754369118494338E-2"/>
          <c:w val="0.20847564832384569"/>
          <c:h val="0.19959998625906999"/>
        </c:manualLayout>
      </c:layout>
      <c:spPr>
        <a:solidFill>
          <a:schemeClr val="bg1"/>
        </a:solidFill>
        <a:ln>
          <a:solidFill>
            <a:sysClr val="windowText" lastClr="000000"/>
          </a:solidFill>
        </a:ln>
      </c:spPr>
      <c:txPr>
        <a:bodyPr/>
        <a:lstStyle/>
        <a:p>
          <a:pPr>
            <a:defRPr lang="en-CA" sz="900"/>
          </a:pPr>
          <a:endParaRPr lang="en-US"/>
        </a:p>
      </c:txPr>
    </c:legend>
    <c:plotVisOnly val="1"/>
  </c:chart>
  <c:spPr>
    <a:ln>
      <a:noFill/>
    </a:ln>
  </c:spPr>
  <c:printSettings>
    <c:headerFooter/>
    <c:pageMargins b="0.75000000000000211" l="0.70000000000000062" r="0.70000000000000062" t="0.75000000000000211" header="0.30000000000000032" footer="0.30000000000000032"/>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c:lang val="en-US"/>
  <c:style val="1"/>
  <c:chart>
    <c:title>
      <c:tx>
        <c:rich>
          <a:bodyPr/>
          <a:lstStyle/>
          <a:p>
            <a:pPr>
              <a:defRPr lang="en-CA" sz="1100"/>
            </a:pPr>
            <a:r>
              <a:rPr lang="en-US" sz="1100"/>
              <a:t>Index</a:t>
            </a:r>
            <a:r>
              <a:rPr lang="en-US" sz="1100" baseline="0"/>
              <a:t> (1981=100)</a:t>
            </a:r>
            <a:endParaRPr lang="en-US" sz="1100"/>
          </a:p>
        </c:rich>
      </c:tx>
      <c:layout>
        <c:manualLayout>
          <c:xMode val="edge"/>
          <c:yMode val="edge"/>
          <c:x val="0.40393063242963578"/>
          <c:y val="0"/>
        </c:manualLayout>
      </c:layout>
      <c:overlay val="1"/>
    </c:title>
    <c:plotArea>
      <c:layout>
        <c:manualLayout>
          <c:layoutTarget val="inner"/>
          <c:xMode val="edge"/>
          <c:yMode val="edge"/>
          <c:x val="0.11523840769903676"/>
          <c:y val="8.3807961504813469E-2"/>
          <c:w val="0.85865048118985265"/>
          <c:h val="0.67750765529309764"/>
        </c:manualLayout>
      </c:layout>
      <c:lineChart>
        <c:grouping val="standard"/>
        <c:ser>
          <c:idx val="0"/>
          <c:order val="0"/>
          <c:tx>
            <c:strRef>
              <c:f>'C51'!$K$1</c:f>
              <c:strCache>
                <c:ptCount val="1"/>
                <c:pt idx="0">
                  <c:v>Baseline</c:v>
                </c:pt>
              </c:strCache>
            </c:strRef>
          </c:tx>
          <c:marker>
            <c:symbol val="circle"/>
            <c:size val="5"/>
          </c:marker>
          <c:cat>
            <c:numRef>
              <c:f>'C51'!$J$2:$J$29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'C51'!$K$2:$K$29</c:f>
              <c:numCache>
                <c:formatCode>General</c:formatCode>
                <c:ptCount val="28"/>
                <c:pt idx="0">
                  <c:v>99.999999999999986</c:v>
                </c:pt>
                <c:pt idx="1">
                  <c:v>96.697453243086969</c:v>
                </c:pt>
                <c:pt idx="2">
                  <c:v>94.552311210952126</c:v>
                </c:pt>
                <c:pt idx="3">
                  <c:v>95.675730863949354</c:v>
                </c:pt>
                <c:pt idx="4">
                  <c:v>99.833701252584035</c:v>
                </c:pt>
                <c:pt idx="5">
                  <c:v>100.8758607982866</c:v>
                </c:pt>
                <c:pt idx="6">
                  <c:v>103.24329710472897</c:v>
                </c:pt>
                <c:pt idx="7">
                  <c:v>108.83831218167683</c:v>
                </c:pt>
                <c:pt idx="8">
                  <c:v>112.45334085613391</c:v>
                </c:pt>
                <c:pt idx="9">
                  <c:v>109.54442499592746</c:v>
                </c:pt>
                <c:pt idx="10">
                  <c:v>107.42283336230388</c:v>
                </c:pt>
                <c:pt idx="11">
                  <c:v>107.11472382014183</c:v>
                </c:pt>
                <c:pt idx="12">
                  <c:v>107.16088780303315</c:v>
                </c:pt>
                <c:pt idx="13">
                  <c:v>108.56328392407161</c:v>
                </c:pt>
                <c:pt idx="14">
                  <c:v>108.94045964970785</c:v>
                </c:pt>
                <c:pt idx="15">
                  <c:v>106.47387454897</c:v>
                </c:pt>
                <c:pt idx="16">
                  <c:v>106.66885661768562</c:v>
                </c:pt>
                <c:pt idx="17">
                  <c:v>108.13233328905061</c:v>
                </c:pt>
                <c:pt idx="18">
                  <c:v>110.489672167547</c:v>
                </c:pt>
                <c:pt idx="19">
                  <c:v>113.81970498481061</c:v>
                </c:pt>
                <c:pt idx="20">
                  <c:v>113.81893382703021</c:v>
                </c:pt>
                <c:pt idx="21">
                  <c:v>112.1614964206418</c:v>
                </c:pt>
                <c:pt idx="22">
                  <c:v>114.01722543646142</c:v>
                </c:pt>
                <c:pt idx="23">
                  <c:v>115.20649545610918</c:v>
                </c:pt>
                <c:pt idx="24">
                  <c:v>118.61945624878832</c:v>
                </c:pt>
                <c:pt idx="25">
                  <c:v>124.1185168186025</c:v>
                </c:pt>
                <c:pt idx="26">
                  <c:v>127.02622671050538</c:v>
                </c:pt>
                <c:pt idx="27">
                  <c:v>128.36946652766406</c:v>
                </c:pt>
              </c:numCache>
            </c:numRef>
          </c:val>
        </c:ser>
        <c:ser>
          <c:idx val="1"/>
          <c:order val="1"/>
          <c:tx>
            <c:strRef>
              <c:f>'C51'!$L$1</c:f>
              <c:strCache>
                <c:ptCount val="1"/>
                <c:pt idx="0">
                  <c:v>Alt 1</c:v>
                </c:pt>
              </c:strCache>
            </c:strRef>
          </c:tx>
          <c:marker>
            <c:symbol val="triangle"/>
            <c:size val="4"/>
          </c:marker>
          <c:cat>
            <c:numRef>
              <c:f>'C51'!$J$2:$J$29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'C51'!$L$2:$L$29</c:f>
              <c:numCache>
                <c:formatCode>General</c:formatCode>
                <c:ptCount val="28"/>
                <c:pt idx="0">
                  <c:v>100</c:v>
                </c:pt>
                <c:pt idx="1">
                  <c:v>96.054289634664329</c:v>
                </c:pt>
                <c:pt idx="2">
                  <c:v>93.9276765970599</c:v>
                </c:pt>
                <c:pt idx="3">
                  <c:v>95.684502162486922</c:v>
                </c:pt>
                <c:pt idx="4">
                  <c:v>100.93238445361573</c:v>
                </c:pt>
                <c:pt idx="5">
                  <c:v>103.27281816775309</c:v>
                </c:pt>
                <c:pt idx="6">
                  <c:v>106.26243727094412</c:v>
                </c:pt>
                <c:pt idx="7">
                  <c:v>112.57324270121731</c:v>
                </c:pt>
                <c:pt idx="8">
                  <c:v>116.82255527830222</c:v>
                </c:pt>
                <c:pt idx="9">
                  <c:v>113.8838479215291</c:v>
                </c:pt>
                <c:pt idx="10">
                  <c:v>112.15748359801448</c:v>
                </c:pt>
                <c:pt idx="11">
                  <c:v>112.70918064586976</c:v>
                </c:pt>
                <c:pt idx="12">
                  <c:v>113.05284488057558</c:v>
                </c:pt>
                <c:pt idx="13">
                  <c:v>114.80012164172571</c:v>
                </c:pt>
                <c:pt idx="14">
                  <c:v>115.28831677105715</c:v>
                </c:pt>
                <c:pt idx="15">
                  <c:v>112.9456419723595</c:v>
                </c:pt>
                <c:pt idx="16">
                  <c:v>113.64364243798678</c:v>
                </c:pt>
                <c:pt idx="17">
                  <c:v>116.05922814891859</c:v>
                </c:pt>
                <c:pt idx="18">
                  <c:v>118.61115036719642</c:v>
                </c:pt>
                <c:pt idx="19">
                  <c:v>121.94589692054556</c:v>
                </c:pt>
                <c:pt idx="20">
                  <c:v>122.58047622397866</c:v>
                </c:pt>
                <c:pt idx="21">
                  <c:v>121.52261900425864</c:v>
                </c:pt>
                <c:pt idx="22">
                  <c:v>123.70182210531677</c:v>
                </c:pt>
                <c:pt idx="23">
                  <c:v>125.08401486325613</c:v>
                </c:pt>
                <c:pt idx="24">
                  <c:v>128.41759838257011</c:v>
                </c:pt>
                <c:pt idx="25">
                  <c:v>134.35968862808099</c:v>
                </c:pt>
                <c:pt idx="26">
                  <c:v>138.34766433078772</c:v>
                </c:pt>
                <c:pt idx="27">
                  <c:v>138.74013505281786</c:v>
                </c:pt>
              </c:numCache>
            </c:numRef>
          </c:val>
        </c:ser>
        <c:ser>
          <c:idx val="2"/>
          <c:order val="2"/>
          <c:tx>
            <c:strRef>
              <c:f>'C51'!$M$1</c:f>
              <c:strCache>
                <c:ptCount val="1"/>
                <c:pt idx="0">
                  <c:v>Alt 2</c:v>
                </c:pt>
              </c:strCache>
            </c:strRef>
          </c:tx>
          <c:marker>
            <c:symbol val="square"/>
            <c:size val="4"/>
          </c:marker>
          <c:cat>
            <c:numRef>
              <c:f>'C51'!$J$2:$J$29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'C51'!$M$2:$M$29</c:f>
              <c:numCache>
                <c:formatCode>General</c:formatCode>
                <c:ptCount val="28"/>
                <c:pt idx="0">
                  <c:v>100</c:v>
                </c:pt>
                <c:pt idx="1">
                  <c:v>95.5652849178894</c:v>
                </c:pt>
                <c:pt idx="2">
                  <c:v>95.110678198717324</c:v>
                </c:pt>
                <c:pt idx="3">
                  <c:v>98.700914237371094</c:v>
                </c:pt>
                <c:pt idx="4">
                  <c:v>101.33961316199658</c:v>
                </c:pt>
                <c:pt idx="5">
                  <c:v>100.9979567447679</c:v>
                </c:pt>
                <c:pt idx="6">
                  <c:v>102.84958421285197</c:v>
                </c:pt>
                <c:pt idx="7">
                  <c:v>109.44225178205049</c:v>
                </c:pt>
                <c:pt idx="8">
                  <c:v>113.37389479320719</c:v>
                </c:pt>
                <c:pt idx="9">
                  <c:v>114.52582837093361</c:v>
                </c:pt>
                <c:pt idx="10">
                  <c:v>111.93916617671461</c:v>
                </c:pt>
                <c:pt idx="11">
                  <c:v>112.33222816508744</c:v>
                </c:pt>
                <c:pt idx="12">
                  <c:v>111.70141525156696</c:v>
                </c:pt>
                <c:pt idx="13">
                  <c:v>114.10403341503878</c:v>
                </c:pt>
                <c:pt idx="14">
                  <c:v>116.51152714160726</c:v>
                </c:pt>
                <c:pt idx="15">
                  <c:v>117.65848832974706</c:v>
                </c:pt>
                <c:pt idx="16">
                  <c:v>120.79050287333611</c:v>
                </c:pt>
                <c:pt idx="17">
                  <c:v>123.77003990801288</c:v>
                </c:pt>
                <c:pt idx="18">
                  <c:v>127.91381854607458</c:v>
                </c:pt>
                <c:pt idx="19">
                  <c:v>133.65140408610165</c:v>
                </c:pt>
                <c:pt idx="20">
                  <c:v>132.87364368154232</c:v>
                </c:pt>
                <c:pt idx="21">
                  <c:v>131.3081066610753</c:v>
                </c:pt>
                <c:pt idx="22">
                  <c:v>133.87258785475612</c:v>
                </c:pt>
                <c:pt idx="23">
                  <c:v>137.90522559338027</c:v>
                </c:pt>
                <c:pt idx="24">
                  <c:v>142.35338215563633</c:v>
                </c:pt>
                <c:pt idx="25">
                  <c:v>147.52171080098239</c:v>
                </c:pt>
                <c:pt idx="26">
                  <c:v>151.35345891052717</c:v>
                </c:pt>
                <c:pt idx="27">
                  <c:v>157.07608983883696</c:v>
                </c:pt>
              </c:numCache>
            </c:numRef>
          </c:val>
        </c:ser>
        <c:ser>
          <c:idx val="3"/>
          <c:order val="3"/>
          <c:tx>
            <c:strRef>
              <c:f>'C51'!$N$1</c:f>
              <c:strCache>
                <c:ptCount val="1"/>
                <c:pt idx="0">
                  <c:v>Alt 3</c:v>
                </c:pt>
              </c:strCache>
            </c:strRef>
          </c:tx>
          <c:marker>
            <c:symbol val="x"/>
            <c:size val="5"/>
          </c:marker>
          <c:cat>
            <c:numRef>
              <c:f>'C51'!$J$2:$J$29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'C51'!$N$2:$N$29</c:f>
              <c:numCache>
                <c:formatCode>General</c:formatCode>
                <c:ptCount val="28"/>
                <c:pt idx="0">
                  <c:v>100</c:v>
                </c:pt>
                <c:pt idx="1">
                  <c:v>96.867035577610736</c:v>
                </c:pt>
                <c:pt idx="2">
                  <c:v>93.492165092744585</c:v>
                </c:pt>
                <c:pt idx="3">
                  <c:v>93.851144894126875</c:v>
                </c:pt>
                <c:pt idx="4">
                  <c:v>98.566203635441241</c:v>
                </c:pt>
                <c:pt idx="5">
                  <c:v>100.2602042893495</c:v>
                </c:pt>
                <c:pt idx="6">
                  <c:v>102.31393687415559</c:v>
                </c:pt>
                <c:pt idx="7">
                  <c:v>107.61228283245576</c:v>
                </c:pt>
                <c:pt idx="8">
                  <c:v>111.08167400587921</c:v>
                </c:pt>
                <c:pt idx="9">
                  <c:v>106.02074602541347</c:v>
                </c:pt>
                <c:pt idx="10">
                  <c:v>103.90650656959973</c:v>
                </c:pt>
                <c:pt idx="11">
                  <c:v>103.06985347291825</c:v>
                </c:pt>
                <c:pt idx="12">
                  <c:v>103.17110589575132</c:v>
                </c:pt>
                <c:pt idx="13">
                  <c:v>104.00639218168318</c:v>
                </c:pt>
                <c:pt idx="14">
                  <c:v>103.40111753492201</c:v>
                </c:pt>
                <c:pt idx="15">
                  <c:v>99.070918737573734</c:v>
                </c:pt>
                <c:pt idx="16">
                  <c:v>97.738013038837948</c:v>
                </c:pt>
                <c:pt idx="17">
                  <c:v>98.478742154260559</c:v>
                </c:pt>
                <c:pt idx="18">
                  <c:v>99.601434458752166</c:v>
                </c:pt>
                <c:pt idx="19">
                  <c:v>101.25545381468386</c:v>
                </c:pt>
                <c:pt idx="20">
                  <c:v>101.07672072761257</c:v>
                </c:pt>
                <c:pt idx="21">
                  <c:v>98.714712819852721</c:v>
                </c:pt>
                <c:pt idx="22">
                  <c:v>99.815605907523292</c:v>
                </c:pt>
                <c:pt idx="23">
                  <c:v>99.522059218959711</c:v>
                </c:pt>
                <c:pt idx="24">
                  <c:v>101.7738049088794</c:v>
                </c:pt>
                <c:pt idx="25">
                  <c:v>106.71216384748089</c:v>
                </c:pt>
                <c:pt idx="26">
                  <c:v>109.11856475014049</c:v>
                </c:pt>
                <c:pt idx="27">
                  <c:v>107.29770069387314</c:v>
                </c:pt>
              </c:numCache>
            </c:numRef>
          </c:val>
        </c:ser>
        <c:marker val="1"/>
        <c:axId val="138749824"/>
        <c:axId val="138751360"/>
      </c:lineChart>
      <c:catAx>
        <c:axId val="138749824"/>
        <c:scaling>
          <c:orientation val="minMax"/>
        </c:scaling>
        <c:axPos val="b"/>
        <c:numFmt formatCode="General" sourceLinked="1"/>
        <c:tickLblPos val="nextTo"/>
        <c:txPr>
          <a:bodyPr rot="-4140000" vert="horz"/>
          <a:lstStyle/>
          <a:p>
            <a:pPr>
              <a:defRPr lang="en-CA"/>
            </a:pPr>
            <a:endParaRPr lang="en-US"/>
          </a:p>
        </c:txPr>
        <c:crossAx val="138751360"/>
        <c:crosses val="autoZero"/>
        <c:auto val="1"/>
        <c:lblAlgn val="ctr"/>
        <c:lblOffset val="100"/>
      </c:catAx>
      <c:valAx>
        <c:axId val="138751360"/>
        <c:scaling>
          <c:orientation val="minMax"/>
          <c:min val="60"/>
        </c:scaling>
        <c:axPos val="l"/>
        <c:majorGridlines/>
        <c:title>
          <c:tx>
            <c:rich>
              <a:bodyPr rot="-5400000" vert="horz"/>
              <a:lstStyle/>
              <a:p>
                <a:pPr>
                  <a:defRPr lang="en-CA" b="0"/>
                </a:pPr>
                <a:r>
                  <a:rPr lang="en-US" b="0"/>
                  <a:t>Index</a:t>
                </a:r>
                <a:r>
                  <a:rPr lang="en-US" b="0" baseline="0"/>
                  <a:t> (normalized to 100 in 1981)</a:t>
                </a:r>
                <a:endParaRPr lang="en-US" b="0"/>
              </a:p>
            </c:rich>
          </c:tx>
        </c:title>
        <c:numFmt formatCode="General" sourceLinked="1"/>
        <c:tickLblPos val="nextTo"/>
        <c:txPr>
          <a:bodyPr/>
          <a:lstStyle/>
          <a:p>
            <a:pPr>
              <a:defRPr lang="en-CA"/>
            </a:pPr>
            <a:endParaRPr lang="en-US"/>
          </a:p>
        </c:txPr>
        <c:crossAx val="138749824"/>
        <c:crosses val="autoZero"/>
        <c:crossBetween val="between"/>
      </c:valAx>
    </c:plotArea>
    <c:legend>
      <c:legendPos val="r"/>
      <c:layout>
        <c:manualLayout>
          <c:xMode val="edge"/>
          <c:yMode val="edge"/>
          <c:x val="0.12457819286179503"/>
          <c:y val="6.8676727909012095E-2"/>
          <c:w val="0.26500000000000001"/>
          <c:h val="0.21449839603383186"/>
        </c:manualLayout>
      </c:layout>
      <c:spPr>
        <a:solidFill>
          <a:schemeClr val="bg1"/>
        </a:solidFill>
        <a:ln>
          <a:solidFill>
            <a:sysClr val="windowText" lastClr="000000"/>
          </a:solidFill>
        </a:ln>
      </c:spPr>
      <c:txPr>
        <a:bodyPr/>
        <a:lstStyle/>
        <a:p>
          <a:pPr>
            <a:defRPr lang="en-CA"/>
          </a:pPr>
          <a:endParaRPr lang="en-US"/>
        </a:p>
      </c:txPr>
    </c:legend>
    <c:plotVisOnly val="1"/>
  </c:chart>
  <c:spPr>
    <a:ln>
      <a:noFill/>
    </a:ln>
  </c:spPr>
  <c:printSettings>
    <c:headerFooter/>
    <c:pageMargins b="0.75000000000000211" l="0.70000000000000062" r="0.70000000000000062" t="0.75000000000000211"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11: Overall Index of Economic Well-being, Ontario vs. Canada</a:t>
            </a:r>
          </a:p>
        </c:rich>
      </c:tx>
      <c:layout>
        <c:manualLayout>
          <c:xMode val="edge"/>
          <c:yMode val="edge"/>
          <c:x val="0.24417314095449499"/>
          <c:y val="1.9575856443719643E-2"/>
        </c:manualLayout>
      </c:layout>
      <c:spPr>
        <a:noFill/>
        <a:ln w="25400">
          <a:noFill/>
        </a:ln>
      </c:spPr>
    </c:title>
    <c:plotArea>
      <c:layout>
        <c:manualLayout>
          <c:layoutTarget val="inner"/>
          <c:xMode val="edge"/>
          <c:yMode val="edge"/>
          <c:x val="4.1065482796892344E-2"/>
          <c:y val="0.12234910277324652"/>
          <c:w val="0.84239733629301672"/>
          <c:h val="0.81076672104404557"/>
        </c:manualLayout>
      </c:layout>
      <c:lineChart>
        <c:grouping val="standard"/>
        <c:ser>
          <c:idx val="1"/>
          <c:order val="0"/>
          <c:tx>
            <c:strRef>
              <c:f>'11'!$H$4</c:f>
              <c:strCache>
                <c:ptCount val="1"/>
                <c:pt idx="0">
                  <c:v>ON</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'11'!$AZ$5:$AZ$34</c:f>
              <c:numCache>
                <c:formatCode>0.000</c:formatCode>
                <c:ptCount val="19"/>
                <c:pt idx="0">
                  <c:v>0.47965220498776856</c:v>
                </c:pt>
                <c:pt idx="1">
                  <c:v>0.45753180657801484</c:v>
                </c:pt>
                <c:pt idx="2">
                  <c:v>0.43249207132465084</c:v>
                </c:pt>
                <c:pt idx="3">
                  <c:v>0.45519007436214837</c:v>
                </c:pt>
                <c:pt idx="4">
                  <c:v>0.47874484802561373</c:v>
                </c:pt>
                <c:pt idx="5">
                  <c:v>0.49428935489483916</c:v>
                </c:pt>
                <c:pt idx="6">
                  <c:v>0.5150462531402753</c:v>
                </c:pt>
                <c:pt idx="7">
                  <c:v>0.52883749247287304</c:v>
                </c:pt>
                <c:pt idx="8">
                  <c:v>0.55151724166249072</c:v>
                </c:pt>
                <c:pt idx="9">
                  <c:v>0.531323873540128</c:v>
                </c:pt>
                <c:pt idx="10">
                  <c:v>0.51218079256969695</c:v>
                </c:pt>
                <c:pt idx="11">
                  <c:v>0.51594158793257106</c:v>
                </c:pt>
                <c:pt idx="12">
                  <c:v>0.51605659257133374</c:v>
                </c:pt>
                <c:pt idx="13">
                  <c:v>0.52051368910231044</c:v>
                </c:pt>
                <c:pt idx="14">
                  <c:v>0.52181129803983928</c:v>
                </c:pt>
                <c:pt idx="15">
                  <c:v>0.49214303814983368</c:v>
                </c:pt>
                <c:pt idx="16">
                  <c:v>0.49923147584485261</c:v>
                </c:pt>
                <c:pt idx="17">
                  <c:v>0.50952163067361622</c:v>
                </c:pt>
                <c:pt idx="18">
                  <c:v>0.51258732841946719</c:v>
                </c:pt>
              </c:numCache>
            </c:numRef>
          </c:val>
        </c:ser>
        <c:ser>
          <c:idx val="0"/>
          <c:order val="1"/>
          <c:tx>
            <c:strRef>
              <c:f>'11'!$AT$4</c:f>
              <c:strCache>
                <c:ptCount val="1"/>
                <c:pt idx="0">
                  <c:v>Canada</c:v>
                </c:pt>
              </c:strCache>
            </c:strRef>
          </c:tx>
          <c:spPr>
            <a:ln w="12700">
              <a:solidFill>
                <a:srgbClr val="000000"/>
              </a:solidFill>
              <a:prstDash val="solid"/>
            </a:ln>
          </c:spPr>
          <c:marker>
            <c:symbol val="none"/>
          </c:marker>
          <c:val>
            <c:numRef>
              <c:f>'11'!$AT$5:$AT$34</c:f>
              <c:numCache>
                <c:formatCode>0.000</c:formatCode>
                <c:ptCount val="19"/>
                <c:pt idx="0">
                  <c:v>0.44780458265691525</c:v>
                </c:pt>
                <c:pt idx="1">
                  <c:v>0.43301562693507134</c:v>
                </c:pt>
                <c:pt idx="2">
                  <c:v>0.42340958261067185</c:v>
                </c:pt>
                <c:pt idx="3">
                  <c:v>0.42844030729926186</c:v>
                </c:pt>
                <c:pt idx="4">
                  <c:v>0.44705988924508555</c:v>
                </c:pt>
                <c:pt idx="5">
                  <c:v>0.45172672744933806</c:v>
                </c:pt>
                <c:pt idx="6">
                  <c:v>0.46232821572107063</c:v>
                </c:pt>
                <c:pt idx="7">
                  <c:v>0.48738294963598849</c:v>
                </c:pt>
                <c:pt idx="8">
                  <c:v>0.50357121370456881</c:v>
                </c:pt>
                <c:pt idx="9">
                  <c:v>0.49054495517693048</c:v>
                </c:pt>
                <c:pt idx="10">
                  <c:v>0.48104437061629834</c:v>
                </c:pt>
                <c:pt idx="11">
                  <c:v>0.47966464196689351</c:v>
                </c:pt>
                <c:pt idx="12">
                  <c:v>0.4798713663978178</c:v>
                </c:pt>
                <c:pt idx="13">
                  <c:v>0.48615136049483088</c:v>
                </c:pt>
                <c:pt idx="14">
                  <c:v>0.4878403706788994</c:v>
                </c:pt>
                <c:pt idx="15">
                  <c:v>0.47679488956266264</c:v>
                </c:pt>
                <c:pt idx="16">
                  <c:v>0.47766802820173043</c:v>
                </c:pt>
                <c:pt idx="17">
                  <c:v>0.48422154380221771</c:v>
                </c:pt>
                <c:pt idx="18">
                  <c:v>0.49477781532887766</c:v>
                </c:pt>
              </c:numCache>
            </c:numRef>
          </c:val>
        </c:ser>
        <c:marker val="1"/>
        <c:axId val="130319104"/>
        <c:axId val="130320640"/>
      </c:lineChart>
      <c:catAx>
        <c:axId val="130319104"/>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0320640"/>
        <c:crosses val="autoZero"/>
        <c:auto val="1"/>
        <c:lblAlgn val="ctr"/>
        <c:lblOffset val="100"/>
        <c:tickLblSkip val="3"/>
        <c:tickMarkSkip val="1"/>
      </c:catAx>
      <c:valAx>
        <c:axId val="130320640"/>
        <c:scaling>
          <c:orientation val="minMax"/>
          <c:max val="1.4"/>
          <c:min val="0.8"/>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0319104"/>
        <c:crosses val="autoZero"/>
        <c:crossBetween val="midCat"/>
      </c:valAx>
      <c:spPr>
        <a:solidFill>
          <a:srgbClr val="FFFFFF"/>
        </a:solidFill>
        <a:ln w="3175">
          <a:solidFill>
            <a:srgbClr val="000000"/>
          </a:solidFill>
          <a:prstDash val="solid"/>
        </a:ln>
      </c:spPr>
    </c:plotArea>
    <c:legend>
      <c:legendPos val="r"/>
      <c:layout>
        <c:manualLayout>
          <c:xMode val="edge"/>
          <c:yMode val="edge"/>
          <c:wMode val="edge"/>
          <c:hMode val="edge"/>
          <c:x val="0.91120976692563749"/>
          <c:y val="0.49265905383360531"/>
          <c:w val="0.99556048834627453"/>
          <c:h val="0.5628058727569336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20.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085577427821531"/>
          <c:y val="5.13585977626181E-2"/>
          <c:w val="0.76212051618548704"/>
          <c:h val="0.68736874741362308"/>
        </c:manualLayout>
      </c:layout>
      <c:lineChart>
        <c:grouping val="standard"/>
        <c:ser>
          <c:idx val="0"/>
          <c:order val="0"/>
          <c:tx>
            <c:v>Poverty Rate - Left Axis</c:v>
          </c:tx>
          <c:marker>
            <c:symbol val="square"/>
            <c:size val="4"/>
          </c:marker>
          <c:cat>
            <c:numRef>
              <c:f>[1]a18!$A$18:$A$45</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[1]a18!$B$18:$B$46</c:f>
              <c:numCache>
                <c:formatCode>General</c:formatCode>
                <c:ptCount val="29"/>
                <c:pt idx="0">
                  <c:v>11.6</c:v>
                </c:pt>
                <c:pt idx="1">
                  <c:v>12.4</c:v>
                </c:pt>
                <c:pt idx="2">
                  <c:v>14</c:v>
                </c:pt>
                <c:pt idx="3">
                  <c:v>13.7</c:v>
                </c:pt>
                <c:pt idx="4">
                  <c:v>13</c:v>
                </c:pt>
                <c:pt idx="5">
                  <c:v>12.1</c:v>
                </c:pt>
                <c:pt idx="6">
                  <c:v>11.9</c:v>
                </c:pt>
                <c:pt idx="7">
                  <c:v>10.8</c:v>
                </c:pt>
                <c:pt idx="8">
                  <c:v>10.199999999999999</c:v>
                </c:pt>
                <c:pt idx="9">
                  <c:v>11.8</c:v>
                </c:pt>
                <c:pt idx="10">
                  <c:v>13.2</c:v>
                </c:pt>
                <c:pt idx="11">
                  <c:v>13.3</c:v>
                </c:pt>
                <c:pt idx="12">
                  <c:v>14.1</c:v>
                </c:pt>
                <c:pt idx="13">
                  <c:v>14</c:v>
                </c:pt>
                <c:pt idx="14">
                  <c:v>14.5</c:v>
                </c:pt>
                <c:pt idx="15">
                  <c:v>15.2</c:v>
                </c:pt>
                <c:pt idx="16">
                  <c:v>15</c:v>
                </c:pt>
                <c:pt idx="17">
                  <c:v>13.7</c:v>
                </c:pt>
                <c:pt idx="18">
                  <c:v>13</c:v>
                </c:pt>
                <c:pt idx="19">
                  <c:v>12.5</c:v>
                </c:pt>
                <c:pt idx="20">
                  <c:v>11.2</c:v>
                </c:pt>
                <c:pt idx="21">
                  <c:v>11.6</c:v>
                </c:pt>
                <c:pt idx="22">
                  <c:v>11.6</c:v>
                </c:pt>
                <c:pt idx="23">
                  <c:v>11.4</c:v>
                </c:pt>
                <c:pt idx="24">
                  <c:v>10.8</c:v>
                </c:pt>
                <c:pt idx="25">
                  <c:v>10.5</c:v>
                </c:pt>
                <c:pt idx="26">
                  <c:v>9.1999999999999993</c:v>
                </c:pt>
                <c:pt idx="27">
                  <c:v>9.1999999999999993</c:v>
                </c:pt>
                <c:pt idx="28">
                  <c:v>9.1999999999999993</c:v>
                </c:pt>
              </c:numCache>
            </c:numRef>
          </c:val>
        </c:ser>
        <c:marker val="1"/>
        <c:axId val="138798592"/>
        <c:axId val="138800128"/>
      </c:lineChart>
      <c:lineChart>
        <c:grouping val="standard"/>
        <c:ser>
          <c:idx val="1"/>
          <c:order val="1"/>
          <c:tx>
            <c:v>Poverty Gap - Right Axis</c:v>
          </c:tx>
          <c:marker>
            <c:symbol val="triangle"/>
            <c:size val="5"/>
          </c:marker>
          <c:val>
            <c:numRef>
              <c:f>[1]a18!$C$18:$C$46</c:f>
              <c:numCache>
                <c:formatCode>General</c:formatCode>
                <c:ptCount val="29"/>
                <c:pt idx="0">
                  <c:v>3505.6577086280058</c:v>
                </c:pt>
                <c:pt idx="1">
                  <c:v>3428.4779050736497</c:v>
                </c:pt>
                <c:pt idx="2">
                  <c:v>3492.1180854112927</c:v>
                </c:pt>
                <c:pt idx="3">
                  <c:v>3518.539976825029</c:v>
                </c:pt>
                <c:pt idx="4">
                  <c:v>3413.0699088145898</c:v>
                </c:pt>
                <c:pt idx="5">
                  <c:v>3449.7901194704555</c:v>
                </c:pt>
                <c:pt idx="6">
                  <c:v>3514.7775251705098</c:v>
                </c:pt>
                <c:pt idx="7">
                  <c:v>3516.8776371308018</c:v>
                </c:pt>
                <c:pt idx="8">
                  <c:v>3417.1280915466964</c:v>
                </c:pt>
                <c:pt idx="9">
                  <c:v>3553.8847117794485</c:v>
                </c:pt>
                <c:pt idx="10">
                  <c:v>3620.1829775436649</c:v>
                </c:pt>
                <c:pt idx="11">
                  <c:v>3558.3355996736468</c:v>
                </c:pt>
                <c:pt idx="12">
                  <c:v>3555.2185999494568</c:v>
                </c:pt>
                <c:pt idx="13">
                  <c:v>3560.4423221915054</c:v>
                </c:pt>
                <c:pt idx="14">
                  <c:v>3548.6512524084778</c:v>
                </c:pt>
                <c:pt idx="15">
                  <c:v>3648.1692062770071</c:v>
                </c:pt>
                <c:pt idx="16">
                  <c:v>3772.7791733272438</c:v>
                </c:pt>
                <c:pt idx="17">
                  <c:v>3934.5075663607045</c:v>
                </c:pt>
                <c:pt idx="18">
                  <c:v>4007.5110075110074</c:v>
                </c:pt>
                <c:pt idx="19">
                  <c:v>3954.8490515629173</c:v>
                </c:pt>
                <c:pt idx="20">
                  <c:v>4005.8892815076561</c:v>
                </c:pt>
                <c:pt idx="21">
                  <c:v>3873.4463276836159</c:v>
                </c:pt>
                <c:pt idx="22">
                  <c:v>3893.1552587646079</c:v>
                </c:pt>
                <c:pt idx="23">
                  <c:v>3983.9210155148094</c:v>
                </c:pt>
                <c:pt idx="24">
                  <c:v>4198.5337243401764</c:v>
                </c:pt>
                <c:pt idx="25">
                  <c:v>4036.0763267740012</c:v>
                </c:pt>
                <c:pt idx="26">
                  <c:v>4181.5718157181573</c:v>
                </c:pt>
                <c:pt idx="27">
                  <c:v>4181.5718157181573</c:v>
                </c:pt>
                <c:pt idx="28">
                  <c:v>4181.5718157181573</c:v>
                </c:pt>
              </c:numCache>
            </c:numRef>
          </c:val>
        </c:ser>
        <c:marker val="1"/>
        <c:axId val="138218496"/>
        <c:axId val="138216576"/>
      </c:lineChart>
      <c:catAx>
        <c:axId val="138798592"/>
        <c:scaling>
          <c:orientation val="minMax"/>
        </c:scaling>
        <c:axPos val="b"/>
        <c:numFmt formatCode="General" sourceLinked="1"/>
        <c:tickLblPos val="nextTo"/>
        <c:txPr>
          <a:bodyPr rot="5400000" vert="horz"/>
          <a:lstStyle/>
          <a:p>
            <a:pPr>
              <a:defRPr lang="en-CA"/>
            </a:pPr>
            <a:endParaRPr lang="en-US"/>
          </a:p>
        </c:txPr>
        <c:crossAx val="138800128"/>
        <c:crosses val="autoZero"/>
        <c:auto val="1"/>
        <c:lblAlgn val="ctr"/>
        <c:lblOffset val="100"/>
      </c:catAx>
      <c:valAx>
        <c:axId val="138800128"/>
        <c:scaling>
          <c:orientation val="minMax"/>
          <c:min val="6"/>
        </c:scaling>
        <c:axPos val="l"/>
        <c:majorGridlines/>
        <c:title>
          <c:tx>
            <c:rich>
              <a:bodyPr rot="-5400000" vert="horz"/>
              <a:lstStyle/>
              <a:p>
                <a:pPr>
                  <a:defRPr lang="en-CA" b="0"/>
                </a:pPr>
                <a:r>
                  <a:rPr lang="en-US" b="0"/>
                  <a:t>Per</a:t>
                </a:r>
                <a:r>
                  <a:rPr lang="en-US" b="0" baseline="0"/>
                  <a:t> Cent</a:t>
                </a:r>
                <a:endParaRPr lang="en-US" b="0"/>
              </a:p>
            </c:rich>
          </c:tx>
        </c:title>
        <c:numFmt formatCode="0" sourceLinked="0"/>
        <c:tickLblPos val="nextTo"/>
        <c:txPr>
          <a:bodyPr/>
          <a:lstStyle/>
          <a:p>
            <a:pPr>
              <a:defRPr lang="en-CA"/>
            </a:pPr>
            <a:endParaRPr lang="en-US"/>
          </a:p>
        </c:txPr>
        <c:crossAx val="138798592"/>
        <c:crosses val="autoZero"/>
        <c:crossBetween val="between"/>
      </c:valAx>
      <c:valAx>
        <c:axId val="138216576"/>
        <c:scaling>
          <c:orientation val="minMax"/>
          <c:min val="2000"/>
        </c:scaling>
        <c:axPos val="r"/>
        <c:title>
          <c:tx>
            <c:rich>
              <a:bodyPr rot="-5400000" vert="horz"/>
              <a:lstStyle/>
              <a:p>
                <a:pPr>
                  <a:defRPr lang="en-CA" b="0"/>
                </a:pPr>
                <a:r>
                  <a:rPr lang="en-US" b="0"/>
                  <a:t>2007</a:t>
                </a:r>
                <a:r>
                  <a:rPr lang="en-US" b="0" baseline="0"/>
                  <a:t> Dollars</a:t>
                </a:r>
                <a:endParaRPr lang="en-US" b="0"/>
              </a:p>
            </c:rich>
          </c:tx>
        </c:title>
        <c:numFmt formatCode="General" sourceLinked="1"/>
        <c:tickLblPos val="nextTo"/>
        <c:txPr>
          <a:bodyPr/>
          <a:lstStyle/>
          <a:p>
            <a:pPr>
              <a:defRPr lang="en-CA"/>
            </a:pPr>
            <a:endParaRPr lang="en-US"/>
          </a:p>
        </c:txPr>
        <c:crossAx val="138218496"/>
        <c:crosses val="max"/>
        <c:crossBetween val="between"/>
      </c:valAx>
      <c:catAx>
        <c:axId val="138218496"/>
        <c:scaling>
          <c:orientation val="minMax"/>
        </c:scaling>
        <c:delete val="1"/>
        <c:axPos val="b"/>
        <c:tickLblPos val="none"/>
        <c:crossAx val="138216576"/>
        <c:crosses val="autoZero"/>
        <c:auto val="1"/>
        <c:lblAlgn val="ctr"/>
        <c:lblOffset val="100"/>
      </c:catAx>
    </c:plotArea>
    <c:legend>
      <c:legendPos val="r"/>
      <c:layout>
        <c:manualLayout>
          <c:xMode val="edge"/>
          <c:yMode val="edge"/>
          <c:x val="0.11666668168697353"/>
          <c:y val="0.58782562566150065"/>
          <c:w val="0.40833333333333333"/>
          <c:h val="0.14493554951645468"/>
        </c:manualLayout>
      </c:layout>
      <c:spPr>
        <a:solidFill>
          <a:schemeClr val="bg1"/>
        </a:solidFill>
        <a:ln>
          <a:solidFill>
            <a:schemeClr val="tx1"/>
          </a:solidFill>
        </a:ln>
      </c:spPr>
      <c:txPr>
        <a:bodyPr/>
        <a:lstStyle/>
        <a:p>
          <a:pPr>
            <a:defRPr lang="en-CA"/>
          </a:pPr>
          <a:endParaRPr lang="en-US"/>
        </a:p>
      </c:txPr>
    </c:legend>
    <c:plotVisOnly val="1"/>
  </c:chart>
  <c:spPr>
    <a:ln>
      <a:noFill/>
    </a:ln>
  </c:spPr>
  <c:printSettings>
    <c:headerFooter/>
    <c:pageMargins b="0.75000000000000211" l="0.70000000000000062" r="0.70000000000000062" t="0.75000000000000211" header="0.30000000000000032" footer="0.30000000000000032"/>
    <c:pageSetup/>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0261329833770765"/>
          <c:y val="5.1400554097404488E-2"/>
          <c:w val="0.85676181102362825"/>
          <c:h val="0.63945076309905702"/>
        </c:manualLayout>
      </c:layout>
      <c:barChart>
        <c:barDir val="col"/>
        <c:grouping val="clustered"/>
        <c:ser>
          <c:idx val="0"/>
          <c:order val="0"/>
          <c:tx>
            <c:strRef>
              <c:f>'C32'!$B$22</c:f>
              <c:strCache>
                <c:ptCount val="1"/>
                <c:pt idx="0">
                  <c:v>1981</c:v>
                </c:pt>
              </c:strCache>
            </c:strRef>
          </c:tx>
          <c:spPr>
            <a:solidFill>
              <a:schemeClr val="tx1"/>
            </a:solidFill>
          </c:spPr>
          <c:cat>
            <c:strRef>
              <c:f>'C32'!$A$23:$A$27</c:f>
              <c:strCache>
                <c:ptCount val="5"/>
                <c:pt idx="0">
                  <c:v>Overall Economic Security</c:v>
                </c:pt>
                <c:pt idx="1">
                  <c:v>Unemployment</c:v>
                </c:pt>
                <c:pt idx="2">
                  <c:v>Illness</c:v>
                </c:pt>
                <c:pt idx="3">
                  <c:v>Single-parent Poverty</c:v>
                </c:pt>
                <c:pt idx="4">
                  <c:v>Old-age Poverty</c:v>
                </c:pt>
              </c:strCache>
            </c:strRef>
          </c:cat>
          <c:val>
            <c:numRef>
              <c:f>'C32'!$B$23:$B$27</c:f>
              <c:numCache>
                <c:formatCode>General</c:formatCode>
                <c:ptCount val="5"/>
                <c:pt idx="0">
                  <c:v>0.63201595297490964</c:v>
                </c:pt>
                <c:pt idx="1">
                  <c:v>0.62716341973195355</c:v>
                </c:pt>
                <c:pt idx="2">
                  <c:v>0.80071138764357608</c:v>
                </c:pt>
                <c:pt idx="3">
                  <c:v>0.3866167011910287</c:v>
                </c:pt>
                <c:pt idx="4">
                  <c:v>0.34472713020593992</c:v>
                </c:pt>
              </c:numCache>
            </c:numRef>
          </c:val>
        </c:ser>
        <c:ser>
          <c:idx val="1"/>
          <c:order val="1"/>
          <c:tx>
            <c:strRef>
              <c:f>'C32'!$C$22</c:f>
              <c:strCache>
                <c:ptCount val="1"/>
                <c:pt idx="0">
                  <c:v>2010</c:v>
                </c:pt>
              </c:strCache>
            </c:strRef>
          </c:tx>
          <c:cat>
            <c:strRef>
              <c:f>'C32'!$A$23:$A$27</c:f>
              <c:strCache>
                <c:ptCount val="5"/>
                <c:pt idx="0">
                  <c:v>Overall Economic Security</c:v>
                </c:pt>
                <c:pt idx="1">
                  <c:v>Unemployment</c:v>
                </c:pt>
                <c:pt idx="2">
                  <c:v>Illness</c:v>
                </c:pt>
                <c:pt idx="3">
                  <c:v>Single-parent Poverty</c:v>
                </c:pt>
                <c:pt idx="4">
                  <c:v>Old-age Poverty</c:v>
                </c:pt>
              </c:strCache>
            </c:strRef>
          </c:cat>
          <c:val>
            <c:numRef>
              <c:f>'C32'!$C$23:$C$27</c:f>
              <c:numCache>
                <c:formatCode>General</c:formatCode>
                <c:ptCount val="5"/>
                <c:pt idx="0">
                  <c:v>0.48472340768248307</c:v>
                </c:pt>
                <c:pt idx="1">
                  <c:v>0.59308336362159264</c:v>
                </c:pt>
                <c:pt idx="2">
                  <c:v>0.27257611035398904</c:v>
                </c:pt>
                <c:pt idx="3">
                  <c:v>0.73908159487334235</c:v>
                </c:pt>
                <c:pt idx="4">
                  <c:v>0.67229618648223033</c:v>
                </c:pt>
              </c:numCache>
            </c:numRef>
          </c:val>
        </c:ser>
        <c:axId val="138251264"/>
        <c:axId val="138261248"/>
      </c:barChart>
      <c:catAx>
        <c:axId val="138251264"/>
        <c:scaling>
          <c:orientation val="minMax"/>
        </c:scaling>
        <c:axPos val="b"/>
        <c:tickLblPos val="nextTo"/>
        <c:txPr>
          <a:bodyPr/>
          <a:lstStyle/>
          <a:p>
            <a:pPr>
              <a:defRPr lang="en-CA"/>
            </a:pPr>
            <a:endParaRPr lang="en-US"/>
          </a:p>
        </c:txPr>
        <c:crossAx val="138261248"/>
        <c:crosses val="autoZero"/>
        <c:auto val="1"/>
        <c:lblAlgn val="ctr"/>
        <c:lblOffset val="100"/>
      </c:catAx>
      <c:valAx>
        <c:axId val="138261248"/>
        <c:scaling>
          <c:orientation val="minMax"/>
        </c:scaling>
        <c:axPos val="l"/>
        <c:majorGridlines/>
        <c:title>
          <c:tx>
            <c:rich>
              <a:bodyPr rot="-5400000" vert="horz"/>
              <a:lstStyle/>
              <a:p>
                <a:pPr>
                  <a:defRPr lang="en-CA" b="0"/>
                </a:pPr>
                <a:r>
                  <a:rPr lang="en-US" b="0"/>
                  <a:t>Index</a:t>
                </a:r>
                <a:r>
                  <a:rPr lang="en-US" b="0" baseline="0"/>
                  <a:t> Value</a:t>
                </a:r>
                <a:endParaRPr lang="en-US" b="0"/>
              </a:p>
            </c:rich>
          </c:tx>
        </c:title>
        <c:numFmt formatCode="General" sourceLinked="1"/>
        <c:tickLblPos val="nextTo"/>
        <c:txPr>
          <a:bodyPr/>
          <a:lstStyle/>
          <a:p>
            <a:pPr>
              <a:defRPr lang="en-CA"/>
            </a:pPr>
            <a:endParaRPr lang="en-US"/>
          </a:p>
        </c:txPr>
        <c:crossAx val="138251264"/>
        <c:crosses val="autoZero"/>
        <c:crossBetween val="between"/>
      </c:valAx>
    </c:plotArea>
    <c:legend>
      <c:legendPos val="r"/>
      <c:layout>
        <c:manualLayout>
          <c:xMode val="edge"/>
          <c:yMode val="edge"/>
          <c:x val="0.12750685385106214"/>
          <c:y val="6.2373221865786026E-2"/>
          <c:w val="0.20988220628265619"/>
          <c:h val="9.7475454457081709E-2"/>
        </c:manualLayout>
      </c:layout>
      <c:spPr>
        <a:solidFill>
          <a:schemeClr val="bg1"/>
        </a:solidFill>
        <a:ln>
          <a:solidFill>
            <a:sysClr val="windowText" lastClr="000000"/>
          </a:solidFill>
        </a:ln>
      </c:spPr>
      <c:txPr>
        <a:bodyPr/>
        <a:lstStyle/>
        <a:p>
          <a:pPr>
            <a:defRPr lang="en-CA"/>
          </a:pPr>
          <a:endParaRPr lang="en-US"/>
        </a:p>
      </c:txPr>
    </c:legend>
    <c:plotVisOnly val="1"/>
  </c:chart>
  <c:spPr>
    <a:ln>
      <a:noFill/>
    </a:ln>
  </c:spPr>
  <c:printSettings>
    <c:headerFooter/>
    <c:pageMargins b="0.75000000000000211" l="0.70000000000000062" r="0.70000000000000062" t="0.75000000000000211" header="0.30000000000000032" footer="0.30000000000000032"/>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583333333333393"/>
          <c:y val="4.8611111111111112E-2"/>
          <c:w val="0.82083333333333364"/>
          <c:h val="0.48958333333333331"/>
        </c:manualLayout>
      </c:layout>
      <c:barChart>
        <c:barDir val="col"/>
        <c:grouping val="clustered"/>
        <c:ser>
          <c:idx val="0"/>
          <c:order val="0"/>
          <c:cat>
            <c:strRef>
              <c:f>Wea!$P$5:$P$15</c:f>
              <c:strCache>
                <c:ptCount val="11"/>
                <c:pt idx="0">
                  <c:v>Newfoundland</c:v>
                </c:pt>
                <c:pt idx="1">
                  <c:v>Prince Edward Island</c:v>
                </c:pt>
                <c:pt idx="2">
                  <c:v>New Brunswick</c:v>
                </c:pt>
                <c:pt idx="3">
                  <c:v>Nova Scotia</c:v>
                </c:pt>
                <c:pt idx="4">
                  <c:v>Quebec</c:v>
                </c:pt>
                <c:pt idx="5">
                  <c:v>Saskatchewan</c:v>
                </c:pt>
                <c:pt idx="6">
                  <c:v>Canada</c:v>
                </c:pt>
                <c:pt idx="7">
                  <c:v>Ontario</c:v>
                </c:pt>
                <c:pt idx="8">
                  <c:v>Manitoba</c:v>
                </c:pt>
                <c:pt idx="9">
                  <c:v>British Columbia</c:v>
                </c:pt>
                <c:pt idx="10">
                  <c:v>Alberta</c:v>
                </c:pt>
              </c:strCache>
            </c:strRef>
          </c:cat>
          <c:val>
            <c:numRef>
              <c:f>Wea!$Q$5:$Q$15</c:f>
              <c:numCache>
                <c:formatCode>#,##0.000</c:formatCode>
                <c:ptCount val="11"/>
                <c:pt idx="0">
                  <c:v>317.39202350002859</c:v>
                </c:pt>
                <c:pt idx="1">
                  <c:v>278.65867559667475</c:v>
                </c:pt>
                <c:pt idx="2">
                  <c:v>146.22438869552036</c:v>
                </c:pt>
                <c:pt idx="3">
                  <c:v>138.42194687821805</c:v>
                </c:pt>
                <c:pt idx="4">
                  <c:v>100.75193460164067</c:v>
                </c:pt>
                <c:pt idx="5">
                  <c:v>92.210754970815927</c:v>
                </c:pt>
                <c:pt idx="6">
                  <c:v>92.20051743211225</c:v>
                </c:pt>
                <c:pt idx="7">
                  <c:v>92.005812518193949</c:v>
                </c:pt>
                <c:pt idx="8">
                  <c:v>62.982226845492505</c:v>
                </c:pt>
                <c:pt idx="9">
                  <c:v>58.315243226267953</c:v>
                </c:pt>
                <c:pt idx="10">
                  <c:v>34.51809075584579</c:v>
                </c:pt>
              </c:numCache>
            </c:numRef>
          </c:val>
        </c:ser>
        <c:axId val="139404032"/>
        <c:axId val="139405568"/>
      </c:barChart>
      <c:catAx>
        <c:axId val="139404032"/>
        <c:scaling>
          <c:orientation val="minMax"/>
        </c:scaling>
        <c:axPos val="b"/>
        <c:numFmt formatCode="General" sourceLinked="1"/>
        <c:tickLblPos val="nextTo"/>
        <c:txPr>
          <a:bodyPr/>
          <a:lstStyle/>
          <a:p>
            <a:pPr>
              <a:defRPr lang="en-CA"/>
            </a:pPr>
            <a:endParaRPr lang="en-US"/>
          </a:p>
        </c:txPr>
        <c:crossAx val="139405568"/>
        <c:crosses val="autoZero"/>
        <c:auto val="1"/>
        <c:lblAlgn val="ctr"/>
        <c:lblOffset val="100"/>
      </c:catAx>
      <c:valAx>
        <c:axId val="139405568"/>
        <c:scaling>
          <c:orientation val="minMax"/>
        </c:scaling>
        <c:axPos val="l"/>
        <c:majorGridlines/>
        <c:numFmt formatCode="#,##0.000" sourceLinked="1"/>
        <c:tickLblPos val="nextTo"/>
        <c:txPr>
          <a:bodyPr/>
          <a:lstStyle/>
          <a:p>
            <a:pPr>
              <a:defRPr lang="en-CA"/>
            </a:pPr>
            <a:endParaRPr lang="en-US"/>
          </a:p>
        </c:txPr>
        <c:crossAx val="139404032"/>
        <c:crosses val="autoZero"/>
        <c:crossBetween val="between"/>
      </c:valAx>
    </c:plotArea>
    <c:plotVisOnly val="1"/>
    <c:dispBlanksAs val="gap"/>
  </c:chart>
  <c:printSettings>
    <c:headerFooter/>
    <c:pageMargins b="0.750000000000002" l="0.70000000000000062" r="0.70000000000000062" t="0.750000000000002" header="0.30000000000000032" footer="0.30000000000000032"/>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7916666666666666E-2"/>
          <c:y val="4.8611111111111112E-2"/>
          <c:w val="0.87083333333333546"/>
          <c:h val="0.53472222222222221"/>
        </c:manualLayout>
      </c:layout>
      <c:barChart>
        <c:barDir val="col"/>
        <c:grouping val="clustered"/>
        <c:ser>
          <c:idx val="0"/>
          <c:order val="0"/>
          <c:cat>
            <c:strRef>
              <c:f>Wea!$P$26:$P$36</c:f>
              <c:strCache>
                <c:ptCount val="11"/>
                <c:pt idx="0">
                  <c:v>Alberta</c:v>
                </c:pt>
                <c:pt idx="1">
                  <c:v>Newfoundland</c:v>
                </c:pt>
                <c:pt idx="2">
                  <c:v>Saskatchewan</c:v>
                </c:pt>
                <c:pt idx="3">
                  <c:v>British Columbia</c:v>
                </c:pt>
                <c:pt idx="4">
                  <c:v>Canada</c:v>
                </c:pt>
                <c:pt idx="5">
                  <c:v>Quebec</c:v>
                </c:pt>
                <c:pt idx="6">
                  <c:v>Manitoba</c:v>
                </c:pt>
                <c:pt idx="7">
                  <c:v>New Brunswick</c:v>
                </c:pt>
                <c:pt idx="8">
                  <c:v>Ontario</c:v>
                </c:pt>
                <c:pt idx="9">
                  <c:v>Nova Scotia</c:v>
                </c:pt>
                <c:pt idx="10">
                  <c:v>Prince Edward Island</c:v>
                </c:pt>
              </c:strCache>
            </c:strRef>
          </c:cat>
          <c:val>
            <c:numRef>
              <c:f>Wea!$Q$26:$Q$36</c:f>
              <c:numCache>
                <c:formatCode>General</c:formatCode>
                <c:ptCount val="11"/>
                <c:pt idx="0">
                  <c:v>100</c:v>
                </c:pt>
                <c:pt idx="1">
                  <c:v>89.437054797246148</c:v>
                </c:pt>
                <c:pt idx="2">
                  <c:v>83.729632293648365</c:v>
                </c:pt>
                <c:pt idx="3">
                  <c:v>62.190291829219902</c:v>
                </c:pt>
                <c:pt idx="4">
                  <c:v>60.875572339729821</c:v>
                </c:pt>
                <c:pt idx="5">
                  <c:v>49.710535267023936</c:v>
                </c:pt>
                <c:pt idx="6">
                  <c:v>49.428784901471559</c:v>
                </c:pt>
                <c:pt idx="7">
                  <c:v>47.475386024942317</c:v>
                </c:pt>
                <c:pt idx="8">
                  <c:v>46.722089201849094</c:v>
                </c:pt>
                <c:pt idx="9">
                  <c:v>40.174698206475931</c:v>
                </c:pt>
                <c:pt idx="10">
                  <c:v>36.183610931287632</c:v>
                </c:pt>
              </c:numCache>
            </c:numRef>
          </c:val>
        </c:ser>
        <c:axId val="139424896"/>
        <c:axId val="139426432"/>
      </c:barChart>
      <c:catAx>
        <c:axId val="139424896"/>
        <c:scaling>
          <c:orientation val="minMax"/>
        </c:scaling>
        <c:axPos val="b"/>
        <c:numFmt formatCode="General" sourceLinked="1"/>
        <c:tickLblPos val="nextTo"/>
        <c:txPr>
          <a:bodyPr/>
          <a:lstStyle/>
          <a:p>
            <a:pPr>
              <a:defRPr lang="en-CA"/>
            </a:pPr>
            <a:endParaRPr lang="en-US"/>
          </a:p>
        </c:txPr>
        <c:crossAx val="139426432"/>
        <c:crosses val="autoZero"/>
        <c:auto val="1"/>
        <c:lblAlgn val="ctr"/>
        <c:lblOffset val="100"/>
      </c:catAx>
      <c:valAx>
        <c:axId val="139426432"/>
        <c:scaling>
          <c:orientation val="minMax"/>
        </c:scaling>
        <c:axPos val="l"/>
        <c:majorGridlines/>
        <c:numFmt formatCode="General" sourceLinked="1"/>
        <c:tickLblPos val="nextTo"/>
        <c:txPr>
          <a:bodyPr/>
          <a:lstStyle/>
          <a:p>
            <a:pPr>
              <a:defRPr lang="en-CA"/>
            </a:pPr>
            <a:endParaRPr lang="en-US"/>
          </a:p>
        </c:txPr>
        <c:crossAx val="139424896"/>
        <c:crosses val="autoZero"/>
        <c:crossBetween val="between"/>
      </c:valAx>
    </c:plotArea>
    <c:plotVisOnly val="1"/>
    <c:dispBlanksAs val="gap"/>
  </c:chart>
  <c:printSettings>
    <c:headerFooter/>
    <c:pageMargins b="0.750000000000002" l="0.70000000000000062" r="0.70000000000000062" t="0.750000000000002" header="0.30000000000000032" footer="0.30000000000000032"/>
    <c:pageSetup/>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5000000000000024"/>
          <c:y val="4.8611111111111112E-2"/>
          <c:w val="0.81666666666666654"/>
          <c:h val="0.53472222222222221"/>
        </c:manualLayout>
      </c:layout>
      <c:barChart>
        <c:barDir val="col"/>
        <c:grouping val="clustered"/>
        <c:ser>
          <c:idx val="0"/>
          <c:order val="0"/>
          <c:cat>
            <c:strRef>
              <c:f>Equ!$K$26:$K$36</c:f>
              <c:strCache>
                <c:ptCount val="11"/>
                <c:pt idx="0">
                  <c:v>Prince Edward Island</c:v>
                </c:pt>
                <c:pt idx="1">
                  <c:v>Alberta</c:v>
                </c:pt>
                <c:pt idx="2">
                  <c:v>Quebec</c:v>
                </c:pt>
                <c:pt idx="3">
                  <c:v>Ontario</c:v>
                </c:pt>
                <c:pt idx="4">
                  <c:v>Nova Scotia</c:v>
                </c:pt>
                <c:pt idx="5">
                  <c:v>Canada</c:v>
                </c:pt>
                <c:pt idx="6">
                  <c:v>Newfoundland</c:v>
                </c:pt>
                <c:pt idx="7">
                  <c:v>Manitoba</c:v>
                </c:pt>
                <c:pt idx="8">
                  <c:v>New Brunswick</c:v>
                </c:pt>
                <c:pt idx="9">
                  <c:v>British Columbia</c:v>
                </c:pt>
                <c:pt idx="10">
                  <c:v>Saskatchewan</c:v>
                </c:pt>
              </c:strCache>
            </c:strRef>
          </c:cat>
          <c:val>
            <c:numRef>
              <c:f>Equ!$L$26:$L$36</c:f>
              <c:numCache>
                <c:formatCode>General</c:formatCode>
                <c:ptCount val="11"/>
                <c:pt idx="0">
                  <c:v>116.88016494868545</c:v>
                </c:pt>
                <c:pt idx="1">
                  <c:v>100</c:v>
                </c:pt>
                <c:pt idx="2">
                  <c:v>94.421985059699836</c:v>
                </c:pt>
                <c:pt idx="3">
                  <c:v>87.732629291663102</c:v>
                </c:pt>
                <c:pt idx="4">
                  <c:v>86.150850655680287</c:v>
                </c:pt>
                <c:pt idx="5">
                  <c:v>83.686725991863625</c:v>
                </c:pt>
                <c:pt idx="6">
                  <c:v>83.619620351971932</c:v>
                </c:pt>
                <c:pt idx="7">
                  <c:v>79.188264992910035</c:v>
                </c:pt>
                <c:pt idx="8">
                  <c:v>78.492358637469621</c:v>
                </c:pt>
                <c:pt idx="9">
                  <c:v>59.917622532522365</c:v>
                </c:pt>
                <c:pt idx="10">
                  <c:v>54.018166139331093</c:v>
                </c:pt>
              </c:numCache>
            </c:numRef>
          </c:val>
        </c:ser>
        <c:axId val="139456896"/>
        <c:axId val="139465088"/>
      </c:barChart>
      <c:catAx>
        <c:axId val="139456896"/>
        <c:scaling>
          <c:orientation val="minMax"/>
        </c:scaling>
        <c:axPos val="b"/>
        <c:numFmt formatCode="General" sourceLinked="1"/>
        <c:tickLblPos val="nextTo"/>
        <c:txPr>
          <a:bodyPr/>
          <a:lstStyle/>
          <a:p>
            <a:pPr>
              <a:defRPr lang="en-CA"/>
            </a:pPr>
            <a:endParaRPr lang="en-US"/>
          </a:p>
        </c:txPr>
        <c:crossAx val="139465088"/>
        <c:crosses val="autoZero"/>
        <c:auto val="1"/>
        <c:lblAlgn val="ctr"/>
        <c:lblOffset val="100"/>
      </c:catAx>
      <c:valAx>
        <c:axId val="139465088"/>
        <c:scaling>
          <c:orientation val="minMax"/>
        </c:scaling>
        <c:axPos val="l"/>
        <c:majorGridlines/>
        <c:numFmt formatCode="General" sourceLinked="1"/>
        <c:tickLblPos val="nextTo"/>
        <c:txPr>
          <a:bodyPr/>
          <a:lstStyle/>
          <a:p>
            <a:pPr>
              <a:defRPr lang="en-CA"/>
            </a:pPr>
            <a:endParaRPr lang="en-US"/>
          </a:p>
        </c:txPr>
        <c:crossAx val="139456896"/>
        <c:crosses val="autoZero"/>
        <c:crossBetween val="between"/>
      </c:valAx>
    </c:plotArea>
    <c:plotVisOnly val="1"/>
    <c:dispBlanksAs val="gap"/>
  </c:chart>
  <c:printSettings>
    <c:headerFooter/>
    <c:pageMargins b="0.750000000000002" l="0.70000000000000062" r="0.70000000000000062" t="0.750000000000002" header="0.30000000000000032" footer="0.30000000000000032"/>
    <c:pageSetup/>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683823529411764"/>
          <c:y val="4.0579710144927526E-2"/>
          <c:w val="0.843750000000002"/>
          <c:h val="0.61159420289855304"/>
        </c:manualLayout>
      </c:layout>
      <c:barChart>
        <c:barDir val="col"/>
        <c:grouping val="clustered"/>
        <c:ser>
          <c:idx val="0"/>
          <c:order val="0"/>
          <c:cat>
            <c:strRef>
              <c:f>Equ!$K$5:$K$15</c:f>
              <c:strCache>
                <c:ptCount val="11"/>
                <c:pt idx="0">
                  <c:v>Prince Edward Island</c:v>
                </c:pt>
                <c:pt idx="1">
                  <c:v>Newfoundland</c:v>
                </c:pt>
                <c:pt idx="2">
                  <c:v>Saskatchewan</c:v>
                </c:pt>
                <c:pt idx="3">
                  <c:v>Nova Scotia</c:v>
                </c:pt>
                <c:pt idx="4">
                  <c:v>New Brunswick</c:v>
                </c:pt>
                <c:pt idx="5">
                  <c:v>Manitoba</c:v>
                </c:pt>
                <c:pt idx="6">
                  <c:v>Quebec</c:v>
                </c:pt>
                <c:pt idx="7">
                  <c:v>Alberta</c:v>
                </c:pt>
                <c:pt idx="8">
                  <c:v>Canada</c:v>
                </c:pt>
                <c:pt idx="9">
                  <c:v>Ontario</c:v>
                </c:pt>
                <c:pt idx="10">
                  <c:v>British Columbia</c:v>
                </c:pt>
              </c:strCache>
            </c:strRef>
          </c:cat>
          <c:val>
            <c:numRef>
              <c:f>Equ!$L$5:$L$15</c:f>
              <c:numCache>
                <c:formatCode>General</c:formatCode>
                <c:ptCount val="11"/>
                <c:pt idx="0">
                  <c:v>55.262357291984877</c:v>
                </c:pt>
                <c:pt idx="1">
                  <c:v>49.163104641399244</c:v>
                </c:pt>
                <c:pt idx="2">
                  <c:v>25.117206112238105</c:v>
                </c:pt>
                <c:pt idx="3">
                  <c:v>24.889768964546406</c:v>
                </c:pt>
                <c:pt idx="4">
                  <c:v>18.698397344604945</c:v>
                </c:pt>
                <c:pt idx="5">
                  <c:v>16.516750566044045</c:v>
                </c:pt>
                <c:pt idx="6">
                  <c:v>7.0528641003816341</c:v>
                </c:pt>
                <c:pt idx="7">
                  <c:v>0.2141568445460523</c:v>
                </c:pt>
                <c:pt idx="8">
                  <c:v>-6.4010843125204024</c:v>
                </c:pt>
                <c:pt idx="9">
                  <c:v>-19.046205462454726</c:v>
                </c:pt>
                <c:pt idx="10">
                  <c:v>-24.666654827780711</c:v>
                </c:pt>
              </c:numCache>
            </c:numRef>
          </c:val>
        </c:ser>
        <c:axId val="139492736"/>
        <c:axId val="139494528"/>
      </c:barChart>
      <c:catAx>
        <c:axId val="139492736"/>
        <c:scaling>
          <c:orientation val="minMax"/>
        </c:scaling>
        <c:axPos val="b"/>
        <c:numFmt formatCode="General" sourceLinked="1"/>
        <c:tickLblPos val="low"/>
        <c:txPr>
          <a:bodyPr/>
          <a:lstStyle/>
          <a:p>
            <a:pPr>
              <a:defRPr lang="en-CA"/>
            </a:pPr>
            <a:endParaRPr lang="en-US"/>
          </a:p>
        </c:txPr>
        <c:crossAx val="139494528"/>
        <c:crosses val="autoZero"/>
        <c:auto val="1"/>
        <c:lblAlgn val="ctr"/>
        <c:lblOffset val="100"/>
      </c:catAx>
      <c:valAx>
        <c:axId val="139494528"/>
        <c:scaling>
          <c:orientation val="minMax"/>
        </c:scaling>
        <c:axPos val="l"/>
        <c:majorGridlines/>
        <c:numFmt formatCode="General" sourceLinked="1"/>
        <c:tickLblPos val="nextTo"/>
        <c:txPr>
          <a:bodyPr/>
          <a:lstStyle/>
          <a:p>
            <a:pPr>
              <a:defRPr lang="en-CA"/>
            </a:pPr>
            <a:endParaRPr lang="en-US"/>
          </a:p>
        </c:txPr>
        <c:crossAx val="139492736"/>
        <c:crosses val="autoZero"/>
        <c:crossBetween val="between"/>
      </c:valAx>
    </c:plotArea>
    <c:plotVisOnly val="1"/>
    <c:dispBlanksAs val="gap"/>
  </c:chart>
  <c:printSettings>
    <c:headerFooter/>
    <c:pageMargins b="0.750000000000002" l="0.70000000000000062" r="0.70000000000000062" t="0.750000000000002"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8739495798320018E-2"/>
          <c:y val="4.8109965635738827E-2"/>
          <c:w val="0.86974789915966577"/>
          <c:h val="0.53608247422680411"/>
        </c:manualLayout>
      </c:layout>
      <c:barChart>
        <c:barDir val="col"/>
        <c:grouping val="clustered"/>
        <c:ser>
          <c:idx val="0"/>
          <c:order val="0"/>
          <c:cat>
            <c:strRef>
              <c:f>Sec!$W$26:$W$36</c:f>
              <c:strCache>
                <c:ptCount val="11"/>
                <c:pt idx="0">
                  <c:v>Alberta</c:v>
                </c:pt>
                <c:pt idx="1">
                  <c:v>Saskatchewan</c:v>
                </c:pt>
                <c:pt idx="2">
                  <c:v>Manitoba</c:v>
                </c:pt>
                <c:pt idx="3">
                  <c:v>British Columbia</c:v>
                </c:pt>
                <c:pt idx="4">
                  <c:v>Canada</c:v>
                </c:pt>
                <c:pt idx="5">
                  <c:v>Nova Scotia</c:v>
                </c:pt>
                <c:pt idx="6">
                  <c:v>Newfoundland</c:v>
                </c:pt>
                <c:pt idx="7">
                  <c:v>Quebec</c:v>
                </c:pt>
                <c:pt idx="8">
                  <c:v>Ontario</c:v>
                </c:pt>
                <c:pt idx="9">
                  <c:v>Prince Edward Island</c:v>
                </c:pt>
                <c:pt idx="10">
                  <c:v>New Brunswick</c:v>
                </c:pt>
              </c:strCache>
            </c:strRef>
          </c:cat>
          <c:val>
            <c:numRef>
              <c:f>Sec!$X$26:$X$36</c:f>
              <c:numCache>
                <c:formatCode>General</c:formatCode>
                <c:ptCount val="11"/>
                <c:pt idx="0">
                  <c:v>100</c:v>
                </c:pt>
                <c:pt idx="1">
                  <c:v>97.894335425530784</c:v>
                </c:pt>
                <c:pt idx="2">
                  <c:v>87.083423789705733</c:v>
                </c:pt>
                <c:pt idx="3">
                  <c:v>79.148263889284905</c:v>
                </c:pt>
                <c:pt idx="4">
                  <c:v>78.117509645435163</c:v>
                </c:pt>
                <c:pt idx="5">
                  <c:v>74.602039881373429</c:v>
                </c:pt>
                <c:pt idx="6">
                  <c:v>70.492519114435709</c:v>
                </c:pt>
                <c:pt idx="7">
                  <c:v>69.877991134560617</c:v>
                </c:pt>
                <c:pt idx="8">
                  <c:v>67.490069239231843</c:v>
                </c:pt>
                <c:pt idx="9">
                  <c:v>66.181507142591272</c:v>
                </c:pt>
                <c:pt idx="10">
                  <c:v>62.085915008571391</c:v>
                </c:pt>
              </c:numCache>
            </c:numRef>
          </c:val>
        </c:ser>
        <c:axId val="139596160"/>
        <c:axId val="139597696"/>
      </c:barChart>
      <c:catAx>
        <c:axId val="139596160"/>
        <c:scaling>
          <c:orientation val="minMax"/>
        </c:scaling>
        <c:axPos val="b"/>
        <c:numFmt formatCode="General" sourceLinked="1"/>
        <c:tickLblPos val="nextTo"/>
        <c:txPr>
          <a:bodyPr/>
          <a:lstStyle/>
          <a:p>
            <a:pPr>
              <a:defRPr lang="en-CA"/>
            </a:pPr>
            <a:endParaRPr lang="en-US"/>
          </a:p>
        </c:txPr>
        <c:crossAx val="139597696"/>
        <c:crosses val="autoZero"/>
        <c:auto val="1"/>
        <c:lblAlgn val="ctr"/>
        <c:lblOffset val="100"/>
      </c:catAx>
      <c:valAx>
        <c:axId val="139597696"/>
        <c:scaling>
          <c:orientation val="minMax"/>
        </c:scaling>
        <c:axPos val="l"/>
        <c:majorGridlines/>
        <c:numFmt formatCode="General" sourceLinked="1"/>
        <c:tickLblPos val="nextTo"/>
        <c:txPr>
          <a:bodyPr/>
          <a:lstStyle/>
          <a:p>
            <a:pPr>
              <a:defRPr lang="en-CA"/>
            </a:pPr>
            <a:endParaRPr lang="en-US"/>
          </a:p>
        </c:txPr>
        <c:crossAx val="139596160"/>
        <c:crosses val="autoZero"/>
        <c:crossBetween val="between"/>
      </c:valAx>
    </c:plotArea>
    <c:plotVisOnly val="1"/>
    <c:dispBlanksAs val="gap"/>
  </c:chart>
  <c:printSettings>
    <c:headerFooter/>
    <c:pageMargins b="0.750000000000002" l="0.70000000000000062" r="0.70000000000000062" t="0.750000000000002"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134453781512595"/>
          <c:y val="4.7619047619047623E-2"/>
          <c:w val="0.71008403361344818"/>
          <c:h val="0.89795918367346961"/>
        </c:manualLayout>
      </c:layout>
      <c:barChart>
        <c:barDir val="col"/>
        <c:grouping val="clustered"/>
        <c:ser>
          <c:idx val="0"/>
          <c:order val="0"/>
          <c:cat>
            <c:strRef>
              <c:f>Sec!$W$5:$W$15</c:f>
              <c:strCache>
                <c:ptCount val="11"/>
                <c:pt idx="0">
                  <c:v>Newfoundland</c:v>
                </c:pt>
                <c:pt idx="1">
                  <c:v>Prince Edward Island</c:v>
                </c:pt>
                <c:pt idx="2">
                  <c:v>Saskatchewan</c:v>
                </c:pt>
                <c:pt idx="3">
                  <c:v>Manitoba</c:v>
                </c:pt>
                <c:pt idx="4">
                  <c:v>Alberta</c:v>
                </c:pt>
                <c:pt idx="5">
                  <c:v>British Columbia</c:v>
                </c:pt>
                <c:pt idx="6">
                  <c:v>Canada</c:v>
                </c:pt>
                <c:pt idx="7">
                  <c:v>New Brunswick</c:v>
                </c:pt>
                <c:pt idx="8">
                  <c:v>Quebec</c:v>
                </c:pt>
                <c:pt idx="9">
                  <c:v>Nova Scotia</c:v>
                </c:pt>
                <c:pt idx="10">
                  <c:v>Ontario</c:v>
                </c:pt>
              </c:strCache>
            </c:strRef>
          </c:cat>
          <c:val>
            <c:numRef>
              <c:f>Sec!$X$5:$X$15</c:f>
              <c:numCache>
                <c:formatCode>General</c:formatCode>
                <c:ptCount val="11"/>
                <c:pt idx="0">
                  <c:v>6.3514544063068463</c:v>
                </c:pt>
                <c:pt idx="1">
                  <c:v>-1.85073122278437</c:v>
                </c:pt>
                <c:pt idx="2">
                  <c:v>-10.603869419159938</c:v>
                </c:pt>
                <c:pt idx="3">
                  <c:v>-12.037034946276529</c:v>
                </c:pt>
                <c:pt idx="4">
                  <c:v>-12.766614261723763</c:v>
                </c:pt>
                <c:pt idx="5">
                  <c:v>-15.259388466194949</c:v>
                </c:pt>
                <c:pt idx="6">
                  <c:v>-19.764597573975845</c:v>
                </c:pt>
                <c:pt idx="7">
                  <c:v>-22.578671553745842</c:v>
                </c:pt>
                <c:pt idx="8">
                  <c:v>-25.76143710150393</c:v>
                </c:pt>
                <c:pt idx="9">
                  <c:v>-25.785926244761441</c:v>
                </c:pt>
                <c:pt idx="10">
                  <c:v>-37.258057832521523</c:v>
                </c:pt>
              </c:numCache>
            </c:numRef>
          </c:val>
        </c:ser>
        <c:axId val="139625216"/>
        <c:axId val="139626752"/>
      </c:barChart>
      <c:catAx>
        <c:axId val="139625216"/>
        <c:scaling>
          <c:orientation val="minMax"/>
        </c:scaling>
        <c:axPos val="b"/>
        <c:numFmt formatCode="General" sourceLinked="1"/>
        <c:tickLblPos val="nextTo"/>
        <c:txPr>
          <a:bodyPr/>
          <a:lstStyle/>
          <a:p>
            <a:pPr>
              <a:defRPr lang="en-CA"/>
            </a:pPr>
            <a:endParaRPr lang="en-US"/>
          </a:p>
        </c:txPr>
        <c:crossAx val="139626752"/>
        <c:crosses val="autoZero"/>
        <c:auto val="1"/>
        <c:lblAlgn val="ctr"/>
        <c:lblOffset val="100"/>
      </c:catAx>
      <c:valAx>
        <c:axId val="139626752"/>
        <c:scaling>
          <c:orientation val="minMax"/>
        </c:scaling>
        <c:axPos val="l"/>
        <c:majorGridlines/>
        <c:numFmt formatCode="General" sourceLinked="1"/>
        <c:tickLblPos val="nextTo"/>
        <c:txPr>
          <a:bodyPr/>
          <a:lstStyle/>
          <a:p>
            <a:pPr>
              <a:defRPr lang="en-CA"/>
            </a:pPr>
            <a:endParaRPr lang="en-US"/>
          </a:p>
        </c:txPr>
        <c:crossAx val="139625216"/>
        <c:crosses val="autoZero"/>
        <c:crossBetween val="between"/>
      </c:valAx>
    </c:plotArea>
    <c:legend>
      <c:legendPos val="r"/>
      <c:txPr>
        <a:bodyPr/>
        <a:lstStyle/>
        <a:p>
          <a:pPr>
            <a:defRPr lang="en-CA"/>
          </a:pPr>
          <a:endParaRPr lang="en-US"/>
        </a:p>
      </c:txPr>
    </c:legend>
    <c:plotVisOnly val="1"/>
    <c:dispBlanksAs val="gap"/>
  </c:chart>
  <c:printSettings>
    <c:headerFooter/>
    <c:pageMargins b="0.750000000000002" l="0.70000000000000062" r="0.70000000000000062" t="0.750000000000002"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4989301198067159"/>
          <c:y val="2.6086956521739212E-2"/>
          <c:w val="0.82976488775014623"/>
          <c:h val="0.80695652173913046"/>
        </c:manualLayout>
      </c:layout>
      <c:barChart>
        <c:barDir val="bar"/>
        <c:grouping val="clustered"/>
        <c:ser>
          <c:idx val="0"/>
          <c:order val="0"/>
          <c:tx>
            <c:strRef>
              <c:f>Sec!$H$54</c:f>
              <c:strCache>
                <c:ptCount val="1"/>
                <c:pt idx="0">
                  <c:v>Unemployment Protection </c:v>
                </c:pt>
              </c:strCache>
            </c:strRef>
          </c:tx>
          <c:cat>
            <c:strRef>
              <c:f>Sec!$G$55:$G$65</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Sec!$H$55:$H$65</c:f>
              <c:numCache>
                <c:formatCode>General</c:formatCode>
                <c:ptCount val="11"/>
                <c:pt idx="0">
                  <c:v>91.52422244851293</c:v>
                </c:pt>
                <c:pt idx="1">
                  <c:v>57.791002621515212</c:v>
                </c:pt>
                <c:pt idx="2">
                  <c:v>78.791178490715382</c:v>
                </c:pt>
                <c:pt idx="3">
                  <c:v>92.057065508736272</c:v>
                </c:pt>
                <c:pt idx="4">
                  <c:v>97.886629281023531</c:v>
                </c:pt>
                <c:pt idx="5">
                  <c:v>92.492272180709577</c:v>
                </c:pt>
                <c:pt idx="6">
                  <c:v>84.884903693561611</c:v>
                </c:pt>
                <c:pt idx="7">
                  <c:v>110.77988390287292</c:v>
                </c:pt>
                <c:pt idx="8">
                  <c:v>113.40443645667855</c:v>
                </c:pt>
                <c:pt idx="9">
                  <c:v>100</c:v>
                </c:pt>
                <c:pt idx="10">
                  <c:v>96.532262411526432</c:v>
                </c:pt>
              </c:numCache>
            </c:numRef>
          </c:val>
        </c:ser>
        <c:ser>
          <c:idx val="1"/>
          <c:order val="1"/>
          <c:tx>
            <c:strRef>
              <c:f>Sec!$I$54</c:f>
              <c:strCache>
                <c:ptCount val="1"/>
                <c:pt idx="0">
                  <c:v>Risk by illness</c:v>
                </c:pt>
              </c:strCache>
            </c:strRef>
          </c:tx>
          <c:cat>
            <c:strRef>
              <c:f>Sec!$G$55:$G$65</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Sec!$I$55:$I$65</c:f>
              <c:numCache>
                <c:formatCode>General</c:formatCode>
                <c:ptCount val="11"/>
                <c:pt idx="0">
                  <c:v>54.076624790475982</c:v>
                </c:pt>
                <c:pt idx="1">
                  <c:v>57.614662406463836</c:v>
                </c:pt>
                <c:pt idx="2">
                  <c:v>31.096674485802438</c:v>
                </c:pt>
                <c:pt idx="3">
                  <c:v>37.342130694570557</c:v>
                </c:pt>
                <c:pt idx="4">
                  <c:v>6.9077891015058377</c:v>
                </c:pt>
                <c:pt idx="5">
                  <c:v>57.548221412728097</c:v>
                </c:pt>
                <c:pt idx="6">
                  <c:v>31.414193811346802</c:v>
                </c:pt>
                <c:pt idx="7">
                  <c:v>62.793692815701426</c:v>
                </c:pt>
                <c:pt idx="8">
                  <c:v>96.408885570279779</c:v>
                </c:pt>
                <c:pt idx="9">
                  <c:v>100</c:v>
                </c:pt>
                <c:pt idx="10">
                  <c:v>60.254806933966286</c:v>
                </c:pt>
              </c:numCache>
            </c:numRef>
          </c:val>
        </c:ser>
        <c:ser>
          <c:idx val="2"/>
          <c:order val="2"/>
          <c:tx>
            <c:strRef>
              <c:f>Sec!$J$54</c:f>
              <c:strCache>
                <c:ptCount val="1"/>
                <c:pt idx="0">
                  <c:v>Single parent poverty</c:v>
                </c:pt>
              </c:strCache>
            </c:strRef>
          </c:tx>
          <c:cat>
            <c:strRef>
              <c:f>Sec!$G$55:$G$65</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Sec!$J$55:$J$65</c:f>
              <c:numCache>
                <c:formatCode>General</c:formatCode>
                <c:ptCount val="11"/>
                <c:pt idx="0">
                  <c:v>92.022378837967295</c:v>
                </c:pt>
                <c:pt idx="1">
                  <c:v>96.917032272278334</c:v>
                </c:pt>
                <c:pt idx="2">
                  <c:v>94.390276750379016</c:v>
                </c:pt>
                <c:pt idx="3">
                  <c:v>109.1675855768575</c:v>
                </c:pt>
                <c:pt idx="4">
                  <c:v>92.121459048906388</c:v>
                </c:pt>
                <c:pt idx="5">
                  <c:v>101.75007186785017</c:v>
                </c:pt>
                <c:pt idx="6">
                  <c:v>90.014717229442581</c:v>
                </c:pt>
                <c:pt idx="7">
                  <c:v>96.136296844595677</c:v>
                </c:pt>
                <c:pt idx="8">
                  <c:v>85.176206885984868</c:v>
                </c:pt>
                <c:pt idx="9">
                  <c:v>100</c:v>
                </c:pt>
                <c:pt idx="10">
                  <c:v>74.370809467289035</c:v>
                </c:pt>
              </c:numCache>
            </c:numRef>
          </c:val>
        </c:ser>
        <c:ser>
          <c:idx val="3"/>
          <c:order val="3"/>
          <c:tx>
            <c:strRef>
              <c:f>Sec!$K$54</c:f>
              <c:strCache>
                <c:ptCount val="1"/>
                <c:pt idx="0">
                  <c:v>Elderly poverty</c:v>
                </c:pt>
              </c:strCache>
            </c:strRef>
          </c:tx>
          <c:cat>
            <c:strRef>
              <c:f>Sec!$G$55:$G$65</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Sec!$K$55:$K$65</c:f>
              <c:numCache>
                <c:formatCode>General</c:formatCode>
                <c:ptCount val="11"/>
                <c:pt idx="0">
                  <c:v>94.579673550063987</c:v>
                </c:pt>
                <c:pt idx="1">
                  <c:v>89.807452110751257</c:v>
                </c:pt>
                <c:pt idx="2">
                  <c:v>88.817757122365776</c:v>
                </c:pt>
                <c:pt idx="3">
                  <c:v>90.43467511050568</c:v>
                </c:pt>
                <c:pt idx="4">
                  <c:v>92.431723137665216</c:v>
                </c:pt>
                <c:pt idx="5">
                  <c:v>25.992220519685084</c:v>
                </c:pt>
                <c:pt idx="6">
                  <c:v>94.197802340394659</c:v>
                </c:pt>
                <c:pt idx="7">
                  <c:v>91.608300268157421</c:v>
                </c:pt>
                <c:pt idx="8">
                  <c:v>89.10942598916256</c:v>
                </c:pt>
                <c:pt idx="9">
                  <c:v>100</c:v>
                </c:pt>
                <c:pt idx="10">
                  <c:v>97.116664462947753</c:v>
                </c:pt>
              </c:numCache>
            </c:numRef>
          </c:val>
        </c:ser>
        <c:axId val="138486528"/>
        <c:axId val="138488064"/>
      </c:barChart>
      <c:catAx>
        <c:axId val="138486528"/>
        <c:scaling>
          <c:orientation val="minMax"/>
        </c:scaling>
        <c:axPos val="l"/>
        <c:numFmt formatCode="General" sourceLinked="1"/>
        <c:tickLblPos val="nextTo"/>
        <c:txPr>
          <a:bodyPr/>
          <a:lstStyle/>
          <a:p>
            <a:pPr>
              <a:defRPr lang="en-CA"/>
            </a:pPr>
            <a:endParaRPr lang="en-US"/>
          </a:p>
        </c:txPr>
        <c:crossAx val="138488064"/>
        <c:crosses val="autoZero"/>
        <c:auto val="1"/>
        <c:lblAlgn val="ctr"/>
        <c:lblOffset val="100"/>
      </c:catAx>
      <c:valAx>
        <c:axId val="138488064"/>
        <c:scaling>
          <c:orientation val="minMax"/>
        </c:scaling>
        <c:axPos val="b"/>
        <c:majorGridlines/>
        <c:numFmt formatCode="General" sourceLinked="1"/>
        <c:tickLblPos val="nextTo"/>
        <c:txPr>
          <a:bodyPr/>
          <a:lstStyle/>
          <a:p>
            <a:pPr>
              <a:defRPr lang="en-CA"/>
            </a:pPr>
            <a:endParaRPr lang="en-US"/>
          </a:p>
        </c:txPr>
        <c:crossAx val="138486528"/>
        <c:crosses val="autoZero"/>
        <c:crossBetween val="between"/>
      </c:valAx>
    </c:plotArea>
    <c:legend>
      <c:legendPos val="r"/>
      <c:layout>
        <c:manualLayout>
          <c:xMode val="edge"/>
          <c:yMode val="edge"/>
          <c:x val="0.12061771570106868"/>
          <c:y val="0.88525805518945322"/>
          <c:w val="0.79201613422300421"/>
          <c:h val="5.6339652822367192E-2"/>
        </c:manualLayout>
      </c:layout>
      <c:txPr>
        <a:bodyPr/>
        <a:lstStyle/>
        <a:p>
          <a:pPr>
            <a:defRPr lang="en-CA"/>
          </a:pPr>
          <a:endParaRPr lang="en-US"/>
        </a:p>
      </c:txPr>
    </c:legend>
    <c:plotVisOnly val="1"/>
    <c:dispBlanksAs val="gap"/>
  </c:chart>
  <c:printSettings>
    <c:headerFooter/>
    <c:pageMargins b="0.750000000000002" l="0.70000000000000062" r="0.70000000000000062" t="0.750000000000002"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12: Overall Index of Economic Well-being, Manitoba vs. Canada</a:t>
            </a:r>
          </a:p>
        </c:rich>
      </c:tx>
      <c:layout>
        <c:manualLayout>
          <c:xMode val="edge"/>
          <c:yMode val="edge"/>
          <c:x val="0.23640399556049185"/>
          <c:y val="1.9575856443719643E-2"/>
        </c:manualLayout>
      </c:layout>
      <c:spPr>
        <a:noFill/>
        <a:ln w="25400">
          <a:noFill/>
        </a:ln>
      </c:spPr>
    </c:title>
    <c:plotArea>
      <c:layout>
        <c:manualLayout>
          <c:layoutTarget val="inner"/>
          <c:xMode val="edge"/>
          <c:yMode val="edge"/>
          <c:x val="4.1065482796892344E-2"/>
          <c:y val="0.12234910277324652"/>
          <c:w val="0.84239733629301672"/>
          <c:h val="0.81076672104404557"/>
        </c:manualLayout>
      </c:layout>
      <c:lineChart>
        <c:grouping val="standard"/>
        <c:ser>
          <c:idx val="1"/>
          <c:order val="0"/>
          <c:tx>
            <c:strRef>
              <c:f>'11'!$I$4</c:f>
              <c:strCache>
                <c:ptCount val="1"/>
                <c:pt idx="0">
                  <c:v>Man.</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'11'!$BA$5:$BA$34</c:f>
              <c:numCache>
                <c:formatCode>0.000</c:formatCode>
                <c:ptCount val="19"/>
                <c:pt idx="0">
                  <c:v>0.38852384641052429</c:v>
                </c:pt>
                <c:pt idx="1">
                  <c:v>0.40424838584957756</c:v>
                </c:pt>
                <c:pt idx="2">
                  <c:v>0.39695818472445765</c:v>
                </c:pt>
                <c:pt idx="3">
                  <c:v>0.42829431942762175</c:v>
                </c:pt>
                <c:pt idx="4">
                  <c:v>0.44528903176181989</c:v>
                </c:pt>
                <c:pt idx="5">
                  <c:v>0.4410727569854464</c:v>
                </c:pt>
                <c:pt idx="6">
                  <c:v>0.46146396626025021</c:v>
                </c:pt>
                <c:pt idx="7">
                  <c:v>0.47609090816418254</c:v>
                </c:pt>
                <c:pt idx="8">
                  <c:v>0.4867209997516504</c:v>
                </c:pt>
                <c:pt idx="9">
                  <c:v>0.4702166714532906</c:v>
                </c:pt>
                <c:pt idx="10">
                  <c:v>0.47377724778432956</c:v>
                </c:pt>
                <c:pt idx="11">
                  <c:v>0.45725662668998879</c:v>
                </c:pt>
                <c:pt idx="12">
                  <c:v>0.4606973002867828</c:v>
                </c:pt>
                <c:pt idx="13">
                  <c:v>0.46448998216467507</c:v>
                </c:pt>
                <c:pt idx="14">
                  <c:v>0.50388329103713203</c:v>
                </c:pt>
                <c:pt idx="15">
                  <c:v>0.48082784410049906</c:v>
                </c:pt>
                <c:pt idx="16">
                  <c:v>0.48044871530172639</c:v>
                </c:pt>
                <c:pt idx="17">
                  <c:v>0.47986232620777669</c:v>
                </c:pt>
                <c:pt idx="18">
                  <c:v>0.46560213126807515</c:v>
                </c:pt>
              </c:numCache>
            </c:numRef>
          </c:val>
        </c:ser>
        <c:ser>
          <c:idx val="0"/>
          <c:order val="1"/>
          <c:tx>
            <c:strRef>
              <c:f>'11'!$AT$4</c:f>
              <c:strCache>
                <c:ptCount val="1"/>
                <c:pt idx="0">
                  <c:v>Canada</c:v>
                </c:pt>
              </c:strCache>
            </c:strRef>
          </c:tx>
          <c:spPr>
            <a:ln w="12700">
              <a:solidFill>
                <a:srgbClr val="000000"/>
              </a:solidFill>
              <a:prstDash val="solid"/>
            </a:ln>
          </c:spPr>
          <c:marker>
            <c:symbol val="none"/>
          </c:marker>
          <c:val>
            <c:numRef>
              <c:f>'11'!$AT$5:$AT$34</c:f>
              <c:numCache>
                <c:formatCode>0.000</c:formatCode>
                <c:ptCount val="19"/>
                <c:pt idx="0">
                  <c:v>0.44780458265691525</c:v>
                </c:pt>
                <c:pt idx="1">
                  <c:v>0.43301562693507134</c:v>
                </c:pt>
                <c:pt idx="2">
                  <c:v>0.42340958261067185</c:v>
                </c:pt>
                <c:pt idx="3">
                  <c:v>0.42844030729926186</c:v>
                </c:pt>
                <c:pt idx="4">
                  <c:v>0.44705988924508555</c:v>
                </c:pt>
                <c:pt idx="5">
                  <c:v>0.45172672744933806</c:v>
                </c:pt>
                <c:pt idx="6">
                  <c:v>0.46232821572107063</c:v>
                </c:pt>
                <c:pt idx="7">
                  <c:v>0.48738294963598849</c:v>
                </c:pt>
                <c:pt idx="8">
                  <c:v>0.50357121370456881</c:v>
                </c:pt>
                <c:pt idx="9">
                  <c:v>0.49054495517693048</c:v>
                </c:pt>
                <c:pt idx="10">
                  <c:v>0.48104437061629834</c:v>
                </c:pt>
                <c:pt idx="11">
                  <c:v>0.47966464196689351</c:v>
                </c:pt>
                <c:pt idx="12">
                  <c:v>0.4798713663978178</c:v>
                </c:pt>
                <c:pt idx="13">
                  <c:v>0.48615136049483088</c:v>
                </c:pt>
                <c:pt idx="14">
                  <c:v>0.4878403706788994</c:v>
                </c:pt>
                <c:pt idx="15">
                  <c:v>0.47679488956266264</c:v>
                </c:pt>
                <c:pt idx="16">
                  <c:v>0.47766802820173043</c:v>
                </c:pt>
                <c:pt idx="17">
                  <c:v>0.48422154380221771</c:v>
                </c:pt>
                <c:pt idx="18">
                  <c:v>0.49477781532887766</c:v>
                </c:pt>
              </c:numCache>
            </c:numRef>
          </c:val>
        </c:ser>
        <c:marker val="1"/>
        <c:axId val="130350080"/>
        <c:axId val="128414464"/>
      </c:lineChart>
      <c:catAx>
        <c:axId val="130350080"/>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28414464"/>
        <c:crosses val="autoZero"/>
        <c:auto val="1"/>
        <c:lblAlgn val="ctr"/>
        <c:lblOffset val="100"/>
        <c:tickLblSkip val="3"/>
        <c:tickMarkSkip val="1"/>
      </c:catAx>
      <c:valAx>
        <c:axId val="128414464"/>
        <c:scaling>
          <c:orientation val="minMax"/>
          <c:max val="1.4"/>
          <c:min val="0.8"/>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0350080"/>
        <c:crosses val="autoZero"/>
        <c:crossBetween val="midCat"/>
      </c:valAx>
      <c:spPr>
        <a:solidFill>
          <a:srgbClr val="FFFFFF"/>
        </a:solidFill>
        <a:ln w="3175">
          <a:solidFill>
            <a:srgbClr val="000000"/>
          </a:solidFill>
          <a:prstDash val="solid"/>
        </a:ln>
      </c:spPr>
    </c:plotArea>
    <c:legend>
      <c:legendPos val="r"/>
      <c:layout>
        <c:manualLayout>
          <c:xMode val="edge"/>
          <c:yMode val="edge"/>
          <c:wMode val="edge"/>
          <c:hMode val="edge"/>
          <c:x val="0.91120976692563749"/>
          <c:y val="0.49265905383360531"/>
          <c:w val="0.99556048834627453"/>
          <c:h val="0.5628058727569336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13: Overall Index of Economic Well-being, Saskatchewan vs. Canada</a:t>
            </a:r>
          </a:p>
        </c:rich>
      </c:tx>
      <c:layout>
        <c:manualLayout>
          <c:xMode val="edge"/>
          <c:yMode val="edge"/>
          <c:x val="0.21975582685904554"/>
          <c:y val="1.9575856443719643E-2"/>
        </c:manualLayout>
      </c:layout>
      <c:spPr>
        <a:noFill/>
        <a:ln w="25400">
          <a:noFill/>
        </a:ln>
      </c:spPr>
    </c:title>
    <c:plotArea>
      <c:layout>
        <c:manualLayout>
          <c:layoutTarget val="inner"/>
          <c:xMode val="edge"/>
          <c:yMode val="edge"/>
          <c:x val="4.1065482796892344E-2"/>
          <c:y val="0.12234910277324652"/>
          <c:w val="0.84239733629301672"/>
          <c:h val="0.81076672104404557"/>
        </c:manualLayout>
      </c:layout>
      <c:lineChart>
        <c:grouping val="standard"/>
        <c:ser>
          <c:idx val="1"/>
          <c:order val="0"/>
          <c:tx>
            <c:strRef>
              <c:f>'11'!$J$4</c:f>
              <c:strCache>
                <c:ptCount val="1"/>
                <c:pt idx="0">
                  <c:v>Sask.</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'11'!$BB$5:$BB$34</c:f>
              <c:numCache>
                <c:formatCode>0.000</c:formatCode>
                <c:ptCount val="19"/>
                <c:pt idx="0">
                  <c:v>0.42000045746120829</c:v>
                </c:pt>
                <c:pt idx="1">
                  <c:v>0.45753673182437132</c:v>
                </c:pt>
                <c:pt idx="2">
                  <c:v>0.45381943335303176</c:v>
                </c:pt>
                <c:pt idx="3">
                  <c:v>0.41701653346756906</c:v>
                </c:pt>
                <c:pt idx="4">
                  <c:v>0.38882899451719211</c:v>
                </c:pt>
                <c:pt idx="5">
                  <c:v>0.36945885897375641</c:v>
                </c:pt>
                <c:pt idx="6">
                  <c:v>0.42813149939011591</c:v>
                </c:pt>
                <c:pt idx="7">
                  <c:v>0.42475229195879094</c:v>
                </c:pt>
                <c:pt idx="8">
                  <c:v>0.43399234863153791</c:v>
                </c:pt>
                <c:pt idx="9">
                  <c:v>0.40760136723534202</c:v>
                </c:pt>
                <c:pt idx="10">
                  <c:v>0.41303709184964121</c:v>
                </c:pt>
                <c:pt idx="11">
                  <c:v>0.41307745424116582</c:v>
                </c:pt>
                <c:pt idx="12">
                  <c:v>0.43443784503537247</c:v>
                </c:pt>
                <c:pt idx="13">
                  <c:v>0.44272543617206195</c:v>
                </c:pt>
                <c:pt idx="14">
                  <c:v>0.43764502040807268</c:v>
                </c:pt>
                <c:pt idx="15">
                  <c:v>0.45721666838279867</c:v>
                </c:pt>
                <c:pt idx="16">
                  <c:v>0.49598779441050578</c:v>
                </c:pt>
                <c:pt idx="17">
                  <c:v>0.48766806641011873</c:v>
                </c:pt>
                <c:pt idx="18">
                  <c:v>0.50942045634897903</c:v>
                </c:pt>
              </c:numCache>
            </c:numRef>
          </c:val>
        </c:ser>
        <c:ser>
          <c:idx val="0"/>
          <c:order val="1"/>
          <c:tx>
            <c:strRef>
              <c:f>'11'!$AT$4</c:f>
              <c:strCache>
                <c:ptCount val="1"/>
                <c:pt idx="0">
                  <c:v>Canada</c:v>
                </c:pt>
              </c:strCache>
            </c:strRef>
          </c:tx>
          <c:spPr>
            <a:ln w="12700">
              <a:solidFill>
                <a:srgbClr val="000000"/>
              </a:solidFill>
              <a:prstDash val="solid"/>
            </a:ln>
          </c:spPr>
          <c:marker>
            <c:symbol val="none"/>
          </c:marker>
          <c:val>
            <c:numRef>
              <c:f>'11'!$AT$5:$AT$34</c:f>
              <c:numCache>
                <c:formatCode>0.000</c:formatCode>
                <c:ptCount val="19"/>
                <c:pt idx="0">
                  <c:v>0.44780458265691525</c:v>
                </c:pt>
                <c:pt idx="1">
                  <c:v>0.43301562693507134</c:v>
                </c:pt>
                <c:pt idx="2">
                  <c:v>0.42340958261067185</c:v>
                </c:pt>
                <c:pt idx="3">
                  <c:v>0.42844030729926186</c:v>
                </c:pt>
                <c:pt idx="4">
                  <c:v>0.44705988924508555</c:v>
                </c:pt>
                <c:pt idx="5">
                  <c:v>0.45172672744933806</c:v>
                </c:pt>
                <c:pt idx="6">
                  <c:v>0.46232821572107063</c:v>
                </c:pt>
                <c:pt idx="7">
                  <c:v>0.48738294963598849</c:v>
                </c:pt>
                <c:pt idx="8">
                  <c:v>0.50357121370456881</c:v>
                </c:pt>
                <c:pt idx="9">
                  <c:v>0.49054495517693048</c:v>
                </c:pt>
                <c:pt idx="10">
                  <c:v>0.48104437061629834</c:v>
                </c:pt>
                <c:pt idx="11">
                  <c:v>0.47966464196689351</c:v>
                </c:pt>
                <c:pt idx="12">
                  <c:v>0.4798713663978178</c:v>
                </c:pt>
                <c:pt idx="13">
                  <c:v>0.48615136049483088</c:v>
                </c:pt>
                <c:pt idx="14">
                  <c:v>0.4878403706788994</c:v>
                </c:pt>
                <c:pt idx="15">
                  <c:v>0.47679488956266264</c:v>
                </c:pt>
                <c:pt idx="16">
                  <c:v>0.47766802820173043</c:v>
                </c:pt>
                <c:pt idx="17">
                  <c:v>0.48422154380221771</c:v>
                </c:pt>
                <c:pt idx="18">
                  <c:v>0.49477781532887766</c:v>
                </c:pt>
              </c:numCache>
            </c:numRef>
          </c:val>
        </c:ser>
        <c:marker val="1"/>
        <c:axId val="130405888"/>
        <c:axId val="130407424"/>
      </c:lineChart>
      <c:catAx>
        <c:axId val="130405888"/>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0407424"/>
        <c:crosses val="autoZero"/>
        <c:auto val="1"/>
        <c:lblAlgn val="ctr"/>
        <c:lblOffset val="100"/>
        <c:tickLblSkip val="3"/>
        <c:tickMarkSkip val="1"/>
      </c:catAx>
      <c:valAx>
        <c:axId val="130407424"/>
        <c:scaling>
          <c:orientation val="minMax"/>
          <c:max val="1.4"/>
          <c:min val="0.8"/>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0405888"/>
        <c:crosses val="autoZero"/>
        <c:crossBetween val="midCat"/>
      </c:valAx>
      <c:spPr>
        <a:solidFill>
          <a:srgbClr val="FFFFFF"/>
        </a:solidFill>
        <a:ln w="3175">
          <a:solidFill>
            <a:srgbClr val="000000"/>
          </a:solidFill>
          <a:prstDash val="solid"/>
        </a:ln>
      </c:spPr>
    </c:plotArea>
    <c:legend>
      <c:legendPos val="r"/>
      <c:layout>
        <c:manualLayout>
          <c:xMode val="edge"/>
          <c:yMode val="edge"/>
          <c:wMode val="edge"/>
          <c:hMode val="edge"/>
          <c:x val="0.91120976692563749"/>
          <c:y val="0.49265905383360531"/>
          <c:w val="0.99556048834627453"/>
          <c:h val="0.5628058727569336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14: Overall Index of Economic Well-being, Alberta vs. Canada</a:t>
            </a:r>
          </a:p>
        </c:rich>
      </c:tx>
      <c:layout>
        <c:manualLayout>
          <c:xMode val="edge"/>
          <c:yMode val="edge"/>
          <c:x val="0.24417314095449499"/>
          <c:y val="1.9575856443719643E-2"/>
        </c:manualLayout>
      </c:layout>
      <c:spPr>
        <a:noFill/>
        <a:ln w="25400">
          <a:noFill/>
        </a:ln>
      </c:spPr>
    </c:title>
    <c:plotArea>
      <c:layout>
        <c:manualLayout>
          <c:layoutTarget val="inner"/>
          <c:xMode val="edge"/>
          <c:yMode val="edge"/>
          <c:x val="4.1065482796892344E-2"/>
          <c:y val="0.12234910277324652"/>
          <c:w val="0.84239733629301672"/>
          <c:h val="0.81076672104404557"/>
        </c:manualLayout>
      </c:layout>
      <c:lineChart>
        <c:grouping val="standard"/>
        <c:ser>
          <c:idx val="1"/>
          <c:order val="0"/>
          <c:tx>
            <c:strRef>
              <c:f>'11'!$K$4</c:f>
              <c:strCache>
                <c:ptCount val="1"/>
                <c:pt idx="0">
                  <c:v>Alb.</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'11'!$BC$5:$BC$34</c:f>
              <c:numCache>
                <c:formatCode>0.000</c:formatCode>
                <c:ptCount val="19"/>
                <c:pt idx="0">
                  <c:v>0.60195610498675134</c:v>
                </c:pt>
                <c:pt idx="1">
                  <c:v>0.57861388408677195</c:v>
                </c:pt>
                <c:pt idx="2">
                  <c:v>0.54456750634871676</c:v>
                </c:pt>
                <c:pt idx="3">
                  <c:v>0.52861840875986132</c:v>
                </c:pt>
                <c:pt idx="4">
                  <c:v>0.58321672859398366</c:v>
                </c:pt>
                <c:pt idx="5">
                  <c:v>0.54524662010978098</c:v>
                </c:pt>
                <c:pt idx="6">
                  <c:v>0.52506657744655394</c:v>
                </c:pt>
                <c:pt idx="7">
                  <c:v>0.54074254165416114</c:v>
                </c:pt>
                <c:pt idx="8">
                  <c:v>0.53258536331413042</c:v>
                </c:pt>
                <c:pt idx="9">
                  <c:v>0.55411704066093448</c:v>
                </c:pt>
                <c:pt idx="10">
                  <c:v>0.52577273541678871</c:v>
                </c:pt>
                <c:pt idx="11">
                  <c:v>0.49169642704363126</c:v>
                </c:pt>
                <c:pt idx="12">
                  <c:v>0.52407738679007254</c:v>
                </c:pt>
                <c:pt idx="13">
                  <c:v>0.53599264605012564</c:v>
                </c:pt>
                <c:pt idx="14">
                  <c:v>0.53855872167942265</c:v>
                </c:pt>
                <c:pt idx="15">
                  <c:v>0.53851716252852877</c:v>
                </c:pt>
                <c:pt idx="16">
                  <c:v>0.5447404653690564</c:v>
                </c:pt>
                <c:pt idx="17">
                  <c:v>0.5415961826831881</c:v>
                </c:pt>
                <c:pt idx="18">
                  <c:v>0.57675611940943061</c:v>
                </c:pt>
              </c:numCache>
            </c:numRef>
          </c:val>
        </c:ser>
        <c:ser>
          <c:idx val="0"/>
          <c:order val="1"/>
          <c:tx>
            <c:strRef>
              <c:f>'11'!$AT$4</c:f>
              <c:strCache>
                <c:ptCount val="1"/>
                <c:pt idx="0">
                  <c:v>Canada</c:v>
                </c:pt>
              </c:strCache>
            </c:strRef>
          </c:tx>
          <c:spPr>
            <a:ln w="12700">
              <a:solidFill>
                <a:srgbClr val="000000"/>
              </a:solidFill>
              <a:prstDash val="solid"/>
            </a:ln>
          </c:spPr>
          <c:marker>
            <c:symbol val="none"/>
          </c:marker>
          <c:val>
            <c:numRef>
              <c:f>'11'!$AT$5:$AT$34</c:f>
              <c:numCache>
                <c:formatCode>0.000</c:formatCode>
                <c:ptCount val="19"/>
                <c:pt idx="0">
                  <c:v>0.44780458265691525</c:v>
                </c:pt>
                <c:pt idx="1">
                  <c:v>0.43301562693507134</c:v>
                </c:pt>
                <c:pt idx="2">
                  <c:v>0.42340958261067185</c:v>
                </c:pt>
                <c:pt idx="3">
                  <c:v>0.42844030729926186</c:v>
                </c:pt>
                <c:pt idx="4">
                  <c:v>0.44705988924508555</c:v>
                </c:pt>
                <c:pt idx="5">
                  <c:v>0.45172672744933806</c:v>
                </c:pt>
                <c:pt idx="6">
                  <c:v>0.46232821572107063</c:v>
                </c:pt>
                <c:pt idx="7">
                  <c:v>0.48738294963598849</c:v>
                </c:pt>
                <c:pt idx="8">
                  <c:v>0.50357121370456881</c:v>
                </c:pt>
                <c:pt idx="9">
                  <c:v>0.49054495517693048</c:v>
                </c:pt>
                <c:pt idx="10">
                  <c:v>0.48104437061629834</c:v>
                </c:pt>
                <c:pt idx="11">
                  <c:v>0.47966464196689351</c:v>
                </c:pt>
                <c:pt idx="12">
                  <c:v>0.4798713663978178</c:v>
                </c:pt>
                <c:pt idx="13">
                  <c:v>0.48615136049483088</c:v>
                </c:pt>
                <c:pt idx="14">
                  <c:v>0.4878403706788994</c:v>
                </c:pt>
                <c:pt idx="15">
                  <c:v>0.47679488956266264</c:v>
                </c:pt>
                <c:pt idx="16">
                  <c:v>0.47766802820173043</c:v>
                </c:pt>
                <c:pt idx="17">
                  <c:v>0.48422154380221771</c:v>
                </c:pt>
                <c:pt idx="18">
                  <c:v>0.49477781532887766</c:v>
                </c:pt>
              </c:numCache>
            </c:numRef>
          </c:val>
        </c:ser>
        <c:marker val="1"/>
        <c:axId val="128487424"/>
        <c:axId val="128488960"/>
      </c:lineChart>
      <c:catAx>
        <c:axId val="128487424"/>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28488960"/>
        <c:crosses val="autoZero"/>
        <c:auto val="1"/>
        <c:lblAlgn val="ctr"/>
        <c:lblOffset val="100"/>
        <c:tickLblSkip val="3"/>
        <c:tickMarkSkip val="1"/>
      </c:catAx>
      <c:valAx>
        <c:axId val="128488960"/>
        <c:scaling>
          <c:orientation val="minMax"/>
          <c:max val="1.5"/>
          <c:min val="0.9"/>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28487424"/>
        <c:crosses val="autoZero"/>
        <c:crossBetween val="midCat"/>
      </c:valAx>
      <c:spPr>
        <a:solidFill>
          <a:srgbClr val="FFFFFF"/>
        </a:solidFill>
        <a:ln w="3175">
          <a:solidFill>
            <a:srgbClr val="000000"/>
          </a:solidFill>
          <a:prstDash val="solid"/>
        </a:ln>
      </c:spPr>
    </c:plotArea>
    <c:legend>
      <c:legendPos val="r"/>
      <c:layout>
        <c:manualLayout>
          <c:xMode val="edge"/>
          <c:yMode val="edge"/>
          <c:wMode val="edge"/>
          <c:hMode val="edge"/>
          <c:x val="0.91120976692563749"/>
          <c:y val="0.49265905383360531"/>
          <c:w val="0.99556048834627453"/>
          <c:h val="0.5628058727569336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0833333333333336"/>
          <c:y val="4.8611111111111112E-2"/>
          <c:w val="0.8645833333333337"/>
          <c:h val="0.71875000000000289"/>
        </c:manualLayout>
      </c:layout>
      <c:lineChart>
        <c:grouping val="standard"/>
        <c:ser>
          <c:idx val="0"/>
          <c:order val="0"/>
          <c:tx>
            <c:strRef>
              <c:f>'C8'!$H$20</c:f>
              <c:strCache>
                <c:ptCount val="1"/>
                <c:pt idx="0">
                  <c:v>Private Consumption</c:v>
                </c:pt>
              </c:strCache>
            </c:strRef>
          </c:tx>
          <c:marker>
            <c:symbol val="triangle"/>
            <c:size val="5"/>
          </c:marker>
          <c:cat>
            <c:numRef>
              <c:f>'C8'!$G$21:$G$50</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'C8'!$H$21:$H$50</c:f>
              <c:numCache>
                <c:formatCode>General</c:formatCode>
                <c:ptCount val="30"/>
                <c:pt idx="0">
                  <c:v>100</c:v>
                </c:pt>
                <c:pt idx="1">
                  <c:v>96.382601517608535</c:v>
                </c:pt>
                <c:pt idx="2">
                  <c:v>98.145967124640634</c:v>
                </c:pt>
                <c:pt idx="3">
                  <c:v>101.5734014551691</c:v>
                </c:pt>
                <c:pt idx="4">
                  <c:v>105.89011769074131</c:v>
                </c:pt>
                <c:pt idx="5">
                  <c:v>109.02474752997395</c:v>
                </c:pt>
                <c:pt idx="6">
                  <c:v>112.07697007772002</c:v>
                </c:pt>
                <c:pt idx="7">
                  <c:v>115.47813199989901</c:v>
                </c:pt>
                <c:pt idx="8">
                  <c:v>117.4574429645385</c:v>
                </c:pt>
                <c:pt idx="9">
                  <c:v>117.20720532590367</c:v>
                </c:pt>
                <c:pt idx="10">
                  <c:v>114.19474890095714</c:v>
                </c:pt>
                <c:pt idx="11">
                  <c:v>114.8190377093058</c:v>
                </c:pt>
                <c:pt idx="12">
                  <c:v>115.58673720345071</c:v>
                </c:pt>
                <c:pt idx="13">
                  <c:v>117.92980854140248</c:v>
                </c:pt>
                <c:pt idx="14">
                  <c:v>119.21124553151361</c:v>
                </c:pt>
                <c:pt idx="15">
                  <c:v>120.93736886942725</c:v>
                </c:pt>
                <c:pt idx="16">
                  <c:v>125.06960220483356</c:v>
                </c:pt>
                <c:pt idx="17">
                  <c:v>127.49546998139454</c:v>
                </c:pt>
                <c:pt idx="18">
                  <c:v>131.34336734201995</c:v>
                </c:pt>
                <c:pt idx="19">
                  <c:v>135.46126530270385</c:v>
                </c:pt>
                <c:pt idx="20">
                  <c:v>137.24000628792726</c:v>
                </c:pt>
                <c:pt idx="21">
                  <c:v>140.84190962598484</c:v>
                </c:pt>
                <c:pt idx="22">
                  <c:v>143.81185047374461</c:v>
                </c:pt>
                <c:pt idx="23">
                  <c:v>147.27114797761593</c:v>
                </c:pt>
                <c:pt idx="24">
                  <c:v>151.48268683408398</c:v>
                </c:pt>
                <c:pt idx="25">
                  <c:v>156.64607495985658</c:v>
                </c:pt>
                <c:pt idx="26">
                  <c:v>162.48638017805843</c:v>
                </c:pt>
                <c:pt idx="27">
                  <c:v>165.752692457835</c:v>
                </c:pt>
                <c:pt idx="28">
                  <c:v>164.46619456369825</c:v>
                </c:pt>
                <c:pt idx="29">
                  <c:v>168.03575861126305</c:v>
                </c:pt>
              </c:numCache>
            </c:numRef>
          </c:val>
        </c:ser>
        <c:ser>
          <c:idx val="1"/>
          <c:order val="1"/>
          <c:tx>
            <c:strRef>
              <c:f>'C8'!$I$20</c:f>
              <c:strCache>
                <c:ptCount val="1"/>
                <c:pt idx="0">
                  <c:v>Unpaid Work</c:v>
                </c:pt>
              </c:strCache>
            </c:strRef>
          </c:tx>
          <c:marker>
            <c:symbol val="plus"/>
            <c:size val="5"/>
          </c:marker>
          <c:cat>
            <c:numRef>
              <c:f>'C8'!$G$21:$G$50</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'C8'!$I$21:$I$50</c:f>
              <c:numCache>
                <c:formatCode>General</c:formatCode>
                <c:ptCount val="30"/>
                <c:pt idx="0">
                  <c:v>100</c:v>
                </c:pt>
                <c:pt idx="1">
                  <c:v>96.018084704519694</c:v>
                </c:pt>
                <c:pt idx="2">
                  <c:v>96.815152709436575</c:v>
                </c:pt>
                <c:pt idx="3">
                  <c:v>99.091332522933385</c:v>
                </c:pt>
                <c:pt idx="4">
                  <c:v>101.78550924284741</c:v>
                </c:pt>
                <c:pt idx="5">
                  <c:v>104.3019070524068</c:v>
                </c:pt>
                <c:pt idx="6">
                  <c:v>108.45067973980943</c:v>
                </c:pt>
                <c:pt idx="7">
                  <c:v>113.30834444449921</c:v>
                </c:pt>
                <c:pt idx="8">
                  <c:v>116.54613198688442</c:v>
                </c:pt>
                <c:pt idx="9">
                  <c:v>120.49996195785025</c:v>
                </c:pt>
                <c:pt idx="10">
                  <c:v>123.97272682285528</c:v>
                </c:pt>
                <c:pt idx="11">
                  <c:v>132.85785243827075</c:v>
                </c:pt>
                <c:pt idx="12">
                  <c:v>137.37446807992941</c:v>
                </c:pt>
                <c:pt idx="13">
                  <c:v>142.04984698103078</c:v>
                </c:pt>
                <c:pt idx="14">
                  <c:v>146.97322211561993</c:v>
                </c:pt>
                <c:pt idx="15">
                  <c:v>152.05120837904059</c:v>
                </c:pt>
                <c:pt idx="16">
                  <c:v>157.38571044531702</c:v>
                </c:pt>
                <c:pt idx="17">
                  <c:v>163.17455621347526</c:v>
                </c:pt>
                <c:pt idx="18">
                  <c:v>163.90662186075997</c:v>
                </c:pt>
                <c:pt idx="19">
                  <c:v>164.71784515880603</c:v>
                </c:pt>
                <c:pt idx="20">
                  <c:v>165.53725980851971</c:v>
                </c:pt>
                <c:pt idx="21">
                  <c:v>166.32272456925665</c:v>
                </c:pt>
                <c:pt idx="22">
                  <c:v>167.12660519471271</c:v>
                </c:pt>
                <c:pt idx="23">
                  <c:v>167.97466654074455</c:v>
                </c:pt>
                <c:pt idx="24">
                  <c:v>168.90149123706979</c:v>
                </c:pt>
                <c:pt idx="25">
                  <c:v>169.79256637069386</c:v>
                </c:pt>
                <c:pt idx="26">
                  <c:v>170.60516522703369</c:v>
                </c:pt>
                <c:pt idx="27">
                  <c:v>171.32564700790124</c:v>
                </c:pt>
                <c:pt idx="28">
                  <c:v>171.96574481283713</c:v>
                </c:pt>
                <c:pt idx="29">
                  <c:v>172.48659411991088</c:v>
                </c:pt>
              </c:numCache>
            </c:numRef>
          </c:val>
        </c:ser>
        <c:ser>
          <c:idx val="2"/>
          <c:order val="2"/>
          <c:tx>
            <c:strRef>
              <c:f>'C8'!$J$20</c:f>
              <c:strCache>
                <c:ptCount val="1"/>
                <c:pt idx="0">
                  <c:v>Government Consumption</c:v>
                </c:pt>
              </c:strCache>
            </c:strRef>
          </c:tx>
          <c:marker>
            <c:symbol val="square"/>
            <c:size val="4"/>
          </c:marker>
          <c:cat>
            <c:numRef>
              <c:f>'C8'!$G$21:$G$50</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'C8'!$J$21:$J$50</c:f>
              <c:numCache>
                <c:formatCode>General</c:formatCode>
                <c:ptCount val="30"/>
                <c:pt idx="0">
                  <c:v>100.00000000000001</c:v>
                </c:pt>
                <c:pt idx="1">
                  <c:v>101.5254717994319</c:v>
                </c:pt>
                <c:pt idx="2">
                  <c:v>101.88926890582599</c:v>
                </c:pt>
                <c:pt idx="3">
                  <c:v>102.36306124968372</c:v>
                </c:pt>
                <c:pt idx="4">
                  <c:v>106.55229393266826</c:v>
                </c:pt>
                <c:pt idx="5">
                  <c:v>107.51381358419518</c:v>
                </c:pt>
                <c:pt idx="6">
                  <c:v>107.77146253279668</c:v>
                </c:pt>
                <c:pt idx="7">
                  <c:v>111.50186550643107</c:v>
                </c:pt>
                <c:pt idx="8">
                  <c:v>113.39988621969964</c:v>
                </c:pt>
                <c:pt idx="9">
                  <c:v>116.45231673419261</c:v>
                </c:pt>
                <c:pt idx="10">
                  <c:v>119.40580732885604</c:v>
                </c:pt>
                <c:pt idx="11">
                  <c:v>119.31249419561016</c:v>
                </c:pt>
                <c:pt idx="12">
                  <c:v>117.6794332808381</c:v>
                </c:pt>
                <c:pt idx="13">
                  <c:v>115.42599053736043</c:v>
                </c:pt>
                <c:pt idx="14">
                  <c:v>112.92899266737322</c:v>
                </c:pt>
                <c:pt idx="15">
                  <c:v>109.87376021921813</c:v>
                </c:pt>
                <c:pt idx="16">
                  <c:v>107.08292020898186</c:v>
                </c:pt>
                <c:pt idx="17">
                  <c:v>109.35332411180511</c:v>
                </c:pt>
                <c:pt idx="18">
                  <c:v>112.45603313180648</c:v>
                </c:pt>
                <c:pt idx="19">
                  <c:v>115.51955097184489</c:v>
                </c:pt>
                <c:pt idx="20">
                  <c:v>120.09920288155026</c:v>
                </c:pt>
                <c:pt idx="21">
                  <c:v>121.92898994743176</c:v>
                </c:pt>
                <c:pt idx="22">
                  <c:v>125.55306541004973</c:v>
                </c:pt>
                <c:pt idx="23">
                  <c:v>127.49837537447561</c:v>
                </c:pt>
                <c:pt idx="24">
                  <c:v>129.76675006705528</c:v>
                </c:pt>
                <c:pt idx="25">
                  <c:v>133.04940977669239</c:v>
                </c:pt>
                <c:pt idx="26">
                  <c:v>135.88631938282211</c:v>
                </c:pt>
                <c:pt idx="27">
                  <c:v>139.62955810791064</c:v>
                </c:pt>
                <c:pt idx="28">
                  <c:v>144.75459817250666</c:v>
                </c:pt>
                <c:pt idx="29">
                  <c:v>148.49333248942338</c:v>
                </c:pt>
              </c:numCache>
            </c:numRef>
          </c:val>
        </c:ser>
        <c:ser>
          <c:idx val="3"/>
          <c:order val="3"/>
          <c:tx>
            <c:strRef>
              <c:f>'C8'!$K$20</c:f>
              <c:strCache>
                <c:ptCount val="1"/>
                <c:pt idx="0">
                  <c:v>Regrettable Expenditures</c:v>
                </c:pt>
              </c:strCache>
            </c:strRef>
          </c:tx>
          <c:spPr>
            <a:ln>
              <a:solidFill>
                <a:sysClr val="windowText" lastClr="000000"/>
              </a:solidFill>
            </a:ln>
          </c:spPr>
          <c:marker>
            <c:symbol val="x"/>
            <c:size val="5"/>
          </c:marker>
          <c:cat>
            <c:numRef>
              <c:f>'C8'!$G$21:$G$50</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'C8'!$K$21:$K$50</c:f>
              <c:numCache>
                <c:formatCode>General</c:formatCode>
                <c:ptCount val="30"/>
                <c:pt idx="0">
                  <c:v>100</c:v>
                </c:pt>
                <c:pt idx="1">
                  <c:v>96.744330908266974</c:v>
                </c:pt>
                <c:pt idx="2">
                  <c:v>100.24025606523728</c:v>
                </c:pt>
                <c:pt idx="3">
                  <c:v>106.41535653576284</c:v>
                </c:pt>
                <c:pt idx="4">
                  <c:v>111.15632474182412</c:v>
                </c:pt>
                <c:pt idx="5">
                  <c:v>110.72185599049836</c:v>
                </c:pt>
                <c:pt idx="6">
                  <c:v>109.92822124643</c:v>
                </c:pt>
                <c:pt idx="7">
                  <c:v>112.72298149869071</c:v>
                </c:pt>
                <c:pt idx="8">
                  <c:v>112.30933229213562</c:v>
                </c:pt>
                <c:pt idx="9">
                  <c:v>115.9565209806663</c:v>
                </c:pt>
                <c:pt idx="10">
                  <c:v>112.35769841765867</c:v>
                </c:pt>
                <c:pt idx="11">
                  <c:v>115.31795228375509</c:v>
                </c:pt>
                <c:pt idx="12">
                  <c:v>118.29318712869336</c:v>
                </c:pt>
                <c:pt idx="13">
                  <c:v>121.19406521868116</c:v>
                </c:pt>
                <c:pt idx="14">
                  <c:v>123.60659917759789</c:v>
                </c:pt>
                <c:pt idx="15">
                  <c:v>126.16106575274196</c:v>
                </c:pt>
                <c:pt idx="16">
                  <c:v>128.94380716495473</c:v>
                </c:pt>
                <c:pt idx="17">
                  <c:v>132.11542017208964</c:v>
                </c:pt>
                <c:pt idx="18">
                  <c:v>135.50184960715831</c:v>
                </c:pt>
                <c:pt idx="19">
                  <c:v>138.92661267760388</c:v>
                </c:pt>
                <c:pt idx="20">
                  <c:v>142.34415351664407</c:v>
                </c:pt>
                <c:pt idx="21">
                  <c:v>145.97699919692016</c:v>
                </c:pt>
                <c:pt idx="22">
                  <c:v>150.07300278118336</c:v>
                </c:pt>
                <c:pt idx="23">
                  <c:v>154.35012006449548</c:v>
                </c:pt>
                <c:pt idx="24">
                  <c:v>158.87463524015033</c:v>
                </c:pt>
                <c:pt idx="25">
                  <c:v>163.5456821370546</c:v>
                </c:pt>
                <c:pt idx="26">
                  <c:v>168.38913361911952</c:v>
                </c:pt>
                <c:pt idx="27">
                  <c:v>173.36336322287985</c:v>
                </c:pt>
                <c:pt idx="28">
                  <c:v>178.55301000130257</c:v>
                </c:pt>
                <c:pt idx="29">
                  <c:v>184.15115041630762</c:v>
                </c:pt>
              </c:numCache>
            </c:numRef>
          </c:val>
        </c:ser>
        <c:ser>
          <c:idx val="4"/>
          <c:order val="4"/>
          <c:tx>
            <c:strRef>
              <c:f>'C8'!$L$20</c:f>
              <c:strCache>
                <c:ptCount val="1"/>
                <c:pt idx="0">
                  <c:v>Total Adjusted Consumption</c:v>
                </c:pt>
              </c:strCache>
            </c:strRef>
          </c:tx>
          <c:marker>
            <c:symbol val="circle"/>
            <c:size val="5"/>
          </c:marker>
          <c:cat>
            <c:numRef>
              <c:f>'C8'!$G$21:$G$50</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'C8'!$L$21:$L$50</c:f>
              <c:numCache>
                <c:formatCode>General</c:formatCode>
                <c:ptCount val="30"/>
                <c:pt idx="0">
                  <c:v>100</c:v>
                </c:pt>
                <c:pt idx="1">
                  <c:v>97.521018716982624</c:v>
                </c:pt>
                <c:pt idx="2">
                  <c:v>98.710204932359758</c:v>
                </c:pt>
                <c:pt idx="3">
                  <c:v>101.10520809459585</c:v>
                </c:pt>
                <c:pt idx="4">
                  <c:v>104.64436909321601</c:v>
                </c:pt>
                <c:pt idx="5">
                  <c:v>107.41537738854225</c:v>
                </c:pt>
                <c:pt idx="6">
                  <c:v>110.62191233638413</c:v>
                </c:pt>
                <c:pt idx="7">
                  <c:v>114.35856921524747</c:v>
                </c:pt>
                <c:pt idx="8">
                  <c:v>117.24895409417603</c:v>
                </c:pt>
                <c:pt idx="9">
                  <c:v>118.93440050610678</c:v>
                </c:pt>
                <c:pt idx="10">
                  <c:v>119.41589873539498</c:v>
                </c:pt>
                <c:pt idx="11">
                  <c:v>122.22422667121062</c:v>
                </c:pt>
                <c:pt idx="12">
                  <c:v>123.16760049100573</c:v>
                </c:pt>
                <c:pt idx="13">
                  <c:v>125.21265534743495</c:v>
                </c:pt>
                <c:pt idx="14">
                  <c:v>126.7581340213335</c:v>
                </c:pt>
                <c:pt idx="15">
                  <c:v>128.55584663240177</c:v>
                </c:pt>
                <c:pt idx="16">
                  <c:v>131.74468236812484</c:v>
                </c:pt>
                <c:pt idx="17">
                  <c:v>135.38767256750211</c:v>
                </c:pt>
                <c:pt idx="18">
                  <c:v>138.43555053968936</c:v>
                </c:pt>
                <c:pt idx="19">
                  <c:v>141.98815789060296</c:v>
                </c:pt>
                <c:pt idx="20">
                  <c:v>144.28978025478517</c:v>
                </c:pt>
                <c:pt idx="21">
                  <c:v>146.68589778025438</c:v>
                </c:pt>
                <c:pt idx="22">
                  <c:v>149.36474780733951</c:v>
                </c:pt>
                <c:pt idx="23">
                  <c:v>152.06455501099578</c:v>
                </c:pt>
                <c:pt idx="24">
                  <c:v>154.97984086247519</c:v>
                </c:pt>
                <c:pt idx="25">
                  <c:v>159.20680247144148</c:v>
                </c:pt>
                <c:pt idx="26">
                  <c:v>163.43624703958</c:v>
                </c:pt>
                <c:pt idx="27">
                  <c:v>166.26573213777473</c:v>
                </c:pt>
                <c:pt idx="28">
                  <c:v>166.97166300707411</c:v>
                </c:pt>
                <c:pt idx="29">
                  <c:v>169.96628142602512</c:v>
                </c:pt>
              </c:numCache>
            </c:numRef>
          </c:val>
        </c:ser>
        <c:marker val="1"/>
        <c:axId val="130708224"/>
        <c:axId val="130709760"/>
      </c:lineChart>
      <c:catAx>
        <c:axId val="130708224"/>
        <c:scaling>
          <c:orientation val="minMax"/>
        </c:scaling>
        <c:axPos val="b"/>
        <c:numFmt formatCode="General" sourceLinked="1"/>
        <c:tickLblPos val="nextTo"/>
        <c:txPr>
          <a:bodyPr rot="5400000" vert="horz"/>
          <a:lstStyle/>
          <a:p>
            <a:pPr>
              <a:defRPr lang="en-CA"/>
            </a:pPr>
            <a:endParaRPr lang="en-US"/>
          </a:p>
        </c:txPr>
        <c:crossAx val="130709760"/>
        <c:crosses val="autoZero"/>
        <c:auto val="1"/>
        <c:lblAlgn val="ctr"/>
        <c:lblOffset val="100"/>
      </c:catAx>
      <c:valAx>
        <c:axId val="130709760"/>
        <c:scaling>
          <c:orientation val="minMax"/>
          <c:min val="90"/>
        </c:scaling>
        <c:axPos val="l"/>
        <c:majorGridlines/>
        <c:title>
          <c:tx>
            <c:rich>
              <a:bodyPr rot="-5400000" vert="horz"/>
              <a:lstStyle/>
              <a:p>
                <a:pPr>
                  <a:defRPr lang="en-CA" b="0"/>
                </a:pPr>
                <a:r>
                  <a:rPr lang="en-US" b="0"/>
                  <a:t>Index</a:t>
                </a:r>
                <a:r>
                  <a:rPr lang="en-US" b="0" baseline="0"/>
                  <a:t> (normalized to 100 in 1981)</a:t>
                </a:r>
                <a:endParaRPr lang="en-US" b="0"/>
              </a:p>
            </c:rich>
          </c:tx>
        </c:title>
        <c:numFmt formatCode="General" sourceLinked="1"/>
        <c:tickLblPos val="nextTo"/>
        <c:txPr>
          <a:bodyPr/>
          <a:lstStyle/>
          <a:p>
            <a:pPr>
              <a:defRPr lang="en-CA"/>
            </a:pPr>
            <a:endParaRPr lang="en-US"/>
          </a:p>
        </c:txPr>
        <c:crossAx val="130708224"/>
        <c:crosses val="autoZero"/>
        <c:crossBetween val="between"/>
      </c:valAx>
    </c:plotArea>
    <c:legend>
      <c:legendPos val="r"/>
      <c:layout>
        <c:manualLayout>
          <c:xMode val="edge"/>
          <c:yMode val="edge"/>
          <c:x val="0.10477777777777779"/>
          <c:y val="5.8265893846602509E-2"/>
          <c:w val="0.41188888888889208"/>
          <c:h val="0.27698673082531489"/>
        </c:manualLayout>
      </c:layout>
      <c:spPr>
        <a:solidFill>
          <a:schemeClr val="bg1"/>
        </a:solidFill>
        <a:ln>
          <a:solidFill>
            <a:schemeClr val="tx1"/>
          </a:solidFill>
        </a:ln>
      </c:spPr>
      <c:txPr>
        <a:bodyPr/>
        <a:lstStyle/>
        <a:p>
          <a:pPr>
            <a:defRPr lang="en-CA"/>
          </a:pPr>
          <a:endParaRPr lang="en-US"/>
        </a:p>
      </c:txPr>
    </c:legend>
    <c:plotVisOnly val="1"/>
    <c:dispBlanksAs val="gap"/>
  </c:chart>
  <c:spPr>
    <a:ln>
      <a:noFill/>
    </a:ln>
  </c:spPr>
  <c:printSettings>
    <c:headerFooter/>
    <c:pageMargins b="0.75000000000000422" l="0.70000000000000062" r="0.70000000000000062" t="0.75000000000000422"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6875000000000001"/>
          <c:y val="4.8611111111111112E-2"/>
          <c:w val="0.81666666666666654"/>
          <c:h val="0.50347222222221932"/>
        </c:manualLayout>
      </c:layout>
      <c:barChart>
        <c:barDir val="col"/>
        <c:grouping val="clustered"/>
        <c:ser>
          <c:idx val="0"/>
          <c:order val="0"/>
          <c:tx>
            <c:v>1981</c:v>
          </c:tx>
          <c:spPr>
            <a:solidFill>
              <a:schemeClr val="tx1"/>
            </a:solidFill>
          </c:spPr>
          <c:cat>
            <c:strRef>
              <c:f>('1'!$B$3,'1'!$L$3,'1'!$V$3,'1'!$AF$3,'1'!$AP$3,'1'!$AZ$3,'1'!$BJ$3,'1'!$BT$3,'1'!$CD$3,'1'!$CN$3,'1'!$CX$3)</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('1'!$B$19,'1'!$L$19,'1'!$V$19,'1'!$AF$19,'1'!$AP$19,'1'!$AZ$19,'1'!$BJ$19,'1'!$BT$19,'1'!$CD$19,'1'!$CN$19,'1'!$CX$19)</c:f>
              <c:numCache>
                <c:formatCode>#,##0</c:formatCode>
                <c:ptCount val="11"/>
                <c:pt idx="0">
                  <c:v>14849.083890899707</c:v>
                </c:pt>
                <c:pt idx="1">
                  <c:v>10170.31054993725</c:v>
                </c:pt>
                <c:pt idx="2">
                  <c:v>11873.639225906711</c:v>
                </c:pt>
                <c:pt idx="3">
                  <c:v>12968.038452585244</c:v>
                </c:pt>
                <c:pt idx="4">
                  <c:v>11328.665785249377</c:v>
                </c:pt>
                <c:pt idx="5">
                  <c:v>12937.272336127451</c:v>
                </c:pt>
                <c:pt idx="6">
                  <c:v>15700.239415742975</c:v>
                </c:pt>
                <c:pt idx="7">
                  <c:v>14411.734883563728</c:v>
                </c:pt>
                <c:pt idx="8">
                  <c:v>13641.688162753302</c:v>
                </c:pt>
                <c:pt idx="9">
                  <c:v>17319.597888179673</c:v>
                </c:pt>
                <c:pt idx="10">
                  <c:v>17371.304604398705</c:v>
                </c:pt>
              </c:numCache>
            </c:numRef>
          </c:val>
        </c:ser>
        <c:ser>
          <c:idx val="1"/>
          <c:order val="1"/>
          <c:tx>
            <c:v>2010</c:v>
          </c:tx>
          <c:cat>
            <c:strRef>
              <c:f>('1'!$B$3,'1'!$L$3,'1'!$V$3,'1'!$AF$3,'1'!$AP$3,'1'!$AZ$3,'1'!$BJ$3,'1'!$BT$3,'1'!$CD$3,'1'!$CN$3,'1'!$CX$3)</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('1'!$B$48,'1'!$L$48,'1'!$V$48,'1'!$AF$48,'1'!$AP$48,'1'!$AZ$48,'1'!$BJ$48,'1'!$BT$48,'1'!$CD$48,'1'!$CN$48,'1'!$CX$48)</c:f>
              <c:numCache>
                <c:formatCode>#,##0</c:formatCode>
                <c:ptCount val="11"/>
                <c:pt idx="0">
                  <c:v>24951.77076289618</c:v>
                </c:pt>
                <c:pt idx="1">
                  <c:v>23023.966014894082</c:v>
                </c:pt>
                <c:pt idx="2">
                  <c:v>22059.399207808256</c:v>
                </c:pt>
                <c:pt idx="3">
                  <c:v>23751.768987973406</c:v>
                </c:pt>
                <c:pt idx="4">
                  <c:v>22812.060017436044</c:v>
                </c:pt>
                <c:pt idx="5">
                  <c:v>22938.938928053129</c:v>
                </c:pt>
                <c:pt idx="6">
                  <c:v>25232.354758062738</c:v>
                </c:pt>
                <c:pt idx="7">
                  <c:v>23500.85651944426</c:v>
                </c:pt>
                <c:pt idx="8">
                  <c:v>24978.630885724386</c:v>
                </c:pt>
                <c:pt idx="9">
                  <c:v>27903.047734929944</c:v>
                </c:pt>
                <c:pt idx="10">
                  <c:v>26485.048630377936</c:v>
                </c:pt>
              </c:numCache>
            </c:numRef>
          </c:val>
        </c:ser>
        <c:axId val="130653184"/>
        <c:axId val="130659072"/>
      </c:barChart>
      <c:catAx>
        <c:axId val="130653184"/>
        <c:scaling>
          <c:orientation val="minMax"/>
        </c:scaling>
        <c:axPos val="b"/>
        <c:numFmt formatCode="General" sourceLinked="1"/>
        <c:tickLblPos val="nextTo"/>
        <c:txPr>
          <a:bodyPr/>
          <a:lstStyle/>
          <a:p>
            <a:pPr>
              <a:defRPr lang="en-CA"/>
            </a:pPr>
            <a:endParaRPr lang="en-US"/>
          </a:p>
        </c:txPr>
        <c:crossAx val="130659072"/>
        <c:crosses val="autoZero"/>
        <c:auto val="1"/>
        <c:lblAlgn val="ctr"/>
        <c:lblOffset val="100"/>
      </c:catAx>
      <c:valAx>
        <c:axId val="130659072"/>
        <c:scaling>
          <c:orientation val="minMax"/>
        </c:scaling>
        <c:axPos val="l"/>
        <c:majorGridlines/>
        <c:title>
          <c:tx>
            <c:rich>
              <a:bodyPr rot="-5400000" vert="horz"/>
              <a:lstStyle/>
              <a:p>
                <a:pPr>
                  <a:defRPr lang="en-CA" b="0"/>
                </a:pPr>
                <a:r>
                  <a:rPr lang="en-US" b="0"/>
                  <a:t>2002</a:t>
                </a:r>
                <a:r>
                  <a:rPr lang="en-US" b="0" baseline="0"/>
                  <a:t> Dollars</a:t>
                </a:r>
                <a:endParaRPr lang="en-US" b="0"/>
              </a:p>
            </c:rich>
          </c:tx>
        </c:title>
        <c:numFmt formatCode="#,##0" sourceLinked="1"/>
        <c:tickLblPos val="nextTo"/>
        <c:txPr>
          <a:bodyPr/>
          <a:lstStyle/>
          <a:p>
            <a:pPr>
              <a:defRPr lang="en-CA"/>
            </a:pPr>
            <a:endParaRPr lang="en-US"/>
          </a:p>
        </c:txPr>
        <c:crossAx val="130653184"/>
        <c:crosses val="autoZero"/>
        <c:crossBetween val="between"/>
      </c:valAx>
    </c:plotArea>
    <c:legend>
      <c:legendPos val="r"/>
      <c:layout>
        <c:manualLayout>
          <c:xMode val="edge"/>
          <c:yMode val="edge"/>
          <c:x val="0.46037642169729037"/>
          <c:y val="0.77739391951006165"/>
          <c:w val="0.10351246719160101"/>
          <c:h val="0.16743438320210094"/>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22" l="0.70000000000000062" r="0.70000000000000062" t="0.75000000000000422"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3333333333333341"/>
          <c:y val="4.8611111111111112E-2"/>
          <c:w val="0.84791666666666654"/>
          <c:h val="0.53472222222222221"/>
        </c:manualLayout>
      </c:layout>
      <c:barChart>
        <c:barDir val="col"/>
        <c:grouping val="clustered"/>
        <c:ser>
          <c:idx val="0"/>
          <c:order val="0"/>
          <c:tx>
            <c:v>1981</c:v>
          </c:tx>
          <c:spPr>
            <a:solidFill>
              <a:schemeClr val="tx1"/>
            </a:solidFill>
            <a:ln>
              <a:noFill/>
            </a:ln>
          </c:spPr>
          <c:cat>
            <c:strRef>
              <c:f>('1'!$B$3,'1'!$L$3,'1'!$V$3,'1'!$AF$3,'1'!$AP$3,'1'!$AZ$3,'1'!$BJ$3,'1'!$BT$3,'1'!$CD$3,'1'!$CN$3,'1'!$CX$3)</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('1'!$D$19,'1'!$N$19,'1'!$X$19,'1'!$AH$19,'1'!$AR$19,'1'!$BB$19,'1'!$BL$19,'1'!$BV$19,'1'!$CF$19,'1'!$CP$19,'1'!$CZ$19)</c:f>
              <c:numCache>
                <c:formatCode>#,##0</c:formatCode>
                <c:ptCount val="11"/>
                <c:pt idx="0">
                  <c:v>6046.2166026798013</c:v>
                </c:pt>
                <c:pt idx="1">
                  <c:v>4605.3130806645977</c:v>
                </c:pt>
                <c:pt idx="2">
                  <c:v>6176.3091514801354</c:v>
                </c:pt>
                <c:pt idx="3">
                  <c:v>7622.7686644742216</c:v>
                </c:pt>
                <c:pt idx="4">
                  <c:v>5438.644354706862</c:v>
                </c:pt>
                <c:pt idx="5">
                  <c:v>5860.4368595912865</c:v>
                </c:pt>
                <c:pt idx="6">
                  <c:v>5572.6743321766908</c:v>
                </c:pt>
                <c:pt idx="7">
                  <c:v>5813.3953814901361</c:v>
                </c:pt>
                <c:pt idx="8">
                  <c:v>6130.006878402467</c:v>
                </c:pt>
                <c:pt idx="9">
                  <c:v>7187.3692123827086</c:v>
                </c:pt>
                <c:pt idx="10">
                  <c:v>6432.8558215638413</c:v>
                </c:pt>
              </c:numCache>
            </c:numRef>
          </c:val>
        </c:ser>
        <c:ser>
          <c:idx val="1"/>
          <c:order val="1"/>
          <c:tx>
            <c:v>2010</c:v>
          </c:tx>
          <c:cat>
            <c:strRef>
              <c:f>('1'!$B$3,'1'!$L$3,'1'!$V$3,'1'!$AF$3,'1'!$AP$3,'1'!$AZ$3,'1'!$BJ$3,'1'!$BT$3,'1'!$CD$3,'1'!$CN$3,'1'!$CX$3)</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('1'!$D$48,'1'!$N$48,'1'!$X$48,'1'!$AH$48,'1'!$AR$48,'1'!$BB$48,'1'!$BL$48,'1'!$BV$48,'1'!$CF$48,'1'!$CP$48,'1'!$CZ$48)</c:f>
              <c:numCache>
                <c:formatCode>#,##0</c:formatCode>
                <c:ptCount val="11"/>
                <c:pt idx="0">
                  <c:v>8978.2285228480359</c:v>
                </c:pt>
                <c:pt idx="1">
                  <c:v>11070.114500203861</c:v>
                </c:pt>
                <c:pt idx="2">
                  <c:v>10666.447469132643</c:v>
                </c:pt>
                <c:pt idx="3">
                  <c:v>10773.072408661652</c:v>
                </c:pt>
                <c:pt idx="4">
                  <c:v>9257.0935185327962</c:v>
                </c:pt>
                <c:pt idx="5">
                  <c:v>8923.3891991240653</c:v>
                </c:pt>
                <c:pt idx="6">
                  <c:v>8700.2693599738941</c:v>
                </c:pt>
                <c:pt idx="7">
                  <c:v>9129.7606169584651</c:v>
                </c:pt>
                <c:pt idx="8">
                  <c:v>9055.2104955707891</c:v>
                </c:pt>
                <c:pt idx="9">
                  <c:v>9932.3023928686453</c:v>
                </c:pt>
                <c:pt idx="10">
                  <c:v>7812.521802188824</c:v>
                </c:pt>
              </c:numCache>
            </c:numRef>
          </c:val>
        </c:ser>
        <c:axId val="130758144"/>
        <c:axId val="130759680"/>
      </c:barChart>
      <c:catAx>
        <c:axId val="130758144"/>
        <c:scaling>
          <c:orientation val="minMax"/>
        </c:scaling>
        <c:axPos val="b"/>
        <c:numFmt formatCode="General" sourceLinked="1"/>
        <c:tickLblPos val="nextTo"/>
        <c:txPr>
          <a:bodyPr/>
          <a:lstStyle/>
          <a:p>
            <a:pPr>
              <a:defRPr lang="en-CA"/>
            </a:pPr>
            <a:endParaRPr lang="en-US"/>
          </a:p>
        </c:txPr>
        <c:crossAx val="130759680"/>
        <c:crosses val="autoZero"/>
        <c:auto val="1"/>
        <c:lblAlgn val="ctr"/>
        <c:lblOffset val="100"/>
      </c:catAx>
      <c:valAx>
        <c:axId val="130759680"/>
        <c:scaling>
          <c:orientation val="minMax"/>
        </c:scaling>
        <c:axPos val="l"/>
        <c:majorGridlines/>
        <c:title>
          <c:tx>
            <c:rich>
              <a:bodyPr rot="-5400000" vert="horz"/>
              <a:lstStyle/>
              <a:p>
                <a:pPr>
                  <a:defRPr lang="en-CA" b="0"/>
                </a:pPr>
                <a:r>
                  <a:rPr lang="en-US" b="0"/>
                  <a:t>2002</a:t>
                </a:r>
                <a:r>
                  <a:rPr lang="en-US" b="0" baseline="0"/>
                  <a:t> Dollars</a:t>
                </a:r>
                <a:endParaRPr lang="en-US" b="0"/>
              </a:p>
            </c:rich>
          </c:tx>
        </c:title>
        <c:numFmt formatCode="#,##0" sourceLinked="1"/>
        <c:tickLblPos val="nextTo"/>
        <c:txPr>
          <a:bodyPr/>
          <a:lstStyle/>
          <a:p>
            <a:pPr>
              <a:defRPr lang="en-CA"/>
            </a:pPr>
            <a:endParaRPr lang="en-US"/>
          </a:p>
        </c:txPr>
        <c:crossAx val="130758144"/>
        <c:crosses val="autoZero"/>
        <c:crossBetween val="between"/>
      </c:valAx>
    </c:plotArea>
    <c:legend>
      <c:legendPos val="r"/>
      <c:layout>
        <c:manualLayout>
          <c:xMode val="edge"/>
          <c:yMode val="edge"/>
          <c:x val="0.7575986439195137"/>
          <c:y val="5.0542067658209393E-2"/>
          <c:w val="0.22017913385826771"/>
          <c:h val="7.0212160979877508E-2"/>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22" l="0.70000000000000062" r="0.70000000000000062" t="0.75000000000000422"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5833333333333446"/>
          <c:y val="4.8611111111111112E-2"/>
          <c:w val="0.82291666666666652"/>
          <c:h val="0.53472222222222221"/>
        </c:manualLayout>
      </c:layout>
      <c:barChart>
        <c:barDir val="col"/>
        <c:grouping val="clustered"/>
        <c:ser>
          <c:idx val="0"/>
          <c:order val="0"/>
          <c:tx>
            <c:v>1981</c:v>
          </c:tx>
          <c:spPr>
            <a:solidFill>
              <a:schemeClr val="tx1"/>
            </a:solidFill>
          </c:spPr>
          <c:cat>
            <c:strRef>
              <c:f>('1'!$B$3,'1'!$L$3,'1'!$V$3,'1'!$AF$3,'1'!$AP$3,'1'!$AZ$3,'1'!$BJ$3,'1'!$BT$3,'1'!$CD$3,'1'!$CN$3,'1'!$CX$3)</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('1'!$E$19,'1'!$O$19,'1'!$Y$19,'1'!$AI$19,'1'!$AS$19,'1'!$BC$19,'1'!$BM$19,'1'!$BW$19,'1'!$CG$19,'1'!$CQ$19,'1'!$DA$19)</c:f>
              <c:numCache>
                <c:formatCode>#,##0</c:formatCode>
                <c:ptCount val="11"/>
                <c:pt idx="0">
                  <c:v>7405.6692300550103</c:v>
                </c:pt>
                <c:pt idx="1">
                  <c:v>5607.4699906570313</c:v>
                </c:pt>
                <c:pt idx="2">
                  <c:v>6650.1434918201776</c:v>
                </c:pt>
                <c:pt idx="3">
                  <c:v>6244.8985603270603</c:v>
                </c:pt>
                <c:pt idx="4">
                  <c:v>5175.5265219425555</c:v>
                </c:pt>
                <c:pt idx="5">
                  <c:v>6873.7683204067043</c:v>
                </c:pt>
                <c:pt idx="6">
                  <c:v>7476.8302804719742</c:v>
                </c:pt>
                <c:pt idx="7">
                  <c:v>6503.5260443061579</c:v>
                </c:pt>
                <c:pt idx="8">
                  <c:v>7335.3930197679529</c:v>
                </c:pt>
                <c:pt idx="9">
                  <c:v>9016.01433458459</c:v>
                </c:pt>
                <c:pt idx="10">
                  <c:v>8544.8484172303033</c:v>
                </c:pt>
              </c:numCache>
            </c:numRef>
          </c:val>
        </c:ser>
        <c:ser>
          <c:idx val="1"/>
          <c:order val="1"/>
          <c:tx>
            <c:v>2010</c:v>
          </c:tx>
          <c:cat>
            <c:strRef>
              <c:f>('1'!$B$3,'1'!$L$3,'1'!$V$3,'1'!$AF$3,'1'!$AP$3,'1'!$AZ$3,'1'!$BJ$3,'1'!$BT$3,'1'!$CD$3,'1'!$CN$3,'1'!$CX$3)</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('1'!$E$48,'1'!$O$48,'1'!$Y$48,'1'!$AI$48,'1'!$AS$48,'1'!$BC$48,'1'!$BM$48,'1'!$BW$48,'1'!$CG$48,'1'!$CQ$48,'1'!$DA$48)</c:f>
              <c:numCache>
                <c:formatCode>#,##0</c:formatCode>
                <c:ptCount val="11"/>
                <c:pt idx="0">
                  <c:v>12773.786626708114</c:v>
                </c:pt>
                <c:pt idx="1">
                  <c:v>12320.987812231391</c:v>
                </c:pt>
                <c:pt idx="2">
                  <c:v>10878.515346272676</c:v>
                </c:pt>
                <c:pt idx="3">
                  <c:v>14235.424861674122</c:v>
                </c:pt>
                <c:pt idx="4">
                  <c:v>11784.98537259896</c:v>
                </c:pt>
                <c:pt idx="5">
                  <c:v>13157.757440069321</c:v>
                </c:pt>
                <c:pt idx="6">
                  <c:v>13195.729618695748</c:v>
                </c:pt>
                <c:pt idx="7">
                  <c:v>12375.990143732282</c:v>
                </c:pt>
                <c:pt idx="8">
                  <c:v>9609.8747648575627</c:v>
                </c:pt>
                <c:pt idx="9">
                  <c:v>12214.427620095506</c:v>
                </c:pt>
                <c:pt idx="10">
                  <c:v>14132.457871355578</c:v>
                </c:pt>
              </c:numCache>
            </c:numRef>
          </c:val>
        </c:ser>
        <c:axId val="129994752"/>
        <c:axId val="129996288"/>
      </c:barChart>
      <c:catAx>
        <c:axId val="129994752"/>
        <c:scaling>
          <c:orientation val="minMax"/>
        </c:scaling>
        <c:axPos val="b"/>
        <c:numFmt formatCode="General" sourceLinked="1"/>
        <c:tickLblPos val="nextTo"/>
        <c:txPr>
          <a:bodyPr/>
          <a:lstStyle/>
          <a:p>
            <a:pPr>
              <a:defRPr lang="en-CA"/>
            </a:pPr>
            <a:endParaRPr lang="en-US"/>
          </a:p>
        </c:txPr>
        <c:crossAx val="129996288"/>
        <c:crosses val="autoZero"/>
        <c:auto val="1"/>
        <c:lblAlgn val="ctr"/>
        <c:lblOffset val="100"/>
      </c:catAx>
      <c:valAx>
        <c:axId val="129996288"/>
        <c:scaling>
          <c:orientation val="minMax"/>
        </c:scaling>
        <c:axPos val="l"/>
        <c:majorGridlines/>
        <c:title>
          <c:tx>
            <c:rich>
              <a:bodyPr rot="-5400000" vert="horz"/>
              <a:lstStyle/>
              <a:p>
                <a:pPr>
                  <a:defRPr lang="en-CA" b="0"/>
                </a:pPr>
                <a:r>
                  <a:rPr lang="en-US" b="0"/>
                  <a:t>2002</a:t>
                </a:r>
                <a:r>
                  <a:rPr lang="en-US" b="0" baseline="0"/>
                  <a:t> Dollars</a:t>
                </a:r>
                <a:endParaRPr lang="en-US" b="0"/>
              </a:p>
            </c:rich>
          </c:tx>
        </c:title>
        <c:numFmt formatCode="#,##0" sourceLinked="1"/>
        <c:tickLblPos val="nextTo"/>
        <c:txPr>
          <a:bodyPr/>
          <a:lstStyle/>
          <a:p>
            <a:pPr>
              <a:defRPr lang="en-CA"/>
            </a:pPr>
            <a:endParaRPr lang="en-US"/>
          </a:p>
        </c:txPr>
        <c:crossAx val="129994752"/>
        <c:crosses val="autoZero"/>
        <c:crossBetween val="between"/>
      </c:valAx>
    </c:plotArea>
    <c:legend>
      <c:legendPos val="r"/>
      <c:layout>
        <c:manualLayout>
          <c:xMode val="edge"/>
          <c:yMode val="edge"/>
          <c:x val="0.67704308836395732"/>
          <c:y val="4.5912438028579923E-2"/>
          <c:w val="0.25906802274715657"/>
          <c:h val="7.0212160979877522E-2"/>
        </c:manualLayout>
      </c:layout>
      <c:spPr>
        <a:solidFill>
          <a:schemeClr val="bg1"/>
        </a:solidFill>
        <a:ln>
          <a:solidFill>
            <a:schemeClr val="tx1"/>
          </a:solidFill>
        </a:ln>
      </c:spPr>
      <c:txPr>
        <a:bodyPr/>
        <a:lstStyle/>
        <a:p>
          <a:pPr>
            <a:defRPr lang="en-CA"/>
          </a:pPr>
          <a:endParaRPr lang="en-US"/>
        </a:p>
      </c:txPr>
    </c:legend>
    <c:plotVisOnly val="1"/>
    <c:dispBlanksAs val="gap"/>
  </c:chart>
  <c:spPr>
    <a:ln>
      <a:noFill/>
    </a:ln>
  </c:spPr>
  <c:printSettings>
    <c:headerFooter/>
    <c:pageMargins b="0.75000000000000411" l="0.70000000000000062" r="0.70000000000000062" t="0.7500000000000041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
          <c:y val="4.8611111111111112E-2"/>
          <c:w val="0.88124999999999998"/>
          <c:h val="0.79513888888888884"/>
        </c:manualLayout>
      </c:layout>
      <c:barChart>
        <c:barDir val="col"/>
        <c:grouping val="clustered"/>
        <c:ser>
          <c:idx val="0"/>
          <c:order val="0"/>
          <c:tx>
            <c:v>Index of Economic Well-being</c:v>
          </c:tx>
          <c:spPr>
            <a:solidFill>
              <a:schemeClr val="tx1"/>
            </a:solidFill>
          </c:spPr>
          <c:cat>
            <c:strRef>
              <c:f>'C2'!$I$6:$I$9</c:f>
              <c:strCache>
                <c:ptCount val="4"/>
                <c:pt idx="0">
                  <c:v>1981-2010</c:v>
                </c:pt>
                <c:pt idx="1">
                  <c:v>1981-1989</c:v>
                </c:pt>
                <c:pt idx="2">
                  <c:v>1989-2000</c:v>
                </c:pt>
                <c:pt idx="3">
                  <c:v>2000-2008</c:v>
                </c:pt>
              </c:strCache>
            </c:strRef>
          </c:cat>
          <c:val>
            <c:numRef>
              <c:f>'C2'!$J$6:$J$9</c:f>
              <c:numCache>
                <c:formatCode>General</c:formatCode>
                <c:ptCount val="4"/>
                <c:pt idx="0">
                  <c:v>0.78399169619405296</c:v>
                </c:pt>
                <c:pt idx="1">
                  <c:v>1.4779172932342322</c:v>
                </c:pt>
                <c:pt idx="2">
                  <c:v>0.10985369100686704</c:v>
                </c:pt>
                <c:pt idx="3">
                  <c:v>1.5150738967648847</c:v>
                </c:pt>
              </c:numCache>
            </c:numRef>
          </c:val>
        </c:ser>
        <c:ser>
          <c:idx val="1"/>
          <c:order val="1"/>
          <c:tx>
            <c:v>Per-capita GDP</c:v>
          </c:tx>
          <c:val>
            <c:numRef>
              <c:f>'C2'!$K$6:$K$9</c:f>
              <c:numCache>
                <c:formatCode>General</c:formatCode>
                <c:ptCount val="4"/>
                <c:pt idx="0">
                  <c:v>1.3216297665156418</c:v>
                </c:pt>
                <c:pt idx="1">
                  <c:v>1.8494634473792182</c:v>
                </c:pt>
                <c:pt idx="2">
                  <c:v>1.5752903180778155</c:v>
                </c:pt>
                <c:pt idx="3">
                  <c:v>1.234300342353456</c:v>
                </c:pt>
              </c:numCache>
            </c:numRef>
          </c:val>
        </c:ser>
        <c:axId val="129555840"/>
        <c:axId val="129188992"/>
      </c:barChart>
      <c:catAx>
        <c:axId val="129555840"/>
        <c:scaling>
          <c:orientation val="minMax"/>
        </c:scaling>
        <c:axPos val="b"/>
        <c:numFmt formatCode="General" sourceLinked="1"/>
        <c:tickLblPos val="nextTo"/>
        <c:txPr>
          <a:bodyPr/>
          <a:lstStyle/>
          <a:p>
            <a:pPr>
              <a:defRPr lang="en-CA"/>
            </a:pPr>
            <a:endParaRPr lang="en-US"/>
          </a:p>
        </c:txPr>
        <c:crossAx val="129188992"/>
        <c:crosses val="autoZero"/>
        <c:auto val="1"/>
        <c:lblAlgn val="ctr"/>
        <c:lblOffset val="100"/>
      </c:catAx>
      <c:valAx>
        <c:axId val="129188992"/>
        <c:scaling>
          <c:orientation val="minMax"/>
        </c:scaling>
        <c:axPos val="l"/>
        <c:majorGridlines/>
        <c:title>
          <c:tx>
            <c:rich>
              <a:bodyPr rot="-5400000" vert="horz"/>
              <a:lstStyle/>
              <a:p>
                <a:pPr>
                  <a:defRPr lang="en-CA" b="0"/>
                </a:pPr>
                <a:r>
                  <a:rPr lang="en-US" b="0"/>
                  <a:t>Growth</a:t>
                </a:r>
                <a:r>
                  <a:rPr lang="en-US" b="0" baseline="0"/>
                  <a:t> Rate (per cent per year)</a:t>
                </a:r>
                <a:endParaRPr lang="en-US" b="0"/>
              </a:p>
            </c:rich>
          </c:tx>
        </c:title>
        <c:numFmt formatCode="#,##0.0" sourceLinked="0"/>
        <c:tickLblPos val="nextTo"/>
        <c:txPr>
          <a:bodyPr/>
          <a:lstStyle/>
          <a:p>
            <a:pPr>
              <a:defRPr lang="en-CA"/>
            </a:pPr>
            <a:endParaRPr lang="en-US"/>
          </a:p>
        </c:txPr>
        <c:crossAx val="129555840"/>
        <c:crosses val="autoZero"/>
        <c:crossBetween val="between"/>
      </c:valAx>
    </c:plotArea>
    <c:legend>
      <c:legendPos val="r"/>
      <c:layout>
        <c:manualLayout>
          <c:xMode val="edge"/>
          <c:yMode val="edge"/>
          <c:x val="0.54606914491771441"/>
          <c:y val="2.3144014214717998E-2"/>
          <c:w val="0.43438757655293286"/>
          <c:h val="0.11727617381160763"/>
        </c:manualLayout>
      </c:layout>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6250000000000001"/>
          <c:y val="4.8611111111111112E-2"/>
          <c:w val="0.82083333333333364"/>
          <c:h val="0.53472222222222221"/>
        </c:manualLayout>
      </c:layout>
      <c:barChart>
        <c:barDir val="col"/>
        <c:grouping val="clustered"/>
        <c:ser>
          <c:idx val="0"/>
          <c:order val="0"/>
          <c:tx>
            <c:v>1981</c:v>
          </c:tx>
          <c:spPr>
            <a:solidFill>
              <a:schemeClr val="tx1"/>
            </a:solidFill>
          </c:spPr>
          <c:cat>
            <c:strRef>
              <c:f>('1'!$B$3,'1'!$L$3,'1'!$V$3,'1'!$AF$3,'1'!$AP$3,'1'!$AZ$3,'1'!$BJ$3,'1'!$BT$3,'1'!$CD$3,'1'!$CN$3,'1'!$CX$3)</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'a3'!$B$15:$L$15</c:f>
              <c:numCache>
                <c:formatCode>0.0</c:formatCode>
                <c:ptCount val="11"/>
                <c:pt idx="0">
                  <c:v>75.599999999999994</c:v>
                </c:pt>
                <c:pt idx="1">
                  <c:v>75.599999999999994</c:v>
                </c:pt>
                <c:pt idx="2">
                  <c:v>76.7</c:v>
                </c:pt>
                <c:pt idx="3">
                  <c:v>74.599999999999994</c:v>
                </c:pt>
                <c:pt idx="4">
                  <c:v>75.099999999999994</c:v>
                </c:pt>
                <c:pt idx="5">
                  <c:v>75.099999999999994</c:v>
                </c:pt>
                <c:pt idx="6">
                  <c:v>75.900000000000006</c:v>
                </c:pt>
                <c:pt idx="7">
                  <c:v>75.2</c:v>
                </c:pt>
                <c:pt idx="8">
                  <c:v>76.3</c:v>
                </c:pt>
                <c:pt idx="9">
                  <c:v>75.5</c:v>
                </c:pt>
                <c:pt idx="10">
                  <c:v>76.2</c:v>
                </c:pt>
              </c:numCache>
            </c:numRef>
          </c:val>
        </c:ser>
        <c:ser>
          <c:idx val="1"/>
          <c:order val="1"/>
          <c:tx>
            <c:v>2010</c:v>
          </c:tx>
          <c:cat>
            <c:strRef>
              <c:f>('1'!$B$3,'1'!$L$3,'1'!$V$3,'1'!$AF$3,'1'!$AP$3,'1'!$AZ$3,'1'!$BJ$3,'1'!$BT$3,'1'!$CD$3,'1'!$CN$3,'1'!$CX$3)</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'a3'!$B$44:$L$44</c:f>
              <c:numCache>
                <c:formatCode>0.0</c:formatCode>
                <c:ptCount val="11"/>
                <c:pt idx="0">
                  <c:v>81.773012093863628</c:v>
                </c:pt>
                <c:pt idx="1">
                  <c:v>78.927538795539732</c:v>
                </c:pt>
                <c:pt idx="2">
                  <c:v>81.205171884309252</c:v>
                </c:pt>
                <c:pt idx="3">
                  <c:v>80.166621399540489</c:v>
                </c:pt>
                <c:pt idx="4">
                  <c:v>80.912171194618409</c:v>
                </c:pt>
                <c:pt idx="5">
                  <c:v>81.879129224175898</c:v>
                </c:pt>
                <c:pt idx="6">
                  <c:v>82.077851386424882</c:v>
                </c:pt>
                <c:pt idx="7">
                  <c:v>80.030224145052884</c:v>
                </c:pt>
                <c:pt idx="8">
                  <c:v>79.96519772768238</c:v>
                </c:pt>
                <c:pt idx="9">
                  <c:v>81.147400798838035</c:v>
                </c:pt>
                <c:pt idx="10">
                  <c:v>81.965770173361491</c:v>
                </c:pt>
              </c:numCache>
            </c:numRef>
          </c:val>
        </c:ser>
        <c:axId val="130025728"/>
        <c:axId val="130035712"/>
      </c:barChart>
      <c:catAx>
        <c:axId val="130025728"/>
        <c:scaling>
          <c:orientation val="minMax"/>
        </c:scaling>
        <c:axPos val="b"/>
        <c:numFmt formatCode="General" sourceLinked="1"/>
        <c:tickLblPos val="nextTo"/>
        <c:txPr>
          <a:bodyPr/>
          <a:lstStyle/>
          <a:p>
            <a:pPr>
              <a:defRPr lang="en-CA"/>
            </a:pPr>
            <a:endParaRPr lang="en-US"/>
          </a:p>
        </c:txPr>
        <c:crossAx val="130035712"/>
        <c:crosses val="autoZero"/>
        <c:auto val="1"/>
        <c:lblAlgn val="ctr"/>
        <c:lblOffset val="100"/>
      </c:catAx>
      <c:valAx>
        <c:axId val="130035712"/>
        <c:scaling>
          <c:orientation val="minMax"/>
        </c:scaling>
        <c:axPos val="l"/>
        <c:majorGridlines/>
        <c:title>
          <c:tx>
            <c:rich>
              <a:bodyPr rot="-5400000" vert="horz"/>
              <a:lstStyle/>
              <a:p>
                <a:pPr>
                  <a:defRPr lang="en-CA" b="0"/>
                </a:pPr>
                <a:r>
                  <a:rPr lang="en-US" b="0"/>
                  <a:t>Years</a:t>
                </a:r>
              </a:p>
            </c:rich>
          </c:tx>
        </c:title>
        <c:numFmt formatCode="0.0" sourceLinked="1"/>
        <c:tickLblPos val="nextTo"/>
        <c:txPr>
          <a:bodyPr/>
          <a:lstStyle/>
          <a:p>
            <a:pPr>
              <a:defRPr lang="en-CA"/>
            </a:pPr>
            <a:endParaRPr lang="en-US"/>
          </a:p>
        </c:txPr>
        <c:crossAx val="130025728"/>
        <c:crosses val="autoZero"/>
        <c:crossBetween val="between"/>
      </c:valAx>
    </c:plotArea>
    <c:legend>
      <c:legendPos val="r"/>
      <c:layout>
        <c:manualLayout>
          <c:xMode val="edge"/>
          <c:yMode val="edge"/>
          <c:x val="0.2492653105861784"/>
          <c:y val="6.4430956547098434E-2"/>
          <c:w val="0.20629024496937962"/>
          <c:h val="9.3360309128025745E-2"/>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11" l="0.70000000000000062" r="0.70000000000000062" t="0.75000000000000411"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6624898506391741"/>
          <c:y val="4.3158482740677816E-2"/>
          <c:w val="0.8091359353462112"/>
          <c:h val="0.56537530226400234"/>
        </c:manualLayout>
      </c:layout>
      <c:barChart>
        <c:barDir val="col"/>
        <c:grouping val="clustered"/>
        <c:ser>
          <c:idx val="0"/>
          <c:order val="0"/>
          <c:tx>
            <c:v>1981</c:v>
          </c:tx>
          <c:spPr>
            <a:solidFill>
              <a:prstClr val="black"/>
            </a:solidFill>
          </c:spPr>
          <c:cat>
            <c:strRef>
              <c:f>('1'!$B$3,'1'!$L$3,'1'!$V$3,'1'!$AF$3,'1'!$AP$3,'1'!$AZ$3,'1'!$BJ$3,'1'!$BT$3,'1'!$CD$3,'1'!$CN$3,'1'!$CX$3)</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('1'!$H$19,'1'!$R$19,'1'!$AB$19,'1'!$AL$19,'1'!$AV$19,'1'!$BF$19,'1'!$BP$19,'1'!$BZ$19,'1'!$CJ$19,'1'!$CT$19,'1'!$DD$19)</c:f>
              <c:numCache>
                <c:formatCode>#,##0</c:formatCode>
                <c:ptCount val="11"/>
                <c:pt idx="0">
                  <c:v>26544.414111916678</c:v>
                </c:pt>
                <c:pt idx="1">
                  <c:v>20635.085640164769</c:v>
                </c:pt>
                <c:pt idx="2">
                  <c:v>24272.508967360529</c:v>
                </c:pt>
                <c:pt idx="3">
                  <c:v>25406.301573203596</c:v>
                </c:pt>
                <c:pt idx="4">
                  <c:v>21073.381509555998</c:v>
                </c:pt>
                <c:pt idx="5">
                  <c:v>24042.983440551423</c:v>
                </c:pt>
                <c:pt idx="6">
                  <c:v>26951.567344911193</c:v>
                </c:pt>
                <c:pt idx="7">
                  <c:v>24872.81759269238</c:v>
                </c:pt>
                <c:pt idx="8">
                  <c:v>25710.491407892445</c:v>
                </c:pt>
                <c:pt idx="9">
                  <c:v>30978.774509396244</c:v>
                </c:pt>
                <c:pt idx="10">
                  <c:v>29882.372528013842</c:v>
                </c:pt>
              </c:numCache>
            </c:numRef>
          </c:val>
        </c:ser>
        <c:ser>
          <c:idx val="1"/>
          <c:order val="1"/>
          <c:tx>
            <c:v>2010</c:v>
          </c:tx>
          <c:spPr>
            <a:solidFill>
              <a:schemeClr val="tx1">
                <a:lumMod val="50000"/>
                <a:lumOff val="50000"/>
              </a:schemeClr>
            </a:solidFill>
          </c:spPr>
          <c:cat>
            <c:strRef>
              <c:f>('1'!$B$3,'1'!$L$3,'1'!$V$3,'1'!$AF$3,'1'!$AP$3,'1'!$AZ$3,'1'!$BJ$3,'1'!$BT$3,'1'!$CD$3,'1'!$CN$3,'1'!$CX$3)</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('1'!$H$48,'1'!$R$48,'1'!$AB$48,'1'!$AL$48,'1'!$AV$48,'1'!$BF$48,'1'!$BP$48,'1'!$BZ$48,'1'!$CJ$48,'1'!$CT$48,'1'!$DD$48)</c:f>
              <c:numCache>
                <c:formatCode>#,##0</c:formatCode>
                <c:ptCount val="11"/>
                <c:pt idx="0">
                  <c:v>45116.553592349832</c:v>
                </c:pt>
                <c:pt idx="1">
                  <c:v>43556.748243597693</c:v>
                </c:pt>
                <c:pt idx="2">
                  <c:v>42272.803758358328</c:v>
                </c:pt>
                <c:pt idx="3">
                  <c:v>46109.453291777725</c:v>
                </c:pt>
                <c:pt idx="4">
                  <c:v>41772.828673165212</c:v>
                </c:pt>
                <c:pt idx="5">
                  <c:v>42881.041476291684</c:v>
                </c:pt>
                <c:pt idx="6">
                  <c:v>46287.945233100007</c:v>
                </c:pt>
                <c:pt idx="7">
                  <c:v>43381.910155001504</c:v>
                </c:pt>
                <c:pt idx="8">
                  <c:v>41309.534639746431</c:v>
                </c:pt>
                <c:pt idx="9">
                  <c:v>47739.077088317295</c:v>
                </c:pt>
                <c:pt idx="10">
                  <c:v>46462.302989085641</c:v>
                </c:pt>
              </c:numCache>
            </c:numRef>
          </c:val>
        </c:ser>
        <c:axId val="130585344"/>
        <c:axId val="130586880"/>
      </c:barChart>
      <c:catAx>
        <c:axId val="130585344"/>
        <c:scaling>
          <c:orientation val="minMax"/>
        </c:scaling>
        <c:axPos val="b"/>
        <c:tickLblPos val="nextTo"/>
        <c:txPr>
          <a:bodyPr/>
          <a:lstStyle/>
          <a:p>
            <a:pPr>
              <a:defRPr lang="en-CA"/>
            </a:pPr>
            <a:endParaRPr lang="en-US"/>
          </a:p>
        </c:txPr>
        <c:crossAx val="130586880"/>
        <c:crosses val="autoZero"/>
        <c:auto val="1"/>
        <c:lblAlgn val="ctr"/>
        <c:lblOffset val="100"/>
      </c:catAx>
      <c:valAx>
        <c:axId val="130586880"/>
        <c:scaling>
          <c:orientation val="minMax"/>
        </c:scaling>
        <c:axPos val="l"/>
        <c:majorGridlines/>
        <c:title>
          <c:tx>
            <c:rich>
              <a:bodyPr rot="-5400000" vert="horz"/>
              <a:lstStyle/>
              <a:p>
                <a:pPr>
                  <a:defRPr lang="en-CA" b="0"/>
                </a:pPr>
                <a:r>
                  <a:rPr lang="en-US" b="0"/>
                  <a:t>Consumption, 2002$</a:t>
                </a:r>
              </a:p>
            </c:rich>
          </c:tx>
        </c:title>
        <c:numFmt formatCode="#,##0" sourceLinked="1"/>
        <c:tickLblPos val="nextTo"/>
        <c:txPr>
          <a:bodyPr/>
          <a:lstStyle/>
          <a:p>
            <a:pPr>
              <a:defRPr lang="en-CA"/>
            </a:pPr>
            <a:endParaRPr lang="en-US"/>
          </a:p>
        </c:txPr>
        <c:crossAx val="130585344"/>
        <c:crosses val="autoZero"/>
        <c:crossBetween val="between"/>
      </c:valAx>
    </c:plotArea>
    <c:legend>
      <c:legendPos val="r"/>
      <c:layout>
        <c:manualLayout>
          <c:xMode val="edge"/>
          <c:yMode val="edge"/>
          <c:x val="0.17922185086576567"/>
          <c:y val="2.1543429520289582E-2"/>
          <c:w val="0.24044241771937069"/>
          <c:h val="5.8953651201763033E-2"/>
        </c:manualLayout>
      </c:layout>
      <c:spPr>
        <a:solidFill>
          <a:schemeClr val="bg1"/>
        </a:solidFill>
        <a:ln>
          <a:solidFill>
            <a:schemeClr val="tx1"/>
          </a:solidFill>
        </a:ln>
      </c:spPr>
      <c:txPr>
        <a:bodyPr/>
        <a:lstStyle/>
        <a:p>
          <a:pPr>
            <a:defRPr lang="en-CA"/>
          </a:pPr>
          <a:endParaRPr lang="en-US"/>
        </a:p>
      </c:txPr>
    </c:legend>
    <c:plotVisOnly val="1"/>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1966885389326334"/>
          <c:y val="5.1400554097404488E-2"/>
          <c:w val="0.84626312335958065"/>
          <c:h val="0.53726851851851865"/>
        </c:manualLayout>
      </c:layout>
      <c:barChart>
        <c:barDir val="col"/>
        <c:grouping val="clustered"/>
        <c:ser>
          <c:idx val="0"/>
          <c:order val="0"/>
          <c:tx>
            <c:v>1981</c:v>
          </c:tx>
          <c:spPr>
            <a:solidFill>
              <a:schemeClr val="tx1"/>
            </a:solidFill>
          </c:spPr>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('1'!$I$19,'1'!$S$19,'1'!$AC$19,'1'!$AM$19,'1'!$AW$19,'1'!$BG$19,'1'!$BQ$19,'1'!$CA$19,'1'!$CK$19,'1'!$CU$19,'1'!$DE$19)</c:f>
              <c:numCache>
                <c:formatCode>#,##0.0000</c:formatCode>
                <c:ptCount val="11"/>
                <c:pt idx="0">
                  <c:v>0.26502024105489891</c:v>
                </c:pt>
                <c:pt idx="1">
                  <c:v>8.3333333333333315E-2</c:v>
                </c:pt>
                <c:pt idx="2">
                  <c:v>0.19516874738276771</c:v>
                </c:pt>
                <c:pt idx="3">
                  <c:v>0.23002808436799582</c:v>
                </c:pt>
                <c:pt idx="4">
                  <c:v>9.6809081306642272E-2</c:v>
                </c:pt>
                <c:pt idx="5">
                  <c:v>0.188111806241578</c:v>
                </c:pt>
                <c:pt idx="6">
                  <c:v>0.27753848440949125</c:v>
                </c:pt>
                <c:pt idx="7">
                  <c:v>0.21362570375886047</c:v>
                </c:pt>
                <c:pt idx="8">
                  <c:v>0.23938063782464369</c:v>
                </c:pt>
                <c:pt idx="9">
                  <c:v>0.40135810621035933</c:v>
                </c:pt>
                <c:pt idx="10">
                  <c:v>0.36764837310457554</c:v>
                </c:pt>
              </c:numCache>
            </c:numRef>
          </c:val>
        </c:ser>
        <c:ser>
          <c:idx val="1"/>
          <c:order val="1"/>
          <c:tx>
            <c:v>2010</c:v>
          </c:tx>
          <c:spPr>
            <a:solidFill>
              <a:prstClr val="white">
                <a:lumMod val="50000"/>
              </a:prstClr>
            </a:solidFill>
          </c:spPr>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('1'!$I$48,'1'!$S$48,'1'!$AC$48,'1'!$AM$48,'1'!$AW$48,'1'!$BG$48,'1'!$BQ$48,'1'!$CA$48,'1'!$CK$48,'1'!$CU$48,'1'!$DE$48)</c:f>
              <c:numCache>
                <c:formatCode>#,##0.0000</c:formatCode>
                <c:ptCount val="11"/>
                <c:pt idx="0">
                  <c:v>0.83603513861958567</c:v>
                </c:pt>
                <c:pt idx="1">
                  <c:v>0.78807770795431809</c:v>
                </c:pt>
                <c:pt idx="2">
                  <c:v>0.74860183445626904</c:v>
                </c:pt>
                <c:pt idx="3">
                  <c:v>0.86656261342980634</c:v>
                </c:pt>
                <c:pt idx="4">
                  <c:v>0.73322971093990053</c:v>
                </c:pt>
                <c:pt idx="5">
                  <c:v>0.76730257696181658</c:v>
                </c:pt>
                <c:pt idx="6">
                  <c:v>0.87205048722580303</c:v>
                </c:pt>
                <c:pt idx="7">
                  <c:v>0.78270217470703973</c:v>
                </c:pt>
                <c:pt idx="8">
                  <c:v>0.71898537493791903</c:v>
                </c:pt>
                <c:pt idx="9">
                  <c:v>0.91666666666666674</c:v>
                </c:pt>
                <c:pt idx="10">
                  <c:v>0.87741125227275085</c:v>
                </c:pt>
              </c:numCache>
            </c:numRef>
          </c:val>
        </c:ser>
        <c:axId val="130595840"/>
        <c:axId val="131093248"/>
      </c:barChart>
      <c:catAx>
        <c:axId val="130595840"/>
        <c:scaling>
          <c:orientation val="minMax"/>
        </c:scaling>
        <c:axPos val="b"/>
        <c:tickLblPos val="nextTo"/>
        <c:txPr>
          <a:bodyPr/>
          <a:lstStyle/>
          <a:p>
            <a:pPr>
              <a:defRPr lang="en-CA"/>
            </a:pPr>
            <a:endParaRPr lang="en-US"/>
          </a:p>
        </c:txPr>
        <c:crossAx val="131093248"/>
        <c:crosses val="autoZero"/>
        <c:auto val="1"/>
        <c:lblAlgn val="ctr"/>
        <c:lblOffset val="100"/>
      </c:catAx>
      <c:valAx>
        <c:axId val="131093248"/>
        <c:scaling>
          <c:orientation val="minMax"/>
        </c:scaling>
        <c:axPos val="l"/>
        <c:majorGridlines/>
        <c:title>
          <c:tx>
            <c:rich>
              <a:bodyPr rot="-5400000" vert="horz"/>
              <a:lstStyle/>
              <a:p>
                <a:pPr>
                  <a:defRPr lang="en-CA" b="0"/>
                </a:pPr>
                <a:r>
                  <a:rPr lang="en-US" b="0"/>
                  <a:t>Index</a:t>
                </a:r>
                <a:r>
                  <a:rPr lang="en-US" b="0" baseline="0"/>
                  <a:t> Value</a:t>
                </a:r>
                <a:endParaRPr lang="en-US" b="0"/>
              </a:p>
            </c:rich>
          </c:tx>
        </c:title>
        <c:numFmt formatCode="0.0" sourceLinked="0"/>
        <c:tickLblPos val="nextTo"/>
        <c:txPr>
          <a:bodyPr/>
          <a:lstStyle/>
          <a:p>
            <a:pPr>
              <a:defRPr lang="en-CA"/>
            </a:pPr>
            <a:endParaRPr lang="en-US"/>
          </a:p>
        </c:txPr>
        <c:crossAx val="130595840"/>
        <c:crosses val="autoZero"/>
        <c:crossBetween val="between"/>
      </c:valAx>
    </c:plotArea>
    <c:legend>
      <c:legendPos val="r"/>
      <c:layout>
        <c:manualLayout>
          <c:xMode val="edge"/>
          <c:yMode val="edge"/>
          <c:x val="0.12726950650603341"/>
          <c:y val="3.238327029944129E-2"/>
          <c:w val="0.25504001929087677"/>
          <c:h val="7.2301775437215429E-2"/>
        </c:manualLayout>
      </c:layout>
      <c:spPr>
        <a:solidFill>
          <a:schemeClr val="bg1"/>
        </a:solidFill>
        <a:ln>
          <a:solidFill>
            <a:schemeClr val="tx1"/>
          </a:solidFill>
        </a:ln>
      </c:spPr>
      <c:txPr>
        <a:bodyPr/>
        <a:lstStyle/>
        <a:p>
          <a:pPr>
            <a:defRPr lang="en-CA"/>
          </a:pPr>
          <a:endParaRPr lang="en-US"/>
        </a:p>
      </c:txPr>
    </c:legend>
    <c:plotVisOnly val="1"/>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4521475546416704"/>
          <c:y val="2.5000000000000001E-2"/>
          <c:w val="0.84983635300051763"/>
          <c:h val="0.70000000000000062"/>
        </c:manualLayout>
      </c:layout>
      <c:barChart>
        <c:barDir val="col"/>
        <c:grouping val="clustered"/>
        <c:ser>
          <c:idx val="0"/>
          <c:order val="0"/>
          <c:tx>
            <c:strRef>
              <c:f>'C15'!$A$22</c:f>
              <c:strCache>
                <c:ptCount val="1"/>
                <c:pt idx="0">
                  <c:v>1981</c:v>
                </c:pt>
              </c:strCache>
            </c:strRef>
          </c:tx>
          <c:spPr>
            <a:solidFill>
              <a:schemeClr val="tx1"/>
            </a:solidFill>
          </c:spPr>
          <c:cat>
            <c:strRef>
              <c:f>'C15'!$B$21:$G$21</c:f>
              <c:strCache>
                <c:ptCount val="6"/>
                <c:pt idx="0">
                  <c:v>Total Wealth Stock</c:v>
                </c:pt>
                <c:pt idx="1">
                  <c:v>Physical Capital</c:v>
                </c:pt>
                <c:pt idx="2">
                  <c:v>R&amp;D</c:v>
                </c:pt>
                <c:pt idx="3">
                  <c:v>Natural Resources</c:v>
                </c:pt>
                <c:pt idx="4">
                  <c:v>Net International Investment Position</c:v>
                </c:pt>
                <c:pt idx="5">
                  <c:v>Human Capital</c:v>
                </c:pt>
              </c:strCache>
            </c:strRef>
          </c:cat>
          <c:val>
            <c:numRef>
              <c:f>'C15'!$B$22:$G$22</c:f>
              <c:numCache>
                <c:formatCode>#,##0</c:formatCode>
                <c:ptCount val="6"/>
                <c:pt idx="0">
                  <c:v>147742.11551907114</c:v>
                </c:pt>
                <c:pt idx="1">
                  <c:v>53260.19610462003</c:v>
                </c:pt>
                <c:pt idx="2">
                  <c:v>1227.8557197272121</c:v>
                </c:pt>
                <c:pt idx="3">
                  <c:v>26184.900383233871</c:v>
                </c:pt>
                <c:pt idx="4">
                  <c:v>-9818.5184573276856</c:v>
                </c:pt>
                <c:pt idx="5">
                  <c:v>77530.178961133061</c:v>
                </c:pt>
              </c:numCache>
            </c:numRef>
          </c:val>
        </c:ser>
        <c:ser>
          <c:idx val="1"/>
          <c:order val="1"/>
          <c:tx>
            <c:strRef>
              <c:f>'C15'!$A$23</c:f>
              <c:strCache>
                <c:ptCount val="1"/>
                <c:pt idx="0">
                  <c:v>2010</c:v>
                </c:pt>
              </c:strCache>
            </c:strRef>
          </c:tx>
          <c:cat>
            <c:strRef>
              <c:f>'C15'!$B$21:$G$21</c:f>
              <c:strCache>
                <c:ptCount val="6"/>
                <c:pt idx="0">
                  <c:v>Total Wealth Stock</c:v>
                </c:pt>
                <c:pt idx="1">
                  <c:v>Physical Capital</c:v>
                </c:pt>
                <c:pt idx="2">
                  <c:v>R&amp;D</c:v>
                </c:pt>
                <c:pt idx="3">
                  <c:v>Natural Resources</c:v>
                </c:pt>
                <c:pt idx="4">
                  <c:v>Net International Investment Position</c:v>
                </c:pt>
                <c:pt idx="5">
                  <c:v>Human Capital</c:v>
                </c:pt>
              </c:strCache>
            </c:strRef>
          </c:cat>
          <c:val>
            <c:numRef>
              <c:f>'C15'!$B$23:$G$23</c:f>
              <c:numCache>
                <c:formatCode>#,##0</c:formatCode>
                <c:ptCount val="6"/>
                <c:pt idx="0">
                  <c:v>213055.55743049577</c:v>
                </c:pt>
                <c:pt idx="1">
                  <c:v>78748.460219242261</c:v>
                </c:pt>
                <c:pt idx="2">
                  <c:v>3494.6573660945023</c:v>
                </c:pt>
                <c:pt idx="3">
                  <c:v>28010.083236856801</c:v>
                </c:pt>
                <c:pt idx="4">
                  <c:v>-3700.7225654546814</c:v>
                </c:pt>
                <c:pt idx="5">
                  <c:v>107093.46362773265</c:v>
                </c:pt>
              </c:numCache>
            </c:numRef>
          </c:val>
        </c:ser>
        <c:axId val="131155456"/>
        <c:axId val="131156992"/>
      </c:barChart>
      <c:catAx>
        <c:axId val="131155456"/>
        <c:scaling>
          <c:orientation val="minMax"/>
        </c:scaling>
        <c:axPos val="b"/>
        <c:numFmt formatCode="General" sourceLinked="1"/>
        <c:tickLblPos val="low"/>
        <c:txPr>
          <a:bodyPr/>
          <a:lstStyle/>
          <a:p>
            <a:pPr>
              <a:defRPr lang="en-CA"/>
            </a:pPr>
            <a:endParaRPr lang="en-US"/>
          </a:p>
        </c:txPr>
        <c:crossAx val="131156992"/>
        <c:crosses val="autoZero"/>
        <c:auto val="1"/>
        <c:lblAlgn val="ctr"/>
        <c:lblOffset val="100"/>
      </c:catAx>
      <c:valAx>
        <c:axId val="131156992"/>
        <c:scaling>
          <c:orientation val="minMax"/>
        </c:scaling>
        <c:axPos val="l"/>
        <c:majorGridlines/>
        <c:title>
          <c:tx>
            <c:rich>
              <a:bodyPr rot="-5400000" vert="horz"/>
              <a:lstStyle/>
              <a:p>
                <a:pPr>
                  <a:defRPr lang="en-CA" b="0"/>
                </a:pPr>
                <a:r>
                  <a:rPr lang="en-US" b="0"/>
                  <a:t>2002</a:t>
                </a:r>
                <a:r>
                  <a:rPr lang="en-US" b="0" baseline="0"/>
                  <a:t> Dollars</a:t>
                </a:r>
                <a:endParaRPr lang="en-US" b="0"/>
              </a:p>
            </c:rich>
          </c:tx>
        </c:title>
        <c:numFmt formatCode="#,##0" sourceLinked="1"/>
        <c:tickLblPos val="nextTo"/>
        <c:txPr>
          <a:bodyPr/>
          <a:lstStyle/>
          <a:p>
            <a:pPr>
              <a:defRPr lang="en-CA"/>
            </a:pPr>
            <a:endParaRPr lang="en-US"/>
          </a:p>
        </c:txPr>
        <c:crossAx val="131155456"/>
        <c:crosses val="autoZero"/>
        <c:crossBetween val="between"/>
      </c:valAx>
    </c:plotArea>
    <c:legend>
      <c:legendPos val="r"/>
      <c:layout>
        <c:manualLayout>
          <c:xMode val="edge"/>
          <c:yMode val="edge"/>
          <c:x val="0.86975487207427482"/>
          <c:y val="6.0520341207349081E-2"/>
          <c:w val="8.4643982928822567E-2"/>
          <c:h val="0.14656856955380576"/>
        </c:manualLayout>
      </c:layout>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11" l="0.70000000000000062" r="0.70000000000000062" t="0.75000000000000411"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0251046025104603"/>
          <c:y val="3.367003367003369E-2"/>
          <c:w val="0.8870292887029253"/>
          <c:h val="0.76767676767676762"/>
        </c:manualLayout>
      </c:layout>
      <c:lineChart>
        <c:grouping val="standard"/>
        <c:ser>
          <c:idx val="0"/>
          <c:order val="0"/>
          <c:tx>
            <c:strRef>
              <c:f>'C16'!$J$21</c:f>
              <c:strCache>
                <c:ptCount val="1"/>
                <c:pt idx="0">
                  <c:v>Physical Capital</c:v>
                </c:pt>
              </c:strCache>
            </c:strRef>
          </c:tx>
          <c:spPr>
            <a:ln>
              <a:solidFill>
                <a:sysClr val="windowText" lastClr="000000"/>
              </a:solidFill>
            </a:ln>
          </c:spPr>
          <c:marker>
            <c:symbol val="square"/>
            <c:size val="4"/>
          </c:marker>
          <c:cat>
            <c:numRef>
              <c:f>'C16'!$I$22:$I$51</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'C16'!$J$22:$J$51</c:f>
              <c:numCache>
                <c:formatCode>General</c:formatCode>
                <c:ptCount val="30"/>
                <c:pt idx="0">
                  <c:v>100</c:v>
                </c:pt>
                <c:pt idx="1">
                  <c:v>101.37544999667637</c:v>
                </c:pt>
                <c:pt idx="2">
                  <c:v>102.43302603487905</c:v>
                </c:pt>
                <c:pt idx="3">
                  <c:v>103.47562396542669</c:v>
                </c:pt>
                <c:pt idx="4">
                  <c:v>105.03708458598022</c:v>
                </c:pt>
                <c:pt idx="5">
                  <c:v>106.64828957959912</c:v>
                </c:pt>
                <c:pt idx="6">
                  <c:v>108.59114913658881</c:v>
                </c:pt>
                <c:pt idx="7">
                  <c:v>111.27292532822045</c:v>
                </c:pt>
                <c:pt idx="8">
                  <c:v>113.48117716638353</c:v>
                </c:pt>
                <c:pt idx="9">
                  <c:v>115.23107598521872</c:v>
                </c:pt>
                <c:pt idx="10">
                  <c:v>116.30827035788857</c:v>
                </c:pt>
                <c:pt idx="11">
                  <c:v>116.7128046835012</c:v>
                </c:pt>
                <c:pt idx="12">
                  <c:v>116.81966511871065</c:v>
                </c:pt>
                <c:pt idx="13">
                  <c:v>117.46854934835689</c:v>
                </c:pt>
                <c:pt idx="14">
                  <c:v>117.68348207197262</c:v>
                </c:pt>
                <c:pt idx="15">
                  <c:v>117.91890784447919</c:v>
                </c:pt>
                <c:pt idx="16">
                  <c:v>119.3626899280266</c:v>
                </c:pt>
                <c:pt idx="17">
                  <c:v>120.7578176605919</c:v>
                </c:pt>
                <c:pt idx="18">
                  <c:v>122.42338789570901</c:v>
                </c:pt>
                <c:pt idx="19">
                  <c:v>123.980302803773</c:v>
                </c:pt>
                <c:pt idx="20">
                  <c:v>125.34408399841637</c:v>
                </c:pt>
                <c:pt idx="21">
                  <c:v>126.57162325344837</c:v>
                </c:pt>
                <c:pt idx="22">
                  <c:v>128.55808364703134</c:v>
                </c:pt>
                <c:pt idx="23">
                  <c:v>131.24417746293233</c:v>
                </c:pt>
                <c:pt idx="24">
                  <c:v>134.82082603047866</c:v>
                </c:pt>
                <c:pt idx="25">
                  <c:v>138.7698832350984</c:v>
                </c:pt>
                <c:pt idx="26">
                  <c:v>142.41760082113848</c:v>
                </c:pt>
                <c:pt idx="27">
                  <c:v>145.60422423643962</c:v>
                </c:pt>
                <c:pt idx="28">
                  <c:v>146.05194070173718</c:v>
                </c:pt>
                <c:pt idx="29">
                  <c:v>147.8561214167427</c:v>
                </c:pt>
              </c:numCache>
            </c:numRef>
          </c:val>
        </c:ser>
        <c:ser>
          <c:idx val="1"/>
          <c:order val="1"/>
          <c:tx>
            <c:strRef>
              <c:f>'C16'!$K$21</c:f>
              <c:strCache>
                <c:ptCount val="1"/>
                <c:pt idx="0">
                  <c:v>R&amp;D</c:v>
                </c:pt>
              </c:strCache>
            </c:strRef>
          </c:tx>
          <c:marker>
            <c:symbol val="star"/>
            <c:size val="5"/>
          </c:marker>
          <c:cat>
            <c:numRef>
              <c:f>'C16'!$I$22:$I$51</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'C16'!$K$22:$K$51</c:f>
              <c:numCache>
                <c:formatCode>General</c:formatCode>
                <c:ptCount val="30"/>
                <c:pt idx="0">
                  <c:v>100</c:v>
                </c:pt>
                <c:pt idx="1">
                  <c:v>106.95914518249366</c:v>
                </c:pt>
                <c:pt idx="2">
                  <c:v>112.53281212972242</c:v>
                </c:pt>
                <c:pt idx="3">
                  <c:v>119.50129531621613</c:v>
                </c:pt>
                <c:pt idx="4">
                  <c:v>127.19986908378409</c:v>
                </c:pt>
                <c:pt idx="5">
                  <c:v>134.4391943408321</c:v>
                </c:pt>
                <c:pt idx="6">
                  <c:v>139.63429318401128</c:v>
                </c:pt>
                <c:pt idx="7">
                  <c:v>146.25711456949105</c:v>
                </c:pt>
                <c:pt idx="8">
                  <c:v>150.53385340383628</c:v>
                </c:pt>
                <c:pt idx="9">
                  <c:v>155.24622168722786</c:v>
                </c:pt>
                <c:pt idx="10">
                  <c:v>159.54497280813371</c:v>
                </c:pt>
                <c:pt idx="11">
                  <c:v>164.02344838446487</c:v>
                </c:pt>
                <c:pt idx="12">
                  <c:v>169.45579929503296</c:v>
                </c:pt>
                <c:pt idx="13">
                  <c:v>176.56600460586131</c:v>
                </c:pt>
                <c:pt idx="14">
                  <c:v>182.1799012179869</c:v>
                </c:pt>
                <c:pt idx="15">
                  <c:v>185.71703109495888</c:v>
                </c:pt>
                <c:pt idx="16">
                  <c:v>190.09845225427509</c:v>
                </c:pt>
                <c:pt idx="17">
                  <c:v>197.896962540966</c:v>
                </c:pt>
                <c:pt idx="18">
                  <c:v>207.3535030836243</c:v>
                </c:pt>
                <c:pt idx="19">
                  <c:v>220.12994749726749</c:v>
                </c:pt>
                <c:pt idx="20">
                  <c:v>235.62476607471055</c:v>
                </c:pt>
                <c:pt idx="21">
                  <c:v>247.62397904017669</c:v>
                </c:pt>
                <c:pt idx="22">
                  <c:v>257.8344763804439</c:v>
                </c:pt>
                <c:pt idx="23">
                  <c:v>268.13845923359673</c:v>
                </c:pt>
                <c:pt idx="24">
                  <c:v>276.77062491508485</c:v>
                </c:pt>
                <c:pt idx="25">
                  <c:v>283.50598572300356</c:v>
                </c:pt>
                <c:pt idx="26">
                  <c:v>287.77645464833415</c:v>
                </c:pt>
                <c:pt idx="27">
                  <c:v>287.74783397672235</c:v>
                </c:pt>
                <c:pt idx="28">
                  <c:v>287.19807983125207</c:v>
                </c:pt>
                <c:pt idx="29">
                  <c:v>284.61465870525058</c:v>
                </c:pt>
              </c:numCache>
            </c:numRef>
          </c:val>
        </c:ser>
        <c:ser>
          <c:idx val="2"/>
          <c:order val="2"/>
          <c:tx>
            <c:strRef>
              <c:f>'C16'!$L$21</c:f>
              <c:strCache>
                <c:ptCount val="1"/>
                <c:pt idx="0">
                  <c:v>Natural Resources</c:v>
                </c:pt>
              </c:strCache>
            </c:strRef>
          </c:tx>
          <c:marker>
            <c:symbol val="diamond"/>
            <c:size val="5"/>
          </c:marker>
          <c:cat>
            <c:numRef>
              <c:f>'C16'!$I$22:$I$51</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'C16'!$L$22:$L$51</c:f>
              <c:numCache>
                <c:formatCode>General</c:formatCode>
                <c:ptCount val="30"/>
                <c:pt idx="0">
                  <c:v>100</c:v>
                </c:pt>
                <c:pt idx="1">
                  <c:v>89.257363186061568</c:v>
                </c:pt>
                <c:pt idx="2">
                  <c:v>94.866270623336561</c:v>
                </c:pt>
                <c:pt idx="3">
                  <c:v>91.10189302461491</c:v>
                </c:pt>
                <c:pt idx="4">
                  <c:v>82.492900159669915</c:v>
                </c:pt>
                <c:pt idx="5">
                  <c:v>55.745105024840498</c:v>
                </c:pt>
                <c:pt idx="6">
                  <c:v>59.389412630974348</c:v>
                </c:pt>
                <c:pt idx="7">
                  <c:v>60.048681038855804</c:v>
                </c:pt>
                <c:pt idx="8">
                  <c:v>61.438563885683948</c:v>
                </c:pt>
                <c:pt idx="9">
                  <c:v>61.258524797867295</c:v>
                </c:pt>
                <c:pt idx="10">
                  <c:v>46.59452699601789</c:v>
                </c:pt>
                <c:pt idx="11">
                  <c:v>41.876800004437555</c:v>
                </c:pt>
                <c:pt idx="12">
                  <c:v>38.067447259357401</c:v>
                </c:pt>
                <c:pt idx="13">
                  <c:v>41.958264721740932</c:v>
                </c:pt>
                <c:pt idx="14">
                  <c:v>48.252176624409024</c:v>
                </c:pt>
                <c:pt idx="15">
                  <c:v>57.21618353589578</c:v>
                </c:pt>
                <c:pt idx="16">
                  <c:v>60.864039710938052</c:v>
                </c:pt>
                <c:pt idx="17">
                  <c:v>57.426253236069343</c:v>
                </c:pt>
                <c:pt idx="18">
                  <c:v>67.117879123122407</c:v>
                </c:pt>
                <c:pt idx="19">
                  <c:v>92.104149779261235</c:v>
                </c:pt>
                <c:pt idx="20">
                  <c:v>82.643655632921295</c:v>
                </c:pt>
                <c:pt idx="21">
                  <c:v>78.701170955963292</c:v>
                </c:pt>
                <c:pt idx="22">
                  <c:v>85.484052442919861</c:v>
                </c:pt>
                <c:pt idx="23">
                  <c:v>95.193184840597894</c:v>
                </c:pt>
                <c:pt idx="24">
                  <c:v>114.22048067540847</c:v>
                </c:pt>
                <c:pt idx="25">
                  <c:v>121.53233043508401</c:v>
                </c:pt>
                <c:pt idx="26">
                  <c:v>115.68927354529721</c:v>
                </c:pt>
                <c:pt idx="27">
                  <c:v>165.90700010641032</c:v>
                </c:pt>
                <c:pt idx="28">
                  <c:v>103.37367083555209</c:v>
                </c:pt>
                <c:pt idx="29">
                  <c:v>106.9703639384154</c:v>
                </c:pt>
              </c:numCache>
            </c:numRef>
          </c:val>
        </c:ser>
        <c:ser>
          <c:idx val="4"/>
          <c:order val="3"/>
          <c:tx>
            <c:strRef>
              <c:f>'C16'!$N$21</c:f>
              <c:strCache>
                <c:ptCount val="1"/>
                <c:pt idx="0">
                  <c:v>Human Capital</c:v>
                </c:pt>
              </c:strCache>
            </c:strRef>
          </c:tx>
          <c:marker>
            <c:symbol val="circle"/>
            <c:size val="5"/>
          </c:marker>
          <c:cat>
            <c:numRef>
              <c:f>'C16'!$I$22:$I$51</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'C16'!$N$22:$N$51</c:f>
              <c:numCache>
                <c:formatCode>General</c:formatCode>
                <c:ptCount val="30"/>
                <c:pt idx="0">
                  <c:v>100</c:v>
                </c:pt>
                <c:pt idx="1">
                  <c:v>101.22675210490846</c:v>
                </c:pt>
                <c:pt idx="2">
                  <c:v>102.72047878244746</c:v>
                </c:pt>
                <c:pt idx="3">
                  <c:v>103.67878674121353</c:v>
                </c:pt>
                <c:pt idx="4">
                  <c:v>104.71307620579471</c:v>
                </c:pt>
                <c:pt idx="5">
                  <c:v>105.77073439448482</c:v>
                </c:pt>
                <c:pt idx="6">
                  <c:v>106.73683391748961</c:v>
                </c:pt>
                <c:pt idx="7">
                  <c:v>107.87760187630369</c:v>
                </c:pt>
                <c:pt idx="8">
                  <c:v>107.88888060769085</c:v>
                </c:pt>
                <c:pt idx="9">
                  <c:v>114.04363270814542</c:v>
                </c:pt>
                <c:pt idx="10">
                  <c:v>114.88004145016713</c:v>
                </c:pt>
                <c:pt idx="11">
                  <c:v>116.12402114775847</c:v>
                </c:pt>
                <c:pt idx="12">
                  <c:v>117.58715869980108</c:v>
                </c:pt>
                <c:pt idx="13">
                  <c:v>118.67639064206541</c:v>
                </c:pt>
                <c:pt idx="14">
                  <c:v>119.6032182912254</c:v>
                </c:pt>
                <c:pt idx="15">
                  <c:v>120.53914500960829</c:v>
                </c:pt>
                <c:pt idx="16">
                  <c:v>121.97369694799445</c:v>
                </c:pt>
                <c:pt idx="17">
                  <c:v>122.90146922474548</c:v>
                </c:pt>
                <c:pt idx="18">
                  <c:v>124.09184811220955</c:v>
                </c:pt>
                <c:pt idx="19">
                  <c:v>125.45341844866998</c:v>
                </c:pt>
                <c:pt idx="20">
                  <c:v>126.90560015426641</c:v>
                </c:pt>
                <c:pt idx="21">
                  <c:v>128.05522742336447</c:v>
                </c:pt>
                <c:pt idx="22">
                  <c:v>129.71527553139296</c:v>
                </c:pt>
                <c:pt idx="23">
                  <c:v>130.49330831366015</c:v>
                </c:pt>
                <c:pt idx="24">
                  <c:v>132.07487982362102</c:v>
                </c:pt>
                <c:pt idx="25">
                  <c:v>133.40258847059368</c:v>
                </c:pt>
                <c:pt idx="26">
                  <c:v>134.81592027548555</c:v>
                </c:pt>
                <c:pt idx="27">
                  <c:v>135.9190900267451</c:v>
                </c:pt>
                <c:pt idx="28">
                  <c:v>136.74933213693615</c:v>
                </c:pt>
                <c:pt idx="29">
                  <c:v>138.13132519843668</c:v>
                </c:pt>
              </c:numCache>
            </c:numRef>
          </c:val>
        </c:ser>
        <c:ser>
          <c:idx val="3"/>
          <c:order val="4"/>
          <c:tx>
            <c:strRef>
              <c:f>'C16'!$P$21</c:f>
              <c:strCache>
                <c:ptCount val="1"/>
                <c:pt idx="0">
                  <c:v>Total Wealth Stock</c:v>
                </c:pt>
              </c:strCache>
            </c:strRef>
          </c:tx>
          <c:cat>
            <c:numRef>
              <c:f>'C16'!$I$22:$I$51</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'C16'!$P$22:$P$51</c:f>
              <c:numCache>
                <c:formatCode>General</c:formatCode>
                <c:ptCount val="30"/>
                <c:pt idx="0">
                  <c:v>100</c:v>
                </c:pt>
                <c:pt idx="1">
                  <c:v>99.868693030124177</c:v>
                </c:pt>
                <c:pt idx="2">
                  <c:v>102.14116560703854</c:v>
                </c:pt>
                <c:pt idx="3">
                  <c:v>102.24255366472951</c:v>
                </c:pt>
                <c:pt idx="4">
                  <c:v>101.20430392264285</c:v>
                </c:pt>
                <c:pt idx="5">
                  <c:v>97.23796585285065</c:v>
                </c:pt>
                <c:pt idx="6">
                  <c:v>98.98219070185344</c:v>
                </c:pt>
                <c:pt idx="7">
                  <c:v>100.99726728476695</c:v>
                </c:pt>
                <c:pt idx="8">
                  <c:v>101.99396625613394</c:v>
                </c:pt>
                <c:pt idx="9">
                  <c:v>105.61643932322278</c:v>
                </c:pt>
                <c:pt idx="10">
                  <c:v>103.76837654014906</c:v>
                </c:pt>
                <c:pt idx="11">
                  <c:v>103.0884456751447</c:v>
                </c:pt>
                <c:pt idx="12">
                  <c:v>102.79282225762037</c:v>
                </c:pt>
                <c:pt idx="13">
                  <c:v>104.28423117505072</c:v>
                </c:pt>
                <c:pt idx="14">
                  <c:v>106.5142097097457</c:v>
                </c:pt>
                <c:pt idx="15">
                  <c:v>109.23250963899712</c:v>
                </c:pt>
                <c:pt idx="16">
                  <c:v>111.86882976135189</c:v>
                </c:pt>
                <c:pt idx="17">
                  <c:v>112.11249561602919</c:v>
                </c:pt>
                <c:pt idx="18">
                  <c:v>116.63850249456407</c:v>
                </c:pt>
                <c:pt idx="19">
                  <c:v>123.50369228434951</c:v>
                </c:pt>
                <c:pt idx="20">
                  <c:v>123.44053992519699</c:v>
                </c:pt>
                <c:pt idx="21">
                  <c:v>123.87171318431507</c:v>
                </c:pt>
                <c:pt idx="22">
                  <c:v>126.75306267081338</c:v>
                </c:pt>
                <c:pt idx="23">
                  <c:v>130.64019363279431</c:v>
                </c:pt>
                <c:pt idx="24">
                  <c:v>136.85588298257335</c:v>
                </c:pt>
                <c:pt idx="25">
                  <c:v>141.8133425054254</c:v>
                </c:pt>
                <c:pt idx="26">
                  <c:v>142.24196158103845</c:v>
                </c:pt>
                <c:pt idx="27">
                  <c:v>154.65550444771702</c:v>
                </c:pt>
                <c:pt idx="28">
                  <c:v>142.12123315739544</c:v>
                </c:pt>
                <c:pt idx="29">
                  <c:v>144.20773432271159</c:v>
                </c:pt>
              </c:numCache>
            </c:numRef>
          </c:val>
        </c:ser>
        <c:ser>
          <c:idx val="6"/>
          <c:order val="5"/>
          <c:tx>
            <c:strRef>
              <c:f>'C16'!$M$21</c:f>
              <c:strCache>
                <c:ptCount val="1"/>
                <c:pt idx="0">
                  <c:v>Net International Investment Position</c:v>
                </c:pt>
              </c:strCache>
            </c:strRef>
          </c:tx>
          <c:cat>
            <c:numRef>
              <c:f>'C16'!$I$22:$I$51</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'C16'!$M$22:$M$51</c:f>
              <c:numCache>
                <c:formatCode>General</c:formatCode>
                <c:ptCount val="30"/>
                <c:pt idx="0">
                  <c:v>100</c:v>
                </c:pt>
                <c:pt idx="1">
                  <c:v>91.70736526818537</c:v>
                </c:pt>
                <c:pt idx="2">
                  <c:v>90.96459483889025</c:v>
                </c:pt>
                <c:pt idx="3">
                  <c:v>93.331856552088993</c:v>
                </c:pt>
                <c:pt idx="4">
                  <c:v>103.37335905673682</c:v>
                </c:pt>
                <c:pt idx="5">
                  <c:v>109.87329059849753</c:v>
                </c:pt>
                <c:pt idx="6">
                  <c:v>111.98835304720876</c:v>
                </c:pt>
                <c:pt idx="7">
                  <c:v>107.42920135322998</c:v>
                </c:pt>
                <c:pt idx="8">
                  <c:v>108.58258843103205</c:v>
                </c:pt>
                <c:pt idx="9">
                  <c:v>112.70877398673581</c:v>
                </c:pt>
                <c:pt idx="10">
                  <c:v>114.54985276280698</c:v>
                </c:pt>
                <c:pt idx="11">
                  <c:v>124.58465736759271</c:v>
                </c:pt>
                <c:pt idx="12">
                  <c:v>131.81999594749226</c:v>
                </c:pt>
                <c:pt idx="13">
                  <c:v>132.62560779810269</c:v>
                </c:pt>
                <c:pt idx="14">
                  <c:v>124.92343083180116</c:v>
                </c:pt>
                <c:pt idx="15">
                  <c:v>116.92132473167358</c:v>
                </c:pt>
                <c:pt idx="16">
                  <c:v>106.62279296755567</c:v>
                </c:pt>
                <c:pt idx="17">
                  <c:v>109.6530555887263</c:v>
                </c:pt>
                <c:pt idx="18">
                  <c:v>86.938277460678421</c:v>
                </c:pt>
                <c:pt idx="19">
                  <c:v>70.873873771212985</c:v>
                </c:pt>
                <c:pt idx="20">
                  <c:v>67.540108250524838</c:v>
                </c:pt>
                <c:pt idx="21">
                  <c:v>67.790939250595926</c:v>
                </c:pt>
                <c:pt idx="22">
                  <c:v>67.527190273790524</c:v>
                </c:pt>
                <c:pt idx="23">
                  <c:v>56.960880670746526</c:v>
                </c:pt>
                <c:pt idx="24">
                  <c:v>47.313820369967836</c:v>
                </c:pt>
                <c:pt idx="25">
                  <c:v>25.145732186132449</c:v>
                </c:pt>
                <c:pt idx="26">
                  <c:v>34.400358960002414</c:v>
                </c:pt>
                <c:pt idx="27">
                  <c:v>7.7526501019400653</c:v>
                </c:pt>
                <c:pt idx="28">
                  <c:v>38.960839681534942</c:v>
                </c:pt>
                <c:pt idx="29">
                  <c:v>37.691252316104624</c:v>
                </c:pt>
              </c:numCache>
            </c:numRef>
          </c:val>
        </c:ser>
        <c:marker val="1"/>
        <c:axId val="131316736"/>
        <c:axId val="131207936"/>
      </c:lineChart>
      <c:catAx>
        <c:axId val="131316736"/>
        <c:scaling>
          <c:orientation val="minMax"/>
        </c:scaling>
        <c:axPos val="b"/>
        <c:numFmt formatCode="General" sourceLinked="1"/>
        <c:tickLblPos val="nextTo"/>
        <c:txPr>
          <a:bodyPr rot="5400000" vert="horz"/>
          <a:lstStyle/>
          <a:p>
            <a:pPr>
              <a:defRPr lang="en-CA"/>
            </a:pPr>
            <a:endParaRPr lang="en-US"/>
          </a:p>
        </c:txPr>
        <c:crossAx val="131207936"/>
        <c:crosses val="autoZero"/>
        <c:auto val="1"/>
        <c:lblAlgn val="ctr"/>
        <c:lblOffset val="100"/>
      </c:catAx>
      <c:valAx>
        <c:axId val="131207936"/>
        <c:scaling>
          <c:orientation val="minMax"/>
          <c:max val="400"/>
        </c:scaling>
        <c:axPos val="l"/>
        <c:majorGridlines/>
        <c:title>
          <c:tx>
            <c:rich>
              <a:bodyPr rot="-5400000" vert="horz"/>
              <a:lstStyle/>
              <a:p>
                <a:pPr>
                  <a:defRPr lang="en-CA" b="0"/>
                </a:pPr>
                <a:r>
                  <a:rPr lang="en-US" b="0"/>
                  <a:t>Index</a:t>
                </a:r>
                <a:r>
                  <a:rPr lang="en-US" b="0" baseline="0"/>
                  <a:t> (normalized to 100 in 1981)</a:t>
                </a:r>
                <a:endParaRPr lang="en-US" b="0"/>
              </a:p>
            </c:rich>
          </c:tx>
        </c:title>
        <c:numFmt formatCode="General" sourceLinked="1"/>
        <c:tickLblPos val="nextTo"/>
        <c:spPr>
          <a:ln w="6350"/>
        </c:spPr>
        <c:txPr>
          <a:bodyPr/>
          <a:lstStyle/>
          <a:p>
            <a:pPr>
              <a:defRPr lang="en-CA"/>
            </a:pPr>
            <a:endParaRPr lang="en-US"/>
          </a:p>
        </c:txPr>
        <c:crossAx val="131316736"/>
        <c:crosses val="autoZero"/>
        <c:crossBetween val="between"/>
      </c:valAx>
    </c:plotArea>
    <c:legend>
      <c:legendPos val="r"/>
      <c:layout>
        <c:manualLayout>
          <c:xMode val="edge"/>
          <c:yMode val="edge"/>
          <c:x val="0.10709644053114088"/>
          <c:y val="2.8506588191627547E-2"/>
          <c:w val="0.50615776476216112"/>
          <c:h val="0.34565638891098238"/>
        </c:manualLayout>
      </c:layout>
      <c:spPr>
        <a:solidFill>
          <a:schemeClr val="bg1"/>
        </a:solidFill>
        <a:ln>
          <a:solidFill>
            <a:sysClr val="windowText" lastClr="000000"/>
          </a:solidFill>
        </a:ln>
      </c:spPr>
      <c:txPr>
        <a:bodyPr/>
        <a:lstStyle/>
        <a:p>
          <a:pPr>
            <a:defRPr lang="en-CA" kern="100" spc="-100" baseline="0"/>
          </a:pPr>
          <a:endParaRPr lang="en-US"/>
        </a:p>
      </c:txPr>
    </c:legend>
    <c:plotVisOnly val="1"/>
    <c:dispBlanksAs val="gap"/>
  </c:chart>
  <c:spPr>
    <a:ln>
      <a:noFill/>
    </a:ln>
  </c:spPr>
  <c:printSettings>
    <c:headerFooter/>
    <c:pageMargins b="0.75000000000000411" l="0.70000000000000062" r="0.70000000000000062" t="0.75000000000000411"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5833333333333446"/>
          <c:y val="4.8611111111111112E-2"/>
          <c:w val="0.81458333333333333"/>
          <c:h val="0.53472222222222221"/>
        </c:manualLayout>
      </c:layout>
      <c:barChart>
        <c:barDir val="col"/>
        <c:grouping val="clustered"/>
        <c:ser>
          <c:idx val="0"/>
          <c:order val="0"/>
          <c:tx>
            <c:strRef>
              <c:f>'C17'!$A$21</c:f>
              <c:strCache>
                <c:ptCount val="1"/>
                <c:pt idx="0">
                  <c:v>1981</c:v>
                </c:pt>
              </c:strCache>
            </c:strRef>
          </c:tx>
          <c:spPr>
            <a:solidFill>
              <a:schemeClr val="tx1"/>
            </a:solidFill>
          </c:spPr>
          <c:cat>
            <c:strRef>
              <c:f>'C17'!$B$20:$L$20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'C17'!$B$21:$L$21</c:f>
              <c:numCache>
                <c:formatCode>#,##0</c:formatCode>
                <c:ptCount val="11"/>
                <c:pt idx="0">
                  <c:v>53260.19610462003</c:v>
                </c:pt>
                <c:pt idx="1">
                  <c:v>41491.518889209496</c:v>
                </c:pt>
                <c:pt idx="2">
                  <c:v>32022.068619436508</c:v>
                </c:pt>
                <c:pt idx="3">
                  <c:v>39935.223092139044</c:v>
                </c:pt>
                <c:pt idx="4">
                  <c:v>41609.817563607845</c:v>
                </c:pt>
                <c:pt idx="5">
                  <c:v>47530.964348614609</c:v>
                </c:pt>
                <c:pt idx="6">
                  <c:v>53613.235441972713</c:v>
                </c:pt>
                <c:pt idx="7">
                  <c:v>49176.132085037345</c:v>
                </c:pt>
                <c:pt idx="8">
                  <c:v>55847.738017276817</c:v>
                </c:pt>
                <c:pt idx="9">
                  <c:v>78722.375326480149</c:v>
                </c:pt>
                <c:pt idx="10">
                  <c:v>51617.956291715935</c:v>
                </c:pt>
              </c:numCache>
            </c:numRef>
          </c:val>
        </c:ser>
        <c:ser>
          <c:idx val="1"/>
          <c:order val="1"/>
          <c:tx>
            <c:strRef>
              <c:f>'C17'!$A$22</c:f>
              <c:strCache>
                <c:ptCount val="1"/>
                <c:pt idx="0">
                  <c:v>2010</c:v>
                </c:pt>
              </c:strCache>
            </c:strRef>
          </c:tx>
          <c:val>
            <c:numRef>
              <c:f>'C17'!$B$22:$L$22</c:f>
              <c:numCache>
                <c:formatCode>#,##0</c:formatCode>
                <c:ptCount val="11"/>
                <c:pt idx="0">
                  <c:v>78748.460219242261</c:v>
                </c:pt>
                <c:pt idx="1">
                  <c:v>82455.138806330317</c:v>
                </c:pt>
                <c:pt idx="2">
                  <c:v>60856.423882023817</c:v>
                </c:pt>
                <c:pt idx="3">
                  <c:v>64999.374009290128</c:v>
                </c:pt>
                <c:pt idx="4">
                  <c:v>68108.492793529804</c:v>
                </c:pt>
                <c:pt idx="5">
                  <c:v>72458.268388687778</c:v>
                </c:pt>
                <c:pt idx="6">
                  <c:v>73490.937285755514</c:v>
                </c:pt>
                <c:pt idx="7">
                  <c:v>63402.168669237457</c:v>
                </c:pt>
                <c:pt idx="8">
                  <c:v>82599.072244394207</c:v>
                </c:pt>
                <c:pt idx="9">
                  <c:v>122917.82788570433</c:v>
                </c:pt>
                <c:pt idx="10">
                  <c:v>73504.356692621441</c:v>
                </c:pt>
              </c:numCache>
            </c:numRef>
          </c:val>
        </c:ser>
        <c:axId val="131417600"/>
        <c:axId val="131419136"/>
      </c:barChart>
      <c:catAx>
        <c:axId val="131417600"/>
        <c:scaling>
          <c:orientation val="minMax"/>
        </c:scaling>
        <c:axPos val="b"/>
        <c:numFmt formatCode="General" sourceLinked="1"/>
        <c:tickLblPos val="nextTo"/>
        <c:txPr>
          <a:bodyPr/>
          <a:lstStyle/>
          <a:p>
            <a:pPr>
              <a:defRPr lang="en-CA"/>
            </a:pPr>
            <a:endParaRPr lang="en-US"/>
          </a:p>
        </c:txPr>
        <c:crossAx val="131419136"/>
        <c:crosses val="autoZero"/>
        <c:auto val="1"/>
        <c:lblAlgn val="ctr"/>
        <c:lblOffset val="100"/>
      </c:catAx>
      <c:valAx>
        <c:axId val="131419136"/>
        <c:scaling>
          <c:orientation val="minMax"/>
        </c:scaling>
        <c:axPos val="l"/>
        <c:majorGridlines/>
        <c:title>
          <c:tx>
            <c:rich>
              <a:bodyPr rot="-5400000" vert="horz"/>
              <a:lstStyle/>
              <a:p>
                <a:pPr>
                  <a:defRPr lang="en-CA" b="0"/>
                </a:pPr>
                <a:r>
                  <a:rPr lang="en-US" b="0"/>
                  <a:t>2002</a:t>
                </a:r>
                <a:r>
                  <a:rPr lang="en-US" b="0" baseline="0"/>
                  <a:t> Dollars</a:t>
                </a:r>
                <a:endParaRPr lang="en-US" b="0"/>
              </a:p>
            </c:rich>
          </c:tx>
        </c:title>
        <c:numFmt formatCode="#,##0" sourceLinked="1"/>
        <c:tickLblPos val="nextTo"/>
        <c:txPr>
          <a:bodyPr/>
          <a:lstStyle/>
          <a:p>
            <a:pPr>
              <a:defRPr lang="en-CA"/>
            </a:pPr>
            <a:endParaRPr lang="en-US"/>
          </a:p>
        </c:txPr>
        <c:crossAx val="131417600"/>
        <c:crosses val="autoZero"/>
        <c:crossBetween val="between"/>
      </c:valAx>
    </c:plotArea>
    <c:legend>
      <c:legendPos val="r"/>
      <c:layout>
        <c:manualLayout>
          <c:xMode val="edge"/>
          <c:yMode val="edge"/>
          <c:x val="0.16315419947506571"/>
          <c:y val="6.4430956547098434E-2"/>
          <c:w val="0.10351246719160104"/>
          <c:h val="0.16743438320210097"/>
        </c:manualLayout>
      </c:layout>
      <c:spPr>
        <a:solidFill>
          <a:schemeClr val="bg1"/>
        </a:solidFill>
        <a:ln>
          <a:solidFill>
            <a:schemeClr val="tx1"/>
          </a:solidFill>
        </a:ln>
      </c:spPr>
      <c:txPr>
        <a:bodyPr/>
        <a:lstStyle/>
        <a:p>
          <a:pPr>
            <a:defRPr lang="en-CA"/>
          </a:pPr>
          <a:endParaRPr lang="en-US"/>
        </a:p>
      </c:txPr>
    </c:legend>
    <c:plotVisOnly val="1"/>
    <c:dispBlanksAs val="gap"/>
  </c:chart>
  <c:spPr>
    <a:ln>
      <a:noFill/>
    </a:ln>
  </c:spPr>
  <c:printSettings>
    <c:headerFooter/>
    <c:pageMargins b="0.75000000000000344" l="0.70000000000000062" r="0.70000000000000062" t="0.75000000000000344"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3750000000000001"/>
          <c:y val="4.8611111111111112E-2"/>
          <c:w val="0.8333333333333337"/>
          <c:h val="0.53472222222222221"/>
        </c:manualLayout>
      </c:layout>
      <c:barChart>
        <c:barDir val="col"/>
        <c:grouping val="clustered"/>
        <c:ser>
          <c:idx val="0"/>
          <c:order val="0"/>
          <c:tx>
            <c:strRef>
              <c:f>'C18'!$A$21</c:f>
              <c:strCache>
                <c:ptCount val="1"/>
                <c:pt idx="0">
                  <c:v>1981</c:v>
                </c:pt>
              </c:strCache>
            </c:strRef>
          </c:tx>
          <c:spPr>
            <a:solidFill>
              <a:prstClr val="black"/>
            </a:solidFill>
          </c:spPr>
          <c:cat>
            <c:strRef>
              <c:f>'C18'!$B$20:$L$20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'C18'!$B$21:$L$21</c:f>
              <c:numCache>
                <c:formatCode>#,##0</c:formatCode>
                <c:ptCount val="11"/>
                <c:pt idx="0">
                  <c:v>1227.8557197272121</c:v>
                </c:pt>
                <c:pt idx="1">
                  <c:v>399.97838784823591</c:v>
                </c:pt>
                <c:pt idx="2">
                  <c:v>353.48455278054729</c:v>
                </c:pt>
                <c:pt idx="3">
                  <c:v>900.5550522792463</c:v>
                </c:pt>
                <c:pt idx="4">
                  <c:v>988.84137132162084</c:v>
                </c:pt>
                <c:pt idx="5">
                  <c:v>903.58221013495267</c:v>
                </c:pt>
                <c:pt idx="6">
                  <c:v>1246.9258481621964</c:v>
                </c:pt>
                <c:pt idx="7">
                  <c:v>816.99843047726711</c:v>
                </c:pt>
                <c:pt idx="8">
                  <c:v>552.31706934177078</c:v>
                </c:pt>
                <c:pt idx="9">
                  <c:v>1076.6830050398605</c:v>
                </c:pt>
                <c:pt idx="10">
                  <c:v>597.8946930377474</c:v>
                </c:pt>
              </c:numCache>
            </c:numRef>
          </c:val>
        </c:ser>
        <c:ser>
          <c:idx val="1"/>
          <c:order val="1"/>
          <c:tx>
            <c:strRef>
              <c:f>'C18'!$A$22</c:f>
              <c:strCache>
                <c:ptCount val="1"/>
                <c:pt idx="0">
                  <c:v>2010</c:v>
                </c:pt>
              </c:strCache>
            </c:strRef>
          </c:tx>
          <c:cat>
            <c:strRef>
              <c:f>'C18'!$B$20:$L$20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'C18'!$B$22:$L$22</c:f>
              <c:numCache>
                <c:formatCode>#,##0</c:formatCode>
                <c:ptCount val="11"/>
                <c:pt idx="0">
                  <c:v>3494.6573660945023</c:v>
                </c:pt>
                <c:pt idx="1">
                  <c:v>1867.1514017590398</c:v>
                </c:pt>
                <c:pt idx="2">
                  <c:v>1888.8943129875549</c:v>
                </c:pt>
                <c:pt idx="3">
                  <c:v>2265.6199234030441</c:v>
                </c:pt>
                <c:pt idx="4">
                  <c:v>1725.9803369848555</c:v>
                </c:pt>
                <c:pt idx="5">
                  <c:v>4292.7958736756264</c:v>
                </c:pt>
                <c:pt idx="6">
                  <c:v>4584.5922972106873</c:v>
                </c:pt>
                <c:pt idx="7">
                  <c:v>1926.0199503382855</c:v>
                </c:pt>
                <c:pt idx="8">
                  <c:v>1815.9945900312164</c:v>
                </c:pt>
                <c:pt idx="9">
                  <c:v>2632.9788270518256</c:v>
                </c:pt>
                <c:pt idx="10">
                  <c:v>2464.5546702196111</c:v>
                </c:pt>
              </c:numCache>
            </c:numRef>
          </c:val>
        </c:ser>
        <c:axId val="131477504"/>
        <c:axId val="131479040"/>
      </c:barChart>
      <c:catAx>
        <c:axId val="131477504"/>
        <c:scaling>
          <c:orientation val="minMax"/>
        </c:scaling>
        <c:axPos val="b"/>
        <c:numFmt formatCode="General" sourceLinked="1"/>
        <c:tickLblPos val="nextTo"/>
        <c:txPr>
          <a:bodyPr/>
          <a:lstStyle/>
          <a:p>
            <a:pPr>
              <a:defRPr lang="en-CA"/>
            </a:pPr>
            <a:endParaRPr lang="en-US"/>
          </a:p>
        </c:txPr>
        <c:crossAx val="131479040"/>
        <c:crosses val="autoZero"/>
        <c:auto val="1"/>
        <c:lblAlgn val="ctr"/>
        <c:lblOffset val="100"/>
      </c:catAx>
      <c:valAx>
        <c:axId val="131479040"/>
        <c:scaling>
          <c:orientation val="minMax"/>
        </c:scaling>
        <c:axPos val="l"/>
        <c:majorGridlines/>
        <c:title>
          <c:tx>
            <c:rich>
              <a:bodyPr rot="-5400000" vert="horz"/>
              <a:lstStyle/>
              <a:p>
                <a:pPr>
                  <a:defRPr lang="en-CA" b="0"/>
                </a:pPr>
                <a:r>
                  <a:rPr lang="en-US" b="0"/>
                  <a:t>2002</a:t>
                </a:r>
                <a:r>
                  <a:rPr lang="en-US" b="0" baseline="0"/>
                  <a:t> Dollars</a:t>
                </a:r>
                <a:endParaRPr lang="en-US" b="0"/>
              </a:p>
            </c:rich>
          </c:tx>
        </c:title>
        <c:numFmt formatCode="#,##0" sourceLinked="1"/>
        <c:tickLblPos val="nextTo"/>
        <c:txPr>
          <a:bodyPr/>
          <a:lstStyle/>
          <a:p>
            <a:pPr>
              <a:defRPr lang="en-CA"/>
            </a:pPr>
            <a:endParaRPr lang="en-US"/>
          </a:p>
        </c:txPr>
        <c:crossAx val="131477504"/>
        <c:crosses val="autoZero"/>
        <c:crossBetween val="between"/>
      </c:valAx>
    </c:plotArea>
    <c:legend>
      <c:legendPos val="r"/>
      <c:layout>
        <c:manualLayout>
          <c:xMode val="edge"/>
          <c:yMode val="edge"/>
          <c:x val="0.84648753280839895"/>
          <c:y val="5.5171697287839022E-2"/>
          <c:w val="0.10351246719160101"/>
          <c:h val="0.16743438320210097"/>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11" l="0.70000000000000062" r="0.70000000000000062" t="0.75000000000000411"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6041666666666671"/>
          <c:y val="4.8611111111111112E-2"/>
          <c:w val="0.8125"/>
          <c:h val="0.51388888888888884"/>
        </c:manualLayout>
      </c:layout>
      <c:barChart>
        <c:barDir val="col"/>
        <c:grouping val="clustered"/>
        <c:ser>
          <c:idx val="0"/>
          <c:order val="0"/>
          <c:tx>
            <c:strRef>
              <c:f>'C19'!$A$21</c:f>
              <c:strCache>
                <c:ptCount val="1"/>
                <c:pt idx="0">
                  <c:v>1981</c:v>
                </c:pt>
              </c:strCache>
            </c:strRef>
          </c:tx>
          <c:spPr>
            <a:solidFill>
              <a:schemeClr val="tx1"/>
            </a:solidFill>
          </c:spPr>
          <c:cat>
            <c:strRef>
              <c:f>'C19'!$B$20:$L$20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'C19'!$B$21:$L$21</c:f>
              <c:numCache>
                <c:formatCode>#,##0</c:formatCode>
                <c:ptCount val="11"/>
                <c:pt idx="0">
                  <c:v>26184.900383233871</c:v>
                </c:pt>
                <c:pt idx="1">
                  <c:v>17461.703750220044</c:v>
                </c:pt>
                <c:pt idx="2">
                  <c:v>558.35522605768847</c:v>
                </c:pt>
                <c:pt idx="3">
                  <c:v>11660.641533725149</c:v>
                </c:pt>
                <c:pt idx="4">
                  <c:v>15335.551075302223</c:v>
                </c:pt>
                <c:pt idx="5">
                  <c:v>10498.736507959711</c:v>
                </c:pt>
                <c:pt idx="6">
                  <c:v>8096.80067403261</c:v>
                </c:pt>
                <c:pt idx="7">
                  <c:v>9481.451254577385</c:v>
                </c:pt>
                <c:pt idx="8">
                  <c:v>41942.547327746594</c:v>
                </c:pt>
                <c:pt idx="9">
                  <c:v>125822.53492501241</c:v>
                </c:pt>
                <c:pt idx="10">
                  <c:v>37284.453141666119</c:v>
                </c:pt>
              </c:numCache>
            </c:numRef>
          </c:val>
        </c:ser>
        <c:ser>
          <c:idx val="1"/>
          <c:order val="1"/>
          <c:tx>
            <c:strRef>
              <c:f>'C19'!$A$22</c:f>
              <c:strCache>
                <c:ptCount val="1"/>
                <c:pt idx="0">
                  <c:v>2010</c:v>
                </c:pt>
              </c:strCache>
            </c:strRef>
          </c:tx>
          <c:cat>
            <c:strRef>
              <c:f>'C19'!$B$20:$L$20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'C19'!$B$22:$L$22</c:f>
              <c:numCache>
                <c:formatCode>#,##0</c:formatCode>
                <c:ptCount val="11"/>
                <c:pt idx="0">
                  <c:v>28010.083236856801</c:v>
                </c:pt>
                <c:pt idx="1">
                  <c:v>157098.35419911749</c:v>
                </c:pt>
                <c:pt idx="2">
                  <c:v>448.37132798772689</c:v>
                </c:pt>
                <c:pt idx="3">
                  <c:v>7318.3730051614575</c:v>
                </c:pt>
                <c:pt idx="4">
                  <c:v>17826.429201363768</c:v>
                </c:pt>
                <c:pt idx="5">
                  <c:v>7921.3062775012877</c:v>
                </c:pt>
                <c:pt idx="6">
                  <c:v>5368.4083653452863</c:v>
                </c:pt>
                <c:pt idx="7">
                  <c:v>9532.5933703907194</c:v>
                </c:pt>
                <c:pt idx="8">
                  <c:v>74909.68461977932</c:v>
                </c:pt>
                <c:pt idx="9">
                  <c:v>136303.93284270604</c:v>
                </c:pt>
                <c:pt idx="10">
                  <c:v>31959.808235314889</c:v>
                </c:pt>
              </c:numCache>
            </c:numRef>
          </c:val>
        </c:ser>
        <c:axId val="130496768"/>
        <c:axId val="130510848"/>
      </c:barChart>
      <c:catAx>
        <c:axId val="130496768"/>
        <c:scaling>
          <c:orientation val="minMax"/>
        </c:scaling>
        <c:axPos val="b"/>
        <c:numFmt formatCode="General" sourceLinked="1"/>
        <c:tickLblPos val="nextTo"/>
        <c:txPr>
          <a:bodyPr/>
          <a:lstStyle/>
          <a:p>
            <a:pPr>
              <a:defRPr lang="en-CA"/>
            </a:pPr>
            <a:endParaRPr lang="en-US"/>
          </a:p>
        </c:txPr>
        <c:crossAx val="130510848"/>
        <c:crosses val="autoZero"/>
        <c:auto val="1"/>
        <c:lblAlgn val="ctr"/>
        <c:lblOffset val="100"/>
      </c:catAx>
      <c:valAx>
        <c:axId val="130510848"/>
        <c:scaling>
          <c:orientation val="minMax"/>
        </c:scaling>
        <c:axPos val="l"/>
        <c:majorGridlines/>
        <c:title>
          <c:tx>
            <c:rich>
              <a:bodyPr rot="-5400000" vert="horz"/>
              <a:lstStyle/>
              <a:p>
                <a:pPr>
                  <a:defRPr lang="en-CA" b="0"/>
                </a:pPr>
                <a:r>
                  <a:rPr lang="en-US" b="0"/>
                  <a:t>2002</a:t>
                </a:r>
                <a:r>
                  <a:rPr lang="en-US" b="0" baseline="0"/>
                  <a:t> Dollars</a:t>
                </a:r>
                <a:endParaRPr lang="en-US" b="0"/>
              </a:p>
            </c:rich>
          </c:tx>
        </c:title>
        <c:numFmt formatCode="#,##0" sourceLinked="1"/>
        <c:tickLblPos val="nextTo"/>
        <c:txPr>
          <a:bodyPr/>
          <a:lstStyle/>
          <a:p>
            <a:pPr>
              <a:defRPr lang="en-CA"/>
            </a:pPr>
            <a:endParaRPr lang="en-US"/>
          </a:p>
        </c:txPr>
        <c:crossAx val="130496768"/>
        <c:crosses val="autoZero"/>
        <c:crossBetween val="between"/>
      </c:valAx>
    </c:plotArea>
    <c:legend>
      <c:legendPos val="r"/>
      <c:layout>
        <c:manualLayout>
          <c:xMode val="edge"/>
          <c:yMode val="edge"/>
          <c:x val="0.46693619752115306"/>
          <c:y val="4.5912379232165894E-2"/>
          <c:w val="0.24795691163604591"/>
          <c:h val="7.0212160979877522E-2"/>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11" l="0.70000000000000062" r="0.70000000000000062" t="0.75000000000000411"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en-US"/>
  <c:style val="1"/>
  <c:chart>
    <c:autoTitleDeleted val="1"/>
    <c:plotArea>
      <c:layout>
        <c:manualLayout>
          <c:layoutTarget val="inner"/>
          <c:xMode val="edge"/>
          <c:yMode val="edge"/>
          <c:x val="0.20107174103237099"/>
          <c:y val="7.4433143773694949E-2"/>
          <c:w val="0.76837270341207364"/>
          <c:h val="0.68688247302420535"/>
        </c:manualLayout>
      </c:layout>
      <c:lineChart>
        <c:grouping val="standard"/>
        <c:ser>
          <c:idx val="0"/>
          <c:order val="0"/>
          <c:tx>
            <c:v>Net International Investment Position</c:v>
          </c:tx>
          <c:marker>
            <c:symbol val="none"/>
          </c:marker>
          <c:cat>
            <c:numRef>
              <c:f>'2'!$A$19:$A$48</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'2'!$E$19:$E$48</c:f>
              <c:numCache>
                <c:formatCode>#,##0</c:formatCode>
                <c:ptCount val="30"/>
                <c:pt idx="0">
                  <c:v>-9818.5184573276856</c:v>
                </c:pt>
                <c:pt idx="1">
                  <c:v>-9004.3045855856999</c:v>
                </c:pt>
                <c:pt idx="2">
                  <c:v>-8931.3755338897863</c:v>
                </c:pt>
                <c:pt idx="3">
                  <c:v>-9163.805562133457</c:v>
                </c:pt>
                <c:pt idx="4">
                  <c:v>-10149.732338945325</c:v>
                </c:pt>
                <c:pt idx="5">
                  <c:v>-10787.929317086766</c:v>
                </c:pt>
                <c:pt idx="6">
                  <c:v>-10995.597113997484</c:v>
                </c:pt>
                <c:pt idx="7">
                  <c:v>-10547.95596342661</c:v>
                </c:pt>
                <c:pt idx="8">
                  <c:v>-10661.201486545036</c:v>
                </c:pt>
                <c:pt idx="9">
                  <c:v>-11066.3317769154</c:v>
                </c:pt>
                <c:pt idx="10">
                  <c:v>-11247.098436357892</c:v>
                </c:pt>
                <c:pt idx="11">
                  <c:v>-12232.367578635545</c:v>
                </c:pt>
                <c:pt idx="12">
                  <c:v>-12942.770632553136</c:v>
                </c:pt>
                <c:pt idx="13">
                  <c:v>-13021.86978079974</c:v>
                </c:pt>
                <c:pt idx="14">
                  <c:v>-12265.63011374738</c:v>
                </c:pt>
                <c:pt idx="15">
                  <c:v>-11479.941849331412</c:v>
                </c:pt>
                <c:pt idx="16">
                  <c:v>-10468.778607237738</c:v>
                </c:pt>
                <c:pt idx="17">
                  <c:v>-10766.305502002879</c:v>
                </c:pt>
                <c:pt idx="18">
                  <c:v>-8536.0508189594657</c:v>
                </c:pt>
                <c:pt idx="19">
                  <c:v>-6958.7643776496725</c:v>
                </c:pt>
                <c:pt idx="20">
                  <c:v>-6631.4379946768795</c:v>
                </c:pt>
                <c:pt idx="21">
                  <c:v>-6656.0658827155594</c:v>
                </c:pt>
                <c:pt idx="22">
                  <c:v>-6630.169640746908</c:v>
                </c:pt>
                <c:pt idx="23">
                  <c:v>-5592.7145821136455</c:v>
                </c:pt>
                <c:pt idx="24">
                  <c:v>-4645.5161858921583</c:v>
                </c:pt>
                <c:pt idx="25">
                  <c:v>-2468.938355925603</c:v>
                </c:pt>
                <c:pt idx="26">
                  <c:v>-3377.6055938748154</c:v>
                </c:pt>
                <c:pt idx="27">
                  <c:v>-761.19538119101901</c:v>
                </c:pt>
                <c:pt idx="28">
                  <c:v>-3825.3772352613573</c:v>
                </c:pt>
                <c:pt idx="29">
                  <c:v>-3700.7225654546814</c:v>
                </c:pt>
              </c:numCache>
            </c:numRef>
          </c:val>
        </c:ser>
        <c:marker val="1"/>
        <c:axId val="131502080"/>
        <c:axId val="131503616"/>
      </c:lineChart>
      <c:catAx>
        <c:axId val="131502080"/>
        <c:scaling>
          <c:orientation val="minMax"/>
        </c:scaling>
        <c:axPos val="b"/>
        <c:numFmt formatCode="General" sourceLinked="1"/>
        <c:tickLblPos val="low"/>
        <c:txPr>
          <a:bodyPr rot="5400000" vert="horz"/>
          <a:lstStyle/>
          <a:p>
            <a:pPr>
              <a:defRPr lang="en-CA"/>
            </a:pPr>
            <a:endParaRPr lang="en-US"/>
          </a:p>
        </c:txPr>
        <c:crossAx val="131503616"/>
        <c:crosses val="autoZero"/>
        <c:auto val="1"/>
        <c:lblAlgn val="ctr"/>
        <c:lblOffset val="100"/>
      </c:catAx>
      <c:valAx>
        <c:axId val="131503616"/>
        <c:scaling>
          <c:orientation val="minMax"/>
        </c:scaling>
        <c:axPos val="l"/>
        <c:majorGridlines/>
        <c:title>
          <c:tx>
            <c:rich>
              <a:bodyPr rot="-5400000" vert="horz"/>
              <a:lstStyle/>
              <a:p>
                <a:pPr>
                  <a:defRPr lang="en-CA" b="0"/>
                </a:pPr>
                <a:r>
                  <a:rPr lang="en-US" b="0"/>
                  <a:t>2002</a:t>
                </a:r>
                <a:r>
                  <a:rPr lang="en-US" b="0" baseline="0"/>
                  <a:t> Dollars</a:t>
                </a:r>
                <a:endParaRPr lang="en-US" b="0"/>
              </a:p>
            </c:rich>
          </c:tx>
        </c:title>
        <c:numFmt formatCode="#,##0" sourceLinked="1"/>
        <c:tickLblPos val="nextTo"/>
        <c:txPr>
          <a:bodyPr/>
          <a:lstStyle/>
          <a:p>
            <a:pPr>
              <a:defRPr lang="en-CA"/>
            </a:pPr>
            <a:endParaRPr lang="en-US"/>
          </a:p>
        </c:txPr>
        <c:crossAx val="131502080"/>
        <c:crosses val="autoZero"/>
        <c:crossBetween val="between"/>
      </c:valAx>
    </c:plotArea>
    <c:plotVisOnly val="1"/>
    <c:dispBlanksAs val="gap"/>
  </c:chart>
  <c:spPr>
    <a:ln>
      <a:noFill/>
    </a:ln>
  </c:spPr>
  <c:printSettings>
    <c:headerFooter/>
    <c:pageMargins b="0.75000000000000411" l="0.70000000000000062" r="0.70000000000000062" t="0.75000000000000411"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5208333333333429"/>
          <c:y val="4.8611111111111112E-2"/>
          <c:w val="0.83125000000000004"/>
          <c:h val="0.53472222222222221"/>
        </c:manualLayout>
      </c:layout>
      <c:barChart>
        <c:barDir val="col"/>
        <c:grouping val="clustered"/>
        <c:ser>
          <c:idx val="0"/>
          <c:order val="0"/>
          <c:tx>
            <c:strRef>
              <c:f>'C21'!$A$21</c:f>
              <c:strCache>
                <c:ptCount val="1"/>
                <c:pt idx="0">
                  <c:v>1981</c:v>
                </c:pt>
              </c:strCache>
            </c:strRef>
          </c:tx>
          <c:spPr>
            <a:solidFill>
              <a:schemeClr val="tx1"/>
            </a:solidFill>
          </c:spPr>
          <c:cat>
            <c:strRef>
              <c:f>'C21'!$B$20:$L$20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'C21'!$B$21:$L$21</c:f>
              <c:numCache>
                <c:formatCode>#,##0</c:formatCode>
                <c:ptCount val="11"/>
                <c:pt idx="0">
                  <c:v>77530.178961133061</c:v>
                </c:pt>
                <c:pt idx="1">
                  <c:v>66933.710637172117</c:v>
                </c:pt>
                <c:pt idx="2">
                  <c:v>62022.122028161939</c:v>
                </c:pt>
                <c:pt idx="3">
                  <c:v>63659.403464385934</c:v>
                </c:pt>
                <c:pt idx="4">
                  <c:v>63781.532931773574</c:v>
                </c:pt>
                <c:pt idx="5">
                  <c:v>78931.016925527103</c:v>
                </c:pt>
                <c:pt idx="6">
                  <c:v>76247.937292116258</c:v>
                </c:pt>
                <c:pt idx="7">
                  <c:v>94292.588426717615</c:v>
                </c:pt>
                <c:pt idx="8">
                  <c:v>92287.874654605184</c:v>
                </c:pt>
                <c:pt idx="9">
                  <c:v>74529.677642482144</c:v>
                </c:pt>
                <c:pt idx="10">
                  <c:v>89667.765390435263</c:v>
                </c:pt>
              </c:numCache>
            </c:numRef>
          </c:val>
        </c:ser>
        <c:ser>
          <c:idx val="1"/>
          <c:order val="1"/>
          <c:tx>
            <c:strRef>
              <c:f>'C21'!$A$22</c:f>
              <c:strCache>
                <c:ptCount val="1"/>
                <c:pt idx="0">
                  <c:v>2010</c:v>
                </c:pt>
              </c:strCache>
            </c:strRef>
          </c:tx>
          <c:cat>
            <c:strRef>
              <c:f>'C21'!$B$20:$L$20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'C21'!$B$22:$L$22</c:f>
              <c:numCache>
                <c:formatCode>#,##0</c:formatCode>
                <c:ptCount val="11"/>
                <c:pt idx="0">
                  <c:v>107093.46362773265</c:v>
                </c:pt>
                <c:pt idx="1">
                  <c:v>107080.9891671855</c:v>
                </c:pt>
                <c:pt idx="2">
                  <c:v>99000.867151773258</c:v>
                </c:pt>
                <c:pt idx="3">
                  <c:v>94109.91835403342</c:v>
                </c:pt>
                <c:pt idx="4">
                  <c:v>96903.836916702552</c:v>
                </c:pt>
                <c:pt idx="5">
                  <c:v>110090.80747550845</c:v>
                </c:pt>
                <c:pt idx="6">
                  <c:v>103118.35382189663</c:v>
                </c:pt>
                <c:pt idx="7">
                  <c:v>120331.81675989063</c:v>
                </c:pt>
                <c:pt idx="8">
                  <c:v>129459.78011360542</c:v>
                </c:pt>
                <c:pt idx="9">
                  <c:v>98960.432901142922</c:v>
                </c:pt>
                <c:pt idx="10">
                  <c:v>122490.50510472561</c:v>
                </c:pt>
              </c:numCache>
            </c:numRef>
          </c:val>
        </c:ser>
        <c:axId val="131803008"/>
        <c:axId val="131804544"/>
      </c:barChart>
      <c:catAx>
        <c:axId val="131803008"/>
        <c:scaling>
          <c:orientation val="minMax"/>
        </c:scaling>
        <c:axPos val="b"/>
        <c:numFmt formatCode="General" sourceLinked="1"/>
        <c:tickLblPos val="nextTo"/>
        <c:txPr>
          <a:bodyPr/>
          <a:lstStyle/>
          <a:p>
            <a:pPr>
              <a:defRPr lang="en-CA"/>
            </a:pPr>
            <a:endParaRPr lang="en-US"/>
          </a:p>
        </c:txPr>
        <c:crossAx val="131804544"/>
        <c:crosses val="autoZero"/>
        <c:auto val="1"/>
        <c:lblAlgn val="ctr"/>
        <c:lblOffset val="100"/>
      </c:catAx>
      <c:valAx>
        <c:axId val="131804544"/>
        <c:scaling>
          <c:orientation val="minMax"/>
        </c:scaling>
        <c:axPos val="l"/>
        <c:majorGridlines/>
        <c:title>
          <c:tx>
            <c:rich>
              <a:bodyPr rot="-5400000" vert="horz"/>
              <a:lstStyle/>
              <a:p>
                <a:pPr>
                  <a:defRPr lang="en-CA" b="0"/>
                </a:pPr>
                <a:r>
                  <a:rPr lang="en-US" b="0"/>
                  <a:t>2002</a:t>
                </a:r>
                <a:r>
                  <a:rPr lang="en-US" b="0" baseline="0"/>
                  <a:t> Dollars</a:t>
                </a:r>
                <a:endParaRPr lang="en-US" b="0"/>
              </a:p>
            </c:rich>
          </c:tx>
        </c:title>
        <c:numFmt formatCode="#,##0" sourceLinked="1"/>
        <c:tickLblPos val="nextTo"/>
        <c:txPr>
          <a:bodyPr/>
          <a:lstStyle/>
          <a:p>
            <a:pPr>
              <a:defRPr lang="en-CA"/>
            </a:pPr>
            <a:endParaRPr lang="en-US"/>
          </a:p>
        </c:txPr>
        <c:crossAx val="131803008"/>
        <c:crosses val="autoZero"/>
        <c:crossBetween val="between"/>
      </c:valAx>
    </c:plotArea>
    <c:legend>
      <c:legendPos val="r"/>
      <c:layout>
        <c:manualLayout>
          <c:xMode val="edge"/>
          <c:yMode val="edge"/>
          <c:x val="0.17148753280839993"/>
          <c:y val="5.980132691746895E-2"/>
          <c:w val="0.28962357830271385"/>
          <c:h val="7.9471420239137225E-2"/>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11" l="0.70000000000000062" r="0.70000000000000062" t="0.7500000000000041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9.6715328467153819E-2"/>
          <c:y val="4.9230769230769231E-2"/>
          <c:w val="0.87043795620438291"/>
          <c:h val="0.53538461538461535"/>
        </c:manualLayout>
      </c:layout>
      <c:barChart>
        <c:barDir val="col"/>
        <c:grouping val="clustered"/>
        <c:ser>
          <c:idx val="0"/>
          <c:order val="0"/>
          <c:tx>
            <c:v>1981</c:v>
          </c:tx>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('9'!$H$19,'9'!$P$19,'9'!$X$19,'9'!$AF$19,'9'!$AN$19,'9'!$AV$19,'9'!$BD$19,'9'!$BL$19,'9'!$BT$19,'9'!$CB$19,'9'!$CJ$19)</c:f>
              <c:numCache>
                <c:formatCode>0.000</c:formatCode>
                <c:ptCount val="11"/>
                <c:pt idx="0">
                  <c:v>0.44780458265691525</c:v>
                </c:pt>
                <c:pt idx="1">
                  <c:v>0.27850604237112947</c:v>
                </c:pt>
                <c:pt idx="2">
                  <c:v>0.29290615513228102</c:v>
                </c:pt>
                <c:pt idx="3">
                  <c:v>0.38080016714420584</c:v>
                </c:pt>
                <c:pt idx="4">
                  <c:v>0.28130398038846005</c:v>
                </c:pt>
                <c:pt idx="5">
                  <c:v>0.3866258603521715</c:v>
                </c:pt>
                <c:pt idx="6">
                  <c:v>0.47965220498776856</c:v>
                </c:pt>
                <c:pt idx="7">
                  <c:v>0.38852384641052429</c:v>
                </c:pt>
                <c:pt idx="8">
                  <c:v>0.42000045746120829</c:v>
                </c:pt>
                <c:pt idx="9">
                  <c:v>0.60195610498675134</c:v>
                </c:pt>
                <c:pt idx="10">
                  <c:v>0.48714717707506339</c:v>
                </c:pt>
              </c:numCache>
            </c:numRef>
          </c:val>
        </c:ser>
        <c:ser>
          <c:idx val="1"/>
          <c:order val="1"/>
          <c:tx>
            <c:v>2010</c:v>
          </c:tx>
          <c:dLbls>
            <c:txPr>
              <a:bodyPr/>
              <a:lstStyle/>
              <a:p>
                <a:pPr>
                  <a:defRPr lang="en-CA"/>
                </a:pPr>
                <a:endParaRPr lang="en-US"/>
              </a:p>
            </c:txPr>
            <c:showVal val="1"/>
          </c:dLbls>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('9'!$H$48,'9'!$P$48,'9'!$X$48,'9'!$AF$48,'9'!$AN$48,'9'!$AV$48,'9'!$BD$48,'9'!$BL$48,'9'!$BT$48,'9'!$CB$48,'9'!$CJ$48)</c:f>
              <c:numCache>
                <c:formatCode>0.000</c:formatCode>
                <c:ptCount val="11"/>
                <c:pt idx="0">
                  <c:v>0.56162138366182712</c:v>
                </c:pt>
                <c:pt idx="1">
                  <c:v>0.63856541411118495</c:v>
                </c:pt>
                <c:pt idx="2">
                  <c:v>0.56836563021432185</c:v>
                </c:pt>
                <c:pt idx="3">
                  <c:v>0.49889698445646014</c:v>
                </c:pt>
                <c:pt idx="4">
                  <c:v>0.50238519565860762</c:v>
                </c:pt>
                <c:pt idx="5">
                  <c:v>0.54971034428564569</c:v>
                </c:pt>
                <c:pt idx="6">
                  <c:v>0.53759246691193852</c:v>
                </c:pt>
                <c:pt idx="7">
                  <c:v>0.56237817775561116</c:v>
                </c:pt>
                <c:pt idx="8">
                  <c:v>0.61760886781323132</c:v>
                </c:pt>
                <c:pt idx="9">
                  <c:v>0.73266148590496349</c:v>
                </c:pt>
                <c:pt idx="10">
                  <c:v>0.5439423494896477</c:v>
                </c:pt>
              </c:numCache>
            </c:numRef>
          </c:val>
        </c:ser>
        <c:axId val="129599744"/>
        <c:axId val="129617920"/>
      </c:barChart>
      <c:catAx>
        <c:axId val="129599744"/>
        <c:scaling>
          <c:orientation val="minMax"/>
        </c:scaling>
        <c:axPos val="b"/>
        <c:numFmt formatCode="General" sourceLinked="1"/>
        <c:tickLblPos val="nextTo"/>
        <c:txPr>
          <a:bodyPr/>
          <a:lstStyle/>
          <a:p>
            <a:pPr>
              <a:defRPr lang="en-CA"/>
            </a:pPr>
            <a:endParaRPr lang="en-US"/>
          </a:p>
        </c:txPr>
        <c:crossAx val="129617920"/>
        <c:crosses val="autoZero"/>
        <c:auto val="1"/>
        <c:lblAlgn val="ctr"/>
        <c:lblOffset val="100"/>
      </c:catAx>
      <c:valAx>
        <c:axId val="129617920"/>
        <c:scaling>
          <c:orientation val="minMax"/>
        </c:scaling>
        <c:axPos val="l"/>
        <c:majorGridlines/>
        <c:title>
          <c:tx>
            <c:rich>
              <a:bodyPr rot="-5400000" vert="horz"/>
              <a:lstStyle/>
              <a:p>
                <a:pPr>
                  <a:defRPr lang="en-CA" b="0"/>
                </a:pPr>
                <a:r>
                  <a:rPr lang="en-US" b="0"/>
                  <a:t>Index Value</a:t>
                </a:r>
              </a:p>
            </c:rich>
          </c:tx>
        </c:title>
        <c:numFmt formatCode="0.0" sourceLinked="0"/>
        <c:tickLblPos val="nextTo"/>
        <c:txPr>
          <a:bodyPr/>
          <a:lstStyle/>
          <a:p>
            <a:pPr>
              <a:defRPr lang="en-CA"/>
            </a:pPr>
            <a:endParaRPr lang="en-US"/>
          </a:p>
        </c:txPr>
        <c:crossAx val="129599744"/>
        <c:crosses val="autoZero"/>
        <c:crossBetween val="between"/>
      </c:valAx>
    </c:plotArea>
    <c:legend>
      <c:legendPos val="r"/>
      <c:layout>
        <c:manualLayout>
          <c:xMode val="edge"/>
          <c:yMode val="edge"/>
          <c:x val="0.36933827614613884"/>
          <c:y val="1.4032061376943258E-2"/>
          <c:w val="9.0667854474395168E-2"/>
          <c:h val="0.1483726226529376"/>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533" l="0.70000000000000062" r="0.70000000000000062" t="0.75000000000000533"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en-US"/>
  <c:style val="1"/>
  <c:chart>
    <c:title>
      <c:tx>
        <c:rich>
          <a:bodyPr/>
          <a:lstStyle/>
          <a:p>
            <a:pPr>
              <a:defRPr lang="en-CA" sz="1200"/>
            </a:pPr>
            <a:r>
              <a:rPr lang="en-US" sz="1200"/>
              <a:t>Absolute</a:t>
            </a:r>
            <a:r>
              <a:rPr lang="en-US" sz="1200" baseline="0"/>
              <a:t> Levels</a:t>
            </a:r>
            <a:endParaRPr lang="en-US" sz="1200"/>
          </a:p>
        </c:rich>
      </c:tx>
      <c:layout>
        <c:manualLayout>
          <c:xMode val="edge"/>
          <c:yMode val="edge"/>
          <c:x val="0.37102760459294964"/>
          <c:y val="0"/>
        </c:manualLayout>
      </c:layout>
      <c:overlay val="1"/>
      <c:spPr>
        <a:solidFill>
          <a:schemeClr val="bg1"/>
        </a:solidFill>
        <a:ln>
          <a:noFill/>
        </a:ln>
      </c:spPr>
    </c:title>
    <c:plotArea>
      <c:layout>
        <c:manualLayout>
          <c:layoutTarget val="inner"/>
          <c:xMode val="edge"/>
          <c:yMode val="edge"/>
          <c:x val="0.11523840769903657"/>
          <c:y val="0.10232648002333072"/>
          <c:w val="0.78449540682414765"/>
          <c:h val="0.67750765529309787"/>
        </c:manualLayout>
      </c:layout>
      <c:lineChart>
        <c:grouping val="standard"/>
        <c:ser>
          <c:idx val="0"/>
          <c:order val="0"/>
          <c:tx>
            <c:v>Total GHG Emissions - Left Axis</c:v>
          </c:tx>
          <c:marker>
            <c:symbol val="square"/>
            <c:size val="4"/>
          </c:marker>
          <c:cat>
            <c:numRef>
              <c:f>'a9'!$A$17:$A$46</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'a9'!$B$17:$B$46</c:f>
              <c:numCache>
                <c:formatCode>#,##0</c:formatCode>
                <c:ptCount val="30"/>
                <c:pt idx="0">
                  <c:v>538.52876957494414</c:v>
                </c:pt>
                <c:pt idx="1">
                  <c:v>514.75982102908279</c:v>
                </c:pt>
                <c:pt idx="2">
                  <c:v>497.60890380313208</c:v>
                </c:pt>
                <c:pt idx="3">
                  <c:v>516.08633109619689</c:v>
                </c:pt>
                <c:pt idx="4">
                  <c:v>539.84868008948558</c:v>
                </c:pt>
                <c:pt idx="5">
                  <c:v>531.92789709172268</c:v>
                </c:pt>
                <c:pt idx="6">
                  <c:v>554.35977628635351</c:v>
                </c:pt>
                <c:pt idx="7">
                  <c:v>595.27964205816556</c:v>
                </c:pt>
                <c:pt idx="8">
                  <c:v>620.35794183445194</c:v>
                </c:pt>
                <c:pt idx="9">
                  <c:v>590</c:v>
                </c:pt>
                <c:pt idx="10">
                  <c:v>583</c:v>
                </c:pt>
                <c:pt idx="11">
                  <c:v>608</c:v>
                </c:pt>
                <c:pt idx="12">
                  <c:v>602</c:v>
                </c:pt>
                <c:pt idx="13">
                  <c:v>622</c:v>
                </c:pt>
                <c:pt idx="14">
                  <c:v>640</c:v>
                </c:pt>
                <c:pt idx="15">
                  <c:v>658</c:v>
                </c:pt>
                <c:pt idx="16">
                  <c:v>671</c:v>
                </c:pt>
                <c:pt idx="17">
                  <c:v>677</c:v>
                </c:pt>
                <c:pt idx="18">
                  <c:v>690</c:v>
                </c:pt>
                <c:pt idx="19">
                  <c:v>716</c:v>
                </c:pt>
                <c:pt idx="20">
                  <c:v>709</c:v>
                </c:pt>
                <c:pt idx="21">
                  <c:v>715</c:v>
                </c:pt>
                <c:pt idx="22">
                  <c:v>738</c:v>
                </c:pt>
                <c:pt idx="23">
                  <c:v>742</c:v>
                </c:pt>
                <c:pt idx="24">
                  <c:v>731</c:v>
                </c:pt>
                <c:pt idx="25">
                  <c:v>719</c:v>
                </c:pt>
                <c:pt idx="26">
                  <c:v>748</c:v>
                </c:pt>
                <c:pt idx="27">
                  <c:v>732</c:v>
                </c:pt>
                <c:pt idx="28">
                  <c:v>690</c:v>
                </c:pt>
                <c:pt idx="29">
                  <c:v>680.04574534667199</c:v>
                </c:pt>
              </c:numCache>
            </c:numRef>
          </c:val>
        </c:ser>
        <c:marker val="1"/>
        <c:axId val="131876352"/>
        <c:axId val="131877888"/>
      </c:lineChart>
      <c:lineChart>
        <c:grouping val="standard"/>
        <c:ser>
          <c:idx val="1"/>
          <c:order val="1"/>
          <c:tx>
            <c:v>Per Captia GHG Emissions - Right Axis</c:v>
          </c:tx>
          <c:marker>
            <c:symbol val="circle"/>
            <c:size val="5"/>
          </c:marker>
          <c:val>
            <c:numRef>
              <c:f>'C22'!$I$3:$I$32</c:f>
              <c:numCache>
                <c:formatCode>General</c:formatCode>
                <c:ptCount val="30"/>
                <c:pt idx="0">
                  <c:v>21.697446166715082</c:v>
                </c:pt>
                <c:pt idx="1">
                  <c:v>20.494526006752046</c:v>
                </c:pt>
                <c:pt idx="2">
                  <c:v>19.616812135175397</c:v>
                </c:pt>
                <c:pt idx="3">
                  <c:v>20.154069704787851</c:v>
                </c:pt>
                <c:pt idx="4">
                  <c:v>20.890266110154659</c:v>
                </c:pt>
                <c:pt idx="5">
                  <c:v>20.380162122860249</c:v>
                </c:pt>
                <c:pt idx="6">
                  <c:v>20.961475400424934</c:v>
                </c:pt>
                <c:pt idx="7">
                  <c:v>22.218769162689</c:v>
                </c:pt>
                <c:pt idx="8">
                  <c:v>22.743077412046969</c:v>
                </c:pt>
                <c:pt idx="9">
                  <c:v>21.306455516562735</c:v>
                </c:pt>
                <c:pt idx="10">
                  <c:v>20.793639357686978</c:v>
                </c:pt>
                <c:pt idx="11">
                  <c:v>21.43013437822157</c:v>
                </c:pt>
                <c:pt idx="12">
                  <c:v>20.986751015277658</c:v>
                </c:pt>
                <c:pt idx="13">
                  <c:v>21.447785521317218</c:v>
                </c:pt>
                <c:pt idx="14">
                  <c:v>21.841280709907146</c:v>
                </c:pt>
                <c:pt idx="15">
                  <c:v>22.2220586150362</c:v>
                </c:pt>
                <c:pt idx="16">
                  <c:v>22.437008183121296</c:v>
                </c:pt>
                <c:pt idx="17">
                  <c:v>22.450542731092938</c:v>
                </c:pt>
                <c:pt idx="18">
                  <c:v>22.696408303254014</c:v>
                </c:pt>
                <c:pt idx="19">
                  <c:v>23.333321384239515</c:v>
                </c:pt>
                <c:pt idx="20">
                  <c:v>22.856943900871144</c:v>
                </c:pt>
                <c:pt idx="21">
                  <c:v>22.804358126529166</c:v>
                </c:pt>
                <c:pt idx="22">
                  <c:v>23.325148460777246</c:v>
                </c:pt>
                <c:pt idx="23">
                  <c:v>23.230566566593644</c:v>
                </c:pt>
                <c:pt idx="24">
                  <c:v>22.670034484812923</c:v>
                </c:pt>
                <c:pt idx="25">
                  <c:v>22.071413516558195</c:v>
                </c:pt>
                <c:pt idx="26">
                  <c:v>22.71503385709201</c:v>
                </c:pt>
                <c:pt idx="27">
                  <c:v>21.971440968741241</c:v>
                </c:pt>
                <c:pt idx="28">
                  <c:v>20.4625217940685</c:v>
                </c:pt>
                <c:pt idx="29">
                  <c:v>19.937573363771033</c:v>
                </c:pt>
              </c:numCache>
            </c:numRef>
          </c:val>
        </c:ser>
        <c:marker val="1"/>
        <c:axId val="131881984"/>
        <c:axId val="131880064"/>
      </c:lineChart>
      <c:catAx>
        <c:axId val="131876352"/>
        <c:scaling>
          <c:orientation val="minMax"/>
        </c:scaling>
        <c:axPos val="b"/>
        <c:numFmt formatCode="General" sourceLinked="1"/>
        <c:tickLblPos val="nextTo"/>
        <c:txPr>
          <a:bodyPr rot="5400000" vert="horz"/>
          <a:lstStyle/>
          <a:p>
            <a:pPr>
              <a:defRPr lang="en-CA"/>
            </a:pPr>
            <a:endParaRPr lang="en-US"/>
          </a:p>
        </c:txPr>
        <c:crossAx val="131877888"/>
        <c:crosses val="autoZero"/>
        <c:auto val="1"/>
        <c:lblAlgn val="ctr"/>
        <c:lblOffset val="100"/>
      </c:catAx>
      <c:valAx>
        <c:axId val="131877888"/>
        <c:scaling>
          <c:orientation val="minMax"/>
        </c:scaling>
        <c:axPos val="l"/>
        <c:majorGridlines/>
        <c:title>
          <c:tx>
            <c:rich>
              <a:bodyPr rot="-5400000" vert="horz"/>
              <a:lstStyle/>
              <a:p>
                <a:pPr>
                  <a:defRPr lang="en-CA" b="0"/>
                </a:pPr>
                <a:r>
                  <a:rPr lang="en-US" b="0"/>
                  <a:t>Millions</a:t>
                </a:r>
                <a:r>
                  <a:rPr lang="en-US" b="0" baseline="0"/>
                  <a:t> of tonnes of </a:t>
                </a:r>
                <a:r>
                  <a:rPr lang="en-US" b="0"/>
                  <a:t>CO2-e</a:t>
                </a:r>
              </a:p>
            </c:rich>
          </c:tx>
        </c:title>
        <c:numFmt formatCode="#,##0" sourceLinked="1"/>
        <c:tickLblPos val="nextTo"/>
        <c:txPr>
          <a:bodyPr/>
          <a:lstStyle/>
          <a:p>
            <a:pPr>
              <a:defRPr lang="en-CA"/>
            </a:pPr>
            <a:endParaRPr lang="en-US"/>
          </a:p>
        </c:txPr>
        <c:crossAx val="131876352"/>
        <c:crosses val="autoZero"/>
        <c:crossBetween val="between"/>
      </c:valAx>
      <c:valAx>
        <c:axId val="131880064"/>
        <c:scaling>
          <c:orientation val="minMax"/>
        </c:scaling>
        <c:axPos val="r"/>
        <c:title>
          <c:tx>
            <c:rich>
              <a:bodyPr rot="-5400000" vert="horz"/>
              <a:lstStyle/>
              <a:p>
                <a:pPr>
                  <a:defRPr lang="en-CA" b="0"/>
                </a:pPr>
                <a:r>
                  <a:rPr lang="en-US" b="0"/>
                  <a:t>Tonnes of CO2-e</a:t>
                </a:r>
              </a:p>
            </c:rich>
          </c:tx>
        </c:title>
        <c:numFmt formatCode="General" sourceLinked="1"/>
        <c:tickLblPos val="nextTo"/>
        <c:txPr>
          <a:bodyPr/>
          <a:lstStyle/>
          <a:p>
            <a:pPr>
              <a:defRPr lang="en-CA"/>
            </a:pPr>
            <a:endParaRPr lang="en-US"/>
          </a:p>
        </c:txPr>
        <c:crossAx val="131881984"/>
        <c:crosses val="max"/>
        <c:crossBetween val="between"/>
      </c:valAx>
      <c:catAx>
        <c:axId val="131881984"/>
        <c:scaling>
          <c:orientation val="minMax"/>
        </c:scaling>
        <c:delete val="1"/>
        <c:axPos val="b"/>
        <c:tickLblPos val="none"/>
        <c:crossAx val="131880064"/>
        <c:crosses val="autoZero"/>
        <c:auto val="1"/>
        <c:lblAlgn val="ctr"/>
        <c:lblOffset val="100"/>
      </c:catAx>
    </c:plotArea>
    <c:legend>
      <c:legendPos val="r"/>
      <c:layout>
        <c:manualLayout>
          <c:xMode val="edge"/>
          <c:yMode val="edge"/>
          <c:x val="0.24780802153665871"/>
          <c:y val="0.63349154272383268"/>
          <c:w val="0.61885865975453336"/>
          <c:h val="0.13116506270049574"/>
        </c:manualLayout>
      </c:layout>
      <c:spPr>
        <a:solidFill>
          <a:schemeClr val="bg1"/>
        </a:solidFill>
        <a:ln>
          <a:solidFill>
            <a:sysClr val="windowText" lastClr="000000"/>
          </a:solidFill>
        </a:ln>
      </c:spPr>
      <c:txPr>
        <a:bodyPr/>
        <a:lstStyle/>
        <a:p>
          <a:pPr>
            <a:defRPr lang="en-CA"/>
          </a:pPr>
          <a:endParaRPr lang="en-US"/>
        </a:p>
      </c:txPr>
    </c:legend>
    <c:plotVisOnly val="1"/>
  </c:chart>
  <c:spPr>
    <a:ln>
      <a:noFill/>
    </a:ln>
  </c:spPr>
  <c:printSettings>
    <c:headerFooter/>
    <c:pageMargins b="0.75000000000000411" l="0.70000000000000062" r="0.70000000000000062" t="0.75000000000000411"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1041666666666665"/>
          <c:y val="4.8611111111111112E-2"/>
          <c:w val="0.85833333333333361"/>
          <c:h val="0.76041666666666652"/>
        </c:manualLayout>
      </c:layout>
      <c:lineChart>
        <c:grouping val="standard"/>
        <c:ser>
          <c:idx val="0"/>
          <c:order val="0"/>
          <c:tx>
            <c:strRef>
              <c:f>'C22'!$L$2</c:f>
              <c:strCache>
                <c:ptCount val="1"/>
                <c:pt idx="0">
                  <c:v>Total GHG Emissions</c:v>
                </c:pt>
              </c:strCache>
            </c:strRef>
          </c:tx>
          <c:marker>
            <c:symbol val="square"/>
            <c:size val="4"/>
          </c:marker>
          <c:cat>
            <c:numRef>
              <c:f>'C22'!$K$3:$K$32</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'C22'!$L$3:$L$32</c:f>
              <c:numCache>
                <c:formatCode>General</c:formatCode>
                <c:ptCount val="30"/>
                <c:pt idx="0">
                  <c:v>100</c:v>
                </c:pt>
                <c:pt idx="1">
                  <c:v>95.586317781198218</c:v>
                </c:pt>
                <c:pt idx="2">
                  <c:v>92.401545082891346</c:v>
                </c:pt>
                <c:pt idx="3">
                  <c:v>95.832638895697087</c:v>
                </c:pt>
                <c:pt idx="4">
                  <c:v>100.2450956363173</c:v>
                </c:pt>
                <c:pt idx="5">
                  <c:v>98.77427672277723</c:v>
                </c:pt>
                <c:pt idx="6">
                  <c:v>102.93967706198958</c:v>
                </c:pt>
                <c:pt idx="7">
                  <c:v>110.53813197909824</c:v>
                </c:pt>
                <c:pt idx="8">
                  <c:v>115.19494906912676</c:v>
                </c:pt>
                <c:pt idx="9">
                  <c:v>109.55774943382907</c:v>
                </c:pt>
                <c:pt idx="10">
                  <c:v>108.25791172868195</c:v>
                </c:pt>
                <c:pt idx="11">
                  <c:v>112.90018924706453</c:v>
                </c:pt>
                <c:pt idx="12">
                  <c:v>111.7860426426527</c:v>
                </c:pt>
                <c:pt idx="13">
                  <c:v>115.49986465735878</c:v>
                </c:pt>
                <c:pt idx="14">
                  <c:v>118.84230447059424</c:v>
                </c:pt>
                <c:pt idx="15">
                  <c:v>122.1847442838297</c:v>
                </c:pt>
                <c:pt idx="16">
                  <c:v>124.59872859338866</c:v>
                </c:pt>
                <c:pt idx="17">
                  <c:v>125.71287519780047</c:v>
                </c:pt>
                <c:pt idx="18">
                  <c:v>128.12685950735943</c:v>
                </c:pt>
                <c:pt idx="19">
                  <c:v>132.95482812647731</c:v>
                </c:pt>
                <c:pt idx="20">
                  <c:v>131.65499042133018</c:v>
                </c:pt>
                <c:pt idx="21">
                  <c:v>132.769137025742</c:v>
                </c:pt>
                <c:pt idx="22">
                  <c:v>137.04003234265397</c:v>
                </c:pt>
                <c:pt idx="23">
                  <c:v>137.78279674559519</c:v>
                </c:pt>
                <c:pt idx="24">
                  <c:v>135.74019463750687</c:v>
                </c:pt>
                <c:pt idx="25">
                  <c:v>133.51190142868322</c:v>
                </c:pt>
                <c:pt idx="26">
                  <c:v>138.89694335000701</c:v>
                </c:pt>
                <c:pt idx="27">
                  <c:v>135.92588573824216</c:v>
                </c:pt>
                <c:pt idx="28">
                  <c:v>128.12685950735943</c:v>
                </c:pt>
                <c:pt idx="29">
                  <c:v>126.27844300378344</c:v>
                </c:pt>
              </c:numCache>
            </c:numRef>
          </c:val>
        </c:ser>
        <c:ser>
          <c:idx val="1"/>
          <c:order val="1"/>
          <c:tx>
            <c:strRef>
              <c:f>'C22'!$M$2</c:f>
              <c:strCache>
                <c:ptCount val="1"/>
                <c:pt idx="0">
                  <c:v>Per-capita GHG Emissions</c:v>
                </c:pt>
              </c:strCache>
            </c:strRef>
          </c:tx>
          <c:marker>
            <c:symbol val="circle"/>
            <c:size val="4"/>
          </c:marker>
          <c:cat>
            <c:numRef>
              <c:f>'C22'!$K$3:$K$32</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'C22'!$M$3:$M$32</c:f>
              <c:numCache>
                <c:formatCode>General</c:formatCode>
                <c:ptCount val="30"/>
                <c:pt idx="0">
                  <c:v>100</c:v>
                </c:pt>
                <c:pt idx="1">
                  <c:v>94.455936653925789</c:v>
                </c:pt>
                <c:pt idx="2">
                  <c:v>90.410696191833509</c:v>
                </c:pt>
                <c:pt idx="3">
                  <c:v>92.886828937984205</c:v>
                </c:pt>
                <c:pt idx="4">
                  <c:v>96.279838418040754</c:v>
                </c:pt>
                <c:pt idx="5">
                  <c:v>93.928852115897357</c:v>
                </c:pt>
                <c:pt idx="6">
                  <c:v>96.608030453744533</c:v>
                </c:pt>
                <c:pt idx="7">
                  <c:v>102.40269288822411</c:v>
                </c:pt>
                <c:pt idx="8">
                  <c:v>104.81914432370357</c:v>
                </c:pt>
                <c:pt idx="9">
                  <c:v>98.197987693352857</c:v>
                </c:pt>
                <c:pt idx="10">
                  <c:v>95.834501433562323</c:v>
                </c:pt>
                <c:pt idx="11">
                  <c:v>98.768003448702729</c:v>
                </c:pt>
                <c:pt idx="12">
                  <c:v>96.72452165118095</c:v>
                </c:pt>
                <c:pt idx="13">
                  <c:v>98.84935469603397</c:v>
                </c:pt>
                <c:pt idx="14">
                  <c:v>100.66291001294297</c:v>
                </c:pt>
                <c:pt idx="15">
                  <c:v>102.41785343901854</c:v>
                </c:pt>
                <c:pt idx="16">
                  <c:v>103.40852103387512</c:v>
                </c:pt>
                <c:pt idx="17">
                  <c:v>103.47089956389956</c:v>
                </c:pt>
                <c:pt idx="18">
                  <c:v>104.60405399263711</c:v>
                </c:pt>
                <c:pt idx="19">
                  <c:v>107.53948278039259</c:v>
                </c:pt>
                <c:pt idx="20">
                  <c:v>105.34393644877333</c:v>
                </c:pt>
                <c:pt idx="21">
                  <c:v>105.10157716861693</c:v>
                </c:pt>
                <c:pt idx="22">
                  <c:v>107.50181510559126</c:v>
                </c:pt>
                <c:pt idx="23">
                  <c:v>107.06590254032035</c:v>
                </c:pt>
                <c:pt idx="24">
                  <c:v>104.48250135349956</c:v>
                </c:pt>
                <c:pt idx="25">
                  <c:v>101.72355468459139</c:v>
                </c:pt>
                <c:pt idx="26">
                  <c:v>104.68989614057878</c:v>
                </c:pt>
                <c:pt idx="27">
                  <c:v>101.26279747358691</c:v>
                </c:pt>
                <c:pt idx="28">
                  <c:v>94.30843444358436</c:v>
                </c:pt>
                <c:pt idx="29">
                  <c:v>91.889032518288815</c:v>
                </c:pt>
              </c:numCache>
            </c:numRef>
          </c:val>
        </c:ser>
        <c:marker val="1"/>
        <c:axId val="131927424"/>
        <c:axId val="131945600"/>
      </c:lineChart>
      <c:catAx>
        <c:axId val="131927424"/>
        <c:scaling>
          <c:orientation val="minMax"/>
        </c:scaling>
        <c:axPos val="b"/>
        <c:numFmt formatCode="General" sourceLinked="1"/>
        <c:tickLblPos val="nextTo"/>
        <c:txPr>
          <a:bodyPr rot="5400000" vert="horz"/>
          <a:lstStyle/>
          <a:p>
            <a:pPr>
              <a:defRPr lang="en-CA"/>
            </a:pPr>
            <a:endParaRPr lang="en-US"/>
          </a:p>
        </c:txPr>
        <c:crossAx val="131945600"/>
        <c:crosses val="autoZero"/>
        <c:auto val="1"/>
        <c:lblAlgn val="ctr"/>
        <c:lblOffset val="100"/>
      </c:catAx>
      <c:valAx>
        <c:axId val="131945600"/>
        <c:scaling>
          <c:orientation val="minMax"/>
        </c:scaling>
        <c:axPos val="l"/>
        <c:majorGridlines/>
        <c:title>
          <c:tx>
            <c:rich>
              <a:bodyPr rot="-5400000" vert="horz"/>
              <a:lstStyle/>
              <a:p>
                <a:pPr>
                  <a:defRPr lang="en-CA" b="0"/>
                </a:pPr>
                <a:r>
                  <a:rPr lang="en-US" b="0"/>
                  <a:t>Index</a:t>
                </a:r>
                <a:r>
                  <a:rPr lang="en-US" b="0" baseline="0"/>
                  <a:t> (normalized to 100 in 1981)</a:t>
                </a:r>
                <a:endParaRPr lang="en-US" b="0"/>
              </a:p>
            </c:rich>
          </c:tx>
        </c:title>
        <c:numFmt formatCode="General" sourceLinked="1"/>
        <c:tickLblPos val="nextTo"/>
        <c:txPr>
          <a:bodyPr/>
          <a:lstStyle/>
          <a:p>
            <a:pPr>
              <a:defRPr lang="en-CA"/>
            </a:pPr>
            <a:endParaRPr lang="en-US"/>
          </a:p>
        </c:txPr>
        <c:crossAx val="131927424"/>
        <c:crosses val="autoZero"/>
        <c:crossBetween val="between"/>
      </c:valAx>
    </c:plotArea>
    <c:legend>
      <c:legendPos val="r"/>
      <c:layout>
        <c:manualLayout>
          <c:xMode val="edge"/>
          <c:yMode val="edge"/>
          <c:x val="0.48977777777777987"/>
          <c:y val="0.64738043161271563"/>
          <c:w val="0.451888888888892"/>
          <c:h val="0.13116506270049591"/>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344" l="0.70000000000000062" r="0.70000000000000062" t="0.75000000000000344"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1958573928259029"/>
          <c:y val="5.1400554097404488E-2"/>
          <c:w val="0.86023512685914261"/>
          <c:h val="0.53726851851851865"/>
        </c:manualLayout>
      </c:layout>
      <c:barChart>
        <c:barDir val="col"/>
        <c:grouping val="clustered"/>
        <c:ser>
          <c:idx val="0"/>
          <c:order val="0"/>
          <c:tx>
            <c:strRef>
              <c:f>'C23'!$A$21</c:f>
              <c:strCache>
                <c:ptCount val="1"/>
                <c:pt idx="0">
                  <c:v>1981</c:v>
                </c:pt>
              </c:strCache>
            </c:strRef>
          </c:tx>
          <c:spPr>
            <a:solidFill>
              <a:schemeClr val="tx1"/>
            </a:solidFill>
          </c:spPr>
          <c:cat>
            <c:strRef>
              <c:f>'C23'!$B$20:$L$20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'C23'!$B$21:$L$21</c:f>
              <c:numCache>
                <c:formatCode>#,##0</c:formatCode>
                <c:ptCount val="11"/>
                <c:pt idx="0">
                  <c:v>642.49719231534937</c:v>
                </c:pt>
                <c:pt idx="1">
                  <c:v>478.18644518521205</c:v>
                </c:pt>
                <c:pt idx="2">
                  <c:v>457.72330155944314</c:v>
                </c:pt>
                <c:pt idx="3">
                  <c:v>608.84459556512672</c:v>
                </c:pt>
                <c:pt idx="4">
                  <c:v>592.71293758934405</c:v>
                </c:pt>
                <c:pt idx="5">
                  <c:v>345.24079564478416</c:v>
                </c:pt>
                <c:pt idx="6">
                  <c:v>520.6021355130365</c:v>
                </c:pt>
                <c:pt idx="7">
                  <c:v>469.0659935022835</c:v>
                </c:pt>
                <c:pt idx="8">
                  <c:v>1304.2328693801553</c:v>
                </c:pt>
                <c:pt idx="9">
                  <c:v>2204.7161759315909</c:v>
                </c:pt>
                <c:pt idx="10">
                  <c:v>504.70584959834787</c:v>
                </c:pt>
              </c:numCache>
            </c:numRef>
          </c:val>
        </c:ser>
        <c:ser>
          <c:idx val="1"/>
          <c:order val="1"/>
          <c:tx>
            <c:strRef>
              <c:f>'C23'!$A$22</c:f>
              <c:strCache>
                <c:ptCount val="1"/>
                <c:pt idx="0">
                  <c:v>2010</c:v>
                </c:pt>
              </c:strCache>
            </c:strRef>
          </c:tx>
          <c:cat>
            <c:strRef>
              <c:f>'C23'!$B$20:$L$20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'C23'!$B$22:$L$22</c:f>
              <c:numCache>
                <c:formatCode>#,##0</c:formatCode>
                <c:ptCount val="11"/>
                <c:pt idx="0">
                  <c:v>590.38445397574412</c:v>
                </c:pt>
                <c:pt idx="1">
                  <c:v>566.15434397081469</c:v>
                </c:pt>
                <c:pt idx="2">
                  <c:v>385.87526410736575</c:v>
                </c:pt>
                <c:pt idx="3">
                  <c:v>644.64055639130856</c:v>
                </c:pt>
                <c:pt idx="4">
                  <c:v>676.79097497604062</c:v>
                </c:pt>
                <c:pt idx="5">
                  <c:v>297.60013838674229</c:v>
                </c:pt>
                <c:pt idx="6">
                  <c:v>348.34582246905006</c:v>
                </c:pt>
                <c:pt idx="7">
                  <c:v>486.50132524303638</c:v>
                </c:pt>
                <c:pt idx="8">
                  <c:v>2247.701964115201</c:v>
                </c:pt>
                <c:pt idx="9">
                  <c:v>2062.7277601690203</c:v>
                </c:pt>
                <c:pt idx="10">
                  <c:v>437.18183628647586</c:v>
                </c:pt>
              </c:numCache>
            </c:numRef>
          </c:val>
        </c:ser>
        <c:axId val="10189056"/>
        <c:axId val="10194944"/>
      </c:barChart>
      <c:catAx>
        <c:axId val="10189056"/>
        <c:scaling>
          <c:orientation val="minMax"/>
        </c:scaling>
        <c:axPos val="b"/>
        <c:numFmt formatCode="General" sourceLinked="1"/>
        <c:tickLblPos val="nextTo"/>
        <c:txPr>
          <a:bodyPr/>
          <a:lstStyle/>
          <a:p>
            <a:pPr>
              <a:defRPr lang="en-CA"/>
            </a:pPr>
            <a:endParaRPr lang="en-US"/>
          </a:p>
        </c:txPr>
        <c:crossAx val="10194944"/>
        <c:crosses val="autoZero"/>
        <c:auto val="1"/>
        <c:lblAlgn val="ctr"/>
        <c:lblOffset val="100"/>
      </c:catAx>
      <c:valAx>
        <c:axId val="10194944"/>
        <c:scaling>
          <c:orientation val="minMax"/>
        </c:scaling>
        <c:axPos val="l"/>
        <c:majorGridlines/>
        <c:title>
          <c:tx>
            <c:rich>
              <a:bodyPr rot="-5400000" vert="horz"/>
              <a:lstStyle/>
              <a:p>
                <a:pPr>
                  <a:defRPr lang="en-CA" b="0"/>
                </a:pPr>
                <a:r>
                  <a:rPr lang="en-US" b="0"/>
                  <a:t>2002</a:t>
                </a:r>
                <a:r>
                  <a:rPr lang="en-US" b="0" baseline="0"/>
                  <a:t> Dollars</a:t>
                </a:r>
                <a:endParaRPr lang="en-US" b="0"/>
              </a:p>
            </c:rich>
          </c:tx>
        </c:title>
        <c:numFmt formatCode="#,##0" sourceLinked="1"/>
        <c:tickLblPos val="nextTo"/>
        <c:txPr>
          <a:bodyPr/>
          <a:lstStyle/>
          <a:p>
            <a:pPr>
              <a:defRPr lang="en-CA"/>
            </a:pPr>
            <a:endParaRPr lang="en-US"/>
          </a:p>
        </c:txPr>
        <c:crossAx val="10189056"/>
        <c:crosses val="autoZero"/>
        <c:crossBetween val="between"/>
      </c:valAx>
    </c:plotArea>
    <c:legend>
      <c:legendPos val="r"/>
      <c:layout>
        <c:manualLayout>
          <c:xMode val="edge"/>
          <c:yMode val="edge"/>
          <c:x val="0.15482078253731893"/>
          <c:y val="8.2949353553028085E-2"/>
          <c:w val="9.5918888517313713E-2"/>
          <c:h val="0.14883056284631091"/>
        </c:manualLayout>
      </c:layout>
      <c:spPr>
        <a:solidFill>
          <a:schemeClr val="bg1"/>
        </a:solidFill>
        <a:ln>
          <a:solidFill>
            <a:schemeClr val="tx1"/>
          </a:solidFill>
        </a:ln>
      </c:spPr>
      <c:txPr>
        <a:bodyPr/>
        <a:lstStyle/>
        <a:p>
          <a:pPr>
            <a:defRPr lang="en-CA"/>
          </a:pPr>
          <a:endParaRPr lang="en-US"/>
        </a:p>
      </c:txPr>
    </c:legend>
    <c:plotVisOnly val="1"/>
    <c:dispBlanksAs val="gap"/>
  </c:chart>
  <c:spPr>
    <a:ln>
      <a:noFill/>
    </a:ln>
  </c:spPr>
  <c:printSettings>
    <c:headerFooter/>
    <c:pageMargins b="0.75000000000000344" l="0.70000000000000062" r="0.70000000000000062" t="0.75000000000000344"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4680568874002553"/>
          <c:y val="4.0668570274869455E-2"/>
          <c:w val="0.82514516731720711"/>
          <c:h val="0.56117021181426407"/>
        </c:manualLayout>
      </c:layout>
      <c:barChart>
        <c:barDir val="col"/>
        <c:grouping val="clustered"/>
        <c:ser>
          <c:idx val="0"/>
          <c:order val="0"/>
          <c:tx>
            <c:strRef>
              <c:f>'C24'!$A$21</c:f>
              <c:strCache>
                <c:ptCount val="1"/>
                <c:pt idx="0">
                  <c:v>1981</c:v>
                </c:pt>
              </c:strCache>
            </c:strRef>
          </c:tx>
          <c:spPr>
            <a:solidFill>
              <a:schemeClr val="tx1"/>
            </a:solidFill>
          </c:spPr>
          <c:cat>
            <c:strRef>
              <c:f>'C24'!$B$20:$L$20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'C24'!$B$21:$L$21</c:f>
              <c:numCache>
                <c:formatCode>#,##0</c:formatCode>
                <c:ptCount val="11"/>
                <c:pt idx="0">
                  <c:v>147742.11551907114</c:v>
                </c:pt>
                <c:pt idx="1">
                  <c:v>119765.95061164149</c:v>
                </c:pt>
                <c:pt idx="2">
                  <c:v>87350.1639328194</c:v>
                </c:pt>
                <c:pt idx="3">
                  <c:v>107269.05931571893</c:v>
                </c:pt>
                <c:pt idx="4">
                  <c:v>113906.90044182616</c:v>
                </c:pt>
                <c:pt idx="5">
                  <c:v>128869.51822767787</c:v>
                </c:pt>
                <c:pt idx="6">
                  <c:v>127701.34190857357</c:v>
                </c:pt>
                <c:pt idx="7">
                  <c:v>144067.24914687854</c:v>
                </c:pt>
                <c:pt idx="8">
                  <c:v>180209.63892666978</c:v>
                </c:pt>
                <c:pt idx="9">
                  <c:v>264256.96044248616</c:v>
                </c:pt>
                <c:pt idx="10">
                  <c:v>168518.43644514144</c:v>
                </c:pt>
              </c:numCache>
            </c:numRef>
          </c:val>
        </c:ser>
        <c:ser>
          <c:idx val="1"/>
          <c:order val="1"/>
          <c:tx>
            <c:strRef>
              <c:f>'C24'!$A$22</c:f>
              <c:strCache>
                <c:ptCount val="1"/>
                <c:pt idx="0">
                  <c:v>2010</c:v>
                </c:pt>
              </c:strCache>
            </c:strRef>
          </c:tx>
          <c:spPr>
            <a:solidFill>
              <a:prstClr val="black">
                <a:lumMod val="50000"/>
                <a:lumOff val="50000"/>
              </a:prstClr>
            </a:solidFill>
          </c:spPr>
          <c:cat>
            <c:strRef>
              <c:f>'C24'!$B$20:$L$20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'C24'!$B$22:$L$22</c:f>
              <c:numCache>
                <c:formatCode>#,##0</c:formatCode>
                <c:ptCount val="11"/>
                <c:pt idx="0">
                  <c:v>213055.55743049577</c:v>
                </c:pt>
                <c:pt idx="1">
                  <c:v>343899.60279608611</c:v>
                </c:pt>
                <c:pt idx="2">
                  <c:v>159140.4680745799</c:v>
                </c:pt>
                <c:pt idx="3">
                  <c:v>165205.43130337159</c:v>
                </c:pt>
                <c:pt idx="4">
                  <c:v>180959.09757343831</c:v>
                </c:pt>
                <c:pt idx="5">
                  <c:v>191216.93933014714</c:v>
                </c:pt>
                <c:pt idx="6">
                  <c:v>182404.0521243166</c:v>
                </c:pt>
                <c:pt idx="7">
                  <c:v>191545.59621856309</c:v>
                </c:pt>
                <c:pt idx="8">
                  <c:v>283254.15366399341</c:v>
                </c:pt>
                <c:pt idx="9">
                  <c:v>353815.09962351382</c:v>
                </c:pt>
                <c:pt idx="10">
                  <c:v>226514.92525456948</c:v>
                </c:pt>
              </c:numCache>
            </c:numRef>
          </c:val>
        </c:ser>
        <c:axId val="130945792"/>
        <c:axId val="130947328"/>
      </c:barChart>
      <c:catAx>
        <c:axId val="130945792"/>
        <c:scaling>
          <c:orientation val="minMax"/>
        </c:scaling>
        <c:axPos val="b"/>
        <c:tickLblPos val="nextTo"/>
        <c:txPr>
          <a:bodyPr/>
          <a:lstStyle/>
          <a:p>
            <a:pPr>
              <a:defRPr lang="en-CA"/>
            </a:pPr>
            <a:endParaRPr lang="en-US"/>
          </a:p>
        </c:txPr>
        <c:crossAx val="130947328"/>
        <c:crosses val="autoZero"/>
        <c:auto val="1"/>
        <c:lblAlgn val="ctr"/>
        <c:lblOffset val="100"/>
      </c:catAx>
      <c:valAx>
        <c:axId val="130947328"/>
        <c:scaling>
          <c:orientation val="minMax"/>
        </c:scaling>
        <c:axPos val="l"/>
        <c:majorGridlines/>
        <c:title>
          <c:tx>
            <c:rich>
              <a:bodyPr rot="-5400000" vert="horz"/>
              <a:lstStyle/>
              <a:p>
                <a:pPr>
                  <a:defRPr lang="en-CA"/>
                </a:pPr>
                <a:r>
                  <a:rPr lang="en-US" b="0"/>
                  <a:t>Per-capita</a:t>
                </a:r>
                <a:r>
                  <a:rPr lang="en-US" b="0" baseline="0"/>
                  <a:t> Wealth (2002$)</a:t>
                </a:r>
                <a:endParaRPr lang="en-US" b="0"/>
              </a:p>
            </c:rich>
          </c:tx>
        </c:title>
        <c:numFmt formatCode="#,##0" sourceLinked="1"/>
        <c:tickLblPos val="nextTo"/>
        <c:txPr>
          <a:bodyPr/>
          <a:lstStyle/>
          <a:p>
            <a:pPr>
              <a:defRPr lang="en-CA"/>
            </a:pPr>
            <a:endParaRPr lang="en-US"/>
          </a:p>
        </c:txPr>
        <c:crossAx val="130945792"/>
        <c:crosses val="autoZero"/>
        <c:crossBetween val="between"/>
      </c:valAx>
    </c:plotArea>
    <c:legend>
      <c:legendPos val="r"/>
      <c:layout>
        <c:manualLayout>
          <c:xMode val="edge"/>
          <c:yMode val="edge"/>
          <c:x val="0.15091026143173486"/>
          <c:y val="5.2809841077557616E-2"/>
          <c:w val="8.5224672816413743E-2"/>
          <c:h val="0.13247555594012286"/>
        </c:manualLayout>
      </c:layout>
      <c:spPr>
        <a:solidFill>
          <a:schemeClr val="bg1"/>
        </a:solidFill>
        <a:ln>
          <a:solidFill>
            <a:sysClr val="windowText" lastClr="000000"/>
          </a:solidFill>
        </a:ln>
      </c:spPr>
      <c:txPr>
        <a:bodyPr/>
        <a:lstStyle/>
        <a:p>
          <a:pPr>
            <a:defRPr lang="en-CA"/>
          </a:pPr>
          <a:endParaRPr lang="en-US"/>
        </a:p>
      </c:txPr>
    </c:legend>
    <c:plotVisOnly val="1"/>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1966885389326334"/>
          <c:y val="5.1400554097404488E-2"/>
          <c:w val="0.84626312335958065"/>
          <c:h val="0.53726851851851865"/>
        </c:manualLayout>
      </c:layout>
      <c:barChart>
        <c:barDir val="col"/>
        <c:grouping val="clustered"/>
        <c:ser>
          <c:idx val="0"/>
          <c:order val="0"/>
          <c:tx>
            <c:strRef>
              <c:f>'C25'!$A$21</c:f>
              <c:strCache>
                <c:ptCount val="1"/>
                <c:pt idx="0">
                  <c:v>1981</c:v>
                </c:pt>
              </c:strCache>
            </c:strRef>
          </c:tx>
          <c:spPr>
            <a:solidFill>
              <a:schemeClr val="tx1"/>
            </a:solidFill>
          </c:spPr>
          <c:cat>
            <c:strRef>
              <c:f>'C25'!$B$20:$L$20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'C25'!$B$21:$L$21</c:f>
              <c:numCache>
                <c:formatCode>#,##0.000</c:formatCode>
                <c:ptCount val="11"/>
                <c:pt idx="0">
                  <c:v>0.25267986708165169</c:v>
                </c:pt>
                <c:pt idx="1">
                  <c:v>0.17423122566164023</c:v>
                </c:pt>
                <c:pt idx="2">
                  <c:v>8.3333333333333329E-2</c:v>
                </c:pt>
                <c:pt idx="3">
                  <c:v>0.13918839018427517</c:v>
                </c:pt>
                <c:pt idx="4">
                  <c:v>0.15780172121188507</c:v>
                </c:pt>
                <c:pt idx="5">
                  <c:v>0.19975876004372442</c:v>
                </c:pt>
                <c:pt idx="6">
                  <c:v>0.1964830485415941</c:v>
                </c:pt>
                <c:pt idx="7">
                  <c:v>0.24237508530571805</c:v>
                </c:pt>
                <c:pt idx="8">
                  <c:v>0.34372283562385231</c:v>
                </c:pt>
                <c:pt idx="9">
                  <c:v>0.57940196497283902</c:v>
                </c:pt>
                <c:pt idx="10">
                  <c:v>0.31093925165954012</c:v>
                </c:pt>
              </c:numCache>
            </c:numRef>
          </c:val>
        </c:ser>
        <c:ser>
          <c:idx val="1"/>
          <c:order val="1"/>
          <c:tx>
            <c:strRef>
              <c:f>'C25'!$A$22</c:f>
              <c:strCache>
                <c:ptCount val="1"/>
                <c:pt idx="0">
                  <c:v>2010</c:v>
                </c:pt>
              </c:strCache>
            </c:strRef>
          </c:tx>
          <c:spPr>
            <a:solidFill>
              <a:prstClr val="white">
                <a:lumMod val="50000"/>
              </a:prstClr>
            </a:solidFill>
          </c:spPr>
          <c:cat>
            <c:strRef>
              <c:f>'C25'!$B$20:$L$20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'C25'!$B$22:$L$22</c:f>
              <c:numCache>
                <c:formatCode>#,##0.000</c:formatCode>
                <c:ptCount val="11"/>
                <c:pt idx="0">
                  <c:v>0.43582687101768375</c:v>
                </c:pt>
                <c:pt idx="1">
                  <c:v>0.80272982683000638</c:v>
                </c:pt>
                <c:pt idx="2">
                  <c:v>0.28464226347746752</c:v>
                </c:pt>
                <c:pt idx="3">
                  <c:v>0.30164917372179045</c:v>
                </c:pt>
                <c:pt idx="4">
                  <c:v>0.34582441076233233</c:v>
                </c:pt>
                <c:pt idx="5">
                  <c:v>0.37458867321138462</c:v>
                </c:pt>
                <c:pt idx="6">
                  <c:v>0.34987624280597179</c:v>
                </c:pt>
                <c:pt idx="7">
                  <c:v>0.37551026795015141</c:v>
                </c:pt>
                <c:pt idx="8">
                  <c:v>0.6326724544753124</c:v>
                </c:pt>
                <c:pt idx="9">
                  <c:v>0.83053411157346535</c:v>
                </c:pt>
                <c:pt idx="10">
                  <c:v>0.47356861023263919</c:v>
                </c:pt>
              </c:numCache>
            </c:numRef>
          </c:val>
        </c:ser>
        <c:axId val="10251264"/>
        <c:axId val="10261248"/>
      </c:barChart>
      <c:catAx>
        <c:axId val="10251264"/>
        <c:scaling>
          <c:orientation val="minMax"/>
        </c:scaling>
        <c:axPos val="b"/>
        <c:tickLblPos val="nextTo"/>
        <c:txPr>
          <a:bodyPr/>
          <a:lstStyle/>
          <a:p>
            <a:pPr>
              <a:defRPr lang="en-CA"/>
            </a:pPr>
            <a:endParaRPr lang="en-US"/>
          </a:p>
        </c:txPr>
        <c:crossAx val="10261248"/>
        <c:crosses val="autoZero"/>
        <c:auto val="1"/>
        <c:lblAlgn val="ctr"/>
        <c:lblOffset val="100"/>
      </c:catAx>
      <c:valAx>
        <c:axId val="10261248"/>
        <c:scaling>
          <c:orientation val="minMax"/>
        </c:scaling>
        <c:axPos val="l"/>
        <c:majorGridlines/>
        <c:title>
          <c:tx>
            <c:rich>
              <a:bodyPr rot="-5400000" vert="horz"/>
              <a:lstStyle/>
              <a:p>
                <a:pPr>
                  <a:defRPr lang="en-CA" b="0"/>
                </a:pPr>
                <a:r>
                  <a:rPr lang="en-US" b="0"/>
                  <a:t>Index</a:t>
                </a:r>
                <a:r>
                  <a:rPr lang="en-US" b="0" baseline="0"/>
                  <a:t> Value</a:t>
                </a:r>
                <a:endParaRPr lang="en-US" b="0"/>
              </a:p>
            </c:rich>
          </c:tx>
        </c:title>
        <c:numFmt formatCode="0.0" sourceLinked="0"/>
        <c:tickLblPos val="nextTo"/>
        <c:txPr>
          <a:bodyPr/>
          <a:lstStyle/>
          <a:p>
            <a:pPr>
              <a:defRPr lang="en-CA"/>
            </a:pPr>
            <a:endParaRPr lang="en-US"/>
          </a:p>
        </c:txPr>
        <c:crossAx val="10251264"/>
        <c:crosses val="autoZero"/>
        <c:crossBetween val="between"/>
      </c:valAx>
    </c:plotArea>
    <c:legend>
      <c:legendPos val="r"/>
      <c:layout>
        <c:manualLayout>
          <c:xMode val="edge"/>
          <c:yMode val="edge"/>
          <c:x val="0.13062820251140494"/>
          <c:y val="6.4392405815739198E-2"/>
          <c:w val="8.9524295949498067E-2"/>
          <c:h val="0.14351518560180401"/>
        </c:manualLayout>
      </c:layout>
      <c:spPr>
        <a:solidFill>
          <a:schemeClr val="bg1"/>
        </a:solidFill>
        <a:ln>
          <a:solidFill>
            <a:sysClr val="windowText" lastClr="000000"/>
          </a:solidFill>
        </a:ln>
      </c:spPr>
      <c:txPr>
        <a:bodyPr/>
        <a:lstStyle/>
        <a:p>
          <a:pPr>
            <a:defRPr lang="en-CA"/>
          </a:pPr>
          <a:endParaRPr lang="en-US"/>
        </a:p>
      </c:txPr>
    </c:legend>
    <c:plotVisOnly val="1"/>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en-US"/>
  <c:style val="1"/>
  <c:chart>
    <c:autoTitleDeleted val="1"/>
    <c:plotArea>
      <c:layout>
        <c:manualLayout>
          <c:layoutTarget val="inner"/>
          <c:xMode val="edge"/>
          <c:yMode val="edge"/>
          <c:x val="0.11313161461509204"/>
          <c:y val="5.7535018735650777E-2"/>
          <c:w val="0.84145771325247465"/>
          <c:h val="0.71048883965486875"/>
        </c:manualLayout>
      </c:layout>
      <c:lineChart>
        <c:grouping val="standard"/>
        <c:ser>
          <c:idx val="0"/>
          <c:order val="0"/>
          <c:tx>
            <c:v>Gini</c:v>
          </c:tx>
          <c:marker>
            <c:symbol val="none"/>
          </c:marker>
          <c:cat>
            <c:numRef>
              <c:f>'a17'!$A$17:$A$46</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'a17'!$B$17:$B$46</c:f>
              <c:numCache>
                <c:formatCode>0.000</c:formatCode>
                <c:ptCount val="30"/>
                <c:pt idx="0">
                  <c:v>0.34799999999999998</c:v>
                </c:pt>
                <c:pt idx="1">
                  <c:v>0.35099999999999998</c:v>
                </c:pt>
                <c:pt idx="2">
                  <c:v>0.36099999999999999</c:v>
                </c:pt>
                <c:pt idx="3">
                  <c:v>0.35699999999999998</c:v>
                </c:pt>
                <c:pt idx="4">
                  <c:v>0.35699999999999998</c:v>
                </c:pt>
                <c:pt idx="5">
                  <c:v>0.35799999999999998</c:v>
                </c:pt>
                <c:pt idx="6">
                  <c:v>0.35499999999999998</c:v>
                </c:pt>
                <c:pt idx="7">
                  <c:v>0.35399999999999998</c:v>
                </c:pt>
                <c:pt idx="8">
                  <c:v>0.35099999999999998</c:v>
                </c:pt>
                <c:pt idx="9">
                  <c:v>0.35699999999999998</c:v>
                </c:pt>
                <c:pt idx="10">
                  <c:v>0.36399999999999999</c:v>
                </c:pt>
                <c:pt idx="11">
                  <c:v>0.36399999999999999</c:v>
                </c:pt>
                <c:pt idx="12">
                  <c:v>0.36699999999999999</c:v>
                </c:pt>
                <c:pt idx="13">
                  <c:v>0.36199999999999999</c:v>
                </c:pt>
                <c:pt idx="14">
                  <c:v>0.36599999999999999</c:v>
                </c:pt>
                <c:pt idx="15">
                  <c:v>0.377</c:v>
                </c:pt>
                <c:pt idx="16">
                  <c:v>0.38500000000000001</c:v>
                </c:pt>
                <c:pt idx="17">
                  <c:v>0.38600000000000001</c:v>
                </c:pt>
                <c:pt idx="18">
                  <c:v>0.38600000000000001</c:v>
                </c:pt>
                <c:pt idx="19">
                  <c:v>0.39200000000000002</c:v>
                </c:pt>
                <c:pt idx="20">
                  <c:v>0.39200000000000002</c:v>
                </c:pt>
                <c:pt idx="21">
                  <c:v>0.39100000000000001</c:v>
                </c:pt>
                <c:pt idx="22">
                  <c:v>0.38900000000000001</c:v>
                </c:pt>
                <c:pt idx="23">
                  <c:v>0.39400000000000002</c:v>
                </c:pt>
                <c:pt idx="24">
                  <c:v>0.39300000000000002</c:v>
                </c:pt>
                <c:pt idx="25">
                  <c:v>0.39200000000000002</c:v>
                </c:pt>
                <c:pt idx="26">
                  <c:v>0.39400000000000002</c:v>
                </c:pt>
                <c:pt idx="27">
                  <c:v>0.39600000000000002</c:v>
                </c:pt>
                <c:pt idx="28">
                  <c:v>0.39400000000000002</c:v>
                </c:pt>
                <c:pt idx="29">
                  <c:v>0.39400000000000002</c:v>
                </c:pt>
              </c:numCache>
            </c:numRef>
          </c:val>
        </c:ser>
        <c:marker val="1"/>
        <c:axId val="132211456"/>
        <c:axId val="132212992"/>
      </c:lineChart>
      <c:catAx>
        <c:axId val="132211456"/>
        <c:scaling>
          <c:orientation val="minMax"/>
        </c:scaling>
        <c:axPos val="b"/>
        <c:numFmt formatCode="General" sourceLinked="1"/>
        <c:tickLblPos val="nextTo"/>
        <c:txPr>
          <a:bodyPr rot="5400000" vert="horz"/>
          <a:lstStyle/>
          <a:p>
            <a:pPr>
              <a:defRPr lang="en-CA"/>
            </a:pPr>
            <a:endParaRPr lang="en-US"/>
          </a:p>
        </c:txPr>
        <c:crossAx val="132212992"/>
        <c:crosses val="autoZero"/>
        <c:auto val="1"/>
        <c:lblAlgn val="ctr"/>
        <c:lblOffset val="100"/>
      </c:catAx>
      <c:valAx>
        <c:axId val="132212992"/>
        <c:scaling>
          <c:orientation val="minMax"/>
        </c:scaling>
        <c:axPos val="l"/>
        <c:majorGridlines/>
        <c:title>
          <c:tx>
            <c:rich>
              <a:bodyPr rot="-5400000" vert="horz"/>
              <a:lstStyle/>
              <a:p>
                <a:pPr>
                  <a:defRPr lang="en-CA" b="0"/>
                </a:pPr>
                <a:r>
                  <a:rPr lang="en-US" b="0"/>
                  <a:t>Gini</a:t>
                </a:r>
                <a:r>
                  <a:rPr lang="en-US" b="0" baseline="0"/>
                  <a:t> Coefficient</a:t>
                </a:r>
                <a:endParaRPr lang="en-US" b="0"/>
              </a:p>
            </c:rich>
          </c:tx>
        </c:title>
        <c:numFmt formatCode="0.00" sourceLinked="0"/>
        <c:tickLblPos val="nextTo"/>
        <c:txPr>
          <a:bodyPr/>
          <a:lstStyle/>
          <a:p>
            <a:pPr>
              <a:defRPr lang="en-CA"/>
            </a:pPr>
            <a:endParaRPr lang="en-US"/>
          </a:p>
        </c:txPr>
        <c:crossAx val="132211456"/>
        <c:crosses val="autoZero"/>
        <c:crossBetween val="between"/>
      </c:valAx>
    </c:plotArea>
    <c:plotVisOnly val="1"/>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1874999999999998"/>
          <c:y val="4.8611111111111112E-2"/>
          <c:w val="0.85625000000000062"/>
          <c:h val="0.53472222222222221"/>
        </c:manualLayout>
      </c:layout>
      <c:barChart>
        <c:barDir val="col"/>
        <c:grouping val="clustered"/>
        <c:ser>
          <c:idx val="0"/>
          <c:order val="0"/>
          <c:tx>
            <c:strRef>
              <c:f>'C27'!$A$21</c:f>
              <c:strCache>
                <c:ptCount val="1"/>
                <c:pt idx="0">
                  <c:v>1981</c:v>
                </c:pt>
              </c:strCache>
            </c:strRef>
          </c:tx>
          <c:spPr>
            <a:solidFill>
              <a:schemeClr val="tx1"/>
            </a:solidFill>
          </c:spPr>
          <c:cat>
            <c:strRef>
              <c:f>'C27'!$B$20:$L$20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'C27'!$B$21:$L$21</c:f>
              <c:numCache>
                <c:formatCode>General</c:formatCode>
                <c:ptCount val="11"/>
                <c:pt idx="0">
                  <c:v>0.34799999999999998</c:v>
                </c:pt>
                <c:pt idx="1">
                  <c:v>0.32700000000000001</c:v>
                </c:pt>
                <c:pt idx="2">
                  <c:v>0.33900000000000002</c:v>
                </c:pt>
                <c:pt idx="3">
                  <c:v>0.34200000000000003</c:v>
                </c:pt>
                <c:pt idx="4">
                  <c:v>0.35199999999999998</c:v>
                </c:pt>
                <c:pt idx="5">
                  <c:v>0.34499999999999997</c:v>
                </c:pt>
                <c:pt idx="6">
                  <c:v>0.33800000000000002</c:v>
                </c:pt>
                <c:pt idx="7">
                  <c:v>0.35799999999999998</c:v>
                </c:pt>
                <c:pt idx="8">
                  <c:v>0.376</c:v>
                </c:pt>
                <c:pt idx="9">
                  <c:v>0.34599999999999997</c:v>
                </c:pt>
                <c:pt idx="10">
                  <c:v>0.35399999999999998</c:v>
                </c:pt>
              </c:numCache>
            </c:numRef>
          </c:val>
        </c:ser>
        <c:ser>
          <c:idx val="1"/>
          <c:order val="1"/>
          <c:tx>
            <c:strRef>
              <c:f>'C27'!$A$22</c:f>
              <c:strCache>
                <c:ptCount val="1"/>
                <c:pt idx="0">
                  <c:v>2010</c:v>
                </c:pt>
              </c:strCache>
            </c:strRef>
          </c:tx>
          <c:cat>
            <c:strRef>
              <c:f>'C27'!$B$20:$L$20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'C27'!$B$22:$L$22</c:f>
              <c:numCache>
                <c:formatCode>General</c:formatCode>
                <c:ptCount val="11"/>
                <c:pt idx="0">
                  <c:v>0.39400000000000002</c:v>
                </c:pt>
                <c:pt idx="1">
                  <c:v>0.36699999999999999</c:v>
                </c:pt>
                <c:pt idx="2">
                  <c:v>0.33300000000000002</c:v>
                </c:pt>
                <c:pt idx="3">
                  <c:v>0.38500000000000001</c:v>
                </c:pt>
                <c:pt idx="4">
                  <c:v>0.36399999999999999</c:v>
                </c:pt>
                <c:pt idx="5">
                  <c:v>0.376</c:v>
                </c:pt>
                <c:pt idx="6">
                  <c:v>0.39600000000000002</c:v>
                </c:pt>
                <c:pt idx="7">
                  <c:v>0.36299999999999999</c:v>
                </c:pt>
                <c:pt idx="8">
                  <c:v>0.38500000000000001</c:v>
                </c:pt>
                <c:pt idx="9">
                  <c:v>0.39500000000000002</c:v>
                </c:pt>
                <c:pt idx="10">
                  <c:v>0.40500000000000003</c:v>
                </c:pt>
              </c:numCache>
            </c:numRef>
          </c:val>
        </c:ser>
        <c:axId val="132278912"/>
        <c:axId val="132297088"/>
      </c:barChart>
      <c:catAx>
        <c:axId val="132278912"/>
        <c:scaling>
          <c:orientation val="minMax"/>
        </c:scaling>
        <c:axPos val="b"/>
        <c:numFmt formatCode="General" sourceLinked="1"/>
        <c:tickLblPos val="nextTo"/>
        <c:txPr>
          <a:bodyPr/>
          <a:lstStyle/>
          <a:p>
            <a:pPr>
              <a:defRPr lang="en-CA"/>
            </a:pPr>
            <a:endParaRPr lang="en-US"/>
          </a:p>
        </c:txPr>
        <c:crossAx val="132297088"/>
        <c:crosses val="autoZero"/>
        <c:auto val="1"/>
        <c:lblAlgn val="ctr"/>
        <c:lblOffset val="100"/>
      </c:catAx>
      <c:valAx>
        <c:axId val="132297088"/>
        <c:scaling>
          <c:orientation val="minMax"/>
        </c:scaling>
        <c:axPos val="l"/>
        <c:majorGridlines/>
        <c:title>
          <c:tx>
            <c:rich>
              <a:bodyPr rot="-5400000" vert="horz"/>
              <a:lstStyle/>
              <a:p>
                <a:pPr>
                  <a:defRPr lang="en-CA" b="0"/>
                </a:pPr>
                <a:r>
                  <a:rPr lang="en-US" b="0"/>
                  <a:t>Gini</a:t>
                </a:r>
                <a:r>
                  <a:rPr lang="en-US" b="0" baseline="0"/>
                  <a:t> Coefficient</a:t>
                </a:r>
                <a:endParaRPr lang="en-US" b="0"/>
              </a:p>
            </c:rich>
          </c:tx>
        </c:title>
        <c:numFmt formatCode="0.00" sourceLinked="0"/>
        <c:tickLblPos val="nextTo"/>
        <c:txPr>
          <a:bodyPr/>
          <a:lstStyle/>
          <a:p>
            <a:pPr>
              <a:defRPr lang="en-CA"/>
            </a:pPr>
            <a:endParaRPr lang="en-US"/>
          </a:p>
        </c:txPr>
        <c:crossAx val="132278912"/>
        <c:crosses val="autoZero"/>
        <c:crossBetween val="between"/>
      </c:valAx>
    </c:plotArea>
    <c:legend>
      <c:legendPos val="r"/>
      <c:layout>
        <c:manualLayout>
          <c:xMode val="edge"/>
          <c:yMode val="edge"/>
          <c:x val="0.2409319772528434"/>
          <c:y val="4.1282808398949856E-2"/>
          <c:w val="0.18406802274715733"/>
          <c:h val="6.5582531350248482E-2"/>
        </c:manualLayout>
      </c:layout>
      <c:spPr>
        <a:solidFill>
          <a:schemeClr val="bg1"/>
        </a:solidFill>
        <a:ln>
          <a:solidFill>
            <a:schemeClr val="tx1"/>
          </a:solidFill>
        </a:ln>
      </c:spPr>
      <c:txPr>
        <a:bodyPr/>
        <a:lstStyle/>
        <a:p>
          <a:pPr>
            <a:defRPr lang="en-CA"/>
          </a:pPr>
          <a:endParaRPr lang="en-US"/>
        </a:p>
      </c:txPr>
    </c:legend>
    <c:plotVisOnly val="1"/>
    <c:dispBlanksAs val="gap"/>
  </c:chart>
  <c:spPr>
    <a:ln>
      <a:noFill/>
    </a:ln>
  </c:spPr>
  <c:printSettings>
    <c:headerFooter/>
    <c:pageMargins b="0.75000000000000355" l="0.70000000000000062" r="0.70000000000000062" t="0.75000000000000355"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2770589764673304"/>
          <c:y val="6.1371949338527576E-2"/>
          <c:w val="0.71861623760534565"/>
          <c:h val="0.68953190139169218"/>
        </c:manualLayout>
      </c:layout>
      <c:lineChart>
        <c:grouping val="standard"/>
        <c:ser>
          <c:idx val="0"/>
          <c:order val="0"/>
          <c:tx>
            <c:v>Poverty Rate - Left Axis</c:v>
          </c:tx>
          <c:marker>
            <c:symbol val="square"/>
            <c:size val="4"/>
          </c:marker>
          <c:cat>
            <c:numRef>
              <c:f>'a18'!$A$17:$A$46</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'a18'!$B$17:$B$46</c:f>
              <c:numCache>
                <c:formatCode>0.00</c:formatCode>
                <c:ptCount val="30"/>
                <c:pt idx="0">
                  <c:v>12</c:v>
                </c:pt>
                <c:pt idx="1">
                  <c:v>12.2</c:v>
                </c:pt>
                <c:pt idx="2">
                  <c:v>12.9</c:v>
                </c:pt>
                <c:pt idx="3">
                  <c:v>13</c:v>
                </c:pt>
                <c:pt idx="4">
                  <c:v>12.1</c:v>
                </c:pt>
                <c:pt idx="5">
                  <c:v>11.6</c:v>
                </c:pt>
                <c:pt idx="6">
                  <c:v>11.5</c:v>
                </c:pt>
                <c:pt idx="7">
                  <c:v>11.1</c:v>
                </c:pt>
                <c:pt idx="8">
                  <c:v>10.5</c:v>
                </c:pt>
                <c:pt idx="9">
                  <c:v>11.7</c:v>
                </c:pt>
                <c:pt idx="10">
                  <c:v>11.5</c:v>
                </c:pt>
                <c:pt idx="11">
                  <c:v>11.8</c:v>
                </c:pt>
                <c:pt idx="12">
                  <c:v>11.9</c:v>
                </c:pt>
                <c:pt idx="13">
                  <c:v>11.8</c:v>
                </c:pt>
                <c:pt idx="14">
                  <c:v>12.1</c:v>
                </c:pt>
                <c:pt idx="15">
                  <c:v>12.7</c:v>
                </c:pt>
                <c:pt idx="16">
                  <c:v>12.7</c:v>
                </c:pt>
                <c:pt idx="17">
                  <c:v>12.9</c:v>
                </c:pt>
                <c:pt idx="18">
                  <c:v>12.4</c:v>
                </c:pt>
                <c:pt idx="19">
                  <c:v>12.8</c:v>
                </c:pt>
                <c:pt idx="20">
                  <c:v>12.5</c:v>
                </c:pt>
                <c:pt idx="21">
                  <c:v>12.9</c:v>
                </c:pt>
                <c:pt idx="22">
                  <c:v>13.2</c:v>
                </c:pt>
                <c:pt idx="23">
                  <c:v>13.4</c:v>
                </c:pt>
                <c:pt idx="24">
                  <c:v>13</c:v>
                </c:pt>
                <c:pt idx="25">
                  <c:v>12.6</c:v>
                </c:pt>
                <c:pt idx="26">
                  <c:v>12.5</c:v>
                </c:pt>
                <c:pt idx="27">
                  <c:v>13.3</c:v>
                </c:pt>
                <c:pt idx="28">
                  <c:v>13.3</c:v>
                </c:pt>
                <c:pt idx="29">
                  <c:v>13.3</c:v>
                </c:pt>
              </c:numCache>
            </c:numRef>
          </c:val>
        </c:ser>
        <c:marker val="1"/>
        <c:axId val="130889984"/>
        <c:axId val="130904064"/>
      </c:lineChart>
      <c:lineChart>
        <c:grouping val="standard"/>
        <c:ser>
          <c:idx val="1"/>
          <c:order val="1"/>
          <c:tx>
            <c:v>Poverty Gap - Right Axis</c:v>
          </c:tx>
          <c:marker>
            <c:symbol val="triangle"/>
            <c:size val="5"/>
          </c:marker>
          <c:val>
            <c:numRef>
              <c:f>'a18'!$C$17:$C$46</c:f>
              <c:numCache>
                <c:formatCode>0.00</c:formatCode>
                <c:ptCount val="30"/>
                <c:pt idx="0">
                  <c:v>0.30640000000000001</c:v>
                </c:pt>
                <c:pt idx="1">
                  <c:v>0.3024</c:v>
                </c:pt>
                <c:pt idx="2">
                  <c:v>0.29320000000000002</c:v>
                </c:pt>
                <c:pt idx="3">
                  <c:v>0.31090000000000001</c:v>
                </c:pt>
                <c:pt idx="4">
                  <c:v>0.30260000000000004</c:v>
                </c:pt>
                <c:pt idx="5">
                  <c:v>0.29719999999999996</c:v>
                </c:pt>
                <c:pt idx="6">
                  <c:v>0.28899999999999998</c:v>
                </c:pt>
                <c:pt idx="7">
                  <c:v>0.28220000000000001</c:v>
                </c:pt>
                <c:pt idx="8">
                  <c:v>0.2878</c:v>
                </c:pt>
                <c:pt idx="9">
                  <c:v>0.29649999999999999</c:v>
                </c:pt>
                <c:pt idx="10">
                  <c:v>0.29609999999999997</c:v>
                </c:pt>
                <c:pt idx="11">
                  <c:v>0.2959</c:v>
                </c:pt>
                <c:pt idx="12">
                  <c:v>0.28270000000000001</c:v>
                </c:pt>
                <c:pt idx="13">
                  <c:v>0.29510000000000003</c:v>
                </c:pt>
                <c:pt idx="14">
                  <c:v>0.29630000000000001</c:v>
                </c:pt>
                <c:pt idx="15">
                  <c:v>0.30449999999999999</c:v>
                </c:pt>
                <c:pt idx="16">
                  <c:v>0.31440000000000001</c:v>
                </c:pt>
                <c:pt idx="17">
                  <c:v>0.31340000000000001</c:v>
                </c:pt>
                <c:pt idx="18">
                  <c:v>0.32979999999999998</c:v>
                </c:pt>
                <c:pt idx="19">
                  <c:v>0.31469999999999998</c:v>
                </c:pt>
                <c:pt idx="20">
                  <c:v>0.31609999999999999</c:v>
                </c:pt>
                <c:pt idx="21">
                  <c:v>0.31559999999999999</c:v>
                </c:pt>
                <c:pt idx="22">
                  <c:v>0.30890000000000001</c:v>
                </c:pt>
                <c:pt idx="23">
                  <c:v>0.31319999999999998</c:v>
                </c:pt>
                <c:pt idx="24">
                  <c:v>0.31769999999999998</c:v>
                </c:pt>
                <c:pt idx="25">
                  <c:v>0.30260000000000004</c:v>
                </c:pt>
                <c:pt idx="26">
                  <c:v>0.2964</c:v>
                </c:pt>
                <c:pt idx="27">
                  <c:v>0.30269999999999997</c:v>
                </c:pt>
                <c:pt idx="28">
                  <c:v>0.30790000000000001</c:v>
                </c:pt>
                <c:pt idx="29">
                  <c:v>0.30790000000000001</c:v>
                </c:pt>
              </c:numCache>
            </c:numRef>
          </c:val>
        </c:ser>
        <c:marker val="1"/>
        <c:axId val="130905984"/>
        <c:axId val="130907520"/>
      </c:lineChart>
      <c:catAx>
        <c:axId val="130889984"/>
        <c:scaling>
          <c:orientation val="minMax"/>
        </c:scaling>
        <c:axPos val="b"/>
        <c:numFmt formatCode="General" sourceLinked="1"/>
        <c:tickLblPos val="nextTo"/>
        <c:txPr>
          <a:bodyPr rot="-4140000"/>
          <a:lstStyle/>
          <a:p>
            <a:pPr>
              <a:defRPr lang="en-CA"/>
            </a:pPr>
            <a:endParaRPr lang="en-US"/>
          </a:p>
        </c:txPr>
        <c:crossAx val="130904064"/>
        <c:crosses val="autoZero"/>
        <c:auto val="1"/>
        <c:lblAlgn val="ctr"/>
        <c:lblOffset val="100"/>
      </c:catAx>
      <c:valAx>
        <c:axId val="130904064"/>
        <c:scaling>
          <c:orientation val="minMax"/>
        </c:scaling>
        <c:axPos val="l"/>
        <c:majorGridlines/>
        <c:title>
          <c:tx>
            <c:rich>
              <a:bodyPr rot="-5400000" vert="horz"/>
              <a:lstStyle/>
              <a:p>
                <a:pPr>
                  <a:defRPr lang="en-CA" b="0"/>
                </a:pPr>
                <a:r>
                  <a:rPr lang="en-US" b="0"/>
                  <a:t>Per</a:t>
                </a:r>
                <a:r>
                  <a:rPr lang="en-US" b="0" baseline="0"/>
                  <a:t> Cent</a:t>
                </a:r>
                <a:endParaRPr lang="en-US" b="0"/>
              </a:p>
            </c:rich>
          </c:tx>
        </c:title>
        <c:numFmt formatCode="0" sourceLinked="0"/>
        <c:tickLblPos val="nextTo"/>
        <c:txPr>
          <a:bodyPr/>
          <a:lstStyle/>
          <a:p>
            <a:pPr>
              <a:defRPr lang="en-CA"/>
            </a:pPr>
            <a:endParaRPr lang="en-US"/>
          </a:p>
        </c:txPr>
        <c:crossAx val="130889984"/>
        <c:crosses val="autoZero"/>
        <c:crossBetween val="between"/>
      </c:valAx>
      <c:catAx>
        <c:axId val="130905984"/>
        <c:scaling>
          <c:orientation val="minMax"/>
        </c:scaling>
        <c:delete val="1"/>
        <c:axPos val="b"/>
        <c:tickLblPos val="none"/>
        <c:crossAx val="130907520"/>
        <c:crosses val="autoZero"/>
        <c:auto val="1"/>
        <c:lblAlgn val="ctr"/>
        <c:lblOffset val="100"/>
      </c:catAx>
      <c:valAx>
        <c:axId val="130907520"/>
        <c:scaling>
          <c:orientation val="minMax"/>
        </c:scaling>
        <c:axPos val="r"/>
        <c:title>
          <c:tx>
            <c:rich>
              <a:bodyPr rot="-5400000" vert="horz"/>
              <a:lstStyle/>
              <a:p>
                <a:pPr>
                  <a:defRPr lang="en-CA" b="0"/>
                </a:pPr>
                <a:r>
                  <a:rPr lang="en-US" b="0"/>
                  <a:t>Gap</a:t>
                </a:r>
                <a:r>
                  <a:rPr lang="en-US" b="0" baseline="0"/>
                  <a:t> Ratio</a:t>
                </a:r>
                <a:endParaRPr lang="en-US" b="0"/>
              </a:p>
            </c:rich>
          </c:tx>
        </c:title>
        <c:numFmt formatCode="0.00" sourceLinked="1"/>
        <c:tickLblPos val="nextTo"/>
        <c:txPr>
          <a:bodyPr/>
          <a:lstStyle/>
          <a:p>
            <a:pPr>
              <a:defRPr lang="en-CA"/>
            </a:pPr>
            <a:endParaRPr lang="en-US"/>
          </a:p>
        </c:txPr>
        <c:crossAx val="130905984"/>
        <c:crosses val="max"/>
        <c:crossBetween val="between"/>
      </c:valAx>
    </c:plotArea>
    <c:legend>
      <c:legendPos val="r"/>
      <c:layout>
        <c:manualLayout>
          <c:xMode val="edge"/>
          <c:yMode val="edge"/>
          <c:x val="0.11666661850754896"/>
          <c:y val="0.62875640544932065"/>
          <c:w val="0.40833326109465973"/>
          <c:h val="0.14493563304587029"/>
        </c:manualLayout>
      </c:layout>
      <c:spPr>
        <a:solidFill>
          <a:schemeClr val="bg1"/>
        </a:solidFill>
        <a:ln>
          <a:solidFill>
            <a:schemeClr val="tx1"/>
          </a:solidFill>
        </a:ln>
      </c:spPr>
      <c:txPr>
        <a:bodyPr/>
        <a:lstStyle/>
        <a:p>
          <a:pPr>
            <a:defRPr lang="en-CA"/>
          </a:pPr>
          <a:endParaRPr lang="en-US"/>
        </a:p>
      </c:txPr>
    </c:legend>
    <c:plotVisOnly val="1"/>
    <c:dispBlanksAs val="gap"/>
  </c:chart>
  <c:spPr>
    <a:ln>
      <a:noFill/>
    </a:ln>
  </c:spPr>
  <c:printSettings>
    <c:headerFooter/>
    <c:pageMargins b="0.75000000000000311" l="0.70000000000000062" r="0.70000000000000062" t="0.75000000000000311"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1874999999999998"/>
          <c:y val="4.8611111111111112E-2"/>
          <c:w val="0.87083333333333646"/>
          <c:h val="0.53472222222222221"/>
        </c:manualLayout>
      </c:layout>
      <c:barChart>
        <c:barDir val="col"/>
        <c:grouping val="clustered"/>
        <c:ser>
          <c:idx val="0"/>
          <c:order val="0"/>
          <c:tx>
            <c:strRef>
              <c:f>'C29'!$A$21</c:f>
              <c:strCache>
                <c:ptCount val="1"/>
                <c:pt idx="0">
                  <c:v>1981</c:v>
                </c:pt>
              </c:strCache>
            </c:strRef>
          </c:tx>
          <c:spPr>
            <a:solidFill>
              <a:schemeClr val="tx1"/>
            </a:solidFill>
          </c:spPr>
          <c:cat>
            <c:strRef>
              <c:f>'C29'!$B$20:$L$20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'C29'!$B$21:$L$21</c:f>
              <c:numCache>
                <c:formatCode>0.00</c:formatCode>
                <c:ptCount val="11"/>
                <c:pt idx="0">
                  <c:v>12</c:v>
                </c:pt>
                <c:pt idx="1">
                  <c:v>19.899999999999999</c:v>
                </c:pt>
                <c:pt idx="2">
                  <c:v>21</c:v>
                </c:pt>
                <c:pt idx="3">
                  <c:v>16.2</c:v>
                </c:pt>
                <c:pt idx="4">
                  <c:v>20.5</c:v>
                </c:pt>
                <c:pt idx="5">
                  <c:v>14.2</c:v>
                </c:pt>
                <c:pt idx="6">
                  <c:v>9.4</c:v>
                </c:pt>
                <c:pt idx="7">
                  <c:v>14.5</c:v>
                </c:pt>
                <c:pt idx="8">
                  <c:v>16.3</c:v>
                </c:pt>
                <c:pt idx="9">
                  <c:v>8.6999999999999993</c:v>
                </c:pt>
                <c:pt idx="10">
                  <c:v>10.199999999999999</c:v>
                </c:pt>
              </c:numCache>
            </c:numRef>
          </c:val>
        </c:ser>
        <c:ser>
          <c:idx val="1"/>
          <c:order val="1"/>
          <c:tx>
            <c:strRef>
              <c:f>'C29'!$A$22</c:f>
              <c:strCache>
                <c:ptCount val="1"/>
                <c:pt idx="0">
                  <c:v>2010</c:v>
                </c:pt>
              </c:strCache>
            </c:strRef>
          </c:tx>
          <c:cat>
            <c:strRef>
              <c:f>'C29'!$B$20:$L$20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'C29'!$B$22:$L$22</c:f>
              <c:numCache>
                <c:formatCode>0.00</c:formatCode>
                <c:ptCount val="11"/>
                <c:pt idx="0">
                  <c:v>13.3</c:v>
                </c:pt>
                <c:pt idx="1">
                  <c:v>15.7</c:v>
                </c:pt>
                <c:pt idx="2">
                  <c:v>12</c:v>
                </c:pt>
                <c:pt idx="3">
                  <c:v>16.899999999999999</c:v>
                </c:pt>
                <c:pt idx="4">
                  <c:v>14.6</c:v>
                </c:pt>
                <c:pt idx="5">
                  <c:v>13.7</c:v>
                </c:pt>
                <c:pt idx="6">
                  <c:v>13.1</c:v>
                </c:pt>
                <c:pt idx="7">
                  <c:v>15.3</c:v>
                </c:pt>
                <c:pt idx="8">
                  <c:v>11.7</c:v>
                </c:pt>
                <c:pt idx="9">
                  <c:v>9.1</c:v>
                </c:pt>
                <c:pt idx="10">
                  <c:v>15</c:v>
                </c:pt>
              </c:numCache>
            </c:numRef>
          </c:val>
        </c:ser>
        <c:axId val="131691264"/>
        <c:axId val="131692800"/>
      </c:barChart>
      <c:catAx>
        <c:axId val="131691264"/>
        <c:scaling>
          <c:orientation val="minMax"/>
        </c:scaling>
        <c:axPos val="b"/>
        <c:numFmt formatCode="General" sourceLinked="1"/>
        <c:tickLblPos val="nextTo"/>
        <c:txPr>
          <a:bodyPr/>
          <a:lstStyle/>
          <a:p>
            <a:pPr>
              <a:defRPr lang="en-CA"/>
            </a:pPr>
            <a:endParaRPr lang="en-US"/>
          </a:p>
        </c:txPr>
        <c:crossAx val="131692800"/>
        <c:crosses val="autoZero"/>
        <c:auto val="1"/>
        <c:lblAlgn val="ctr"/>
        <c:lblOffset val="100"/>
      </c:catAx>
      <c:valAx>
        <c:axId val="131692800"/>
        <c:scaling>
          <c:orientation val="minMax"/>
        </c:scaling>
        <c:axPos val="l"/>
        <c:majorGridlines/>
        <c:title>
          <c:tx>
            <c:rich>
              <a:bodyPr rot="-5400000" vert="horz"/>
              <a:lstStyle/>
              <a:p>
                <a:pPr>
                  <a:defRPr lang="en-CA" b="0"/>
                </a:pPr>
                <a:r>
                  <a:rPr lang="en-US" b="0"/>
                  <a:t>Per</a:t>
                </a:r>
                <a:r>
                  <a:rPr lang="en-US" b="0" baseline="0"/>
                  <a:t> cent</a:t>
                </a:r>
                <a:endParaRPr lang="en-US" b="0"/>
              </a:p>
            </c:rich>
          </c:tx>
        </c:title>
        <c:numFmt formatCode="0.0" sourceLinked="0"/>
        <c:tickLblPos val="nextTo"/>
        <c:txPr>
          <a:bodyPr/>
          <a:lstStyle/>
          <a:p>
            <a:pPr>
              <a:defRPr lang="en-CA"/>
            </a:pPr>
            <a:endParaRPr lang="en-US"/>
          </a:p>
        </c:txPr>
        <c:crossAx val="131691264"/>
        <c:crosses val="autoZero"/>
        <c:crossBetween val="between"/>
      </c:valAx>
    </c:plotArea>
    <c:legend>
      <c:legendPos val="r"/>
      <c:layout>
        <c:manualLayout>
          <c:xMode val="edge"/>
          <c:yMode val="edge"/>
          <c:x val="0.86593197725284365"/>
          <c:y val="1.3505030621172361E-2"/>
          <c:w val="0.10351246719160101"/>
          <c:h val="0.16743438320210097"/>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355" l="0.70000000000000062" r="0.70000000000000062" t="0.75000000000000355"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1874999999999998"/>
          <c:y val="4.8611111111111112E-2"/>
          <c:w val="0.87083333333333646"/>
          <c:h val="0.53472222222222221"/>
        </c:manualLayout>
      </c:layout>
      <c:barChart>
        <c:barDir val="col"/>
        <c:grouping val="clustered"/>
        <c:ser>
          <c:idx val="0"/>
          <c:order val="0"/>
          <c:tx>
            <c:strRef>
              <c:f>'C30'!$A$21</c:f>
              <c:strCache>
                <c:ptCount val="1"/>
                <c:pt idx="0">
                  <c:v>1981</c:v>
                </c:pt>
              </c:strCache>
            </c:strRef>
          </c:tx>
          <c:spPr>
            <a:solidFill>
              <a:schemeClr val="tx1"/>
            </a:solidFill>
          </c:spPr>
          <c:cat>
            <c:strRef>
              <c:f>'C30'!$B$20:$L$20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'C30'!$B$21:$L$21</c:f>
              <c:numCache>
                <c:formatCode>0.00</c:formatCode>
                <c:ptCount val="11"/>
                <c:pt idx="0">
                  <c:v>0.30640000000000001</c:v>
                </c:pt>
                <c:pt idx="1">
                  <c:v>0.29089999999999999</c:v>
                </c:pt>
                <c:pt idx="2">
                  <c:v>0.26519999999999999</c:v>
                </c:pt>
                <c:pt idx="3">
                  <c:v>0.29630000000000001</c:v>
                </c:pt>
                <c:pt idx="4">
                  <c:v>0.2979</c:v>
                </c:pt>
                <c:pt idx="5">
                  <c:v>0.28970000000000001</c:v>
                </c:pt>
                <c:pt idx="6">
                  <c:v>0.30059999999999998</c:v>
                </c:pt>
                <c:pt idx="7">
                  <c:v>0.33409999999999995</c:v>
                </c:pt>
                <c:pt idx="8">
                  <c:v>0.33270000000000005</c:v>
                </c:pt>
                <c:pt idx="9">
                  <c:v>0.35509999999999997</c:v>
                </c:pt>
                <c:pt idx="10">
                  <c:v>0.33310000000000001</c:v>
                </c:pt>
              </c:numCache>
            </c:numRef>
          </c:val>
        </c:ser>
        <c:ser>
          <c:idx val="1"/>
          <c:order val="1"/>
          <c:tx>
            <c:strRef>
              <c:f>'C30'!$A$22</c:f>
              <c:strCache>
                <c:ptCount val="1"/>
                <c:pt idx="0">
                  <c:v>2010</c:v>
                </c:pt>
              </c:strCache>
            </c:strRef>
          </c:tx>
          <c:cat>
            <c:strRef>
              <c:f>'C30'!$B$20:$L$20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'C30'!$B$22:$L$22</c:f>
              <c:numCache>
                <c:formatCode>0.00</c:formatCode>
                <c:ptCount val="11"/>
                <c:pt idx="0">
                  <c:v>0.30790000000000001</c:v>
                </c:pt>
                <c:pt idx="1">
                  <c:v>0.29370000000000002</c:v>
                </c:pt>
                <c:pt idx="2">
                  <c:v>0.2268</c:v>
                </c:pt>
                <c:pt idx="3">
                  <c:v>0.28089999999999998</c:v>
                </c:pt>
                <c:pt idx="4">
                  <c:v>0.30269999999999997</c:v>
                </c:pt>
                <c:pt idx="5">
                  <c:v>0.28179999999999999</c:v>
                </c:pt>
                <c:pt idx="6">
                  <c:v>0.30159999999999998</c:v>
                </c:pt>
                <c:pt idx="7">
                  <c:v>0.26140000000000002</c:v>
                </c:pt>
                <c:pt idx="8">
                  <c:v>0.34029999999999999</c:v>
                </c:pt>
                <c:pt idx="9">
                  <c:v>0.37840000000000001</c:v>
                </c:pt>
                <c:pt idx="10">
                  <c:v>0.34860000000000002</c:v>
                </c:pt>
              </c:numCache>
            </c:numRef>
          </c:val>
        </c:ser>
        <c:axId val="131763200"/>
        <c:axId val="131764992"/>
      </c:barChart>
      <c:catAx>
        <c:axId val="131763200"/>
        <c:scaling>
          <c:orientation val="minMax"/>
        </c:scaling>
        <c:axPos val="b"/>
        <c:numFmt formatCode="General" sourceLinked="1"/>
        <c:tickLblPos val="nextTo"/>
        <c:txPr>
          <a:bodyPr/>
          <a:lstStyle/>
          <a:p>
            <a:pPr>
              <a:defRPr lang="en-CA"/>
            </a:pPr>
            <a:endParaRPr lang="en-US"/>
          </a:p>
        </c:txPr>
        <c:crossAx val="131764992"/>
        <c:crosses val="autoZero"/>
        <c:auto val="1"/>
        <c:lblAlgn val="ctr"/>
        <c:lblOffset val="100"/>
      </c:catAx>
      <c:valAx>
        <c:axId val="131764992"/>
        <c:scaling>
          <c:orientation val="minMax"/>
        </c:scaling>
        <c:axPos val="l"/>
        <c:majorGridlines/>
        <c:title>
          <c:tx>
            <c:rich>
              <a:bodyPr rot="-5400000" vert="horz"/>
              <a:lstStyle/>
              <a:p>
                <a:pPr>
                  <a:defRPr lang="en-CA" b="0"/>
                </a:pPr>
                <a:r>
                  <a:rPr lang="en-US" b="0"/>
                  <a:t>Gap Ratio</a:t>
                </a:r>
              </a:p>
            </c:rich>
          </c:tx>
        </c:title>
        <c:numFmt formatCode="0" sourceLinked="0"/>
        <c:tickLblPos val="nextTo"/>
        <c:txPr>
          <a:bodyPr/>
          <a:lstStyle/>
          <a:p>
            <a:pPr>
              <a:defRPr lang="en-CA"/>
            </a:pPr>
            <a:endParaRPr lang="en-US"/>
          </a:p>
        </c:txPr>
        <c:crossAx val="131763200"/>
        <c:crosses val="autoZero"/>
        <c:crossBetween val="between"/>
      </c:valAx>
    </c:plotArea>
    <c:legend>
      <c:legendPos val="r"/>
      <c:layout>
        <c:manualLayout>
          <c:xMode val="edge"/>
          <c:yMode val="edge"/>
          <c:x val="0.20482086614173231"/>
          <c:y val="5.980132691746895E-2"/>
          <c:w val="0.20351246719160204"/>
          <c:h val="7.0212160979877536E-2"/>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377" l="0.70000000000000062" r="0.70000000000000062" t="0.75000000000000377"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9.0434782608695655E-2"/>
          <c:y val="4.8780487804878522E-2"/>
          <c:w val="0.89043478260869569"/>
          <c:h val="0.53658536585365368"/>
        </c:manualLayout>
      </c:layout>
      <c:barChart>
        <c:barDir val="col"/>
        <c:grouping val="clustered"/>
        <c:ser>
          <c:idx val="0"/>
          <c:order val="0"/>
          <c:tx>
            <c:strRef>
              <c:f>'C2'!$A$22</c:f>
              <c:strCache>
                <c:ptCount val="1"/>
                <c:pt idx="0">
                  <c:v>Index of Economic Well-being</c:v>
                </c:pt>
              </c:strCache>
            </c:strRef>
          </c:tx>
          <c:cat>
            <c:strRef>
              <c:f>'C2'!$B$21:$L$21</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'C2'!$B$22:$L$22</c:f>
              <c:numCache>
                <c:formatCode>#,##0.00</c:formatCode>
                <c:ptCount val="11"/>
                <c:pt idx="0">
                  <c:v>0.78399169619405296</c:v>
                </c:pt>
                <c:pt idx="1">
                  <c:v>2.9026545559239114</c:v>
                </c:pt>
                <c:pt idx="2">
                  <c:v>2.3122327656535102</c:v>
                </c:pt>
                <c:pt idx="3">
                  <c:v>0.93581677047003264</c:v>
                </c:pt>
                <c:pt idx="4">
                  <c:v>2.0198922578372525</c:v>
                </c:pt>
                <c:pt idx="5">
                  <c:v>1.2209592291991145</c:v>
                </c:pt>
                <c:pt idx="6">
                  <c:v>0.39401388566711049</c:v>
                </c:pt>
                <c:pt idx="7">
                  <c:v>1.2834072187437151</c:v>
                </c:pt>
                <c:pt idx="8">
                  <c:v>1.3385328482346859</c:v>
                </c:pt>
                <c:pt idx="9">
                  <c:v>0.67988440460025057</c:v>
                </c:pt>
                <c:pt idx="10">
                  <c:v>0.38098936412638285</c:v>
                </c:pt>
              </c:numCache>
            </c:numRef>
          </c:val>
        </c:ser>
        <c:ser>
          <c:idx val="1"/>
          <c:order val="1"/>
          <c:tx>
            <c:strRef>
              <c:f>'C2'!$A$23</c:f>
              <c:strCache>
                <c:ptCount val="1"/>
                <c:pt idx="0">
                  <c:v>Per-capita GDP</c:v>
                </c:pt>
              </c:strCache>
            </c:strRef>
          </c:tx>
          <c:val>
            <c:numRef>
              <c:f>'C2'!$B$23:$L$23</c:f>
              <c:numCache>
                <c:formatCode>0.00</c:formatCode>
                <c:ptCount val="11"/>
                <c:pt idx="0">
                  <c:v>1.3216297665156418</c:v>
                </c:pt>
                <c:pt idx="1">
                  <c:v>2.790105833310097</c:v>
                </c:pt>
                <c:pt idx="2">
                  <c:v>1.9336938302620288</c:v>
                </c:pt>
                <c:pt idx="3">
                  <c:v>1.7691551950665962</c:v>
                </c:pt>
                <c:pt idx="4">
                  <c:v>2.1083376060971437</c:v>
                </c:pt>
                <c:pt idx="5">
                  <c:v>1.2862243344832436</c:v>
                </c:pt>
                <c:pt idx="6">
                  <c:v>1.0631824213967134</c:v>
                </c:pt>
                <c:pt idx="7">
                  <c:v>1.3379743312771808</c:v>
                </c:pt>
                <c:pt idx="8">
                  <c:v>1.6795557530022931</c:v>
                </c:pt>
                <c:pt idx="9">
                  <c:v>1.0303526923468587</c:v>
                </c:pt>
                <c:pt idx="10">
                  <c:v>0.69094557274957946</c:v>
                </c:pt>
              </c:numCache>
            </c:numRef>
          </c:val>
        </c:ser>
        <c:axId val="129676032"/>
        <c:axId val="129677568"/>
      </c:barChart>
      <c:catAx>
        <c:axId val="129676032"/>
        <c:scaling>
          <c:orientation val="minMax"/>
        </c:scaling>
        <c:axPos val="b"/>
        <c:numFmt formatCode="General" sourceLinked="1"/>
        <c:tickLblPos val="nextTo"/>
        <c:txPr>
          <a:bodyPr/>
          <a:lstStyle/>
          <a:p>
            <a:pPr>
              <a:defRPr lang="en-CA"/>
            </a:pPr>
            <a:endParaRPr lang="en-US"/>
          </a:p>
        </c:txPr>
        <c:crossAx val="129677568"/>
        <c:crosses val="autoZero"/>
        <c:auto val="1"/>
        <c:lblAlgn val="ctr"/>
        <c:lblOffset val="100"/>
      </c:catAx>
      <c:valAx>
        <c:axId val="129677568"/>
        <c:scaling>
          <c:orientation val="minMax"/>
        </c:scaling>
        <c:axPos val="l"/>
        <c:majorGridlines/>
        <c:title>
          <c:tx>
            <c:rich>
              <a:bodyPr rot="-5400000" vert="horz"/>
              <a:lstStyle/>
              <a:p>
                <a:pPr>
                  <a:defRPr lang="en-CA" b="0"/>
                </a:pPr>
                <a:r>
                  <a:rPr lang="en-US" b="0"/>
                  <a:t>Growth</a:t>
                </a:r>
                <a:r>
                  <a:rPr lang="en-US" b="0" baseline="0"/>
                  <a:t> Rate (per cent per year)</a:t>
                </a:r>
                <a:endParaRPr lang="en-US" b="0"/>
              </a:p>
            </c:rich>
          </c:tx>
          <c:layout>
            <c:manualLayout>
              <c:xMode val="edge"/>
              <c:yMode val="edge"/>
              <c:x val="0"/>
              <c:y val="0"/>
            </c:manualLayout>
          </c:layout>
        </c:title>
        <c:numFmt formatCode="#,##0.00" sourceLinked="1"/>
        <c:tickLblPos val="nextTo"/>
        <c:txPr>
          <a:bodyPr/>
          <a:lstStyle/>
          <a:p>
            <a:pPr>
              <a:defRPr lang="en-CA"/>
            </a:pPr>
            <a:endParaRPr lang="en-US"/>
          </a:p>
        </c:txPr>
        <c:crossAx val="129676032"/>
        <c:crosses val="autoZero"/>
        <c:crossBetween val="between"/>
      </c:valAx>
    </c:plotArea>
    <c:legend>
      <c:legendPos val="r"/>
      <c:layout>
        <c:manualLayout>
          <c:xMode val="edge"/>
          <c:yMode val="edge"/>
          <c:x val="0.54235161474381199"/>
          <c:y val="5.4787785673132333E-2"/>
          <c:w val="0.43438749286774236"/>
          <c:h val="0.1219057678765768"/>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1966885389326334"/>
          <c:y val="5.1400554097404488E-2"/>
          <c:w val="0.84626312335958065"/>
          <c:h val="0.52882865104960064"/>
        </c:manualLayout>
      </c:layout>
      <c:barChart>
        <c:barDir val="col"/>
        <c:grouping val="clustered"/>
        <c:ser>
          <c:idx val="0"/>
          <c:order val="0"/>
          <c:tx>
            <c:strRef>
              <c:f>'C31'!$A$21</c:f>
              <c:strCache>
                <c:ptCount val="1"/>
                <c:pt idx="0">
                  <c:v>1981</c:v>
                </c:pt>
              </c:strCache>
            </c:strRef>
          </c:tx>
          <c:spPr>
            <a:solidFill>
              <a:prstClr val="black"/>
            </a:solidFill>
          </c:spPr>
          <c:cat>
            <c:strRef>
              <c:f>'C31'!$B$20:$L$20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'C31'!$B$21:$L$21</c:f>
              <c:numCache>
                <c:formatCode>General</c:formatCode>
                <c:ptCount val="11"/>
                <c:pt idx="0">
                  <c:v>0.6415022695162006</c:v>
                </c:pt>
                <c:pt idx="1">
                  <c:v>0.44335753567434699</c:v>
                </c:pt>
                <c:pt idx="2">
                  <c:v>0.44198121002238394</c:v>
                </c:pt>
                <c:pt idx="3">
                  <c:v>0.52454765506693046</c:v>
                </c:pt>
                <c:pt idx="4">
                  <c:v>0.35043375775672592</c:v>
                </c:pt>
                <c:pt idx="5">
                  <c:v>0.59749980492452193</c:v>
                </c:pt>
                <c:pt idx="6">
                  <c:v>0.76271200423824892</c:v>
                </c:pt>
                <c:pt idx="7">
                  <c:v>0.48355227539159917</c:v>
                </c:pt>
                <c:pt idx="8">
                  <c:v>0.37606661066813751</c:v>
                </c:pt>
                <c:pt idx="9">
                  <c:v>0.7141753287934689</c:v>
                </c:pt>
                <c:pt idx="10">
                  <c:v>0.66047047631749756</c:v>
                </c:pt>
              </c:numCache>
            </c:numRef>
          </c:val>
        </c:ser>
        <c:ser>
          <c:idx val="1"/>
          <c:order val="1"/>
          <c:tx>
            <c:strRef>
              <c:f>'C31'!$A$22</c:f>
              <c:strCache>
                <c:ptCount val="1"/>
                <c:pt idx="0">
                  <c:v>2010</c:v>
                </c:pt>
              </c:strCache>
            </c:strRef>
          </c:tx>
          <c:spPr>
            <a:solidFill>
              <a:schemeClr val="tx1">
                <a:lumMod val="50000"/>
                <a:lumOff val="50000"/>
              </a:schemeClr>
            </a:solidFill>
          </c:spPr>
          <c:cat>
            <c:strRef>
              <c:f>'C31'!$B$20:$L$20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'C31'!$B$22:$L$22</c:f>
              <c:numCache>
                <c:formatCode>General</c:formatCode>
                <c:ptCount val="11"/>
                <c:pt idx="0">
                  <c:v>0.48990011732755612</c:v>
                </c:pt>
                <c:pt idx="1">
                  <c:v>0.4904809624274809</c:v>
                </c:pt>
                <c:pt idx="2">
                  <c:v>0.7859903746853204</c:v>
                </c:pt>
                <c:pt idx="3">
                  <c:v>0.43435666890078939</c:v>
                </c:pt>
                <c:pt idx="4">
                  <c:v>0.51945171804193502</c:v>
                </c:pt>
                <c:pt idx="5">
                  <c:v>0.55743456629889687</c:v>
                </c:pt>
                <c:pt idx="6">
                  <c:v>0.50214907569174194</c:v>
                </c:pt>
                <c:pt idx="7">
                  <c:v>0.57044824849781883</c:v>
                </c:pt>
                <c:pt idx="8">
                  <c:v>0.52324420602529553</c:v>
                </c:pt>
                <c:pt idx="9">
                  <c:v>0.56330550852340866</c:v>
                </c:pt>
                <c:pt idx="10">
                  <c:v>0.33362442119702618</c:v>
                </c:pt>
              </c:numCache>
            </c:numRef>
          </c:val>
        </c:ser>
        <c:axId val="132638208"/>
        <c:axId val="132639744"/>
      </c:barChart>
      <c:catAx>
        <c:axId val="132638208"/>
        <c:scaling>
          <c:orientation val="minMax"/>
        </c:scaling>
        <c:axPos val="b"/>
        <c:tickLblPos val="nextTo"/>
        <c:txPr>
          <a:bodyPr/>
          <a:lstStyle/>
          <a:p>
            <a:pPr>
              <a:defRPr lang="en-CA"/>
            </a:pPr>
            <a:endParaRPr lang="en-US"/>
          </a:p>
        </c:txPr>
        <c:crossAx val="132639744"/>
        <c:crosses val="autoZero"/>
        <c:auto val="1"/>
        <c:lblAlgn val="ctr"/>
        <c:lblOffset val="100"/>
      </c:catAx>
      <c:valAx>
        <c:axId val="132639744"/>
        <c:scaling>
          <c:orientation val="minMax"/>
        </c:scaling>
        <c:axPos val="l"/>
        <c:majorGridlines/>
        <c:title>
          <c:tx>
            <c:rich>
              <a:bodyPr rot="-5400000" vert="horz"/>
              <a:lstStyle/>
              <a:p>
                <a:pPr>
                  <a:defRPr lang="en-CA" b="0"/>
                </a:pPr>
                <a:r>
                  <a:rPr lang="en-US" b="0"/>
                  <a:t>Index</a:t>
                </a:r>
                <a:r>
                  <a:rPr lang="en-US" b="0" baseline="0"/>
                  <a:t> Value</a:t>
                </a:r>
                <a:endParaRPr lang="en-US" b="0"/>
              </a:p>
            </c:rich>
          </c:tx>
        </c:title>
        <c:numFmt formatCode="0.0" sourceLinked="0"/>
        <c:tickLblPos val="nextTo"/>
        <c:txPr>
          <a:bodyPr/>
          <a:lstStyle/>
          <a:p>
            <a:pPr>
              <a:defRPr lang="en-CA"/>
            </a:pPr>
            <a:endParaRPr lang="en-US"/>
          </a:p>
        </c:txPr>
        <c:crossAx val="132638208"/>
        <c:crosses val="autoZero"/>
        <c:crossBetween val="between"/>
      </c:valAx>
    </c:plotArea>
    <c:legend>
      <c:legendPos val="r"/>
      <c:layout>
        <c:manualLayout>
          <c:xMode val="edge"/>
          <c:yMode val="edge"/>
          <c:x val="0.85895849372992161"/>
          <c:y val="3.8101341554047395E-2"/>
          <c:w val="8.9524295949498026E-2"/>
          <c:h val="0.14351518560180399"/>
        </c:manualLayout>
      </c:layout>
      <c:spPr>
        <a:solidFill>
          <a:schemeClr val="bg1"/>
        </a:solidFill>
        <a:ln>
          <a:solidFill>
            <a:schemeClr val="tx1"/>
          </a:solidFill>
        </a:ln>
      </c:spPr>
      <c:txPr>
        <a:bodyPr/>
        <a:lstStyle/>
        <a:p>
          <a:pPr>
            <a:defRPr lang="en-CA"/>
          </a:pPr>
          <a:endParaRPr lang="en-US"/>
        </a:p>
      </c:txPr>
    </c:legend>
    <c:plotVisOnly val="1"/>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0261329833770765"/>
          <c:y val="5.1400554097404488E-2"/>
          <c:w val="0.85676181102362592"/>
          <c:h val="0.63945076309905702"/>
        </c:manualLayout>
      </c:layout>
      <c:barChart>
        <c:barDir val="col"/>
        <c:grouping val="clustered"/>
        <c:ser>
          <c:idx val="0"/>
          <c:order val="0"/>
          <c:tx>
            <c:strRef>
              <c:f>'C32'!$B$22</c:f>
              <c:strCache>
                <c:ptCount val="1"/>
                <c:pt idx="0">
                  <c:v>1981</c:v>
                </c:pt>
              </c:strCache>
            </c:strRef>
          </c:tx>
          <c:spPr>
            <a:solidFill>
              <a:schemeClr val="tx1"/>
            </a:solidFill>
          </c:spPr>
          <c:cat>
            <c:strRef>
              <c:f>'C32'!$A$23:$A$27</c:f>
              <c:strCache>
                <c:ptCount val="5"/>
                <c:pt idx="0">
                  <c:v>Overall Economic Security</c:v>
                </c:pt>
                <c:pt idx="1">
                  <c:v>Unemployment</c:v>
                </c:pt>
                <c:pt idx="2">
                  <c:v>Illness</c:v>
                </c:pt>
                <c:pt idx="3">
                  <c:v>Single-parent Poverty</c:v>
                </c:pt>
                <c:pt idx="4">
                  <c:v>Old-age Poverty</c:v>
                </c:pt>
              </c:strCache>
            </c:strRef>
          </c:cat>
          <c:val>
            <c:numRef>
              <c:f>'C32'!$B$23:$B$27</c:f>
              <c:numCache>
                <c:formatCode>General</c:formatCode>
                <c:ptCount val="5"/>
                <c:pt idx="0">
                  <c:v>0.63201595297490964</c:v>
                </c:pt>
                <c:pt idx="1">
                  <c:v>0.62716341973195355</c:v>
                </c:pt>
                <c:pt idx="2">
                  <c:v>0.80071138764357608</c:v>
                </c:pt>
                <c:pt idx="3">
                  <c:v>0.3866167011910287</c:v>
                </c:pt>
                <c:pt idx="4">
                  <c:v>0.34472713020593992</c:v>
                </c:pt>
              </c:numCache>
            </c:numRef>
          </c:val>
        </c:ser>
        <c:ser>
          <c:idx val="1"/>
          <c:order val="1"/>
          <c:tx>
            <c:strRef>
              <c:f>'C32'!$C$22</c:f>
              <c:strCache>
                <c:ptCount val="1"/>
                <c:pt idx="0">
                  <c:v>2010</c:v>
                </c:pt>
              </c:strCache>
            </c:strRef>
          </c:tx>
          <c:cat>
            <c:strRef>
              <c:f>'C32'!$A$23:$A$27</c:f>
              <c:strCache>
                <c:ptCount val="5"/>
                <c:pt idx="0">
                  <c:v>Overall Economic Security</c:v>
                </c:pt>
                <c:pt idx="1">
                  <c:v>Unemployment</c:v>
                </c:pt>
                <c:pt idx="2">
                  <c:v>Illness</c:v>
                </c:pt>
                <c:pt idx="3">
                  <c:v>Single-parent Poverty</c:v>
                </c:pt>
                <c:pt idx="4">
                  <c:v>Old-age Poverty</c:v>
                </c:pt>
              </c:strCache>
            </c:strRef>
          </c:cat>
          <c:val>
            <c:numRef>
              <c:f>'C32'!$C$23:$C$27</c:f>
              <c:numCache>
                <c:formatCode>General</c:formatCode>
                <c:ptCount val="5"/>
                <c:pt idx="0">
                  <c:v>0.48472340768248307</c:v>
                </c:pt>
                <c:pt idx="1">
                  <c:v>0.59308336362159264</c:v>
                </c:pt>
                <c:pt idx="2">
                  <c:v>0.27257611035398904</c:v>
                </c:pt>
                <c:pt idx="3">
                  <c:v>0.73908159487334235</c:v>
                </c:pt>
                <c:pt idx="4">
                  <c:v>0.67229618648223033</c:v>
                </c:pt>
              </c:numCache>
            </c:numRef>
          </c:val>
        </c:ser>
        <c:axId val="132767744"/>
        <c:axId val="132769280"/>
      </c:barChart>
      <c:catAx>
        <c:axId val="132767744"/>
        <c:scaling>
          <c:orientation val="minMax"/>
        </c:scaling>
        <c:axPos val="b"/>
        <c:numFmt formatCode="General" sourceLinked="1"/>
        <c:tickLblPos val="nextTo"/>
        <c:txPr>
          <a:bodyPr/>
          <a:lstStyle/>
          <a:p>
            <a:pPr>
              <a:defRPr lang="en-CA"/>
            </a:pPr>
            <a:endParaRPr lang="en-US"/>
          </a:p>
        </c:txPr>
        <c:crossAx val="132769280"/>
        <c:crosses val="autoZero"/>
        <c:auto val="1"/>
        <c:lblAlgn val="ctr"/>
        <c:lblOffset val="100"/>
      </c:catAx>
      <c:valAx>
        <c:axId val="132769280"/>
        <c:scaling>
          <c:orientation val="minMax"/>
        </c:scaling>
        <c:axPos val="l"/>
        <c:majorGridlines/>
        <c:title>
          <c:tx>
            <c:rich>
              <a:bodyPr rot="-5400000" vert="horz"/>
              <a:lstStyle/>
              <a:p>
                <a:pPr>
                  <a:defRPr lang="en-CA" b="0"/>
                </a:pPr>
                <a:r>
                  <a:rPr lang="en-US" b="0"/>
                  <a:t>Index</a:t>
                </a:r>
                <a:r>
                  <a:rPr lang="en-US" b="0" baseline="0"/>
                  <a:t> Value</a:t>
                </a:r>
                <a:endParaRPr lang="en-US" b="0"/>
              </a:p>
            </c:rich>
          </c:tx>
        </c:title>
        <c:numFmt formatCode="General" sourceLinked="1"/>
        <c:tickLblPos val="nextTo"/>
        <c:txPr>
          <a:bodyPr/>
          <a:lstStyle/>
          <a:p>
            <a:pPr>
              <a:defRPr lang="en-CA"/>
            </a:pPr>
            <a:endParaRPr lang="en-US"/>
          </a:p>
        </c:txPr>
        <c:crossAx val="132767744"/>
        <c:crosses val="autoZero"/>
        <c:crossBetween val="between"/>
      </c:valAx>
    </c:plotArea>
    <c:legend>
      <c:legendPos val="r"/>
      <c:layout>
        <c:manualLayout>
          <c:xMode val="edge"/>
          <c:yMode val="edge"/>
          <c:x val="0.12750685385106156"/>
          <c:y val="6.2373221865785707E-2"/>
          <c:w val="0.20988220628265622"/>
          <c:h val="9.7475454457081709E-2"/>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344" l="0.70000000000000062" r="0.70000000000000062" t="0.75000000000000344"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0833333333333336"/>
          <c:y val="4.8611111111111112E-2"/>
          <c:w val="0.87083333333333646"/>
          <c:h val="0.7395833333333337"/>
        </c:manualLayout>
      </c:layout>
      <c:lineChart>
        <c:grouping val="standard"/>
        <c:ser>
          <c:idx val="1"/>
          <c:order val="0"/>
          <c:tx>
            <c:strRef>
              <c:f>'C33'!$J$2</c:f>
              <c:strCache>
                <c:ptCount val="1"/>
                <c:pt idx="0">
                  <c:v>Earnings Replacement Rate</c:v>
                </c:pt>
              </c:strCache>
            </c:strRef>
          </c:tx>
          <c:marker>
            <c:symbol val="circle"/>
            <c:size val="5"/>
          </c:marker>
          <c:cat>
            <c:numRef>
              <c:f>'C33'!$H$3:$H$32</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'C33'!$J$3:$J$32</c:f>
              <c:numCache>
                <c:formatCode>0.00</c:formatCode>
                <c:ptCount val="30"/>
                <c:pt idx="0">
                  <c:v>38.422308089725213</c:v>
                </c:pt>
                <c:pt idx="1">
                  <c:v>37.991613847961666</c:v>
                </c:pt>
                <c:pt idx="2">
                  <c:v>38.472690039579412</c:v>
                </c:pt>
                <c:pt idx="3">
                  <c:v>38.425449380889233</c:v>
                </c:pt>
                <c:pt idx="4">
                  <c:v>39.209031430746862</c:v>
                </c:pt>
                <c:pt idx="5">
                  <c:v>40.242420779916635</c:v>
                </c:pt>
                <c:pt idx="6">
                  <c:v>40.605748321412733</c:v>
                </c:pt>
                <c:pt idx="7">
                  <c:v>41.35343750031619</c:v>
                </c:pt>
                <c:pt idx="8">
                  <c:v>42.000646542792794</c:v>
                </c:pt>
                <c:pt idx="9">
                  <c:v>43.488702292208451</c:v>
                </c:pt>
                <c:pt idx="10">
                  <c:v>44.198228328663106</c:v>
                </c:pt>
                <c:pt idx="11">
                  <c:v>44.166622991678459</c:v>
                </c:pt>
                <c:pt idx="12">
                  <c:v>43.923888116847095</c:v>
                </c:pt>
                <c:pt idx="13">
                  <c:v>42.470651733909051</c:v>
                </c:pt>
                <c:pt idx="14">
                  <c:v>42.253662284731156</c:v>
                </c:pt>
                <c:pt idx="15">
                  <c:v>41.787232069306008</c:v>
                </c:pt>
                <c:pt idx="16">
                  <c:v>40.055552882173359</c:v>
                </c:pt>
                <c:pt idx="17">
                  <c:v>40.350260252033543</c:v>
                </c:pt>
                <c:pt idx="18">
                  <c:v>40.764074299602896</c:v>
                </c:pt>
                <c:pt idx="19">
                  <c:v>40.446444461393739</c:v>
                </c:pt>
                <c:pt idx="20">
                  <c:v>42.51964708807072</c:v>
                </c:pt>
                <c:pt idx="21">
                  <c:v>42.805231478041165</c:v>
                </c:pt>
                <c:pt idx="22">
                  <c:v>42.121286686834466</c:v>
                </c:pt>
                <c:pt idx="23">
                  <c:v>41.337618826094506</c:v>
                </c:pt>
                <c:pt idx="24">
                  <c:v>40.084057735165025</c:v>
                </c:pt>
                <c:pt idx="25">
                  <c:v>40.471699778080726</c:v>
                </c:pt>
                <c:pt idx="26">
                  <c:v>40.083377739433466</c:v>
                </c:pt>
                <c:pt idx="27">
                  <c:v>40.626335865311894</c:v>
                </c:pt>
                <c:pt idx="28">
                  <c:v>42.290139340680682</c:v>
                </c:pt>
                <c:pt idx="29">
                  <c:v>40.664349871267433</c:v>
                </c:pt>
              </c:numCache>
            </c:numRef>
          </c:val>
        </c:ser>
        <c:ser>
          <c:idx val="2"/>
          <c:order val="1"/>
          <c:tx>
            <c:strRef>
              <c:f>'C33'!$K$2</c:f>
              <c:strCache>
                <c:ptCount val="1"/>
                <c:pt idx="0">
                  <c:v>EI Coverage Rate</c:v>
                </c:pt>
              </c:strCache>
            </c:strRef>
          </c:tx>
          <c:marker>
            <c:symbol val="square"/>
            <c:size val="4"/>
          </c:marker>
          <c:cat>
            <c:numRef>
              <c:f>'C33'!$H$3:$H$32</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'C33'!$K$3:$K$32</c:f>
              <c:numCache>
                <c:formatCode>General</c:formatCode>
                <c:ptCount val="30"/>
                <c:pt idx="0">
                  <c:v>66.628312562670118</c:v>
                </c:pt>
                <c:pt idx="1">
                  <c:v>75.941337800029444</c:v>
                </c:pt>
                <c:pt idx="2">
                  <c:v>74.323104852993282</c:v>
                </c:pt>
                <c:pt idx="3">
                  <c:v>73.725700686857508</c:v>
                </c:pt>
                <c:pt idx="4">
                  <c:v>73.568815729309549</c:v>
                </c:pt>
                <c:pt idx="5">
                  <c:v>75.623427978737183</c:v>
                </c:pt>
                <c:pt idx="6">
                  <c:v>76.198309583682601</c:v>
                </c:pt>
                <c:pt idx="7">
                  <c:v>82.647888421380699</c:v>
                </c:pt>
                <c:pt idx="8">
                  <c:v>83.769246480643531</c:v>
                </c:pt>
                <c:pt idx="9">
                  <c:v>83.116132838355057</c:v>
                </c:pt>
                <c:pt idx="10">
                  <c:v>78.161370295244538</c:v>
                </c:pt>
                <c:pt idx="11">
                  <c:v>71.524264889110384</c:v>
                </c:pt>
                <c:pt idx="12">
                  <c:v>65.346313097485236</c:v>
                </c:pt>
                <c:pt idx="13">
                  <c:v>59.139768976897692</c:v>
                </c:pt>
                <c:pt idx="14">
                  <c:v>52.84719232792844</c:v>
                </c:pt>
                <c:pt idx="15">
                  <c:v>49.499381592457752</c:v>
                </c:pt>
                <c:pt idx="16">
                  <c:v>44.091554940250653</c:v>
                </c:pt>
                <c:pt idx="17">
                  <c:v>45.529723405374142</c:v>
                </c:pt>
                <c:pt idx="18">
                  <c:v>44.991467095427488</c:v>
                </c:pt>
                <c:pt idx="19">
                  <c:v>44.960251432797193</c:v>
                </c:pt>
                <c:pt idx="20">
                  <c:v>44.79066437571592</c:v>
                </c:pt>
                <c:pt idx="21">
                  <c:v>43.765043656100055</c:v>
                </c:pt>
                <c:pt idx="22">
                  <c:v>43.852423935880481</c:v>
                </c:pt>
                <c:pt idx="23">
                  <c:v>43.945300878972283</c:v>
                </c:pt>
                <c:pt idx="24">
                  <c:v>44.210515058179332</c:v>
                </c:pt>
                <c:pt idx="25">
                  <c:v>44.649194155746343</c:v>
                </c:pt>
                <c:pt idx="26">
                  <c:v>44.452917362012492</c:v>
                </c:pt>
                <c:pt idx="27">
                  <c:v>43.558068368413188</c:v>
                </c:pt>
                <c:pt idx="28">
                  <c:v>48.415842128408087</c:v>
                </c:pt>
                <c:pt idx="29">
                  <c:v>46.100610920198548</c:v>
                </c:pt>
              </c:numCache>
            </c:numRef>
          </c:val>
        </c:ser>
        <c:marker val="1"/>
        <c:axId val="132913408"/>
        <c:axId val="132915200"/>
      </c:lineChart>
      <c:catAx>
        <c:axId val="132913408"/>
        <c:scaling>
          <c:orientation val="minMax"/>
        </c:scaling>
        <c:axPos val="b"/>
        <c:numFmt formatCode="General" sourceLinked="1"/>
        <c:tickLblPos val="nextTo"/>
        <c:txPr>
          <a:bodyPr rot="5400000" vert="horz"/>
          <a:lstStyle/>
          <a:p>
            <a:pPr>
              <a:defRPr lang="en-CA"/>
            </a:pPr>
            <a:endParaRPr lang="en-US"/>
          </a:p>
        </c:txPr>
        <c:crossAx val="132915200"/>
        <c:crosses val="autoZero"/>
        <c:auto val="1"/>
        <c:lblAlgn val="ctr"/>
        <c:lblOffset val="100"/>
      </c:catAx>
      <c:valAx>
        <c:axId val="132915200"/>
        <c:scaling>
          <c:orientation val="minMax"/>
        </c:scaling>
        <c:axPos val="l"/>
        <c:majorGridlines/>
        <c:title>
          <c:tx>
            <c:rich>
              <a:bodyPr rot="-5400000" vert="horz"/>
              <a:lstStyle/>
              <a:p>
                <a:pPr>
                  <a:defRPr lang="en-CA" b="0"/>
                </a:pPr>
                <a:r>
                  <a:rPr lang="en-US" b="0"/>
                  <a:t>Per</a:t>
                </a:r>
                <a:r>
                  <a:rPr lang="en-US" b="0" baseline="0"/>
                  <a:t> Cent</a:t>
                </a:r>
                <a:endParaRPr lang="en-US" b="0"/>
              </a:p>
            </c:rich>
          </c:tx>
        </c:title>
        <c:numFmt formatCode="0" sourceLinked="0"/>
        <c:tickLblPos val="nextTo"/>
        <c:txPr>
          <a:bodyPr/>
          <a:lstStyle/>
          <a:p>
            <a:pPr>
              <a:defRPr lang="en-CA"/>
            </a:pPr>
            <a:endParaRPr lang="en-US"/>
          </a:p>
        </c:txPr>
        <c:crossAx val="132913408"/>
        <c:crosses val="autoZero"/>
        <c:crossBetween val="between"/>
      </c:valAx>
    </c:plotArea>
    <c:legend>
      <c:legendPos val="r"/>
      <c:layout>
        <c:manualLayout>
          <c:xMode val="edge"/>
          <c:yMode val="edge"/>
          <c:x val="0.13511111111111121"/>
          <c:y val="0.60070027704870765"/>
          <c:w val="0.41488888888889208"/>
          <c:h val="0.14119203849518824"/>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355" l="0.70000000000000062" r="0.70000000000000062" t="0.75000000000000355"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en-US"/>
  <c:style val="1"/>
  <c:chart>
    <c:autoTitleDeleted val="1"/>
    <c:plotArea>
      <c:layout>
        <c:manualLayout>
          <c:layoutTarget val="inner"/>
          <c:xMode val="edge"/>
          <c:yMode val="edge"/>
          <c:x val="8.4488407699037621E-2"/>
          <c:y val="7.9062773403325071E-2"/>
          <c:w val="0.90340048118985128"/>
          <c:h val="0.69614173228347087"/>
        </c:manualLayout>
      </c:layout>
      <c:lineChart>
        <c:grouping val="standard"/>
        <c:ser>
          <c:idx val="0"/>
          <c:order val="0"/>
          <c:tx>
            <c:strRef>
              <c:f>'C33'!$I$2</c:f>
              <c:strCache>
                <c:ptCount val="1"/>
                <c:pt idx="0">
                  <c:v>Unemployment Rate</c:v>
                </c:pt>
              </c:strCache>
            </c:strRef>
          </c:tx>
          <c:marker>
            <c:symbol val="none"/>
          </c:marker>
          <c:cat>
            <c:numRef>
              <c:f>'C33'!$H$3:$H$32</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'C33'!$I$3:$I$32</c:f>
              <c:numCache>
                <c:formatCode>General</c:formatCode>
                <c:ptCount val="30"/>
                <c:pt idx="0">
                  <c:v>7.6</c:v>
                </c:pt>
                <c:pt idx="1">
                  <c:v>11</c:v>
                </c:pt>
                <c:pt idx="2">
                  <c:v>12</c:v>
                </c:pt>
                <c:pt idx="3">
                  <c:v>11.3</c:v>
                </c:pt>
                <c:pt idx="4">
                  <c:v>10.6</c:v>
                </c:pt>
                <c:pt idx="5">
                  <c:v>9.6999999999999993</c:v>
                </c:pt>
                <c:pt idx="6">
                  <c:v>8.8000000000000007</c:v>
                </c:pt>
                <c:pt idx="7">
                  <c:v>7.8</c:v>
                </c:pt>
                <c:pt idx="8">
                  <c:v>7.5</c:v>
                </c:pt>
                <c:pt idx="9">
                  <c:v>8.1</c:v>
                </c:pt>
                <c:pt idx="10">
                  <c:v>10.3</c:v>
                </c:pt>
                <c:pt idx="11">
                  <c:v>11.2</c:v>
                </c:pt>
                <c:pt idx="12">
                  <c:v>11.4</c:v>
                </c:pt>
                <c:pt idx="13">
                  <c:v>10.4</c:v>
                </c:pt>
                <c:pt idx="14">
                  <c:v>9.5</c:v>
                </c:pt>
                <c:pt idx="15">
                  <c:v>9.6</c:v>
                </c:pt>
                <c:pt idx="16">
                  <c:v>9.1</c:v>
                </c:pt>
                <c:pt idx="17">
                  <c:v>8.3000000000000007</c:v>
                </c:pt>
                <c:pt idx="18">
                  <c:v>7.6</c:v>
                </c:pt>
                <c:pt idx="19">
                  <c:v>6.8</c:v>
                </c:pt>
                <c:pt idx="20">
                  <c:v>7.2</c:v>
                </c:pt>
                <c:pt idx="21">
                  <c:v>7.7</c:v>
                </c:pt>
                <c:pt idx="22">
                  <c:v>7.6</c:v>
                </c:pt>
                <c:pt idx="23">
                  <c:v>7.2</c:v>
                </c:pt>
                <c:pt idx="24">
                  <c:v>6.8</c:v>
                </c:pt>
                <c:pt idx="25">
                  <c:v>6.3</c:v>
                </c:pt>
                <c:pt idx="26">
                  <c:v>6</c:v>
                </c:pt>
                <c:pt idx="27">
                  <c:v>6.1</c:v>
                </c:pt>
                <c:pt idx="28">
                  <c:v>8.3000000000000007</c:v>
                </c:pt>
                <c:pt idx="29">
                  <c:v>8</c:v>
                </c:pt>
              </c:numCache>
            </c:numRef>
          </c:val>
        </c:ser>
        <c:marker val="1"/>
        <c:axId val="132947328"/>
        <c:axId val="132949120"/>
      </c:lineChart>
      <c:catAx>
        <c:axId val="132947328"/>
        <c:scaling>
          <c:orientation val="minMax"/>
        </c:scaling>
        <c:axPos val="b"/>
        <c:numFmt formatCode="General" sourceLinked="1"/>
        <c:tickLblPos val="nextTo"/>
        <c:txPr>
          <a:bodyPr rot="5400000" vert="horz"/>
          <a:lstStyle/>
          <a:p>
            <a:pPr>
              <a:defRPr lang="en-CA"/>
            </a:pPr>
            <a:endParaRPr lang="en-US"/>
          </a:p>
        </c:txPr>
        <c:crossAx val="132949120"/>
        <c:crosses val="autoZero"/>
        <c:auto val="1"/>
        <c:lblAlgn val="ctr"/>
        <c:lblOffset val="100"/>
      </c:catAx>
      <c:valAx>
        <c:axId val="132949120"/>
        <c:scaling>
          <c:orientation val="minMax"/>
        </c:scaling>
        <c:axPos val="l"/>
        <c:majorGridlines/>
        <c:title>
          <c:tx>
            <c:rich>
              <a:bodyPr rot="-5400000" vert="horz"/>
              <a:lstStyle/>
              <a:p>
                <a:pPr>
                  <a:defRPr lang="en-CA" b="0"/>
                </a:pPr>
                <a:r>
                  <a:rPr lang="en-US" b="0"/>
                  <a:t>Per</a:t>
                </a:r>
                <a:r>
                  <a:rPr lang="en-US" b="0" baseline="0"/>
                  <a:t> Cent</a:t>
                </a:r>
                <a:endParaRPr lang="en-US" b="0"/>
              </a:p>
            </c:rich>
          </c:tx>
        </c:title>
        <c:numFmt formatCode="General" sourceLinked="1"/>
        <c:tickLblPos val="nextTo"/>
        <c:txPr>
          <a:bodyPr/>
          <a:lstStyle/>
          <a:p>
            <a:pPr>
              <a:defRPr lang="en-CA"/>
            </a:pPr>
            <a:endParaRPr lang="en-US"/>
          </a:p>
        </c:txPr>
        <c:crossAx val="132947328"/>
        <c:crosses val="autoZero"/>
        <c:crossBetween val="between"/>
      </c:valAx>
    </c:plotArea>
    <c:legend>
      <c:legendPos val="r"/>
      <c:layout>
        <c:manualLayout>
          <c:xMode val="edge"/>
          <c:yMode val="edge"/>
          <c:x val="0.16566666666666666"/>
          <c:y val="0.65484288422280856"/>
          <c:w val="0.31766666666666915"/>
          <c:h val="8.3717191601049845E-2"/>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344" l="0.70000000000000062" r="0.70000000000000062" t="0.75000000000000344"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2708333333333341"/>
          <c:y val="4.8611111111111112E-2"/>
          <c:w val="0.80625000000000002"/>
          <c:h val="0.43402777777778095"/>
        </c:manualLayout>
      </c:layout>
      <c:barChart>
        <c:barDir val="col"/>
        <c:grouping val="clustered"/>
        <c:ser>
          <c:idx val="0"/>
          <c:order val="0"/>
          <c:tx>
            <c:strRef>
              <c:f>'C34'!$A$21</c:f>
              <c:strCache>
                <c:ptCount val="1"/>
                <c:pt idx="0">
                  <c:v>1981</c:v>
                </c:pt>
              </c:strCache>
            </c:strRef>
          </c:tx>
          <c:spPr>
            <a:solidFill>
              <a:schemeClr val="tx1"/>
            </a:solidFill>
          </c:spPr>
          <c:cat>
            <c:strRef>
              <c:f>'C34'!$B$20:$L$20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'C34'!$B$21:$L$21</c:f>
              <c:numCache>
                <c:formatCode>General</c:formatCode>
                <c:ptCount val="11"/>
                <c:pt idx="0">
                  <c:v>7.6</c:v>
                </c:pt>
                <c:pt idx="1">
                  <c:v>13.5</c:v>
                </c:pt>
                <c:pt idx="2">
                  <c:v>11.3</c:v>
                </c:pt>
                <c:pt idx="3">
                  <c:v>10</c:v>
                </c:pt>
                <c:pt idx="4">
                  <c:v>11.6</c:v>
                </c:pt>
                <c:pt idx="5">
                  <c:v>10.5</c:v>
                </c:pt>
                <c:pt idx="6">
                  <c:v>6.6</c:v>
                </c:pt>
                <c:pt idx="7">
                  <c:v>6</c:v>
                </c:pt>
                <c:pt idx="8">
                  <c:v>4.5</c:v>
                </c:pt>
                <c:pt idx="9">
                  <c:v>3.9</c:v>
                </c:pt>
                <c:pt idx="10">
                  <c:v>6.8</c:v>
                </c:pt>
              </c:numCache>
            </c:numRef>
          </c:val>
        </c:ser>
        <c:ser>
          <c:idx val="1"/>
          <c:order val="1"/>
          <c:tx>
            <c:strRef>
              <c:f>'C34'!$A$22</c:f>
              <c:strCache>
                <c:ptCount val="1"/>
                <c:pt idx="0">
                  <c:v>2010</c:v>
                </c:pt>
              </c:strCache>
            </c:strRef>
          </c:tx>
          <c:cat>
            <c:strRef>
              <c:f>'C34'!$B$20:$L$20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'C34'!$B$22:$L$22</c:f>
              <c:numCache>
                <c:formatCode>General</c:formatCode>
                <c:ptCount val="11"/>
                <c:pt idx="0">
                  <c:v>8</c:v>
                </c:pt>
                <c:pt idx="1">
                  <c:v>14.4</c:v>
                </c:pt>
                <c:pt idx="2">
                  <c:v>11.2</c:v>
                </c:pt>
                <c:pt idx="3">
                  <c:v>9.3000000000000007</c:v>
                </c:pt>
                <c:pt idx="4">
                  <c:v>9.3000000000000007</c:v>
                </c:pt>
                <c:pt idx="5">
                  <c:v>8</c:v>
                </c:pt>
                <c:pt idx="6">
                  <c:v>8.6999999999999993</c:v>
                </c:pt>
                <c:pt idx="7">
                  <c:v>5.4</c:v>
                </c:pt>
                <c:pt idx="8">
                  <c:v>5.2</c:v>
                </c:pt>
                <c:pt idx="9">
                  <c:v>6.5</c:v>
                </c:pt>
                <c:pt idx="10">
                  <c:v>7.6</c:v>
                </c:pt>
              </c:numCache>
            </c:numRef>
          </c:val>
        </c:ser>
        <c:axId val="131540864"/>
        <c:axId val="131542400"/>
      </c:barChart>
      <c:catAx>
        <c:axId val="131540864"/>
        <c:scaling>
          <c:orientation val="minMax"/>
        </c:scaling>
        <c:axPos val="b"/>
        <c:numFmt formatCode="General" sourceLinked="1"/>
        <c:tickLblPos val="nextTo"/>
        <c:txPr>
          <a:bodyPr/>
          <a:lstStyle/>
          <a:p>
            <a:pPr>
              <a:defRPr lang="en-CA"/>
            </a:pPr>
            <a:endParaRPr lang="en-US"/>
          </a:p>
        </c:txPr>
        <c:crossAx val="131542400"/>
        <c:crosses val="autoZero"/>
        <c:auto val="1"/>
        <c:lblAlgn val="ctr"/>
        <c:lblOffset val="100"/>
      </c:catAx>
      <c:valAx>
        <c:axId val="131542400"/>
        <c:scaling>
          <c:orientation val="minMax"/>
        </c:scaling>
        <c:axPos val="l"/>
        <c:majorGridlines/>
        <c:title>
          <c:tx>
            <c:rich>
              <a:bodyPr rot="-5400000" vert="horz"/>
              <a:lstStyle/>
              <a:p>
                <a:pPr>
                  <a:defRPr lang="en-CA" b="0"/>
                </a:pPr>
                <a:r>
                  <a:rPr lang="en-US" b="0"/>
                  <a:t>Per cent</a:t>
                </a:r>
              </a:p>
            </c:rich>
          </c:tx>
        </c:title>
        <c:numFmt formatCode="General" sourceLinked="1"/>
        <c:tickLblPos val="nextTo"/>
        <c:txPr>
          <a:bodyPr/>
          <a:lstStyle/>
          <a:p>
            <a:pPr>
              <a:defRPr lang="en-CA"/>
            </a:pPr>
            <a:endParaRPr lang="en-US"/>
          </a:p>
        </c:txPr>
        <c:crossAx val="131540864"/>
        <c:crosses val="autoZero"/>
        <c:crossBetween val="between"/>
      </c:valAx>
    </c:plotArea>
    <c:legend>
      <c:legendPos val="r"/>
      <c:layout>
        <c:manualLayout>
          <c:xMode val="edge"/>
          <c:yMode val="edge"/>
          <c:x val="0.60759864391951324"/>
          <c:y val="9.2208734324876057E-2"/>
          <c:w val="0.28406802274715681"/>
          <c:h val="6.5582531350248482E-2"/>
        </c:manualLayout>
      </c:layout>
      <c:overlay val="1"/>
      <c:spPr>
        <a:solidFill>
          <a:schemeClr val="bg1"/>
        </a:solidFill>
        <a:ln>
          <a:solidFill>
            <a:schemeClr val="tx1"/>
          </a:solidFill>
        </a:ln>
      </c:spPr>
      <c:txPr>
        <a:bodyPr/>
        <a:lstStyle/>
        <a:p>
          <a:pPr>
            <a:defRPr lang="en-CA"/>
          </a:pPr>
          <a:endParaRPr lang="en-US"/>
        </a:p>
      </c:txPr>
    </c:legend>
    <c:plotVisOnly val="1"/>
    <c:dispBlanksAs val="gap"/>
  </c:chart>
  <c:spPr>
    <a:ln>
      <a:noFill/>
    </a:ln>
  </c:spPr>
  <c:printSettings>
    <c:headerFooter/>
    <c:pageMargins b="0.750000000000004" l="0.70000000000000062" r="0.70000000000000062" t="0.750000000000004"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1194029850746226"/>
          <c:y val="4.4164037854890058E-2"/>
          <c:w val="0.87686567164179563"/>
          <c:h val="0.5394321766561514"/>
        </c:manualLayout>
      </c:layout>
      <c:barChart>
        <c:barDir val="col"/>
        <c:grouping val="clustered"/>
        <c:ser>
          <c:idx val="0"/>
          <c:order val="0"/>
          <c:tx>
            <c:strRef>
              <c:f>'C35'!$A$23</c:f>
              <c:strCache>
                <c:ptCount val="1"/>
                <c:pt idx="0">
                  <c:v>1981</c:v>
                </c:pt>
              </c:strCache>
            </c:strRef>
          </c:tx>
          <c:spPr>
            <a:solidFill>
              <a:prstClr val="black"/>
            </a:solidFill>
          </c:spPr>
          <c:cat>
            <c:strRef>
              <c:f>'C35'!$B$22:$L$22</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'C35'!$B$23:$L$23</c:f>
              <c:numCache>
                <c:formatCode>General</c:formatCode>
                <c:ptCount val="11"/>
                <c:pt idx="0">
                  <c:v>66.628312562670118</c:v>
                </c:pt>
                <c:pt idx="1">
                  <c:v>131.73879310344827</c:v>
                </c:pt>
                <c:pt idx="2">
                  <c:v>117.72222222222221</c:v>
                </c:pt>
                <c:pt idx="3">
                  <c:v>89.95077838827838</c:v>
                </c:pt>
                <c:pt idx="4">
                  <c:v>118.71785361028682</c:v>
                </c:pt>
                <c:pt idx="5">
                  <c:v>75.687525344687757</c:v>
                </c:pt>
                <c:pt idx="6">
                  <c:v>51.038470017636691</c:v>
                </c:pt>
                <c:pt idx="7">
                  <c:v>55.348484848484844</c:v>
                </c:pt>
                <c:pt idx="8">
                  <c:v>52.367647058823529</c:v>
                </c:pt>
                <c:pt idx="9">
                  <c:v>31.555786555786558</c:v>
                </c:pt>
                <c:pt idx="10">
                  <c:v>57.300397648686022</c:v>
                </c:pt>
              </c:numCache>
            </c:numRef>
          </c:val>
        </c:ser>
        <c:ser>
          <c:idx val="1"/>
          <c:order val="1"/>
          <c:tx>
            <c:strRef>
              <c:f>'C35'!$A$24</c:f>
              <c:strCache>
                <c:ptCount val="1"/>
                <c:pt idx="0">
                  <c:v>2010</c:v>
                </c:pt>
              </c:strCache>
            </c:strRef>
          </c:tx>
          <c:cat>
            <c:strRef>
              <c:f>'C35'!$B$22:$L$22</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'C35'!$B$24:$L$24</c:f>
              <c:numCache>
                <c:formatCode>General</c:formatCode>
                <c:ptCount val="11"/>
                <c:pt idx="0">
                  <c:v>46.100610920198548</c:v>
                </c:pt>
                <c:pt idx="1">
                  <c:v>104.56187895212287</c:v>
                </c:pt>
                <c:pt idx="2">
                  <c:v>97.949438202247194</c:v>
                </c:pt>
                <c:pt idx="3">
                  <c:v>71.826853851691865</c:v>
                </c:pt>
                <c:pt idx="4">
                  <c:v>94.34294871794873</c:v>
                </c:pt>
                <c:pt idx="5">
                  <c:v>56.278926637124563</c:v>
                </c:pt>
                <c:pt idx="6">
                  <c:v>34.450872433237571</c:v>
                </c:pt>
                <c:pt idx="7">
                  <c:v>44.938271604938272</c:v>
                </c:pt>
                <c:pt idx="8">
                  <c:v>44.82868757259002</c:v>
                </c:pt>
                <c:pt idx="9">
                  <c:v>35.656834873252784</c:v>
                </c:pt>
                <c:pt idx="10">
                  <c:v>43.749552452559975</c:v>
                </c:pt>
              </c:numCache>
            </c:numRef>
          </c:val>
        </c:ser>
        <c:axId val="132891008"/>
        <c:axId val="132892544"/>
      </c:barChart>
      <c:catAx>
        <c:axId val="132891008"/>
        <c:scaling>
          <c:orientation val="minMax"/>
        </c:scaling>
        <c:axPos val="b"/>
        <c:numFmt formatCode="General" sourceLinked="1"/>
        <c:tickLblPos val="nextTo"/>
        <c:txPr>
          <a:bodyPr/>
          <a:lstStyle/>
          <a:p>
            <a:pPr>
              <a:defRPr lang="en-CA"/>
            </a:pPr>
            <a:endParaRPr lang="en-US"/>
          </a:p>
        </c:txPr>
        <c:crossAx val="132892544"/>
        <c:crosses val="autoZero"/>
        <c:auto val="1"/>
        <c:lblAlgn val="ctr"/>
        <c:lblOffset val="100"/>
      </c:catAx>
      <c:valAx>
        <c:axId val="132892544"/>
        <c:scaling>
          <c:orientation val="minMax"/>
        </c:scaling>
        <c:axPos val="l"/>
        <c:majorGridlines/>
        <c:title>
          <c:tx>
            <c:rich>
              <a:bodyPr rot="-5400000" vert="horz"/>
              <a:lstStyle/>
              <a:p>
                <a:pPr>
                  <a:defRPr lang="en-CA" b="0"/>
                </a:pPr>
                <a:r>
                  <a:rPr lang="en-US" b="0"/>
                  <a:t>Per</a:t>
                </a:r>
                <a:r>
                  <a:rPr lang="en-US" b="0" baseline="0"/>
                  <a:t> cent</a:t>
                </a:r>
                <a:endParaRPr lang="en-US" b="0"/>
              </a:p>
            </c:rich>
          </c:tx>
        </c:title>
        <c:numFmt formatCode="General" sourceLinked="1"/>
        <c:tickLblPos val="nextTo"/>
        <c:txPr>
          <a:bodyPr/>
          <a:lstStyle/>
          <a:p>
            <a:pPr>
              <a:defRPr lang="en-CA"/>
            </a:pPr>
            <a:endParaRPr lang="en-US"/>
          </a:p>
        </c:txPr>
        <c:crossAx val="132891008"/>
        <c:crosses val="autoZero"/>
        <c:crossBetween val="between"/>
      </c:valAx>
    </c:plotArea>
    <c:legend>
      <c:legendPos val="r"/>
      <c:layout>
        <c:manualLayout>
          <c:xMode val="edge"/>
          <c:yMode val="edge"/>
          <c:x val="0.86158922155123907"/>
          <c:y val="4.5084595611939331E-2"/>
          <c:w val="9.7736330444727945E-2"/>
          <c:h val="0.1530927246081622"/>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11" l="0.70000000000000062" r="0.70000000000000062" t="0.75000000000000411"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1602209944751421"/>
          <c:y val="4.3209876543209756E-2"/>
          <c:w val="0.85267034990791857"/>
          <c:h val="0.55864197530864512"/>
        </c:manualLayout>
      </c:layout>
      <c:barChart>
        <c:barDir val="col"/>
        <c:grouping val="clustered"/>
        <c:ser>
          <c:idx val="0"/>
          <c:order val="0"/>
          <c:tx>
            <c:strRef>
              <c:f>'C36'!$A$23</c:f>
              <c:strCache>
                <c:ptCount val="1"/>
                <c:pt idx="0">
                  <c:v>1981</c:v>
                </c:pt>
              </c:strCache>
            </c:strRef>
          </c:tx>
          <c:spPr>
            <a:solidFill>
              <a:prstClr val="black"/>
            </a:solidFill>
          </c:spPr>
          <c:cat>
            <c:strRef>
              <c:f>'C36'!$B$22:$L$22</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'C36'!$B$23:$L$23</c:f>
              <c:numCache>
                <c:formatCode>General</c:formatCode>
                <c:ptCount val="11"/>
                <c:pt idx="0">
                  <c:v>38.422308089725213</c:v>
                </c:pt>
                <c:pt idx="1">
                  <c:v>34.760908941381771</c:v>
                </c:pt>
                <c:pt idx="2">
                  <c:v>42.581261659939315</c:v>
                </c:pt>
                <c:pt idx="3">
                  <c:v>37.137454185035921</c:v>
                </c:pt>
                <c:pt idx="4">
                  <c:v>37.789860397187233</c:v>
                </c:pt>
                <c:pt idx="5">
                  <c:v>34.507697891790521</c:v>
                </c:pt>
                <c:pt idx="6">
                  <c:v>35.740441600834458</c:v>
                </c:pt>
                <c:pt idx="7">
                  <c:v>39.155668633734244</c:v>
                </c:pt>
                <c:pt idx="8">
                  <c:v>37.08199131463973</c:v>
                </c:pt>
                <c:pt idx="9">
                  <c:v>36.733337357911616</c:v>
                </c:pt>
                <c:pt idx="10">
                  <c:v>33.650384659563244</c:v>
                </c:pt>
              </c:numCache>
            </c:numRef>
          </c:val>
        </c:ser>
        <c:ser>
          <c:idx val="1"/>
          <c:order val="1"/>
          <c:tx>
            <c:strRef>
              <c:f>'C36'!$A$24</c:f>
              <c:strCache>
                <c:ptCount val="1"/>
                <c:pt idx="0">
                  <c:v>2010</c:v>
                </c:pt>
              </c:strCache>
            </c:strRef>
          </c:tx>
          <c:cat>
            <c:strRef>
              <c:f>'C36'!$B$22:$L$22</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'C36'!$B$24:$L$24</c:f>
              <c:numCache>
                <c:formatCode>General</c:formatCode>
                <c:ptCount val="11"/>
                <c:pt idx="0">
                  <c:v>40.664349871267433</c:v>
                </c:pt>
                <c:pt idx="1">
                  <c:v>40.579498199327482</c:v>
                </c:pt>
                <c:pt idx="2">
                  <c:v>47.65157814136802</c:v>
                </c:pt>
                <c:pt idx="3">
                  <c:v>43.538095175444376</c:v>
                </c:pt>
                <c:pt idx="4">
                  <c:v>44.056934051026211</c:v>
                </c:pt>
                <c:pt idx="5">
                  <c:v>43.055289820873561</c:v>
                </c:pt>
                <c:pt idx="6">
                  <c:v>39.590558111773468</c:v>
                </c:pt>
                <c:pt idx="7">
                  <c:v>43.442381467116</c:v>
                </c:pt>
                <c:pt idx="8">
                  <c:v>42.175972427375683</c:v>
                </c:pt>
                <c:pt idx="9">
                  <c:v>38.865425660438149</c:v>
                </c:pt>
                <c:pt idx="10">
                  <c:v>42.791714502064053</c:v>
                </c:pt>
              </c:numCache>
            </c:numRef>
          </c:val>
        </c:ser>
        <c:axId val="131627648"/>
        <c:axId val="131641728"/>
      </c:barChart>
      <c:catAx>
        <c:axId val="131627648"/>
        <c:scaling>
          <c:orientation val="minMax"/>
        </c:scaling>
        <c:axPos val="b"/>
        <c:numFmt formatCode="General" sourceLinked="1"/>
        <c:tickLblPos val="nextTo"/>
        <c:txPr>
          <a:bodyPr/>
          <a:lstStyle/>
          <a:p>
            <a:pPr>
              <a:defRPr lang="en-CA"/>
            </a:pPr>
            <a:endParaRPr lang="en-US"/>
          </a:p>
        </c:txPr>
        <c:crossAx val="131641728"/>
        <c:crosses val="autoZero"/>
        <c:auto val="1"/>
        <c:lblAlgn val="ctr"/>
        <c:lblOffset val="100"/>
      </c:catAx>
      <c:valAx>
        <c:axId val="131641728"/>
        <c:scaling>
          <c:orientation val="minMax"/>
        </c:scaling>
        <c:axPos val="l"/>
        <c:majorGridlines/>
        <c:title>
          <c:tx>
            <c:rich>
              <a:bodyPr rot="-5400000" vert="horz"/>
              <a:lstStyle/>
              <a:p>
                <a:pPr>
                  <a:defRPr lang="en-CA" b="0"/>
                </a:pPr>
                <a:r>
                  <a:rPr lang="en-US" b="0"/>
                  <a:t>Per</a:t>
                </a:r>
                <a:r>
                  <a:rPr lang="en-US" b="0" baseline="0"/>
                  <a:t> cent</a:t>
                </a:r>
                <a:endParaRPr lang="en-US" b="0"/>
              </a:p>
            </c:rich>
          </c:tx>
        </c:title>
        <c:numFmt formatCode="General" sourceLinked="1"/>
        <c:tickLblPos val="nextTo"/>
        <c:txPr>
          <a:bodyPr/>
          <a:lstStyle/>
          <a:p>
            <a:pPr>
              <a:defRPr lang="en-CA"/>
            </a:pPr>
            <a:endParaRPr lang="en-US"/>
          </a:p>
        </c:txPr>
        <c:crossAx val="131627648"/>
        <c:crosses val="autoZero"/>
        <c:crossBetween val="between"/>
      </c:valAx>
    </c:plotArea>
    <c:legend>
      <c:legendPos val="r"/>
      <c:layout>
        <c:manualLayout>
          <c:xMode val="edge"/>
          <c:yMode val="edge"/>
          <c:x val="0.80699429145942736"/>
          <c:y val="5.9778361038203921E-2"/>
          <c:w val="9.2546415123524003E-2"/>
          <c:h val="0.15093645701694824"/>
        </c:manualLayout>
      </c:layout>
      <c:overlay val="1"/>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66" l="0.70000000000000062" r="0.70000000000000062" t="0.7500000000000046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0261329833770765"/>
          <c:y val="5.1400554097404488E-2"/>
          <c:w val="0.88276312335958063"/>
          <c:h val="0.5326388888888961"/>
        </c:manualLayout>
      </c:layout>
      <c:barChart>
        <c:barDir val="col"/>
        <c:grouping val="clustered"/>
        <c:ser>
          <c:idx val="0"/>
          <c:order val="0"/>
          <c:tx>
            <c:strRef>
              <c:f>'C37'!$A$23</c:f>
              <c:strCache>
                <c:ptCount val="1"/>
                <c:pt idx="0">
                  <c:v>1981</c:v>
                </c:pt>
              </c:strCache>
            </c:strRef>
          </c:tx>
          <c:spPr>
            <a:solidFill>
              <a:schemeClr val="tx1"/>
            </a:solidFill>
          </c:spPr>
          <c:cat>
            <c:strRef>
              <c:f>'C37'!$B$22:$L$22</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'C37'!$B$23:$L$23</c:f>
              <c:numCache>
                <c:formatCode>General</c:formatCode>
                <c:ptCount val="11"/>
                <c:pt idx="0">
                  <c:v>0.62716341973195355</c:v>
                </c:pt>
                <c:pt idx="1">
                  <c:v>0.44668153963062018</c:v>
                </c:pt>
                <c:pt idx="2">
                  <c:v>0.54549666180422118</c:v>
                </c:pt>
                <c:pt idx="3">
                  <c:v>0.55266053549630789</c:v>
                </c:pt>
                <c:pt idx="4">
                  <c:v>0.51960699414286116</c:v>
                </c:pt>
                <c:pt idx="5">
                  <c:v>0.51345985139172301</c:v>
                </c:pt>
                <c:pt idx="6">
                  <c:v>0.64729698800191615</c:v>
                </c:pt>
                <c:pt idx="7">
                  <c:v>0.68022034958819799</c:v>
                </c:pt>
                <c:pt idx="8">
                  <c:v>0.73375866153446201</c:v>
                </c:pt>
                <c:pt idx="9">
                  <c:v>0.73677405397597096</c:v>
                </c:pt>
                <c:pt idx="10">
                  <c:v>0.6421244412262197</c:v>
                </c:pt>
              </c:numCache>
            </c:numRef>
          </c:val>
        </c:ser>
        <c:ser>
          <c:idx val="1"/>
          <c:order val="1"/>
          <c:tx>
            <c:strRef>
              <c:f>'C37'!$A$24</c:f>
              <c:strCache>
                <c:ptCount val="1"/>
                <c:pt idx="0">
                  <c:v>2010</c:v>
                </c:pt>
              </c:strCache>
            </c:strRef>
          </c:tx>
          <c:spPr>
            <a:solidFill>
              <a:schemeClr val="tx1">
                <a:lumMod val="50000"/>
                <a:lumOff val="50000"/>
              </a:schemeClr>
            </a:solidFill>
          </c:spPr>
          <c:cat>
            <c:strRef>
              <c:f>'C37'!$B$22:$L$22</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'C37'!$B$24:$L$24</c:f>
              <c:numCache>
                <c:formatCode>General</c:formatCode>
                <c:ptCount val="11"/>
                <c:pt idx="0">
                  <c:v>0.59308336362159264</c:v>
                </c:pt>
                <c:pt idx="1">
                  <c:v>0.40203347395457756</c:v>
                </c:pt>
                <c:pt idx="2">
                  <c:v>0.54029141266615477</c:v>
                </c:pt>
                <c:pt idx="3">
                  <c:v>0.5747708530867226</c:v>
                </c:pt>
                <c:pt idx="4">
                  <c:v>0.60211364808809487</c:v>
                </c:pt>
                <c:pt idx="5">
                  <c:v>0.60765336267648429</c:v>
                </c:pt>
                <c:pt idx="6">
                  <c:v>0.55173795960618044</c:v>
                </c:pt>
                <c:pt idx="7">
                  <c:v>0.69831876909474788</c:v>
                </c:pt>
                <c:pt idx="8">
                  <c:v>0.70462064285122761</c:v>
                </c:pt>
                <c:pt idx="9">
                  <c:v>0.63962103540634052</c:v>
                </c:pt>
                <c:pt idx="10">
                  <c:v>0.60888908853265666</c:v>
                </c:pt>
              </c:numCache>
            </c:numRef>
          </c:val>
        </c:ser>
        <c:axId val="132519808"/>
        <c:axId val="132521344"/>
      </c:barChart>
      <c:catAx>
        <c:axId val="132519808"/>
        <c:scaling>
          <c:orientation val="minMax"/>
        </c:scaling>
        <c:axPos val="b"/>
        <c:numFmt formatCode="General" sourceLinked="1"/>
        <c:tickLblPos val="nextTo"/>
        <c:txPr>
          <a:bodyPr/>
          <a:lstStyle/>
          <a:p>
            <a:pPr>
              <a:defRPr lang="en-CA"/>
            </a:pPr>
            <a:endParaRPr lang="en-US"/>
          </a:p>
        </c:txPr>
        <c:crossAx val="132521344"/>
        <c:crosses val="autoZero"/>
        <c:auto val="1"/>
        <c:lblAlgn val="ctr"/>
        <c:lblOffset val="100"/>
      </c:catAx>
      <c:valAx>
        <c:axId val="132521344"/>
        <c:scaling>
          <c:orientation val="minMax"/>
        </c:scaling>
        <c:axPos val="l"/>
        <c:majorGridlines/>
        <c:title>
          <c:tx>
            <c:rich>
              <a:bodyPr rot="-5400000" vert="horz"/>
              <a:lstStyle/>
              <a:p>
                <a:pPr>
                  <a:defRPr lang="en-CA" b="0"/>
                </a:pPr>
                <a:r>
                  <a:rPr lang="en-US" b="0"/>
                  <a:t>Index</a:t>
                </a:r>
              </a:p>
            </c:rich>
          </c:tx>
        </c:title>
        <c:numFmt formatCode="0.0" sourceLinked="0"/>
        <c:tickLblPos val="nextTo"/>
        <c:txPr>
          <a:bodyPr/>
          <a:lstStyle/>
          <a:p>
            <a:pPr>
              <a:defRPr lang="en-CA"/>
            </a:pPr>
            <a:endParaRPr lang="en-US"/>
          </a:p>
        </c:txPr>
        <c:crossAx val="132519808"/>
        <c:crosses val="autoZero"/>
        <c:crossBetween val="between"/>
      </c:valAx>
    </c:plotArea>
    <c:legend>
      <c:legendPos val="r"/>
      <c:layout>
        <c:manualLayout>
          <c:xMode val="edge"/>
          <c:yMode val="edge"/>
          <c:x val="0.17426531058618036"/>
          <c:y val="2.7393919510061777E-2"/>
          <c:w val="0.10351246719160105"/>
          <c:h val="0.16743438320210297"/>
        </c:manualLayout>
      </c:layout>
      <c:spPr>
        <a:solidFill>
          <a:schemeClr val="bg1"/>
        </a:solidFill>
        <a:ln>
          <a:solidFill>
            <a:schemeClr val="tx1"/>
          </a:solidFill>
        </a:ln>
      </c:spPr>
      <c:txPr>
        <a:bodyPr/>
        <a:lstStyle/>
        <a:p>
          <a:pPr>
            <a:defRPr lang="en-CA"/>
          </a:pPr>
          <a:endParaRPr lang="en-US"/>
        </a:p>
      </c:txPr>
    </c:legend>
    <c:plotVisOnly val="1"/>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3464895013123537"/>
          <c:y val="5.1400554097404488E-2"/>
          <c:w val="0.83252460947217677"/>
          <c:h val="0.68160684453428844"/>
        </c:manualLayout>
      </c:layout>
      <c:lineChart>
        <c:grouping val="standard"/>
        <c:ser>
          <c:idx val="1"/>
          <c:order val="0"/>
          <c:marker>
            <c:symbol val="none"/>
          </c:marker>
          <c:cat>
            <c:numRef>
              <c:f>'1'!$A$19:$A$48</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'5'!$B$17:$B$46</c:f>
              <c:numCache>
                <c:formatCode>0.000</c:formatCode>
                <c:ptCount val="30"/>
                <c:pt idx="0">
                  <c:v>2.65462729352992</c:v>
                </c:pt>
                <c:pt idx="1">
                  <c:v>2.7755720207096548</c:v>
                </c:pt>
                <c:pt idx="2">
                  <c:v>2.8884799785140589</c:v>
                </c:pt>
                <c:pt idx="3">
                  <c:v>2.9369018848878055</c:v>
                </c:pt>
                <c:pt idx="4">
                  <c:v>3.0177188696828683</c:v>
                </c:pt>
                <c:pt idx="5">
                  <c:v>3.1752657879043369</c:v>
                </c:pt>
                <c:pt idx="6">
                  <c:v>3.2396427240222536</c:v>
                </c:pt>
                <c:pt idx="7">
                  <c:v>3.237816187056731</c:v>
                </c:pt>
                <c:pt idx="8">
                  <c:v>3.2775456822530109</c:v>
                </c:pt>
                <c:pt idx="9">
                  <c:v>3.4055749890686493</c:v>
                </c:pt>
                <c:pt idx="10">
                  <c:v>3.5781117396705677</c:v>
                </c:pt>
                <c:pt idx="11">
                  <c:v>3.7470178124418148</c:v>
                </c:pt>
                <c:pt idx="12">
                  <c:v>3.9556091194155298</c:v>
                </c:pt>
                <c:pt idx="13">
                  <c:v>4.1010827662365097</c:v>
                </c:pt>
                <c:pt idx="14">
                  <c:v>4.112893292377807</c:v>
                </c:pt>
                <c:pt idx="15">
                  <c:v>4.1514296595381053</c:v>
                </c:pt>
                <c:pt idx="16">
                  <c:v>4.308585668093583</c:v>
                </c:pt>
                <c:pt idx="17">
                  <c:v>4.3547399106135032</c:v>
                </c:pt>
                <c:pt idx="18">
                  <c:v>4.5282820133942279</c:v>
                </c:pt>
                <c:pt idx="19">
                  <c:v>4.5594488145886203</c:v>
                </c:pt>
                <c:pt idx="20">
                  <c:v>4.7909685652633902</c:v>
                </c:pt>
                <c:pt idx="21">
                  <c:v>5.0427328136482181</c:v>
                </c:pt>
                <c:pt idx="22">
                  <c:v>5.1146569004862288</c:v>
                </c:pt>
                <c:pt idx="23">
                  <c:v>5.1754643887531531</c:v>
                </c:pt>
                <c:pt idx="24">
                  <c:v>5.2743730398643285</c:v>
                </c:pt>
                <c:pt idx="25">
                  <c:v>5.3499970698203212</c:v>
                </c:pt>
                <c:pt idx="26">
                  <c:v>5.2970584516555501</c:v>
                </c:pt>
                <c:pt idx="27">
                  <c:v>5.3423491075152398</c:v>
                </c:pt>
                <c:pt idx="28">
                  <c:v>5.5429171482185691</c:v>
                </c:pt>
                <c:pt idx="29">
                  <c:v>5.5850573293625381</c:v>
                </c:pt>
              </c:numCache>
            </c:numRef>
          </c:val>
        </c:ser>
        <c:marker val="1"/>
        <c:axId val="132550016"/>
        <c:axId val="132551808"/>
      </c:lineChart>
      <c:dateAx>
        <c:axId val="132550016"/>
        <c:scaling>
          <c:orientation val="minMax"/>
        </c:scaling>
        <c:axPos val="b"/>
        <c:numFmt formatCode="General" sourceLinked="1"/>
        <c:tickLblPos val="nextTo"/>
        <c:txPr>
          <a:bodyPr/>
          <a:lstStyle/>
          <a:p>
            <a:pPr>
              <a:defRPr lang="en-CA"/>
            </a:pPr>
            <a:endParaRPr lang="en-US"/>
          </a:p>
        </c:txPr>
        <c:crossAx val="132551808"/>
        <c:crosses val="autoZero"/>
        <c:lblOffset val="100"/>
        <c:baseTimeUnit val="days"/>
      </c:dateAx>
      <c:valAx>
        <c:axId val="132551808"/>
        <c:scaling>
          <c:orientation val="minMax"/>
        </c:scaling>
        <c:axPos val="l"/>
        <c:majorGridlines/>
        <c:title>
          <c:tx>
            <c:rich>
              <a:bodyPr rot="-5400000" vert="horz"/>
              <a:lstStyle/>
              <a:p>
                <a:pPr>
                  <a:defRPr lang="en-CA" b="0"/>
                </a:pPr>
                <a:r>
                  <a:rPr lang="en-US" b="0"/>
                  <a:t>Per cent</a:t>
                </a:r>
              </a:p>
            </c:rich>
          </c:tx>
        </c:title>
        <c:numFmt formatCode="0.000" sourceLinked="1"/>
        <c:tickLblPos val="nextTo"/>
        <c:txPr>
          <a:bodyPr/>
          <a:lstStyle/>
          <a:p>
            <a:pPr>
              <a:defRPr lang="en-CA"/>
            </a:pPr>
            <a:endParaRPr lang="en-US"/>
          </a:p>
        </c:txPr>
        <c:crossAx val="132550016"/>
        <c:crosses val="autoZero"/>
        <c:crossBetween val="between"/>
      </c:valAx>
    </c:plotArea>
    <c:plotVisOnly val="1"/>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9.5238095238095247E-2"/>
          <c:y val="4.8611111111111112E-2"/>
          <c:w val="0.88690476190475875"/>
          <c:h val="0.52777777777777779"/>
        </c:manualLayout>
      </c:layout>
      <c:barChart>
        <c:barDir val="col"/>
        <c:grouping val="clustered"/>
        <c:ser>
          <c:idx val="0"/>
          <c:order val="0"/>
          <c:tx>
            <c:strRef>
              <c:f>'C39'!$A$21</c:f>
              <c:strCache>
                <c:ptCount val="1"/>
                <c:pt idx="0">
                  <c:v>1981</c:v>
                </c:pt>
              </c:strCache>
            </c:strRef>
          </c:tx>
          <c:spPr>
            <a:solidFill>
              <a:prstClr val="black"/>
            </a:solidFill>
          </c:spPr>
          <c:cat>
            <c:strRef>
              <c:f>'C39'!$B$20:$L$20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'C39'!$B$21:$L$21</c:f>
              <c:numCache>
                <c:formatCode>General</c:formatCode>
                <c:ptCount val="11"/>
                <c:pt idx="0">
                  <c:v>2.65462729352992</c:v>
                </c:pt>
                <c:pt idx="1">
                  <c:v>5.4615670978847151</c:v>
                </c:pt>
                <c:pt idx="2">
                  <c:v>5.3820960698689957</c:v>
                </c:pt>
                <c:pt idx="3">
                  <c:v>2.4104046242774571</c:v>
                </c:pt>
                <c:pt idx="4">
                  <c:v>3.3661678348171997</c:v>
                </c:pt>
                <c:pt idx="5">
                  <c:v>2.470600717961414</c:v>
                </c:pt>
                <c:pt idx="6">
                  <c:v>2.6612939332885603</c:v>
                </c:pt>
                <c:pt idx="7">
                  <c:v>3.0096274591879451</c:v>
                </c:pt>
                <c:pt idx="8">
                  <c:v>2.0692341941228851</c:v>
                </c:pt>
                <c:pt idx="9">
                  <c:v>2.2516069077673664</c:v>
                </c:pt>
                <c:pt idx="10">
                  <c:v>2.8843756151978477</c:v>
                </c:pt>
              </c:numCache>
            </c:numRef>
          </c:val>
        </c:ser>
        <c:ser>
          <c:idx val="1"/>
          <c:order val="1"/>
          <c:tx>
            <c:strRef>
              <c:f>'C39'!$A$22</c:f>
              <c:strCache>
                <c:ptCount val="1"/>
                <c:pt idx="0">
                  <c:v>2010</c:v>
                </c:pt>
              </c:strCache>
            </c:strRef>
          </c:tx>
          <c:cat>
            <c:strRef>
              <c:f>'C39'!$B$20:$L$20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'C39'!$B$22:$L$22</c:f>
              <c:numCache>
                <c:formatCode>General</c:formatCode>
                <c:ptCount val="11"/>
                <c:pt idx="0">
                  <c:v>5.5850573293625381</c:v>
                </c:pt>
                <c:pt idx="1">
                  <c:v>4.9097844378473905</c:v>
                </c:pt>
                <c:pt idx="2">
                  <c:v>5.9298968436545145</c:v>
                </c:pt>
                <c:pt idx="3">
                  <c:v>6.6350964797327689</c:v>
                </c:pt>
                <c:pt idx="4">
                  <c:v>6.4829557348055715</c:v>
                </c:pt>
                <c:pt idx="5">
                  <c:v>5.408916608702417</c:v>
                </c:pt>
                <c:pt idx="6">
                  <c:v>6.2829369889715752</c:v>
                </c:pt>
                <c:pt idx="7">
                  <c:v>5.4798300773271009</c:v>
                </c:pt>
                <c:pt idx="8">
                  <c:v>4.3060879512470649</c:v>
                </c:pt>
                <c:pt idx="9">
                  <c:v>4.2923951219791618</c:v>
                </c:pt>
                <c:pt idx="10">
                  <c:v>5.3779026226450961</c:v>
                </c:pt>
              </c:numCache>
            </c:numRef>
          </c:val>
        </c:ser>
        <c:axId val="133297664"/>
        <c:axId val="133299200"/>
      </c:barChart>
      <c:catAx>
        <c:axId val="133297664"/>
        <c:scaling>
          <c:orientation val="minMax"/>
        </c:scaling>
        <c:axPos val="b"/>
        <c:numFmt formatCode="General" sourceLinked="1"/>
        <c:tickLblPos val="nextTo"/>
        <c:txPr>
          <a:bodyPr/>
          <a:lstStyle/>
          <a:p>
            <a:pPr>
              <a:defRPr lang="en-CA"/>
            </a:pPr>
            <a:endParaRPr lang="en-US"/>
          </a:p>
        </c:txPr>
        <c:crossAx val="133299200"/>
        <c:crosses val="autoZero"/>
        <c:auto val="1"/>
        <c:lblAlgn val="ctr"/>
        <c:lblOffset val="100"/>
      </c:catAx>
      <c:valAx>
        <c:axId val="133299200"/>
        <c:scaling>
          <c:orientation val="minMax"/>
        </c:scaling>
        <c:axPos val="l"/>
        <c:majorGridlines/>
        <c:title>
          <c:tx>
            <c:rich>
              <a:bodyPr rot="-5400000" vert="horz"/>
              <a:lstStyle/>
              <a:p>
                <a:pPr>
                  <a:defRPr lang="en-CA" b="0"/>
                </a:pPr>
                <a:r>
                  <a:rPr lang="en-US" b="0"/>
                  <a:t>Per cent</a:t>
                </a:r>
              </a:p>
            </c:rich>
          </c:tx>
        </c:title>
        <c:numFmt formatCode="0.0" sourceLinked="0"/>
        <c:tickLblPos val="nextTo"/>
        <c:txPr>
          <a:bodyPr/>
          <a:lstStyle/>
          <a:p>
            <a:pPr>
              <a:defRPr lang="en-CA"/>
            </a:pPr>
            <a:endParaRPr lang="en-US"/>
          </a:p>
        </c:txPr>
        <c:crossAx val="133297664"/>
        <c:crosses val="autoZero"/>
        <c:crossBetween val="between"/>
      </c:valAx>
    </c:plotArea>
    <c:legend>
      <c:legendPos val="r"/>
      <c:layout>
        <c:manualLayout>
          <c:xMode val="edge"/>
          <c:yMode val="edge"/>
          <c:x val="0.65427013077774476"/>
          <c:y val="2.1270943282627436E-2"/>
          <c:w val="0.32044369453818267"/>
          <c:h val="7.9471420239137225E-2"/>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11" l="0.70000000000000062" r="0.70000000000000062" t="0.75000000000000411"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6.3261068137407936E-2"/>
          <c:y val="2.2429332697049411E-2"/>
          <c:w val="0.92058621526934659"/>
          <c:h val="0.82072472759087389"/>
        </c:manualLayout>
      </c:layout>
      <c:lineChart>
        <c:grouping val="standard"/>
        <c:ser>
          <c:idx val="0"/>
          <c:order val="0"/>
          <c:tx>
            <c:v>Index of Total Per-capita Consumption Flows</c:v>
          </c:tx>
          <c:marker>
            <c:symbol val="x"/>
            <c:size val="5"/>
          </c:marker>
          <c:cat>
            <c:numRef>
              <c:f>'C5'!$A$29:$A$58</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'C5'!$C$29:$C$58</c:f>
              <c:numCache>
                <c:formatCode>General</c:formatCode>
                <c:ptCount val="30"/>
                <c:pt idx="0">
                  <c:v>0.26502024105489891</c:v>
                </c:pt>
                <c:pt idx="1">
                  <c:v>0.24478856353058198</c:v>
                </c:pt>
                <c:pt idx="2">
                  <c:v>0.25449385343764758</c:v>
                </c:pt>
                <c:pt idx="3">
                  <c:v>0.27404016142312027</c:v>
                </c:pt>
                <c:pt idx="4">
                  <c:v>0.30292426979507547</c:v>
                </c:pt>
                <c:pt idx="5">
                  <c:v>0.32553926355574225</c:v>
                </c:pt>
                <c:pt idx="6">
                  <c:v>0.35170871528965209</c:v>
                </c:pt>
                <c:pt idx="7">
                  <c:v>0.38220464420613254</c:v>
                </c:pt>
                <c:pt idx="8">
                  <c:v>0.4057939045173144</c:v>
                </c:pt>
                <c:pt idx="9">
                  <c:v>0.41954931627629088</c:v>
                </c:pt>
                <c:pt idx="10">
                  <c:v>0.42347896147781944</c:v>
                </c:pt>
                <c:pt idx="11">
                  <c:v>0.44639853153233605</c:v>
                </c:pt>
                <c:pt idx="12">
                  <c:v>0.45409767595013772</c:v>
                </c:pt>
                <c:pt idx="13">
                  <c:v>0.4707879554041452</c:v>
                </c:pt>
                <c:pt idx="14">
                  <c:v>0.48340105029325475</c:v>
                </c:pt>
                <c:pt idx="15">
                  <c:v>0.49807269871500515</c:v>
                </c:pt>
                <c:pt idx="16">
                  <c:v>0.52409770210052486</c:v>
                </c:pt>
                <c:pt idx="17">
                  <c:v>0.55382919037071332</c:v>
                </c:pt>
                <c:pt idx="18">
                  <c:v>0.57870379700417096</c:v>
                </c:pt>
                <c:pt idx="19">
                  <c:v>0.60769764491524347</c:v>
                </c:pt>
                <c:pt idx="20">
                  <c:v>0.62648184541481788</c:v>
                </c:pt>
                <c:pt idx="21">
                  <c:v>0.64603724803837104</c:v>
                </c:pt>
                <c:pt idx="22">
                  <c:v>0.66790011172971175</c:v>
                </c:pt>
                <c:pt idx="23">
                  <c:v>0.6899340129521192</c:v>
                </c:pt>
                <c:pt idx="24">
                  <c:v>0.71372649724491843</c:v>
                </c:pt>
                <c:pt idx="25">
                  <c:v>0.74822394374285328</c:v>
                </c:pt>
                <c:pt idx="26">
                  <c:v>0.78274165438300747</c:v>
                </c:pt>
                <c:pt idx="27">
                  <c:v>0.80583389411014994</c:v>
                </c:pt>
                <c:pt idx="28">
                  <c:v>0.81159519848141226</c:v>
                </c:pt>
                <c:pt idx="29">
                  <c:v>0.83603513861958567</c:v>
                </c:pt>
              </c:numCache>
            </c:numRef>
          </c:val>
        </c:ser>
        <c:ser>
          <c:idx val="1"/>
          <c:order val="1"/>
          <c:tx>
            <c:v>Index of Total Per-capita Stocks of Wealth</c:v>
          </c:tx>
          <c:marker>
            <c:symbol val="circle"/>
            <c:size val="5"/>
          </c:marker>
          <c:cat>
            <c:numRef>
              <c:f>'C5'!$A$29:$A$58</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'C5'!$D$29:$D$58</c:f>
              <c:numCache>
                <c:formatCode>General</c:formatCode>
                <c:ptCount val="30"/>
                <c:pt idx="0">
                  <c:v>0.25267986708165169</c:v>
                </c:pt>
                <c:pt idx="1">
                  <c:v>0.25213587905563967</c:v>
                </c:pt>
                <c:pt idx="2">
                  <c:v>0.26155044305366026</c:v>
                </c:pt>
                <c:pt idx="3">
                  <c:v>0.26197048084309882</c:v>
                </c:pt>
                <c:pt idx="4">
                  <c:v>0.25766914460604035</c:v>
                </c:pt>
                <c:pt idx="5">
                  <c:v>0.24123711194910621</c:v>
                </c:pt>
                <c:pt idx="6">
                  <c:v>0.24846321299635038</c:v>
                </c:pt>
                <c:pt idx="7">
                  <c:v>0.25681141822596482</c:v>
                </c:pt>
                <c:pt idx="8">
                  <c:v>0.26094061492035886</c:v>
                </c:pt>
                <c:pt idx="9">
                  <c:v>0.27594805873625794</c:v>
                </c:pt>
                <c:pt idx="10">
                  <c:v>0.26829177037425173</c:v>
                </c:pt>
                <c:pt idx="11">
                  <c:v>0.26547490353597075</c:v>
                </c:pt>
                <c:pt idx="12">
                  <c:v>0.26425017342839102</c:v>
                </c:pt>
                <c:pt idx="13">
                  <c:v>0.27042889032161399</c:v>
                </c:pt>
                <c:pt idx="14">
                  <c:v>0.27966740692347536</c:v>
                </c:pt>
                <c:pt idx="15">
                  <c:v>0.29092897677022855</c:v>
                </c:pt>
                <c:pt idx="16">
                  <c:v>0.30185091473476916</c:v>
                </c:pt>
                <c:pt idx="17">
                  <c:v>0.30286039128744413</c:v>
                </c:pt>
                <c:pt idx="18">
                  <c:v>0.32161106042480536</c:v>
                </c:pt>
                <c:pt idx="19">
                  <c:v>0.35005266596543333</c:v>
                </c:pt>
                <c:pt idx="20">
                  <c:v>0.34979103379749987</c:v>
                </c:pt>
                <c:pt idx="21">
                  <c:v>0.35157732960737681</c:v>
                </c:pt>
                <c:pt idx="22">
                  <c:v>0.36351439297037474</c:v>
                </c:pt>
                <c:pt idx="23">
                  <c:v>0.37961828068370757</c:v>
                </c:pt>
                <c:pt idx="24">
                  <c:v>0.40536908875496142</c:v>
                </c:pt>
                <c:pt idx="25">
                  <c:v>0.42590721115943969</c:v>
                </c:pt>
                <c:pt idx="26">
                  <c:v>0.42768292531287988</c:v>
                </c:pt>
                <c:pt idx="27">
                  <c:v>0.47911064987499741</c:v>
                </c:pt>
                <c:pt idx="28">
                  <c:v>0.42718276285445739</c:v>
                </c:pt>
                <c:pt idx="29">
                  <c:v>0.43582687101768375</c:v>
                </c:pt>
              </c:numCache>
            </c:numRef>
          </c:val>
        </c:ser>
        <c:ser>
          <c:idx val="2"/>
          <c:order val="2"/>
          <c:tx>
            <c:v>Index of Equality</c:v>
          </c:tx>
          <c:marker>
            <c:symbol val="square"/>
            <c:size val="5"/>
          </c:marker>
          <c:cat>
            <c:numRef>
              <c:f>'C5'!$A$29:$A$58</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'C5'!$E$29:$E$58</c:f>
              <c:numCache>
                <c:formatCode>General</c:formatCode>
                <c:ptCount val="30"/>
                <c:pt idx="0">
                  <c:v>0.6415022695162006</c:v>
                </c:pt>
                <c:pt idx="1">
                  <c:v>0.63333307819238305</c:v>
                </c:pt>
                <c:pt idx="2">
                  <c:v>0.60013558735999839</c:v>
                </c:pt>
                <c:pt idx="3">
                  <c:v>0.57898096574614399</c:v>
                </c:pt>
                <c:pt idx="4">
                  <c:v>0.62312174818864408</c:v>
                </c:pt>
                <c:pt idx="5">
                  <c:v>0.6457171797083503</c:v>
                </c:pt>
                <c:pt idx="6">
                  <c:v>0.66683467440276667</c:v>
                </c:pt>
                <c:pt idx="7">
                  <c:v>0.69125665216367604</c:v>
                </c:pt>
                <c:pt idx="8">
                  <c:v>0.71080697727316267</c:v>
                </c:pt>
                <c:pt idx="9">
                  <c:v>0.64545797780615266</c:v>
                </c:pt>
                <c:pt idx="10">
                  <c:v>0.63719491025725805</c:v>
                </c:pt>
                <c:pt idx="11">
                  <c:v>0.62715689884919212</c:v>
                </c:pt>
                <c:pt idx="12">
                  <c:v>0.63523635395519973</c:v>
                </c:pt>
                <c:pt idx="13">
                  <c:v>0.63273304343063508</c:v>
                </c:pt>
                <c:pt idx="14">
                  <c:v>0.61180974212230088</c:v>
                </c:pt>
                <c:pt idx="15">
                  <c:v>0.55444102066259571</c:v>
                </c:pt>
                <c:pt idx="16">
                  <c:v>0.52192430097487674</c:v>
                </c:pt>
                <c:pt idx="17">
                  <c:v>0.51388214754238271</c:v>
                </c:pt>
                <c:pt idx="18">
                  <c:v>0.50846554511032127</c:v>
                </c:pt>
                <c:pt idx="19">
                  <c:v>0.50214776087536384</c:v>
                </c:pt>
                <c:pt idx="20">
                  <c:v>0.51107598404402743</c:v>
                </c:pt>
                <c:pt idx="21">
                  <c:v>0.4993868919690741</c:v>
                </c:pt>
                <c:pt idx="22">
                  <c:v>0.50314279809928009</c:v>
                </c:pt>
                <c:pt idx="23">
                  <c:v>0.47808133692446614</c:v>
                </c:pt>
                <c:pt idx="24">
                  <c:v>0.48807374584042851</c:v>
                </c:pt>
                <c:pt idx="25">
                  <c:v>0.52715282225268989</c:v>
                </c:pt>
                <c:pt idx="26">
                  <c:v>0.53518203140115705</c:v>
                </c:pt>
                <c:pt idx="27">
                  <c:v>0.49344838232948285</c:v>
                </c:pt>
                <c:pt idx="28">
                  <c:v>0.48990011732755612</c:v>
                </c:pt>
                <c:pt idx="29">
                  <c:v>0.48990011732755612</c:v>
                </c:pt>
              </c:numCache>
            </c:numRef>
          </c:val>
        </c:ser>
        <c:ser>
          <c:idx val="3"/>
          <c:order val="3"/>
          <c:tx>
            <c:v>Index of Security</c:v>
          </c:tx>
          <c:marker>
            <c:symbol val="diamond"/>
            <c:size val="5"/>
          </c:marker>
          <c:cat>
            <c:numRef>
              <c:f>'C5'!$A$29:$A$58</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'C5'!$F$29:$F$58</c:f>
              <c:numCache>
                <c:formatCode>General</c:formatCode>
                <c:ptCount val="30"/>
                <c:pt idx="0">
                  <c:v>0.63201595297490964</c:v>
                </c:pt>
                <c:pt idx="1">
                  <c:v>0.60180498696168072</c:v>
                </c:pt>
                <c:pt idx="2">
                  <c:v>0.57745844659138112</c:v>
                </c:pt>
                <c:pt idx="3">
                  <c:v>0.59876962118468435</c:v>
                </c:pt>
                <c:pt idx="4">
                  <c:v>0.60452439439058236</c:v>
                </c:pt>
                <c:pt idx="5">
                  <c:v>0.59441335458415334</c:v>
                </c:pt>
                <c:pt idx="6">
                  <c:v>0.58230626019551324</c:v>
                </c:pt>
                <c:pt idx="7">
                  <c:v>0.61925908394818063</c:v>
                </c:pt>
                <c:pt idx="8">
                  <c:v>0.63674335810743921</c:v>
                </c:pt>
                <c:pt idx="9">
                  <c:v>0.62122446788902042</c:v>
                </c:pt>
                <c:pt idx="10">
                  <c:v>0.59521184035586427</c:v>
                </c:pt>
                <c:pt idx="11">
                  <c:v>0.57962823395007501</c:v>
                </c:pt>
                <c:pt idx="12">
                  <c:v>0.56590126225754278</c:v>
                </c:pt>
                <c:pt idx="13">
                  <c:v>0.57065555282292912</c:v>
                </c:pt>
                <c:pt idx="14">
                  <c:v>0.57648328337656674</c:v>
                </c:pt>
                <c:pt idx="15">
                  <c:v>0.56373686210282115</c:v>
                </c:pt>
                <c:pt idx="16">
                  <c:v>0.56279919499675102</c:v>
                </c:pt>
                <c:pt idx="17">
                  <c:v>0.56631444600833059</c:v>
                </c:pt>
                <c:pt idx="18">
                  <c:v>0.57033085877621292</c:v>
                </c:pt>
                <c:pt idx="19">
                  <c:v>0.57886134779821263</c:v>
                </c:pt>
                <c:pt idx="20">
                  <c:v>0.55139674317838749</c:v>
                </c:pt>
                <c:pt idx="21">
                  <c:v>0.51205581417800172</c:v>
                </c:pt>
                <c:pt idx="22">
                  <c:v>0.50774013929159489</c:v>
                </c:pt>
                <c:pt idx="23">
                  <c:v>0.51596623412325804</c:v>
                </c:pt>
                <c:pt idx="24">
                  <c:v>0.51756411217884624</c:v>
                </c:pt>
                <c:pt idx="25">
                  <c:v>0.52194964780300157</c:v>
                </c:pt>
                <c:pt idx="26">
                  <c:v>0.52971044644617782</c:v>
                </c:pt>
                <c:pt idx="27">
                  <c:v>0.52098448905782768</c:v>
                </c:pt>
                <c:pt idx="28">
                  <c:v>0.48573658005511883</c:v>
                </c:pt>
                <c:pt idx="29">
                  <c:v>0.48472340768248307</c:v>
                </c:pt>
              </c:numCache>
            </c:numRef>
          </c:val>
        </c:ser>
        <c:marker val="1"/>
        <c:axId val="129810816"/>
        <c:axId val="129812352"/>
      </c:lineChart>
      <c:catAx>
        <c:axId val="129810816"/>
        <c:scaling>
          <c:orientation val="minMax"/>
        </c:scaling>
        <c:axPos val="b"/>
        <c:numFmt formatCode="General" sourceLinked="1"/>
        <c:majorTickMark val="none"/>
        <c:tickLblPos val="nextTo"/>
        <c:txPr>
          <a:bodyPr rot="-5400000" vert="horz"/>
          <a:lstStyle/>
          <a:p>
            <a:pPr>
              <a:defRPr lang="en-CA"/>
            </a:pPr>
            <a:endParaRPr lang="en-US"/>
          </a:p>
        </c:txPr>
        <c:crossAx val="129812352"/>
        <c:crosses val="autoZero"/>
        <c:auto val="1"/>
        <c:lblAlgn val="ctr"/>
        <c:lblOffset val="100"/>
      </c:catAx>
      <c:valAx>
        <c:axId val="129812352"/>
        <c:scaling>
          <c:orientation val="minMax"/>
        </c:scaling>
        <c:axPos val="l"/>
        <c:majorGridlines/>
        <c:numFmt formatCode="General" sourceLinked="1"/>
        <c:majorTickMark val="none"/>
        <c:tickLblPos val="nextTo"/>
        <c:txPr>
          <a:bodyPr/>
          <a:lstStyle/>
          <a:p>
            <a:pPr>
              <a:defRPr lang="en-CA"/>
            </a:pPr>
            <a:endParaRPr lang="en-US"/>
          </a:p>
        </c:txPr>
        <c:crossAx val="129810816"/>
        <c:crosses val="autoZero"/>
        <c:crossBetween val="between"/>
      </c:valAx>
    </c:plotArea>
    <c:legend>
      <c:legendPos val="b"/>
      <c:layout>
        <c:manualLayout>
          <c:xMode val="edge"/>
          <c:yMode val="edge"/>
          <c:x val="0.56395007342144143"/>
          <c:y val="0.67660017497813141"/>
          <c:w val="0.40513950073421434"/>
          <c:h val="0.1456220472440945"/>
        </c:manualLayout>
      </c:layout>
      <c:spPr>
        <a:solidFill>
          <a:schemeClr val="bg1"/>
        </a:solidFill>
        <a:ln>
          <a:solidFill>
            <a:schemeClr val="tx1"/>
          </a:solidFill>
        </a:ln>
      </c:spPr>
      <c:txPr>
        <a:bodyPr/>
        <a:lstStyle/>
        <a:p>
          <a:pPr>
            <a:defRPr lang="en-CA"/>
          </a:pPr>
          <a:endParaRPr lang="en-US"/>
        </a:p>
      </c:txPr>
    </c:legend>
    <c:plotVisOnly val="1"/>
    <c:dispBlanksAs val="gap"/>
  </c:chart>
  <c:printSettings>
    <c:headerFooter/>
    <c:pageMargins b="0.75000000000000155" l="0.70000000000000062" r="0.70000000000000062" t="0.75000000000000155"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2006332255017461"/>
          <c:y val="6.1234571426531804E-2"/>
          <c:w val="0.84818475618341216"/>
          <c:h val="0.68220582182558265"/>
        </c:manualLayout>
      </c:layout>
      <c:lineChart>
        <c:grouping val="standard"/>
        <c:ser>
          <c:idx val="1"/>
          <c:order val="0"/>
          <c:marker>
            <c:symbol val="none"/>
          </c:marker>
          <c:cat>
            <c:numRef>
              <c:f>'6'!$A$19:$A$48</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'6'!$B$19:$B$48</c:f>
              <c:numCache>
                <c:formatCode>0.000</c:formatCode>
                <c:ptCount val="30"/>
                <c:pt idx="0">
                  <c:v>1.1155668651039621</c:v>
                </c:pt>
                <c:pt idx="1">
                  <c:v>1.1456009045621545</c:v>
                </c:pt>
                <c:pt idx="2">
                  <c:v>1.1027519666094547</c:v>
                </c:pt>
                <c:pt idx="3">
                  <c:v>1.0372187285046714</c:v>
                </c:pt>
                <c:pt idx="4">
                  <c:v>0.97664881780124335</c:v>
                </c:pt>
                <c:pt idx="5">
                  <c:v>1.221016281178668</c:v>
                </c:pt>
                <c:pt idx="6">
                  <c:v>1.4748162477838471</c:v>
                </c:pt>
                <c:pt idx="7">
                  <c:v>1.2600833109316343</c:v>
                </c:pt>
                <c:pt idx="8">
                  <c:v>1.1986588599984418</c:v>
                </c:pt>
                <c:pt idx="9">
                  <c:v>1.1438592987314304</c:v>
                </c:pt>
                <c:pt idx="10">
                  <c:v>1.1095797124687401</c:v>
                </c:pt>
                <c:pt idx="11">
                  <c:v>1.1294730309624723</c:v>
                </c:pt>
                <c:pt idx="12">
                  <c:v>1.1088265504893056</c:v>
                </c:pt>
                <c:pt idx="13">
                  <c:v>1.1092924477688215</c:v>
                </c:pt>
                <c:pt idx="14">
                  <c:v>1.0838485334378707</c:v>
                </c:pt>
                <c:pt idx="15">
                  <c:v>0.99169747293084476</c:v>
                </c:pt>
                <c:pt idx="16">
                  <c:v>0.92372853716579451</c:v>
                </c:pt>
                <c:pt idx="17">
                  <c:v>0.93760116841868613</c:v>
                </c:pt>
                <c:pt idx="18">
                  <c:v>0.9532809649445747</c:v>
                </c:pt>
                <c:pt idx="19">
                  <c:v>0.94670738938491172</c:v>
                </c:pt>
                <c:pt idx="20">
                  <c:v>0.9354428044341121</c:v>
                </c:pt>
                <c:pt idx="21">
                  <c:v>0.91464505728900936</c:v>
                </c:pt>
                <c:pt idx="22">
                  <c:v>0.9175222288116075</c:v>
                </c:pt>
                <c:pt idx="23">
                  <c:v>0.89527906253571299</c:v>
                </c:pt>
                <c:pt idx="24">
                  <c:v>0.90932817032171231</c:v>
                </c:pt>
                <c:pt idx="25">
                  <c:v>0.90232467859311449</c:v>
                </c:pt>
                <c:pt idx="26">
                  <c:v>0.8961448611522862</c:v>
                </c:pt>
                <c:pt idx="27">
                  <c:v>0.889869707871358</c:v>
                </c:pt>
                <c:pt idx="28">
                  <c:v>0.88346681775528202</c:v>
                </c:pt>
                <c:pt idx="29">
                  <c:v>0.87712948275730729</c:v>
                </c:pt>
              </c:numCache>
            </c:numRef>
          </c:val>
        </c:ser>
        <c:marker val="1"/>
        <c:axId val="133446656"/>
        <c:axId val="133460736"/>
      </c:lineChart>
      <c:dateAx>
        <c:axId val="133446656"/>
        <c:scaling>
          <c:orientation val="minMax"/>
        </c:scaling>
        <c:axPos val="b"/>
        <c:numFmt formatCode="General" sourceLinked="1"/>
        <c:tickLblPos val="nextTo"/>
        <c:txPr>
          <a:bodyPr/>
          <a:lstStyle/>
          <a:p>
            <a:pPr>
              <a:defRPr lang="en-CA"/>
            </a:pPr>
            <a:endParaRPr lang="en-US"/>
          </a:p>
        </c:txPr>
        <c:crossAx val="133460736"/>
        <c:crosses val="autoZero"/>
        <c:lblOffset val="100"/>
        <c:baseTimeUnit val="days"/>
      </c:dateAx>
      <c:valAx>
        <c:axId val="133460736"/>
        <c:scaling>
          <c:orientation val="minMax"/>
        </c:scaling>
        <c:axPos val="l"/>
        <c:majorGridlines/>
        <c:title>
          <c:tx>
            <c:rich>
              <a:bodyPr rot="-5400000" vert="horz"/>
              <a:lstStyle/>
              <a:p>
                <a:pPr>
                  <a:defRPr lang="en-CA" b="0"/>
                </a:pPr>
                <a:r>
                  <a:rPr lang="en-US" b="0"/>
                  <a:t>Per Cent of Legally Married Couples</a:t>
                </a:r>
              </a:p>
            </c:rich>
          </c:tx>
        </c:title>
        <c:numFmt formatCode="0.000" sourceLinked="1"/>
        <c:tickLblPos val="nextTo"/>
        <c:txPr>
          <a:bodyPr/>
          <a:lstStyle/>
          <a:p>
            <a:pPr>
              <a:defRPr lang="en-CA"/>
            </a:pPr>
            <a:endParaRPr lang="en-US"/>
          </a:p>
        </c:txPr>
        <c:crossAx val="133446656"/>
        <c:crosses val="autoZero"/>
        <c:crossBetween val="between"/>
      </c:valAx>
    </c:plotArea>
    <c:plotVisOnly val="1"/>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8.7523606723449568E-2"/>
          <c:y val="5.1400554097404488E-2"/>
          <c:w val="0.77284107478843589"/>
          <c:h val="0.66042286380869064"/>
        </c:manualLayout>
      </c:layout>
      <c:lineChart>
        <c:grouping val="standard"/>
        <c:ser>
          <c:idx val="0"/>
          <c:order val="0"/>
          <c:tx>
            <c:v>Poverty Rate - Left Axis</c:v>
          </c:tx>
          <c:marker>
            <c:symbol val="square"/>
            <c:size val="5"/>
          </c:marker>
          <c:cat>
            <c:numRef>
              <c:f>'6'!$A$19:$A$48</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'6'!$C$19:$C$48</c:f>
              <c:numCache>
                <c:formatCode>0.0</c:formatCode>
                <c:ptCount val="30"/>
                <c:pt idx="0">
                  <c:v>45.1</c:v>
                </c:pt>
                <c:pt idx="1">
                  <c:v>48.1</c:v>
                </c:pt>
                <c:pt idx="2">
                  <c:v>51.7</c:v>
                </c:pt>
                <c:pt idx="3">
                  <c:v>50.9</c:v>
                </c:pt>
                <c:pt idx="4">
                  <c:v>51.2</c:v>
                </c:pt>
                <c:pt idx="5">
                  <c:v>49.1</c:v>
                </c:pt>
                <c:pt idx="6">
                  <c:v>48.5</c:v>
                </c:pt>
                <c:pt idx="7">
                  <c:v>46.5</c:v>
                </c:pt>
                <c:pt idx="8">
                  <c:v>45.6</c:v>
                </c:pt>
                <c:pt idx="9">
                  <c:v>52.1</c:v>
                </c:pt>
                <c:pt idx="10">
                  <c:v>49.6</c:v>
                </c:pt>
                <c:pt idx="11">
                  <c:v>46.5</c:v>
                </c:pt>
                <c:pt idx="12">
                  <c:v>45.2</c:v>
                </c:pt>
                <c:pt idx="13">
                  <c:v>42.8</c:v>
                </c:pt>
                <c:pt idx="14">
                  <c:v>45.3</c:v>
                </c:pt>
                <c:pt idx="15">
                  <c:v>52.3</c:v>
                </c:pt>
                <c:pt idx="16">
                  <c:v>47.6</c:v>
                </c:pt>
                <c:pt idx="17">
                  <c:v>47.2</c:v>
                </c:pt>
                <c:pt idx="18">
                  <c:v>42.7</c:v>
                </c:pt>
                <c:pt idx="19">
                  <c:v>40.1</c:v>
                </c:pt>
                <c:pt idx="20">
                  <c:v>42</c:v>
                </c:pt>
                <c:pt idx="21">
                  <c:v>49.1</c:v>
                </c:pt>
                <c:pt idx="22">
                  <c:v>48.2</c:v>
                </c:pt>
                <c:pt idx="23">
                  <c:v>46.2</c:v>
                </c:pt>
                <c:pt idx="24">
                  <c:v>40.799999999999997</c:v>
                </c:pt>
                <c:pt idx="25">
                  <c:v>39.700000000000003</c:v>
                </c:pt>
                <c:pt idx="26">
                  <c:v>38.700000000000003</c:v>
                </c:pt>
                <c:pt idx="27">
                  <c:v>36.9</c:v>
                </c:pt>
                <c:pt idx="28">
                  <c:v>33.9</c:v>
                </c:pt>
                <c:pt idx="29">
                  <c:v>33.9</c:v>
                </c:pt>
              </c:numCache>
            </c:numRef>
          </c:val>
        </c:ser>
        <c:marker val="1"/>
        <c:axId val="133560960"/>
        <c:axId val="133575040"/>
      </c:lineChart>
      <c:lineChart>
        <c:grouping val="standard"/>
        <c:ser>
          <c:idx val="1"/>
          <c:order val="1"/>
          <c:tx>
            <c:v>Poverty Gap - Right Axis</c:v>
          </c:tx>
          <c:marker>
            <c:symbol val="triangle"/>
            <c:size val="5"/>
          </c:marker>
          <c:cat>
            <c:numRef>
              <c:f>'6'!$A$19:$A$48</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'6'!$D$19:$D$48</c:f>
              <c:numCache>
                <c:formatCode>0.000</c:formatCode>
                <c:ptCount val="30"/>
                <c:pt idx="0">
                  <c:v>0.3821</c:v>
                </c:pt>
                <c:pt idx="1">
                  <c:v>0.35229999999999995</c:v>
                </c:pt>
                <c:pt idx="2">
                  <c:v>0.34520000000000001</c:v>
                </c:pt>
                <c:pt idx="3">
                  <c:v>0.33460000000000001</c:v>
                </c:pt>
                <c:pt idx="4">
                  <c:v>0.35119999999999996</c:v>
                </c:pt>
                <c:pt idx="5">
                  <c:v>0.32950000000000002</c:v>
                </c:pt>
                <c:pt idx="6">
                  <c:v>0.32319999999999999</c:v>
                </c:pt>
                <c:pt idx="7">
                  <c:v>0.32229999999999998</c:v>
                </c:pt>
                <c:pt idx="8">
                  <c:v>0.31950000000000001</c:v>
                </c:pt>
                <c:pt idx="9">
                  <c:v>0.3075</c:v>
                </c:pt>
                <c:pt idx="10">
                  <c:v>0.30670000000000003</c:v>
                </c:pt>
                <c:pt idx="11">
                  <c:v>0.28809999999999997</c:v>
                </c:pt>
                <c:pt idx="12">
                  <c:v>0.2702</c:v>
                </c:pt>
                <c:pt idx="13">
                  <c:v>0.27550000000000002</c:v>
                </c:pt>
                <c:pt idx="14">
                  <c:v>0.28059999999999996</c:v>
                </c:pt>
                <c:pt idx="15">
                  <c:v>0.27850000000000003</c:v>
                </c:pt>
                <c:pt idx="16">
                  <c:v>0.29580000000000001</c:v>
                </c:pt>
                <c:pt idx="17">
                  <c:v>0.30030000000000001</c:v>
                </c:pt>
                <c:pt idx="18">
                  <c:v>0.29559999999999997</c:v>
                </c:pt>
                <c:pt idx="19">
                  <c:v>0.2898</c:v>
                </c:pt>
                <c:pt idx="20">
                  <c:v>0.2969</c:v>
                </c:pt>
                <c:pt idx="21">
                  <c:v>0.30380000000000001</c:v>
                </c:pt>
                <c:pt idx="22">
                  <c:v>0.3054</c:v>
                </c:pt>
                <c:pt idx="23">
                  <c:v>0.30430000000000001</c:v>
                </c:pt>
                <c:pt idx="24">
                  <c:v>0.30690000000000001</c:v>
                </c:pt>
                <c:pt idx="25">
                  <c:v>0.30299999999999999</c:v>
                </c:pt>
                <c:pt idx="26">
                  <c:v>0.30329999999999996</c:v>
                </c:pt>
                <c:pt idx="27">
                  <c:v>0.30099999999999999</c:v>
                </c:pt>
                <c:pt idx="28">
                  <c:v>0.29530000000000001</c:v>
                </c:pt>
                <c:pt idx="29">
                  <c:v>0.29530000000000001</c:v>
                </c:pt>
              </c:numCache>
            </c:numRef>
          </c:val>
        </c:ser>
        <c:marker val="1"/>
        <c:axId val="133579136"/>
        <c:axId val="133576960"/>
      </c:lineChart>
      <c:dateAx>
        <c:axId val="133560960"/>
        <c:scaling>
          <c:orientation val="minMax"/>
        </c:scaling>
        <c:axPos val="b"/>
        <c:numFmt formatCode="General" sourceLinked="1"/>
        <c:tickLblPos val="nextTo"/>
        <c:txPr>
          <a:bodyPr/>
          <a:lstStyle/>
          <a:p>
            <a:pPr>
              <a:defRPr lang="en-CA"/>
            </a:pPr>
            <a:endParaRPr lang="en-US"/>
          </a:p>
        </c:txPr>
        <c:crossAx val="133575040"/>
        <c:crosses val="autoZero"/>
        <c:lblOffset val="100"/>
        <c:baseTimeUnit val="days"/>
      </c:dateAx>
      <c:valAx>
        <c:axId val="133575040"/>
        <c:scaling>
          <c:orientation val="minMax"/>
          <c:min val="0"/>
        </c:scaling>
        <c:axPos val="l"/>
        <c:majorGridlines/>
        <c:title>
          <c:tx>
            <c:rich>
              <a:bodyPr rot="-5400000" vert="horz"/>
              <a:lstStyle/>
              <a:p>
                <a:pPr>
                  <a:defRPr lang="en-CA" b="0"/>
                </a:pPr>
                <a:r>
                  <a:rPr lang="en-US" b="0"/>
                  <a:t>Per</a:t>
                </a:r>
                <a:r>
                  <a:rPr lang="en-US" b="0" baseline="0"/>
                  <a:t> cent</a:t>
                </a:r>
                <a:endParaRPr lang="en-US" b="0"/>
              </a:p>
            </c:rich>
          </c:tx>
        </c:title>
        <c:numFmt formatCode="0.0" sourceLinked="1"/>
        <c:tickLblPos val="nextTo"/>
        <c:txPr>
          <a:bodyPr/>
          <a:lstStyle/>
          <a:p>
            <a:pPr>
              <a:defRPr lang="en-CA"/>
            </a:pPr>
            <a:endParaRPr lang="en-US"/>
          </a:p>
        </c:txPr>
        <c:crossAx val="133560960"/>
        <c:crosses val="autoZero"/>
        <c:crossBetween val="between"/>
      </c:valAx>
      <c:valAx>
        <c:axId val="133576960"/>
        <c:scaling>
          <c:orientation val="minMax"/>
        </c:scaling>
        <c:axPos val="r"/>
        <c:title>
          <c:tx>
            <c:rich>
              <a:bodyPr rot="-5400000" vert="horz"/>
              <a:lstStyle/>
              <a:p>
                <a:pPr>
                  <a:defRPr lang="en-CA" b="0"/>
                </a:pPr>
                <a:r>
                  <a:rPr lang="en-US" b="0"/>
                  <a:t>Gap Ratio</a:t>
                </a:r>
              </a:p>
            </c:rich>
          </c:tx>
        </c:title>
        <c:numFmt formatCode="0.000" sourceLinked="1"/>
        <c:tickLblPos val="nextTo"/>
        <c:txPr>
          <a:bodyPr/>
          <a:lstStyle/>
          <a:p>
            <a:pPr>
              <a:defRPr lang="en-CA"/>
            </a:pPr>
            <a:endParaRPr lang="en-US"/>
          </a:p>
        </c:txPr>
        <c:crossAx val="133579136"/>
        <c:crosses val="max"/>
        <c:crossBetween val="between"/>
      </c:valAx>
      <c:catAx>
        <c:axId val="133579136"/>
        <c:scaling>
          <c:orientation val="minMax"/>
        </c:scaling>
        <c:delete val="1"/>
        <c:axPos val="b"/>
        <c:numFmt formatCode="General" sourceLinked="1"/>
        <c:tickLblPos val="none"/>
        <c:crossAx val="133576960"/>
        <c:crosses val="autoZero"/>
        <c:auto val="1"/>
        <c:lblAlgn val="ctr"/>
        <c:lblOffset val="100"/>
      </c:catAx>
    </c:plotArea>
    <c:legend>
      <c:legendPos val="r"/>
      <c:layout>
        <c:manualLayout>
          <c:xMode val="edge"/>
          <c:yMode val="edge"/>
          <c:x val="0.11646432642175512"/>
          <c:y val="0.50914935586415222"/>
          <c:w val="0.3135922482876175"/>
          <c:h val="0.172606084839312"/>
        </c:manualLayout>
      </c:layout>
      <c:spPr>
        <a:solidFill>
          <a:schemeClr val="bg1"/>
        </a:solidFill>
        <a:ln>
          <a:solidFill>
            <a:schemeClr val="tx1"/>
          </a:solidFill>
        </a:ln>
      </c:spPr>
      <c:txPr>
        <a:bodyPr/>
        <a:lstStyle/>
        <a:p>
          <a:pPr>
            <a:defRPr lang="en-CA"/>
          </a:pPr>
          <a:endParaRPr lang="en-US"/>
        </a:p>
      </c:txPr>
    </c:legend>
    <c:plotVisOnly val="1"/>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0625000000000002"/>
          <c:y val="4.8611111111111112E-2"/>
          <c:w val="0.88124999999999998"/>
          <c:h val="0.5208333333333337"/>
        </c:manualLayout>
      </c:layout>
      <c:barChart>
        <c:barDir val="col"/>
        <c:grouping val="clustered"/>
        <c:ser>
          <c:idx val="0"/>
          <c:order val="0"/>
          <c:tx>
            <c:strRef>
              <c:f>'C42'!$A$21</c:f>
              <c:strCache>
                <c:ptCount val="1"/>
                <c:pt idx="0">
                  <c:v>1981</c:v>
                </c:pt>
              </c:strCache>
            </c:strRef>
          </c:tx>
          <c:spPr>
            <a:solidFill>
              <a:prstClr val="black"/>
            </a:solidFill>
          </c:spPr>
          <c:cat>
            <c:strRef>
              <c:f>'C42'!$B$20:$L$20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'C42'!$B$21:$L$21</c:f>
              <c:numCache>
                <c:formatCode>General</c:formatCode>
                <c:ptCount val="11"/>
                <c:pt idx="0">
                  <c:v>1.1155668651039621</c:v>
                </c:pt>
                <c:pt idx="1">
                  <c:v>0.44217700291028628</c:v>
                </c:pt>
                <c:pt idx="2">
                  <c:v>0.65672794956891256</c:v>
                </c:pt>
                <c:pt idx="3">
                  <c:v>1.1271649212464421</c:v>
                </c:pt>
                <c:pt idx="4">
                  <c:v>0.79920917832429683</c:v>
                </c:pt>
                <c:pt idx="5">
                  <c:v>1.2255675106158808</c:v>
                </c:pt>
                <c:pt idx="6">
                  <c:v>0.98321616447283533</c:v>
                </c:pt>
                <c:pt idx="7">
                  <c:v>0.95434157790573948</c:v>
                </c:pt>
                <c:pt idx="8">
                  <c:v>0.81584048038309043</c:v>
                </c:pt>
                <c:pt idx="9">
                  <c:v>1.5228109592460837</c:v>
                </c:pt>
                <c:pt idx="10">
                  <c:v>1.3384270218208674</c:v>
                </c:pt>
              </c:numCache>
            </c:numRef>
          </c:val>
        </c:ser>
        <c:ser>
          <c:idx val="1"/>
          <c:order val="1"/>
          <c:tx>
            <c:strRef>
              <c:f>'C42'!$A$22</c:f>
              <c:strCache>
                <c:ptCount val="1"/>
                <c:pt idx="0">
                  <c:v>2010</c:v>
                </c:pt>
              </c:strCache>
            </c:strRef>
          </c:tx>
          <c:cat>
            <c:strRef>
              <c:f>'C42'!$B$20:$L$20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'C42'!$B$22:$L$22</c:f>
              <c:numCache>
                <c:formatCode>General</c:formatCode>
                <c:ptCount val="11"/>
                <c:pt idx="0">
                  <c:v>0.87712948275730729</c:v>
                </c:pt>
                <c:pt idx="1">
                  <c:v>0.50083393538563947</c:v>
                </c:pt>
                <c:pt idx="2">
                  <c:v>0.81693056485247473</c:v>
                </c:pt>
                <c:pt idx="3">
                  <c:v>0.80084262857796007</c:v>
                </c:pt>
                <c:pt idx="4">
                  <c:v>0.64089392656154065</c:v>
                </c:pt>
                <c:pt idx="5">
                  <c:v>0.77699075681616969</c:v>
                </c:pt>
                <c:pt idx="6">
                  <c:v>0.97991737354720321</c:v>
                </c:pt>
                <c:pt idx="7">
                  <c:v>0.88699488403483817</c:v>
                </c:pt>
                <c:pt idx="8">
                  <c:v>0.72522047325332184</c:v>
                </c:pt>
                <c:pt idx="9">
                  <c:v>0.90801014671665969</c:v>
                </c:pt>
                <c:pt idx="10">
                  <c:v>0.89326832820297597</c:v>
                </c:pt>
              </c:numCache>
            </c:numRef>
          </c:val>
        </c:ser>
        <c:axId val="133620480"/>
        <c:axId val="133622016"/>
      </c:barChart>
      <c:catAx>
        <c:axId val="133620480"/>
        <c:scaling>
          <c:orientation val="minMax"/>
        </c:scaling>
        <c:axPos val="b"/>
        <c:numFmt formatCode="General" sourceLinked="1"/>
        <c:tickLblPos val="nextTo"/>
        <c:txPr>
          <a:bodyPr/>
          <a:lstStyle/>
          <a:p>
            <a:pPr>
              <a:defRPr lang="en-CA"/>
            </a:pPr>
            <a:endParaRPr lang="en-US"/>
          </a:p>
        </c:txPr>
        <c:crossAx val="133622016"/>
        <c:crosses val="autoZero"/>
        <c:auto val="1"/>
        <c:lblAlgn val="ctr"/>
        <c:lblOffset val="100"/>
      </c:catAx>
      <c:valAx>
        <c:axId val="133622016"/>
        <c:scaling>
          <c:orientation val="minMax"/>
        </c:scaling>
        <c:axPos val="l"/>
        <c:majorGridlines/>
        <c:title>
          <c:tx>
            <c:rich>
              <a:bodyPr rot="-5400000" vert="horz"/>
              <a:lstStyle/>
              <a:p>
                <a:pPr>
                  <a:defRPr lang="en-CA" b="0"/>
                </a:pPr>
                <a:r>
                  <a:rPr lang="en-US" b="0"/>
                  <a:t>Per</a:t>
                </a:r>
                <a:r>
                  <a:rPr lang="en-US" b="0" baseline="0"/>
                  <a:t> cent</a:t>
                </a:r>
                <a:endParaRPr lang="en-US" b="0"/>
              </a:p>
            </c:rich>
          </c:tx>
        </c:title>
        <c:numFmt formatCode="0.0" sourceLinked="0"/>
        <c:tickLblPos val="nextTo"/>
        <c:txPr>
          <a:bodyPr/>
          <a:lstStyle/>
          <a:p>
            <a:pPr>
              <a:defRPr lang="en-CA"/>
            </a:pPr>
            <a:endParaRPr lang="en-US"/>
          </a:p>
        </c:txPr>
        <c:crossAx val="133620480"/>
        <c:crosses val="autoZero"/>
        <c:crossBetween val="between"/>
      </c:valAx>
    </c:plotArea>
    <c:legend>
      <c:legendPos val="r"/>
      <c:layout>
        <c:manualLayout>
          <c:xMode val="edge"/>
          <c:yMode val="edge"/>
          <c:x val="0.12426531058617739"/>
          <c:y val="5.980132691746895E-2"/>
          <c:w val="0.20629024496937962"/>
          <c:h val="8.4101049868766528E-2"/>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389" l="0.70000000000000062" r="0.70000000000000062" t="0.75000000000000389"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3617886178861693"/>
          <c:y val="5.0847457627118814E-2"/>
          <c:w val="0.83943089430894313"/>
          <c:h val="0.52203389830508473"/>
        </c:manualLayout>
      </c:layout>
      <c:barChart>
        <c:barDir val="col"/>
        <c:grouping val="clustered"/>
        <c:ser>
          <c:idx val="0"/>
          <c:order val="0"/>
          <c:tx>
            <c:strRef>
              <c:f>'C43'!$A$21</c:f>
              <c:strCache>
                <c:ptCount val="1"/>
                <c:pt idx="0">
                  <c:v>1981</c:v>
                </c:pt>
              </c:strCache>
            </c:strRef>
          </c:tx>
          <c:spPr>
            <a:solidFill>
              <a:prstClr val="black"/>
            </a:solidFill>
          </c:spPr>
          <c:cat>
            <c:strRef>
              <c:f>'C43'!$B$20:$L$20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'C43'!$B$21:$L$21</c:f>
              <c:numCache>
                <c:formatCode>General</c:formatCode>
                <c:ptCount val="11"/>
                <c:pt idx="0">
                  <c:v>45.1</c:v>
                </c:pt>
                <c:pt idx="1">
                  <c:v>52.8</c:v>
                </c:pt>
                <c:pt idx="2">
                  <c:v>52.1</c:v>
                </c:pt>
                <c:pt idx="3">
                  <c:v>62</c:v>
                </c:pt>
                <c:pt idx="4">
                  <c:v>64.599999999999994</c:v>
                </c:pt>
                <c:pt idx="5">
                  <c:v>49.2</c:v>
                </c:pt>
                <c:pt idx="6">
                  <c:v>39.700000000000003</c:v>
                </c:pt>
                <c:pt idx="7">
                  <c:v>49.4</c:v>
                </c:pt>
                <c:pt idx="8">
                  <c:v>56.8</c:v>
                </c:pt>
                <c:pt idx="9">
                  <c:v>28.4</c:v>
                </c:pt>
                <c:pt idx="10">
                  <c:v>48.3</c:v>
                </c:pt>
              </c:numCache>
            </c:numRef>
          </c:val>
        </c:ser>
        <c:ser>
          <c:idx val="1"/>
          <c:order val="1"/>
          <c:tx>
            <c:strRef>
              <c:f>'C43'!$A$22</c:f>
              <c:strCache>
                <c:ptCount val="1"/>
                <c:pt idx="0">
                  <c:v>2010</c:v>
                </c:pt>
              </c:strCache>
            </c:strRef>
          </c:tx>
          <c:cat>
            <c:strRef>
              <c:f>'C43'!$B$20:$L$20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'C43'!$B$22:$L$22</c:f>
              <c:numCache>
                <c:formatCode>General</c:formatCode>
                <c:ptCount val="11"/>
                <c:pt idx="0">
                  <c:v>33.9</c:v>
                </c:pt>
                <c:pt idx="1">
                  <c:v>51.2</c:v>
                </c:pt>
                <c:pt idx="2">
                  <c:v>45.5</c:v>
                </c:pt>
                <c:pt idx="3">
                  <c:v>45</c:v>
                </c:pt>
                <c:pt idx="4">
                  <c:v>47.9</c:v>
                </c:pt>
                <c:pt idx="5">
                  <c:v>32</c:v>
                </c:pt>
                <c:pt idx="6">
                  <c:v>32</c:v>
                </c:pt>
                <c:pt idx="7">
                  <c:v>53.9</c:v>
                </c:pt>
                <c:pt idx="8">
                  <c:v>47.8</c:v>
                </c:pt>
                <c:pt idx="9">
                  <c:v>27.4</c:v>
                </c:pt>
                <c:pt idx="10">
                  <c:v>28.5</c:v>
                </c:pt>
              </c:numCache>
            </c:numRef>
          </c:val>
        </c:ser>
        <c:axId val="133639168"/>
        <c:axId val="132322048"/>
      </c:barChart>
      <c:catAx>
        <c:axId val="133639168"/>
        <c:scaling>
          <c:orientation val="minMax"/>
        </c:scaling>
        <c:axPos val="b"/>
        <c:numFmt formatCode="General" sourceLinked="1"/>
        <c:tickLblPos val="nextTo"/>
        <c:txPr>
          <a:bodyPr/>
          <a:lstStyle/>
          <a:p>
            <a:pPr>
              <a:defRPr lang="en-CA"/>
            </a:pPr>
            <a:endParaRPr lang="en-US"/>
          </a:p>
        </c:txPr>
        <c:crossAx val="132322048"/>
        <c:crosses val="autoZero"/>
        <c:auto val="1"/>
        <c:lblAlgn val="ctr"/>
        <c:lblOffset val="100"/>
      </c:catAx>
      <c:valAx>
        <c:axId val="132322048"/>
        <c:scaling>
          <c:orientation val="minMax"/>
        </c:scaling>
        <c:axPos val="l"/>
        <c:majorGridlines/>
        <c:title>
          <c:tx>
            <c:rich>
              <a:bodyPr rot="-5400000" vert="horz"/>
              <a:lstStyle/>
              <a:p>
                <a:pPr>
                  <a:defRPr lang="en-CA" b="0"/>
                </a:pPr>
                <a:r>
                  <a:rPr lang="en-US" b="0"/>
                  <a:t>Per cent</a:t>
                </a:r>
              </a:p>
            </c:rich>
          </c:tx>
        </c:title>
        <c:numFmt formatCode="General" sourceLinked="1"/>
        <c:tickLblPos val="nextTo"/>
        <c:txPr>
          <a:bodyPr/>
          <a:lstStyle/>
          <a:p>
            <a:pPr>
              <a:defRPr lang="en-CA"/>
            </a:pPr>
            <a:endParaRPr lang="en-US"/>
          </a:p>
        </c:txPr>
        <c:crossAx val="133639168"/>
        <c:crosses val="autoZero"/>
        <c:crossBetween val="between"/>
      </c:valAx>
    </c:plotArea>
    <c:legend>
      <c:legendPos val="r"/>
      <c:layout>
        <c:manualLayout>
          <c:xMode val="edge"/>
          <c:yMode val="edge"/>
          <c:x val="0.51027798220915577"/>
          <c:y val="4.5817248089170454E-2"/>
          <c:w val="0.21482683566993171"/>
          <c:h val="8.0240580096979444E-2"/>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389" l="0.70000000000000062" r="0.70000000000000062" t="0.75000000000000389"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4648897097054628"/>
          <c:y val="3.1835181892586009E-2"/>
          <c:w val="0.82036306218694177"/>
          <c:h val="0.55976756643877701"/>
        </c:manualLayout>
      </c:layout>
      <c:barChart>
        <c:barDir val="col"/>
        <c:grouping val="clustered"/>
        <c:ser>
          <c:idx val="0"/>
          <c:order val="0"/>
          <c:tx>
            <c:strRef>
              <c:f>'C44'!$A$21</c:f>
              <c:strCache>
                <c:ptCount val="1"/>
                <c:pt idx="0">
                  <c:v>1981</c:v>
                </c:pt>
              </c:strCache>
            </c:strRef>
          </c:tx>
          <c:spPr>
            <a:solidFill>
              <a:prstClr val="black"/>
            </a:solidFill>
          </c:spPr>
          <c:cat>
            <c:strRef>
              <c:f>'C44'!$B$20:$L$20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'C44'!$B$21:$L$21</c:f>
              <c:numCache>
                <c:formatCode>General</c:formatCode>
                <c:ptCount val="11"/>
                <c:pt idx="0">
                  <c:v>0.3821</c:v>
                </c:pt>
                <c:pt idx="1">
                  <c:v>0.46869999999999995</c:v>
                </c:pt>
                <c:pt idx="2">
                  <c:v>0.31709999999999999</c:v>
                </c:pt>
                <c:pt idx="3">
                  <c:v>0.25246400000000002</c:v>
                </c:pt>
                <c:pt idx="4">
                  <c:v>0.40279999999999999</c:v>
                </c:pt>
                <c:pt idx="5">
                  <c:v>0.42270000000000002</c:v>
                </c:pt>
                <c:pt idx="6">
                  <c:v>0.35439999999999999</c:v>
                </c:pt>
                <c:pt idx="7">
                  <c:v>0.41049999999999998</c:v>
                </c:pt>
                <c:pt idx="8">
                  <c:v>0.30640000000000001</c:v>
                </c:pt>
                <c:pt idx="9">
                  <c:v>0.40130000000000005</c:v>
                </c:pt>
                <c:pt idx="10">
                  <c:v>0.34250000000000003</c:v>
                </c:pt>
              </c:numCache>
            </c:numRef>
          </c:val>
        </c:ser>
        <c:ser>
          <c:idx val="1"/>
          <c:order val="1"/>
          <c:tx>
            <c:strRef>
              <c:f>'C44'!$A$22</c:f>
              <c:strCache>
                <c:ptCount val="1"/>
                <c:pt idx="0">
                  <c:v>2010</c:v>
                </c:pt>
              </c:strCache>
            </c:strRef>
          </c:tx>
          <c:cat>
            <c:strRef>
              <c:f>'C44'!$B$20:$L$20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'C44'!$B$22:$L$22</c:f>
              <c:numCache>
                <c:formatCode>General</c:formatCode>
                <c:ptCount val="11"/>
                <c:pt idx="0">
                  <c:v>0.29530000000000001</c:v>
                </c:pt>
                <c:pt idx="1">
                  <c:v>0.31</c:v>
                </c:pt>
                <c:pt idx="2">
                  <c:v>0.2354</c:v>
                </c:pt>
                <c:pt idx="3">
                  <c:v>0.12523500000000001</c:v>
                </c:pt>
                <c:pt idx="4">
                  <c:v>0.31719999999999998</c:v>
                </c:pt>
                <c:pt idx="5">
                  <c:v>0.27329999999999999</c:v>
                </c:pt>
                <c:pt idx="6">
                  <c:v>0.27779999999999999</c:v>
                </c:pt>
                <c:pt idx="7">
                  <c:v>0.2167</c:v>
                </c:pt>
                <c:pt idx="8">
                  <c:v>0.38350000000000001</c:v>
                </c:pt>
                <c:pt idx="9">
                  <c:v>0.39560000000000001</c:v>
                </c:pt>
                <c:pt idx="10">
                  <c:v>0.36310000000000003</c:v>
                </c:pt>
              </c:numCache>
            </c:numRef>
          </c:val>
        </c:ser>
        <c:axId val="133650304"/>
        <c:axId val="133651840"/>
      </c:barChart>
      <c:catAx>
        <c:axId val="133650304"/>
        <c:scaling>
          <c:orientation val="minMax"/>
        </c:scaling>
        <c:axPos val="b"/>
        <c:tickLblPos val="nextTo"/>
        <c:txPr>
          <a:bodyPr/>
          <a:lstStyle/>
          <a:p>
            <a:pPr>
              <a:defRPr lang="en-CA"/>
            </a:pPr>
            <a:endParaRPr lang="en-US"/>
          </a:p>
        </c:txPr>
        <c:crossAx val="133651840"/>
        <c:crosses val="autoZero"/>
        <c:auto val="1"/>
        <c:lblAlgn val="ctr"/>
        <c:lblOffset val="100"/>
      </c:catAx>
      <c:valAx>
        <c:axId val="133651840"/>
        <c:scaling>
          <c:orientation val="minMax"/>
        </c:scaling>
        <c:axPos val="l"/>
        <c:majorGridlines/>
        <c:title>
          <c:tx>
            <c:rich>
              <a:bodyPr rot="-5400000" vert="horz"/>
              <a:lstStyle/>
              <a:p>
                <a:pPr>
                  <a:defRPr lang="en-CA" b="0"/>
                </a:pPr>
                <a:r>
                  <a:rPr lang="en-US" b="0"/>
                  <a:t>Gap Ratio</a:t>
                </a:r>
              </a:p>
            </c:rich>
          </c:tx>
        </c:title>
        <c:numFmt formatCode="#,##0.000" sourceLinked="0"/>
        <c:tickLblPos val="nextTo"/>
        <c:txPr>
          <a:bodyPr/>
          <a:lstStyle/>
          <a:p>
            <a:pPr>
              <a:defRPr lang="en-CA"/>
            </a:pPr>
            <a:endParaRPr lang="en-US"/>
          </a:p>
        </c:txPr>
        <c:crossAx val="133650304"/>
        <c:crosses val="autoZero"/>
        <c:crossBetween val="between"/>
      </c:valAx>
    </c:plotArea>
    <c:legend>
      <c:legendPos val="r"/>
      <c:layout>
        <c:manualLayout>
          <c:xMode val="edge"/>
          <c:yMode val="edge"/>
          <c:x val="0.19364020122484688"/>
          <c:y val="8.2949475065616798E-2"/>
          <c:w val="0.31747090988627136"/>
          <c:h val="9.3360309128025745E-2"/>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lang val="en-US"/>
  <c:style val="3"/>
  <c:chart>
    <c:autoTitleDeleted val="1"/>
    <c:plotArea>
      <c:layout>
        <c:manualLayout>
          <c:layoutTarget val="inner"/>
          <c:xMode val="edge"/>
          <c:yMode val="edge"/>
          <c:x val="9.4770341207349298E-2"/>
          <c:y val="7.0751673604359147E-2"/>
          <c:w val="0.86520250072907567"/>
          <c:h val="0.58626231299619658"/>
        </c:manualLayout>
      </c:layout>
      <c:barChart>
        <c:barDir val="col"/>
        <c:grouping val="clustered"/>
        <c:ser>
          <c:idx val="0"/>
          <c:order val="0"/>
          <c:tx>
            <c:strRef>
              <c:f>'C45'!$A$21</c:f>
              <c:strCache>
                <c:ptCount val="1"/>
                <c:pt idx="0">
                  <c:v>1981</c:v>
                </c:pt>
              </c:strCache>
            </c:strRef>
          </c:tx>
          <c:spPr>
            <a:solidFill>
              <a:prstClr val="black"/>
            </a:solidFill>
          </c:spPr>
          <c:cat>
            <c:strRef>
              <c:f>'C45'!$B$20:$L$20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'C45'!$B$21:$L$21</c:f>
              <c:numCache>
                <c:formatCode>General</c:formatCode>
                <c:ptCount val="11"/>
                <c:pt idx="0">
                  <c:v>0.3866167011910287</c:v>
                </c:pt>
                <c:pt idx="1">
                  <c:v>0.6661133539652766</c:v>
                </c:pt>
                <c:pt idx="2">
                  <c:v>0.66925104095244914</c:v>
                </c:pt>
                <c:pt idx="3">
                  <c:v>0.43997415780549998</c:v>
                </c:pt>
                <c:pt idx="4">
                  <c:v>0.33356647929695593</c:v>
                </c:pt>
                <c:pt idx="5">
                  <c:v>0.17522081310748081</c:v>
                </c:pt>
                <c:pt idx="6">
                  <c:v>0.56854976885069175</c:v>
                </c:pt>
                <c:pt idx="7">
                  <c:v>0.38227766481544306</c:v>
                </c:pt>
                <c:pt idx="8">
                  <c:v>0.5562326069727429</c:v>
                </c:pt>
                <c:pt idx="9">
                  <c:v>0.44969048949293716</c:v>
                </c:pt>
                <c:pt idx="10">
                  <c:v>0.28816888106361066</c:v>
                </c:pt>
              </c:numCache>
            </c:numRef>
          </c:val>
        </c:ser>
        <c:ser>
          <c:idx val="1"/>
          <c:order val="1"/>
          <c:tx>
            <c:strRef>
              <c:f>'C45'!$A$22</c:f>
              <c:strCache>
                <c:ptCount val="1"/>
                <c:pt idx="0">
                  <c:v>2010</c:v>
                </c:pt>
              </c:strCache>
            </c:strRef>
          </c:tx>
          <c:spPr>
            <a:solidFill>
              <a:schemeClr val="tx1">
                <a:lumMod val="50000"/>
                <a:lumOff val="50000"/>
              </a:schemeClr>
            </a:solidFill>
          </c:spPr>
          <c:cat>
            <c:strRef>
              <c:f>'C45'!$B$20:$L$20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'C45'!$B$22:$L$22</c:f>
              <c:numCache>
                <c:formatCode>General</c:formatCode>
                <c:ptCount val="11"/>
                <c:pt idx="0">
                  <c:v>0.73908159487334235</c:v>
                </c:pt>
                <c:pt idx="1">
                  <c:v>0.7671414485017195</c:v>
                </c:pt>
                <c:pt idx="2">
                  <c:v>0.74011957820157492</c:v>
                </c:pt>
                <c:pt idx="3">
                  <c:v>0.88310535417324743</c:v>
                </c:pt>
                <c:pt idx="4">
                  <c:v>0.70678301645182051</c:v>
                </c:pt>
                <c:pt idx="5">
                  <c:v>0.80608779173206757</c:v>
                </c:pt>
                <c:pt idx="6">
                  <c:v>0.74142988954084177</c:v>
                </c:pt>
                <c:pt idx="7">
                  <c:v>0.68577231575350761</c:v>
                </c:pt>
                <c:pt idx="8">
                  <c:v>0.58675091887562303</c:v>
                </c:pt>
                <c:pt idx="9">
                  <c:v>0.70325093498026869</c:v>
                </c:pt>
                <c:pt idx="10">
                  <c:v>0.72344888433748467</c:v>
                </c:pt>
              </c:numCache>
            </c:numRef>
          </c:val>
        </c:ser>
        <c:axId val="133185920"/>
        <c:axId val="133187456"/>
      </c:barChart>
      <c:catAx>
        <c:axId val="133185920"/>
        <c:scaling>
          <c:orientation val="minMax"/>
        </c:scaling>
        <c:axPos val="b"/>
        <c:numFmt formatCode="General" sourceLinked="1"/>
        <c:majorTickMark val="none"/>
        <c:tickLblPos val="nextTo"/>
        <c:txPr>
          <a:bodyPr rot="-1920000"/>
          <a:lstStyle/>
          <a:p>
            <a:pPr>
              <a:defRPr lang="en-CA"/>
            </a:pPr>
            <a:endParaRPr lang="en-US"/>
          </a:p>
        </c:txPr>
        <c:crossAx val="133187456"/>
        <c:crosses val="autoZero"/>
        <c:auto val="1"/>
        <c:lblAlgn val="ctr"/>
        <c:lblOffset val="100"/>
      </c:catAx>
      <c:valAx>
        <c:axId val="133187456"/>
        <c:scaling>
          <c:orientation val="minMax"/>
        </c:scaling>
        <c:axPos val="l"/>
        <c:majorGridlines/>
        <c:title>
          <c:tx>
            <c:rich>
              <a:bodyPr rot="-5400000" vert="horz"/>
              <a:lstStyle/>
              <a:p>
                <a:pPr>
                  <a:defRPr lang="en-CA" b="0"/>
                </a:pPr>
                <a:r>
                  <a:rPr lang="en-US" b="0"/>
                  <a:t>Index</a:t>
                </a:r>
                <a:r>
                  <a:rPr lang="en-US" b="0" baseline="0"/>
                  <a:t> Value</a:t>
                </a:r>
                <a:endParaRPr lang="en-US" b="0"/>
              </a:p>
            </c:rich>
          </c:tx>
        </c:title>
        <c:numFmt formatCode="#,##0.0" sourceLinked="0"/>
        <c:majorTickMark val="none"/>
        <c:tickLblPos val="nextTo"/>
        <c:txPr>
          <a:bodyPr/>
          <a:lstStyle/>
          <a:p>
            <a:pPr>
              <a:defRPr lang="en-CA"/>
            </a:pPr>
            <a:endParaRPr lang="en-US"/>
          </a:p>
        </c:txPr>
        <c:crossAx val="133185920"/>
        <c:crosses val="autoZero"/>
        <c:crossBetween val="between"/>
      </c:valAx>
    </c:plotArea>
    <c:legend>
      <c:legendPos val="r"/>
      <c:layout>
        <c:manualLayout>
          <c:xMode val="edge"/>
          <c:yMode val="edge"/>
          <c:x val="0.80570282881306499"/>
          <c:y val="2.3909255689955496E-2"/>
          <c:w val="0.12775845727617391"/>
          <c:h val="0.10641269188182496"/>
        </c:manualLayout>
      </c:layout>
      <c:spPr>
        <a:solidFill>
          <a:schemeClr val="bg1"/>
        </a:solidFill>
        <a:ln>
          <a:solidFill>
            <a:sysClr val="windowText" lastClr="000000"/>
          </a:solidFill>
        </a:ln>
      </c:spPr>
      <c:txPr>
        <a:bodyPr/>
        <a:lstStyle/>
        <a:p>
          <a:pPr>
            <a:defRPr lang="en-CA" sz="1000"/>
          </a:pPr>
          <a:endParaRPr lang="en-US"/>
        </a:p>
      </c:txPr>
    </c:legend>
    <c:plotVisOnly val="1"/>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9.1241453154103938E-2"/>
          <c:y val="4.1815309298782466E-2"/>
          <c:w val="0.78633113681624811"/>
          <c:h val="0.73212841220552083"/>
        </c:manualLayout>
      </c:layout>
      <c:lineChart>
        <c:grouping val="standard"/>
        <c:ser>
          <c:idx val="0"/>
          <c:order val="0"/>
          <c:tx>
            <c:v>Poverty Rate - Left Axis</c:v>
          </c:tx>
          <c:marker>
            <c:symbol val="square"/>
            <c:size val="5"/>
          </c:marker>
          <c:cat>
            <c:numRef>
              <c:f>'C46'!$A$21:$A$50</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'C46'!$B$21:$B$50</c:f>
              <c:numCache>
                <c:formatCode>0.00</c:formatCode>
                <c:ptCount val="30"/>
                <c:pt idx="0">
                  <c:v>20.399999999999999</c:v>
                </c:pt>
                <c:pt idx="1">
                  <c:v>15.4</c:v>
                </c:pt>
                <c:pt idx="2">
                  <c:v>15.7</c:v>
                </c:pt>
                <c:pt idx="3">
                  <c:v>14.3</c:v>
                </c:pt>
                <c:pt idx="4">
                  <c:v>11.9</c:v>
                </c:pt>
                <c:pt idx="5">
                  <c:v>11.1</c:v>
                </c:pt>
                <c:pt idx="6">
                  <c:v>10.3</c:v>
                </c:pt>
                <c:pt idx="7">
                  <c:v>13.1</c:v>
                </c:pt>
                <c:pt idx="8">
                  <c:v>10.7</c:v>
                </c:pt>
                <c:pt idx="9">
                  <c:v>7.5</c:v>
                </c:pt>
                <c:pt idx="10">
                  <c:v>5.4</c:v>
                </c:pt>
                <c:pt idx="11">
                  <c:v>5.2</c:v>
                </c:pt>
                <c:pt idx="12">
                  <c:v>5.5</c:v>
                </c:pt>
                <c:pt idx="13">
                  <c:v>4.0999999999999996</c:v>
                </c:pt>
                <c:pt idx="14">
                  <c:v>3.9</c:v>
                </c:pt>
                <c:pt idx="15">
                  <c:v>4.5999999999999996</c:v>
                </c:pt>
                <c:pt idx="16">
                  <c:v>4.9000000000000004</c:v>
                </c:pt>
                <c:pt idx="17">
                  <c:v>5.9</c:v>
                </c:pt>
                <c:pt idx="18">
                  <c:v>6.3</c:v>
                </c:pt>
                <c:pt idx="19">
                  <c:v>7.6</c:v>
                </c:pt>
                <c:pt idx="20">
                  <c:v>8</c:v>
                </c:pt>
                <c:pt idx="21">
                  <c:v>9.6999999999999993</c:v>
                </c:pt>
                <c:pt idx="22">
                  <c:v>9.1</c:v>
                </c:pt>
                <c:pt idx="23">
                  <c:v>8.6999999999999993</c:v>
                </c:pt>
                <c:pt idx="24">
                  <c:v>10.199999999999999</c:v>
                </c:pt>
                <c:pt idx="25">
                  <c:v>9.4</c:v>
                </c:pt>
                <c:pt idx="26">
                  <c:v>10.4</c:v>
                </c:pt>
                <c:pt idx="27">
                  <c:v>12.3</c:v>
                </c:pt>
                <c:pt idx="28">
                  <c:v>11.5</c:v>
                </c:pt>
                <c:pt idx="29">
                  <c:v>11.5</c:v>
                </c:pt>
              </c:numCache>
            </c:numRef>
          </c:val>
        </c:ser>
        <c:marker val="1"/>
        <c:axId val="134029312"/>
        <c:axId val="134030848"/>
      </c:lineChart>
      <c:lineChart>
        <c:grouping val="standard"/>
        <c:ser>
          <c:idx val="1"/>
          <c:order val="1"/>
          <c:tx>
            <c:v>Poverty Gap - Right Axis</c:v>
          </c:tx>
          <c:marker>
            <c:symbol val="triangle"/>
            <c:size val="5"/>
          </c:marker>
          <c:cat>
            <c:numRef>
              <c:f>'[1]7'!$A$19:$A$47</c:f>
              <c:numCache>
                <c:formatCode>General</c:formatCode>
                <c:ptCount val="2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numCache>
            </c:numRef>
          </c:cat>
          <c:val>
            <c:numRef>
              <c:f>'C46'!$C$21:$C$50</c:f>
              <c:numCache>
                <c:formatCode>0.00</c:formatCode>
                <c:ptCount val="30"/>
                <c:pt idx="0">
                  <c:v>0.18989999999999999</c:v>
                </c:pt>
                <c:pt idx="1">
                  <c:v>0.1673</c:v>
                </c:pt>
                <c:pt idx="2">
                  <c:v>0.17559999999999998</c:v>
                </c:pt>
                <c:pt idx="3">
                  <c:v>0.17249999999999999</c:v>
                </c:pt>
                <c:pt idx="4">
                  <c:v>0.1918</c:v>
                </c:pt>
                <c:pt idx="5">
                  <c:v>0.1804</c:v>
                </c:pt>
                <c:pt idx="6">
                  <c:v>0.17960000000000001</c:v>
                </c:pt>
                <c:pt idx="7">
                  <c:v>0.16370000000000001</c:v>
                </c:pt>
                <c:pt idx="8">
                  <c:v>0.15010000000000001</c:v>
                </c:pt>
                <c:pt idx="9">
                  <c:v>0.15570000000000001</c:v>
                </c:pt>
                <c:pt idx="10">
                  <c:v>0.13720000000000002</c:v>
                </c:pt>
                <c:pt idx="11">
                  <c:v>0.1487</c:v>
                </c:pt>
                <c:pt idx="12">
                  <c:v>0.17480000000000001</c:v>
                </c:pt>
                <c:pt idx="13">
                  <c:v>0.1638</c:v>
                </c:pt>
                <c:pt idx="14">
                  <c:v>0.13750000000000001</c:v>
                </c:pt>
                <c:pt idx="15">
                  <c:v>0.17309999999999998</c:v>
                </c:pt>
                <c:pt idx="16">
                  <c:v>0.17129999999999998</c:v>
                </c:pt>
                <c:pt idx="17">
                  <c:v>0.16140000000000002</c:v>
                </c:pt>
                <c:pt idx="18">
                  <c:v>0.13289999999999999</c:v>
                </c:pt>
                <c:pt idx="19">
                  <c:v>0.14630000000000001</c:v>
                </c:pt>
                <c:pt idx="20">
                  <c:v>0.15340000000000001</c:v>
                </c:pt>
                <c:pt idx="21">
                  <c:v>0.14610000000000001</c:v>
                </c:pt>
                <c:pt idx="22">
                  <c:v>0.1618</c:v>
                </c:pt>
                <c:pt idx="23">
                  <c:v>0.14960000000000001</c:v>
                </c:pt>
                <c:pt idx="24">
                  <c:v>0.13730000000000001</c:v>
                </c:pt>
                <c:pt idx="25">
                  <c:v>0.1431</c:v>
                </c:pt>
                <c:pt idx="26">
                  <c:v>0.13769999999999999</c:v>
                </c:pt>
                <c:pt idx="27">
                  <c:v>0.14660000000000001</c:v>
                </c:pt>
                <c:pt idx="28">
                  <c:v>0.15909999999999999</c:v>
                </c:pt>
                <c:pt idx="29">
                  <c:v>0.15909999999999999</c:v>
                </c:pt>
              </c:numCache>
            </c:numRef>
          </c:val>
        </c:ser>
        <c:marker val="1"/>
        <c:axId val="134034944"/>
        <c:axId val="134032768"/>
      </c:lineChart>
      <c:dateAx>
        <c:axId val="134029312"/>
        <c:scaling>
          <c:orientation val="minMax"/>
        </c:scaling>
        <c:axPos val="b"/>
        <c:numFmt formatCode="General" sourceLinked="1"/>
        <c:tickLblPos val="nextTo"/>
        <c:txPr>
          <a:bodyPr/>
          <a:lstStyle/>
          <a:p>
            <a:pPr>
              <a:defRPr lang="en-CA"/>
            </a:pPr>
            <a:endParaRPr lang="en-US"/>
          </a:p>
        </c:txPr>
        <c:crossAx val="134030848"/>
        <c:crosses val="autoZero"/>
        <c:lblOffset val="100"/>
        <c:baseTimeUnit val="days"/>
      </c:dateAx>
      <c:valAx>
        <c:axId val="134030848"/>
        <c:scaling>
          <c:orientation val="minMax"/>
        </c:scaling>
        <c:axPos val="l"/>
        <c:majorGridlines/>
        <c:title>
          <c:tx>
            <c:rich>
              <a:bodyPr rot="-5400000" vert="horz"/>
              <a:lstStyle/>
              <a:p>
                <a:pPr>
                  <a:defRPr lang="en-CA" b="0"/>
                </a:pPr>
                <a:r>
                  <a:rPr lang="en-US" b="0"/>
                  <a:t>Per cent</a:t>
                </a:r>
              </a:p>
            </c:rich>
          </c:tx>
        </c:title>
        <c:numFmt formatCode="0" sourceLinked="0"/>
        <c:tickLblPos val="nextTo"/>
        <c:txPr>
          <a:bodyPr/>
          <a:lstStyle/>
          <a:p>
            <a:pPr>
              <a:defRPr lang="en-CA"/>
            </a:pPr>
            <a:endParaRPr lang="en-US"/>
          </a:p>
        </c:txPr>
        <c:crossAx val="134029312"/>
        <c:crosses val="autoZero"/>
        <c:crossBetween val="between"/>
      </c:valAx>
      <c:valAx>
        <c:axId val="134032768"/>
        <c:scaling>
          <c:orientation val="minMax"/>
        </c:scaling>
        <c:axPos val="r"/>
        <c:title>
          <c:tx>
            <c:rich>
              <a:bodyPr rot="-5400000" vert="horz"/>
              <a:lstStyle/>
              <a:p>
                <a:pPr>
                  <a:defRPr lang="en-CA" b="0"/>
                </a:pPr>
                <a:r>
                  <a:rPr lang="en-US" b="0"/>
                  <a:t>2007</a:t>
                </a:r>
                <a:r>
                  <a:rPr lang="en-US" b="0" baseline="0"/>
                  <a:t> Dollars</a:t>
                </a:r>
                <a:endParaRPr lang="en-US" b="0"/>
              </a:p>
            </c:rich>
          </c:tx>
        </c:title>
        <c:numFmt formatCode="0.00" sourceLinked="1"/>
        <c:tickLblPos val="nextTo"/>
        <c:txPr>
          <a:bodyPr/>
          <a:lstStyle/>
          <a:p>
            <a:pPr>
              <a:defRPr lang="en-CA"/>
            </a:pPr>
            <a:endParaRPr lang="en-US"/>
          </a:p>
        </c:txPr>
        <c:crossAx val="134034944"/>
        <c:crosses val="max"/>
        <c:crossBetween val="between"/>
      </c:valAx>
      <c:catAx>
        <c:axId val="134034944"/>
        <c:scaling>
          <c:orientation val="minMax"/>
        </c:scaling>
        <c:delete val="1"/>
        <c:axPos val="b"/>
        <c:numFmt formatCode="General" sourceLinked="1"/>
        <c:tickLblPos val="none"/>
        <c:crossAx val="134032768"/>
        <c:crosses val="autoZero"/>
        <c:auto val="1"/>
        <c:lblAlgn val="ctr"/>
        <c:lblOffset val="100"/>
      </c:catAx>
    </c:plotArea>
    <c:legend>
      <c:legendPos val="r"/>
      <c:layout>
        <c:manualLayout>
          <c:xMode val="edge"/>
          <c:yMode val="edge"/>
          <c:x val="9.8472041918699266E-2"/>
          <c:y val="0.57556352747794726"/>
          <c:w val="0.38145170331191774"/>
          <c:h val="0.18290304461439544"/>
        </c:manualLayout>
      </c:layout>
      <c:spPr>
        <a:solidFill>
          <a:schemeClr val="bg1"/>
        </a:solidFill>
        <a:ln>
          <a:solidFill>
            <a:sysClr val="windowText" lastClr="000000"/>
          </a:solidFill>
        </a:ln>
      </c:spPr>
      <c:txPr>
        <a:bodyPr/>
        <a:lstStyle/>
        <a:p>
          <a:pPr>
            <a:defRPr lang="en-CA"/>
          </a:pPr>
          <a:endParaRPr lang="en-US"/>
        </a:p>
      </c:txPr>
    </c:legend>
    <c:plotVisOnly val="1"/>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0758377425044144"/>
          <c:y val="4.0404040404040414E-2"/>
          <c:w val="0.86772486772487134"/>
          <c:h val="0.60942760942760943"/>
        </c:manualLayout>
      </c:layout>
      <c:barChart>
        <c:barDir val="col"/>
        <c:grouping val="clustered"/>
        <c:ser>
          <c:idx val="0"/>
          <c:order val="0"/>
          <c:tx>
            <c:strRef>
              <c:f>'C47'!$A$21</c:f>
              <c:strCache>
                <c:ptCount val="1"/>
                <c:pt idx="0">
                  <c:v>1981</c:v>
                </c:pt>
              </c:strCache>
            </c:strRef>
          </c:tx>
          <c:spPr>
            <a:solidFill>
              <a:prstClr val="black"/>
            </a:solidFill>
          </c:spPr>
          <c:cat>
            <c:strRef>
              <c:f>'C47'!$B$20:$L$20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'C47'!$B$21:$L$21</c:f>
              <c:numCache>
                <c:formatCode>0.00</c:formatCode>
                <c:ptCount val="11"/>
                <c:pt idx="0">
                  <c:v>20.399999999999999</c:v>
                </c:pt>
                <c:pt idx="1">
                  <c:v>28</c:v>
                </c:pt>
                <c:pt idx="2">
                  <c:v>24.1</c:v>
                </c:pt>
                <c:pt idx="3">
                  <c:v>22.8</c:v>
                </c:pt>
                <c:pt idx="4">
                  <c:v>26.6</c:v>
                </c:pt>
                <c:pt idx="5">
                  <c:v>23.3</c:v>
                </c:pt>
                <c:pt idx="6">
                  <c:v>17.5</c:v>
                </c:pt>
                <c:pt idx="7">
                  <c:v>21.8</c:v>
                </c:pt>
                <c:pt idx="8">
                  <c:v>27.2</c:v>
                </c:pt>
                <c:pt idx="9">
                  <c:v>19.3</c:v>
                </c:pt>
                <c:pt idx="10">
                  <c:v>17.5</c:v>
                </c:pt>
              </c:numCache>
            </c:numRef>
          </c:val>
        </c:ser>
        <c:ser>
          <c:idx val="1"/>
          <c:order val="1"/>
          <c:tx>
            <c:strRef>
              <c:f>'C47'!$A$22</c:f>
              <c:strCache>
                <c:ptCount val="1"/>
                <c:pt idx="0">
                  <c:v>2010</c:v>
                </c:pt>
              </c:strCache>
            </c:strRef>
          </c:tx>
          <c:cat>
            <c:strRef>
              <c:f>'C47'!$B$20:$L$20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'C47'!$B$22:$L$22</c:f>
              <c:numCache>
                <c:formatCode>0.00</c:formatCode>
                <c:ptCount val="11"/>
                <c:pt idx="0">
                  <c:v>11.5</c:v>
                </c:pt>
                <c:pt idx="1">
                  <c:v>21.1</c:v>
                </c:pt>
                <c:pt idx="2">
                  <c:v>10.8</c:v>
                </c:pt>
                <c:pt idx="3">
                  <c:v>19.3</c:v>
                </c:pt>
                <c:pt idx="4">
                  <c:v>15.5</c:v>
                </c:pt>
                <c:pt idx="5">
                  <c:v>16.3</c:v>
                </c:pt>
                <c:pt idx="6">
                  <c:v>8.8000000000000007</c:v>
                </c:pt>
                <c:pt idx="7">
                  <c:v>11.1</c:v>
                </c:pt>
                <c:pt idx="8">
                  <c:v>13.4</c:v>
                </c:pt>
                <c:pt idx="9">
                  <c:v>2.5</c:v>
                </c:pt>
                <c:pt idx="10">
                  <c:v>12.2</c:v>
                </c:pt>
              </c:numCache>
            </c:numRef>
          </c:val>
        </c:ser>
        <c:axId val="134104960"/>
        <c:axId val="134106496"/>
      </c:barChart>
      <c:catAx>
        <c:axId val="134104960"/>
        <c:scaling>
          <c:orientation val="minMax"/>
        </c:scaling>
        <c:axPos val="b"/>
        <c:numFmt formatCode="General" sourceLinked="1"/>
        <c:tickLblPos val="nextTo"/>
        <c:txPr>
          <a:bodyPr/>
          <a:lstStyle/>
          <a:p>
            <a:pPr>
              <a:defRPr lang="en-CA"/>
            </a:pPr>
            <a:endParaRPr lang="en-US"/>
          </a:p>
        </c:txPr>
        <c:crossAx val="134106496"/>
        <c:crosses val="autoZero"/>
        <c:auto val="1"/>
        <c:lblAlgn val="ctr"/>
        <c:lblOffset val="100"/>
      </c:catAx>
      <c:valAx>
        <c:axId val="134106496"/>
        <c:scaling>
          <c:orientation val="minMax"/>
        </c:scaling>
        <c:axPos val="l"/>
        <c:majorGridlines/>
        <c:title>
          <c:tx>
            <c:rich>
              <a:bodyPr rot="-5400000" vert="horz"/>
              <a:lstStyle/>
              <a:p>
                <a:pPr>
                  <a:defRPr lang="en-CA" b="0"/>
                </a:pPr>
                <a:r>
                  <a:rPr lang="en-US" b="0"/>
                  <a:t>Per cent</a:t>
                </a:r>
              </a:p>
            </c:rich>
          </c:tx>
        </c:title>
        <c:numFmt formatCode="0" sourceLinked="0"/>
        <c:tickLblPos val="nextTo"/>
        <c:txPr>
          <a:bodyPr/>
          <a:lstStyle/>
          <a:p>
            <a:pPr>
              <a:defRPr lang="en-CA"/>
            </a:pPr>
            <a:endParaRPr lang="en-US"/>
          </a:p>
        </c:txPr>
        <c:crossAx val="134104960"/>
        <c:crosses val="autoZero"/>
        <c:crossBetween val="between"/>
      </c:valAx>
    </c:plotArea>
    <c:legend>
      <c:legendPos val="r"/>
      <c:layout>
        <c:manualLayout>
          <c:xMode val="edge"/>
          <c:yMode val="edge"/>
          <c:x val="0.79248982766043163"/>
          <c:y val="6.2579248301033077E-2"/>
          <c:w val="0.11432959768917735"/>
          <c:h val="0.15817527859522701"/>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11" l="0.70000000000000062" r="0.70000000000000062" t="0.75000000000000411"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2820535751015474"/>
          <c:y val="4.3210006781704446E-2"/>
          <c:w val="0.84798686467430862"/>
          <c:h val="0.53703865571546949"/>
        </c:manualLayout>
      </c:layout>
      <c:barChart>
        <c:barDir val="col"/>
        <c:grouping val="clustered"/>
        <c:ser>
          <c:idx val="0"/>
          <c:order val="0"/>
          <c:tx>
            <c:strRef>
              <c:f>'C48'!$A$21</c:f>
              <c:strCache>
                <c:ptCount val="1"/>
                <c:pt idx="0">
                  <c:v>1981</c:v>
                </c:pt>
              </c:strCache>
            </c:strRef>
          </c:tx>
          <c:spPr>
            <a:solidFill>
              <a:prstClr val="black"/>
            </a:solidFill>
          </c:spPr>
          <c:cat>
            <c:strRef>
              <c:f>'C48'!$B$20:$L$20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'C48'!$B$21:$L$21</c:f>
              <c:numCache>
                <c:formatCode>0.00</c:formatCode>
                <c:ptCount val="11"/>
                <c:pt idx="0">
                  <c:v>0.18989999999999999</c:v>
                </c:pt>
                <c:pt idx="1">
                  <c:v>0.16539999999999999</c:v>
                </c:pt>
                <c:pt idx="2">
                  <c:v>0.16539999999999999</c:v>
                </c:pt>
                <c:pt idx="3">
                  <c:v>0.2039</c:v>
                </c:pt>
                <c:pt idx="4">
                  <c:v>0.191</c:v>
                </c:pt>
                <c:pt idx="5">
                  <c:v>0.1898</c:v>
                </c:pt>
                <c:pt idx="6">
                  <c:v>0.17670000000000002</c:v>
                </c:pt>
                <c:pt idx="7">
                  <c:v>0.19539999999999999</c:v>
                </c:pt>
                <c:pt idx="8">
                  <c:v>0.2024</c:v>
                </c:pt>
                <c:pt idx="9">
                  <c:v>0.20949999999999999</c:v>
                </c:pt>
                <c:pt idx="10">
                  <c:v>0.20829999999999999</c:v>
                </c:pt>
              </c:numCache>
            </c:numRef>
          </c:val>
        </c:ser>
        <c:ser>
          <c:idx val="1"/>
          <c:order val="1"/>
          <c:tx>
            <c:strRef>
              <c:f>'C48'!$A$22</c:f>
              <c:strCache>
                <c:ptCount val="1"/>
                <c:pt idx="0">
                  <c:v>2010</c:v>
                </c:pt>
              </c:strCache>
            </c:strRef>
          </c:tx>
          <c:cat>
            <c:strRef>
              <c:f>'C48'!$B$20:$L$20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'C48'!$B$22:$L$22</c:f>
              <c:numCache>
                <c:formatCode>0.00</c:formatCode>
                <c:ptCount val="11"/>
                <c:pt idx="0">
                  <c:v>0.15909999999999999</c:v>
                </c:pt>
                <c:pt idx="1">
                  <c:v>0.1115</c:v>
                </c:pt>
                <c:pt idx="2">
                  <c:v>0.12539999999999998</c:v>
                </c:pt>
                <c:pt idx="3">
                  <c:v>0.1517</c:v>
                </c:pt>
                <c:pt idx="4">
                  <c:v>0.1232</c:v>
                </c:pt>
                <c:pt idx="5">
                  <c:v>0.14630000000000001</c:v>
                </c:pt>
                <c:pt idx="6">
                  <c:v>0.1678</c:v>
                </c:pt>
                <c:pt idx="7">
                  <c:v>0.1431</c:v>
                </c:pt>
                <c:pt idx="8">
                  <c:v>0.13170000000000001</c:v>
                </c:pt>
                <c:pt idx="9">
                  <c:v>0.17460000000000001</c:v>
                </c:pt>
                <c:pt idx="10">
                  <c:v>0.1928</c:v>
                </c:pt>
              </c:numCache>
            </c:numRef>
          </c:val>
        </c:ser>
        <c:axId val="134184960"/>
        <c:axId val="134186496"/>
      </c:barChart>
      <c:catAx>
        <c:axId val="134184960"/>
        <c:scaling>
          <c:orientation val="minMax"/>
        </c:scaling>
        <c:axPos val="b"/>
        <c:numFmt formatCode="General" sourceLinked="1"/>
        <c:tickLblPos val="nextTo"/>
        <c:txPr>
          <a:bodyPr/>
          <a:lstStyle/>
          <a:p>
            <a:pPr>
              <a:defRPr lang="en-CA"/>
            </a:pPr>
            <a:endParaRPr lang="en-US"/>
          </a:p>
        </c:txPr>
        <c:crossAx val="134186496"/>
        <c:crosses val="autoZero"/>
        <c:auto val="1"/>
        <c:lblAlgn val="ctr"/>
        <c:lblOffset val="100"/>
      </c:catAx>
      <c:valAx>
        <c:axId val="134186496"/>
        <c:scaling>
          <c:orientation val="minMax"/>
        </c:scaling>
        <c:axPos val="l"/>
        <c:majorGridlines/>
        <c:title>
          <c:tx>
            <c:rich>
              <a:bodyPr rot="-5400000" vert="horz"/>
              <a:lstStyle/>
              <a:p>
                <a:pPr>
                  <a:defRPr lang="en-CA" b="0"/>
                </a:pPr>
                <a:r>
                  <a:rPr lang="en-US" b="0"/>
                  <a:t>Gap Ratio</a:t>
                </a:r>
              </a:p>
            </c:rich>
          </c:tx>
        </c:title>
        <c:numFmt formatCode="0.00" sourceLinked="1"/>
        <c:tickLblPos val="nextTo"/>
        <c:txPr>
          <a:bodyPr/>
          <a:lstStyle/>
          <a:p>
            <a:pPr>
              <a:defRPr lang="en-CA"/>
            </a:pPr>
            <a:endParaRPr lang="en-US"/>
          </a:p>
        </c:txPr>
        <c:crossAx val="134184960"/>
        <c:crosses val="autoZero"/>
        <c:crossBetween val="between"/>
      </c:valAx>
    </c:plotArea>
    <c:legend>
      <c:legendPos val="r"/>
      <c:layout>
        <c:manualLayout>
          <c:xMode val="edge"/>
          <c:yMode val="edge"/>
          <c:x val="0.24648749802070108"/>
          <c:y val="6.9412527137812152E-2"/>
          <c:w val="8.2569971258163163E-2"/>
          <c:h val="0.13026052299018168"/>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389" l="0.70000000000000062" r="0.70000000000000062" t="0.75000000000000389"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1874999999999998"/>
          <c:y val="4.8611111111111112E-2"/>
          <c:w val="0.86250000000000004"/>
          <c:h val="0.53472222222222221"/>
        </c:manualLayout>
      </c:layout>
      <c:barChart>
        <c:barDir val="col"/>
        <c:grouping val="clustered"/>
        <c:ser>
          <c:idx val="0"/>
          <c:order val="0"/>
          <c:tx>
            <c:strRef>
              <c:f>'C49'!$A$21</c:f>
              <c:strCache>
                <c:ptCount val="1"/>
                <c:pt idx="0">
                  <c:v>1981</c:v>
                </c:pt>
              </c:strCache>
            </c:strRef>
          </c:tx>
          <c:spPr>
            <a:solidFill>
              <a:prstClr val="black"/>
            </a:solidFill>
          </c:spPr>
          <c:cat>
            <c:strRef>
              <c:f>'C49'!$B$20:$L$20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'C49'!$B$21:$L$21</c:f>
              <c:numCache>
                <c:formatCode>0.00</c:formatCode>
                <c:ptCount val="11"/>
                <c:pt idx="0">
                  <c:v>0.34472713020593992</c:v>
                </c:pt>
                <c:pt idx="1">
                  <c:v>0.22339113313374512</c:v>
                </c:pt>
                <c:pt idx="2">
                  <c:v>0.32675202039721485</c:v>
                </c:pt>
                <c:pt idx="3">
                  <c:v>0.22055177722528907</c:v>
                </c:pt>
                <c:pt idx="4">
                  <c:v>0.15138173441703143</c:v>
                </c:pt>
                <c:pt idx="5">
                  <c:v>0.25685771750395614</c:v>
                </c:pt>
                <c:pt idx="6">
                  <c:v>0.46998406627812983</c:v>
                </c:pt>
                <c:pt idx="7">
                  <c:v>0.28291505711079196</c:v>
                </c:pt>
                <c:pt idx="8">
                  <c:v>8.3333333333333315E-2</c:v>
                </c:pt>
                <c:pt idx="9">
                  <c:v>0.31758500281692298</c:v>
                </c:pt>
                <c:pt idx="10">
                  <c:v>0.38137437003793712</c:v>
                </c:pt>
              </c:numCache>
            </c:numRef>
          </c:val>
        </c:ser>
        <c:ser>
          <c:idx val="1"/>
          <c:order val="1"/>
          <c:tx>
            <c:strRef>
              <c:f>'C49'!$A$22</c:f>
              <c:strCache>
                <c:ptCount val="1"/>
                <c:pt idx="0">
                  <c:v>2010</c:v>
                </c:pt>
              </c:strCache>
            </c:strRef>
          </c:tx>
          <c:cat>
            <c:strRef>
              <c:f>'C49'!$B$20:$L$20</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'C49'!$B$22:$L$22</c:f>
              <c:numCache>
                <c:formatCode>0.00</c:formatCode>
                <c:ptCount val="11"/>
                <c:pt idx="0">
                  <c:v>0.67229618648223033</c:v>
                </c:pt>
                <c:pt idx="1">
                  <c:v>0.58849352620443485</c:v>
                </c:pt>
                <c:pt idx="2">
                  <c:v>0.74846046661577614</c:v>
                </c:pt>
                <c:pt idx="3">
                  <c:v>0.49633303273335105</c:v>
                </c:pt>
                <c:pt idx="4">
                  <c:v>0.65948543564244111</c:v>
                </c:pt>
                <c:pt idx="5">
                  <c:v>0.58335961179659435</c:v>
                </c:pt>
                <c:pt idx="6">
                  <c:v>0.7288605786517609</c:v>
                </c:pt>
                <c:pt idx="7">
                  <c:v>0.71095116500118882</c:v>
                </c:pt>
                <c:pt idx="8">
                  <c:v>0.68269060057825426</c:v>
                </c:pt>
                <c:pt idx="9">
                  <c:v>0.89552692484936347</c:v>
                </c:pt>
                <c:pt idx="10">
                  <c:v>0.58857204112515393</c:v>
                </c:pt>
              </c:numCache>
            </c:numRef>
          </c:val>
        </c:ser>
        <c:axId val="134265088"/>
        <c:axId val="134270976"/>
      </c:barChart>
      <c:catAx>
        <c:axId val="134265088"/>
        <c:scaling>
          <c:orientation val="minMax"/>
        </c:scaling>
        <c:axPos val="b"/>
        <c:numFmt formatCode="General" sourceLinked="1"/>
        <c:tickLblPos val="nextTo"/>
        <c:txPr>
          <a:bodyPr/>
          <a:lstStyle/>
          <a:p>
            <a:pPr>
              <a:defRPr lang="en-CA"/>
            </a:pPr>
            <a:endParaRPr lang="en-US"/>
          </a:p>
        </c:txPr>
        <c:crossAx val="134270976"/>
        <c:crosses val="autoZero"/>
        <c:auto val="1"/>
        <c:lblAlgn val="ctr"/>
        <c:lblOffset val="100"/>
      </c:catAx>
      <c:valAx>
        <c:axId val="134270976"/>
        <c:scaling>
          <c:orientation val="minMax"/>
        </c:scaling>
        <c:axPos val="l"/>
        <c:majorGridlines/>
        <c:title>
          <c:tx>
            <c:rich>
              <a:bodyPr rot="-5400000" vert="horz"/>
              <a:lstStyle/>
              <a:p>
                <a:pPr>
                  <a:defRPr lang="en-CA" b="0"/>
                </a:pPr>
                <a:r>
                  <a:rPr lang="en-US" b="0"/>
                  <a:t>Index Value</a:t>
                </a:r>
              </a:p>
            </c:rich>
          </c:tx>
        </c:title>
        <c:numFmt formatCode="0.0" sourceLinked="0"/>
        <c:tickLblPos val="nextTo"/>
        <c:txPr>
          <a:bodyPr/>
          <a:lstStyle/>
          <a:p>
            <a:pPr>
              <a:defRPr lang="en-CA"/>
            </a:pPr>
            <a:endParaRPr lang="en-US"/>
          </a:p>
        </c:txPr>
        <c:crossAx val="134265088"/>
        <c:crosses val="autoZero"/>
        <c:crossBetween val="between"/>
      </c:valAx>
    </c:plotArea>
    <c:legend>
      <c:legendPos val="r"/>
      <c:layout>
        <c:manualLayout>
          <c:xMode val="edge"/>
          <c:yMode val="edge"/>
          <c:x val="0.40920002844405734"/>
          <c:y val="3.6653214047168842E-2"/>
          <c:w val="0.22017913385826771"/>
          <c:h val="7.4841790609507131E-2"/>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355" l="0.70000000000000062" r="0.70000000000000062" t="0.75000000000000355"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2083333333333333"/>
          <c:y val="4.8611111111111112E-2"/>
          <c:w val="0.85416666666666652"/>
          <c:h val="0.59375"/>
        </c:manualLayout>
      </c:layout>
      <c:barChart>
        <c:barDir val="col"/>
        <c:grouping val="clustered"/>
        <c:ser>
          <c:idx val="0"/>
          <c:order val="0"/>
          <c:tx>
            <c:strRef>
              <c:f>'C6'!$A$21</c:f>
              <c:strCache>
                <c:ptCount val="1"/>
                <c:pt idx="0">
                  <c:v>1981</c:v>
                </c:pt>
              </c:strCache>
            </c:strRef>
          </c:tx>
          <c:spPr>
            <a:solidFill>
              <a:schemeClr val="tx1"/>
            </a:solidFill>
          </c:spPr>
          <c:cat>
            <c:strLit>
              <c:ptCount val="5"/>
              <c:pt idx="0">
                <c:v>Index of Economic Well-being</c:v>
              </c:pt>
              <c:pt idx="1">
                <c:v>Consumption Domain</c:v>
              </c:pt>
              <c:pt idx="2">
                <c:v>Wealth Domain</c:v>
              </c:pt>
              <c:pt idx="3">
                <c:v>Economic Equality Domain</c:v>
              </c:pt>
              <c:pt idx="4">
                <c:v>Economic Security Domain</c:v>
              </c:pt>
            </c:strLit>
          </c:cat>
          <c:val>
            <c:numRef>
              <c:f>'C6'!$B$21:$F$21</c:f>
              <c:numCache>
                <c:formatCode>General</c:formatCode>
                <c:ptCount val="5"/>
                <c:pt idx="0">
                  <c:v>0.44780458265691525</c:v>
                </c:pt>
                <c:pt idx="1">
                  <c:v>0.26502024105489891</c:v>
                </c:pt>
                <c:pt idx="2">
                  <c:v>0.25267986708165169</c:v>
                </c:pt>
                <c:pt idx="3">
                  <c:v>0.6415022695162006</c:v>
                </c:pt>
                <c:pt idx="4">
                  <c:v>0.63201595297490964</c:v>
                </c:pt>
              </c:numCache>
            </c:numRef>
          </c:val>
        </c:ser>
        <c:ser>
          <c:idx val="1"/>
          <c:order val="1"/>
          <c:tx>
            <c:strRef>
              <c:f>'C6'!$A$22</c:f>
              <c:strCache>
                <c:ptCount val="1"/>
                <c:pt idx="0">
                  <c:v>2010</c:v>
                </c:pt>
              </c:strCache>
            </c:strRef>
          </c:tx>
          <c:cat>
            <c:strLit>
              <c:ptCount val="5"/>
              <c:pt idx="0">
                <c:v>Index of Economic Well-being</c:v>
              </c:pt>
              <c:pt idx="1">
                <c:v>Consumption Domain</c:v>
              </c:pt>
              <c:pt idx="2">
                <c:v>Wealth Domain</c:v>
              </c:pt>
              <c:pt idx="3">
                <c:v>Economic Equality Domain</c:v>
              </c:pt>
              <c:pt idx="4">
                <c:v>Economic Security Domain</c:v>
              </c:pt>
            </c:strLit>
          </c:cat>
          <c:val>
            <c:numRef>
              <c:f>'C6'!$B$22:$F$22</c:f>
              <c:numCache>
                <c:formatCode>General</c:formatCode>
                <c:ptCount val="5"/>
                <c:pt idx="0">
                  <c:v>0.56162138366182712</c:v>
                </c:pt>
                <c:pt idx="1">
                  <c:v>0.83603513861958567</c:v>
                </c:pt>
                <c:pt idx="2">
                  <c:v>0.43582687101768375</c:v>
                </c:pt>
                <c:pt idx="3">
                  <c:v>0.48990011732755612</c:v>
                </c:pt>
                <c:pt idx="4">
                  <c:v>0.48472340768248307</c:v>
                </c:pt>
              </c:numCache>
            </c:numRef>
          </c:val>
        </c:ser>
        <c:axId val="129841408"/>
        <c:axId val="129867776"/>
      </c:barChart>
      <c:catAx>
        <c:axId val="129841408"/>
        <c:scaling>
          <c:orientation val="minMax"/>
        </c:scaling>
        <c:axPos val="b"/>
        <c:numFmt formatCode="General" sourceLinked="1"/>
        <c:tickLblPos val="nextTo"/>
        <c:txPr>
          <a:bodyPr rot="0"/>
          <a:lstStyle/>
          <a:p>
            <a:pPr>
              <a:defRPr lang="en-CA"/>
            </a:pPr>
            <a:endParaRPr lang="en-US"/>
          </a:p>
        </c:txPr>
        <c:crossAx val="129867776"/>
        <c:crosses val="autoZero"/>
        <c:auto val="1"/>
        <c:lblAlgn val="ctr"/>
        <c:lblOffset val="100"/>
      </c:catAx>
      <c:valAx>
        <c:axId val="129867776"/>
        <c:scaling>
          <c:orientation val="minMax"/>
        </c:scaling>
        <c:axPos val="l"/>
        <c:majorGridlines/>
        <c:title>
          <c:tx>
            <c:rich>
              <a:bodyPr rot="-5400000" vert="horz"/>
              <a:lstStyle/>
              <a:p>
                <a:pPr>
                  <a:defRPr lang="en-CA" b="0"/>
                </a:pPr>
                <a:r>
                  <a:rPr lang="en-US" b="0"/>
                  <a:t>Index</a:t>
                </a:r>
                <a:r>
                  <a:rPr lang="en-US" b="0" baseline="0"/>
                  <a:t> Value</a:t>
                </a:r>
                <a:endParaRPr lang="en-US" b="0"/>
              </a:p>
            </c:rich>
          </c:tx>
        </c:title>
        <c:numFmt formatCode="0.0" sourceLinked="0"/>
        <c:tickLblPos val="nextTo"/>
        <c:txPr>
          <a:bodyPr/>
          <a:lstStyle/>
          <a:p>
            <a:pPr>
              <a:defRPr lang="en-CA"/>
            </a:pPr>
            <a:endParaRPr lang="en-US"/>
          </a:p>
        </c:txPr>
        <c:crossAx val="129841408"/>
        <c:crosses val="autoZero"/>
        <c:crossBetween val="between"/>
      </c:valAx>
    </c:plotArea>
    <c:legend>
      <c:legendPos val="r"/>
      <c:layout>
        <c:manualLayout>
          <c:xMode val="edge"/>
          <c:yMode val="edge"/>
          <c:x val="0.8603764216972879"/>
          <c:y val="3.2023549139690868E-2"/>
          <c:w val="0.10351246719160101"/>
          <c:h val="0.16743438320210097"/>
        </c:manualLayout>
      </c:layout>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1966885389326334"/>
          <c:y val="5.1400554097404488E-2"/>
          <c:w val="0.84626312335958065"/>
          <c:h val="0.61238572333105712"/>
        </c:manualLayout>
      </c:layout>
      <c:barChart>
        <c:barDir val="col"/>
        <c:grouping val="clustered"/>
        <c:ser>
          <c:idx val="0"/>
          <c:order val="0"/>
          <c:tx>
            <c:strRef>
              <c:f>'C50'!$A$23</c:f>
              <c:strCache>
                <c:ptCount val="1"/>
                <c:pt idx="0">
                  <c:v>1981</c:v>
                </c:pt>
              </c:strCache>
            </c:strRef>
          </c:tx>
          <c:spPr>
            <a:solidFill>
              <a:schemeClr val="tx1"/>
            </a:solidFill>
          </c:spPr>
          <c:cat>
            <c:strRef>
              <c:f>'C50'!$B$22:$L$22</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'C50'!$B$23:$L$23</c:f>
              <c:numCache>
                <c:formatCode>General</c:formatCode>
                <c:ptCount val="11"/>
                <c:pt idx="0">
                  <c:v>0.63201595297490964</c:v>
                </c:pt>
                <c:pt idx="1">
                  <c:v>0.41310207481519734</c:v>
                </c:pt>
                <c:pt idx="2">
                  <c:v>0.45114132979063915</c:v>
                </c:pt>
                <c:pt idx="3">
                  <c:v>0.62943653895762197</c:v>
                </c:pt>
                <c:pt idx="4">
                  <c:v>0.52017136127858687</c:v>
                </c:pt>
                <c:pt idx="5">
                  <c:v>0.56113307019886161</c:v>
                </c:pt>
                <c:pt idx="6">
                  <c:v>0.68187528276174003</c:v>
                </c:pt>
                <c:pt idx="7">
                  <c:v>0.61454232118591945</c:v>
                </c:pt>
                <c:pt idx="8">
                  <c:v>0.72083174572819975</c:v>
                </c:pt>
                <c:pt idx="9">
                  <c:v>0.71288901997033804</c:v>
                </c:pt>
                <c:pt idx="10">
                  <c:v>0.60953060721864039</c:v>
                </c:pt>
              </c:numCache>
            </c:numRef>
          </c:val>
        </c:ser>
        <c:ser>
          <c:idx val="1"/>
          <c:order val="1"/>
          <c:tx>
            <c:strRef>
              <c:f>'C50'!$A$24</c:f>
              <c:strCache>
                <c:ptCount val="1"/>
                <c:pt idx="0">
                  <c:v>2010</c:v>
                </c:pt>
              </c:strCache>
            </c:strRef>
          </c:tx>
          <c:spPr>
            <a:solidFill>
              <a:prstClr val="white">
                <a:lumMod val="50000"/>
              </a:prstClr>
            </a:solidFill>
          </c:spPr>
          <c:cat>
            <c:strRef>
              <c:f>'C50'!$B$22:$L$22</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'C50'!$B$24:$L$24</c:f>
              <c:numCache>
                <c:formatCode>General</c:formatCode>
                <c:ptCount val="11"/>
                <c:pt idx="0">
                  <c:v>0.48472340768248307</c:v>
                </c:pt>
                <c:pt idx="1">
                  <c:v>0.47297315923293426</c:v>
                </c:pt>
                <c:pt idx="2">
                  <c:v>0.45422804823823049</c:v>
                </c:pt>
                <c:pt idx="3">
                  <c:v>0.39301948177345436</c:v>
                </c:pt>
                <c:pt idx="4">
                  <c:v>0.41103494289026249</c:v>
                </c:pt>
                <c:pt idx="5">
                  <c:v>0.49951556067048475</c:v>
                </c:pt>
                <c:pt idx="6">
                  <c:v>0.42629406192423747</c:v>
                </c:pt>
                <c:pt idx="7">
                  <c:v>0.52085201986743479</c:v>
                </c:pt>
                <c:pt idx="8">
                  <c:v>0.59553343581439844</c:v>
                </c:pt>
                <c:pt idx="9">
                  <c:v>0.62013965685631289</c:v>
                </c:pt>
                <c:pt idx="10">
                  <c:v>0.49116511425617471</c:v>
                </c:pt>
              </c:numCache>
            </c:numRef>
          </c:val>
        </c:ser>
        <c:axId val="134304512"/>
        <c:axId val="134306048"/>
      </c:barChart>
      <c:catAx>
        <c:axId val="134304512"/>
        <c:scaling>
          <c:orientation val="minMax"/>
        </c:scaling>
        <c:axPos val="b"/>
        <c:tickLblPos val="nextTo"/>
        <c:txPr>
          <a:bodyPr/>
          <a:lstStyle/>
          <a:p>
            <a:pPr>
              <a:defRPr lang="en-CA"/>
            </a:pPr>
            <a:endParaRPr lang="en-US"/>
          </a:p>
        </c:txPr>
        <c:crossAx val="134306048"/>
        <c:crosses val="autoZero"/>
        <c:auto val="1"/>
        <c:lblAlgn val="ctr"/>
        <c:lblOffset val="100"/>
      </c:catAx>
      <c:valAx>
        <c:axId val="134306048"/>
        <c:scaling>
          <c:orientation val="minMax"/>
        </c:scaling>
        <c:axPos val="l"/>
        <c:majorGridlines/>
        <c:title>
          <c:tx>
            <c:rich>
              <a:bodyPr rot="-5400000" vert="horz"/>
              <a:lstStyle/>
              <a:p>
                <a:pPr>
                  <a:defRPr lang="en-CA" b="0"/>
                </a:pPr>
                <a:r>
                  <a:rPr lang="en-US" b="0"/>
                  <a:t>Index</a:t>
                </a:r>
                <a:r>
                  <a:rPr lang="en-US" b="0" baseline="0"/>
                  <a:t> Value</a:t>
                </a:r>
                <a:endParaRPr lang="en-US" b="0"/>
              </a:p>
            </c:rich>
          </c:tx>
        </c:title>
        <c:numFmt formatCode="0.0" sourceLinked="0"/>
        <c:tickLblPos val="nextTo"/>
        <c:txPr>
          <a:bodyPr/>
          <a:lstStyle/>
          <a:p>
            <a:pPr>
              <a:defRPr lang="en-CA"/>
            </a:pPr>
            <a:endParaRPr lang="en-US"/>
          </a:p>
        </c:txPr>
        <c:crossAx val="134304512"/>
        <c:crosses val="autoZero"/>
        <c:crossBetween val="between"/>
      </c:valAx>
    </c:plotArea>
    <c:legend>
      <c:legendPos val="r"/>
      <c:layout>
        <c:manualLayout>
          <c:xMode val="edge"/>
          <c:yMode val="edge"/>
          <c:x val="0.16785914391554438"/>
          <c:y val="4.5613074200244512E-2"/>
          <c:w val="8.9524295949498095E-2"/>
          <c:h val="0.14351518560180404"/>
        </c:manualLayout>
      </c:layout>
      <c:spPr>
        <a:solidFill>
          <a:schemeClr val="bg1"/>
        </a:solidFill>
        <a:ln>
          <a:solidFill>
            <a:sysClr val="windowText" lastClr="000000"/>
          </a:solidFill>
        </a:ln>
      </c:spPr>
      <c:txPr>
        <a:bodyPr/>
        <a:lstStyle/>
        <a:p>
          <a:pPr>
            <a:defRPr lang="en-CA"/>
          </a:pPr>
          <a:endParaRPr lang="en-US"/>
        </a:p>
      </c:txPr>
    </c:legend>
    <c:plotVisOnly val="1"/>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en-US"/>
  <c:style val="1"/>
  <c:chart>
    <c:title>
      <c:tx>
        <c:rich>
          <a:bodyPr/>
          <a:lstStyle/>
          <a:p>
            <a:pPr>
              <a:defRPr lang="en-CA" sz="1100"/>
            </a:pPr>
            <a:r>
              <a:rPr lang="en-US" sz="1100"/>
              <a:t>IEWB</a:t>
            </a:r>
            <a:r>
              <a:rPr lang="en-US" sz="1100" baseline="0"/>
              <a:t> Levels</a:t>
            </a:r>
            <a:endParaRPr lang="en-US" sz="1100"/>
          </a:p>
        </c:rich>
      </c:tx>
      <c:layout>
        <c:manualLayout>
          <c:xMode val="edge"/>
          <c:yMode val="edge"/>
          <c:x val="0.42998612210916193"/>
          <c:y val="0"/>
        </c:manualLayout>
      </c:layout>
      <c:overlay val="1"/>
      <c:spPr>
        <a:solidFill>
          <a:schemeClr val="bg1"/>
        </a:solidFill>
      </c:spPr>
    </c:title>
    <c:plotArea>
      <c:layout>
        <c:manualLayout>
          <c:layoutTarget val="inner"/>
          <c:xMode val="edge"/>
          <c:yMode val="edge"/>
          <c:x val="0.12627072469830899"/>
          <c:y val="7.0790599677088173E-2"/>
          <c:w val="0.85668974582890001"/>
          <c:h val="0.69767053066709184"/>
        </c:manualLayout>
      </c:layout>
      <c:lineChart>
        <c:grouping val="standard"/>
        <c:ser>
          <c:idx val="0"/>
          <c:order val="0"/>
          <c:tx>
            <c:strRef>
              <c:f>'C51'!$O$1</c:f>
              <c:strCache>
                <c:ptCount val="1"/>
                <c:pt idx="0">
                  <c:v>Baseline</c:v>
                </c:pt>
              </c:strCache>
            </c:strRef>
          </c:tx>
          <c:marker>
            <c:symbol val="circle"/>
            <c:size val="5"/>
          </c:marker>
          <c:cat>
            <c:numRef>
              <c:f>'C51'!$J$2:$J$31</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'C51'!$O$2:$O$31</c:f>
              <c:numCache>
                <c:formatCode>0.000</c:formatCode>
                <c:ptCount val="30"/>
                <c:pt idx="0">
                  <c:v>0.44780458265691525</c:v>
                </c:pt>
                <c:pt idx="1">
                  <c:v>0.43301562693507134</c:v>
                </c:pt>
                <c:pt idx="2">
                  <c:v>0.42340958261067185</c:v>
                </c:pt>
                <c:pt idx="3">
                  <c:v>0.42844030729926186</c:v>
                </c:pt>
                <c:pt idx="4">
                  <c:v>0.44705988924508555</c:v>
                </c:pt>
                <c:pt idx="5">
                  <c:v>0.45172672744933806</c:v>
                </c:pt>
                <c:pt idx="6">
                  <c:v>0.46232821572107063</c:v>
                </c:pt>
                <c:pt idx="7">
                  <c:v>0.48738294963598849</c:v>
                </c:pt>
                <c:pt idx="8">
                  <c:v>0.50357121370456881</c:v>
                </c:pt>
                <c:pt idx="9">
                  <c:v>0.49054495517693048</c:v>
                </c:pt>
                <c:pt idx="10">
                  <c:v>0.48104437061629834</c:v>
                </c:pt>
                <c:pt idx="11">
                  <c:v>0.47966464196689351</c:v>
                </c:pt>
                <c:pt idx="12">
                  <c:v>0.4798713663978178</c:v>
                </c:pt>
                <c:pt idx="13">
                  <c:v>0.48615136049483088</c:v>
                </c:pt>
                <c:pt idx="14">
                  <c:v>0.4878403706788994</c:v>
                </c:pt>
                <c:pt idx="15">
                  <c:v>0.47679488956266264</c:v>
                </c:pt>
                <c:pt idx="16">
                  <c:v>0.47766802820173043</c:v>
                </c:pt>
                <c:pt idx="17">
                  <c:v>0.48422154380221771</c:v>
                </c:pt>
                <c:pt idx="18">
                  <c:v>0.49477781532887766</c:v>
                </c:pt>
                <c:pt idx="19">
                  <c:v>0.50968985488856333</c:v>
                </c:pt>
                <c:pt idx="20">
                  <c:v>0.50968640160868317</c:v>
                </c:pt>
                <c:pt idx="21">
                  <c:v>0.50226432094820594</c:v>
                </c:pt>
                <c:pt idx="22">
                  <c:v>0.5105743605227403</c:v>
                </c:pt>
                <c:pt idx="23">
                  <c:v>0.51589996617088774</c:v>
                </c:pt>
                <c:pt idx="24">
                  <c:v>0.53118336100478869</c:v>
                </c:pt>
                <c:pt idx="25">
                  <c:v>0.55580840623949612</c:v>
                </c:pt>
                <c:pt idx="26">
                  <c:v>0.56882926438580561</c:v>
                </c:pt>
                <c:pt idx="27">
                  <c:v>0.5748443538431145</c:v>
                </c:pt>
                <c:pt idx="28">
                  <c:v>0.55360366467963618</c:v>
                </c:pt>
                <c:pt idx="29">
                  <c:v>0.56162138366182712</c:v>
                </c:pt>
              </c:numCache>
            </c:numRef>
          </c:val>
        </c:ser>
        <c:ser>
          <c:idx val="1"/>
          <c:order val="1"/>
          <c:tx>
            <c:strRef>
              <c:f>'C51'!$P$1</c:f>
              <c:strCache>
                <c:ptCount val="1"/>
                <c:pt idx="0">
                  <c:v>Alt 1</c:v>
                </c:pt>
              </c:strCache>
            </c:strRef>
          </c:tx>
          <c:marker>
            <c:symbol val="square"/>
            <c:size val="4"/>
          </c:marker>
          <c:cat>
            <c:numRef>
              <c:f>'C51'!$J$2:$J$31</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'C51'!$P$2:$P$31</c:f>
              <c:numCache>
                <c:formatCode>0.000</c:formatCode>
                <c:ptCount val="30"/>
                <c:pt idx="0">
                  <c:v>0.44965563875290226</c:v>
                </c:pt>
                <c:pt idx="1">
                  <c:v>0.43191352960631268</c:v>
                </c:pt>
                <c:pt idx="2">
                  <c:v>0.42235109416826999</c:v>
                </c:pt>
                <c:pt idx="3">
                  <c:v>0.43025075938626511</c:v>
                </c:pt>
                <c:pt idx="4">
                  <c:v>0.45384815802344081</c:v>
                </c:pt>
                <c:pt idx="5">
                  <c:v>0.46437205019033345</c:v>
                </c:pt>
                <c:pt idx="6">
                  <c:v>0.47781504106506589</c:v>
                </c:pt>
                <c:pt idx="7">
                  <c:v>0.50619193353301362</c:v>
                </c:pt>
                <c:pt idx="8">
                  <c:v>0.52529920714411216</c:v>
                </c:pt>
                <c:pt idx="9">
                  <c:v>0.51208514380793546</c:v>
                </c:pt>
                <c:pt idx="10">
                  <c:v>0.50432244928183356</c:v>
                </c:pt>
                <c:pt idx="11">
                  <c:v>0.50680318616634823</c:v>
                </c:pt>
                <c:pt idx="12">
                  <c:v>0.50834849177607988</c:v>
                </c:pt>
                <c:pt idx="13">
                  <c:v>0.5162052202572105</c:v>
                </c:pt>
                <c:pt idx="14">
                  <c:v>0.51840041718436636</c:v>
                </c:pt>
                <c:pt idx="15">
                  <c:v>0.50786644785437918</c:v>
                </c:pt>
                <c:pt idx="16">
                  <c:v>0.51100504630659382</c:v>
                </c:pt>
                <c:pt idx="17">
                  <c:v>0.52186686366470803</c:v>
                </c:pt>
                <c:pt idx="18">
                  <c:v>0.53334172581578243</c:v>
                </c:pt>
                <c:pt idx="19">
                  <c:v>0.54833660173103493</c:v>
                </c:pt>
                <c:pt idx="20">
                  <c:v>0.55119002335128076</c:v>
                </c:pt>
                <c:pt idx="21">
                  <c:v>0.546433308712855</c:v>
                </c:pt>
                <c:pt idx="22">
                  <c:v>0.55623221833664094</c:v>
                </c:pt>
                <c:pt idx="23">
                  <c:v>0.56244732601114955</c:v>
                </c:pt>
                <c:pt idx="24">
                  <c:v>0.57743697227828228</c:v>
                </c:pt>
                <c:pt idx="25">
                  <c:v>0.60415591612700814</c:v>
                </c:pt>
                <c:pt idx="26">
                  <c:v>0.62208807374632469</c:v>
                </c:pt>
                <c:pt idx="27">
                  <c:v>0.6238528404783874</c:v>
                </c:pt>
                <c:pt idx="28">
                  <c:v>0.61126553002367945</c:v>
                </c:pt>
                <c:pt idx="29">
                  <c:v>0.6216526238021125</c:v>
                </c:pt>
              </c:numCache>
            </c:numRef>
          </c:val>
        </c:ser>
        <c:ser>
          <c:idx val="2"/>
          <c:order val="2"/>
          <c:tx>
            <c:strRef>
              <c:f>'C51'!$Q$1</c:f>
              <c:strCache>
                <c:ptCount val="1"/>
                <c:pt idx="0">
                  <c:v>Alt 2</c:v>
                </c:pt>
              </c:strCache>
            </c:strRef>
          </c:tx>
          <c:cat>
            <c:numRef>
              <c:f>'C51'!$J$2:$J$31</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'C51'!$Q$2:$Q$31</c:f>
              <c:numCache>
                <c:formatCode>0.000</c:formatCode>
                <c:ptCount val="30"/>
                <c:pt idx="0">
                  <c:v>0.38323868703715341</c:v>
                </c:pt>
                <c:pt idx="1">
                  <c:v>0.36624314318263412</c:v>
                </c:pt>
                <c:pt idx="2">
                  <c:v>0.36450091436089638</c:v>
                </c:pt>
                <c:pt idx="3">
                  <c:v>0.37826008781696779</c:v>
                </c:pt>
                <c:pt idx="4">
                  <c:v>0.38837260293056602</c:v>
                </c:pt>
                <c:pt idx="5">
                  <c:v>0.38706324336300063</c:v>
                </c:pt>
                <c:pt idx="6">
                  <c:v>0.39415939616050527</c:v>
                </c:pt>
                <c:pt idx="7">
                  <c:v>0.41942504879342596</c:v>
                </c:pt>
                <c:pt idx="8">
                  <c:v>0.43449262584837084</c:v>
                </c:pt>
                <c:pt idx="9">
                  <c:v>0.43890728096718973</c:v>
                </c:pt>
                <c:pt idx="10">
                  <c:v>0.42899419073597844</c:v>
                </c:pt>
                <c:pt idx="11">
                  <c:v>0.4305005563394606</c:v>
                </c:pt>
                <c:pt idx="12">
                  <c:v>0.42808303721202384</c:v>
                </c:pt>
                <c:pt idx="13">
                  <c:v>0.43729079951622946</c:v>
                </c:pt>
                <c:pt idx="14">
                  <c:v>0.44651724686443228</c:v>
                </c:pt>
                <c:pt idx="15">
                  <c:v>0.45091284586268499</c:v>
                </c:pt>
                <c:pt idx="16">
                  <c:v>0.46291593727734837</c:v>
                </c:pt>
                <c:pt idx="17">
                  <c:v>0.47433467588882933</c:v>
                </c:pt>
                <c:pt idx="18">
                  <c:v>0.49021523873506306</c:v>
                </c:pt>
                <c:pt idx="19">
                  <c:v>0.51220388622629642</c:v>
                </c:pt>
                <c:pt idx="20">
                  <c:v>0.50922320746356842</c:v>
                </c:pt>
                <c:pt idx="21">
                  <c:v>0.50322346394124995</c:v>
                </c:pt>
                <c:pt idx="22">
                  <c:v>0.51305154799722708</c:v>
                </c:pt>
                <c:pt idx="23">
                  <c:v>0.52850617591969495</c:v>
                </c:pt>
                <c:pt idx="24">
                  <c:v>0.54555323272624212</c:v>
                </c:pt>
                <c:pt idx="25">
                  <c:v>0.5653602675684315</c:v>
                </c:pt>
                <c:pt idx="26">
                  <c:v>0.58004500871402176</c:v>
                </c:pt>
                <c:pt idx="27">
                  <c:v>0.60197634434765834</c:v>
                </c:pt>
                <c:pt idx="28">
                  <c:v>0.57483818046366275</c:v>
                </c:pt>
                <c:pt idx="29">
                  <c:v>0.58552847243991757</c:v>
                </c:pt>
              </c:numCache>
            </c:numRef>
          </c:val>
        </c:ser>
        <c:ser>
          <c:idx val="3"/>
          <c:order val="3"/>
          <c:tx>
            <c:strRef>
              <c:f>'C51'!$R$1</c:f>
              <c:strCache>
                <c:ptCount val="1"/>
                <c:pt idx="0">
                  <c:v>Alt 3</c:v>
                </c:pt>
              </c:strCache>
            </c:strRef>
          </c:tx>
          <c:cat>
            <c:numRef>
              <c:f>'C51'!$J$2:$J$31</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'C51'!$R$2:$R$31</c:f>
              <c:numCache>
                <c:formatCode>0.000</c:formatCode>
                <c:ptCount val="30"/>
                <c:pt idx="0">
                  <c:v>0.52447772861809816</c:v>
                </c:pt>
                <c:pt idx="1">
                  <c:v>0.50804602797713783</c:v>
                </c:pt>
                <c:pt idx="2">
                  <c:v>0.49034558391430927</c:v>
                </c:pt>
                <c:pt idx="3">
                  <c:v>0.49222835302279683</c:v>
                </c:pt>
                <c:pt idx="4">
                  <c:v>0.51695778601225151</c:v>
                </c:pt>
                <c:pt idx="5">
                  <c:v>0.52584244216464526</c:v>
                </c:pt>
                <c:pt idx="6">
                  <c:v>0.53661381217732607</c:v>
                </c:pt>
                <c:pt idx="7">
                  <c:v>0.56440245671374756</c:v>
                </c:pt>
                <c:pt idx="8">
                  <c:v>0.58259864073699563</c:v>
                </c:pt>
                <c:pt idx="9">
                  <c:v>0.55605520061805114</c:v>
                </c:pt>
                <c:pt idx="10">
                  <c:v>0.54496648554265159</c:v>
                </c:pt>
                <c:pt idx="11">
                  <c:v>0.54057842638476361</c:v>
                </c:pt>
                <c:pt idx="12">
                  <c:v>0.54110947279220933</c:v>
                </c:pt>
                <c:pt idx="13">
                  <c:v>0.5454903633321232</c:v>
                </c:pt>
                <c:pt idx="14">
                  <c:v>0.54231583261288896</c:v>
                </c:pt>
                <c:pt idx="15">
                  <c:v>0.51960490431590856</c:v>
                </c:pt>
                <c:pt idx="16">
                  <c:v>0.51261411078255792</c:v>
                </c:pt>
                <c:pt idx="17">
                  <c:v>0.5164990700223393</c:v>
                </c:pt>
                <c:pt idx="18">
                  <c:v>0.52238734112030705</c:v>
                </c:pt>
                <c:pt idx="19">
                  <c:v>0.53106230426920131</c:v>
                </c:pt>
                <c:pt idx="20">
                  <c:v>0.53012488903384081</c:v>
                </c:pt>
                <c:pt idx="21">
                  <c:v>0.51773668360944214</c:v>
                </c:pt>
                <c:pt idx="22">
                  <c:v>0.52351062267017034</c:v>
                </c:pt>
                <c:pt idx="23">
                  <c:v>0.52197103566555847</c:v>
                </c:pt>
                <c:pt idx="24">
                  <c:v>0.53378094031430512</c:v>
                </c:pt>
                <c:pt idx="25">
                  <c:v>0.55968153310649105</c:v>
                </c:pt>
                <c:pt idx="26">
                  <c:v>0.57230256990220563</c:v>
                </c:pt>
                <c:pt idx="27">
                  <c:v>0.56275254345867121</c:v>
                </c:pt>
                <c:pt idx="28">
                  <c:v>0.54671833692928629</c:v>
                </c:pt>
                <c:pt idx="29">
                  <c:v>0.55216678406145281</c:v>
                </c:pt>
              </c:numCache>
            </c:numRef>
          </c:val>
        </c:ser>
        <c:marker val="1"/>
        <c:axId val="132977408"/>
        <c:axId val="132978944"/>
      </c:lineChart>
      <c:catAx>
        <c:axId val="132977408"/>
        <c:scaling>
          <c:orientation val="minMax"/>
        </c:scaling>
        <c:axPos val="b"/>
        <c:numFmt formatCode="General" sourceLinked="1"/>
        <c:tickLblPos val="nextTo"/>
        <c:txPr>
          <a:bodyPr rot="-4140000"/>
          <a:lstStyle/>
          <a:p>
            <a:pPr>
              <a:defRPr lang="en-CA"/>
            </a:pPr>
            <a:endParaRPr lang="en-US"/>
          </a:p>
        </c:txPr>
        <c:crossAx val="132978944"/>
        <c:crosses val="autoZero"/>
        <c:auto val="1"/>
        <c:lblAlgn val="ctr"/>
        <c:lblOffset val="100"/>
      </c:catAx>
      <c:valAx>
        <c:axId val="132978944"/>
        <c:scaling>
          <c:orientation val="minMax"/>
          <c:min val="0.30000000000000032"/>
        </c:scaling>
        <c:axPos val="l"/>
        <c:majorGridlines/>
        <c:title>
          <c:tx>
            <c:rich>
              <a:bodyPr rot="-5400000" vert="horz"/>
              <a:lstStyle/>
              <a:p>
                <a:pPr>
                  <a:defRPr lang="en-CA" b="0"/>
                </a:pPr>
                <a:r>
                  <a:rPr lang="en-US" b="0"/>
                  <a:t>Index of Economic Well-being</a:t>
                </a:r>
              </a:p>
            </c:rich>
          </c:tx>
        </c:title>
        <c:numFmt formatCode="0.00" sourceLinked="0"/>
        <c:tickLblPos val="nextTo"/>
        <c:txPr>
          <a:bodyPr/>
          <a:lstStyle/>
          <a:p>
            <a:pPr>
              <a:defRPr lang="en-CA"/>
            </a:pPr>
            <a:endParaRPr lang="en-US"/>
          </a:p>
        </c:txPr>
        <c:crossAx val="132977408"/>
        <c:crosses val="autoZero"/>
        <c:crossBetween val="between"/>
      </c:valAx>
    </c:plotArea>
    <c:legend>
      <c:legendPos val="r"/>
      <c:layout>
        <c:manualLayout>
          <c:xMode val="edge"/>
          <c:yMode val="edge"/>
          <c:x val="0.80529544240129325"/>
          <c:y val="0.41185785600977937"/>
          <c:w val="0.17788309355651841"/>
          <c:h val="0.33760497285001823"/>
        </c:manualLayout>
      </c:layout>
      <c:spPr>
        <a:solidFill>
          <a:schemeClr val="bg1"/>
        </a:solidFill>
        <a:ln>
          <a:solidFill>
            <a:sysClr val="windowText" lastClr="000000"/>
          </a:solidFill>
        </a:ln>
      </c:spPr>
      <c:txPr>
        <a:bodyPr/>
        <a:lstStyle/>
        <a:p>
          <a:pPr>
            <a:defRPr lang="en-CA" sz="900"/>
          </a:pPr>
          <a:endParaRPr lang="en-US"/>
        </a:p>
      </c:txPr>
    </c:legend>
    <c:plotVisOnly val="1"/>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1458333333333333"/>
          <c:y val="4.8611111111111112E-2"/>
          <c:w val="0.85833333333333361"/>
          <c:h val="0.76041666666666652"/>
        </c:manualLayout>
      </c:layout>
      <c:lineChart>
        <c:grouping val="standard"/>
        <c:ser>
          <c:idx val="0"/>
          <c:order val="0"/>
          <c:tx>
            <c:strRef>
              <c:f>'C51'!$K$1</c:f>
              <c:strCache>
                <c:ptCount val="1"/>
                <c:pt idx="0">
                  <c:v>Baseline</c:v>
                </c:pt>
              </c:strCache>
            </c:strRef>
          </c:tx>
          <c:marker>
            <c:symbol val="circle"/>
            <c:size val="5"/>
          </c:marker>
          <c:cat>
            <c:numRef>
              <c:f>'C51'!$J$2:$J$31</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'C51'!$K$2:$K$31</c:f>
              <c:numCache>
                <c:formatCode>General</c:formatCode>
                <c:ptCount val="30"/>
                <c:pt idx="0">
                  <c:v>99.999999999999986</c:v>
                </c:pt>
                <c:pt idx="1">
                  <c:v>96.697453243086969</c:v>
                </c:pt>
                <c:pt idx="2">
                  <c:v>94.552311210952126</c:v>
                </c:pt>
                <c:pt idx="3">
                  <c:v>95.675730863949354</c:v>
                </c:pt>
                <c:pt idx="4">
                  <c:v>99.833701252584035</c:v>
                </c:pt>
                <c:pt idx="5">
                  <c:v>100.8758607982866</c:v>
                </c:pt>
                <c:pt idx="6">
                  <c:v>103.24329710472897</c:v>
                </c:pt>
                <c:pt idx="7">
                  <c:v>108.83831218167683</c:v>
                </c:pt>
                <c:pt idx="8">
                  <c:v>112.45334085613391</c:v>
                </c:pt>
                <c:pt idx="9">
                  <c:v>109.54442499592746</c:v>
                </c:pt>
                <c:pt idx="10">
                  <c:v>107.42283336230388</c:v>
                </c:pt>
                <c:pt idx="11">
                  <c:v>107.11472382014183</c:v>
                </c:pt>
                <c:pt idx="12">
                  <c:v>107.16088780303315</c:v>
                </c:pt>
                <c:pt idx="13">
                  <c:v>108.56328392407161</c:v>
                </c:pt>
                <c:pt idx="14">
                  <c:v>108.94045964970785</c:v>
                </c:pt>
                <c:pt idx="15">
                  <c:v>106.47387454897</c:v>
                </c:pt>
                <c:pt idx="16">
                  <c:v>106.66885661768562</c:v>
                </c:pt>
                <c:pt idx="17">
                  <c:v>108.13233328905061</c:v>
                </c:pt>
                <c:pt idx="18">
                  <c:v>110.489672167547</c:v>
                </c:pt>
                <c:pt idx="19">
                  <c:v>113.81970498481061</c:v>
                </c:pt>
                <c:pt idx="20">
                  <c:v>113.81893382703021</c:v>
                </c:pt>
                <c:pt idx="21">
                  <c:v>112.1614964206418</c:v>
                </c:pt>
                <c:pt idx="22">
                  <c:v>114.01722543646142</c:v>
                </c:pt>
                <c:pt idx="23">
                  <c:v>115.20649545610918</c:v>
                </c:pt>
                <c:pt idx="24">
                  <c:v>118.61945624878832</c:v>
                </c:pt>
                <c:pt idx="25">
                  <c:v>124.1185168186025</c:v>
                </c:pt>
                <c:pt idx="26">
                  <c:v>127.02622671050538</c:v>
                </c:pt>
                <c:pt idx="27">
                  <c:v>128.36946652766406</c:v>
                </c:pt>
                <c:pt idx="28">
                  <c:v>123.62617224571342</c:v>
                </c:pt>
                <c:pt idx="29">
                  <c:v>125.41662265482272</c:v>
                </c:pt>
              </c:numCache>
            </c:numRef>
          </c:val>
        </c:ser>
        <c:ser>
          <c:idx val="1"/>
          <c:order val="1"/>
          <c:tx>
            <c:strRef>
              <c:f>'C51'!$L$1</c:f>
              <c:strCache>
                <c:ptCount val="1"/>
                <c:pt idx="0">
                  <c:v>Alt 1</c:v>
                </c:pt>
              </c:strCache>
            </c:strRef>
          </c:tx>
          <c:marker>
            <c:symbol val="triangle"/>
            <c:size val="4"/>
          </c:marker>
          <c:cat>
            <c:numRef>
              <c:f>'C51'!$J$2:$J$31</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'C51'!$L$2:$L$31</c:f>
              <c:numCache>
                <c:formatCode>General</c:formatCode>
                <c:ptCount val="30"/>
                <c:pt idx="0">
                  <c:v>100</c:v>
                </c:pt>
                <c:pt idx="1">
                  <c:v>96.054289634664329</c:v>
                </c:pt>
                <c:pt idx="2">
                  <c:v>93.9276765970599</c:v>
                </c:pt>
                <c:pt idx="3">
                  <c:v>95.684502162486922</c:v>
                </c:pt>
                <c:pt idx="4">
                  <c:v>100.93238445361573</c:v>
                </c:pt>
                <c:pt idx="5">
                  <c:v>103.27281816775309</c:v>
                </c:pt>
                <c:pt idx="6">
                  <c:v>106.26243727094412</c:v>
                </c:pt>
                <c:pt idx="7">
                  <c:v>112.57324270121731</c:v>
                </c:pt>
                <c:pt idx="8">
                  <c:v>116.82255527830222</c:v>
                </c:pt>
                <c:pt idx="9">
                  <c:v>113.8838479215291</c:v>
                </c:pt>
                <c:pt idx="10">
                  <c:v>112.15748359801448</c:v>
                </c:pt>
                <c:pt idx="11">
                  <c:v>112.70918064586976</c:v>
                </c:pt>
                <c:pt idx="12">
                  <c:v>113.05284488057558</c:v>
                </c:pt>
                <c:pt idx="13">
                  <c:v>114.80012164172571</c:v>
                </c:pt>
                <c:pt idx="14">
                  <c:v>115.28831677105715</c:v>
                </c:pt>
                <c:pt idx="15">
                  <c:v>112.9456419723595</c:v>
                </c:pt>
                <c:pt idx="16">
                  <c:v>113.64364243798678</c:v>
                </c:pt>
                <c:pt idx="17">
                  <c:v>116.05922814891859</c:v>
                </c:pt>
                <c:pt idx="18">
                  <c:v>118.61115036719642</c:v>
                </c:pt>
                <c:pt idx="19">
                  <c:v>121.94589692054556</c:v>
                </c:pt>
                <c:pt idx="20">
                  <c:v>122.58047622397866</c:v>
                </c:pt>
                <c:pt idx="21">
                  <c:v>121.52261900425864</c:v>
                </c:pt>
                <c:pt idx="22">
                  <c:v>123.70182210531677</c:v>
                </c:pt>
                <c:pt idx="23">
                  <c:v>125.08401486325613</c:v>
                </c:pt>
                <c:pt idx="24">
                  <c:v>128.41759838257011</c:v>
                </c:pt>
                <c:pt idx="25">
                  <c:v>134.35968862808099</c:v>
                </c:pt>
                <c:pt idx="26">
                  <c:v>138.34766433078772</c:v>
                </c:pt>
                <c:pt idx="27">
                  <c:v>138.74013505281786</c:v>
                </c:pt>
                <c:pt idx="28">
                  <c:v>135.94081277819492</c:v>
                </c:pt>
                <c:pt idx="29">
                  <c:v>138.25082356939532</c:v>
                </c:pt>
              </c:numCache>
            </c:numRef>
          </c:val>
        </c:ser>
        <c:ser>
          <c:idx val="2"/>
          <c:order val="2"/>
          <c:tx>
            <c:strRef>
              <c:f>'C51'!$M$1</c:f>
              <c:strCache>
                <c:ptCount val="1"/>
                <c:pt idx="0">
                  <c:v>Alt 2</c:v>
                </c:pt>
              </c:strCache>
            </c:strRef>
          </c:tx>
          <c:marker>
            <c:symbol val="square"/>
            <c:size val="4"/>
          </c:marker>
          <c:cat>
            <c:numRef>
              <c:f>'C51'!$J$2:$J$31</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'C51'!$M$2:$M$31</c:f>
              <c:numCache>
                <c:formatCode>General</c:formatCode>
                <c:ptCount val="30"/>
                <c:pt idx="0">
                  <c:v>100</c:v>
                </c:pt>
                <c:pt idx="1">
                  <c:v>95.5652849178894</c:v>
                </c:pt>
                <c:pt idx="2">
                  <c:v>95.110678198717324</c:v>
                </c:pt>
                <c:pt idx="3">
                  <c:v>98.700914237371094</c:v>
                </c:pt>
                <c:pt idx="4">
                  <c:v>101.33961316199658</c:v>
                </c:pt>
                <c:pt idx="5">
                  <c:v>100.9979567447679</c:v>
                </c:pt>
                <c:pt idx="6">
                  <c:v>102.84958421285197</c:v>
                </c:pt>
                <c:pt idx="7">
                  <c:v>109.44225178205049</c:v>
                </c:pt>
                <c:pt idx="8">
                  <c:v>113.37389479320719</c:v>
                </c:pt>
                <c:pt idx="9">
                  <c:v>114.52582837093361</c:v>
                </c:pt>
                <c:pt idx="10">
                  <c:v>111.93916617671461</c:v>
                </c:pt>
                <c:pt idx="11">
                  <c:v>112.33222816508744</c:v>
                </c:pt>
                <c:pt idx="12">
                  <c:v>111.70141525156696</c:v>
                </c:pt>
                <c:pt idx="13">
                  <c:v>114.10403341503878</c:v>
                </c:pt>
                <c:pt idx="14">
                  <c:v>116.51152714160726</c:v>
                </c:pt>
                <c:pt idx="15">
                  <c:v>117.65848832974706</c:v>
                </c:pt>
                <c:pt idx="16">
                  <c:v>120.79050287333611</c:v>
                </c:pt>
                <c:pt idx="17">
                  <c:v>123.77003990801288</c:v>
                </c:pt>
                <c:pt idx="18">
                  <c:v>127.91381854607458</c:v>
                </c:pt>
                <c:pt idx="19">
                  <c:v>133.65140408610165</c:v>
                </c:pt>
                <c:pt idx="20">
                  <c:v>132.87364368154232</c:v>
                </c:pt>
                <c:pt idx="21">
                  <c:v>131.3081066610753</c:v>
                </c:pt>
                <c:pt idx="22">
                  <c:v>133.87258785475612</c:v>
                </c:pt>
                <c:pt idx="23">
                  <c:v>137.90522559338027</c:v>
                </c:pt>
                <c:pt idx="24">
                  <c:v>142.35338215563633</c:v>
                </c:pt>
                <c:pt idx="25">
                  <c:v>147.52171080098239</c:v>
                </c:pt>
                <c:pt idx="26">
                  <c:v>151.35345891052717</c:v>
                </c:pt>
                <c:pt idx="27">
                  <c:v>157.07608983883696</c:v>
                </c:pt>
                <c:pt idx="28">
                  <c:v>149.99482043626105</c:v>
                </c:pt>
                <c:pt idx="29">
                  <c:v>152.78428098339481</c:v>
                </c:pt>
              </c:numCache>
            </c:numRef>
          </c:val>
        </c:ser>
        <c:ser>
          <c:idx val="3"/>
          <c:order val="3"/>
          <c:tx>
            <c:strRef>
              <c:f>'C51'!$N$1</c:f>
              <c:strCache>
                <c:ptCount val="1"/>
                <c:pt idx="0">
                  <c:v>Alt 3</c:v>
                </c:pt>
              </c:strCache>
            </c:strRef>
          </c:tx>
          <c:marker>
            <c:symbol val="x"/>
            <c:size val="5"/>
          </c:marker>
          <c:cat>
            <c:numRef>
              <c:f>'C51'!$J$2:$J$31</c:f>
              <c:numCache>
                <c:formatCode>General</c:formatCode>
                <c:ptCount val="3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numCache>
            </c:numRef>
          </c:cat>
          <c:val>
            <c:numRef>
              <c:f>'C51'!$N$2:$N$31</c:f>
              <c:numCache>
                <c:formatCode>General</c:formatCode>
                <c:ptCount val="30"/>
                <c:pt idx="0">
                  <c:v>100</c:v>
                </c:pt>
                <c:pt idx="1">
                  <c:v>96.867035577610736</c:v>
                </c:pt>
                <c:pt idx="2">
                  <c:v>93.492165092744585</c:v>
                </c:pt>
                <c:pt idx="3">
                  <c:v>93.851144894126875</c:v>
                </c:pt>
                <c:pt idx="4">
                  <c:v>98.566203635441241</c:v>
                </c:pt>
                <c:pt idx="5">
                  <c:v>100.2602042893495</c:v>
                </c:pt>
                <c:pt idx="6">
                  <c:v>102.31393687415559</c:v>
                </c:pt>
                <c:pt idx="7">
                  <c:v>107.61228283245576</c:v>
                </c:pt>
                <c:pt idx="8">
                  <c:v>111.08167400587921</c:v>
                </c:pt>
                <c:pt idx="9">
                  <c:v>106.02074602541347</c:v>
                </c:pt>
                <c:pt idx="10">
                  <c:v>103.90650656959973</c:v>
                </c:pt>
                <c:pt idx="11">
                  <c:v>103.06985347291825</c:v>
                </c:pt>
                <c:pt idx="12">
                  <c:v>103.17110589575132</c:v>
                </c:pt>
                <c:pt idx="13">
                  <c:v>104.00639218168318</c:v>
                </c:pt>
                <c:pt idx="14">
                  <c:v>103.40111753492201</c:v>
                </c:pt>
                <c:pt idx="15">
                  <c:v>99.070918737573734</c:v>
                </c:pt>
                <c:pt idx="16">
                  <c:v>97.738013038837948</c:v>
                </c:pt>
                <c:pt idx="17">
                  <c:v>98.478742154260559</c:v>
                </c:pt>
                <c:pt idx="18">
                  <c:v>99.601434458752166</c:v>
                </c:pt>
                <c:pt idx="19">
                  <c:v>101.25545381468386</c:v>
                </c:pt>
                <c:pt idx="20">
                  <c:v>101.07672072761257</c:v>
                </c:pt>
                <c:pt idx="21">
                  <c:v>98.714712819852721</c:v>
                </c:pt>
                <c:pt idx="22">
                  <c:v>99.815605907523292</c:v>
                </c:pt>
                <c:pt idx="23">
                  <c:v>99.522059218959711</c:v>
                </c:pt>
                <c:pt idx="24">
                  <c:v>101.7738049088794</c:v>
                </c:pt>
                <c:pt idx="25">
                  <c:v>106.71216384748089</c:v>
                </c:pt>
                <c:pt idx="26">
                  <c:v>109.11856475014049</c:v>
                </c:pt>
                <c:pt idx="27">
                  <c:v>107.29770069387314</c:v>
                </c:pt>
                <c:pt idx="28">
                  <c:v>104.24052483025123</c:v>
                </c:pt>
                <c:pt idx="29">
                  <c:v>105.27935771768806</c:v>
                </c:pt>
              </c:numCache>
            </c:numRef>
          </c:val>
        </c:ser>
        <c:marker val="1"/>
        <c:axId val="133034752"/>
        <c:axId val="133036288"/>
      </c:lineChart>
      <c:catAx>
        <c:axId val="133034752"/>
        <c:scaling>
          <c:orientation val="minMax"/>
        </c:scaling>
        <c:axPos val="b"/>
        <c:numFmt formatCode="General" sourceLinked="1"/>
        <c:tickLblPos val="nextTo"/>
        <c:txPr>
          <a:bodyPr rot="5400000" vert="horz"/>
          <a:lstStyle/>
          <a:p>
            <a:pPr>
              <a:defRPr lang="en-CA"/>
            </a:pPr>
            <a:endParaRPr lang="en-US"/>
          </a:p>
        </c:txPr>
        <c:crossAx val="133036288"/>
        <c:crosses val="autoZero"/>
        <c:auto val="1"/>
        <c:lblAlgn val="ctr"/>
        <c:lblOffset val="100"/>
      </c:catAx>
      <c:valAx>
        <c:axId val="133036288"/>
        <c:scaling>
          <c:orientation val="minMax"/>
          <c:min val="60"/>
        </c:scaling>
        <c:axPos val="l"/>
        <c:majorGridlines/>
        <c:title>
          <c:tx>
            <c:rich>
              <a:bodyPr rot="-5400000" vert="horz"/>
              <a:lstStyle/>
              <a:p>
                <a:pPr>
                  <a:defRPr lang="en-CA" b="0"/>
                </a:pPr>
                <a:r>
                  <a:rPr lang="en-US" b="0"/>
                  <a:t>Index</a:t>
                </a:r>
                <a:r>
                  <a:rPr lang="en-US" b="0" baseline="0"/>
                  <a:t> (normalized to 100 in 1981)</a:t>
                </a:r>
                <a:endParaRPr lang="en-US" b="0"/>
              </a:p>
            </c:rich>
          </c:tx>
        </c:title>
        <c:numFmt formatCode="General" sourceLinked="1"/>
        <c:tickLblPos val="nextTo"/>
        <c:txPr>
          <a:bodyPr/>
          <a:lstStyle/>
          <a:p>
            <a:pPr>
              <a:defRPr lang="en-CA"/>
            </a:pPr>
            <a:endParaRPr lang="en-US"/>
          </a:p>
        </c:txPr>
        <c:crossAx val="133034752"/>
        <c:crosses val="autoZero"/>
        <c:crossBetween val="between"/>
      </c:valAx>
    </c:plotArea>
    <c:legend>
      <c:legendPos val="r"/>
      <c:layout>
        <c:manualLayout>
          <c:xMode val="edge"/>
          <c:yMode val="edge"/>
          <c:x val="0.11555555555555556"/>
          <c:y val="6.8676727909011775E-2"/>
          <c:w val="0.26500000000000001"/>
          <c:h val="0.21449839603383047"/>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344" l="0.70000000000000062" r="0.70000000000000062" t="0.75000000000000344"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'C52'!$A$11</c:f>
              <c:strCache>
                <c:ptCount val="1"/>
                <c:pt idx="0">
                  <c:v>2009</c:v>
                </c:pt>
              </c:strCache>
            </c:strRef>
          </c:tx>
          <c:cat>
            <c:strRef>
              <c:f>'C52'!$B$9:$L$9</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'C52'!$B$11:$L$11</c:f>
              <c:numCache>
                <c:formatCode>0.000</c:formatCode>
                <c:ptCount val="11"/>
                <c:pt idx="0">
                  <c:v>0.96304966897304645</c:v>
                </c:pt>
                <c:pt idx="1">
                  <c:v>1.03972432079549</c:v>
                </c:pt>
                <c:pt idx="2">
                  <c:v>1.0673946498749594</c:v>
                </c:pt>
                <c:pt idx="3">
                  <c:v>0.99167372541935817</c:v>
                </c:pt>
                <c:pt idx="4">
                  <c:v>1.0146217502660586</c:v>
                </c:pt>
                <c:pt idx="5">
                  <c:v>1.0192503047138992</c:v>
                </c:pt>
                <c:pt idx="6">
                  <c:v>0.97174627660949253</c:v>
                </c:pt>
                <c:pt idx="7">
                  <c:v>0.9828101198771968</c:v>
                </c:pt>
                <c:pt idx="8">
                  <c:v>0.97079958200773442</c:v>
                </c:pt>
                <c:pt idx="9">
                  <c:v>0.9086943111958341</c:v>
                </c:pt>
                <c:pt idx="10">
                  <c:v>0.96352959597504462</c:v>
                </c:pt>
              </c:numCache>
            </c:numRef>
          </c:val>
        </c:ser>
        <c:ser>
          <c:idx val="1"/>
          <c:order val="1"/>
          <c:tx>
            <c:strRef>
              <c:f>'C52'!$A$12</c:f>
              <c:strCache>
                <c:ptCount val="1"/>
                <c:pt idx="0">
                  <c:v>2010</c:v>
                </c:pt>
              </c:strCache>
            </c:strRef>
          </c:tx>
          <c:cat>
            <c:strRef>
              <c:f>'C52'!$B$9:$L$9</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'C52'!$B$12:$L$12</c:f>
              <c:numCache>
                <c:formatCode>0.000</c:formatCode>
                <c:ptCount val="11"/>
                <c:pt idx="0">
                  <c:v>0.9769973035433237</c:v>
                </c:pt>
                <c:pt idx="1">
                  <c:v>1.0591329665095783</c:v>
                </c:pt>
                <c:pt idx="2">
                  <c:v>1.0999204577254416</c:v>
                </c:pt>
                <c:pt idx="3">
                  <c:v>1.0052008571578495</c:v>
                </c:pt>
                <c:pt idx="4">
                  <c:v>1.0247980377558334</c:v>
                </c:pt>
                <c:pt idx="5">
                  <c:v>1.0339075636494914</c:v>
                </c:pt>
                <c:pt idx="6">
                  <c:v>0.97996746745652563</c:v>
                </c:pt>
                <c:pt idx="7">
                  <c:v>0.99453765306246156</c:v>
                </c:pt>
                <c:pt idx="8">
                  <c:v>0.97835351754021072</c:v>
                </c:pt>
                <c:pt idx="9">
                  <c:v>0.91703920797774641</c:v>
                </c:pt>
                <c:pt idx="10">
                  <c:v>0.973363364664112</c:v>
                </c:pt>
              </c:numCache>
            </c:numRef>
          </c:val>
        </c:ser>
        <c:axId val="133061632"/>
        <c:axId val="134333184"/>
      </c:barChart>
      <c:catAx>
        <c:axId val="133061632"/>
        <c:scaling>
          <c:orientation val="minMax"/>
        </c:scaling>
        <c:axPos val="b"/>
        <c:tickLblPos val="low"/>
        <c:txPr>
          <a:bodyPr/>
          <a:lstStyle/>
          <a:p>
            <a:pPr>
              <a:defRPr lang="en-CA"/>
            </a:pPr>
            <a:endParaRPr lang="en-US"/>
          </a:p>
        </c:txPr>
        <c:crossAx val="134333184"/>
        <c:crossesAt val="1"/>
        <c:auto val="1"/>
        <c:lblAlgn val="ctr"/>
        <c:lblOffset val="100"/>
      </c:catAx>
      <c:valAx>
        <c:axId val="134333184"/>
        <c:scaling>
          <c:orientation val="minMax"/>
          <c:max val="1.1000000000000001"/>
          <c:min val="0.9"/>
        </c:scaling>
        <c:axPos val="l"/>
        <c:majorGridlines/>
        <c:numFmt formatCode="0.000" sourceLinked="1"/>
        <c:tickLblPos val="nextTo"/>
        <c:txPr>
          <a:bodyPr/>
          <a:lstStyle/>
          <a:p>
            <a:pPr>
              <a:defRPr lang="en-CA"/>
            </a:pPr>
            <a:endParaRPr lang="en-US"/>
          </a:p>
        </c:txPr>
        <c:crossAx val="133061632"/>
        <c:crosses val="autoZero"/>
        <c:crossBetween val="between"/>
      </c:valAx>
    </c:plotArea>
    <c:legend>
      <c:legendPos val="r"/>
      <c:txPr>
        <a:bodyPr/>
        <a:lstStyle/>
        <a:p>
          <a:pPr>
            <a:defRPr lang="en-CA"/>
          </a:pPr>
          <a:endParaRPr lang="en-US"/>
        </a:p>
      </c:txPr>
    </c:legend>
    <c:plotVisOnly val="1"/>
  </c:chart>
  <c:printSettings>
    <c:headerFooter/>
    <c:pageMargins b="0.75000000000000089" l="0.70000000000000062" r="0.70000000000000062" t="0.75000000000000089"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'C53'!$A$10</c:f>
              <c:strCache>
                <c:ptCount val="1"/>
                <c:pt idx="0">
                  <c:v>2009</c:v>
                </c:pt>
              </c:strCache>
            </c:strRef>
          </c:tx>
          <c:cat>
            <c:strRef>
              <c:f>'C53'!$B$8:$L$8</c:f>
              <c:strCache>
                <c:ptCount val="11"/>
                <c:pt idx="0">
                  <c:v>Canada</c:v>
                </c:pt>
                <c:pt idx="1">
                  <c:v>Newfoundland</c:v>
                </c:pt>
                <c:pt idx="2">
                  <c:v>PEI</c:v>
                </c:pt>
                <c:pt idx="3">
                  <c:v>Nova Scotia</c:v>
                </c:pt>
                <c:pt idx="4">
                  <c:v>New Brunswick</c:v>
                </c:pt>
                <c:pt idx="5">
                  <c:v>Quebec</c:v>
                </c:pt>
                <c:pt idx="6">
                  <c:v>Ontario</c:v>
                </c:pt>
                <c:pt idx="7">
                  <c:v>Manitoba</c:v>
                </c:pt>
                <c:pt idx="8">
                  <c:v>Saskatchewan</c:v>
                </c:pt>
                <c:pt idx="9">
                  <c:v>Alberta</c:v>
                </c:pt>
                <c:pt idx="10">
                  <c:v>British Columbia</c:v>
                </c:pt>
              </c:strCache>
            </c:strRef>
          </c:cat>
          <c:val>
            <c:numRef>
              <c:f>'C53'!$B$10:$L$10</c:f>
              <c:numCache>
                <c:formatCode>0.000</c:formatCode>
                <c:ptCount val="11"/>
                <c:pt idx="0">
                  <c:v>0.96368763554107861</c:v>
                </c:pt>
                <c:pt idx="1">
                  <c:v>0.89415774761587785</c:v>
                </c:pt>
                <c:pt idx="2">
                  <c:v>0.98828845147061273</c:v>
                </c:pt>
                <c:pt idx="3">
                  <c:v>0.99614985668883815</c:v>
                </c:pt>
                <c:pt idx="4">
                  <c:v>0.99344405785107426</c:v>
                </c:pt>
                <c:pt idx="5">
                  <c:v>0.98673365144471381</c:v>
                </c:pt>
                <c:pt idx="6">
                  <c:v>0.9538728999530306</c:v>
                </c:pt>
                <c:pt idx="7">
                  <c:v>0.98895363884292664</c:v>
                </c:pt>
                <c:pt idx="8">
                  <c:v>0.94649095766184299</c:v>
                </c:pt>
                <c:pt idx="9">
                  <c:v>0.93483167401592504</c:v>
                </c:pt>
                <c:pt idx="10">
                  <c:v>0.96487214353444106</c:v>
                </c:pt>
              </c:numCache>
            </c:numRef>
          </c:val>
        </c:ser>
        <c:ser>
          <c:idx val="1"/>
          <c:order val="1"/>
          <c:tx>
            <c:strRef>
              <c:f>'C53'!$A$11</c:f>
              <c:strCache>
                <c:ptCount val="1"/>
                <c:pt idx="0">
                  <c:v>2010</c:v>
                </c:pt>
              </c:strCache>
            </c:strRef>
          </c:tx>
          <c:cat>
            <c:strRef>
              <c:f>'C53'!$B$8:$L$8</c:f>
              <c:strCache>
                <c:ptCount val="11"/>
                <c:pt idx="0">
                  <c:v>Canada</c:v>
                </c:pt>
                <c:pt idx="1">
                  <c:v>Newfoundland</c:v>
                </c:pt>
                <c:pt idx="2">
                  <c:v>PEI</c:v>
                </c:pt>
                <c:pt idx="3">
                  <c:v>Nova Scotia</c:v>
                </c:pt>
                <c:pt idx="4">
                  <c:v>New Brunswick</c:v>
                </c:pt>
                <c:pt idx="5">
                  <c:v>Quebec</c:v>
                </c:pt>
                <c:pt idx="6">
                  <c:v>Ontario</c:v>
                </c:pt>
                <c:pt idx="7">
                  <c:v>Manitoba</c:v>
                </c:pt>
                <c:pt idx="8">
                  <c:v>Saskatchewan</c:v>
                </c:pt>
                <c:pt idx="9">
                  <c:v>Alberta</c:v>
                </c:pt>
                <c:pt idx="10">
                  <c:v>British Columbia</c:v>
                </c:pt>
              </c:strCache>
            </c:strRef>
          </c:cat>
          <c:val>
            <c:numRef>
              <c:f>'C53'!$B$11:$L$11</c:f>
              <c:numCache>
                <c:formatCode>0.000</c:formatCode>
                <c:ptCount val="11"/>
                <c:pt idx="0">
                  <c:v>0.96472291452354375</c:v>
                </c:pt>
                <c:pt idx="1">
                  <c:v>0.90670465885715756</c:v>
                </c:pt>
                <c:pt idx="2">
                  <c:v>0.99759332509938436</c:v>
                </c:pt>
                <c:pt idx="3">
                  <c:v>1.0048317863993652</c:v>
                </c:pt>
                <c:pt idx="4">
                  <c:v>1.0017384110033958</c:v>
                </c:pt>
                <c:pt idx="5">
                  <c:v>0.99175872566391809</c:v>
                </c:pt>
                <c:pt idx="6">
                  <c:v>0.94857200008512443</c:v>
                </c:pt>
                <c:pt idx="7">
                  <c:v>1.0023218487511796</c:v>
                </c:pt>
                <c:pt idx="8">
                  <c:v>0.95068501516469239</c:v>
                </c:pt>
                <c:pt idx="9">
                  <c:v>0.92754213234747274</c:v>
                </c:pt>
                <c:pt idx="10">
                  <c:v>0.97038956230601614</c:v>
                </c:pt>
              </c:numCache>
            </c:numRef>
          </c:val>
        </c:ser>
        <c:axId val="133153920"/>
        <c:axId val="133155456"/>
      </c:barChart>
      <c:catAx>
        <c:axId val="133153920"/>
        <c:scaling>
          <c:orientation val="minMax"/>
        </c:scaling>
        <c:axPos val="b"/>
        <c:tickLblPos val="low"/>
        <c:txPr>
          <a:bodyPr/>
          <a:lstStyle/>
          <a:p>
            <a:pPr>
              <a:defRPr lang="en-CA"/>
            </a:pPr>
            <a:endParaRPr lang="en-US"/>
          </a:p>
        </c:txPr>
        <c:crossAx val="133155456"/>
        <c:crossesAt val="1"/>
        <c:auto val="1"/>
        <c:lblAlgn val="ctr"/>
        <c:lblOffset val="100"/>
      </c:catAx>
      <c:valAx>
        <c:axId val="133155456"/>
        <c:scaling>
          <c:orientation val="minMax"/>
          <c:max val="1.05"/>
          <c:min val="0.85000000000000064"/>
        </c:scaling>
        <c:axPos val="l"/>
        <c:majorGridlines/>
        <c:numFmt formatCode="0.00" sourceLinked="0"/>
        <c:tickLblPos val="nextTo"/>
        <c:txPr>
          <a:bodyPr/>
          <a:lstStyle/>
          <a:p>
            <a:pPr>
              <a:defRPr lang="en-CA"/>
            </a:pPr>
            <a:endParaRPr lang="en-US"/>
          </a:p>
        </c:txPr>
        <c:crossAx val="133153920"/>
        <c:crosses val="autoZero"/>
        <c:crossBetween val="between"/>
      </c:valAx>
    </c:plotArea>
    <c:legend>
      <c:legendPos val="r"/>
      <c:txPr>
        <a:bodyPr/>
        <a:lstStyle/>
        <a:p>
          <a:pPr>
            <a:defRPr lang="en-CA"/>
          </a:pPr>
          <a:endParaRPr lang="en-US"/>
        </a:p>
      </c:txPr>
    </c:legend>
    <c:plotVisOnly val="1"/>
  </c:chart>
  <c:printSettings>
    <c:headerFooter/>
    <c:pageMargins b="0.75000000000000089" l="0.70000000000000062" r="0.70000000000000062" t="0.75000000000000089"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0833333333333336"/>
          <c:y val="4.8611111111111112E-2"/>
          <c:w val="0.87708333333333588"/>
          <c:h val="0.72569444444444886"/>
        </c:manualLayout>
      </c:layout>
      <c:lineChart>
        <c:grouping val="standard"/>
        <c:ser>
          <c:idx val="0"/>
          <c:order val="0"/>
          <c:tx>
            <c:strRef>
              <c:f>ComponentsCharts!$G$5</c:f>
              <c:strCache>
                <c:ptCount val="1"/>
                <c:pt idx="0">
                  <c:v>Gini Coefficient</c:v>
                </c:pt>
              </c:strCache>
            </c:strRef>
          </c:tx>
          <c:spPr>
            <a:ln>
              <a:solidFill>
                <a:schemeClr val="tx1"/>
              </a:solidFill>
            </a:ln>
          </c:spPr>
          <c:marker>
            <c:symbol val="square"/>
            <c:size val="4"/>
          </c:marker>
          <c:cat>
            <c:numRef>
              <c:f>ComponentsCharts!$F$6:$F$33</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ComponentsCharts!$G$6:$G$33</c:f>
              <c:numCache>
                <c:formatCode>General</c:formatCode>
                <c:ptCount val="28"/>
                <c:pt idx="0">
                  <c:v>100</c:v>
                </c:pt>
                <c:pt idx="1">
                  <c:v>100.86206896551724</c:v>
                </c:pt>
                <c:pt idx="2">
                  <c:v>103.73563218390805</c:v>
                </c:pt>
                <c:pt idx="3">
                  <c:v>102.58620689655172</c:v>
                </c:pt>
                <c:pt idx="4">
                  <c:v>102.58620689655172</c:v>
                </c:pt>
                <c:pt idx="5">
                  <c:v>102.8735632183908</c:v>
                </c:pt>
                <c:pt idx="6">
                  <c:v>102.01149425287358</c:v>
                </c:pt>
                <c:pt idx="7">
                  <c:v>101.72413793103449</c:v>
                </c:pt>
                <c:pt idx="8">
                  <c:v>100.86206896551724</c:v>
                </c:pt>
                <c:pt idx="9">
                  <c:v>102.58620689655172</c:v>
                </c:pt>
                <c:pt idx="10">
                  <c:v>104.59770114942529</c:v>
                </c:pt>
                <c:pt idx="11">
                  <c:v>104.59770114942529</c:v>
                </c:pt>
                <c:pt idx="12">
                  <c:v>105.45977011494254</c:v>
                </c:pt>
                <c:pt idx="13">
                  <c:v>104.02298850574712</c:v>
                </c:pt>
                <c:pt idx="14">
                  <c:v>105.17241379310346</c:v>
                </c:pt>
                <c:pt idx="15">
                  <c:v>108.33333333333334</c:v>
                </c:pt>
                <c:pt idx="16">
                  <c:v>110.63218390804599</c:v>
                </c:pt>
                <c:pt idx="17">
                  <c:v>110.91954022988507</c:v>
                </c:pt>
                <c:pt idx="18">
                  <c:v>110.91954022988507</c:v>
                </c:pt>
                <c:pt idx="19">
                  <c:v>112.64367816091955</c:v>
                </c:pt>
                <c:pt idx="20">
                  <c:v>112.64367816091955</c:v>
                </c:pt>
                <c:pt idx="21">
                  <c:v>112.35632183908046</c:v>
                </c:pt>
                <c:pt idx="22">
                  <c:v>111.7816091954023</c:v>
                </c:pt>
                <c:pt idx="23">
                  <c:v>113.2183908045977</c:v>
                </c:pt>
                <c:pt idx="24">
                  <c:v>112.93103448275865</c:v>
                </c:pt>
                <c:pt idx="25">
                  <c:v>112.64367816091955</c:v>
                </c:pt>
                <c:pt idx="26">
                  <c:v>112.93103448275865</c:v>
                </c:pt>
                <c:pt idx="27">
                  <c:v>112.93103448275865</c:v>
                </c:pt>
              </c:numCache>
            </c:numRef>
          </c:val>
        </c:ser>
        <c:ser>
          <c:idx val="1"/>
          <c:order val="1"/>
          <c:tx>
            <c:strRef>
              <c:f>ComponentsCharts!$H$5</c:f>
              <c:strCache>
                <c:ptCount val="1"/>
                <c:pt idx="0">
                  <c:v>Poverty Rate</c:v>
                </c:pt>
              </c:strCache>
            </c:strRef>
          </c:tx>
          <c:marker>
            <c:symbol val="triangle"/>
            <c:size val="5"/>
          </c:marker>
          <c:cat>
            <c:numRef>
              <c:f>ComponentsCharts!$F$6:$F$33</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ComponentsCharts!$H$6:$H$33</c:f>
              <c:numCache>
                <c:formatCode>General</c:formatCode>
                <c:ptCount val="28"/>
                <c:pt idx="0">
                  <c:v>100</c:v>
                </c:pt>
                <c:pt idx="1">
                  <c:v>106.89655172413794</c:v>
                </c:pt>
                <c:pt idx="2">
                  <c:v>120.68965517241379</c:v>
                </c:pt>
                <c:pt idx="3">
                  <c:v>118.10344827586208</c:v>
                </c:pt>
                <c:pt idx="4">
                  <c:v>112.06896551724138</c:v>
                </c:pt>
                <c:pt idx="5">
                  <c:v>104.31034482758621</c:v>
                </c:pt>
                <c:pt idx="6">
                  <c:v>102.58620689655173</c:v>
                </c:pt>
                <c:pt idx="7">
                  <c:v>93.103448275862078</c:v>
                </c:pt>
                <c:pt idx="8">
                  <c:v>87.931034482758619</c:v>
                </c:pt>
                <c:pt idx="9">
                  <c:v>101.72413793103449</c:v>
                </c:pt>
                <c:pt idx="10">
                  <c:v>113.79310344827587</c:v>
                </c:pt>
                <c:pt idx="11">
                  <c:v>114.65517241379311</c:v>
                </c:pt>
                <c:pt idx="12">
                  <c:v>121.55172413793103</c:v>
                </c:pt>
                <c:pt idx="13">
                  <c:v>120.68965517241379</c:v>
                </c:pt>
                <c:pt idx="14">
                  <c:v>125</c:v>
                </c:pt>
                <c:pt idx="15">
                  <c:v>131.0344827586207</c:v>
                </c:pt>
                <c:pt idx="16">
                  <c:v>129.31034482758622</c:v>
                </c:pt>
                <c:pt idx="17">
                  <c:v>118.10344827586208</c:v>
                </c:pt>
                <c:pt idx="18">
                  <c:v>112.06896551724138</c:v>
                </c:pt>
                <c:pt idx="19">
                  <c:v>107.75862068965517</c:v>
                </c:pt>
                <c:pt idx="20">
                  <c:v>96.551724137931032</c:v>
                </c:pt>
                <c:pt idx="21">
                  <c:v>100</c:v>
                </c:pt>
                <c:pt idx="22">
                  <c:v>100</c:v>
                </c:pt>
                <c:pt idx="23">
                  <c:v>98.275862068965523</c:v>
                </c:pt>
                <c:pt idx="24">
                  <c:v>93.103448275862078</c:v>
                </c:pt>
                <c:pt idx="25">
                  <c:v>90.517241379310349</c:v>
                </c:pt>
                <c:pt idx="26">
                  <c:v>79.310344827586206</c:v>
                </c:pt>
                <c:pt idx="27">
                  <c:v>79.310344827586206</c:v>
                </c:pt>
              </c:numCache>
            </c:numRef>
          </c:val>
        </c:ser>
        <c:ser>
          <c:idx val="2"/>
          <c:order val="2"/>
          <c:tx>
            <c:strRef>
              <c:f>ComponentsCharts!$I$5</c:f>
              <c:strCache>
                <c:ptCount val="1"/>
                <c:pt idx="0">
                  <c:v>Poverty Gap</c:v>
                </c:pt>
              </c:strCache>
            </c:strRef>
          </c:tx>
          <c:marker>
            <c:symbol val="circle"/>
            <c:size val="5"/>
          </c:marker>
          <c:cat>
            <c:numRef>
              <c:f>ComponentsCharts!$F$6:$F$33</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ComponentsCharts!$I$6:$I$33</c:f>
              <c:numCache>
                <c:formatCode>General</c:formatCode>
                <c:ptCount val="28"/>
                <c:pt idx="0">
                  <c:v>100</c:v>
                </c:pt>
                <c:pt idx="1">
                  <c:v>97.798421581080092</c:v>
                </c:pt>
                <c:pt idx="2">
                  <c:v>99.613777945764937</c:v>
                </c:pt>
                <c:pt idx="3">
                  <c:v>100.36747079343536</c:v>
                </c:pt>
                <c:pt idx="4">
                  <c:v>97.358903592169241</c:v>
                </c:pt>
                <c:pt idx="5">
                  <c:v>98.406359268332139</c:v>
                </c:pt>
                <c:pt idx="6">
                  <c:v>100.26014566453702</c:v>
                </c:pt>
                <c:pt idx="7">
                  <c:v>100.32005202547819</c:v>
                </c:pt>
                <c:pt idx="8">
                  <c:v>97.474664544019134</c:v>
                </c:pt>
                <c:pt idx="9">
                  <c:v>101.37569058818116</c:v>
                </c:pt>
                <c:pt idx="10">
                  <c:v>103.26686968421912</c:v>
                </c:pt>
                <c:pt idx="11">
                  <c:v>101.5026535795549</c:v>
                </c:pt>
                <c:pt idx="12">
                  <c:v>101.41374017205027</c:v>
                </c:pt>
                <c:pt idx="13">
                  <c:v>101.56274850875103</c:v>
                </c:pt>
                <c:pt idx="14">
                  <c:v>101.22640449678408</c:v>
                </c:pt>
                <c:pt idx="15">
                  <c:v>104.06518575097211</c:v>
                </c:pt>
                <c:pt idx="16">
                  <c:v>107.6197246537164</c:v>
                </c:pt>
                <c:pt idx="17">
                  <c:v>112.23307845136243</c:v>
                </c:pt>
                <c:pt idx="18">
                  <c:v>114.31552480574065</c:v>
                </c:pt>
                <c:pt idx="19">
                  <c:v>112.81332577990649</c:v>
                </c:pt>
                <c:pt idx="20">
                  <c:v>114.26926455621999</c:v>
                </c:pt>
                <c:pt idx="21">
                  <c:v>110.4912872169585</c:v>
                </c:pt>
                <c:pt idx="22">
                  <c:v>111.05349073821172</c:v>
                </c:pt>
                <c:pt idx="23">
                  <c:v>113.64261278874199</c:v>
                </c:pt>
                <c:pt idx="24">
                  <c:v>119.76450849741798</c:v>
                </c:pt>
                <c:pt idx="25">
                  <c:v>115.13035961384784</c:v>
                </c:pt>
                <c:pt idx="26">
                  <c:v>119.28066466462526</c:v>
                </c:pt>
                <c:pt idx="27">
                  <c:v>119.28066466462526</c:v>
                </c:pt>
              </c:numCache>
            </c:numRef>
          </c:val>
        </c:ser>
        <c:marker val="1"/>
        <c:axId val="134017024"/>
        <c:axId val="134018560"/>
      </c:lineChart>
      <c:catAx>
        <c:axId val="134017024"/>
        <c:scaling>
          <c:orientation val="minMax"/>
        </c:scaling>
        <c:axPos val="b"/>
        <c:numFmt formatCode="General" sourceLinked="1"/>
        <c:tickLblPos val="nextTo"/>
        <c:txPr>
          <a:bodyPr rot="5400000" vert="horz"/>
          <a:lstStyle/>
          <a:p>
            <a:pPr>
              <a:defRPr lang="en-CA"/>
            </a:pPr>
            <a:endParaRPr lang="en-US"/>
          </a:p>
        </c:txPr>
        <c:crossAx val="134018560"/>
        <c:crosses val="autoZero"/>
        <c:auto val="1"/>
        <c:lblAlgn val="ctr"/>
        <c:lblOffset val="100"/>
      </c:catAx>
      <c:valAx>
        <c:axId val="134018560"/>
        <c:scaling>
          <c:orientation val="minMax"/>
          <c:min val="60"/>
        </c:scaling>
        <c:axPos val="l"/>
        <c:majorGridlines/>
        <c:title>
          <c:tx>
            <c:rich>
              <a:bodyPr rot="-5400000" vert="horz"/>
              <a:lstStyle/>
              <a:p>
                <a:pPr>
                  <a:defRPr lang="en-CA" b="0"/>
                </a:pPr>
                <a:r>
                  <a:rPr lang="en-US" b="0"/>
                  <a:t>Index</a:t>
                </a:r>
                <a:r>
                  <a:rPr lang="en-US" b="0" baseline="0"/>
                  <a:t> (normalized to 100 in 1981)</a:t>
                </a:r>
                <a:endParaRPr lang="en-US" b="0"/>
              </a:p>
            </c:rich>
          </c:tx>
        </c:title>
        <c:numFmt formatCode="General" sourceLinked="1"/>
        <c:tickLblPos val="nextTo"/>
        <c:txPr>
          <a:bodyPr/>
          <a:lstStyle/>
          <a:p>
            <a:pPr>
              <a:defRPr lang="en-CA"/>
            </a:pPr>
            <a:endParaRPr lang="en-US"/>
          </a:p>
        </c:txPr>
        <c:crossAx val="134017024"/>
        <c:crosses val="autoZero"/>
        <c:crossBetween val="between"/>
      </c:valAx>
    </c:plotArea>
    <c:legend>
      <c:legendPos val="r"/>
      <c:layout>
        <c:manualLayout>
          <c:xMode val="edge"/>
          <c:yMode val="edge"/>
          <c:x val="0.12918044619422639"/>
          <c:y val="0.61053514144065257"/>
          <c:w val="0.25693066491688582"/>
          <c:h val="0.15855898221055698"/>
        </c:manualLayout>
      </c:layout>
      <c:spPr>
        <a:solidFill>
          <a:schemeClr val="bg1"/>
        </a:solidFill>
        <a:ln>
          <a:solidFill>
            <a:prstClr val="black"/>
          </a:solidFill>
        </a:ln>
      </c:spPr>
      <c:txPr>
        <a:bodyPr/>
        <a:lstStyle/>
        <a:p>
          <a:pPr>
            <a:defRPr lang="en-CA"/>
          </a:pPr>
          <a:endParaRPr lang="en-US"/>
        </a:p>
      </c:txPr>
    </c:legend>
    <c:plotVisOnly val="1"/>
    <c:dispBlanksAs val="gap"/>
  </c:chart>
  <c:spPr>
    <a:ln>
      <a:noFill/>
    </a:ln>
  </c:spPr>
  <c:printSettings>
    <c:headerFooter/>
    <c:pageMargins b="0.75000000000000377" l="0.70000000000000062" r="0.70000000000000062" t="0.75000000000000377"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1958762886597959"/>
          <c:y val="4.8611111111111112E-2"/>
          <c:w val="0.85979381443299374"/>
          <c:h val="0.79513888888888884"/>
        </c:manualLayout>
      </c:layout>
      <c:barChart>
        <c:barDir val="col"/>
        <c:grouping val="clustered"/>
        <c:ser>
          <c:idx val="0"/>
          <c:order val="0"/>
          <c:tx>
            <c:v>1981</c:v>
          </c:tx>
          <c:spPr>
            <a:solidFill>
              <a:schemeClr val="tx1"/>
            </a:solidFill>
          </c:spPr>
          <c:cat>
            <c:strLit>
              <c:ptCount val="1"/>
              <c:pt idx="0">
                <c:v>Gini Coefficient</c:v>
              </c:pt>
            </c:strLit>
          </c:cat>
          <c:val>
            <c:numRef>
              <c:f>[2]a17!$B$17</c:f>
              <c:numCache>
                <c:formatCode>General</c:formatCode>
                <c:ptCount val="1"/>
                <c:pt idx="0">
                  <c:v>0.34799999999999998</c:v>
                </c:pt>
              </c:numCache>
            </c:numRef>
          </c:val>
        </c:ser>
        <c:ser>
          <c:idx val="1"/>
          <c:order val="1"/>
          <c:tx>
            <c:v>2008</c:v>
          </c:tx>
          <c:cat>
            <c:strLit>
              <c:ptCount val="1"/>
              <c:pt idx="0">
                <c:v>Gini Coefficient</c:v>
              </c:pt>
            </c:strLit>
          </c:cat>
          <c:val>
            <c:numRef>
              <c:f>[2]a17!$B$44</c:f>
              <c:numCache>
                <c:formatCode>General</c:formatCode>
                <c:ptCount val="1"/>
                <c:pt idx="0">
                  <c:v>0.39300000000000002</c:v>
                </c:pt>
              </c:numCache>
            </c:numRef>
          </c:val>
        </c:ser>
        <c:axId val="134842240"/>
        <c:axId val="134843776"/>
      </c:barChart>
      <c:catAx>
        <c:axId val="134842240"/>
        <c:scaling>
          <c:orientation val="minMax"/>
        </c:scaling>
        <c:axPos val="b"/>
        <c:numFmt formatCode="General" sourceLinked="1"/>
        <c:tickLblPos val="nextTo"/>
        <c:txPr>
          <a:bodyPr/>
          <a:lstStyle/>
          <a:p>
            <a:pPr>
              <a:defRPr lang="en-CA"/>
            </a:pPr>
            <a:endParaRPr lang="en-US"/>
          </a:p>
        </c:txPr>
        <c:crossAx val="134843776"/>
        <c:crosses val="autoZero"/>
        <c:auto val="1"/>
        <c:lblAlgn val="ctr"/>
        <c:lblOffset val="100"/>
      </c:catAx>
      <c:valAx>
        <c:axId val="134843776"/>
        <c:scaling>
          <c:orientation val="minMax"/>
        </c:scaling>
        <c:axPos val="l"/>
        <c:majorGridlines/>
        <c:title>
          <c:tx>
            <c:rich>
              <a:bodyPr rot="-5400000" vert="horz"/>
              <a:lstStyle/>
              <a:p>
                <a:pPr>
                  <a:defRPr lang="en-CA" b="0"/>
                </a:pPr>
                <a:r>
                  <a:rPr lang="en-US" b="0"/>
                  <a:t>Gini</a:t>
                </a:r>
                <a:r>
                  <a:rPr lang="en-US" b="0" baseline="0"/>
                  <a:t> Coefficient</a:t>
                </a:r>
                <a:endParaRPr lang="en-US" b="0"/>
              </a:p>
            </c:rich>
          </c:tx>
        </c:title>
        <c:numFmt formatCode="0.00" sourceLinked="0"/>
        <c:tickLblPos val="nextTo"/>
        <c:txPr>
          <a:bodyPr/>
          <a:lstStyle/>
          <a:p>
            <a:pPr>
              <a:defRPr lang="en-CA"/>
            </a:pPr>
            <a:endParaRPr lang="en-US"/>
          </a:p>
        </c:txPr>
        <c:crossAx val="134842240"/>
        <c:crosses val="autoZero"/>
        <c:crossBetween val="between"/>
      </c:valAx>
    </c:plotArea>
    <c:legend>
      <c:legendPos val="r"/>
      <c:layout>
        <c:manualLayout>
          <c:xMode val="edge"/>
          <c:yMode val="edge"/>
          <c:x val="0.16037643748139832"/>
          <c:y val="9.2208734324876057E-2"/>
          <c:w val="0.10244532835457425"/>
          <c:h val="0.16743438320210088"/>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322" l="0.70000000000000062" r="0.70000000000000062" t="0.75000000000000322"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3541666666666671"/>
          <c:y val="4.8611111111111112E-2"/>
          <c:w val="0.83541666666666659"/>
          <c:h val="0.79513888888888884"/>
        </c:manualLayout>
      </c:layout>
      <c:barChart>
        <c:barDir val="col"/>
        <c:grouping val="clustered"/>
        <c:ser>
          <c:idx val="0"/>
          <c:order val="0"/>
          <c:tx>
            <c:v>1981</c:v>
          </c:tx>
          <c:spPr>
            <a:solidFill>
              <a:schemeClr val="tx1"/>
            </a:solidFill>
          </c:spPr>
          <c:cat>
            <c:strLit>
              <c:ptCount val="1"/>
              <c:pt idx="0">
                <c:v>Poverty Rate</c:v>
              </c:pt>
            </c:strLit>
          </c:cat>
          <c:val>
            <c:numRef>
              <c:f>[2]a18!$B$18</c:f>
              <c:numCache>
                <c:formatCode>General</c:formatCode>
                <c:ptCount val="1"/>
                <c:pt idx="0">
                  <c:v>11.6</c:v>
                </c:pt>
              </c:numCache>
            </c:numRef>
          </c:val>
        </c:ser>
        <c:ser>
          <c:idx val="1"/>
          <c:order val="1"/>
          <c:tx>
            <c:v>2008</c:v>
          </c:tx>
          <c:cat>
            <c:strLit>
              <c:ptCount val="1"/>
              <c:pt idx="0">
                <c:v>Poverty Rate</c:v>
              </c:pt>
            </c:strLit>
          </c:cat>
          <c:val>
            <c:numRef>
              <c:f>[2]a18!$B$45</c:f>
              <c:numCache>
                <c:formatCode>General</c:formatCode>
                <c:ptCount val="1"/>
                <c:pt idx="0">
                  <c:v>9.1999999999999993</c:v>
                </c:pt>
              </c:numCache>
            </c:numRef>
          </c:val>
        </c:ser>
        <c:axId val="134881280"/>
        <c:axId val="134882816"/>
      </c:barChart>
      <c:catAx>
        <c:axId val="134881280"/>
        <c:scaling>
          <c:orientation val="minMax"/>
        </c:scaling>
        <c:axPos val="b"/>
        <c:numFmt formatCode="General" sourceLinked="1"/>
        <c:tickLblPos val="nextTo"/>
        <c:txPr>
          <a:bodyPr/>
          <a:lstStyle/>
          <a:p>
            <a:pPr>
              <a:defRPr lang="en-CA"/>
            </a:pPr>
            <a:endParaRPr lang="en-US"/>
          </a:p>
        </c:txPr>
        <c:crossAx val="134882816"/>
        <c:crosses val="autoZero"/>
        <c:auto val="1"/>
        <c:lblAlgn val="ctr"/>
        <c:lblOffset val="100"/>
      </c:catAx>
      <c:valAx>
        <c:axId val="134882816"/>
        <c:scaling>
          <c:orientation val="minMax"/>
        </c:scaling>
        <c:axPos val="l"/>
        <c:majorGridlines/>
        <c:title>
          <c:tx>
            <c:rich>
              <a:bodyPr rot="-5400000" vert="horz"/>
              <a:lstStyle/>
              <a:p>
                <a:pPr>
                  <a:defRPr lang="en-CA" b="0"/>
                </a:pPr>
                <a:r>
                  <a:rPr lang="en-US" b="0"/>
                  <a:t>Per</a:t>
                </a:r>
                <a:r>
                  <a:rPr lang="en-US" b="0" baseline="0"/>
                  <a:t> Cent</a:t>
                </a:r>
                <a:endParaRPr lang="en-US" b="0"/>
              </a:p>
            </c:rich>
          </c:tx>
        </c:title>
        <c:numFmt formatCode="General" sourceLinked="1"/>
        <c:tickLblPos val="nextTo"/>
        <c:txPr>
          <a:bodyPr/>
          <a:lstStyle/>
          <a:p>
            <a:pPr>
              <a:defRPr lang="en-CA"/>
            </a:pPr>
            <a:endParaRPr lang="en-US"/>
          </a:p>
        </c:txPr>
        <c:crossAx val="134881280"/>
        <c:crosses val="autoZero"/>
        <c:crossBetween val="between"/>
      </c:valAx>
    </c:plotArea>
    <c:legend>
      <c:legendPos val="r"/>
      <c:layout>
        <c:manualLayout>
          <c:xMode val="edge"/>
          <c:yMode val="edge"/>
          <c:x val="0.72982086614173558"/>
          <c:y val="0.12924577136191309"/>
          <c:w val="0.10351246719160101"/>
          <c:h val="0.16743438320210088"/>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322" l="0.70000000000000062" r="0.70000000000000062" t="0.75000000000000322"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39583333333334"/>
          <c:y val="4.8611111111111112E-2"/>
          <c:w val="0.83750000000000002"/>
          <c:h val="0.79513888888888884"/>
        </c:manualLayout>
      </c:layout>
      <c:barChart>
        <c:barDir val="col"/>
        <c:grouping val="clustered"/>
        <c:ser>
          <c:idx val="0"/>
          <c:order val="0"/>
          <c:tx>
            <c:v>1981</c:v>
          </c:tx>
          <c:spPr>
            <a:solidFill>
              <a:schemeClr val="tx1"/>
            </a:solidFill>
          </c:spPr>
          <c:cat>
            <c:strLit>
              <c:ptCount val="1"/>
              <c:pt idx="0">
                <c:v>Average Poverty Gap</c:v>
              </c:pt>
            </c:strLit>
          </c:cat>
          <c:val>
            <c:numRef>
              <c:f>[2]a18!$C$18</c:f>
              <c:numCache>
                <c:formatCode>General</c:formatCode>
                <c:ptCount val="1"/>
                <c:pt idx="0">
                  <c:v>3505.6577086280058</c:v>
                </c:pt>
              </c:numCache>
            </c:numRef>
          </c:val>
        </c:ser>
        <c:ser>
          <c:idx val="1"/>
          <c:order val="1"/>
          <c:tx>
            <c:v>2008</c:v>
          </c:tx>
          <c:cat>
            <c:strLit>
              <c:ptCount val="1"/>
              <c:pt idx="0">
                <c:v>Average Poverty Gap</c:v>
              </c:pt>
            </c:strLit>
          </c:cat>
          <c:val>
            <c:numRef>
              <c:f>[2]a18!$C$45</c:f>
              <c:numCache>
                <c:formatCode>General</c:formatCode>
                <c:ptCount val="1"/>
                <c:pt idx="0">
                  <c:v>4181.5718157181573</c:v>
                </c:pt>
              </c:numCache>
            </c:numRef>
          </c:val>
        </c:ser>
        <c:axId val="134920064"/>
        <c:axId val="134921600"/>
      </c:barChart>
      <c:catAx>
        <c:axId val="134920064"/>
        <c:scaling>
          <c:orientation val="minMax"/>
        </c:scaling>
        <c:axPos val="b"/>
        <c:numFmt formatCode="General" sourceLinked="1"/>
        <c:tickLblPos val="nextTo"/>
        <c:txPr>
          <a:bodyPr/>
          <a:lstStyle/>
          <a:p>
            <a:pPr>
              <a:defRPr lang="en-CA"/>
            </a:pPr>
            <a:endParaRPr lang="en-US"/>
          </a:p>
        </c:txPr>
        <c:crossAx val="134921600"/>
        <c:crosses val="autoZero"/>
        <c:auto val="1"/>
        <c:lblAlgn val="ctr"/>
        <c:lblOffset val="100"/>
      </c:catAx>
      <c:valAx>
        <c:axId val="134921600"/>
        <c:scaling>
          <c:orientation val="minMax"/>
        </c:scaling>
        <c:axPos val="l"/>
        <c:majorGridlines/>
        <c:title>
          <c:tx>
            <c:rich>
              <a:bodyPr rot="-5400000" vert="horz"/>
              <a:lstStyle/>
              <a:p>
                <a:pPr>
                  <a:defRPr lang="en-CA" b="0"/>
                </a:pPr>
                <a:r>
                  <a:rPr lang="en-US" b="0"/>
                  <a:t>2007</a:t>
                </a:r>
                <a:r>
                  <a:rPr lang="en-US" b="0" baseline="0"/>
                  <a:t> Dollars</a:t>
                </a:r>
                <a:endParaRPr lang="en-US" b="0"/>
              </a:p>
            </c:rich>
          </c:tx>
        </c:title>
        <c:numFmt formatCode="General" sourceLinked="1"/>
        <c:tickLblPos val="nextTo"/>
        <c:txPr>
          <a:bodyPr/>
          <a:lstStyle/>
          <a:p>
            <a:pPr>
              <a:defRPr lang="en-CA"/>
            </a:pPr>
            <a:endParaRPr lang="en-US"/>
          </a:p>
        </c:txPr>
        <c:crossAx val="134920064"/>
        <c:crosses val="autoZero"/>
        <c:crossBetween val="between"/>
      </c:valAx>
    </c:plotArea>
    <c:legend>
      <c:legendPos val="r"/>
      <c:layout>
        <c:manualLayout>
          <c:xMode val="edge"/>
          <c:yMode val="edge"/>
          <c:x val="0.19648753280839976"/>
          <c:y val="9.2208734324876057E-2"/>
          <c:w val="0.10351246719160107"/>
          <c:h val="0.16743438320210088"/>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322" l="0.70000000000000062" r="0.70000000000000062" t="0.75000000000000322"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0456297565314802"/>
          <c:y val="3.4587288738440407E-2"/>
          <c:w val="0.88736247927167489"/>
          <c:h val="0.76912148607687625"/>
        </c:manualLayout>
      </c:layout>
      <c:lineChart>
        <c:grouping val="standard"/>
        <c:ser>
          <c:idx val="0"/>
          <c:order val="0"/>
          <c:tx>
            <c:strRef>
              <c:f>'C16'!$J$21</c:f>
              <c:strCache>
                <c:ptCount val="1"/>
                <c:pt idx="0">
                  <c:v>Physical Capital</c:v>
                </c:pt>
              </c:strCache>
            </c:strRef>
          </c:tx>
          <c:spPr>
            <a:ln>
              <a:solidFill>
                <a:sysClr val="windowText" lastClr="000000"/>
              </a:solidFill>
            </a:ln>
          </c:spPr>
          <c:marker>
            <c:symbol val="square"/>
            <c:size val="4"/>
          </c:marker>
          <c:cat>
            <c:numRef>
              <c:f>'C16'!$I$22:$I$49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'C16'!$J$22:$J$49</c:f>
              <c:numCache>
                <c:formatCode>General</c:formatCode>
                <c:ptCount val="28"/>
                <c:pt idx="0">
                  <c:v>100</c:v>
                </c:pt>
                <c:pt idx="1">
                  <c:v>101.37544999667637</c:v>
                </c:pt>
                <c:pt idx="2">
                  <c:v>102.43302603487905</c:v>
                </c:pt>
                <c:pt idx="3">
                  <c:v>103.47562396542669</c:v>
                </c:pt>
                <c:pt idx="4">
                  <c:v>105.03708458598022</c:v>
                </c:pt>
                <c:pt idx="5">
                  <c:v>106.64828957959912</c:v>
                </c:pt>
                <c:pt idx="6">
                  <c:v>108.59114913658881</c:v>
                </c:pt>
                <c:pt idx="7">
                  <c:v>111.27292532822045</c:v>
                </c:pt>
                <c:pt idx="8">
                  <c:v>113.48117716638353</c:v>
                </c:pt>
                <c:pt idx="9">
                  <c:v>115.23107598521872</c:v>
                </c:pt>
                <c:pt idx="10">
                  <c:v>116.30827035788857</c:v>
                </c:pt>
                <c:pt idx="11">
                  <c:v>116.7128046835012</c:v>
                </c:pt>
                <c:pt idx="12">
                  <c:v>116.81966511871065</c:v>
                </c:pt>
                <c:pt idx="13">
                  <c:v>117.46854934835689</c:v>
                </c:pt>
                <c:pt idx="14">
                  <c:v>117.68348207197262</c:v>
                </c:pt>
                <c:pt idx="15">
                  <c:v>117.91890784447919</c:v>
                </c:pt>
                <c:pt idx="16">
                  <c:v>119.3626899280266</c:v>
                </c:pt>
                <c:pt idx="17">
                  <c:v>120.7578176605919</c:v>
                </c:pt>
                <c:pt idx="18">
                  <c:v>122.42338789570901</c:v>
                </c:pt>
                <c:pt idx="19">
                  <c:v>123.980302803773</c:v>
                </c:pt>
                <c:pt idx="20">
                  <c:v>125.34408399841637</c:v>
                </c:pt>
                <c:pt idx="21">
                  <c:v>126.57162325344837</c:v>
                </c:pt>
                <c:pt idx="22">
                  <c:v>128.55808364703134</c:v>
                </c:pt>
                <c:pt idx="23">
                  <c:v>131.24417746293233</c:v>
                </c:pt>
                <c:pt idx="24">
                  <c:v>134.82082603047866</c:v>
                </c:pt>
                <c:pt idx="25">
                  <c:v>138.7698832350984</c:v>
                </c:pt>
                <c:pt idx="26">
                  <c:v>142.41760082113848</c:v>
                </c:pt>
                <c:pt idx="27">
                  <c:v>145.60422423643962</c:v>
                </c:pt>
              </c:numCache>
            </c:numRef>
          </c:val>
        </c:ser>
        <c:ser>
          <c:idx val="1"/>
          <c:order val="1"/>
          <c:tx>
            <c:strRef>
              <c:f>'C16'!$K$21</c:f>
              <c:strCache>
                <c:ptCount val="1"/>
                <c:pt idx="0">
                  <c:v>R&amp;D</c:v>
                </c:pt>
              </c:strCache>
            </c:strRef>
          </c:tx>
          <c:marker>
            <c:symbol val="star"/>
            <c:size val="5"/>
          </c:marker>
          <c:cat>
            <c:numRef>
              <c:f>'C16'!$I$22:$I$49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'C16'!$K$22:$K$49</c:f>
              <c:numCache>
                <c:formatCode>General</c:formatCode>
                <c:ptCount val="28"/>
                <c:pt idx="0">
                  <c:v>100</c:v>
                </c:pt>
                <c:pt idx="1">
                  <c:v>106.95914518249366</c:v>
                </c:pt>
                <c:pt idx="2">
                  <c:v>112.53281212972242</c:v>
                </c:pt>
                <c:pt idx="3">
                  <c:v>119.50129531621613</c:v>
                </c:pt>
                <c:pt idx="4">
                  <c:v>127.19986908378409</c:v>
                </c:pt>
                <c:pt idx="5">
                  <c:v>134.4391943408321</c:v>
                </c:pt>
                <c:pt idx="6">
                  <c:v>139.63429318401128</c:v>
                </c:pt>
                <c:pt idx="7">
                  <c:v>146.25711456949105</c:v>
                </c:pt>
                <c:pt idx="8">
                  <c:v>150.53385340383628</c:v>
                </c:pt>
                <c:pt idx="9">
                  <c:v>155.24622168722786</c:v>
                </c:pt>
                <c:pt idx="10">
                  <c:v>159.54497280813371</c:v>
                </c:pt>
                <c:pt idx="11">
                  <c:v>164.02344838446487</c:v>
                </c:pt>
                <c:pt idx="12">
                  <c:v>169.45579929503296</c:v>
                </c:pt>
                <c:pt idx="13">
                  <c:v>176.56600460586131</c:v>
                </c:pt>
                <c:pt idx="14">
                  <c:v>182.1799012179869</c:v>
                </c:pt>
                <c:pt idx="15">
                  <c:v>185.71703109495888</c:v>
                </c:pt>
                <c:pt idx="16">
                  <c:v>190.09845225427509</c:v>
                </c:pt>
                <c:pt idx="17">
                  <c:v>197.896962540966</c:v>
                </c:pt>
                <c:pt idx="18">
                  <c:v>207.3535030836243</c:v>
                </c:pt>
                <c:pt idx="19">
                  <c:v>220.12994749726749</c:v>
                </c:pt>
                <c:pt idx="20">
                  <c:v>235.62476607471055</c:v>
                </c:pt>
                <c:pt idx="21">
                  <c:v>247.62397904017669</c:v>
                </c:pt>
                <c:pt idx="22">
                  <c:v>257.8344763804439</c:v>
                </c:pt>
                <c:pt idx="23">
                  <c:v>268.13845923359673</c:v>
                </c:pt>
                <c:pt idx="24">
                  <c:v>276.77062491508485</c:v>
                </c:pt>
                <c:pt idx="25">
                  <c:v>283.50598572300356</c:v>
                </c:pt>
                <c:pt idx="26">
                  <c:v>287.77645464833415</c:v>
                </c:pt>
                <c:pt idx="27">
                  <c:v>287.74783397672235</c:v>
                </c:pt>
              </c:numCache>
            </c:numRef>
          </c:val>
        </c:ser>
        <c:ser>
          <c:idx val="2"/>
          <c:order val="2"/>
          <c:tx>
            <c:strRef>
              <c:f>'C16'!$L$21</c:f>
              <c:strCache>
                <c:ptCount val="1"/>
                <c:pt idx="0">
                  <c:v>Natural Resources</c:v>
                </c:pt>
              </c:strCache>
            </c:strRef>
          </c:tx>
          <c:marker>
            <c:symbol val="diamond"/>
            <c:size val="5"/>
          </c:marker>
          <c:cat>
            <c:numRef>
              <c:f>'C16'!$I$22:$I$49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'C16'!$L$22:$L$49</c:f>
              <c:numCache>
                <c:formatCode>General</c:formatCode>
                <c:ptCount val="28"/>
                <c:pt idx="0">
                  <c:v>100</c:v>
                </c:pt>
                <c:pt idx="1">
                  <c:v>89.257363186061568</c:v>
                </c:pt>
                <c:pt idx="2">
                  <c:v>94.866270623336561</c:v>
                </c:pt>
                <c:pt idx="3">
                  <c:v>91.10189302461491</c:v>
                </c:pt>
                <c:pt idx="4">
                  <c:v>82.492900159669915</c:v>
                </c:pt>
                <c:pt idx="5">
                  <c:v>55.745105024840498</c:v>
                </c:pt>
                <c:pt idx="6">
                  <c:v>59.389412630974348</c:v>
                </c:pt>
                <c:pt idx="7">
                  <c:v>60.048681038855804</c:v>
                </c:pt>
                <c:pt idx="8">
                  <c:v>61.438563885683948</c:v>
                </c:pt>
                <c:pt idx="9">
                  <c:v>61.258524797867295</c:v>
                </c:pt>
                <c:pt idx="10">
                  <c:v>46.59452699601789</c:v>
                </c:pt>
                <c:pt idx="11">
                  <c:v>41.876800004437555</c:v>
                </c:pt>
                <c:pt idx="12">
                  <c:v>38.067447259357401</c:v>
                </c:pt>
                <c:pt idx="13">
                  <c:v>41.958264721740932</c:v>
                </c:pt>
                <c:pt idx="14">
                  <c:v>48.252176624409024</c:v>
                </c:pt>
                <c:pt idx="15">
                  <c:v>57.21618353589578</c:v>
                </c:pt>
                <c:pt idx="16">
                  <c:v>60.864039710938052</c:v>
                </c:pt>
                <c:pt idx="17">
                  <c:v>57.426253236069343</c:v>
                </c:pt>
                <c:pt idx="18">
                  <c:v>67.117879123122407</c:v>
                </c:pt>
                <c:pt idx="19">
                  <c:v>92.104149779261235</c:v>
                </c:pt>
                <c:pt idx="20">
                  <c:v>82.643655632921295</c:v>
                </c:pt>
                <c:pt idx="21">
                  <c:v>78.701170955963292</c:v>
                </c:pt>
                <c:pt idx="22">
                  <c:v>85.484052442919861</c:v>
                </c:pt>
                <c:pt idx="23">
                  <c:v>95.193184840597894</c:v>
                </c:pt>
                <c:pt idx="24">
                  <c:v>114.22048067540847</c:v>
                </c:pt>
                <c:pt idx="25">
                  <c:v>121.53233043508401</c:v>
                </c:pt>
                <c:pt idx="26">
                  <c:v>115.68927354529721</c:v>
                </c:pt>
                <c:pt idx="27">
                  <c:v>165.90700010641032</c:v>
                </c:pt>
              </c:numCache>
            </c:numRef>
          </c:val>
        </c:ser>
        <c:ser>
          <c:idx val="4"/>
          <c:order val="3"/>
          <c:tx>
            <c:strRef>
              <c:f>'C16'!$N$21</c:f>
              <c:strCache>
                <c:ptCount val="1"/>
                <c:pt idx="0">
                  <c:v>Human Capital</c:v>
                </c:pt>
              </c:strCache>
            </c:strRef>
          </c:tx>
          <c:marker>
            <c:symbol val="circle"/>
            <c:size val="5"/>
          </c:marker>
          <c:cat>
            <c:numRef>
              <c:f>'C16'!$I$22:$I$49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'C16'!$N$22:$N$49</c:f>
              <c:numCache>
                <c:formatCode>General</c:formatCode>
                <c:ptCount val="28"/>
                <c:pt idx="0">
                  <c:v>100</c:v>
                </c:pt>
                <c:pt idx="1">
                  <c:v>101.22675210490846</c:v>
                </c:pt>
                <c:pt idx="2">
                  <c:v>102.72047878244746</c:v>
                </c:pt>
                <c:pt idx="3">
                  <c:v>103.67878674121353</c:v>
                </c:pt>
                <c:pt idx="4">
                  <c:v>104.71307620579471</c:v>
                </c:pt>
                <c:pt idx="5">
                  <c:v>105.77073439448482</c:v>
                </c:pt>
                <c:pt idx="6">
                  <c:v>106.73683391748961</c:v>
                </c:pt>
                <c:pt idx="7">
                  <c:v>107.87760187630369</c:v>
                </c:pt>
                <c:pt idx="8">
                  <c:v>107.88888060769085</c:v>
                </c:pt>
                <c:pt idx="9">
                  <c:v>114.04363270814542</c:v>
                </c:pt>
                <c:pt idx="10">
                  <c:v>114.88004145016713</c:v>
                </c:pt>
                <c:pt idx="11">
                  <c:v>116.12402114775847</c:v>
                </c:pt>
                <c:pt idx="12">
                  <c:v>117.58715869980108</c:v>
                </c:pt>
                <c:pt idx="13">
                  <c:v>118.67639064206541</c:v>
                </c:pt>
                <c:pt idx="14">
                  <c:v>119.6032182912254</c:v>
                </c:pt>
                <c:pt idx="15">
                  <c:v>120.53914500960829</c:v>
                </c:pt>
                <c:pt idx="16">
                  <c:v>121.97369694799445</c:v>
                </c:pt>
                <c:pt idx="17">
                  <c:v>122.90146922474548</c:v>
                </c:pt>
                <c:pt idx="18">
                  <c:v>124.09184811220955</c:v>
                </c:pt>
                <c:pt idx="19">
                  <c:v>125.45341844866998</c:v>
                </c:pt>
                <c:pt idx="20">
                  <c:v>126.90560015426641</c:v>
                </c:pt>
                <c:pt idx="21">
                  <c:v>128.05522742336447</c:v>
                </c:pt>
                <c:pt idx="22">
                  <c:v>129.71527553139296</c:v>
                </c:pt>
                <c:pt idx="23">
                  <c:v>130.49330831366015</c:v>
                </c:pt>
                <c:pt idx="24">
                  <c:v>132.07487982362102</c:v>
                </c:pt>
                <c:pt idx="25">
                  <c:v>133.40258847059368</c:v>
                </c:pt>
                <c:pt idx="26">
                  <c:v>134.81592027548555</c:v>
                </c:pt>
                <c:pt idx="27">
                  <c:v>135.9190900267451</c:v>
                </c:pt>
              </c:numCache>
            </c:numRef>
          </c:val>
        </c:ser>
        <c:ser>
          <c:idx val="5"/>
          <c:order val="4"/>
          <c:tx>
            <c:strRef>
              <c:f>'C16'!$O$21</c:f>
              <c:strCache>
                <c:ptCount val="1"/>
                <c:pt idx="0">
                  <c:v>Cost of GHG Emissions</c:v>
                </c:pt>
              </c:strCache>
            </c:strRef>
          </c:tx>
          <c:marker>
            <c:symbol val="plus"/>
            <c:size val="5"/>
          </c:marker>
          <c:cat>
            <c:numRef>
              <c:f>'C16'!$I$22:$I$49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'C16'!$O$22:$O$49</c:f>
              <c:numCache>
                <c:formatCode>General</c:formatCode>
                <c:ptCount val="28"/>
                <c:pt idx="0">
                  <c:v>100</c:v>
                </c:pt>
                <c:pt idx="1">
                  <c:v>94.455936653925789</c:v>
                </c:pt>
                <c:pt idx="2">
                  <c:v>90.410696191833509</c:v>
                </c:pt>
                <c:pt idx="3">
                  <c:v>92.886828937984234</c:v>
                </c:pt>
                <c:pt idx="4">
                  <c:v>96.279838418040782</c:v>
                </c:pt>
                <c:pt idx="5">
                  <c:v>93.928852115897371</c:v>
                </c:pt>
                <c:pt idx="6">
                  <c:v>96.608030453744561</c:v>
                </c:pt>
                <c:pt idx="7">
                  <c:v>102.40269288822412</c:v>
                </c:pt>
                <c:pt idx="8">
                  <c:v>104.81914432370358</c:v>
                </c:pt>
                <c:pt idx="9">
                  <c:v>98.197987693352871</c:v>
                </c:pt>
                <c:pt idx="10">
                  <c:v>95.834501433562323</c:v>
                </c:pt>
                <c:pt idx="11">
                  <c:v>98.768003448702729</c:v>
                </c:pt>
                <c:pt idx="12">
                  <c:v>96.724521651180936</c:v>
                </c:pt>
                <c:pt idx="13">
                  <c:v>98.849354696034013</c:v>
                </c:pt>
                <c:pt idx="14">
                  <c:v>100.66291001294296</c:v>
                </c:pt>
                <c:pt idx="15">
                  <c:v>102.41785343901857</c:v>
                </c:pt>
                <c:pt idx="16">
                  <c:v>103.40852103387515</c:v>
                </c:pt>
                <c:pt idx="17">
                  <c:v>103.47089956389956</c:v>
                </c:pt>
                <c:pt idx="18">
                  <c:v>104.60405399263712</c:v>
                </c:pt>
                <c:pt idx="19">
                  <c:v>107.53948278039258</c:v>
                </c:pt>
                <c:pt idx="20">
                  <c:v>105.34393644877333</c:v>
                </c:pt>
                <c:pt idx="21">
                  <c:v>105.10157716861696</c:v>
                </c:pt>
                <c:pt idx="22">
                  <c:v>107.50181510559129</c:v>
                </c:pt>
                <c:pt idx="23">
                  <c:v>107.06590254032035</c:v>
                </c:pt>
                <c:pt idx="24">
                  <c:v>104.48250135349954</c:v>
                </c:pt>
                <c:pt idx="25">
                  <c:v>101.72355468459138</c:v>
                </c:pt>
                <c:pt idx="26">
                  <c:v>104.68989614057878</c:v>
                </c:pt>
                <c:pt idx="27">
                  <c:v>101.26279747358694</c:v>
                </c:pt>
              </c:numCache>
            </c:numRef>
          </c:val>
        </c:ser>
        <c:ser>
          <c:idx val="3"/>
          <c:order val="5"/>
          <c:tx>
            <c:strRef>
              <c:f>'C16'!$P$21</c:f>
              <c:strCache>
                <c:ptCount val="1"/>
                <c:pt idx="0">
                  <c:v>Total Wealth Stock</c:v>
                </c:pt>
              </c:strCache>
            </c:strRef>
          </c:tx>
          <c:cat>
            <c:numRef>
              <c:f>'C16'!$I$22:$I$49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'C16'!$P$22:$P$49</c:f>
              <c:numCache>
                <c:formatCode>General</c:formatCode>
                <c:ptCount val="28"/>
                <c:pt idx="0">
                  <c:v>100</c:v>
                </c:pt>
                <c:pt idx="1">
                  <c:v>99.868693030124177</c:v>
                </c:pt>
                <c:pt idx="2">
                  <c:v>102.14116560703854</c:v>
                </c:pt>
                <c:pt idx="3">
                  <c:v>102.24255366472951</c:v>
                </c:pt>
                <c:pt idx="4">
                  <c:v>101.20430392264285</c:v>
                </c:pt>
                <c:pt idx="5">
                  <c:v>97.23796585285065</c:v>
                </c:pt>
                <c:pt idx="6">
                  <c:v>98.98219070185344</c:v>
                </c:pt>
                <c:pt idx="7">
                  <c:v>100.99726728476695</c:v>
                </c:pt>
                <c:pt idx="8">
                  <c:v>101.99396625613394</c:v>
                </c:pt>
                <c:pt idx="9">
                  <c:v>105.61643932322278</c:v>
                </c:pt>
                <c:pt idx="10">
                  <c:v>103.76837654014906</c:v>
                </c:pt>
                <c:pt idx="11">
                  <c:v>103.0884456751447</c:v>
                </c:pt>
                <c:pt idx="12">
                  <c:v>102.79282225762037</c:v>
                </c:pt>
                <c:pt idx="13">
                  <c:v>104.28423117505072</c:v>
                </c:pt>
                <c:pt idx="14">
                  <c:v>106.5142097097457</c:v>
                </c:pt>
                <c:pt idx="15">
                  <c:v>109.23250963899712</c:v>
                </c:pt>
                <c:pt idx="16">
                  <c:v>111.86882976135189</c:v>
                </c:pt>
                <c:pt idx="17">
                  <c:v>112.11249561602919</c:v>
                </c:pt>
                <c:pt idx="18">
                  <c:v>116.63850249456407</c:v>
                </c:pt>
                <c:pt idx="19">
                  <c:v>123.50369228434951</c:v>
                </c:pt>
                <c:pt idx="20">
                  <c:v>123.44053992519699</c:v>
                </c:pt>
                <c:pt idx="21">
                  <c:v>123.87171318431507</c:v>
                </c:pt>
                <c:pt idx="22">
                  <c:v>126.75306267081338</c:v>
                </c:pt>
                <c:pt idx="23">
                  <c:v>130.64019363279431</c:v>
                </c:pt>
                <c:pt idx="24">
                  <c:v>136.85588298257335</c:v>
                </c:pt>
                <c:pt idx="25">
                  <c:v>141.8133425054254</c:v>
                </c:pt>
                <c:pt idx="26">
                  <c:v>142.24196158103845</c:v>
                </c:pt>
                <c:pt idx="27">
                  <c:v>154.65550444771702</c:v>
                </c:pt>
              </c:numCache>
            </c:numRef>
          </c:val>
        </c:ser>
        <c:marker val="1"/>
        <c:axId val="134958080"/>
        <c:axId val="134980352"/>
      </c:lineChart>
      <c:catAx>
        <c:axId val="134958080"/>
        <c:scaling>
          <c:orientation val="minMax"/>
        </c:scaling>
        <c:axPos val="b"/>
        <c:numFmt formatCode="General" sourceLinked="1"/>
        <c:tickLblPos val="nextTo"/>
        <c:txPr>
          <a:bodyPr rot="5400000" vert="horz"/>
          <a:lstStyle/>
          <a:p>
            <a:pPr>
              <a:defRPr lang="en-CA"/>
            </a:pPr>
            <a:endParaRPr lang="en-US"/>
          </a:p>
        </c:txPr>
        <c:crossAx val="134980352"/>
        <c:crosses val="autoZero"/>
        <c:auto val="1"/>
        <c:lblAlgn val="ctr"/>
        <c:lblOffset val="100"/>
      </c:catAx>
      <c:valAx>
        <c:axId val="134980352"/>
        <c:scaling>
          <c:orientation val="minMax"/>
        </c:scaling>
        <c:axPos val="l"/>
        <c:majorGridlines/>
        <c:title>
          <c:tx>
            <c:rich>
              <a:bodyPr rot="-5400000" vert="horz"/>
              <a:lstStyle/>
              <a:p>
                <a:pPr>
                  <a:defRPr lang="en-CA" b="0"/>
                </a:pPr>
                <a:r>
                  <a:rPr lang="en-US" b="0"/>
                  <a:t>Index</a:t>
                </a:r>
                <a:r>
                  <a:rPr lang="en-US" b="0" baseline="0"/>
                  <a:t> (normalized to 100 in 1981)</a:t>
                </a:r>
                <a:endParaRPr lang="en-US" b="0"/>
              </a:p>
            </c:rich>
          </c:tx>
        </c:title>
        <c:numFmt formatCode="General" sourceLinked="1"/>
        <c:tickLblPos val="nextTo"/>
        <c:txPr>
          <a:bodyPr/>
          <a:lstStyle/>
          <a:p>
            <a:pPr>
              <a:defRPr lang="en-CA"/>
            </a:pPr>
            <a:endParaRPr lang="en-US"/>
          </a:p>
        </c:txPr>
        <c:crossAx val="134958080"/>
        <c:crosses val="autoZero"/>
        <c:crossBetween val="between"/>
      </c:valAx>
    </c:plotArea>
    <c:legend>
      <c:legendPos val="r"/>
      <c:layout>
        <c:manualLayout>
          <c:xMode val="edge"/>
          <c:yMode val="edge"/>
          <c:x val="0.10381225359382378"/>
          <c:y val="1.5311138906644519E-3"/>
          <c:w val="0.43790311775881913"/>
          <c:h val="0.31202019966065558"/>
        </c:manualLayout>
      </c:layout>
      <c:spPr>
        <a:solidFill>
          <a:schemeClr val="bg1"/>
        </a:solidFill>
        <a:ln>
          <a:solidFill>
            <a:sysClr val="windowText" lastClr="000000"/>
          </a:solidFill>
        </a:ln>
      </c:spPr>
      <c:txPr>
        <a:bodyPr/>
        <a:lstStyle/>
        <a:p>
          <a:pPr>
            <a:defRPr lang="en-CA"/>
          </a:pPr>
          <a:endParaRPr lang="en-US"/>
        </a:p>
      </c:txPr>
    </c:legend>
    <c:plotVisOnly val="1"/>
  </c:chart>
  <c:spPr>
    <a:ln>
      <a:noFill/>
    </a:ln>
  </c:spPr>
  <c:printSettings>
    <c:headerFooter/>
    <c:pageMargins b="0.75000000000000211" l="0.70000000000000062" r="0.70000000000000062" t="0.75000000000000211"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6250000000000001"/>
          <c:y val="4.8611111111111112E-2"/>
          <c:w val="0.81666666666666654"/>
          <c:h val="0.62384259259259756"/>
        </c:manualLayout>
      </c:layout>
      <c:barChart>
        <c:barDir val="col"/>
        <c:grouping val="clustered"/>
        <c:ser>
          <c:idx val="0"/>
          <c:order val="0"/>
          <c:tx>
            <c:strRef>
              <c:f>'C7'!$B$20</c:f>
              <c:strCache>
                <c:ptCount val="1"/>
                <c:pt idx="0">
                  <c:v>1981</c:v>
                </c:pt>
              </c:strCache>
            </c:strRef>
          </c:tx>
          <c:spPr>
            <a:solidFill>
              <a:schemeClr val="tx1"/>
            </a:solidFill>
          </c:spPr>
          <c:cat>
            <c:strRef>
              <c:f>'C7'!$A$21:$A$25</c:f>
              <c:strCache>
                <c:ptCount val="5"/>
                <c:pt idx="0">
                  <c:v>Total Adjusted Consumption</c:v>
                </c:pt>
                <c:pt idx="1">
                  <c:v>Personal Consumption</c:v>
                </c:pt>
                <c:pt idx="2">
                  <c:v>Unpaid Work</c:v>
                </c:pt>
                <c:pt idx="3">
                  <c:v>Government Consumption</c:v>
                </c:pt>
                <c:pt idx="4">
                  <c:v>Regrettable Expenditures</c:v>
                </c:pt>
              </c:strCache>
            </c:strRef>
          </c:cat>
          <c:val>
            <c:numRef>
              <c:f>'C7'!$B$21:$B$25</c:f>
              <c:numCache>
                <c:formatCode>#,##0</c:formatCode>
                <c:ptCount val="5"/>
                <c:pt idx="0">
                  <c:v>26544.414111916678</c:v>
                </c:pt>
                <c:pt idx="1">
                  <c:v>14849.083890899707</c:v>
                </c:pt>
                <c:pt idx="2">
                  <c:v>7405.6692300550103</c:v>
                </c:pt>
                <c:pt idx="3">
                  <c:v>6046.2166026798013</c:v>
                </c:pt>
                <c:pt idx="4">
                  <c:v>1756.5556117178382</c:v>
                </c:pt>
              </c:numCache>
            </c:numRef>
          </c:val>
        </c:ser>
        <c:ser>
          <c:idx val="1"/>
          <c:order val="1"/>
          <c:tx>
            <c:strRef>
              <c:f>'C7'!$C$20</c:f>
              <c:strCache>
                <c:ptCount val="1"/>
                <c:pt idx="0">
                  <c:v>2010</c:v>
                </c:pt>
              </c:strCache>
            </c:strRef>
          </c:tx>
          <c:cat>
            <c:strRef>
              <c:f>'C7'!$A$21:$A$25</c:f>
              <c:strCache>
                <c:ptCount val="5"/>
                <c:pt idx="0">
                  <c:v>Total Adjusted Consumption</c:v>
                </c:pt>
                <c:pt idx="1">
                  <c:v>Personal Consumption</c:v>
                </c:pt>
                <c:pt idx="2">
                  <c:v>Unpaid Work</c:v>
                </c:pt>
                <c:pt idx="3">
                  <c:v>Government Consumption</c:v>
                </c:pt>
                <c:pt idx="4">
                  <c:v>Regrettable Expenditures</c:v>
                </c:pt>
              </c:strCache>
            </c:strRef>
          </c:cat>
          <c:val>
            <c:numRef>
              <c:f>'C7'!$C$21:$C$25</c:f>
              <c:numCache>
                <c:formatCode>#,##0</c:formatCode>
                <c:ptCount val="5"/>
                <c:pt idx="0">
                  <c:v>45116.553592349832</c:v>
                </c:pt>
                <c:pt idx="1">
                  <c:v>24951.77076289618</c:v>
                </c:pt>
                <c:pt idx="2">
                  <c:v>12773.786626708114</c:v>
                </c:pt>
                <c:pt idx="3">
                  <c:v>8978.2285228480359</c:v>
                </c:pt>
                <c:pt idx="4">
                  <c:v>3234.7173666806088</c:v>
                </c:pt>
              </c:numCache>
            </c:numRef>
          </c:val>
        </c:ser>
        <c:axId val="129954560"/>
        <c:axId val="129956096"/>
      </c:barChart>
      <c:catAx>
        <c:axId val="129954560"/>
        <c:scaling>
          <c:orientation val="minMax"/>
        </c:scaling>
        <c:axPos val="b"/>
        <c:numFmt formatCode="General" sourceLinked="1"/>
        <c:tickLblPos val="nextTo"/>
        <c:txPr>
          <a:bodyPr/>
          <a:lstStyle/>
          <a:p>
            <a:pPr>
              <a:defRPr lang="en-CA"/>
            </a:pPr>
            <a:endParaRPr lang="en-US"/>
          </a:p>
        </c:txPr>
        <c:crossAx val="129956096"/>
        <c:crosses val="autoZero"/>
        <c:auto val="1"/>
        <c:lblAlgn val="ctr"/>
        <c:lblOffset val="100"/>
      </c:catAx>
      <c:valAx>
        <c:axId val="129956096"/>
        <c:scaling>
          <c:orientation val="minMax"/>
        </c:scaling>
        <c:axPos val="l"/>
        <c:majorGridlines/>
        <c:title>
          <c:tx>
            <c:rich>
              <a:bodyPr rot="-5400000" vert="horz"/>
              <a:lstStyle/>
              <a:p>
                <a:pPr>
                  <a:defRPr lang="en-CA" b="0"/>
                </a:pPr>
                <a:r>
                  <a:rPr lang="en-US" b="0"/>
                  <a:t>2002</a:t>
                </a:r>
                <a:r>
                  <a:rPr lang="en-US" b="0" baseline="0"/>
                  <a:t> Dollars</a:t>
                </a:r>
                <a:endParaRPr lang="en-US" b="0"/>
              </a:p>
            </c:rich>
          </c:tx>
        </c:title>
        <c:numFmt formatCode="#,##0" sourceLinked="1"/>
        <c:tickLblPos val="nextTo"/>
        <c:txPr>
          <a:bodyPr/>
          <a:lstStyle/>
          <a:p>
            <a:pPr>
              <a:defRPr lang="en-CA"/>
            </a:pPr>
            <a:endParaRPr lang="en-US"/>
          </a:p>
        </c:txPr>
        <c:crossAx val="129954560"/>
        <c:crosses val="autoZero"/>
        <c:crossBetween val="between"/>
      </c:valAx>
    </c:plotArea>
    <c:legend>
      <c:legendPos val="r"/>
      <c:layout>
        <c:manualLayout>
          <c:xMode val="edge"/>
          <c:yMode val="edge"/>
          <c:x val="0.83537642169728787"/>
          <c:y val="6.4430956547098434E-2"/>
          <c:w val="0.10351246719160101"/>
          <c:h val="0.16743438320210097"/>
        </c:manualLayout>
      </c:layout>
      <c:spPr>
        <a:solidFill>
          <a:schemeClr val="bg1"/>
        </a:solidFill>
        <a:ln>
          <a:solidFill>
            <a:schemeClr val="tx1"/>
          </a:solidFill>
        </a:ln>
      </c:spPr>
      <c:txPr>
        <a:bodyPr/>
        <a:lstStyle/>
        <a:p>
          <a:pPr>
            <a:defRPr lang="en-CA"/>
          </a:pPr>
          <a:endParaRPr lang="en-US"/>
        </a:p>
      </c:txPr>
    </c:legend>
    <c:plotVisOnly val="1"/>
    <c:dispBlanksAs val="gap"/>
  </c:chart>
  <c:spPr>
    <a:ln>
      <a:noFill/>
    </a:ln>
  </c:spPr>
  <c:printSettings>
    <c:headerFooter/>
    <c:pageMargins b="0.75000000000000422" l="0.70000000000000062" r="0.70000000000000062" t="0.75000000000000422"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1958573928259029"/>
          <c:y val="5.1400554097404488E-2"/>
          <c:w val="0.86023512685914261"/>
          <c:h val="0.53726851851851865"/>
        </c:manualLayout>
      </c:layout>
      <c:barChart>
        <c:barDir val="col"/>
        <c:grouping val="clustered"/>
        <c:ser>
          <c:idx val="0"/>
          <c:order val="0"/>
          <c:tx>
            <c:v>1981</c:v>
          </c:tx>
          <c:spPr>
            <a:solidFill>
              <a:schemeClr val="tx1"/>
            </a:solidFill>
          </c:spPr>
          <c:cat>
            <c:strRef>
              <c:f>('[1]2'!$B$3,'[1]2'!$L$3,'[1]2'!$V$3,'[1]2'!$AF$3,'[1]2'!$AP$3,'[1]2'!$AZ$3,'[1]2'!$BJ$3,'[1]2'!$BT$3,'[1]2'!$CD$3,'[1]2'!$CN$3,'[1]2'!$CX$3)</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('[1]2'!$G$19,'[1]2'!$Q$19,'[1]2'!$AA$19,'[1]2'!$AK$19,'[1]2'!$AU$19,'[1]2'!$BE$19,'[1]2'!$BO$19,'[1]2'!$BY$19,'[1]2'!$CI$19,'[1]2'!$CS$19,'[1]2'!$DC$19)</c:f>
              <c:numCache>
                <c:formatCode>General</c:formatCode>
                <c:ptCount val="11"/>
                <c:pt idx="0">
                  <c:v>649.03106206770872</c:v>
                </c:pt>
                <c:pt idx="1">
                  <c:v>483.04935818709532</c:v>
                </c:pt>
                <c:pt idx="2">
                  <c:v>462.37811479564073</c:v>
                </c:pt>
                <c:pt idx="3">
                  <c:v>615.03623552002591</c:v>
                </c:pt>
                <c:pt idx="4">
                  <c:v>598.74052678516773</c:v>
                </c:pt>
                <c:pt idx="5">
                  <c:v>348.75171899032421</c:v>
                </c:pt>
                <c:pt idx="6">
                  <c:v>525.8963945182536</c:v>
                </c:pt>
                <c:pt idx="7">
                  <c:v>473.83615614806911</c:v>
                </c:pt>
                <c:pt idx="8">
                  <c:v>1317.4962544924952</c:v>
                </c:pt>
                <c:pt idx="9">
                  <c:v>2227.1370183986901</c:v>
                </c:pt>
                <c:pt idx="10">
                  <c:v>509.83845145866979</c:v>
                </c:pt>
              </c:numCache>
            </c:numRef>
          </c:val>
        </c:ser>
        <c:ser>
          <c:idx val="1"/>
          <c:order val="1"/>
          <c:tx>
            <c:v>2009</c:v>
          </c:tx>
          <c:cat>
            <c:strRef>
              <c:f>('[1]2'!$B$3,'[1]2'!$L$3,'[1]2'!$V$3,'[1]2'!$AF$3,'[1]2'!$AP$3,'[1]2'!$AZ$3,'[1]2'!$BJ$3,'[1]2'!$BT$3,'[1]2'!$CD$3,'[1]2'!$CN$3,'[1]2'!$CX$3)</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[3]Wea!$J$5:$J$15</c:f>
              <c:numCache>
                <c:formatCode>General</c:formatCode>
                <c:ptCount val="11"/>
                <c:pt idx="0">
                  <c:v>667.55785289927962</c:v>
                </c:pt>
                <c:pt idx="1">
                  <c:v>624.37023250490688</c:v>
                </c:pt>
                <c:pt idx="2">
                  <c:v>445.37194316035573</c:v>
                </c:pt>
                <c:pt idx="3">
                  <c:v>663.01367154316188</c:v>
                </c:pt>
                <c:pt idx="4">
                  <c:v>681.2340708354692</c:v>
                </c:pt>
                <c:pt idx="5">
                  <c:v>325.13430640059295</c:v>
                </c:pt>
                <c:pt idx="6">
                  <c:v>437.62043160756332</c:v>
                </c:pt>
                <c:pt idx="7">
                  <c:v>529.85859450763348</c:v>
                </c:pt>
                <c:pt idx="8">
                  <c:v>2300.5186506582695</c:v>
                </c:pt>
                <c:pt idx="9">
                  <c:v>2265.8719571356428</c:v>
                </c:pt>
                <c:pt idx="10">
                  <c:v>449.03297090118713</c:v>
                </c:pt>
              </c:numCache>
            </c:numRef>
          </c:val>
        </c:ser>
        <c:axId val="135148672"/>
        <c:axId val="135150208"/>
      </c:barChart>
      <c:catAx>
        <c:axId val="135148672"/>
        <c:scaling>
          <c:orientation val="minMax"/>
        </c:scaling>
        <c:axPos val="b"/>
        <c:tickLblPos val="nextTo"/>
        <c:txPr>
          <a:bodyPr/>
          <a:lstStyle/>
          <a:p>
            <a:pPr>
              <a:defRPr lang="en-CA"/>
            </a:pPr>
            <a:endParaRPr lang="en-US"/>
          </a:p>
        </c:txPr>
        <c:crossAx val="135150208"/>
        <c:crosses val="autoZero"/>
        <c:auto val="1"/>
        <c:lblAlgn val="ctr"/>
        <c:lblOffset val="100"/>
      </c:catAx>
      <c:valAx>
        <c:axId val="135150208"/>
        <c:scaling>
          <c:orientation val="minMax"/>
        </c:scaling>
        <c:axPos val="l"/>
        <c:majorGridlines/>
        <c:title>
          <c:tx>
            <c:rich>
              <a:bodyPr rot="-5400000" vert="horz"/>
              <a:lstStyle/>
              <a:p>
                <a:pPr>
                  <a:defRPr lang="en-CA" b="0"/>
                </a:pPr>
                <a:r>
                  <a:rPr lang="en-US" b="0"/>
                  <a:t>2002</a:t>
                </a:r>
                <a:r>
                  <a:rPr lang="en-US" b="0" baseline="0"/>
                  <a:t> Dollars</a:t>
                </a:r>
                <a:endParaRPr lang="en-US" b="0"/>
              </a:p>
            </c:rich>
          </c:tx>
        </c:title>
        <c:numFmt formatCode="General" sourceLinked="1"/>
        <c:tickLblPos val="nextTo"/>
        <c:txPr>
          <a:bodyPr/>
          <a:lstStyle/>
          <a:p>
            <a:pPr>
              <a:defRPr lang="en-CA"/>
            </a:pPr>
            <a:endParaRPr lang="en-US"/>
          </a:p>
        </c:txPr>
        <c:crossAx val="135148672"/>
        <c:crosses val="autoZero"/>
        <c:crossBetween val="between"/>
      </c:valAx>
    </c:plotArea>
    <c:legend>
      <c:legendPos val="r"/>
      <c:layout>
        <c:manualLayout>
          <c:xMode val="edge"/>
          <c:yMode val="edge"/>
          <c:x val="0.15482086614173241"/>
          <c:y val="8.2949475065616798E-2"/>
          <c:w val="9.5918888517313713E-2"/>
          <c:h val="0.14883056284631091"/>
        </c:manualLayout>
      </c:layout>
      <c:spPr>
        <a:solidFill>
          <a:schemeClr val="bg1"/>
        </a:solidFill>
        <a:ln>
          <a:solidFill>
            <a:schemeClr val="tx1"/>
          </a:solidFill>
        </a:ln>
      </c:spPr>
      <c:txPr>
        <a:bodyPr/>
        <a:lstStyle/>
        <a:p>
          <a:pPr>
            <a:defRPr lang="en-CA"/>
          </a:pPr>
          <a:endParaRPr lang="en-US"/>
        </a:p>
      </c:txPr>
    </c:legend>
    <c:plotVisOnly val="1"/>
  </c:chart>
  <c:spPr>
    <a:ln>
      <a:noFill/>
    </a:ln>
  </c:spPr>
  <c:printSettings>
    <c:headerFooter/>
    <c:pageMargins b="0.75000000000000211" l="0.70000000000000062" r="0.70000000000000062" t="0.75000000000000211"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4680568874002539"/>
          <c:y val="4.0668570274869455E-2"/>
          <c:w val="0.82514516731720711"/>
          <c:h val="0.56117021181426407"/>
        </c:manualLayout>
      </c:layout>
      <c:barChart>
        <c:barDir val="col"/>
        <c:grouping val="clustered"/>
        <c:ser>
          <c:idx val="0"/>
          <c:order val="0"/>
          <c:tx>
            <c:v>1981</c:v>
          </c:tx>
          <c:spPr>
            <a:solidFill>
              <a:schemeClr val="tx1"/>
            </a:solidFill>
          </c:spPr>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('[1]2'!$H$19,'[1]2'!$R$19,'[1]2'!$AB$19,'[1]2'!$AL$19,'[1]2'!$AV$19,'[1]2'!$BF$19,'[1]2'!$BP$19,'[1]2'!$BZ$19,'[1]2'!$CJ$19,'[1]2'!$CT$19,'[1]2'!$DD$19)</c:f>
              <c:numCache>
                <c:formatCode>General</c:formatCode>
                <c:ptCount val="11"/>
                <c:pt idx="0">
                  <c:v>147735.58164931877</c:v>
                </c:pt>
                <c:pt idx="1">
                  <c:v>119761.0876986396</c:v>
                </c:pt>
                <c:pt idx="2">
                  <c:v>87345.509119583192</c:v>
                </c:pt>
                <c:pt idx="3">
                  <c:v>107262.86767576404</c:v>
                </c:pt>
                <c:pt idx="4">
                  <c:v>113900.87285263033</c:v>
                </c:pt>
                <c:pt idx="5">
                  <c:v>128866.00730433232</c:v>
                </c:pt>
                <c:pt idx="6">
                  <c:v>127696.04764956835</c:v>
                </c:pt>
                <c:pt idx="7">
                  <c:v>144062.47898423276</c:v>
                </c:pt>
                <c:pt idx="8">
                  <c:v>180196.37554155744</c:v>
                </c:pt>
                <c:pt idx="9">
                  <c:v>264234.53960001905</c:v>
                </c:pt>
                <c:pt idx="10">
                  <c:v>168513.30384328112</c:v>
                </c:pt>
              </c:numCache>
            </c:numRef>
          </c:val>
        </c:ser>
        <c:ser>
          <c:idx val="1"/>
          <c:order val="1"/>
          <c:tx>
            <c:v>2009</c:v>
          </c:tx>
          <c:spPr>
            <a:solidFill>
              <a:prstClr val="black">
                <a:lumMod val="50000"/>
                <a:lumOff val="50000"/>
              </a:prstClr>
            </a:solidFill>
          </c:spPr>
          <c:val>
            <c:numRef>
              <c:f>('[1]2'!$H$47,'[1]2'!$R$47,'[1]2'!$AB$47,'[1]2'!$AL$47,'[1]2'!$AV$47,'[1]2'!$BF$47,'[1]2'!$BP$47,'[1]2'!$BZ$47,'[1]2'!$CJ$47,'[1]2'!$CT$47,'[1]2'!$DD$47)</c:f>
              <c:numCache>
                <c:formatCode>General</c:formatCode>
                <c:ptCount val="11"/>
                <c:pt idx="0">
                  <c:v>227130.40052407348</c:v>
                </c:pt>
                <c:pt idx="1">
                  <c:v>305508.23273966619</c:v>
                </c:pt>
                <c:pt idx="2">
                  <c:v>160062.22114098462</c:v>
                </c:pt>
                <c:pt idx="3">
                  <c:v>170701.35636337136</c:v>
                </c:pt>
                <c:pt idx="4">
                  <c:v>190699.49759155675</c:v>
                </c:pt>
                <c:pt idx="5">
                  <c:v>196771.83322463691</c:v>
                </c:pt>
                <c:pt idx="6">
                  <c:v>188464.42607133964</c:v>
                </c:pt>
                <c:pt idx="7">
                  <c:v>196233.00907618448</c:v>
                </c:pt>
                <c:pt idx="8">
                  <c:v>289874.0311139478</c:v>
                </c:pt>
                <c:pt idx="9">
                  <c:v>333594.94301443116</c:v>
                </c:pt>
                <c:pt idx="10">
                  <c:v>230531.90984807277</c:v>
                </c:pt>
              </c:numCache>
            </c:numRef>
          </c:val>
        </c:ser>
        <c:axId val="135199744"/>
        <c:axId val="135009024"/>
      </c:barChart>
      <c:catAx>
        <c:axId val="135199744"/>
        <c:scaling>
          <c:orientation val="minMax"/>
        </c:scaling>
        <c:axPos val="b"/>
        <c:tickLblPos val="nextTo"/>
        <c:txPr>
          <a:bodyPr/>
          <a:lstStyle/>
          <a:p>
            <a:pPr>
              <a:defRPr lang="en-CA"/>
            </a:pPr>
            <a:endParaRPr lang="en-US"/>
          </a:p>
        </c:txPr>
        <c:crossAx val="135009024"/>
        <c:crosses val="autoZero"/>
        <c:auto val="1"/>
        <c:lblAlgn val="ctr"/>
        <c:lblOffset val="100"/>
      </c:catAx>
      <c:valAx>
        <c:axId val="135009024"/>
        <c:scaling>
          <c:orientation val="minMax"/>
        </c:scaling>
        <c:axPos val="l"/>
        <c:majorGridlines/>
        <c:title>
          <c:tx>
            <c:rich>
              <a:bodyPr rot="-5400000" vert="horz"/>
              <a:lstStyle/>
              <a:p>
                <a:pPr>
                  <a:defRPr lang="en-CA"/>
                </a:pPr>
                <a:r>
                  <a:rPr lang="en-US" b="0"/>
                  <a:t>Per-capita</a:t>
                </a:r>
                <a:r>
                  <a:rPr lang="en-US" b="0" baseline="0"/>
                  <a:t> Wealth (2002$)</a:t>
                </a:r>
                <a:endParaRPr lang="en-US" b="0"/>
              </a:p>
            </c:rich>
          </c:tx>
        </c:title>
        <c:numFmt formatCode="General" sourceLinked="1"/>
        <c:tickLblPos val="nextTo"/>
        <c:txPr>
          <a:bodyPr/>
          <a:lstStyle/>
          <a:p>
            <a:pPr>
              <a:defRPr lang="en-CA"/>
            </a:pPr>
            <a:endParaRPr lang="en-US"/>
          </a:p>
        </c:txPr>
        <c:crossAx val="135199744"/>
        <c:crosses val="autoZero"/>
        <c:crossBetween val="between"/>
      </c:valAx>
    </c:plotArea>
    <c:legend>
      <c:legendPos val="r"/>
      <c:layout>
        <c:manualLayout>
          <c:xMode val="edge"/>
          <c:yMode val="edge"/>
          <c:x val="0.15091026143173458"/>
          <c:y val="5.2809841077557616E-2"/>
          <c:w val="8.5224672816413743E-2"/>
          <c:h val="0.13247555594012286"/>
        </c:manualLayout>
      </c:layout>
      <c:spPr>
        <a:solidFill>
          <a:schemeClr val="bg1"/>
        </a:solidFill>
        <a:ln>
          <a:solidFill>
            <a:sysClr val="windowText" lastClr="000000"/>
          </a:solidFill>
        </a:ln>
      </c:spPr>
      <c:txPr>
        <a:bodyPr/>
        <a:lstStyle/>
        <a:p>
          <a:pPr>
            <a:defRPr lang="en-CA"/>
          </a:pPr>
          <a:endParaRPr lang="en-US"/>
        </a:p>
      </c:txPr>
    </c:legend>
    <c:plotVisOnly val="1"/>
  </c:chart>
  <c:spPr>
    <a:ln>
      <a:noFill/>
    </a:ln>
  </c:spPr>
  <c:printSettings>
    <c:headerFooter/>
    <c:pageMargins b="0.75000000000000211" l="0.70000000000000062" r="0.70000000000000062" t="0.75000000000000211"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1966885389326334"/>
          <c:y val="5.1400554097404488E-2"/>
          <c:w val="0.84626312335958065"/>
          <c:h val="0.53726851851851865"/>
        </c:manualLayout>
      </c:layout>
      <c:barChart>
        <c:barDir val="col"/>
        <c:grouping val="clustered"/>
        <c:ser>
          <c:idx val="0"/>
          <c:order val="0"/>
          <c:tx>
            <c:v>1981</c:v>
          </c:tx>
          <c:spPr>
            <a:solidFill>
              <a:schemeClr val="tx1"/>
            </a:solidFill>
          </c:spPr>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[3]Wea!$L$41:$L$51</c:f>
              <c:numCache>
                <c:formatCode>General</c:formatCode>
                <c:ptCount val="11"/>
                <c:pt idx="0">
                  <c:v>0.27621245976709657</c:v>
                </c:pt>
                <c:pt idx="1">
                  <c:v>0.18686505994443872</c:v>
                </c:pt>
                <c:pt idx="2">
                  <c:v>8.3333333333333329E-2</c:v>
                </c:pt>
                <c:pt idx="3">
                  <c:v>0.14694714531033681</c:v>
                </c:pt>
                <c:pt idx="4">
                  <c:v>0.16814819021960303</c:v>
                </c:pt>
                <c:pt idx="5">
                  <c:v>0.21594515318213009</c:v>
                </c:pt>
                <c:pt idx="6">
                  <c:v>0.2122084331100933</c:v>
                </c:pt>
                <c:pt idx="7">
                  <c:v>0.26448098133586145</c:v>
                </c:pt>
                <c:pt idx="8">
                  <c:v>0.37988859902323946</c:v>
                </c:pt>
                <c:pt idx="9">
                  <c:v>0.64829708061120361</c:v>
                </c:pt>
                <c:pt idx="10">
                  <c:v>0.34257417682053393</c:v>
                </c:pt>
              </c:numCache>
            </c:numRef>
          </c:val>
        </c:ser>
        <c:ser>
          <c:idx val="1"/>
          <c:order val="1"/>
          <c:tx>
            <c:v>2009</c:v>
          </c:tx>
          <c:spPr>
            <a:solidFill>
              <a:prstClr val="white">
                <a:lumMod val="50000"/>
              </a:prstClr>
            </a:solidFill>
          </c:spPr>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[3]Con!$H$5:$H$15</c:f>
              <c:numCache>
                <c:formatCode>General</c:formatCode>
                <c:ptCount val="11"/>
                <c:pt idx="0">
                  <c:v>0.84773486302389722</c:v>
                </c:pt>
                <c:pt idx="1">
                  <c:v>0.72447359326200633</c:v>
                </c:pt>
                <c:pt idx="2">
                  <c:v>0.72807660936440866</c:v>
                </c:pt>
                <c:pt idx="3">
                  <c:v>0.8465865824588471</c:v>
                </c:pt>
                <c:pt idx="4">
                  <c:v>0.72994075011402426</c:v>
                </c:pt>
                <c:pt idx="5">
                  <c:v>0.76723732547508694</c:v>
                </c:pt>
                <c:pt idx="6">
                  <c:v>0.88261624906916214</c:v>
                </c:pt>
                <c:pt idx="7">
                  <c:v>0.76110813004713385</c:v>
                </c:pt>
                <c:pt idx="8">
                  <c:v>0.70994344377470053</c:v>
                </c:pt>
                <c:pt idx="9">
                  <c:v>0.96046009445596614</c:v>
                </c:pt>
                <c:pt idx="10">
                  <c:v>0.9220986626371046</c:v>
                </c:pt>
              </c:numCache>
            </c:numRef>
          </c:val>
        </c:ser>
        <c:axId val="135042176"/>
        <c:axId val="135043712"/>
      </c:barChart>
      <c:catAx>
        <c:axId val="135042176"/>
        <c:scaling>
          <c:orientation val="minMax"/>
        </c:scaling>
        <c:axPos val="b"/>
        <c:tickLblPos val="nextTo"/>
        <c:txPr>
          <a:bodyPr/>
          <a:lstStyle/>
          <a:p>
            <a:pPr>
              <a:defRPr lang="en-CA"/>
            </a:pPr>
            <a:endParaRPr lang="en-US"/>
          </a:p>
        </c:txPr>
        <c:crossAx val="135043712"/>
        <c:crosses val="autoZero"/>
        <c:auto val="1"/>
        <c:lblAlgn val="ctr"/>
        <c:lblOffset val="100"/>
      </c:catAx>
      <c:valAx>
        <c:axId val="135043712"/>
        <c:scaling>
          <c:orientation val="minMax"/>
          <c:max val="1"/>
        </c:scaling>
        <c:axPos val="l"/>
        <c:majorGridlines/>
        <c:title>
          <c:tx>
            <c:rich>
              <a:bodyPr rot="-5400000" vert="horz"/>
              <a:lstStyle/>
              <a:p>
                <a:pPr>
                  <a:defRPr lang="en-CA" b="0"/>
                </a:pPr>
                <a:r>
                  <a:rPr lang="en-US" b="0"/>
                  <a:t>Index</a:t>
                </a:r>
                <a:r>
                  <a:rPr lang="en-US" b="0" baseline="0"/>
                  <a:t> Value</a:t>
                </a:r>
                <a:endParaRPr lang="en-US" b="0"/>
              </a:p>
            </c:rich>
          </c:tx>
        </c:title>
        <c:numFmt formatCode="0.0" sourceLinked="0"/>
        <c:tickLblPos val="nextTo"/>
        <c:txPr>
          <a:bodyPr/>
          <a:lstStyle/>
          <a:p>
            <a:pPr>
              <a:defRPr lang="en-CA"/>
            </a:pPr>
            <a:endParaRPr lang="en-US"/>
          </a:p>
        </c:txPr>
        <c:crossAx val="135042176"/>
        <c:crosses val="autoZero"/>
        <c:crossBetween val="between"/>
      </c:valAx>
    </c:plotArea>
    <c:legend>
      <c:legendPos val="r"/>
      <c:layout>
        <c:manualLayout>
          <c:xMode val="edge"/>
          <c:yMode val="edge"/>
          <c:x val="0.13062820251140483"/>
          <c:y val="6.4392405815739073E-2"/>
          <c:w val="8.9524295949497817E-2"/>
          <c:h val="0.14351518560180382"/>
        </c:manualLayout>
      </c:layout>
      <c:spPr>
        <a:solidFill>
          <a:schemeClr val="bg1"/>
        </a:solidFill>
        <a:ln>
          <a:solidFill>
            <a:sysClr val="windowText" lastClr="000000"/>
          </a:solidFill>
        </a:ln>
      </c:spPr>
      <c:txPr>
        <a:bodyPr/>
        <a:lstStyle/>
        <a:p>
          <a:pPr>
            <a:defRPr lang="en-CA"/>
          </a:pPr>
          <a:endParaRPr lang="en-US"/>
        </a:p>
      </c:txPr>
    </c:legend>
    <c:plotVisOnly val="1"/>
  </c:chart>
  <c:spPr>
    <a:ln>
      <a:noFill/>
    </a:ln>
  </c:spPr>
  <c:printSettings>
    <c:headerFooter/>
    <c:pageMargins b="0.75000000000000211" l="0.70000000000000062" r="0.70000000000000062" t="0.75000000000000211"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0867919287866799"/>
          <c:y val="4.1120443277923566E-2"/>
          <c:w val="0.86780522805020444"/>
          <c:h val="0.5708921233330686"/>
        </c:manualLayout>
      </c:layout>
      <c:barChart>
        <c:barDir val="col"/>
        <c:grouping val="clustered"/>
        <c:ser>
          <c:idx val="0"/>
          <c:order val="0"/>
          <c:tx>
            <c:strRef>
              <c:f>'[1]7'!$A$19</c:f>
              <c:strCache>
                <c:ptCount val="1"/>
                <c:pt idx="0">
                  <c:v>1981</c:v>
                </c:pt>
              </c:strCache>
            </c:strRef>
          </c:tx>
          <c:spPr>
            <a:solidFill>
              <a:prstClr val="black"/>
            </a:solidFill>
          </c:spPr>
          <c:cat>
            <c:strRef>
              <c:f>('[2]6'!$B$3,'[2]6'!$G$3,'[2]6'!$L$3,'[2]6'!$Q$3,'[2]6'!$V$3,'[2]6'!$AA$3,'[2]6'!$AF$3,'[2]6'!$AK$3,'[2]6'!$AP$3,'[2]6'!$AU$3,'[2]6'!$AZ$3)</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('[1]7'!$B$19,'[1]7'!$F$19,'[1]7'!$J$19,'[1]7'!$N$19,'[1]7'!$R$19,'[1]7'!$V$19,'[1]7'!$Z$19,'[1]7'!$AD$19,'[1]7'!$AH$19,'[1]7'!$AL$19,'[1]7'!$AP$19)</c:f>
              <c:numCache>
                <c:formatCode>General</c:formatCode>
                <c:ptCount val="11"/>
                <c:pt idx="0">
                  <c:v>21</c:v>
                </c:pt>
                <c:pt idx="1">
                  <c:v>16.899999999999999</c:v>
                </c:pt>
                <c:pt idx="2">
                  <c:v>16.399999999999999</c:v>
                </c:pt>
                <c:pt idx="3">
                  <c:v>17.2</c:v>
                </c:pt>
                <c:pt idx="4">
                  <c:v>18.100000000000001</c:v>
                </c:pt>
                <c:pt idx="5">
                  <c:v>28.9</c:v>
                </c:pt>
                <c:pt idx="6">
                  <c:v>18.899999999999999</c:v>
                </c:pt>
                <c:pt idx="7">
                  <c:v>21.3</c:v>
                </c:pt>
                <c:pt idx="8">
                  <c:v>18.899999999999999</c:v>
                </c:pt>
                <c:pt idx="9">
                  <c:v>16.3</c:v>
                </c:pt>
                <c:pt idx="10">
                  <c:v>18.3</c:v>
                </c:pt>
              </c:numCache>
            </c:numRef>
          </c:val>
        </c:ser>
        <c:ser>
          <c:idx val="1"/>
          <c:order val="1"/>
          <c:tx>
            <c:strRef>
              <c:f>'[1]7'!$A$47</c:f>
              <c:strCache>
                <c:ptCount val="1"/>
                <c:pt idx="0">
                  <c:v>2009</c:v>
                </c:pt>
              </c:strCache>
            </c:strRef>
          </c:tx>
          <c:cat>
            <c:strRef>
              <c:f>('[2]6'!$B$3,'[2]6'!$G$3,'[2]6'!$L$3,'[2]6'!$Q$3,'[2]6'!$V$3,'[2]6'!$AA$3,'[2]6'!$AF$3,'[2]6'!$AK$3,'[2]6'!$AP$3,'[2]6'!$AU$3,'[2]6'!$AZ$3)</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('[1]7'!$B$47,'[1]7'!$F$47,'[1]7'!$J$47,'[1]7'!$N$47,'[1]7'!$R$47,'[1]7'!$V$47,'[1]7'!$Z$47,'[1]7'!$AD$47,'[1]7'!$AH$47,'[1]7'!$AL$47,'[1]7'!$AP$47)</c:f>
              <c:numCache>
                <c:formatCode>General</c:formatCode>
                <c:ptCount val="11"/>
                <c:pt idx="0">
                  <c:v>4.8</c:v>
                </c:pt>
                <c:pt idx="1">
                  <c:v>2.1</c:v>
                </c:pt>
                <c:pt idx="2">
                  <c:v>2.4</c:v>
                </c:pt>
                <c:pt idx="3">
                  <c:v>2.7</c:v>
                </c:pt>
                <c:pt idx="4">
                  <c:v>2.4</c:v>
                </c:pt>
                <c:pt idx="5">
                  <c:v>8.6999999999999993</c:v>
                </c:pt>
                <c:pt idx="6">
                  <c:v>3</c:v>
                </c:pt>
                <c:pt idx="7">
                  <c:v>6.9</c:v>
                </c:pt>
                <c:pt idx="8">
                  <c:v>2.7</c:v>
                </c:pt>
                <c:pt idx="9">
                  <c:v>2.4</c:v>
                </c:pt>
                <c:pt idx="10">
                  <c:v>5.6</c:v>
                </c:pt>
              </c:numCache>
            </c:numRef>
          </c:val>
        </c:ser>
        <c:axId val="135203840"/>
        <c:axId val="135209728"/>
      </c:barChart>
      <c:catAx>
        <c:axId val="135203840"/>
        <c:scaling>
          <c:orientation val="minMax"/>
        </c:scaling>
        <c:axPos val="b"/>
        <c:numFmt formatCode="General" sourceLinked="1"/>
        <c:tickLblPos val="nextTo"/>
        <c:txPr>
          <a:bodyPr/>
          <a:lstStyle/>
          <a:p>
            <a:pPr>
              <a:defRPr lang="en-CA"/>
            </a:pPr>
            <a:endParaRPr lang="en-US"/>
          </a:p>
        </c:txPr>
        <c:crossAx val="135209728"/>
        <c:crosses val="autoZero"/>
        <c:auto val="1"/>
        <c:lblAlgn val="ctr"/>
        <c:lblOffset val="100"/>
      </c:catAx>
      <c:valAx>
        <c:axId val="135209728"/>
        <c:scaling>
          <c:orientation val="minMax"/>
        </c:scaling>
        <c:axPos val="l"/>
        <c:majorGridlines/>
        <c:title>
          <c:tx>
            <c:rich>
              <a:bodyPr rot="-5400000" vert="horz"/>
              <a:lstStyle/>
              <a:p>
                <a:pPr>
                  <a:defRPr lang="en-CA" b="0"/>
                </a:pPr>
                <a:r>
                  <a:rPr lang="en-US" b="0"/>
                  <a:t>Per cent</a:t>
                </a:r>
              </a:p>
            </c:rich>
          </c:tx>
        </c:title>
        <c:numFmt formatCode="General" sourceLinked="1"/>
        <c:tickLblPos val="nextTo"/>
        <c:txPr>
          <a:bodyPr/>
          <a:lstStyle/>
          <a:p>
            <a:pPr>
              <a:defRPr lang="en-CA"/>
            </a:pPr>
            <a:endParaRPr lang="en-US"/>
          </a:p>
        </c:txPr>
        <c:crossAx val="135203840"/>
        <c:crosses val="autoZero"/>
        <c:crossBetween val="between"/>
      </c:valAx>
    </c:plotArea>
    <c:legend>
      <c:legendPos val="r"/>
      <c:layout>
        <c:manualLayout>
          <c:xMode val="edge"/>
          <c:yMode val="edge"/>
          <c:x val="0.79248982766043163"/>
          <c:y val="6.2579177602799643E-2"/>
          <c:w val="0.11432959768917735"/>
          <c:h val="0.15817526975794693"/>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chart>
  <c:spPr>
    <a:ln>
      <a:noFill/>
    </a:ln>
  </c:spPr>
  <c:printSettings>
    <c:headerFooter/>
    <c:pageMargins b="0.75000000000000211" l="0.70000000000000062" r="0.70000000000000062" t="0.75000000000000211"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294251593949679"/>
          <c:y val="4.5689381419915097E-2"/>
          <c:w val="0.85187673626825633"/>
          <c:h val="0.53930041152263386"/>
        </c:manualLayout>
      </c:layout>
      <c:barChart>
        <c:barDir val="col"/>
        <c:grouping val="clustered"/>
        <c:ser>
          <c:idx val="0"/>
          <c:order val="0"/>
          <c:tx>
            <c:strRef>
              <c:f>'[1]7'!$A$19</c:f>
              <c:strCache>
                <c:ptCount val="1"/>
                <c:pt idx="0">
                  <c:v>1981</c:v>
                </c:pt>
              </c:strCache>
            </c:strRef>
          </c:tx>
          <c:spPr>
            <a:solidFill>
              <a:prstClr val="black"/>
            </a:solidFill>
          </c:spPr>
          <c:cat>
            <c:strRef>
              <c:f>('[1]7'!$B$3,'[1]7'!$F$3,'[1]7'!$J$3,'[1]7'!$N$3,'[1]7'!$R$3,'[1]7'!$V$3,'[1]7'!$Z$3,'[1]7'!$AD$3,'[1]7'!$AH$3,'[1]7'!$AL$3,'[1]7'!$AP$3)</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('[1]7'!$C$19,'[1]7'!$G$19,'[1]7'!$K$19,'[1]7'!$O$19,'[1]7'!$S$19,'[1]7'!$W$19,'[1]7'!$AA$19,'[1]7'!$AE$19,'[1]7'!$AI$19,'[1]7'!$AM$19,'[1]7'!$AQ$19)</c:f>
              <c:numCache>
                <c:formatCode>General</c:formatCode>
                <c:ptCount val="11"/>
                <c:pt idx="0">
                  <c:v>1700</c:v>
                </c:pt>
                <c:pt idx="1">
                  <c:v>1200</c:v>
                </c:pt>
                <c:pt idx="2">
                  <c:v>900</c:v>
                </c:pt>
                <c:pt idx="3">
                  <c:v>1200</c:v>
                </c:pt>
                <c:pt idx="4">
                  <c:v>1200</c:v>
                </c:pt>
                <c:pt idx="5">
                  <c:v>2000</c:v>
                </c:pt>
                <c:pt idx="6">
                  <c:v>1600</c:v>
                </c:pt>
                <c:pt idx="7">
                  <c:v>1700</c:v>
                </c:pt>
                <c:pt idx="8">
                  <c:v>1200</c:v>
                </c:pt>
                <c:pt idx="9">
                  <c:v>1900</c:v>
                </c:pt>
                <c:pt idx="10">
                  <c:v>2000</c:v>
                </c:pt>
              </c:numCache>
            </c:numRef>
          </c:val>
        </c:ser>
        <c:ser>
          <c:idx val="1"/>
          <c:order val="1"/>
          <c:tx>
            <c:strRef>
              <c:f>'[1]7'!$A$47</c:f>
              <c:strCache>
                <c:ptCount val="1"/>
                <c:pt idx="0">
                  <c:v>2009</c:v>
                </c:pt>
              </c:strCache>
            </c:strRef>
          </c:tx>
          <c:cat>
            <c:strRef>
              <c:f>('[1]7'!$B$3,'[1]7'!$F$3,'[1]7'!$J$3,'[1]7'!$N$3,'[1]7'!$R$3,'[1]7'!$V$3,'[1]7'!$Z$3,'[1]7'!$AD$3,'[1]7'!$AH$3,'[1]7'!$AL$3,'[1]7'!$AP$3)</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('[1]7'!$C$47,'[1]7'!$G$47,'[1]7'!$K$47,'[1]7'!$O$47,'[1]7'!$S$47,'[1]7'!$W$47,'[1]7'!$AA$47,'[1]7'!$AE$47,'[1]7'!$AI$47,'[1]7'!$AM$47,'[1]7'!$AQ$47)</c:f>
              <c:numCache>
                <c:formatCode>General</c:formatCode>
                <c:ptCount val="11"/>
                <c:pt idx="0">
                  <c:v>3200</c:v>
                </c:pt>
                <c:pt idx="1">
                  <c:v>800</c:v>
                </c:pt>
                <c:pt idx="2">
                  <c:v>1700</c:v>
                </c:pt>
                <c:pt idx="3">
                  <c:v>1600</c:v>
                </c:pt>
                <c:pt idx="4">
                  <c:v>1500</c:v>
                </c:pt>
                <c:pt idx="5">
                  <c:v>2800</c:v>
                </c:pt>
                <c:pt idx="6">
                  <c:v>3600</c:v>
                </c:pt>
                <c:pt idx="7">
                  <c:v>2600</c:v>
                </c:pt>
                <c:pt idx="8">
                  <c:v>2800</c:v>
                </c:pt>
                <c:pt idx="9">
                  <c:v>4300</c:v>
                </c:pt>
                <c:pt idx="10">
                  <c:v>3800</c:v>
                </c:pt>
              </c:numCache>
            </c:numRef>
          </c:val>
        </c:ser>
        <c:axId val="135230592"/>
        <c:axId val="135232128"/>
      </c:barChart>
      <c:catAx>
        <c:axId val="135230592"/>
        <c:scaling>
          <c:orientation val="minMax"/>
        </c:scaling>
        <c:axPos val="b"/>
        <c:tickLblPos val="nextTo"/>
        <c:txPr>
          <a:bodyPr/>
          <a:lstStyle/>
          <a:p>
            <a:pPr>
              <a:defRPr lang="en-CA"/>
            </a:pPr>
            <a:endParaRPr lang="en-US"/>
          </a:p>
        </c:txPr>
        <c:crossAx val="135232128"/>
        <c:crosses val="autoZero"/>
        <c:auto val="1"/>
        <c:lblAlgn val="ctr"/>
        <c:lblOffset val="100"/>
      </c:catAx>
      <c:valAx>
        <c:axId val="135232128"/>
        <c:scaling>
          <c:orientation val="minMax"/>
        </c:scaling>
        <c:axPos val="l"/>
        <c:majorGridlines/>
        <c:title>
          <c:tx>
            <c:rich>
              <a:bodyPr rot="-5400000" vert="horz"/>
              <a:lstStyle/>
              <a:p>
                <a:pPr>
                  <a:defRPr lang="en-CA" b="0"/>
                </a:pPr>
                <a:r>
                  <a:rPr lang="en-US" b="0"/>
                  <a:t>2007 dollars</a:t>
                </a:r>
              </a:p>
            </c:rich>
          </c:tx>
        </c:title>
        <c:numFmt formatCode="General" sourceLinked="1"/>
        <c:tickLblPos val="nextTo"/>
        <c:txPr>
          <a:bodyPr/>
          <a:lstStyle/>
          <a:p>
            <a:pPr>
              <a:defRPr lang="en-CA"/>
            </a:pPr>
            <a:endParaRPr lang="en-US"/>
          </a:p>
        </c:txPr>
        <c:crossAx val="135230592"/>
        <c:crosses val="autoZero"/>
        <c:crossBetween val="between"/>
      </c:valAx>
    </c:plotArea>
    <c:legend>
      <c:legendPos val="r"/>
      <c:layout>
        <c:manualLayout>
          <c:xMode val="edge"/>
          <c:yMode val="edge"/>
          <c:x val="0.15369152823367513"/>
          <c:y val="6.1182074462914363E-2"/>
          <c:w val="8.2570056282483248E-2"/>
          <c:h val="0.13026052299018168"/>
        </c:manualLayout>
      </c:layout>
      <c:overlay val="1"/>
      <c:spPr>
        <a:solidFill>
          <a:sysClr val="window" lastClr="FFFFFF"/>
        </a:solidFill>
        <a:ln>
          <a:solidFill>
            <a:sysClr val="windowText" lastClr="000000"/>
          </a:solidFill>
        </a:ln>
      </c:spPr>
      <c:txPr>
        <a:bodyPr/>
        <a:lstStyle/>
        <a:p>
          <a:pPr>
            <a:defRPr lang="en-CA"/>
          </a:pPr>
          <a:endParaRPr lang="en-US"/>
        </a:p>
      </c:txPr>
    </c:legend>
    <c:plotVisOnly val="1"/>
  </c:chart>
  <c:spPr>
    <a:ln>
      <a:noFill/>
    </a:ln>
  </c:spPr>
  <c:printSettings>
    <c:headerFooter/>
    <c:pageMargins b="0.75000000000000211" l="0.70000000000000062" r="0.70000000000000062" t="0.75000000000000211"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1: Index of Total Consumption Flows</a:t>
            </a:r>
          </a:p>
        </c:rich>
      </c:tx>
      <c:layout>
        <c:manualLayout>
          <c:xMode val="edge"/>
          <c:yMode val="edge"/>
          <c:x val="0.33851276359601168"/>
          <c:y val="1.9575856443719643E-2"/>
        </c:manualLayout>
      </c:layout>
      <c:spPr>
        <a:noFill/>
        <a:ln w="25400">
          <a:noFill/>
        </a:ln>
      </c:spPr>
    </c:title>
    <c:plotArea>
      <c:layout>
        <c:manualLayout>
          <c:layoutTarget val="inner"/>
          <c:xMode val="edge"/>
          <c:yMode val="edge"/>
          <c:x val="4.1065482796892344E-2"/>
          <c:y val="0.12234910277324652"/>
          <c:w val="0.83795782463929791"/>
          <c:h val="0.81076672104404557"/>
        </c:manualLayout>
      </c:layout>
      <c:lineChart>
        <c:grouping val="standard"/>
        <c:ser>
          <c:idx val="1"/>
          <c:order val="0"/>
          <c:tx>
            <c:strRef>
              <c:f>'11'!$C$4</c:f>
              <c:strCache>
                <c:ptCount val="1"/>
                <c:pt idx="0">
                  <c:v>Nfld.</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'11'!$C$5:$C$34</c:f>
              <c:numCache>
                <c:formatCode>0.000</c:formatCode>
                <c:ptCount val="19"/>
                <c:pt idx="0">
                  <c:v>8.3333333333333315E-2</c:v>
                </c:pt>
                <c:pt idx="1">
                  <c:v>8.7466334539934174E-2</c:v>
                </c:pt>
                <c:pt idx="2">
                  <c:v>0.1012860766753356</c:v>
                </c:pt>
                <c:pt idx="3">
                  <c:v>0.13184549093481235</c:v>
                </c:pt>
                <c:pt idx="4">
                  <c:v>0.16012008057354765</c:v>
                </c:pt>
                <c:pt idx="5">
                  <c:v>0.19430746991861012</c:v>
                </c:pt>
                <c:pt idx="6">
                  <c:v>0.2136348075064117</c:v>
                </c:pt>
                <c:pt idx="7">
                  <c:v>0.25193918788364705</c:v>
                </c:pt>
                <c:pt idx="8">
                  <c:v>0.26839700876410905</c:v>
                </c:pt>
                <c:pt idx="9">
                  <c:v>0.26595320069704886</c:v>
                </c:pt>
                <c:pt idx="10">
                  <c:v>0.25729492876995846</c:v>
                </c:pt>
                <c:pt idx="11">
                  <c:v>0.26830211607008103</c:v>
                </c:pt>
                <c:pt idx="12">
                  <c:v>0.26815036630862493</c:v>
                </c:pt>
                <c:pt idx="13">
                  <c:v>0.27757566852670645</c:v>
                </c:pt>
                <c:pt idx="14">
                  <c:v>0.2894416490761122</c:v>
                </c:pt>
                <c:pt idx="15">
                  <c:v>0.29832970321722241</c:v>
                </c:pt>
                <c:pt idx="16">
                  <c:v>0.31298798306272024</c:v>
                </c:pt>
                <c:pt idx="17">
                  <c:v>0.3676298882097111</c:v>
                </c:pt>
                <c:pt idx="18">
                  <c:v>0.4133066520219208</c:v>
                </c:pt>
              </c:numCache>
            </c:numRef>
          </c:val>
        </c:ser>
        <c:ser>
          <c:idx val="2"/>
          <c:order val="1"/>
          <c:tx>
            <c:strRef>
              <c:f>'11'!$D$4</c:f>
              <c:strCache>
                <c:ptCount val="1"/>
                <c:pt idx="0">
                  <c:v>PEI</c:v>
                </c:pt>
              </c:strCache>
            </c:strRef>
          </c:tx>
          <c:spPr>
            <a:ln w="12700">
              <a:solidFill>
                <a:srgbClr val="969696"/>
              </a:solidFill>
              <a:prstDash val="solid"/>
            </a:ln>
          </c:spPr>
          <c:marker>
            <c:symbol val="square"/>
            <c:size val="5"/>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'11'!$D$5:$D$34</c:f>
              <c:numCache>
                <c:formatCode>0.000</c:formatCode>
                <c:ptCount val="19"/>
                <c:pt idx="0">
                  <c:v>0.19516874738276771</c:v>
                </c:pt>
                <c:pt idx="1">
                  <c:v>0.17999325186694534</c:v>
                </c:pt>
                <c:pt idx="2">
                  <c:v>0.18853152565688744</c:v>
                </c:pt>
                <c:pt idx="3">
                  <c:v>0.22211688697315826</c:v>
                </c:pt>
                <c:pt idx="4">
                  <c:v>0.232458709554414</c:v>
                </c:pt>
                <c:pt idx="5">
                  <c:v>0.23904445868748284</c:v>
                </c:pt>
                <c:pt idx="6">
                  <c:v>0.28725709234027469</c:v>
                </c:pt>
                <c:pt idx="7">
                  <c:v>0.33397498697491473</c:v>
                </c:pt>
                <c:pt idx="8">
                  <c:v>0.3652161508303452</c:v>
                </c:pt>
                <c:pt idx="9">
                  <c:v>0.38919860665377942</c:v>
                </c:pt>
                <c:pt idx="10">
                  <c:v>0.38675869167230209</c:v>
                </c:pt>
                <c:pt idx="11">
                  <c:v>0.43687803884460563</c:v>
                </c:pt>
                <c:pt idx="12">
                  <c:v>0.30279743633291778</c:v>
                </c:pt>
                <c:pt idx="13">
                  <c:v>0.31711266141564254</c:v>
                </c:pt>
                <c:pt idx="14">
                  <c:v>0.32331548031576229</c:v>
                </c:pt>
                <c:pt idx="15">
                  <c:v>0.34776052329327711</c:v>
                </c:pt>
                <c:pt idx="16">
                  <c:v>0.39906276422322268</c:v>
                </c:pt>
                <c:pt idx="17">
                  <c:v>0.41535381927562864</c:v>
                </c:pt>
                <c:pt idx="18">
                  <c:v>0.46549630466318914</c:v>
                </c:pt>
              </c:numCache>
            </c:numRef>
          </c:val>
        </c:ser>
        <c:ser>
          <c:idx val="3"/>
          <c:order val="2"/>
          <c:tx>
            <c:strRef>
              <c:f>'11'!$E$4</c:f>
              <c:strCache>
                <c:ptCount val="1"/>
                <c:pt idx="0">
                  <c:v>NS</c:v>
                </c:pt>
              </c:strCache>
            </c:strRef>
          </c:tx>
          <c:spPr>
            <a:ln w="12700">
              <a:solidFill>
                <a:srgbClr val="000000"/>
              </a:solidFill>
              <a:prstDash val="solid"/>
            </a:ln>
          </c:spPr>
          <c:marker>
            <c:symbol val="triangle"/>
            <c:size val="3"/>
            <c:spPr>
              <a:solidFill>
                <a:srgbClr val="000000"/>
              </a:solidFill>
              <a:ln>
                <a:solidFill>
                  <a:srgbClr val="000000"/>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'11'!$E$5:$E$34</c:f>
              <c:numCache>
                <c:formatCode>0.000</c:formatCode>
                <c:ptCount val="19"/>
                <c:pt idx="0">
                  <c:v>0.23002808436799582</c:v>
                </c:pt>
                <c:pt idx="1">
                  <c:v>0.21691283683106291</c:v>
                </c:pt>
                <c:pt idx="2">
                  <c:v>0.21913810381994009</c:v>
                </c:pt>
                <c:pt idx="3">
                  <c:v>0.26105707218938345</c:v>
                </c:pt>
                <c:pt idx="4">
                  <c:v>0.2941726649126169</c:v>
                </c:pt>
                <c:pt idx="5">
                  <c:v>0.32152266660074758</c:v>
                </c:pt>
                <c:pt idx="6">
                  <c:v>0.34912294921748643</c:v>
                </c:pt>
                <c:pt idx="7">
                  <c:v>0.37943724858124939</c:v>
                </c:pt>
                <c:pt idx="8">
                  <c:v>0.39852032734179016</c:v>
                </c:pt>
                <c:pt idx="9">
                  <c:v>0.41151360940395154</c:v>
                </c:pt>
                <c:pt idx="10">
                  <c:v>0.41201149475507004</c:v>
                </c:pt>
                <c:pt idx="11">
                  <c:v>0.44574648722445809</c:v>
                </c:pt>
                <c:pt idx="12">
                  <c:v>0.46562080291503388</c:v>
                </c:pt>
                <c:pt idx="13">
                  <c:v>0.4650720912873213</c:v>
                </c:pt>
                <c:pt idx="14">
                  <c:v>0.48317739461380826</c:v>
                </c:pt>
                <c:pt idx="15">
                  <c:v>0.47756329188992874</c:v>
                </c:pt>
                <c:pt idx="16">
                  <c:v>0.49540636560141593</c:v>
                </c:pt>
                <c:pt idx="17">
                  <c:v>0.52222617770002555</c:v>
                </c:pt>
                <c:pt idx="18">
                  <c:v>0.56241420575957657</c:v>
                </c:pt>
              </c:numCache>
            </c:numRef>
          </c:val>
        </c:ser>
        <c:ser>
          <c:idx val="4"/>
          <c:order val="3"/>
          <c:tx>
            <c:strRef>
              <c:f>'11'!$F$4</c:f>
              <c:strCache>
                <c:ptCount val="1"/>
                <c:pt idx="0">
                  <c:v>NB</c:v>
                </c:pt>
              </c:strCache>
            </c:strRef>
          </c:tx>
          <c:spPr>
            <a:ln w="12700">
              <a:solidFill>
                <a:srgbClr val="969696"/>
              </a:solidFill>
              <a:prstDash val="solid"/>
            </a:ln>
          </c:spPr>
          <c:marker>
            <c:symbol val="triangle"/>
            <c:size val="5"/>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'11'!$F$5:$F$34</c:f>
              <c:numCache>
                <c:formatCode>0.000</c:formatCode>
                <c:ptCount val="19"/>
                <c:pt idx="0">
                  <c:v>9.6809081306642272E-2</c:v>
                </c:pt>
                <c:pt idx="1">
                  <c:v>0.1117113878130612</c:v>
                </c:pt>
                <c:pt idx="2">
                  <c:v>0.1322248716609048</c:v>
                </c:pt>
                <c:pt idx="3">
                  <c:v>0.1618565386204231</c:v>
                </c:pt>
                <c:pt idx="4">
                  <c:v>0.20490621429382325</c:v>
                </c:pt>
                <c:pt idx="5">
                  <c:v>0.24181540089177453</c:v>
                </c:pt>
                <c:pt idx="6">
                  <c:v>0.2660904988975562</c:v>
                </c:pt>
                <c:pt idx="7">
                  <c:v>0.28621764169728453</c:v>
                </c:pt>
                <c:pt idx="8">
                  <c:v>0.29134489863561314</c:v>
                </c:pt>
                <c:pt idx="9">
                  <c:v>0.30510195914057053</c:v>
                </c:pt>
                <c:pt idx="10">
                  <c:v>0.30055364812503199</c:v>
                </c:pt>
                <c:pt idx="11">
                  <c:v>0.31204363893246867</c:v>
                </c:pt>
                <c:pt idx="12">
                  <c:v>0.32731999924413729</c:v>
                </c:pt>
                <c:pt idx="13">
                  <c:v>0.33489440688660105</c:v>
                </c:pt>
                <c:pt idx="14">
                  <c:v>0.34730560175309128</c:v>
                </c:pt>
                <c:pt idx="15">
                  <c:v>0.35902531597675047</c:v>
                </c:pt>
                <c:pt idx="16">
                  <c:v>0.3776320805114618</c:v>
                </c:pt>
                <c:pt idx="17">
                  <c:v>0.41105147910938672</c:v>
                </c:pt>
                <c:pt idx="18">
                  <c:v>0.45169032682381477</c:v>
                </c:pt>
              </c:numCache>
            </c:numRef>
          </c:val>
        </c:ser>
        <c:ser>
          <c:idx val="5"/>
          <c:order val="4"/>
          <c:tx>
            <c:strRef>
              <c:f>'11'!$G$4</c:f>
              <c:strCache>
                <c:ptCount val="1"/>
                <c:pt idx="0">
                  <c:v>PQ</c:v>
                </c:pt>
              </c:strCache>
            </c:strRef>
          </c:tx>
          <c:spPr>
            <a:ln w="12700">
              <a:solidFill>
                <a:srgbClr val="000000"/>
              </a:solidFill>
              <a:prstDash val="solid"/>
            </a:ln>
          </c:spPr>
          <c:marker>
            <c:symbol val="circle"/>
            <c:size val="5"/>
            <c:spPr>
              <a:solidFill>
                <a:srgbClr val="333333"/>
              </a:solidFill>
              <a:ln>
                <a:solidFill>
                  <a:srgbClr val="333333"/>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'11'!$G$5:$G$34</c:f>
              <c:numCache>
                <c:formatCode>0.000</c:formatCode>
                <c:ptCount val="19"/>
                <c:pt idx="0">
                  <c:v>0.188111806241578</c:v>
                </c:pt>
                <c:pt idx="1">
                  <c:v>0.1688607542450852</c:v>
                </c:pt>
                <c:pt idx="2">
                  <c:v>0.18707762604829281</c:v>
                </c:pt>
                <c:pt idx="3">
                  <c:v>0.21514370265068819</c:v>
                </c:pt>
                <c:pt idx="4">
                  <c:v>0.24761751876682772</c:v>
                </c:pt>
                <c:pt idx="5">
                  <c:v>0.27632761952857293</c:v>
                </c:pt>
                <c:pt idx="6">
                  <c:v>0.28917651502903846</c:v>
                </c:pt>
                <c:pt idx="7">
                  <c:v>0.31771903418119962</c:v>
                </c:pt>
                <c:pt idx="8">
                  <c:v>0.33355672811851089</c:v>
                </c:pt>
                <c:pt idx="9">
                  <c:v>0.34301383877430669</c:v>
                </c:pt>
                <c:pt idx="10">
                  <c:v>0.33843250671196068</c:v>
                </c:pt>
                <c:pt idx="11">
                  <c:v>0.36085866877954903</c:v>
                </c:pt>
                <c:pt idx="12">
                  <c:v>0.36818067300640384</c:v>
                </c:pt>
                <c:pt idx="13">
                  <c:v>0.38804205042598833</c:v>
                </c:pt>
                <c:pt idx="14">
                  <c:v>0.39794716737729335</c:v>
                </c:pt>
                <c:pt idx="15">
                  <c:v>0.42021762001627372</c:v>
                </c:pt>
                <c:pt idx="16">
                  <c:v>0.43637490854377176</c:v>
                </c:pt>
                <c:pt idx="17">
                  <c:v>0.46405455932897854</c:v>
                </c:pt>
                <c:pt idx="18">
                  <c:v>0.48723200500675606</c:v>
                </c:pt>
              </c:numCache>
            </c:numRef>
          </c:val>
        </c:ser>
        <c:ser>
          <c:idx val="6"/>
          <c:order val="5"/>
          <c:tx>
            <c:strRef>
              <c:f>'11'!$H$4</c:f>
              <c:strCache>
                <c:ptCount val="1"/>
                <c:pt idx="0">
                  <c:v>ON</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'11'!$H$5:$H$34</c:f>
              <c:numCache>
                <c:formatCode>0.000</c:formatCode>
                <c:ptCount val="19"/>
                <c:pt idx="0">
                  <c:v>0.27753848440949125</c:v>
                </c:pt>
                <c:pt idx="1">
                  <c:v>0.25968459506712777</c:v>
                </c:pt>
                <c:pt idx="2">
                  <c:v>0.27078232783297135</c:v>
                </c:pt>
                <c:pt idx="3">
                  <c:v>0.29170422250463268</c:v>
                </c:pt>
                <c:pt idx="4">
                  <c:v>0.3204168209382543</c:v>
                </c:pt>
                <c:pt idx="5">
                  <c:v>0.34453304975147464</c:v>
                </c:pt>
                <c:pt idx="6">
                  <c:v>0.37817344894894789</c:v>
                </c:pt>
                <c:pt idx="7">
                  <c:v>0.41123218682154333</c:v>
                </c:pt>
                <c:pt idx="8">
                  <c:v>0.43669180336965502</c:v>
                </c:pt>
                <c:pt idx="9">
                  <c:v>0.45243011087831597</c:v>
                </c:pt>
                <c:pt idx="10">
                  <c:v>0.46399565381733415</c:v>
                </c:pt>
                <c:pt idx="11">
                  <c:v>0.49398113478618055</c:v>
                </c:pt>
                <c:pt idx="12">
                  <c:v>0.5005129155213297</c:v>
                </c:pt>
                <c:pt idx="13">
                  <c:v>0.52297506604949962</c:v>
                </c:pt>
                <c:pt idx="14">
                  <c:v>0.54030514795659623</c:v>
                </c:pt>
                <c:pt idx="15">
                  <c:v>0.55118973271723748</c:v>
                </c:pt>
                <c:pt idx="16">
                  <c:v>0.58419461992966959</c:v>
                </c:pt>
                <c:pt idx="17">
                  <c:v>0.61761527515092574</c:v>
                </c:pt>
                <c:pt idx="18">
                  <c:v>0.64566743464818133</c:v>
                </c:pt>
              </c:numCache>
            </c:numRef>
          </c:val>
        </c:ser>
        <c:ser>
          <c:idx val="7"/>
          <c:order val="6"/>
          <c:tx>
            <c:strRef>
              <c:f>'11'!$I$4</c:f>
              <c:strCache>
                <c:ptCount val="1"/>
                <c:pt idx="0">
                  <c:v>Man.</c:v>
                </c:pt>
              </c:strCache>
            </c:strRef>
          </c:tx>
          <c:spPr>
            <a:ln w="12700">
              <a:solidFill>
                <a:srgbClr val="000000"/>
              </a:solidFill>
              <a:prstDash val="solid"/>
            </a:ln>
          </c:spPr>
          <c:marker>
            <c:symbol val="none"/>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'11'!$I$5:$I$34</c:f>
              <c:numCache>
                <c:formatCode>0.000</c:formatCode>
                <c:ptCount val="19"/>
                <c:pt idx="0">
                  <c:v>0.21362570375886047</c:v>
                </c:pt>
                <c:pt idx="1">
                  <c:v>0.23036416368652973</c:v>
                </c:pt>
                <c:pt idx="2">
                  <c:v>0.23832159975295916</c:v>
                </c:pt>
                <c:pt idx="3">
                  <c:v>0.28708622703446462</c:v>
                </c:pt>
                <c:pt idx="4">
                  <c:v>0.32226396899777598</c:v>
                </c:pt>
                <c:pt idx="5">
                  <c:v>0.35378228072788942</c:v>
                </c:pt>
                <c:pt idx="6">
                  <c:v>0.36559993760567655</c:v>
                </c:pt>
                <c:pt idx="7">
                  <c:v>0.37378385421783744</c:v>
                </c:pt>
                <c:pt idx="8">
                  <c:v>0.39440459595715349</c:v>
                </c:pt>
                <c:pt idx="9">
                  <c:v>0.40798327837411341</c:v>
                </c:pt>
                <c:pt idx="10">
                  <c:v>0.40417736884116567</c:v>
                </c:pt>
                <c:pt idx="11">
                  <c:v>0.41966602307329459</c:v>
                </c:pt>
                <c:pt idx="12">
                  <c:v>0.42460178446498964</c:v>
                </c:pt>
                <c:pt idx="13">
                  <c:v>0.43994270390035312</c:v>
                </c:pt>
                <c:pt idx="14">
                  <c:v>0.44973709011830881</c:v>
                </c:pt>
                <c:pt idx="15">
                  <c:v>0.46273097696448295</c:v>
                </c:pt>
                <c:pt idx="16">
                  <c:v>0.48694301949763352</c:v>
                </c:pt>
                <c:pt idx="17">
                  <c:v>0.50160515315104226</c:v>
                </c:pt>
                <c:pt idx="18">
                  <c:v>0.5268606498470787</c:v>
                </c:pt>
              </c:numCache>
            </c:numRef>
          </c:val>
        </c:ser>
        <c:ser>
          <c:idx val="8"/>
          <c:order val="7"/>
          <c:tx>
            <c:strRef>
              <c:f>'11'!$J$4</c:f>
              <c:strCache>
                <c:ptCount val="1"/>
                <c:pt idx="0">
                  <c:v>Sask.</c:v>
                </c:pt>
              </c:strCache>
            </c:strRef>
          </c:tx>
          <c:spPr>
            <a:ln w="12700">
              <a:solidFill>
                <a:srgbClr val="000000"/>
              </a:solidFill>
              <a:prstDash val="sysDash"/>
            </a:ln>
          </c:spPr>
          <c:marker>
            <c:symbol val="square"/>
            <c:size val="3"/>
            <c:spPr>
              <a:noFill/>
              <a:ln w="9525">
                <a:noFill/>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'11'!$J$5:$J$34</c:f>
              <c:numCache>
                <c:formatCode>0.000</c:formatCode>
                <c:ptCount val="19"/>
                <c:pt idx="0">
                  <c:v>0.23938063782464369</c:v>
                </c:pt>
                <c:pt idx="1">
                  <c:v>0.21783472983496147</c:v>
                </c:pt>
                <c:pt idx="2">
                  <c:v>0.22109435720565673</c:v>
                </c:pt>
                <c:pt idx="3">
                  <c:v>0.22748730331968453</c:v>
                </c:pt>
                <c:pt idx="4">
                  <c:v>0.23303855465586082</c:v>
                </c:pt>
                <c:pt idx="5">
                  <c:v>0.25606133156464017</c:v>
                </c:pt>
                <c:pt idx="6">
                  <c:v>0.27030354203810419</c:v>
                </c:pt>
                <c:pt idx="7">
                  <c:v>0.2790427901229216</c:v>
                </c:pt>
                <c:pt idx="8">
                  <c:v>0.30907095838751047</c:v>
                </c:pt>
                <c:pt idx="9">
                  <c:v>0.32987400633150493</c:v>
                </c:pt>
                <c:pt idx="10">
                  <c:v>0.32360921333398046</c:v>
                </c:pt>
                <c:pt idx="11">
                  <c:v>0.33253479081719994</c:v>
                </c:pt>
                <c:pt idx="12">
                  <c:v>0.34608927812798596</c:v>
                </c:pt>
                <c:pt idx="13">
                  <c:v>0.35565706530771451</c:v>
                </c:pt>
                <c:pt idx="14">
                  <c:v>0.36306438150549847</c:v>
                </c:pt>
                <c:pt idx="15">
                  <c:v>0.37772546104340987</c:v>
                </c:pt>
                <c:pt idx="16">
                  <c:v>0.40754346280351528</c:v>
                </c:pt>
                <c:pt idx="17">
                  <c:v>0.43038322958225916</c:v>
                </c:pt>
                <c:pt idx="18">
                  <c:v>0.44570382870967756</c:v>
                </c:pt>
              </c:numCache>
            </c:numRef>
          </c:val>
        </c:ser>
        <c:ser>
          <c:idx val="9"/>
          <c:order val="8"/>
          <c:tx>
            <c:strRef>
              <c:f>'11'!$K$4</c:f>
              <c:strCache>
                <c:ptCount val="1"/>
                <c:pt idx="0">
                  <c:v>Alb.</c:v>
                </c:pt>
              </c:strCache>
            </c:strRef>
          </c:tx>
          <c:spPr>
            <a:ln w="12700">
              <a:solidFill>
                <a:srgbClr val="000000"/>
              </a:solidFill>
              <a:prstDash val="lgDash"/>
            </a:ln>
          </c:spPr>
          <c:marker>
            <c:symbol val="diamond"/>
            <c:size val="5"/>
            <c:spPr>
              <a:solidFill>
                <a:srgbClr val="333333"/>
              </a:solidFill>
              <a:ln>
                <a:solidFill>
                  <a:srgbClr val="333333"/>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'11'!$K$5:$K$34</c:f>
              <c:numCache>
                <c:formatCode>0.000</c:formatCode>
                <c:ptCount val="19"/>
                <c:pt idx="0">
                  <c:v>0.40135810621035933</c:v>
                </c:pt>
                <c:pt idx="1">
                  <c:v>0.37475517484536675</c:v>
                </c:pt>
                <c:pt idx="2">
                  <c:v>0.37828773270750471</c:v>
                </c:pt>
                <c:pt idx="3">
                  <c:v>0.37629400613310432</c:v>
                </c:pt>
                <c:pt idx="4">
                  <c:v>0.41099399635570755</c:v>
                </c:pt>
                <c:pt idx="5">
                  <c:v>0.41344234509665334</c:v>
                </c:pt>
                <c:pt idx="6">
                  <c:v>0.44034859780562285</c:v>
                </c:pt>
                <c:pt idx="7">
                  <c:v>0.46737932974309893</c:v>
                </c:pt>
                <c:pt idx="8">
                  <c:v>0.49211481047097233</c:v>
                </c:pt>
                <c:pt idx="9">
                  <c:v>0.50040585534866278</c:v>
                </c:pt>
                <c:pt idx="10">
                  <c:v>0.48322988937001005</c:v>
                </c:pt>
                <c:pt idx="11">
                  <c:v>0.49304559250598951</c:v>
                </c:pt>
                <c:pt idx="12">
                  <c:v>0.50344067261904746</c:v>
                </c:pt>
                <c:pt idx="13">
                  <c:v>0.51245994212043267</c:v>
                </c:pt>
                <c:pt idx="14">
                  <c:v>0.52296322516338223</c:v>
                </c:pt>
                <c:pt idx="15">
                  <c:v>0.53599961616756442</c:v>
                </c:pt>
                <c:pt idx="16">
                  <c:v>0.57368774764415209</c:v>
                </c:pt>
                <c:pt idx="17">
                  <c:v>0.60505800788423514</c:v>
                </c:pt>
                <c:pt idx="18">
                  <c:v>0.62148496077463289</c:v>
                </c:pt>
              </c:numCache>
            </c:numRef>
          </c:val>
        </c:ser>
        <c:ser>
          <c:idx val="10"/>
          <c:order val="9"/>
          <c:tx>
            <c:strRef>
              <c:f>'11'!$L$4</c:f>
              <c:strCache>
                <c:ptCount val="1"/>
                <c:pt idx="0">
                  <c:v>BC</c:v>
                </c:pt>
              </c:strCache>
            </c:strRef>
          </c:tx>
          <c:spPr>
            <a:ln w="12700">
              <a:solidFill>
                <a:srgbClr val="808080"/>
              </a:solidFill>
              <a:prstDash val="solid"/>
            </a:ln>
          </c:spPr>
          <c:marker>
            <c:symbol val="square"/>
            <c:size val="3"/>
            <c:spPr>
              <a:noFill/>
              <a:ln w="9525">
                <a:noFill/>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'11'!$L$5:$L$34</c:f>
              <c:numCache>
                <c:formatCode>0.000</c:formatCode>
                <c:ptCount val="19"/>
                <c:pt idx="0">
                  <c:v>0.36764837310457554</c:v>
                </c:pt>
                <c:pt idx="1">
                  <c:v>0.31496722849577508</c:v>
                </c:pt>
                <c:pt idx="2">
                  <c:v>0.30962657179109354</c:v>
                </c:pt>
                <c:pt idx="3">
                  <c:v>0.30552942895581869</c:v>
                </c:pt>
                <c:pt idx="4">
                  <c:v>0.32123530301798991</c:v>
                </c:pt>
                <c:pt idx="5">
                  <c:v>0.32883566666357544</c:v>
                </c:pt>
                <c:pt idx="6">
                  <c:v>0.36847119782639448</c:v>
                </c:pt>
                <c:pt idx="7">
                  <c:v>0.40485237537592844</c:v>
                </c:pt>
                <c:pt idx="8">
                  <c:v>0.44374009541263632</c:v>
                </c:pt>
                <c:pt idx="9">
                  <c:v>0.46478946085388284</c:v>
                </c:pt>
                <c:pt idx="10">
                  <c:v>0.48688943795566952</c:v>
                </c:pt>
                <c:pt idx="11">
                  <c:v>0.51299539769274249</c:v>
                </c:pt>
                <c:pt idx="12">
                  <c:v>0.51830455403552589</c:v>
                </c:pt>
                <c:pt idx="13">
                  <c:v>0.53677516123955482</c:v>
                </c:pt>
                <c:pt idx="14">
                  <c:v>0.5397287013939136</c:v>
                </c:pt>
                <c:pt idx="15">
                  <c:v>0.56183546143676799</c:v>
                </c:pt>
                <c:pt idx="16">
                  <c:v>0.58400882809251697</c:v>
                </c:pt>
                <c:pt idx="17">
                  <c:v>0.61579884007801267</c:v>
                </c:pt>
                <c:pt idx="18">
                  <c:v>0.63710844007810286</c:v>
                </c:pt>
              </c:numCache>
            </c:numRef>
          </c:val>
        </c:ser>
        <c:marker val="1"/>
        <c:axId val="135357952"/>
        <c:axId val="135359872"/>
      </c:lineChart>
      <c:catAx>
        <c:axId val="135357952"/>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5359872"/>
        <c:crosses val="autoZero"/>
        <c:auto val="1"/>
        <c:lblAlgn val="ctr"/>
        <c:lblOffset val="100"/>
        <c:tickLblSkip val="3"/>
        <c:tickMarkSkip val="1"/>
      </c:catAx>
      <c:valAx>
        <c:axId val="135359872"/>
        <c:scaling>
          <c:orientation val="minMax"/>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5357952"/>
        <c:crosses val="autoZero"/>
        <c:crossBetween val="midCat"/>
      </c:valAx>
      <c:spPr>
        <a:solidFill>
          <a:srgbClr val="FFFFFF"/>
        </a:solidFill>
        <a:ln w="3175">
          <a:solidFill>
            <a:srgbClr val="000000"/>
          </a:solidFill>
          <a:prstDash val="solid"/>
        </a:ln>
      </c:spPr>
    </c:plotArea>
    <c:legend>
      <c:legendPos val="r"/>
      <c:layout>
        <c:manualLayout>
          <c:xMode val="edge"/>
          <c:yMode val="edge"/>
          <c:x val="0.90677025527192012"/>
          <c:y val="0.35562805872756931"/>
          <c:w val="8.8790233074356226E-2"/>
          <c:h val="0.3442088091353933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7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2: Index of Total Stocks of Wealth </a:t>
            </a:r>
          </a:p>
        </c:rich>
      </c:tx>
      <c:layout>
        <c:manualLayout>
          <c:xMode val="edge"/>
          <c:yMode val="edge"/>
          <c:x val="0.34739178690344485"/>
          <c:y val="1.9575856443719643E-2"/>
        </c:manualLayout>
      </c:layout>
      <c:spPr>
        <a:noFill/>
        <a:ln w="25400">
          <a:noFill/>
        </a:ln>
      </c:spPr>
    </c:title>
    <c:plotArea>
      <c:layout>
        <c:manualLayout>
          <c:layoutTarget val="inner"/>
          <c:xMode val="edge"/>
          <c:yMode val="edge"/>
          <c:x val="4.1065482796892344E-2"/>
          <c:y val="0.12234910277324652"/>
          <c:w val="0.83795782463929791"/>
          <c:h val="0.81076672104404557"/>
        </c:manualLayout>
      </c:layout>
      <c:lineChart>
        <c:grouping val="standard"/>
        <c:ser>
          <c:idx val="1"/>
          <c:order val="0"/>
          <c:tx>
            <c:strRef>
              <c:f>'11'!$C$4</c:f>
              <c:strCache>
                <c:ptCount val="1"/>
                <c:pt idx="0">
                  <c:v>Nfld.</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'11'!$N$5:$N$34</c:f>
              <c:numCache>
                <c:formatCode>0.000</c:formatCode>
                <c:ptCount val="19"/>
                <c:pt idx="0">
                  <c:v>0.17423122566164023</c:v>
                </c:pt>
                <c:pt idx="1">
                  <c:v>0.17192099883548367</c:v>
                </c:pt>
                <c:pt idx="2">
                  <c:v>0.17335665356942101</c:v>
                </c:pt>
                <c:pt idx="3">
                  <c:v>0.17951969995066791</c:v>
                </c:pt>
                <c:pt idx="4">
                  <c:v>0.17606800093250471</c:v>
                </c:pt>
                <c:pt idx="5">
                  <c:v>0.17819992730765696</c:v>
                </c:pt>
                <c:pt idx="6">
                  <c:v>0.18742049606747793</c:v>
                </c:pt>
                <c:pt idx="7">
                  <c:v>0.20693463651034158</c:v>
                </c:pt>
                <c:pt idx="8">
                  <c:v>0.21645169179699814</c:v>
                </c:pt>
                <c:pt idx="9">
                  <c:v>0.22284073523676026</c:v>
                </c:pt>
                <c:pt idx="10">
                  <c:v>0.2210490981914463</c:v>
                </c:pt>
                <c:pt idx="11">
                  <c:v>0.22355036374478418</c:v>
                </c:pt>
                <c:pt idx="12">
                  <c:v>0.22244543142849407</c:v>
                </c:pt>
                <c:pt idx="13">
                  <c:v>0.23795497044475625</c:v>
                </c:pt>
                <c:pt idx="14">
                  <c:v>0.26199034358642942</c:v>
                </c:pt>
                <c:pt idx="15">
                  <c:v>0.27306820372706886</c:v>
                </c:pt>
                <c:pt idx="16">
                  <c:v>0.28937920209203533</c:v>
                </c:pt>
                <c:pt idx="17">
                  <c:v>0.3075984438103615</c:v>
                </c:pt>
                <c:pt idx="18">
                  <c:v>0.35546528639434349</c:v>
                </c:pt>
              </c:numCache>
            </c:numRef>
          </c:val>
        </c:ser>
        <c:ser>
          <c:idx val="2"/>
          <c:order val="1"/>
          <c:tx>
            <c:strRef>
              <c:f>'11'!$D$4</c:f>
              <c:strCache>
                <c:ptCount val="1"/>
                <c:pt idx="0">
                  <c:v>PEI</c:v>
                </c:pt>
              </c:strCache>
            </c:strRef>
          </c:tx>
          <c:spPr>
            <a:ln w="12700">
              <a:solidFill>
                <a:srgbClr val="969696"/>
              </a:solidFill>
              <a:prstDash val="solid"/>
            </a:ln>
          </c:spPr>
          <c:marker>
            <c:symbol val="square"/>
            <c:size val="5"/>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'11'!$O$5:$O$34</c:f>
              <c:numCache>
                <c:formatCode>0.000</c:formatCode>
                <c:ptCount val="19"/>
                <c:pt idx="0">
                  <c:v>8.3333333333333329E-2</c:v>
                </c:pt>
                <c:pt idx="1">
                  <c:v>8.8554849676685463E-2</c:v>
                </c:pt>
                <c:pt idx="2">
                  <c:v>9.3876826678976497E-2</c:v>
                </c:pt>
                <c:pt idx="3">
                  <c:v>9.6323565249441898E-2</c:v>
                </c:pt>
                <c:pt idx="4">
                  <c:v>9.9251967392188695E-2</c:v>
                </c:pt>
                <c:pt idx="5">
                  <c:v>0.10181351197257678</c:v>
                </c:pt>
                <c:pt idx="6">
                  <c:v>0.10169859053067337</c:v>
                </c:pt>
                <c:pt idx="7">
                  <c:v>0.11083898552922813</c:v>
                </c:pt>
                <c:pt idx="8">
                  <c:v>0.11601203213914742</c:v>
                </c:pt>
                <c:pt idx="9">
                  <c:v>0.1346357747444179</c:v>
                </c:pt>
                <c:pt idx="10">
                  <c:v>0.14111961569670195</c:v>
                </c:pt>
                <c:pt idx="11">
                  <c:v>0.14794380348655806</c:v>
                </c:pt>
                <c:pt idx="12">
                  <c:v>0.15662747461210255</c:v>
                </c:pt>
                <c:pt idx="13">
                  <c:v>0.159852292631428</c:v>
                </c:pt>
                <c:pt idx="14">
                  <c:v>0.1673345311087519</c:v>
                </c:pt>
                <c:pt idx="15">
                  <c:v>0.17325125730859611</c:v>
                </c:pt>
                <c:pt idx="16">
                  <c:v>0.18192223587520631</c:v>
                </c:pt>
                <c:pt idx="17">
                  <c:v>0.18587969157102738</c:v>
                </c:pt>
                <c:pt idx="18">
                  <c:v>0.19462809022624322</c:v>
                </c:pt>
              </c:numCache>
            </c:numRef>
          </c:val>
        </c:ser>
        <c:ser>
          <c:idx val="3"/>
          <c:order val="2"/>
          <c:tx>
            <c:strRef>
              <c:f>'11'!$E$4</c:f>
              <c:strCache>
                <c:ptCount val="1"/>
                <c:pt idx="0">
                  <c:v>NS</c:v>
                </c:pt>
              </c:strCache>
            </c:strRef>
          </c:tx>
          <c:spPr>
            <a:ln w="12700">
              <a:solidFill>
                <a:srgbClr val="000000"/>
              </a:solidFill>
              <a:prstDash val="solid"/>
            </a:ln>
          </c:spPr>
          <c:marker>
            <c:symbol val="triangle"/>
            <c:size val="3"/>
            <c:spPr>
              <a:solidFill>
                <a:srgbClr val="000000"/>
              </a:solidFill>
              <a:ln>
                <a:solidFill>
                  <a:srgbClr val="000000"/>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'11'!$P$5:$P$34</c:f>
              <c:numCache>
                <c:formatCode>0.000</c:formatCode>
                <c:ptCount val="19"/>
                <c:pt idx="0">
                  <c:v>0.13918839018427517</c:v>
                </c:pt>
                <c:pt idx="1">
                  <c:v>0.14247628863851514</c:v>
                </c:pt>
                <c:pt idx="2">
                  <c:v>0.14935443507237858</c:v>
                </c:pt>
                <c:pt idx="3">
                  <c:v>0.15865884616511211</c:v>
                </c:pt>
                <c:pt idx="4">
                  <c:v>0.15718713515518212</c:v>
                </c:pt>
                <c:pt idx="5">
                  <c:v>0.15783692687311154</c:v>
                </c:pt>
                <c:pt idx="6">
                  <c:v>0.16797427195003378</c:v>
                </c:pt>
                <c:pt idx="7">
                  <c:v>0.17921775044155613</c:v>
                </c:pt>
                <c:pt idx="8">
                  <c:v>0.18621128840200088</c:v>
                </c:pt>
                <c:pt idx="9">
                  <c:v>0.20350055441485559</c:v>
                </c:pt>
                <c:pt idx="10">
                  <c:v>0.20133914249113</c:v>
                </c:pt>
                <c:pt idx="11">
                  <c:v>0.194832323392721</c:v>
                </c:pt>
                <c:pt idx="12">
                  <c:v>0.19201023935816144</c:v>
                </c:pt>
                <c:pt idx="13">
                  <c:v>0.193130370726005</c:v>
                </c:pt>
                <c:pt idx="14">
                  <c:v>0.2034849870365717</c:v>
                </c:pt>
                <c:pt idx="15">
                  <c:v>0.2076882057813666</c:v>
                </c:pt>
                <c:pt idx="16">
                  <c:v>0.21656613232070399</c:v>
                </c:pt>
                <c:pt idx="17">
                  <c:v>0.22278556129178911</c:v>
                </c:pt>
                <c:pt idx="18">
                  <c:v>0.22970007146667343</c:v>
                </c:pt>
              </c:numCache>
            </c:numRef>
          </c:val>
        </c:ser>
        <c:ser>
          <c:idx val="4"/>
          <c:order val="3"/>
          <c:tx>
            <c:strRef>
              <c:f>'11'!$F$4</c:f>
              <c:strCache>
                <c:ptCount val="1"/>
                <c:pt idx="0">
                  <c:v>NB</c:v>
                </c:pt>
              </c:strCache>
            </c:strRef>
          </c:tx>
          <c:spPr>
            <a:ln w="12700">
              <a:solidFill>
                <a:srgbClr val="969696"/>
              </a:solidFill>
              <a:prstDash val="solid"/>
            </a:ln>
          </c:spPr>
          <c:marker>
            <c:symbol val="triangle"/>
            <c:size val="5"/>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'11'!$Q$5:$Q$34</c:f>
              <c:numCache>
                <c:formatCode>0.000</c:formatCode>
                <c:ptCount val="19"/>
                <c:pt idx="0">
                  <c:v>0.15780172121188507</c:v>
                </c:pt>
                <c:pt idx="1">
                  <c:v>0.15021683481130779</c:v>
                </c:pt>
                <c:pt idx="2">
                  <c:v>0.14843292782374889</c:v>
                </c:pt>
                <c:pt idx="3">
                  <c:v>0.14857153031966308</c:v>
                </c:pt>
                <c:pt idx="4">
                  <c:v>0.14604121910447213</c:v>
                </c:pt>
                <c:pt idx="5">
                  <c:v>0.14920101401944477</c:v>
                </c:pt>
                <c:pt idx="6">
                  <c:v>0.16581552261934299</c:v>
                </c:pt>
                <c:pt idx="7">
                  <c:v>0.19006527403957815</c:v>
                </c:pt>
                <c:pt idx="8">
                  <c:v>0.20377737284441291</c:v>
                </c:pt>
                <c:pt idx="9">
                  <c:v>0.22081366862078933</c:v>
                </c:pt>
                <c:pt idx="10">
                  <c:v>0.21579494180731787</c:v>
                </c:pt>
                <c:pt idx="11">
                  <c:v>0.20855263742318508</c:v>
                </c:pt>
                <c:pt idx="12">
                  <c:v>0.20001778841048812</c:v>
                </c:pt>
                <c:pt idx="13">
                  <c:v>0.20508401775922594</c:v>
                </c:pt>
                <c:pt idx="14">
                  <c:v>0.22997667222976872</c:v>
                </c:pt>
                <c:pt idx="15">
                  <c:v>0.24507566642408657</c:v>
                </c:pt>
                <c:pt idx="16">
                  <c:v>0.25870349116934471</c:v>
                </c:pt>
                <c:pt idx="17">
                  <c:v>0.26684587271975196</c:v>
                </c:pt>
                <c:pt idx="18">
                  <c:v>0.28011198509709245</c:v>
                </c:pt>
              </c:numCache>
            </c:numRef>
          </c:val>
        </c:ser>
        <c:ser>
          <c:idx val="5"/>
          <c:order val="4"/>
          <c:tx>
            <c:strRef>
              <c:f>'11'!$G$4</c:f>
              <c:strCache>
                <c:ptCount val="1"/>
                <c:pt idx="0">
                  <c:v>PQ</c:v>
                </c:pt>
              </c:strCache>
            </c:strRef>
          </c:tx>
          <c:spPr>
            <a:ln w="12700">
              <a:solidFill>
                <a:srgbClr val="000000"/>
              </a:solidFill>
              <a:prstDash val="solid"/>
            </a:ln>
          </c:spPr>
          <c:marker>
            <c:symbol val="circle"/>
            <c:size val="5"/>
            <c:spPr>
              <a:solidFill>
                <a:srgbClr val="333333"/>
              </a:solidFill>
              <a:ln>
                <a:solidFill>
                  <a:srgbClr val="333333"/>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'11'!$R$5:$R$34</c:f>
              <c:numCache>
                <c:formatCode>0.000</c:formatCode>
                <c:ptCount val="19"/>
                <c:pt idx="0">
                  <c:v>0.19975876004372442</c:v>
                </c:pt>
                <c:pt idx="1">
                  <c:v>0.20022856321087612</c:v>
                </c:pt>
                <c:pt idx="2">
                  <c:v>0.20409905194775241</c:v>
                </c:pt>
                <c:pt idx="3">
                  <c:v>0.20834088472275455</c:v>
                </c:pt>
                <c:pt idx="4">
                  <c:v>0.20903861041290089</c:v>
                </c:pt>
                <c:pt idx="5">
                  <c:v>0.21363947240771014</c:v>
                </c:pt>
                <c:pt idx="6">
                  <c:v>0.22100448017792335</c:v>
                </c:pt>
                <c:pt idx="7">
                  <c:v>0.23453286793879127</c:v>
                </c:pt>
                <c:pt idx="8">
                  <c:v>0.23798653734463676</c:v>
                </c:pt>
                <c:pt idx="9">
                  <c:v>0.25049604463273756</c:v>
                </c:pt>
                <c:pt idx="10">
                  <c:v>0.24956865636656225</c:v>
                </c:pt>
                <c:pt idx="11">
                  <c:v>0.25004559047027025</c:v>
                </c:pt>
                <c:pt idx="12">
                  <c:v>0.2491520854682657</c:v>
                </c:pt>
                <c:pt idx="13">
                  <c:v>0.25435065921878725</c:v>
                </c:pt>
                <c:pt idx="14">
                  <c:v>0.26904836663429765</c:v>
                </c:pt>
                <c:pt idx="15">
                  <c:v>0.27957372057277452</c:v>
                </c:pt>
                <c:pt idx="16">
                  <c:v>0.29276113138129567</c:v>
                </c:pt>
                <c:pt idx="17">
                  <c:v>0.29778306670670068</c:v>
                </c:pt>
                <c:pt idx="18">
                  <c:v>0.30800298892170802</c:v>
                </c:pt>
              </c:numCache>
            </c:numRef>
          </c:val>
        </c:ser>
        <c:ser>
          <c:idx val="6"/>
          <c:order val="5"/>
          <c:tx>
            <c:strRef>
              <c:f>'11'!$H$4</c:f>
              <c:strCache>
                <c:ptCount val="1"/>
                <c:pt idx="0">
                  <c:v>ON</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'11'!$S$5:$S$34</c:f>
              <c:numCache>
                <c:formatCode>0.000</c:formatCode>
                <c:ptCount val="19"/>
                <c:pt idx="0">
                  <c:v>0.1964830485415941</c:v>
                </c:pt>
                <c:pt idx="1">
                  <c:v>0.1966969268541173</c:v>
                </c:pt>
                <c:pt idx="2">
                  <c:v>0.20118175447870573</c:v>
                </c:pt>
                <c:pt idx="3">
                  <c:v>0.20574985146448668</c:v>
                </c:pt>
                <c:pt idx="4">
                  <c:v>0.20635208737036076</c:v>
                </c:pt>
                <c:pt idx="5">
                  <c:v>0.20881956124984066</c:v>
                </c:pt>
                <c:pt idx="6">
                  <c:v>0.21828176994961038</c:v>
                </c:pt>
                <c:pt idx="7">
                  <c:v>0.23234233433806753</c:v>
                </c:pt>
                <c:pt idx="8">
                  <c:v>0.23588131510733157</c:v>
                </c:pt>
                <c:pt idx="9">
                  <c:v>0.24671554015213698</c:v>
                </c:pt>
                <c:pt idx="10">
                  <c:v>0.24716512928624149</c:v>
                </c:pt>
                <c:pt idx="11">
                  <c:v>0.24566092614168619</c:v>
                </c:pt>
                <c:pt idx="12">
                  <c:v>0.243171096495473</c:v>
                </c:pt>
                <c:pt idx="13">
                  <c:v>0.24746453953453088</c:v>
                </c:pt>
                <c:pt idx="14">
                  <c:v>0.25363037668895105</c:v>
                </c:pt>
                <c:pt idx="15">
                  <c:v>0.25952948205783533</c:v>
                </c:pt>
                <c:pt idx="16">
                  <c:v>0.2675791276542438</c:v>
                </c:pt>
                <c:pt idx="17">
                  <c:v>0.26934092976383051</c:v>
                </c:pt>
                <c:pt idx="18">
                  <c:v>0.28106565278443429</c:v>
                </c:pt>
              </c:numCache>
            </c:numRef>
          </c:val>
        </c:ser>
        <c:ser>
          <c:idx val="7"/>
          <c:order val="6"/>
          <c:tx>
            <c:strRef>
              <c:f>'11'!$I$4</c:f>
              <c:strCache>
                <c:ptCount val="1"/>
                <c:pt idx="0">
                  <c:v>Man.</c:v>
                </c:pt>
              </c:strCache>
            </c:strRef>
          </c:tx>
          <c:spPr>
            <a:ln w="12700">
              <a:solidFill>
                <a:srgbClr val="000000"/>
              </a:solidFill>
              <a:prstDash val="solid"/>
            </a:ln>
          </c:spPr>
          <c:marker>
            <c:symbol val="none"/>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'11'!$T$5:$T$34</c:f>
              <c:numCache>
                <c:formatCode>0.000</c:formatCode>
                <c:ptCount val="19"/>
                <c:pt idx="0">
                  <c:v>0.24237508530571805</c:v>
                </c:pt>
                <c:pt idx="1">
                  <c:v>0.23655071191279708</c:v>
                </c:pt>
                <c:pt idx="2">
                  <c:v>0.23626078627920308</c:v>
                </c:pt>
                <c:pt idx="3">
                  <c:v>0.24133118722514368</c:v>
                </c:pt>
                <c:pt idx="4">
                  <c:v>0.23632867842537861</c:v>
                </c:pt>
                <c:pt idx="5">
                  <c:v>0.23762840977170077</c:v>
                </c:pt>
                <c:pt idx="6">
                  <c:v>0.24475704736966836</c:v>
                </c:pt>
                <c:pt idx="7">
                  <c:v>0.25599671444673244</c:v>
                </c:pt>
                <c:pt idx="8">
                  <c:v>0.26123046650381937</c:v>
                </c:pt>
                <c:pt idx="9">
                  <c:v>0.2734696952953013</c:v>
                </c:pt>
                <c:pt idx="10">
                  <c:v>0.27125868851480334</c:v>
                </c:pt>
                <c:pt idx="11">
                  <c:v>0.26959247663949737</c:v>
                </c:pt>
                <c:pt idx="12">
                  <c:v>0.26590867524211659</c:v>
                </c:pt>
                <c:pt idx="13">
                  <c:v>0.27010946210724635</c:v>
                </c:pt>
                <c:pt idx="14">
                  <c:v>0.27912860320331073</c:v>
                </c:pt>
                <c:pt idx="15">
                  <c:v>0.2833063571434738</c:v>
                </c:pt>
                <c:pt idx="16">
                  <c:v>0.29222782408990738</c:v>
                </c:pt>
                <c:pt idx="17">
                  <c:v>0.29460233054373774</c:v>
                </c:pt>
                <c:pt idx="18">
                  <c:v>0.30426274544837378</c:v>
                </c:pt>
              </c:numCache>
            </c:numRef>
          </c:val>
        </c:ser>
        <c:ser>
          <c:idx val="8"/>
          <c:order val="7"/>
          <c:tx>
            <c:strRef>
              <c:f>'11'!$J$4</c:f>
              <c:strCache>
                <c:ptCount val="1"/>
                <c:pt idx="0">
                  <c:v>Sask.</c:v>
                </c:pt>
              </c:strCache>
            </c:strRef>
          </c:tx>
          <c:spPr>
            <a:ln w="12700">
              <a:solidFill>
                <a:srgbClr val="000000"/>
              </a:solidFill>
              <a:prstDash val="sysDash"/>
            </a:ln>
          </c:spPr>
          <c:marker>
            <c:symbol val="square"/>
            <c:size val="3"/>
            <c:spPr>
              <a:noFill/>
              <a:ln w="9525">
                <a:noFill/>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'11'!$U$5:$U$34</c:f>
              <c:numCache>
                <c:formatCode>0.000</c:formatCode>
                <c:ptCount val="19"/>
                <c:pt idx="0">
                  <c:v>0.34372283562385231</c:v>
                </c:pt>
                <c:pt idx="1">
                  <c:v>0.33032409623529557</c:v>
                </c:pt>
                <c:pt idx="2">
                  <c:v>0.34264978558856035</c:v>
                </c:pt>
                <c:pt idx="3">
                  <c:v>0.3590251009599465</c:v>
                </c:pt>
                <c:pt idx="4">
                  <c:v>0.35100489924667277</c:v>
                </c:pt>
                <c:pt idx="5">
                  <c:v>0.3184936245095224</c:v>
                </c:pt>
                <c:pt idx="6">
                  <c:v>0.34852765264501168</c:v>
                </c:pt>
                <c:pt idx="7">
                  <c:v>0.36607072664653678</c:v>
                </c:pt>
                <c:pt idx="8">
                  <c:v>0.3792016768781894</c:v>
                </c:pt>
                <c:pt idx="9">
                  <c:v>0.38478753751752898</c:v>
                </c:pt>
                <c:pt idx="10">
                  <c:v>0.36045562696262606</c:v>
                </c:pt>
                <c:pt idx="11">
                  <c:v>0.36150648813285241</c:v>
                </c:pt>
                <c:pt idx="12">
                  <c:v>0.35023220259348753</c:v>
                </c:pt>
                <c:pt idx="13">
                  <c:v>0.37509014852380773</c:v>
                </c:pt>
                <c:pt idx="14">
                  <c:v>0.39553219627414382</c:v>
                </c:pt>
                <c:pt idx="15">
                  <c:v>0.39726459152482069</c:v>
                </c:pt>
                <c:pt idx="16">
                  <c:v>0.40802956252027583</c:v>
                </c:pt>
                <c:pt idx="17">
                  <c:v>0.3964654452790094</c:v>
                </c:pt>
                <c:pt idx="18">
                  <c:v>0.43376404841294114</c:v>
                </c:pt>
              </c:numCache>
            </c:numRef>
          </c:val>
        </c:ser>
        <c:ser>
          <c:idx val="9"/>
          <c:order val="8"/>
          <c:tx>
            <c:strRef>
              <c:f>'11'!$K$4</c:f>
              <c:strCache>
                <c:ptCount val="1"/>
                <c:pt idx="0">
                  <c:v>Alb.</c:v>
                </c:pt>
              </c:strCache>
            </c:strRef>
          </c:tx>
          <c:spPr>
            <a:ln w="12700">
              <a:solidFill>
                <a:srgbClr val="000000"/>
              </a:solidFill>
              <a:prstDash val="lgDash"/>
            </a:ln>
          </c:spPr>
          <c:marker>
            <c:symbol val="diamond"/>
            <c:size val="5"/>
            <c:spPr>
              <a:solidFill>
                <a:srgbClr val="333333"/>
              </a:solidFill>
              <a:ln>
                <a:solidFill>
                  <a:srgbClr val="333333"/>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'11'!$V$5:$V$34</c:f>
              <c:numCache>
                <c:formatCode>0.000</c:formatCode>
                <c:ptCount val="19"/>
                <c:pt idx="0">
                  <c:v>0.57940196497283902</c:v>
                </c:pt>
                <c:pt idx="1">
                  <c:v>0.58281227586298545</c:v>
                </c:pt>
                <c:pt idx="2">
                  <c:v>0.64573445984009481</c:v>
                </c:pt>
                <c:pt idx="3">
                  <c:v>0.62221602152750144</c:v>
                </c:pt>
                <c:pt idx="4">
                  <c:v>0.60843397916877917</c:v>
                </c:pt>
                <c:pt idx="5">
                  <c:v>0.4759015112563188</c:v>
                </c:pt>
                <c:pt idx="6">
                  <c:v>0.45487016154575283</c:v>
                </c:pt>
                <c:pt idx="7">
                  <c:v>0.39898019819529273</c:v>
                </c:pt>
                <c:pt idx="8">
                  <c:v>0.40554578857723245</c:v>
                </c:pt>
                <c:pt idx="9">
                  <c:v>0.43747838995719013</c:v>
                </c:pt>
                <c:pt idx="10">
                  <c:v>0.3768181812967567</c:v>
                </c:pt>
                <c:pt idx="11">
                  <c:v>0.37524340184243815</c:v>
                </c:pt>
                <c:pt idx="12">
                  <c:v>0.38468220772343198</c:v>
                </c:pt>
                <c:pt idx="13">
                  <c:v>0.39162633030657706</c:v>
                </c:pt>
                <c:pt idx="14">
                  <c:v>0.38173085177549065</c:v>
                </c:pt>
                <c:pt idx="15">
                  <c:v>0.42315713441968528</c:v>
                </c:pt>
                <c:pt idx="16">
                  <c:v>0.43353368510349943</c:v>
                </c:pt>
                <c:pt idx="17">
                  <c:v>0.40115014012401523</c:v>
                </c:pt>
                <c:pt idx="18">
                  <c:v>0.48247866513571297</c:v>
                </c:pt>
              </c:numCache>
            </c:numRef>
          </c:val>
        </c:ser>
        <c:ser>
          <c:idx val="10"/>
          <c:order val="9"/>
          <c:tx>
            <c:strRef>
              <c:f>'11'!$L$4</c:f>
              <c:strCache>
                <c:ptCount val="1"/>
                <c:pt idx="0">
                  <c:v>BC</c:v>
                </c:pt>
              </c:strCache>
            </c:strRef>
          </c:tx>
          <c:spPr>
            <a:ln w="12700">
              <a:solidFill>
                <a:srgbClr val="808080"/>
              </a:solidFill>
              <a:prstDash val="solid"/>
            </a:ln>
          </c:spPr>
          <c:marker>
            <c:symbol val="square"/>
            <c:size val="3"/>
            <c:spPr>
              <a:noFill/>
              <a:ln w="9525">
                <a:noFill/>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'11'!$W$5:$W$34</c:f>
              <c:numCache>
                <c:formatCode>0.000</c:formatCode>
                <c:ptCount val="19"/>
                <c:pt idx="0">
                  <c:v>0.31093925165954012</c:v>
                </c:pt>
                <c:pt idx="1">
                  <c:v>0.29677007627738905</c:v>
                </c:pt>
                <c:pt idx="2">
                  <c:v>0.29234823858125308</c:v>
                </c:pt>
                <c:pt idx="3">
                  <c:v>0.28939480861255956</c:v>
                </c:pt>
                <c:pt idx="4">
                  <c:v>0.28318051422973378</c:v>
                </c:pt>
                <c:pt idx="5">
                  <c:v>0.28294181154944653</c:v>
                </c:pt>
                <c:pt idx="6">
                  <c:v>0.30120837912337806</c:v>
                </c:pt>
                <c:pt idx="7">
                  <c:v>0.32453860795380257</c:v>
                </c:pt>
                <c:pt idx="8">
                  <c:v>0.32999030546746566</c:v>
                </c:pt>
                <c:pt idx="9">
                  <c:v>0.34741394543150828</c:v>
                </c:pt>
                <c:pt idx="10">
                  <c:v>0.33295891415461165</c:v>
                </c:pt>
                <c:pt idx="11">
                  <c:v>0.31680111586390736</c:v>
                </c:pt>
                <c:pt idx="12">
                  <c:v>0.31277812030136992</c:v>
                </c:pt>
                <c:pt idx="13">
                  <c:v>0.32091156878904892</c:v>
                </c:pt>
                <c:pt idx="14">
                  <c:v>0.33306173062269906</c:v>
                </c:pt>
                <c:pt idx="15">
                  <c:v>0.34720763513546604</c:v>
                </c:pt>
                <c:pt idx="16">
                  <c:v>0.36129966195937352</c:v>
                </c:pt>
                <c:pt idx="17">
                  <c:v>0.36934787131137803</c:v>
                </c:pt>
                <c:pt idx="18">
                  <c:v>0.38172764205768306</c:v>
                </c:pt>
              </c:numCache>
            </c:numRef>
          </c:val>
        </c:ser>
        <c:marker val="1"/>
        <c:axId val="135481984"/>
        <c:axId val="135504640"/>
      </c:lineChart>
      <c:catAx>
        <c:axId val="135481984"/>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5504640"/>
        <c:crosses val="autoZero"/>
        <c:auto val="1"/>
        <c:lblAlgn val="ctr"/>
        <c:lblOffset val="100"/>
        <c:tickLblSkip val="3"/>
        <c:tickMarkSkip val="1"/>
      </c:catAx>
      <c:valAx>
        <c:axId val="135504640"/>
        <c:scaling>
          <c:orientation val="minMax"/>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5481984"/>
        <c:crosses val="autoZero"/>
        <c:crossBetween val="midCat"/>
      </c:valAx>
      <c:spPr>
        <a:solidFill>
          <a:srgbClr val="FFFFFF"/>
        </a:solidFill>
        <a:ln w="3175">
          <a:solidFill>
            <a:srgbClr val="000000"/>
          </a:solidFill>
          <a:prstDash val="solid"/>
        </a:ln>
      </c:spPr>
    </c:plotArea>
    <c:legend>
      <c:legendPos val="r"/>
      <c:layout>
        <c:manualLayout>
          <c:xMode val="edge"/>
          <c:yMode val="edge"/>
          <c:x val="0.90677025527192012"/>
          <c:y val="0.35562805872756931"/>
          <c:w val="8.8790233074356226E-2"/>
          <c:h val="0.3442088091353933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7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3: Index of Equality </a:t>
            </a:r>
          </a:p>
        </c:rich>
      </c:tx>
      <c:layout>
        <c:manualLayout>
          <c:xMode val="edge"/>
          <c:yMode val="edge"/>
          <c:x val="0.40177580466148721"/>
          <c:y val="1.9575856443719643E-2"/>
        </c:manualLayout>
      </c:layout>
      <c:spPr>
        <a:noFill/>
        <a:ln w="25400">
          <a:noFill/>
        </a:ln>
      </c:spPr>
    </c:title>
    <c:plotArea>
      <c:layout>
        <c:manualLayout>
          <c:layoutTarget val="inner"/>
          <c:xMode val="edge"/>
          <c:yMode val="edge"/>
          <c:x val="4.1065482796892344E-2"/>
          <c:y val="0.12234910277324652"/>
          <c:w val="0.83795782463929791"/>
          <c:h val="0.81076672104404557"/>
        </c:manualLayout>
      </c:layout>
      <c:lineChart>
        <c:grouping val="standard"/>
        <c:ser>
          <c:idx val="1"/>
          <c:order val="0"/>
          <c:tx>
            <c:strRef>
              <c:f>'11'!$C$4</c:f>
              <c:strCache>
                <c:ptCount val="1"/>
                <c:pt idx="0">
                  <c:v>Nfld.</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'11'!$Y$5:$Y$34</c:f>
              <c:numCache>
                <c:formatCode>0.000</c:formatCode>
                <c:ptCount val="19"/>
                <c:pt idx="0">
                  <c:v>0.44335753567434699</c:v>
                </c:pt>
                <c:pt idx="1">
                  <c:v>0.40885941266959336</c:v>
                </c:pt>
                <c:pt idx="2">
                  <c:v>0.24238351254480286</c:v>
                </c:pt>
                <c:pt idx="3">
                  <c:v>0.32385081270531235</c:v>
                </c:pt>
                <c:pt idx="4">
                  <c:v>0.27627680337235294</c:v>
                </c:pt>
                <c:pt idx="5">
                  <c:v>0.3640919163431402</c:v>
                </c:pt>
                <c:pt idx="6">
                  <c:v>0.37273323076700415</c:v>
                </c:pt>
                <c:pt idx="7">
                  <c:v>0.51624936208937289</c:v>
                </c:pt>
                <c:pt idx="8">
                  <c:v>0.59032159403358042</c:v>
                </c:pt>
                <c:pt idx="9">
                  <c:v>0.46110468581983322</c:v>
                </c:pt>
                <c:pt idx="10">
                  <c:v>0.43431714951484063</c:v>
                </c:pt>
                <c:pt idx="11">
                  <c:v>0.34585350336552034</c:v>
                </c:pt>
                <c:pt idx="12">
                  <c:v>0.45028668456028575</c:v>
                </c:pt>
                <c:pt idx="13">
                  <c:v>0.44964490021771963</c:v>
                </c:pt>
                <c:pt idx="14">
                  <c:v>0.38154979440299513</c:v>
                </c:pt>
                <c:pt idx="15">
                  <c:v>0.3630737741339457</c:v>
                </c:pt>
                <c:pt idx="16">
                  <c:v>0.41654095690631732</c:v>
                </c:pt>
                <c:pt idx="17">
                  <c:v>0.35710490721493937</c:v>
                </c:pt>
                <c:pt idx="18">
                  <c:v>0.29417997146002983</c:v>
                </c:pt>
              </c:numCache>
            </c:numRef>
          </c:val>
        </c:ser>
        <c:ser>
          <c:idx val="2"/>
          <c:order val="1"/>
          <c:tx>
            <c:strRef>
              <c:f>'11'!$D$4</c:f>
              <c:strCache>
                <c:ptCount val="1"/>
                <c:pt idx="0">
                  <c:v>PEI</c:v>
                </c:pt>
              </c:strCache>
            </c:strRef>
          </c:tx>
          <c:spPr>
            <a:ln w="12700">
              <a:solidFill>
                <a:srgbClr val="969696"/>
              </a:solidFill>
              <a:prstDash val="solid"/>
            </a:ln>
          </c:spPr>
          <c:marker>
            <c:symbol val="square"/>
            <c:size val="5"/>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'11'!$Z$5:$Z$34</c:f>
              <c:numCache>
                <c:formatCode>0.000</c:formatCode>
                <c:ptCount val="19"/>
                <c:pt idx="0">
                  <c:v>0.44198121002238394</c:v>
                </c:pt>
                <c:pt idx="1">
                  <c:v>0.5757024128558178</c:v>
                </c:pt>
                <c:pt idx="2">
                  <c:v>0.64336692878912549</c:v>
                </c:pt>
                <c:pt idx="3">
                  <c:v>0.57243536460880062</c:v>
                </c:pt>
                <c:pt idx="4">
                  <c:v>0.65071956921236351</c:v>
                </c:pt>
                <c:pt idx="5">
                  <c:v>0.72109728779744076</c:v>
                </c:pt>
                <c:pt idx="6">
                  <c:v>0.67854189929346687</c:v>
                </c:pt>
                <c:pt idx="7">
                  <c:v>0.7155403952899908</c:v>
                </c:pt>
                <c:pt idx="8">
                  <c:v>0.6808433730215484</c:v>
                </c:pt>
                <c:pt idx="9">
                  <c:v>0.75161033134511135</c:v>
                </c:pt>
                <c:pt idx="10">
                  <c:v>0.67495944490489657</c:v>
                </c:pt>
                <c:pt idx="11">
                  <c:v>0.74553104897601818</c:v>
                </c:pt>
                <c:pt idx="12">
                  <c:v>0.8339066440361137</c:v>
                </c:pt>
                <c:pt idx="13">
                  <c:v>0.87321690760793291</c:v>
                </c:pt>
                <c:pt idx="14">
                  <c:v>0.7597872992252922</c:v>
                </c:pt>
                <c:pt idx="15">
                  <c:v>0.7285334273823153</c:v>
                </c:pt>
                <c:pt idx="16">
                  <c:v>0.70131937046937987</c:v>
                </c:pt>
                <c:pt idx="17">
                  <c:v>0.74429299956676298</c:v>
                </c:pt>
                <c:pt idx="18">
                  <c:v>0.55400788436464887</c:v>
                </c:pt>
              </c:numCache>
            </c:numRef>
          </c:val>
        </c:ser>
        <c:ser>
          <c:idx val="3"/>
          <c:order val="2"/>
          <c:tx>
            <c:strRef>
              <c:f>'11'!$E$4</c:f>
              <c:strCache>
                <c:ptCount val="1"/>
                <c:pt idx="0">
                  <c:v>NS</c:v>
                </c:pt>
              </c:strCache>
            </c:strRef>
          </c:tx>
          <c:spPr>
            <a:ln w="12700">
              <a:solidFill>
                <a:srgbClr val="000000"/>
              </a:solidFill>
              <a:prstDash val="solid"/>
            </a:ln>
          </c:spPr>
          <c:marker>
            <c:symbol val="triangle"/>
            <c:size val="3"/>
            <c:spPr>
              <a:solidFill>
                <a:srgbClr val="000000"/>
              </a:solidFill>
              <a:ln>
                <a:solidFill>
                  <a:srgbClr val="000000"/>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'11'!$AA$5:$AA$34</c:f>
              <c:numCache>
                <c:formatCode>0.000</c:formatCode>
                <c:ptCount val="19"/>
                <c:pt idx="0">
                  <c:v>0.52454765506693046</c:v>
                </c:pt>
                <c:pt idx="1">
                  <c:v>0.51883087090194802</c:v>
                </c:pt>
                <c:pt idx="2">
                  <c:v>0.53755030279422311</c:v>
                </c:pt>
                <c:pt idx="3">
                  <c:v>0.54081003633493385</c:v>
                </c:pt>
                <c:pt idx="4">
                  <c:v>0.53924779731142203</c:v>
                </c:pt>
                <c:pt idx="5">
                  <c:v>0.54998120927676664</c:v>
                </c:pt>
                <c:pt idx="6">
                  <c:v>0.60245604687014798</c:v>
                </c:pt>
                <c:pt idx="7">
                  <c:v>0.65029999299851959</c:v>
                </c:pt>
                <c:pt idx="8">
                  <c:v>0.63142892865918843</c:v>
                </c:pt>
                <c:pt idx="9">
                  <c:v>0.66856574250653356</c:v>
                </c:pt>
                <c:pt idx="10">
                  <c:v>0.64761376904737034</c:v>
                </c:pt>
                <c:pt idx="11">
                  <c:v>0.63830888011204023</c:v>
                </c:pt>
                <c:pt idx="12">
                  <c:v>0.6299583065402049</c:v>
                </c:pt>
                <c:pt idx="13">
                  <c:v>0.54544220100820917</c:v>
                </c:pt>
                <c:pt idx="14">
                  <c:v>0.56626617126782153</c:v>
                </c:pt>
                <c:pt idx="15">
                  <c:v>0.49720139253500784</c:v>
                </c:pt>
                <c:pt idx="16">
                  <c:v>0.45299691639277045</c:v>
                </c:pt>
                <c:pt idx="17">
                  <c:v>0.41713841196504475</c:v>
                </c:pt>
                <c:pt idx="18">
                  <c:v>0.46894472368148532</c:v>
                </c:pt>
              </c:numCache>
            </c:numRef>
          </c:val>
        </c:ser>
        <c:ser>
          <c:idx val="4"/>
          <c:order val="3"/>
          <c:tx>
            <c:strRef>
              <c:f>'11'!$F$4</c:f>
              <c:strCache>
                <c:ptCount val="1"/>
                <c:pt idx="0">
                  <c:v>NB</c:v>
                </c:pt>
              </c:strCache>
            </c:strRef>
          </c:tx>
          <c:spPr>
            <a:ln w="12700">
              <a:solidFill>
                <a:srgbClr val="969696"/>
              </a:solidFill>
              <a:prstDash val="solid"/>
            </a:ln>
          </c:spPr>
          <c:marker>
            <c:symbol val="triangle"/>
            <c:size val="5"/>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'11'!$AB$5:$AB$34</c:f>
              <c:numCache>
                <c:formatCode>0.000</c:formatCode>
                <c:ptCount val="19"/>
                <c:pt idx="0">
                  <c:v>0.35043375775672592</c:v>
                </c:pt>
                <c:pt idx="1">
                  <c:v>0.35992118980643312</c:v>
                </c:pt>
                <c:pt idx="2">
                  <c:v>0.27145798470311339</c:v>
                </c:pt>
                <c:pt idx="3">
                  <c:v>0.39077901066278808</c:v>
                </c:pt>
                <c:pt idx="4">
                  <c:v>0.52854800054075879</c:v>
                </c:pt>
                <c:pt idx="5">
                  <c:v>0.58463015337036794</c:v>
                </c:pt>
                <c:pt idx="6">
                  <c:v>0.51600665780407207</c:v>
                </c:pt>
                <c:pt idx="7">
                  <c:v>0.60434979021422308</c:v>
                </c:pt>
                <c:pt idx="8">
                  <c:v>0.60799307150352921</c:v>
                </c:pt>
                <c:pt idx="9">
                  <c:v>0.60267945747334273</c:v>
                </c:pt>
                <c:pt idx="10">
                  <c:v>0.58682349177296744</c:v>
                </c:pt>
                <c:pt idx="11">
                  <c:v>0.59230475321299347</c:v>
                </c:pt>
                <c:pt idx="12">
                  <c:v>0.57621448806619058</c:v>
                </c:pt>
                <c:pt idx="13">
                  <c:v>0.50823481147919769</c:v>
                </c:pt>
                <c:pt idx="14">
                  <c:v>0.54404786736483879</c:v>
                </c:pt>
                <c:pt idx="15">
                  <c:v>0.56109865164481953</c:v>
                </c:pt>
                <c:pt idx="16">
                  <c:v>0.50505863951229335</c:v>
                </c:pt>
                <c:pt idx="17">
                  <c:v>0.52108755349613367</c:v>
                </c:pt>
                <c:pt idx="18">
                  <c:v>0.51328009062633184</c:v>
                </c:pt>
              </c:numCache>
            </c:numRef>
          </c:val>
        </c:ser>
        <c:ser>
          <c:idx val="5"/>
          <c:order val="4"/>
          <c:tx>
            <c:strRef>
              <c:f>'11'!$G$4</c:f>
              <c:strCache>
                <c:ptCount val="1"/>
                <c:pt idx="0">
                  <c:v>PQ</c:v>
                </c:pt>
              </c:strCache>
            </c:strRef>
          </c:tx>
          <c:spPr>
            <a:ln w="12700">
              <a:solidFill>
                <a:srgbClr val="000000"/>
              </a:solidFill>
              <a:prstDash val="solid"/>
            </a:ln>
          </c:spPr>
          <c:marker>
            <c:symbol val="circle"/>
            <c:size val="5"/>
            <c:spPr>
              <a:solidFill>
                <a:srgbClr val="333333"/>
              </a:solidFill>
              <a:ln>
                <a:solidFill>
                  <a:srgbClr val="333333"/>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'11'!$AC$5:$AC$34</c:f>
              <c:numCache>
                <c:formatCode>0.000</c:formatCode>
                <c:ptCount val="19"/>
                <c:pt idx="0">
                  <c:v>0.59749980492452193</c:v>
                </c:pt>
                <c:pt idx="1">
                  <c:v>0.61605476410599769</c:v>
                </c:pt>
                <c:pt idx="2">
                  <c:v>0.61597300000268285</c:v>
                </c:pt>
                <c:pt idx="3">
                  <c:v>0.5450508350951373</c:v>
                </c:pt>
                <c:pt idx="4">
                  <c:v>0.60980448487394967</c:v>
                </c:pt>
                <c:pt idx="5">
                  <c:v>0.59827622896069943</c:v>
                </c:pt>
                <c:pt idx="6">
                  <c:v>0.59860376802807147</c:v>
                </c:pt>
                <c:pt idx="7">
                  <c:v>0.64034289272744704</c:v>
                </c:pt>
                <c:pt idx="8">
                  <c:v>0.67821501763428393</c:v>
                </c:pt>
                <c:pt idx="9">
                  <c:v>0.62369589438233819</c:v>
                </c:pt>
                <c:pt idx="10">
                  <c:v>0.59071152030593421</c:v>
                </c:pt>
                <c:pt idx="11">
                  <c:v>0.6354163298489901</c:v>
                </c:pt>
                <c:pt idx="12">
                  <c:v>0.58534402376911077</c:v>
                </c:pt>
                <c:pt idx="13">
                  <c:v>0.58162708363694771</c:v>
                </c:pt>
                <c:pt idx="14">
                  <c:v>0.52285638512347121</c:v>
                </c:pt>
                <c:pt idx="15">
                  <c:v>0.54786011088036246</c:v>
                </c:pt>
                <c:pt idx="16">
                  <c:v>0.47277954792006055</c:v>
                </c:pt>
                <c:pt idx="17">
                  <c:v>0.51405399737165869</c:v>
                </c:pt>
                <c:pt idx="18">
                  <c:v>0.54764451844164452</c:v>
                </c:pt>
              </c:numCache>
            </c:numRef>
          </c:val>
        </c:ser>
        <c:ser>
          <c:idx val="6"/>
          <c:order val="5"/>
          <c:tx>
            <c:strRef>
              <c:f>'11'!$H$4</c:f>
              <c:strCache>
                <c:ptCount val="1"/>
                <c:pt idx="0">
                  <c:v>ON</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'11'!$AD$5:$AD$34</c:f>
              <c:numCache>
                <c:formatCode>0.000</c:formatCode>
                <c:ptCount val="19"/>
                <c:pt idx="0">
                  <c:v>0.76271200423824892</c:v>
                </c:pt>
                <c:pt idx="1">
                  <c:v>0.73808586794813802</c:v>
                </c:pt>
                <c:pt idx="2">
                  <c:v>0.66969336398326762</c:v>
                </c:pt>
                <c:pt idx="3">
                  <c:v>0.69538436423292294</c:v>
                </c:pt>
                <c:pt idx="4">
                  <c:v>0.74410758965338442</c:v>
                </c:pt>
                <c:pt idx="5">
                  <c:v>0.77408148775221253</c:v>
                </c:pt>
                <c:pt idx="6">
                  <c:v>0.82186408271762157</c:v>
                </c:pt>
                <c:pt idx="7">
                  <c:v>0.80790183955726469</c:v>
                </c:pt>
                <c:pt idx="8">
                  <c:v>0.83602150537634412</c:v>
                </c:pt>
                <c:pt idx="9">
                  <c:v>0.76761546213142751</c:v>
                </c:pt>
                <c:pt idx="10">
                  <c:v>0.73458745778748735</c:v>
                </c:pt>
                <c:pt idx="11">
                  <c:v>0.72365974009415523</c:v>
                </c:pt>
                <c:pt idx="12">
                  <c:v>0.74324817823536315</c:v>
                </c:pt>
                <c:pt idx="13">
                  <c:v>0.72691778850627997</c:v>
                </c:pt>
                <c:pt idx="14">
                  <c:v>0.72105009171460044</c:v>
                </c:pt>
                <c:pt idx="15">
                  <c:v>0.61022297095522682</c:v>
                </c:pt>
                <c:pt idx="16">
                  <c:v>0.59175290896799237</c:v>
                </c:pt>
                <c:pt idx="17">
                  <c:v>0.59687182615392664</c:v>
                </c:pt>
                <c:pt idx="18">
                  <c:v>0.56094066979968427</c:v>
                </c:pt>
              </c:numCache>
            </c:numRef>
          </c:val>
        </c:ser>
        <c:ser>
          <c:idx val="7"/>
          <c:order val="6"/>
          <c:tx>
            <c:strRef>
              <c:f>'11'!$I$4</c:f>
              <c:strCache>
                <c:ptCount val="1"/>
                <c:pt idx="0">
                  <c:v>Man.</c:v>
                </c:pt>
              </c:strCache>
            </c:strRef>
          </c:tx>
          <c:spPr>
            <a:ln w="12700">
              <a:solidFill>
                <a:srgbClr val="000000"/>
              </a:solidFill>
              <a:prstDash val="solid"/>
            </a:ln>
          </c:spPr>
          <c:marker>
            <c:symbol val="none"/>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'11'!$AE$5:$AE$34</c:f>
              <c:numCache>
                <c:formatCode>0.000</c:formatCode>
                <c:ptCount val="19"/>
                <c:pt idx="0">
                  <c:v>0.48355227539159917</c:v>
                </c:pt>
                <c:pt idx="1">
                  <c:v>0.51464060519526611</c:v>
                </c:pt>
                <c:pt idx="2">
                  <c:v>0.5652200559241003</c:v>
                </c:pt>
                <c:pt idx="3">
                  <c:v>0.53172476750368269</c:v>
                </c:pt>
                <c:pt idx="4">
                  <c:v>0.59439845266683344</c:v>
                </c:pt>
                <c:pt idx="5">
                  <c:v>0.59885652899434094</c:v>
                </c:pt>
                <c:pt idx="6">
                  <c:v>0.62683505177171051</c:v>
                </c:pt>
                <c:pt idx="7">
                  <c:v>0.62706523201492803</c:v>
                </c:pt>
                <c:pt idx="8">
                  <c:v>0.65031160166211155</c:v>
                </c:pt>
                <c:pt idx="9">
                  <c:v>0.57291631278966348</c:v>
                </c:pt>
                <c:pt idx="10">
                  <c:v>0.58764372083075722</c:v>
                </c:pt>
                <c:pt idx="11">
                  <c:v>0.53989358851529268</c:v>
                </c:pt>
                <c:pt idx="12">
                  <c:v>0.54619709284578843</c:v>
                </c:pt>
                <c:pt idx="13">
                  <c:v>0.57094678442814573</c:v>
                </c:pt>
                <c:pt idx="14">
                  <c:v>0.66890068781806122</c:v>
                </c:pt>
                <c:pt idx="15">
                  <c:v>0.59241350433855122</c:v>
                </c:pt>
                <c:pt idx="16">
                  <c:v>0.56982569542518924</c:v>
                </c:pt>
                <c:pt idx="17">
                  <c:v>0.51948056494683947</c:v>
                </c:pt>
                <c:pt idx="18">
                  <c:v>0.47704794118096033</c:v>
                </c:pt>
              </c:numCache>
            </c:numRef>
          </c:val>
        </c:ser>
        <c:ser>
          <c:idx val="8"/>
          <c:order val="7"/>
          <c:tx>
            <c:strRef>
              <c:f>'11'!$J$4</c:f>
              <c:strCache>
                <c:ptCount val="1"/>
                <c:pt idx="0">
                  <c:v>Sask.</c:v>
                </c:pt>
              </c:strCache>
            </c:strRef>
          </c:tx>
          <c:spPr>
            <a:ln w="12700">
              <a:solidFill>
                <a:srgbClr val="000000"/>
              </a:solidFill>
              <a:prstDash val="sysDash"/>
            </a:ln>
          </c:spPr>
          <c:marker>
            <c:symbol val="square"/>
            <c:size val="3"/>
            <c:spPr>
              <a:noFill/>
              <a:ln w="9525">
                <a:noFill/>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'11'!$AF$5:$AF$34</c:f>
              <c:numCache>
                <c:formatCode>0.000</c:formatCode>
                <c:ptCount val="19"/>
                <c:pt idx="0">
                  <c:v>0.37606661066813751</c:v>
                </c:pt>
                <c:pt idx="1">
                  <c:v>0.51827543171596335</c:v>
                </c:pt>
                <c:pt idx="2">
                  <c:v>0.49912954994953801</c:v>
                </c:pt>
                <c:pt idx="3">
                  <c:v>0.38175936614772821</c:v>
                </c:pt>
                <c:pt idx="4">
                  <c:v>0.30368179575610416</c:v>
                </c:pt>
                <c:pt idx="5">
                  <c:v>0.26564202343942789</c:v>
                </c:pt>
                <c:pt idx="6">
                  <c:v>0.5007472026582539</c:v>
                </c:pt>
                <c:pt idx="7">
                  <c:v>0.42519769129694535</c:v>
                </c:pt>
                <c:pt idx="8">
                  <c:v>0.43346439539493647</c:v>
                </c:pt>
                <c:pt idx="9">
                  <c:v>0.29210351024750231</c:v>
                </c:pt>
                <c:pt idx="10">
                  <c:v>0.36252118094290631</c:v>
                </c:pt>
                <c:pt idx="11">
                  <c:v>0.3630023954156939</c:v>
                </c:pt>
                <c:pt idx="12">
                  <c:v>0.4641391072665747</c:v>
                </c:pt>
                <c:pt idx="13">
                  <c:v>0.47567945449753046</c:v>
                </c:pt>
                <c:pt idx="14">
                  <c:v>0.41795982269324999</c:v>
                </c:pt>
                <c:pt idx="15">
                  <c:v>0.46234355490891876</c:v>
                </c:pt>
                <c:pt idx="16">
                  <c:v>0.58067232722745243</c:v>
                </c:pt>
                <c:pt idx="17">
                  <c:v>0.48472140096128324</c:v>
                </c:pt>
                <c:pt idx="18">
                  <c:v>0.54691185781896579</c:v>
                </c:pt>
              </c:numCache>
            </c:numRef>
          </c:val>
        </c:ser>
        <c:ser>
          <c:idx val="9"/>
          <c:order val="8"/>
          <c:tx>
            <c:strRef>
              <c:f>'11'!$K$4</c:f>
              <c:strCache>
                <c:ptCount val="1"/>
                <c:pt idx="0">
                  <c:v>Alb.</c:v>
                </c:pt>
              </c:strCache>
            </c:strRef>
          </c:tx>
          <c:spPr>
            <a:ln w="12700">
              <a:solidFill>
                <a:srgbClr val="000000"/>
              </a:solidFill>
              <a:prstDash val="lgDash"/>
            </a:ln>
          </c:spPr>
          <c:marker>
            <c:symbol val="diamond"/>
            <c:size val="5"/>
            <c:spPr>
              <a:solidFill>
                <a:srgbClr val="333333"/>
              </a:solidFill>
              <a:ln>
                <a:solidFill>
                  <a:srgbClr val="333333"/>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'11'!$AG$5:$AG$34</c:f>
              <c:numCache>
                <c:formatCode>0.000</c:formatCode>
                <c:ptCount val="19"/>
                <c:pt idx="0">
                  <c:v>0.7141753287934689</c:v>
                </c:pt>
                <c:pt idx="1">
                  <c:v>0.71213847018311682</c:v>
                </c:pt>
                <c:pt idx="2">
                  <c:v>0.57882041668042217</c:v>
                </c:pt>
                <c:pt idx="3">
                  <c:v>0.52423218651320747</c:v>
                </c:pt>
                <c:pt idx="4">
                  <c:v>0.67581879391074784</c:v>
                </c:pt>
                <c:pt idx="5">
                  <c:v>0.66544327829219063</c:v>
                </c:pt>
                <c:pt idx="6">
                  <c:v>0.59797887241866676</c:v>
                </c:pt>
                <c:pt idx="7">
                  <c:v>0.68625117117684975</c:v>
                </c:pt>
                <c:pt idx="8">
                  <c:v>0.6003624805622706</c:v>
                </c:pt>
                <c:pt idx="9">
                  <c:v>0.65083129947882878</c:v>
                </c:pt>
                <c:pt idx="10">
                  <c:v>0.63713172001569063</c:v>
                </c:pt>
                <c:pt idx="11">
                  <c:v>0.50524267219712382</c:v>
                </c:pt>
                <c:pt idx="12">
                  <c:v>0.59819387818298819</c:v>
                </c:pt>
                <c:pt idx="13">
                  <c:v>0.64712447843980414</c:v>
                </c:pt>
                <c:pt idx="14">
                  <c:v>0.64330489941391744</c:v>
                </c:pt>
                <c:pt idx="15">
                  <c:v>0.57518452083121474</c:v>
                </c:pt>
                <c:pt idx="16">
                  <c:v>0.55229385894406235</c:v>
                </c:pt>
                <c:pt idx="17">
                  <c:v>0.51925792409373972</c:v>
                </c:pt>
                <c:pt idx="18">
                  <c:v>0.56297404581095867</c:v>
                </c:pt>
              </c:numCache>
            </c:numRef>
          </c:val>
        </c:ser>
        <c:ser>
          <c:idx val="10"/>
          <c:order val="9"/>
          <c:tx>
            <c:strRef>
              <c:f>'11'!$L$4</c:f>
              <c:strCache>
                <c:ptCount val="1"/>
                <c:pt idx="0">
                  <c:v>BC</c:v>
                </c:pt>
              </c:strCache>
            </c:strRef>
          </c:tx>
          <c:spPr>
            <a:ln w="12700">
              <a:solidFill>
                <a:srgbClr val="808080"/>
              </a:solidFill>
              <a:prstDash val="solid"/>
            </a:ln>
          </c:spPr>
          <c:marker>
            <c:symbol val="square"/>
            <c:size val="3"/>
            <c:spPr>
              <a:noFill/>
              <a:ln w="9525">
                <a:noFill/>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'11'!$AH$5:$AH$34</c:f>
              <c:numCache>
                <c:formatCode>0.000</c:formatCode>
                <c:ptCount val="19"/>
                <c:pt idx="0">
                  <c:v>0.66047047631749756</c:v>
                </c:pt>
                <c:pt idx="1">
                  <c:v>0.57084594300491354</c:v>
                </c:pt>
                <c:pt idx="2">
                  <c:v>0.62531379257892206</c:v>
                </c:pt>
                <c:pt idx="3">
                  <c:v>0.55510391696181638</c:v>
                </c:pt>
                <c:pt idx="4">
                  <c:v>0.51651369843274342</c:v>
                </c:pt>
                <c:pt idx="5">
                  <c:v>0.63174365658849596</c:v>
                </c:pt>
                <c:pt idx="6">
                  <c:v>0.62624645091947895</c:v>
                </c:pt>
                <c:pt idx="7">
                  <c:v>0.7355727462304732</c:v>
                </c:pt>
                <c:pt idx="8">
                  <c:v>0.73103526914048256</c:v>
                </c:pt>
                <c:pt idx="9">
                  <c:v>0.55505879712382611</c:v>
                </c:pt>
                <c:pt idx="10">
                  <c:v>0.67062420404927625</c:v>
                </c:pt>
                <c:pt idx="11">
                  <c:v>0.61668801046372801</c:v>
                </c:pt>
                <c:pt idx="12">
                  <c:v>0.62813183103279413</c:v>
                </c:pt>
                <c:pt idx="13">
                  <c:v>0.61995105184944088</c:v>
                </c:pt>
                <c:pt idx="14">
                  <c:v>0.60381251296966498</c:v>
                </c:pt>
                <c:pt idx="15">
                  <c:v>0.51395296039029437</c:v>
                </c:pt>
                <c:pt idx="16">
                  <c:v>0.47343257061401095</c:v>
                </c:pt>
                <c:pt idx="17">
                  <c:v>0.41092854669338014</c:v>
                </c:pt>
                <c:pt idx="18">
                  <c:v>0.37930919750538505</c:v>
                </c:pt>
              </c:numCache>
            </c:numRef>
          </c:val>
        </c:ser>
        <c:marker val="1"/>
        <c:axId val="133741568"/>
        <c:axId val="133764224"/>
      </c:lineChart>
      <c:catAx>
        <c:axId val="133741568"/>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3764224"/>
        <c:crosses val="autoZero"/>
        <c:auto val="1"/>
        <c:lblAlgn val="ctr"/>
        <c:lblOffset val="100"/>
        <c:tickLblSkip val="3"/>
        <c:tickMarkSkip val="1"/>
      </c:catAx>
      <c:valAx>
        <c:axId val="133764224"/>
        <c:scaling>
          <c:orientation val="minMax"/>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3741568"/>
        <c:crosses val="autoZero"/>
        <c:crossBetween val="midCat"/>
      </c:valAx>
      <c:spPr>
        <a:solidFill>
          <a:srgbClr val="FFFFFF"/>
        </a:solidFill>
        <a:ln w="3175">
          <a:solidFill>
            <a:srgbClr val="000000"/>
          </a:solidFill>
          <a:prstDash val="solid"/>
        </a:ln>
      </c:spPr>
    </c:plotArea>
    <c:legend>
      <c:legendPos val="r"/>
      <c:layout>
        <c:manualLayout>
          <c:xMode val="edge"/>
          <c:yMode val="edge"/>
          <c:x val="0.90677025527192012"/>
          <c:y val="0.35562805872756931"/>
          <c:w val="8.8790233074356226E-2"/>
          <c:h val="0.3442088091353933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7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4: Index of Security </a:t>
            </a:r>
          </a:p>
        </c:rich>
      </c:tx>
      <c:layout>
        <c:manualLayout>
          <c:xMode val="edge"/>
          <c:yMode val="edge"/>
          <c:x val="0.40177580466148721"/>
          <c:y val="1.9575856443719643E-2"/>
        </c:manualLayout>
      </c:layout>
      <c:spPr>
        <a:noFill/>
        <a:ln w="25400">
          <a:noFill/>
        </a:ln>
      </c:spPr>
    </c:title>
    <c:plotArea>
      <c:layout>
        <c:manualLayout>
          <c:layoutTarget val="inner"/>
          <c:xMode val="edge"/>
          <c:yMode val="edge"/>
          <c:x val="4.5504994450611187E-2"/>
          <c:y val="0.12234910277324652"/>
          <c:w val="0.83351831298557799"/>
          <c:h val="0.81076672104404557"/>
        </c:manualLayout>
      </c:layout>
      <c:lineChart>
        <c:grouping val="standard"/>
        <c:ser>
          <c:idx val="1"/>
          <c:order val="0"/>
          <c:tx>
            <c:strRef>
              <c:f>'11'!$C$4</c:f>
              <c:strCache>
                <c:ptCount val="1"/>
                <c:pt idx="0">
                  <c:v>Nfld.</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'11'!$AJ$5:$AJ$34</c:f>
              <c:numCache>
                <c:formatCode>0.000</c:formatCode>
                <c:ptCount val="19"/>
                <c:pt idx="0">
                  <c:v>0.41310207481519734</c:v>
                </c:pt>
                <c:pt idx="1">
                  <c:v>0.41157836978659207</c:v>
                </c:pt>
                <c:pt idx="2">
                  <c:v>0.33440328678736059</c:v>
                </c:pt>
                <c:pt idx="3">
                  <c:v>0.46041952656113777</c:v>
                </c:pt>
                <c:pt idx="4">
                  <c:v>0.46778924147499279</c:v>
                </c:pt>
                <c:pt idx="5">
                  <c:v>0.52975644179646042</c:v>
                </c:pt>
                <c:pt idx="6">
                  <c:v>0.48784348802459798</c:v>
                </c:pt>
                <c:pt idx="7">
                  <c:v>0.54753425335997818</c:v>
                </c:pt>
                <c:pt idx="8">
                  <c:v>0.57273553184947601</c:v>
                </c:pt>
                <c:pt idx="9">
                  <c:v>0.53893481652752417</c:v>
                </c:pt>
                <c:pt idx="10">
                  <c:v>0.52949460664476289</c:v>
                </c:pt>
                <c:pt idx="11">
                  <c:v>0.49362253565600994</c:v>
                </c:pt>
                <c:pt idx="12">
                  <c:v>0.49308792931566037</c:v>
                </c:pt>
                <c:pt idx="13">
                  <c:v>0.4896761657912887</c:v>
                </c:pt>
                <c:pt idx="14">
                  <c:v>0.50241019118959662</c:v>
                </c:pt>
                <c:pt idx="15">
                  <c:v>0.49818143832306133</c:v>
                </c:pt>
                <c:pt idx="16">
                  <c:v>0.52646947167375102</c:v>
                </c:pt>
                <c:pt idx="17">
                  <c:v>0.49442751104606053</c:v>
                </c:pt>
                <c:pt idx="18">
                  <c:v>0.50486892942479578</c:v>
                </c:pt>
              </c:numCache>
            </c:numRef>
          </c:val>
        </c:ser>
        <c:ser>
          <c:idx val="2"/>
          <c:order val="1"/>
          <c:tx>
            <c:strRef>
              <c:f>'11'!$D$4</c:f>
              <c:strCache>
                <c:ptCount val="1"/>
                <c:pt idx="0">
                  <c:v>PEI</c:v>
                </c:pt>
              </c:strCache>
            </c:strRef>
          </c:tx>
          <c:spPr>
            <a:ln w="12700">
              <a:solidFill>
                <a:srgbClr val="969696"/>
              </a:solidFill>
              <a:prstDash val="solid"/>
            </a:ln>
          </c:spPr>
          <c:marker>
            <c:symbol val="square"/>
            <c:size val="5"/>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'11'!$AK$5:$AK$34</c:f>
              <c:numCache>
                <c:formatCode>0.000</c:formatCode>
                <c:ptCount val="19"/>
                <c:pt idx="0">
                  <c:v>0.45114132979063915</c:v>
                </c:pt>
                <c:pt idx="1">
                  <c:v>0.50014769336507026</c:v>
                </c:pt>
                <c:pt idx="2">
                  <c:v>0.50932292058240758</c:v>
                </c:pt>
                <c:pt idx="3">
                  <c:v>0.58618352790458705</c:v>
                </c:pt>
                <c:pt idx="4">
                  <c:v>0.54990750262374466</c:v>
                </c:pt>
                <c:pt idx="5">
                  <c:v>0.59195155131031219</c:v>
                </c:pt>
                <c:pt idx="6">
                  <c:v>0.58087052395097549</c:v>
                </c:pt>
                <c:pt idx="7">
                  <c:v>0.60217298270424291</c:v>
                </c:pt>
                <c:pt idx="8">
                  <c:v>0.56756375479130416</c:v>
                </c:pt>
                <c:pt idx="9">
                  <c:v>0.56776582622832605</c:v>
                </c:pt>
                <c:pt idx="10">
                  <c:v>0.52463646016435306</c:v>
                </c:pt>
                <c:pt idx="11">
                  <c:v>0.49858929792596746</c:v>
                </c:pt>
                <c:pt idx="12">
                  <c:v>0.52230814874021436</c:v>
                </c:pt>
                <c:pt idx="13">
                  <c:v>0.49830843866634822</c:v>
                </c:pt>
                <c:pt idx="14">
                  <c:v>0.48897618508319179</c:v>
                </c:pt>
                <c:pt idx="15">
                  <c:v>0.4779630287941774</c:v>
                </c:pt>
                <c:pt idx="16">
                  <c:v>0.45044417570070183</c:v>
                </c:pt>
                <c:pt idx="17">
                  <c:v>0.45776943603870024</c:v>
                </c:pt>
                <c:pt idx="18">
                  <c:v>0.45007923326342253</c:v>
                </c:pt>
              </c:numCache>
            </c:numRef>
          </c:val>
        </c:ser>
        <c:ser>
          <c:idx val="3"/>
          <c:order val="2"/>
          <c:tx>
            <c:strRef>
              <c:f>'11'!$E$4</c:f>
              <c:strCache>
                <c:ptCount val="1"/>
                <c:pt idx="0">
                  <c:v>NS</c:v>
                </c:pt>
              </c:strCache>
            </c:strRef>
          </c:tx>
          <c:spPr>
            <a:ln w="12700">
              <a:solidFill>
                <a:srgbClr val="000000"/>
              </a:solidFill>
              <a:prstDash val="solid"/>
            </a:ln>
          </c:spPr>
          <c:marker>
            <c:symbol val="triangle"/>
            <c:size val="3"/>
            <c:spPr>
              <a:solidFill>
                <a:srgbClr val="000000"/>
              </a:solidFill>
              <a:ln>
                <a:solidFill>
                  <a:srgbClr val="000000"/>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'11'!$AL$5:$AL$34</c:f>
              <c:numCache>
                <c:formatCode>0.000</c:formatCode>
                <c:ptCount val="19"/>
                <c:pt idx="0">
                  <c:v>0.62943653895762197</c:v>
                </c:pt>
                <c:pt idx="1">
                  <c:v>0.65044368359813687</c:v>
                </c:pt>
                <c:pt idx="2">
                  <c:v>0.65093139818486079</c:v>
                </c:pt>
                <c:pt idx="3">
                  <c:v>0.60637174218150214</c:v>
                </c:pt>
                <c:pt idx="4">
                  <c:v>0.59106151278813224</c:v>
                </c:pt>
                <c:pt idx="5">
                  <c:v>0.54350528644540874</c:v>
                </c:pt>
                <c:pt idx="6">
                  <c:v>0.56767714019592197</c:v>
                </c:pt>
                <c:pt idx="7">
                  <c:v>0.61297022526581846</c:v>
                </c:pt>
                <c:pt idx="8">
                  <c:v>0.60699956353581452</c:v>
                </c:pt>
                <c:pt idx="9">
                  <c:v>0.60558532492647854</c:v>
                </c:pt>
                <c:pt idx="10">
                  <c:v>0.59558428011923403</c:v>
                </c:pt>
                <c:pt idx="11">
                  <c:v>0.56965718810900967</c:v>
                </c:pt>
                <c:pt idx="12">
                  <c:v>0.53524784643989676</c:v>
                </c:pt>
                <c:pt idx="13">
                  <c:v>0.53913920021720529</c:v>
                </c:pt>
                <c:pt idx="14">
                  <c:v>0.55250687169514012</c:v>
                </c:pt>
                <c:pt idx="15">
                  <c:v>0.53104065709669301</c:v>
                </c:pt>
                <c:pt idx="16">
                  <c:v>0.50837444691641598</c:v>
                </c:pt>
                <c:pt idx="17">
                  <c:v>0.51107584277856177</c:v>
                </c:pt>
                <c:pt idx="18">
                  <c:v>0.57628755763399309</c:v>
                </c:pt>
              </c:numCache>
            </c:numRef>
          </c:val>
        </c:ser>
        <c:ser>
          <c:idx val="4"/>
          <c:order val="3"/>
          <c:tx>
            <c:strRef>
              <c:f>'11'!$F$4</c:f>
              <c:strCache>
                <c:ptCount val="1"/>
                <c:pt idx="0">
                  <c:v>NB</c:v>
                </c:pt>
              </c:strCache>
            </c:strRef>
          </c:tx>
          <c:spPr>
            <a:ln w="12700">
              <a:solidFill>
                <a:srgbClr val="969696"/>
              </a:solidFill>
              <a:prstDash val="solid"/>
            </a:ln>
          </c:spPr>
          <c:marker>
            <c:symbol val="triangle"/>
            <c:size val="5"/>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'11'!$AM$5:$AM$34</c:f>
              <c:numCache>
                <c:formatCode>0.000</c:formatCode>
                <c:ptCount val="19"/>
                <c:pt idx="0">
                  <c:v>0.52017136127858687</c:v>
                </c:pt>
                <c:pt idx="1">
                  <c:v>0.47666775672041134</c:v>
                </c:pt>
                <c:pt idx="2">
                  <c:v>0.41863736341171404</c:v>
                </c:pt>
                <c:pt idx="3">
                  <c:v>0.47762912328318485</c:v>
                </c:pt>
                <c:pt idx="4">
                  <c:v>0.49711685107665859</c:v>
                </c:pt>
                <c:pt idx="5">
                  <c:v>0.50278573333178356</c:v>
                </c:pt>
                <c:pt idx="6">
                  <c:v>0.48381983196851525</c:v>
                </c:pt>
                <c:pt idx="7">
                  <c:v>0.53460147185274942</c:v>
                </c:pt>
                <c:pt idx="8">
                  <c:v>0.55229531282347089</c:v>
                </c:pt>
                <c:pt idx="9">
                  <c:v>0.54099621330364334</c:v>
                </c:pt>
                <c:pt idx="10">
                  <c:v>0.53437452132880192</c:v>
                </c:pt>
                <c:pt idx="11">
                  <c:v>0.4910447342571862</c:v>
                </c:pt>
                <c:pt idx="12">
                  <c:v>0.50104280956289671</c:v>
                </c:pt>
                <c:pt idx="13">
                  <c:v>0.49459121718787813</c:v>
                </c:pt>
                <c:pt idx="14">
                  <c:v>0.5521510346434777</c:v>
                </c:pt>
                <c:pt idx="15">
                  <c:v>0.5520371486035125</c:v>
                </c:pt>
                <c:pt idx="16">
                  <c:v>0.51249717927068839</c:v>
                </c:pt>
                <c:pt idx="17">
                  <c:v>0.52628654345046377</c:v>
                </c:pt>
                <c:pt idx="18">
                  <c:v>0.51798825550025662</c:v>
                </c:pt>
              </c:numCache>
            </c:numRef>
          </c:val>
        </c:ser>
        <c:ser>
          <c:idx val="5"/>
          <c:order val="4"/>
          <c:tx>
            <c:strRef>
              <c:f>'11'!$G$4</c:f>
              <c:strCache>
                <c:ptCount val="1"/>
                <c:pt idx="0">
                  <c:v>PQ</c:v>
                </c:pt>
              </c:strCache>
            </c:strRef>
          </c:tx>
          <c:spPr>
            <a:ln w="12700">
              <a:solidFill>
                <a:srgbClr val="000000"/>
              </a:solidFill>
              <a:prstDash val="solid"/>
            </a:ln>
          </c:spPr>
          <c:marker>
            <c:symbol val="circle"/>
            <c:size val="5"/>
            <c:spPr>
              <a:solidFill>
                <a:srgbClr val="333333"/>
              </a:solidFill>
              <a:ln>
                <a:solidFill>
                  <a:srgbClr val="333333"/>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'11'!$AN$5:$AN$34</c:f>
              <c:numCache>
                <c:formatCode>0.000</c:formatCode>
                <c:ptCount val="19"/>
                <c:pt idx="0">
                  <c:v>0.56113307019886161</c:v>
                </c:pt>
                <c:pt idx="1">
                  <c:v>0.55783184340064806</c:v>
                </c:pt>
                <c:pt idx="2">
                  <c:v>0.57483691178143614</c:v>
                </c:pt>
                <c:pt idx="3">
                  <c:v>0.60178313388351179</c:v>
                </c:pt>
                <c:pt idx="4">
                  <c:v>0.59220165730100516</c:v>
                </c:pt>
                <c:pt idx="5">
                  <c:v>0.56871123842186944</c:v>
                </c:pt>
                <c:pt idx="6">
                  <c:v>0.570071030919722</c:v>
                </c:pt>
                <c:pt idx="7">
                  <c:v>0.5990670139551445</c:v>
                </c:pt>
                <c:pt idx="8">
                  <c:v>0.59789924921031101</c:v>
                </c:pt>
                <c:pt idx="9">
                  <c:v>0.58140773740134155</c:v>
                </c:pt>
                <c:pt idx="10">
                  <c:v>0.58289172967857894</c:v>
                </c:pt>
                <c:pt idx="11">
                  <c:v>0.55761749356146095</c:v>
                </c:pt>
                <c:pt idx="12">
                  <c:v>0.53153495894987612</c:v>
                </c:pt>
                <c:pt idx="13">
                  <c:v>0.54493310600669875</c:v>
                </c:pt>
                <c:pt idx="14">
                  <c:v>0.55292205112947079</c:v>
                </c:pt>
                <c:pt idx="15">
                  <c:v>0.5498272395477658</c:v>
                </c:pt>
                <c:pt idx="16">
                  <c:v>0.54261499745484643</c:v>
                </c:pt>
                <c:pt idx="17">
                  <c:v>0.56627056965767741</c:v>
                </c:pt>
                <c:pt idx="18">
                  <c:v>0.56863694137594634</c:v>
                </c:pt>
              </c:numCache>
            </c:numRef>
          </c:val>
        </c:ser>
        <c:ser>
          <c:idx val="6"/>
          <c:order val="5"/>
          <c:tx>
            <c:strRef>
              <c:f>'11'!$H$4</c:f>
              <c:strCache>
                <c:ptCount val="1"/>
                <c:pt idx="0">
                  <c:v>ON</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'11'!$AO$5:$AO$34</c:f>
              <c:numCache>
                <c:formatCode>0.000</c:formatCode>
                <c:ptCount val="19"/>
                <c:pt idx="0">
                  <c:v>0.68187528276174003</c:v>
                </c:pt>
                <c:pt idx="1">
                  <c:v>0.63565983644267643</c:v>
                </c:pt>
                <c:pt idx="2">
                  <c:v>0.58831083900365877</c:v>
                </c:pt>
                <c:pt idx="3">
                  <c:v>0.62792185924655119</c:v>
                </c:pt>
                <c:pt idx="4">
                  <c:v>0.64410289414045541</c:v>
                </c:pt>
                <c:pt idx="5">
                  <c:v>0.64972332082582884</c:v>
                </c:pt>
                <c:pt idx="6">
                  <c:v>0.64186571094492151</c:v>
                </c:pt>
                <c:pt idx="7">
                  <c:v>0.6638736091746168</c:v>
                </c:pt>
                <c:pt idx="8">
                  <c:v>0.69747434279663212</c:v>
                </c:pt>
                <c:pt idx="9">
                  <c:v>0.6585343809986316</c:v>
                </c:pt>
                <c:pt idx="10">
                  <c:v>0.60297492938772468</c:v>
                </c:pt>
                <c:pt idx="11">
                  <c:v>0.60046455070826243</c:v>
                </c:pt>
                <c:pt idx="12">
                  <c:v>0.5772941800331689</c:v>
                </c:pt>
                <c:pt idx="13">
                  <c:v>0.58469736231893121</c:v>
                </c:pt>
                <c:pt idx="14">
                  <c:v>0.57225957579920972</c:v>
                </c:pt>
                <c:pt idx="15">
                  <c:v>0.54762996686903498</c:v>
                </c:pt>
                <c:pt idx="16">
                  <c:v>0.55339924682750474</c:v>
                </c:pt>
                <c:pt idx="17">
                  <c:v>0.554258491625782</c:v>
                </c:pt>
                <c:pt idx="18">
                  <c:v>0.56267555644556888</c:v>
                </c:pt>
              </c:numCache>
            </c:numRef>
          </c:val>
        </c:ser>
        <c:ser>
          <c:idx val="7"/>
          <c:order val="6"/>
          <c:tx>
            <c:strRef>
              <c:f>'11'!$I$4</c:f>
              <c:strCache>
                <c:ptCount val="1"/>
                <c:pt idx="0">
                  <c:v>Man.</c:v>
                </c:pt>
              </c:strCache>
            </c:strRef>
          </c:tx>
          <c:spPr>
            <a:ln w="12700">
              <a:solidFill>
                <a:srgbClr val="000000"/>
              </a:solidFill>
              <a:prstDash val="solid"/>
            </a:ln>
          </c:spPr>
          <c:marker>
            <c:symbol val="none"/>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'11'!$AP$5:$AP$34</c:f>
              <c:numCache>
                <c:formatCode>0.000</c:formatCode>
                <c:ptCount val="19"/>
                <c:pt idx="0">
                  <c:v>0.61454232118591945</c:v>
                </c:pt>
                <c:pt idx="1">
                  <c:v>0.63543806260371716</c:v>
                </c:pt>
                <c:pt idx="2">
                  <c:v>0.54803029694156802</c:v>
                </c:pt>
                <c:pt idx="3">
                  <c:v>0.653035095947196</c:v>
                </c:pt>
                <c:pt idx="4">
                  <c:v>0.62816502695729171</c:v>
                </c:pt>
                <c:pt idx="5">
                  <c:v>0.57402380844785461</c:v>
                </c:pt>
                <c:pt idx="6">
                  <c:v>0.60866382829394539</c:v>
                </c:pt>
                <c:pt idx="7">
                  <c:v>0.64751783197723223</c:v>
                </c:pt>
                <c:pt idx="8">
                  <c:v>0.64093733488351723</c:v>
                </c:pt>
                <c:pt idx="9">
                  <c:v>0.62649739935408422</c:v>
                </c:pt>
                <c:pt idx="10">
                  <c:v>0.632029212950592</c:v>
                </c:pt>
                <c:pt idx="11">
                  <c:v>0.59987441853187051</c:v>
                </c:pt>
                <c:pt idx="12">
                  <c:v>0.60608164859423674</c:v>
                </c:pt>
                <c:pt idx="13">
                  <c:v>0.57696097822295522</c:v>
                </c:pt>
                <c:pt idx="14">
                  <c:v>0.61776678300884746</c:v>
                </c:pt>
                <c:pt idx="15">
                  <c:v>0.58486053795548831</c:v>
                </c:pt>
                <c:pt idx="16">
                  <c:v>0.57279832219417537</c:v>
                </c:pt>
                <c:pt idx="17">
                  <c:v>0.60376125618948739</c:v>
                </c:pt>
                <c:pt idx="18">
                  <c:v>0.55423718859588789</c:v>
                </c:pt>
              </c:numCache>
            </c:numRef>
          </c:val>
        </c:ser>
        <c:ser>
          <c:idx val="8"/>
          <c:order val="7"/>
          <c:tx>
            <c:strRef>
              <c:f>'11'!$J$4</c:f>
              <c:strCache>
                <c:ptCount val="1"/>
                <c:pt idx="0">
                  <c:v>Sask.</c:v>
                </c:pt>
              </c:strCache>
            </c:strRef>
          </c:tx>
          <c:spPr>
            <a:ln w="12700">
              <a:solidFill>
                <a:srgbClr val="000000"/>
              </a:solidFill>
              <a:prstDash val="sysDash"/>
            </a:ln>
          </c:spPr>
          <c:marker>
            <c:symbol val="square"/>
            <c:size val="3"/>
            <c:spPr>
              <a:noFill/>
              <a:ln w="9525">
                <a:noFill/>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'11'!$AQ$5:$AQ$34</c:f>
              <c:numCache>
                <c:formatCode>0.000</c:formatCode>
                <c:ptCount val="19"/>
                <c:pt idx="0">
                  <c:v>0.72083174572819975</c:v>
                </c:pt>
                <c:pt idx="1">
                  <c:v>0.76371266951126482</c:v>
                </c:pt>
                <c:pt idx="2">
                  <c:v>0.75240404066837185</c:v>
                </c:pt>
                <c:pt idx="3">
                  <c:v>0.69979436344291701</c:v>
                </c:pt>
                <c:pt idx="4">
                  <c:v>0.66759072841013045</c:v>
                </c:pt>
                <c:pt idx="5">
                  <c:v>0.63763845638143513</c:v>
                </c:pt>
                <c:pt idx="6">
                  <c:v>0.59294760021909387</c:v>
                </c:pt>
                <c:pt idx="7">
                  <c:v>0.62869795976875997</c:v>
                </c:pt>
                <c:pt idx="8">
                  <c:v>0.61423236386551539</c:v>
                </c:pt>
                <c:pt idx="9">
                  <c:v>0.62364041484483168</c:v>
                </c:pt>
                <c:pt idx="10">
                  <c:v>0.60556234615905191</c:v>
                </c:pt>
                <c:pt idx="11">
                  <c:v>0.59526614259891708</c:v>
                </c:pt>
                <c:pt idx="12">
                  <c:v>0.57729079215344181</c:v>
                </c:pt>
                <c:pt idx="13">
                  <c:v>0.56447507635919492</c:v>
                </c:pt>
                <c:pt idx="14">
                  <c:v>0.57402368115939839</c:v>
                </c:pt>
                <c:pt idx="15">
                  <c:v>0.59153306605404543</c:v>
                </c:pt>
                <c:pt idx="16">
                  <c:v>0.58770582509077951</c:v>
                </c:pt>
                <c:pt idx="17">
                  <c:v>0.63910218981792299</c:v>
                </c:pt>
                <c:pt idx="18">
                  <c:v>0.61130209045433137</c:v>
                </c:pt>
              </c:numCache>
            </c:numRef>
          </c:val>
        </c:ser>
        <c:ser>
          <c:idx val="9"/>
          <c:order val="8"/>
          <c:tx>
            <c:strRef>
              <c:f>'11'!$K$4</c:f>
              <c:strCache>
                <c:ptCount val="1"/>
                <c:pt idx="0">
                  <c:v>Alb.</c:v>
                </c:pt>
              </c:strCache>
            </c:strRef>
          </c:tx>
          <c:spPr>
            <a:ln w="12700">
              <a:solidFill>
                <a:srgbClr val="000000"/>
              </a:solidFill>
              <a:prstDash val="lgDash"/>
            </a:ln>
          </c:spPr>
          <c:marker>
            <c:symbol val="diamond"/>
            <c:size val="5"/>
            <c:spPr>
              <a:solidFill>
                <a:srgbClr val="333333"/>
              </a:solidFill>
              <a:ln>
                <a:solidFill>
                  <a:srgbClr val="333333"/>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'11'!$AR$5:$AR$34</c:f>
              <c:numCache>
                <c:formatCode>0.000</c:formatCode>
                <c:ptCount val="19"/>
                <c:pt idx="0">
                  <c:v>0.71288901997033804</c:v>
                </c:pt>
                <c:pt idx="1">
                  <c:v>0.64474961545561871</c:v>
                </c:pt>
                <c:pt idx="2">
                  <c:v>0.57542741616684556</c:v>
                </c:pt>
                <c:pt idx="3">
                  <c:v>0.59173142086563169</c:v>
                </c:pt>
                <c:pt idx="4">
                  <c:v>0.63762014494069985</c:v>
                </c:pt>
                <c:pt idx="5">
                  <c:v>0.6261993457939613</c:v>
                </c:pt>
                <c:pt idx="6">
                  <c:v>0.60706867801617315</c:v>
                </c:pt>
                <c:pt idx="7">
                  <c:v>0.61035946750140313</c:v>
                </c:pt>
                <c:pt idx="8">
                  <c:v>0.63231837364604648</c:v>
                </c:pt>
                <c:pt idx="9">
                  <c:v>0.62775261785905634</c:v>
                </c:pt>
                <c:pt idx="10">
                  <c:v>0.60591115098469772</c:v>
                </c:pt>
                <c:pt idx="11">
                  <c:v>0.59325404162897366</c:v>
                </c:pt>
                <c:pt idx="12">
                  <c:v>0.60999278863482242</c:v>
                </c:pt>
                <c:pt idx="13">
                  <c:v>0.59275983333368854</c:v>
                </c:pt>
                <c:pt idx="14">
                  <c:v>0.6062359103649001</c:v>
                </c:pt>
                <c:pt idx="15">
                  <c:v>0.61972737869565075</c:v>
                </c:pt>
                <c:pt idx="16">
                  <c:v>0.61944656978451196</c:v>
                </c:pt>
                <c:pt idx="17">
                  <c:v>0.64091865863076258</c:v>
                </c:pt>
                <c:pt idx="18">
                  <c:v>0.64008680591641787</c:v>
                </c:pt>
              </c:numCache>
            </c:numRef>
          </c:val>
        </c:ser>
        <c:ser>
          <c:idx val="10"/>
          <c:order val="9"/>
          <c:tx>
            <c:strRef>
              <c:f>'11'!$L$4</c:f>
              <c:strCache>
                <c:ptCount val="1"/>
                <c:pt idx="0">
                  <c:v>BC</c:v>
                </c:pt>
              </c:strCache>
            </c:strRef>
          </c:tx>
          <c:spPr>
            <a:ln w="12700">
              <a:solidFill>
                <a:srgbClr val="808080"/>
              </a:solidFill>
              <a:prstDash val="solid"/>
            </a:ln>
          </c:spPr>
          <c:marker>
            <c:symbol val="square"/>
            <c:size val="3"/>
            <c:spPr>
              <a:noFill/>
              <a:ln w="9525">
                <a:noFill/>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'11'!$AS$5:$AS$34</c:f>
              <c:numCache>
                <c:formatCode>0.000</c:formatCode>
                <c:ptCount val="19"/>
                <c:pt idx="0">
                  <c:v>0.60953060721864039</c:v>
                </c:pt>
                <c:pt idx="1">
                  <c:v>0.55295977688516529</c:v>
                </c:pt>
                <c:pt idx="2">
                  <c:v>0.57695756152533217</c:v>
                </c:pt>
                <c:pt idx="3">
                  <c:v>0.51629846634910725</c:v>
                </c:pt>
                <c:pt idx="4">
                  <c:v>0.51610257421341199</c:v>
                </c:pt>
                <c:pt idx="5">
                  <c:v>0.5150191965315396</c:v>
                </c:pt>
                <c:pt idx="6">
                  <c:v>0.49961050950751129</c:v>
                </c:pt>
                <c:pt idx="7">
                  <c:v>0.57337011107653224</c:v>
                </c:pt>
                <c:pt idx="8">
                  <c:v>0.5839612976969929</c:v>
                </c:pt>
                <c:pt idx="9">
                  <c:v>0.61511979384135873</c:v>
                </c:pt>
                <c:pt idx="10">
                  <c:v>0.60730254761094293</c:v>
                </c:pt>
                <c:pt idx="11">
                  <c:v>0.5902072315786091</c:v>
                </c:pt>
                <c:pt idx="12">
                  <c:v>0.59283549408205594</c:v>
                </c:pt>
                <c:pt idx="13">
                  <c:v>0.60947598398953118</c:v>
                </c:pt>
                <c:pt idx="14">
                  <c:v>0.6316327898228431</c:v>
                </c:pt>
                <c:pt idx="15">
                  <c:v>0.60974369887350299</c:v>
                </c:pt>
                <c:pt idx="16">
                  <c:v>0.60848724958557066</c:v>
                </c:pt>
                <c:pt idx="17">
                  <c:v>0.55879161033963654</c:v>
                </c:pt>
                <c:pt idx="18">
                  <c:v>0.57089648141486704</c:v>
                </c:pt>
              </c:numCache>
            </c:numRef>
          </c:val>
        </c:ser>
        <c:marker val="1"/>
        <c:axId val="134672768"/>
        <c:axId val="134674688"/>
      </c:lineChart>
      <c:catAx>
        <c:axId val="134672768"/>
        <c:scaling>
          <c:orientation val="minMax"/>
        </c:scaling>
        <c:axPos val="b"/>
        <c:numFmt formatCode="General" sourceLinked="1"/>
        <c:tickLblPos val="low"/>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4674688"/>
        <c:crosses val="autoZero"/>
        <c:auto val="1"/>
        <c:lblAlgn val="ctr"/>
        <c:lblOffset val="100"/>
        <c:tickLblSkip val="3"/>
        <c:tickMarkSkip val="1"/>
      </c:catAx>
      <c:valAx>
        <c:axId val="134674688"/>
        <c:scaling>
          <c:orientation val="minMax"/>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4672768"/>
        <c:crosses val="autoZero"/>
        <c:crossBetween val="midCat"/>
      </c:valAx>
      <c:spPr>
        <a:solidFill>
          <a:srgbClr val="FFFFFF"/>
        </a:solidFill>
        <a:ln w="3175">
          <a:solidFill>
            <a:srgbClr val="000000"/>
          </a:solidFill>
          <a:prstDash val="solid"/>
        </a:ln>
      </c:spPr>
    </c:plotArea>
    <c:legend>
      <c:legendPos val="r"/>
      <c:layout>
        <c:manualLayout>
          <c:xMode val="edge"/>
          <c:yMode val="edge"/>
          <c:x val="0.90677025527192012"/>
          <c:y val="0.35562805872756931"/>
          <c:w val="8.8790233074356226E-2"/>
          <c:h val="0.3442088091353933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7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5: Overall Index of Economic Well-being, Equal Weighting of Components </a:t>
            </a:r>
          </a:p>
        </c:rich>
      </c:tx>
      <c:layout>
        <c:manualLayout>
          <c:xMode val="edge"/>
          <c:yMode val="edge"/>
          <c:x val="0.20088790233074361"/>
          <c:y val="2.1207177814030091E-2"/>
        </c:manualLayout>
      </c:layout>
      <c:spPr>
        <a:noFill/>
        <a:ln w="25400">
          <a:noFill/>
        </a:ln>
      </c:spPr>
    </c:title>
    <c:plotArea>
      <c:layout>
        <c:manualLayout>
          <c:layoutTarget val="inner"/>
          <c:xMode val="edge"/>
          <c:yMode val="edge"/>
          <c:x val="3.9955604883462822E-2"/>
          <c:y val="0.10603588907014692"/>
          <c:w val="0.83795782463929791"/>
          <c:h val="0.82871125611746155"/>
        </c:manualLayout>
      </c:layout>
      <c:lineChart>
        <c:grouping val="standard"/>
        <c:ser>
          <c:idx val="1"/>
          <c:order val="0"/>
          <c:tx>
            <c:strRef>
              <c:f>'11'!$C$4</c:f>
              <c:strCache>
                <c:ptCount val="1"/>
                <c:pt idx="0">
                  <c:v>Nfld.</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'11'!$AU$5:$AU$34</c:f>
              <c:numCache>
                <c:formatCode>0.000</c:formatCode>
                <c:ptCount val="19"/>
                <c:pt idx="0">
                  <c:v>0.27850604237112947</c:v>
                </c:pt>
                <c:pt idx="1">
                  <c:v>0.26995627895790081</c:v>
                </c:pt>
                <c:pt idx="2">
                  <c:v>0.21285738239423002</c:v>
                </c:pt>
                <c:pt idx="3">
                  <c:v>0.27390888253798257</c:v>
                </c:pt>
                <c:pt idx="4">
                  <c:v>0.2700635315883495</c:v>
                </c:pt>
                <c:pt idx="5">
                  <c:v>0.31658893884146694</c:v>
                </c:pt>
                <c:pt idx="6">
                  <c:v>0.31540800559137294</c:v>
                </c:pt>
                <c:pt idx="7">
                  <c:v>0.38066435996083492</c:v>
                </c:pt>
                <c:pt idx="8">
                  <c:v>0.41197645661104093</c:v>
                </c:pt>
                <c:pt idx="9">
                  <c:v>0.37220835957029164</c:v>
                </c:pt>
                <c:pt idx="10">
                  <c:v>0.36053894578025203</c:v>
                </c:pt>
                <c:pt idx="11">
                  <c:v>0.33283212970909887</c:v>
                </c:pt>
                <c:pt idx="12">
                  <c:v>0.35849260290326629</c:v>
                </c:pt>
                <c:pt idx="13">
                  <c:v>0.36371292624511775</c:v>
                </c:pt>
                <c:pt idx="14">
                  <c:v>0.35884799456378336</c:v>
                </c:pt>
                <c:pt idx="15">
                  <c:v>0.35816327985032459</c:v>
                </c:pt>
                <c:pt idx="16">
                  <c:v>0.38634440343370596</c:v>
                </c:pt>
                <c:pt idx="17">
                  <c:v>0.38169018757026812</c:v>
                </c:pt>
                <c:pt idx="18">
                  <c:v>0.39195520982527254</c:v>
                </c:pt>
              </c:numCache>
            </c:numRef>
          </c:val>
        </c:ser>
        <c:ser>
          <c:idx val="2"/>
          <c:order val="1"/>
          <c:tx>
            <c:strRef>
              <c:f>'11'!$D$4</c:f>
              <c:strCache>
                <c:ptCount val="1"/>
                <c:pt idx="0">
                  <c:v>PEI</c:v>
                </c:pt>
              </c:strCache>
            </c:strRef>
          </c:tx>
          <c:spPr>
            <a:ln w="12700">
              <a:solidFill>
                <a:srgbClr val="969696"/>
              </a:solidFill>
              <a:prstDash val="solid"/>
            </a:ln>
          </c:spPr>
          <c:marker>
            <c:symbol val="square"/>
            <c:size val="5"/>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'11'!$AV$5:$AV$34</c:f>
              <c:numCache>
                <c:formatCode>0.000</c:formatCode>
                <c:ptCount val="19"/>
                <c:pt idx="0">
                  <c:v>0.29290615513228102</c:v>
                </c:pt>
                <c:pt idx="1">
                  <c:v>0.33609955194112973</c:v>
                </c:pt>
                <c:pt idx="2">
                  <c:v>0.35877455042684925</c:v>
                </c:pt>
                <c:pt idx="3">
                  <c:v>0.36926483618399697</c:v>
                </c:pt>
                <c:pt idx="4">
                  <c:v>0.38308443719567775</c:v>
                </c:pt>
                <c:pt idx="5">
                  <c:v>0.41347670244195317</c:v>
                </c:pt>
                <c:pt idx="6">
                  <c:v>0.41209202652884758</c:v>
                </c:pt>
                <c:pt idx="7">
                  <c:v>0.44063183762459412</c:v>
                </c:pt>
                <c:pt idx="8">
                  <c:v>0.43240882769558631</c:v>
                </c:pt>
                <c:pt idx="9">
                  <c:v>0.46080263474290867</c:v>
                </c:pt>
                <c:pt idx="10">
                  <c:v>0.4318685531095634</c:v>
                </c:pt>
                <c:pt idx="11">
                  <c:v>0.4572355473082873</c:v>
                </c:pt>
                <c:pt idx="12">
                  <c:v>0.45390992593033713</c:v>
                </c:pt>
                <c:pt idx="13">
                  <c:v>0.46212257508033794</c:v>
                </c:pt>
                <c:pt idx="14">
                  <c:v>0.43485337393324952</c:v>
                </c:pt>
                <c:pt idx="15">
                  <c:v>0.43187705919459146</c:v>
                </c:pt>
                <c:pt idx="16">
                  <c:v>0.43318713656712765</c:v>
                </c:pt>
                <c:pt idx="17">
                  <c:v>0.4508239866130298</c:v>
                </c:pt>
                <c:pt idx="18">
                  <c:v>0.41605287812937597</c:v>
                </c:pt>
              </c:numCache>
            </c:numRef>
          </c:val>
        </c:ser>
        <c:ser>
          <c:idx val="3"/>
          <c:order val="2"/>
          <c:tx>
            <c:strRef>
              <c:f>'11'!$E$4</c:f>
              <c:strCache>
                <c:ptCount val="1"/>
                <c:pt idx="0">
                  <c:v>NS</c:v>
                </c:pt>
              </c:strCache>
            </c:strRef>
          </c:tx>
          <c:spPr>
            <a:ln w="12700">
              <a:solidFill>
                <a:srgbClr val="000000"/>
              </a:solidFill>
              <a:prstDash val="solid"/>
            </a:ln>
          </c:spPr>
          <c:marker>
            <c:symbol val="triangle"/>
            <c:size val="3"/>
            <c:spPr>
              <a:solidFill>
                <a:srgbClr val="000000"/>
              </a:solidFill>
              <a:ln>
                <a:solidFill>
                  <a:srgbClr val="000000"/>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'11'!$AW$5:$AW$34</c:f>
              <c:numCache>
                <c:formatCode>0.000</c:formatCode>
                <c:ptCount val="19"/>
                <c:pt idx="0">
                  <c:v>0.38080016714420584</c:v>
                </c:pt>
                <c:pt idx="1">
                  <c:v>0.38216591999241573</c:v>
                </c:pt>
                <c:pt idx="2">
                  <c:v>0.38924355996785065</c:v>
                </c:pt>
                <c:pt idx="3">
                  <c:v>0.3917244242177329</c:v>
                </c:pt>
                <c:pt idx="4">
                  <c:v>0.39541727754183831</c:v>
                </c:pt>
                <c:pt idx="5">
                  <c:v>0.39321152229900869</c:v>
                </c:pt>
                <c:pt idx="6">
                  <c:v>0.42180760205839757</c:v>
                </c:pt>
                <c:pt idx="7">
                  <c:v>0.45548130432178591</c:v>
                </c:pt>
                <c:pt idx="8">
                  <c:v>0.4557900269846985</c:v>
                </c:pt>
                <c:pt idx="9">
                  <c:v>0.47229130781295481</c:v>
                </c:pt>
                <c:pt idx="10">
                  <c:v>0.46413717160320112</c:v>
                </c:pt>
                <c:pt idx="11">
                  <c:v>0.46213621970955721</c:v>
                </c:pt>
                <c:pt idx="12">
                  <c:v>0.45570929881332423</c:v>
                </c:pt>
                <c:pt idx="13">
                  <c:v>0.43569596580968523</c:v>
                </c:pt>
                <c:pt idx="14">
                  <c:v>0.45135885615333537</c:v>
                </c:pt>
                <c:pt idx="15">
                  <c:v>0.42837338682574905</c:v>
                </c:pt>
                <c:pt idx="16">
                  <c:v>0.41833596530782657</c:v>
                </c:pt>
                <c:pt idx="17">
                  <c:v>0.41830649843385531</c:v>
                </c:pt>
                <c:pt idx="18">
                  <c:v>0.45933663963543203</c:v>
                </c:pt>
              </c:numCache>
            </c:numRef>
          </c:val>
        </c:ser>
        <c:ser>
          <c:idx val="4"/>
          <c:order val="3"/>
          <c:tx>
            <c:strRef>
              <c:f>'11'!$F$4</c:f>
              <c:strCache>
                <c:ptCount val="1"/>
                <c:pt idx="0">
                  <c:v>NB</c:v>
                </c:pt>
              </c:strCache>
            </c:strRef>
          </c:tx>
          <c:spPr>
            <a:ln w="12700">
              <a:solidFill>
                <a:srgbClr val="969696"/>
              </a:solidFill>
              <a:prstDash val="solid"/>
            </a:ln>
          </c:spPr>
          <c:marker>
            <c:symbol val="triangle"/>
            <c:size val="5"/>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'11'!$AX$5:$AX$34</c:f>
              <c:numCache>
                <c:formatCode>0.000</c:formatCode>
                <c:ptCount val="19"/>
                <c:pt idx="0">
                  <c:v>0.28130398038846005</c:v>
                </c:pt>
                <c:pt idx="1">
                  <c:v>0.27462929228780336</c:v>
                </c:pt>
                <c:pt idx="2">
                  <c:v>0.24268828689987026</c:v>
                </c:pt>
                <c:pt idx="3">
                  <c:v>0.29470905072151476</c:v>
                </c:pt>
                <c:pt idx="4">
                  <c:v>0.34415307125392819</c:v>
                </c:pt>
                <c:pt idx="5">
                  <c:v>0.36960807540334273</c:v>
                </c:pt>
                <c:pt idx="6">
                  <c:v>0.35793312782237163</c:v>
                </c:pt>
                <c:pt idx="7">
                  <c:v>0.40380854445095876</c:v>
                </c:pt>
                <c:pt idx="8">
                  <c:v>0.41385266395175652</c:v>
                </c:pt>
                <c:pt idx="9">
                  <c:v>0.41739782463458652</c:v>
                </c:pt>
                <c:pt idx="10">
                  <c:v>0.40938665075852987</c:v>
                </c:pt>
                <c:pt idx="11">
                  <c:v>0.40098644095645836</c:v>
                </c:pt>
                <c:pt idx="12">
                  <c:v>0.40114877132092819</c:v>
                </c:pt>
                <c:pt idx="13">
                  <c:v>0.38570111332822571</c:v>
                </c:pt>
                <c:pt idx="14">
                  <c:v>0.41837029399779413</c:v>
                </c:pt>
                <c:pt idx="15">
                  <c:v>0.42930919566229225</c:v>
                </c:pt>
                <c:pt idx="16">
                  <c:v>0.41347284761594705</c:v>
                </c:pt>
                <c:pt idx="17">
                  <c:v>0.43131786219393403</c:v>
                </c:pt>
                <c:pt idx="18">
                  <c:v>0.44076766451187394</c:v>
                </c:pt>
              </c:numCache>
            </c:numRef>
          </c:val>
        </c:ser>
        <c:ser>
          <c:idx val="5"/>
          <c:order val="4"/>
          <c:tx>
            <c:strRef>
              <c:f>'11'!$G$4</c:f>
              <c:strCache>
                <c:ptCount val="1"/>
                <c:pt idx="0">
                  <c:v>PQ</c:v>
                </c:pt>
              </c:strCache>
            </c:strRef>
          </c:tx>
          <c:spPr>
            <a:ln w="12700">
              <a:solidFill>
                <a:srgbClr val="000000"/>
              </a:solidFill>
              <a:prstDash val="solid"/>
            </a:ln>
          </c:spPr>
          <c:marker>
            <c:symbol val="circle"/>
            <c:size val="5"/>
            <c:spPr>
              <a:solidFill>
                <a:srgbClr val="333333"/>
              </a:solidFill>
              <a:ln>
                <a:solidFill>
                  <a:srgbClr val="333333"/>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'11'!$AY$5:$AY$34</c:f>
              <c:numCache>
                <c:formatCode>0.000</c:formatCode>
                <c:ptCount val="19"/>
                <c:pt idx="0">
                  <c:v>0.3866258603521715</c:v>
                </c:pt>
                <c:pt idx="1">
                  <c:v>0.38574398124065179</c:v>
                </c:pt>
                <c:pt idx="2">
                  <c:v>0.39549664744504109</c:v>
                </c:pt>
                <c:pt idx="3">
                  <c:v>0.39257963908802296</c:v>
                </c:pt>
                <c:pt idx="4">
                  <c:v>0.41466556783867087</c:v>
                </c:pt>
                <c:pt idx="5">
                  <c:v>0.41423863982971298</c:v>
                </c:pt>
                <c:pt idx="6">
                  <c:v>0.41971394853868882</c:v>
                </c:pt>
                <c:pt idx="7">
                  <c:v>0.44791545220064555</c:v>
                </c:pt>
                <c:pt idx="8">
                  <c:v>0.46191438307693566</c:v>
                </c:pt>
                <c:pt idx="9">
                  <c:v>0.44965337879768102</c:v>
                </c:pt>
                <c:pt idx="10">
                  <c:v>0.44040110326575899</c:v>
                </c:pt>
                <c:pt idx="11">
                  <c:v>0.45098452066506756</c:v>
                </c:pt>
                <c:pt idx="12">
                  <c:v>0.4335529352984141</c:v>
                </c:pt>
                <c:pt idx="13">
                  <c:v>0.44223822482210551</c:v>
                </c:pt>
                <c:pt idx="14">
                  <c:v>0.43569349256613327</c:v>
                </c:pt>
                <c:pt idx="15">
                  <c:v>0.44936967275429407</c:v>
                </c:pt>
                <c:pt idx="16">
                  <c:v>0.4361326463249936</c:v>
                </c:pt>
                <c:pt idx="17">
                  <c:v>0.46054054826625379</c:v>
                </c:pt>
                <c:pt idx="18">
                  <c:v>0.47787911343651368</c:v>
                </c:pt>
              </c:numCache>
            </c:numRef>
          </c:val>
        </c:ser>
        <c:ser>
          <c:idx val="6"/>
          <c:order val="5"/>
          <c:tx>
            <c:strRef>
              <c:f>'11'!$H$4</c:f>
              <c:strCache>
                <c:ptCount val="1"/>
                <c:pt idx="0">
                  <c:v>ON</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'11'!$AZ$5:$AZ$34</c:f>
              <c:numCache>
                <c:formatCode>0.000</c:formatCode>
                <c:ptCount val="19"/>
                <c:pt idx="0">
                  <c:v>0.47965220498776856</c:v>
                </c:pt>
                <c:pt idx="1">
                  <c:v>0.45753180657801484</c:v>
                </c:pt>
                <c:pt idx="2">
                  <c:v>0.43249207132465084</c:v>
                </c:pt>
                <c:pt idx="3">
                  <c:v>0.45519007436214837</c:v>
                </c:pt>
                <c:pt idx="4">
                  <c:v>0.47874484802561373</c:v>
                </c:pt>
                <c:pt idx="5">
                  <c:v>0.49428935489483916</c:v>
                </c:pt>
                <c:pt idx="6">
                  <c:v>0.5150462531402753</c:v>
                </c:pt>
                <c:pt idx="7">
                  <c:v>0.52883749247287304</c:v>
                </c:pt>
                <c:pt idx="8">
                  <c:v>0.55151724166249072</c:v>
                </c:pt>
                <c:pt idx="9">
                  <c:v>0.531323873540128</c:v>
                </c:pt>
                <c:pt idx="10">
                  <c:v>0.51218079256969695</c:v>
                </c:pt>
                <c:pt idx="11">
                  <c:v>0.51594158793257106</c:v>
                </c:pt>
                <c:pt idx="12">
                  <c:v>0.51605659257133374</c:v>
                </c:pt>
                <c:pt idx="13">
                  <c:v>0.52051368910231044</c:v>
                </c:pt>
                <c:pt idx="14">
                  <c:v>0.52181129803983928</c:v>
                </c:pt>
                <c:pt idx="15">
                  <c:v>0.49214303814983368</c:v>
                </c:pt>
                <c:pt idx="16">
                  <c:v>0.49923147584485261</c:v>
                </c:pt>
                <c:pt idx="17">
                  <c:v>0.50952163067361622</c:v>
                </c:pt>
                <c:pt idx="18">
                  <c:v>0.51258732841946719</c:v>
                </c:pt>
              </c:numCache>
            </c:numRef>
          </c:val>
        </c:ser>
        <c:ser>
          <c:idx val="7"/>
          <c:order val="6"/>
          <c:tx>
            <c:strRef>
              <c:f>'11'!$I$4</c:f>
              <c:strCache>
                <c:ptCount val="1"/>
                <c:pt idx="0">
                  <c:v>Man.</c:v>
                </c:pt>
              </c:strCache>
            </c:strRef>
          </c:tx>
          <c:spPr>
            <a:ln w="12700">
              <a:solidFill>
                <a:srgbClr val="000000"/>
              </a:solidFill>
              <a:prstDash val="solid"/>
            </a:ln>
          </c:spPr>
          <c:marker>
            <c:symbol val="none"/>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'11'!$BA$5:$BA$34</c:f>
              <c:numCache>
                <c:formatCode>0.000</c:formatCode>
                <c:ptCount val="19"/>
                <c:pt idx="0">
                  <c:v>0.38852384641052429</c:v>
                </c:pt>
                <c:pt idx="1">
                  <c:v>0.40424838584957756</c:v>
                </c:pt>
                <c:pt idx="2">
                  <c:v>0.39695818472445765</c:v>
                </c:pt>
                <c:pt idx="3">
                  <c:v>0.42829431942762175</c:v>
                </c:pt>
                <c:pt idx="4">
                  <c:v>0.44528903176181989</c:v>
                </c:pt>
                <c:pt idx="5">
                  <c:v>0.4410727569854464</c:v>
                </c:pt>
                <c:pt idx="6">
                  <c:v>0.46146396626025021</c:v>
                </c:pt>
                <c:pt idx="7">
                  <c:v>0.47609090816418254</c:v>
                </c:pt>
                <c:pt idx="8">
                  <c:v>0.4867209997516504</c:v>
                </c:pt>
                <c:pt idx="9">
                  <c:v>0.4702166714532906</c:v>
                </c:pt>
                <c:pt idx="10">
                  <c:v>0.47377724778432956</c:v>
                </c:pt>
                <c:pt idx="11">
                  <c:v>0.45725662668998879</c:v>
                </c:pt>
                <c:pt idx="12">
                  <c:v>0.4606973002867828</c:v>
                </c:pt>
                <c:pt idx="13">
                  <c:v>0.46448998216467507</c:v>
                </c:pt>
                <c:pt idx="14">
                  <c:v>0.50388329103713203</c:v>
                </c:pt>
                <c:pt idx="15">
                  <c:v>0.48082784410049906</c:v>
                </c:pt>
                <c:pt idx="16">
                  <c:v>0.48044871530172639</c:v>
                </c:pt>
                <c:pt idx="17">
                  <c:v>0.47986232620777669</c:v>
                </c:pt>
                <c:pt idx="18">
                  <c:v>0.46560213126807515</c:v>
                </c:pt>
              </c:numCache>
            </c:numRef>
          </c:val>
        </c:ser>
        <c:ser>
          <c:idx val="8"/>
          <c:order val="7"/>
          <c:tx>
            <c:strRef>
              <c:f>'11'!$J$4</c:f>
              <c:strCache>
                <c:ptCount val="1"/>
                <c:pt idx="0">
                  <c:v>Sask.</c:v>
                </c:pt>
              </c:strCache>
            </c:strRef>
          </c:tx>
          <c:spPr>
            <a:ln w="12700">
              <a:solidFill>
                <a:srgbClr val="000000"/>
              </a:solidFill>
              <a:prstDash val="sysDash"/>
            </a:ln>
          </c:spPr>
          <c:marker>
            <c:symbol val="square"/>
            <c:size val="3"/>
            <c:spPr>
              <a:noFill/>
              <a:ln w="9525">
                <a:noFill/>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'11'!$BB$5:$BB$34</c:f>
              <c:numCache>
                <c:formatCode>0.000</c:formatCode>
                <c:ptCount val="19"/>
                <c:pt idx="0">
                  <c:v>0.42000045746120829</c:v>
                </c:pt>
                <c:pt idx="1">
                  <c:v>0.45753673182437132</c:v>
                </c:pt>
                <c:pt idx="2">
                  <c:v>0.45381943335303176</c:v>
                </c:pt>
                <c:pt idx="3">
                  <c:v>0.41701653346756906</c:v>
                </c:pt>
                <c:pt idx="4">
                  <c:v>0.38882899451719211</c:v>
                </c:pt>
                <c:pt idx="5">
                  <c:v>0.36945885897375641</c:v>
                </c:pt>
                <c:pt idx="6">
                  <c:v>0.42813149939011591</c:v>
                </c:pt>
                <c:pt idx="7">
                  <c:v>0.42475229195879094</c:v>
                </c:pt>
                <c:pt idx="8">
                  <c:v>0.43399234863153791</c:v>
                </c:pt>
                <c:pt idx="9">
                  <c:v>0.40760136723534202</c:v>
                </c:pt>
                <c:pt idx="10">
                  <c:v>0.41303709184964121</c:v>
                </c:pt>
                <c:pt idx="11">
                  <c:v>0.41307745424116582</c:v>
                </c:pt>
                <c:pt idx="12">
                  <c:v>0.43443784503537247</c:v>
                </c:pt>
                <c:pt idx="13">
                  <c:v>0.44272543617206195</c:v>
                </c:pt>
                <c:pt idx="14">
                  <c:v>0.43764502040807268</c:v>
                </c:pt>
                <c:pt idx="15">
                  <c:v>0.45721666838279867</c:v>
                </c:pt>
                <c:pt idx="16">
                  <c:v>0.49598779441050578</c:v>
                </c:pt>
                <c:pt idx="17">
                  <c:v>0.48766806641011873</c:v>
                </c:pt>
                <c:pt idx="18">
                  <c:v>0.50942045634897903</c:v>
                </c:pt>
              </c:numCache>
            </c:numRef>
          </c:val>
        </c:ser>
        <c:ser>
          <c:idx val="9"/>
          <c:order val="8"/>
          <c:tx>
            <c:strRef>
              <c:f>'11'!$K$4</c:f>
              <c:strCache>
                <c:ptCount val="1"/>
                <c:pt idx="0">
                  <c:v>Alb.</c:v>
                </c:pt>
              </c:strCache>
            </c:strRef>
          </c:tx>
          <c:spPr>
            <a:ln w="12700">
              <a:solidFill>
                <a:srgbClr val="000000"/>
              </a:solidFill>
              <a:prstDash val="lgDash"/>
            </a:ln>
          </c:spPr>
          <c:marker>
            <c:symbol val="diamond"/>
            <c:size val="5"/>
            <c:spPr>
              <a:solidFill>
                <a:srgbClr val="333333"/>
              </a:solidFill>
              <a:ln>
                <a:solidFill>
                  <a:srgbClr val="333333"/>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'11'!$BC$5:$BC$34</c:f>
              <c:numCache>
                <c:formatCode>0.000</c:formatCode>
                <c:ptCount val="19"/>
                <c:pt idx="0">
                  <c:v>0.60195610498675134</c:v>
                </c:pt>
                <c:pt idx="1">
                  <c:v>0.57861388408677195</c:v>
                </c:pt>
                <c:pt idx="2">
                  <c:v>0.54456750634871676</c:v>
                </c:pt>
                <c:pt idx="3">
                  <c:v>0.52861840875986132</c:v>
                </c:pt>
                <c:pt idx="4">
                  <c:v>0.58321672859398366</c:v>
                </c:pt>
                <c:pt idx="5">
                  <c:v>0.54524662010978098</c:v>
                </c:pt>
                <c:pt idx="6">
                  <c:v>0.52506657744655394</c:v>
                </c:pt>
                <c:pt idx="7">
                  <c:v>0.54074254165416114</c:v>
                </c:pt>
                <c:pt idx="8">
                  <c:v>0.53258536331413042</c:v>
                </c:pt>
                <c:pt idx="9">
                  <c:v>0.55411704066093448</c:v>
                </c:pt>
                <c:pt idx="10">
                  <c:v>0.52577273541678871</c:v>
                </c:pt>
                <c:pt idx="11">
                  <c:v>0.49169642704363126</c:v>
                </c:pt>
                <c:pt idx="12">
                  <c:v>0.52407738679007254</c:v>
                </c:pt>
                <c:pt idx="13">
                  <c:v>0.53599264605012564</c:v>
                </c:pt>
                <c:pt idx="14">
                  <c:v>0.53855872167942265</c:v>
                </c:pt>
                <c:pt idx="15">
                  <c:v>0.53851716252852877</c:v>
                </c:pt>
                <c:pt idx="16">
                  <c:v>0.5447404653690564</c:v>
                </c:pt>
                <c:pt idx="17">
                  <c:v>0.5415961826831881</c:v>
                </c:pt>
                <c:pt idx="18">
                  <c:v>0.57675611940943061</c:v>
                </c:pt>
              </c:numCache>
            </c:numRef>
          </c:val>
        </c:ser>
        <c:ser>
          <c:idx val="10"/>
          <c:order val="9"/>
          <c:tx>
            <c:strRef>
              <c:f>'11'!$L$4</c:f>
              <c:strCache>
                <c:ptCount val="1"/>
                <c:pt idx="0">
                  <c:v>BC</c:v>
                </c:pt>
              </c:strCache>
            </c:strRef>
          </c:tx>
          <c:spPr>
            <a:ln w="12700">
              <a:solidFill>
                <a:srgbClr val="808080"/>
              </a:solidFill>
              <a:prstDash val="solid"/>
            </a:ln>
          </c:spPr>
          <c:marker>
            <c:symbol val="square"/>
            <c:size val="3"/>
            <c:spPr>
              <a:noFill/>
              <a:ln w="9525">
                <a:noFill/>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'11'!$BD$5:$BD$34</c:f>
              <c:numCache>
                <c:formatCode>0.000</c:formatCode>
                <c:ptCount val="19"/>
                <c:pt idx="0">
                  <c:v>0.48714717707506339</c:v>
                </c:pt>
                <c:pt idx="1">
                  <c:v>0.43388575616581077</c:v>
                </c:pt>
                <c:pt idx="2">
                  <c:v>0.4510615411191502</c:v>
                </c:pt>
                <c:pt idx="3">
                  <c:v>0.41658165521982549</c:v>
                </c:pt>
                <c:pt idx="4">
                  <c:v>0.40925802247346976</c:v>
                </c:pt>
                <c:pt idx="5">
                  <c:v>0.43963508283326436</c:v>
                </c:pt>
                <c:pt idx="6">
                  <c:v>0.44888413434419072</c:v>
                </c:pt>
                <c:pt idx="7">
                  <c:v>0.5095834601591841</c:v>
                </c:pt>
                <c:pt idx="8">
                  <c:v>0.52218174192939437</c:v>
                </c:pt>
                <c:pt idx="9">
                  <c:v>0.49559549931264402</c:v>
                </c:pt>
                <c:pt idx="10">
                  <c:v>0.52444377594262515</c:v>
                </c:pt>
                <c:pt idx="11">
                  <c:v>0.5091729388997468</c:v>
                </c:pt>
                <c:pt idx="12">
                  <c:v>0.5130124998629364</c:v>
                </c:pt>
                <c:pt idx="13">
                  <c:v>0.52177844146689401</c:v>
                </c:pt>
                <c:pt idx="14">
                  <c:v>0.52705893370228019</c:v>
                </c:pt>
                <c:pt idx="15">
                  <c:v>0.50818493895900785</c:v>
                </c:pt>
                <c:pt idx="16">
                  <c:v>0.50680707756286802</c:v>
                </c:pt>
                <c:pt idx="17">
                  <c:v>0.48871671710560183</c:v>
                </c:pt>
                <c:pt idx="18">
                  <c:v>0.4922604402640095</c:v>
                </c:pt>
              </c:numCache>
            </c:numRef>
          </c:val>
        </c:ser>
        <c:marker val="1"/>
        <c:axId val="134705920"/>
        <c:axId val="134707840"/>
      </c:lineChart>
      <c:catAx>
        <c:axId val="134705920"/>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4707840"/>
        <c:crosses val="autoZero"/>
        <c:auto val="1"/>
        <c:lblAlgn val="ctr"/>
        <c:lblOffset val="100"/>
        <c:tickLblSkip val="3"/>
        <c:tickMarkSkip val="1"/>
      </c:catAx>
      <c:valAx>
        <c:axId val="134707840"/>
        <c:scaling>
          <c:orientation val="minMax"/>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4705920"/>
        <c:crosses val="autoZero"/>
        <c:crossBetween val="midCat"/>
      </c:valAx>
      <c:spPr>
        <a:solidFill>
          <a:srgbClr val="FFFFFF"/>
        </a:solidFill>
        <a:ln w="3175">
          <a:solidFill>
            <a:srgbClr val="000000"/>
          </a:solidFill>
          <a:prstDash val="solid"/>
        </a:ln>
      </c:spPr>
    </c:plotArea>
    <c:legend>
      <c:legendPos val="r"/>
      <c:layout>
        <c:manualLayout>
          <c:xMode val="edge"/>
          <c:yMode val="edge"/>
          <c:x val="0.91009988901220851"/>
          <c:y val="0.35725938009788138"/>
          <c:w val="8.8790233074367647E-2"/>
          <c:h val="0.3442088091353973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7: Overall Index of Economic Well-being, Prince Edward Island vs. Canada</a:t>
            </a:r>
          </a:p>
        </c:rich>
      </c:tx>
      <c:layout>
        <c:manualLayout>
          <c:xMode val="edge"/>
          <c:yMode val="edge"/>
          <c:x val="0.19866814650388456"/>
          <c:y val="1.9575856443719643E-2"/>
        </c:manualLayout>
      </c:layout>
      <c:spPr>
        <a:noFill/>
        <a:ln w="25400">
          <a:noFill/>
        </a:ln>
      </c:spPr>
    </c:title>
    <c:plotArea>
      <c:layout>
        <c:manualLayout>
          <c:layoutTarget val="inner"/>
          <c:xMode val="edge"/>
          <c:yMode val="edge"/>
          <c:x val="4.1065482796892344E-2"/>
          <c:y val="0.12234910277324652"/>
          <c:w val="0.84239733629301672"/>
          <c:h val="0.81076672104404557"/>
        </c:manualLayout>
      </c:layout>
      <c:lineChart>
        <c:grouping val="standard"/>
        <c:ser>
          <c:idx val="1"/>
          <c:order val="0"/>
          <c:tx>
            <c:strRef>
              <c:f>'11'!$D$4</c:f>
              <c:strCache>
                <c:ptCount val="1"/>
                <c:pt idx="0">
                  <c:v>PEI</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'11'!$AV$5:$AV$34</c:f>
              <c:numCache>
                <c:formatCode>0.000</c:formatCode>
                <c:ptCount val="19"/>
                <c:pt idx="0">
                  <c:v>0.29290615513228102</c:v>
                </c:pt>
                <c:pt idx="1">
                  <c:v>0.33609955194112973</c:v>
                </c:pt>
                <c:pt idx="2">
                  <c:v>0.35877455042684925</c:v>
                </c:pt>
                <c:pt idx="3">
                  <c:v>0.36926483618399697</c:v>
                </c:pt>
                <c:pt idx="4">
                  <c:v>0.38308443719567775</c:v>
                </c:pt>
                <c:pt idx="5">
                  <c:v>0.41347670244195317</c:v>
                </c:pt>
                <c:pt idx="6">
                  <c:v>0.41209202652884758</c:v>
                </c:pt>
                <c:pt idx="7">
                  <c:v>0.44063183762459412</c:v>
                </c:pt>
                <c:pt idx="8">
                  <c:v>0.43240882769558631</c:v>
                </c:pt>
                <c:pt idx="9">
                  <c:v>0.46080263474290867</c:v>
                </c:pt>
                <c:pt idx="10">
                  <c:v>0.4318685531095634</c:v>
                </c:pt>
                <c:pt idx="11">
                  <c:v>0.4572355473082873</c:v>
                </c:pt>
                <c:pt idx="12">
                  <c:v>0.45390992593033713</c:v>
                </c:pt>
                <c:pt idx="13">
                  <c:v>0.46212257508033794</c:v>
                </c:pt>
                <c:pt idx="14">
                  <c:v>0.43485337393324952</c:v>
                </c:pt>
                <c:pt idx="15">
                  <c:v>0.43187705919459146</c:v>
                </c:pt>
                <c:pt idx="16">
                  <c:v>0.43318713656712765</c:v>
                </c:pt>
                <c:pt idx="17">
                  <c:v>0.4508239866130298</c:v>
                </c:pt>
                <c:pt idx="18">
                  <c:v>0.41605287812937597</c:v>
                </c:pt>
              </c:numCache>
            </c:numRef>
          </c:val>
        </c:ser>
        <c:ser>
          <c:idx val="0"/>
          <c:order val="1"/>
          <c:tx>
            <c:strRef>
              <c:f>'11'!$AT$4</c:f>
              <c:strCache>
                <c:ptCount val="1"/>
                <c:pt idx="0">
                  <c:v>Canada</c:v>
                </c:pt>
              </c:strCache>
            </c:strRef>
          </c:tx>
          <c:spPr>
            <a:ln w="12700">
              <a:solidFill>
                <a:srgbClr val="000000"/>
              </a:solidFill>
              <a:prstDash val="solid"/>
            </a:ln>
          </c:spPr>
          <c:marker>
            <c:symbol val="none"/>
          </c:marker>
          <c:val>
            <c:numRef>
              <c:f>'11'!$AT$5:$AT$34</c:f>
              <c:numCache>
                <c:formatCode>0.000</c:formatCode>
                <c:ptCount val="19"/>
                <c:pt idx="0">
                  <c:v>0.44780458265691525</c:v>
                </c:pt>
                <c:pt idx="1">
                  <c:v>0.43301562693507134</c:v>
                </c:pt>
                <c:pt idx="2">
                  <c:v>0.42340958261067185</c:v>
                </c:pt>
                <c:pt idx="3">
                  <c:v>0.42844030729926186</c:v>
                </c:pt>
                <c:pt idx="4">
                  <c:v>0.44705988924508555</c:v>
                </c:pt>
                <c:pt idx="5">
                  <c:v>0.45172672744933806</c:v>
                </c:pt>
                <c:pt idx="6">
                  <c:v>0.46232821572107063</c:v>
                </c:pt>
                <c:pt idx="7">
                  <c:v>0.48738294963598849</c:v>
                </c:pt>
                <c:pt idx="8">
                  <c:v>0.50357121370456881</c:v>
                </c:pt>
                <c:pt idx="9">
                  <c:v>0.49054495517693048</c:v>
                </c:pt>
                <c:pt idx="10">
                  <c:v>0.48104437061629834</c:v>
                </c:pt>
                <c:pt idx="11">
                  <c:v>0.47966464196689351</c:v>
                </c:pt>
                <c:pt idx="12">
                  <c:v>0.4798713663978178</c:v>
                </c:pt>
                <c:pt idx="13">
                  <c:v>0.48615136049483088</c:v>
                </c:pt>
                <c:pt idx="14">
                  <c:v>0.4878403706788994</c:v>
                </c:pt>
                <c:pt idx="15">
                  <c:v>0.47679488956266264</c:v>
                </c:pt>
                <c:pt idx="16">
                  <c:v>0.47766802820173043</c:v>
                </c:pt>
                <c:pt idx="17">
                  <c:v>0.48422154380221771</c:v>
                </c:pt>
                <c:pt idx="18">
                  <c:v>0.49477781532887766</c:v>
                </c:pt>
              </c:numCache>
            </c:numRef>
          </c:val>
        </c:ser>
        <c:marker val="1"/>
        <c:axId val="127458304"/>
        <c:axId val="127464192"/>
      </c:lineChart>
      <c:catAx>
        <c:axId val="127458304"/>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27464192"/>
        <c:crosses val="autoZero"/>
        <c:auto val="1"/>
        <c:lblAlgn val="ctr"/>
        <c:lblOffset val="100"/>
        <c:tickLblSkip val="3"/>
        <c:tickMarkSkip val="1"/>
      </c:catAx>
      <c:valAx>
        <c:axId val="127464192"/>
        <c:scaling>
          <c:orientation val="minMax"/>
          <c:max val="1.4"/>
          <c:min val="0.8"/>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27458304"/>
        <c:crosses val="autoZero"/>
        <c:crossBetween val="midCat"/>
      </c:valAx>
      <c:spPr>
        <a:solidFill>
          <a:srgbClr val="FFFFFF"/>
        </a:solidFill>
        <a:ln w="3175">
          <a:solidFill>
            <a:srgbClr val="000000"/>
          </a:solidFill>
          <a:prstDash val="solid"/>
        </a:ln>
      </c:spPr>
    </c:plotArea>
    <c:legend>
      <c:legendPos val="r"/>
      <c:layout>
        <c:manualLayout>
          <c:xMode val="edge"/>
          <c:yMode val="edge"/>
          <c:wMode val="edge"/>
          <c:hMode val="edge"/>
          <c:x val="0.91120976692563749"/>
          <c:y val="0.49265905383360531"/>
          <c:w val="0.99556048834627453"/>
          <c:h val="0.5628058727569336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8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6: Overall Index of Economic Well-being, Newfoundland vs. Canada</a:t>
            </a:r>
          </a:p>
        </c:rich>
      </c:tx>
      <c:layout>
        <c:manualLayout>
          <c:xMode val="edge"/>
          <c:yMode val="edge"/>
          <c:x val="0.22419533851276624"/>
          <c:y val="1.9575856443719643E-2"/>
        </c:manualLayout>
      </c:layout>
      <c:spPr>
        <a:noFill/>
        <a:ln w="25400">
          <a:noFill/>
        </a:ln>
      </c:spPr>
    </c:title>
    <c:plotArea>
      <c:layout>
        <c:manualLayout>
          <c:layoutTarget val="inner"/>
          <c:xMode val="edge"/>
          <c:yMode val="edge"/>
          <c:x val="4.1065482796892344E-2"/>
          <c:y val="0.12234910277324652"/>
          <c:w val="0.84239733629301672"/>
          <c:h val="0.81076672104404557"/>
        </c:manualLayout>
      </c:layout>
      <c:lineChart>
        <c:grouping val="standard"/>
        <c:ser>
          <c:idx val="1"/>
          <c:order val="0"/>
          <c:tx>
            <c:strRef>
              <c:f>'11'!$C$4</c:f>
              <c:strCache>
                <c:ptCount val="1"/>
                <c:pt idx="0">
                  <c:v>Nfld.</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'11'!$AU$5:$AU$34</c:f>
              <c:numCache>
                <c:formatCode>0.000</c:formatCode>
                <c:ptCount val="19"/>
                <c:pt idx="0">
                  <c:v>0.27850604237112947</c:v>
                </c:pt>
                <c:pt idx="1">
                  <c:v>0.26995627895790081</c:v>
                </c:pt>
                <c:pt idx="2">
                  <c:v>0.21285738239423002</c:v>
                </c:pt>
                <c:pt idx="3">
                  <c:v>0.27390888253798257</c:v>
                </c:pt>
                <c:pt idx="4">
                  <c:v>0.2700635315883495</c:v>
                </c:pt>
                <c:pt idx="5">
                  <c:v>0.31658893884146694</c:v>
                </c:pt>
                <c:pt idx="6">
                  <c:v>0.31540800559137294</c:v>
                </c:pt>
                <c:pt idx="7">
                  <c:v>0.38066435996083492</c:v>
                </c:pt>
                <c:pt idx="8">
                  <c:v>0.41197645661104093</c:v>
                </c:pt>
                <c:pt idx="9">
                  <c:v>0.37220835957029164</c:v>
                </c:pt>
                <c:pt idx="10">
                  <c:v>0.36053894578025203</c:v>
                </c:pt>
                <c:pt idx="11">
                  <c:v>0.33283212970909887</c:v>
                </c:pt>
                <c:pt idx="12">
                  <c:v>0.35849260290326629</c:v>
                </c:pt>
                <c:pt idx="13">
                  <c:v>0.36371292624511775</c:v>
                </c:pt>
                <c:pt idx="14">
                  <c:v>0.35884799456378336</c:v>
                </c:pt>
                <c:pt idx="15">
                  <c:v>0.35816327985032459</c:v>
                </c:pt>
                <c:pt idx="16">
                  <c:v>0.38634440343370596</c:v>
                </c:pt>
                <c:pt idx="17">
                  <c:v>0.38169018757026812</c:v>
                </c:pt>
                <c:pt idx="18">
                  <c:v>0.39195520982527254</c:v>
                </c:pt>
              </c:numCache>
            </c:numRef>
          </c:val>
        </c:ser>
        <c:ser>
          <c:idx val="0"/>
          <c:order val="1"/>
          <c:tx>
            <c:strRef>
              <c:f>'11'!$AT$4</c:f>
              <c:strCache>
                <c:ptCount val="1"/>
                <c:pt idx="0">
                  <c:v>Canada</c:v>
                </c:pt>
              </c:strCache>
            </c:strRef>
          </c:tx>
          <c:spPr>
            <a:ln w="12700">
              <a:solidFill>
                <a:srgbClr val="000000"/>
              </a:solidFill>
              <a:prstDash val="solid"/>
            </a:ln>
          </c:spPr>
          <c:marker>
            <c:symbol val="none"/>
          </c:marker>
          <c:val>
            <c:numRef>
              <c:f>'11'!$AT$5:$AT$34</c:f>
              <c:numCache>
                <c:formatCode>0.000</c:formatCode>
                <c:ptCount val="19"/>
                <c:pt idx="0">
                  <c:v>0.44780458265691525</c:v>
                </c:pt>
                <c:pt idx="1">
                  <c:v>0.43301562693507134</c:v>
                </c:pt>
                <c:pt idx="2">
                  <c:v>0.42340958261067185</c:v>
                </c:pt>
                <c:pt idx="3">
                  <c:v>0.42844030729926186</c:v>
                </c:pt>
                <c:pt idx="4">
                  <c:v>0.44705988924508555</c:v>
                </c:pt>
                <c:pt idx="5">
                  <c:v>0.45172672744933806</c:v>
                </c:pt>
                <c:pt idx="6">
                  <c:v>0.46232821572107063</c:v>
                </c:pt>
                <c:pt idx="7">
                  <c:v>0.48738294963598849</c:v>
                </c:pt>
                <c:pt idx="8">
                  <c:v>0.50357121370456881</c:v>
                </c:pt>
                <c:pt idx="9">
                  <c:v>0.49054495517693048</c:v>
                </c:pt>
                <c:pt idx="10">
                  <c:v>0.48104437061629834</c:v>
                </c:pt>
                <c:pt idx="11">
                  <c:v>0.47966464196689351</c:v>
                </c:pt>
                <c:pt idx="12">
                  <c:v>0.4798713663978178</c:v>
                </c:pt>
                <c:pt idx="13">
                  <c:v>0.48615136049483088</c:v>
                </c:pt>
                <c:pt idx="14">
                  <c:v>0.4878403706788994</c:v>
                </c:pt>
                <c:pt idx="15">
                  <c:v>0.47679488956266264</c:v>
                </c:pt>
                <c:pt idx="16">
                  <c:v>0.47766802820173043</c:v>
                </c:pt>
                <c:pt idx="17">
                  <c:v>0.48422154380221771</c:v>
                </c:pt>
                <c:pt idx="18">
                  <c:v>0.49477781532887766</c:v>
                </c:pt>
              </c:numCache>
            </c:numRef>
          </c:val>
        </c:ser>
        <c:marker val="1"/>
        <c:axId val="135888256"/>
        <c:axId val="135914624"/>
      </c:lineChart>
      <c:catAx>
        <c:axId val="135888256"/>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5914624"/>
        <c:crosses val="autoZero"/>
        <c:auto val="1"/>
        <c:lblAlgn val="ctr"/>
        <c:lblOffset val="100"/>
        <c:tickLblSkip val="3"/>
        <c:tickMarkSkip val="1"/>
      </c:catAx>
      <c:valAx>
        <c:axId val="135914624"/>
        <c:scaling>
          <c:orientation val="minMax"/>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5888256"/>
        <c:crosses val="autoZero"/>
        <c:crossBetween val="midCat"/>
      </c:valAx>
      <c:spPr>
        <a:solidFill>
          <a:srgbClr val="FFFFFF"/>
        </a:solidFill>
        <a:ln w="3175">
          <a:solidFill>
            <a:srgbClr val="000000"/>
          </a:solidFill>
          <a:prstDash val="solid"/>
        </a:ln>
      </c:spPr>
    </c:plotArea>
    <c:legend>
      <c:legendPos val="r"/>
      <c:layout>
        <c:manualLayout>
          <c:xMode val="edge"/>
          <c:yMode val="edge"/>
          <c:x val="0.91120976692563749"/>
          <c:y val="0.49265905383360531"/>
          <c:w val="8.4350721420638694E-2"/>
          <c:h val="7.014681892332833E-2"/>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8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15: Overall Index of Economic Well-being, British Columbia vs. Canada</a:t>
            </a:r>
          </a:p>
        </c:rich>
      </c:tx>
      <c:layout>
        <c:manualLayout>
          <c:xMode val="edge"/>
          <c:yMode val="edge"/>
          <c:x val="0.20976692563817981"/>
          <c:y val="1.9575856443719643E-2"/>
        </c:manualLayout>
      </c:layout>
      <c:spPr>
        <a:noFill/>
        <a:ln w="25400">
          <a:noFill/>
        </a:ln>
      </c:spPr>
    </c:title>
    <c:plotArea>
      <c:layout>
        <c:manualLayout>
          <c:layoutTarget val="inner"/>
          <c:xMode val="edge"/>
          <c:yMode val="edge"/>
          <c:x val="4.1065482796892344E-2"/>
          <c:y val="0.12234910277324652"/>
          <c:w val="0.84239733629301672"/>
          <c:h val="0.81076672104404557"/>
        </c:manualLayout>
      </c:layout>
      <c:lineChart>
        <c:grouping val="standard"/>
        <c:ser>
          <c:idx val="1"/>
          <c:order val="0"/>
          <c:tx>
            <c:strRef>
              <c:f>'11'!$L$4</c:f>
              <c:strCache>
                <c:ptCount val="1"/>
                <c:pt idx="0">
                  <c:v>BC</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'11'!$BD$5:$BD$34</c:f>
              <c:numCache>
                <c:formatCode>0.000</c:formatCode>
                <c:ptCount val="19"/>
                <c:pt idx="0">
                  <c:v>0.48714717707506339</c:v>
                </c:pt>
                <c:pt idx="1">
                  <c:v>0.43388575616581077</c:v>
                </c:pt>
                <c:pt idx="2">
                  <c:v>0.4510615411191502</c:v>
                </c:pt>
                <c:pt idx="3">
                  <c:v>0.41658165521982549</c:v>
                </c:pt>
                <c:pt idx="4">
                  <c:v>0.40925802247346976</c:v>
                </c:pt>
                <c:pt idx="5">
                  <c:v>0.43963508283326436</c:v>
                </c:pt>
                <c:pt idx="6">
                  <c:v>0.44888413434419072</c:v>
                </c:pt>
                <c:pt idx="7">
                  <c:v>0.5095834601591841</c:v>
                </c:pt>
                <c:pt idx="8">
                  <c:v>0.52218174192939437</c:v>
                </c:pt>
                <c:pt idx="9">
                  <c:v>0.49559549931264402</c:v>
                </c:pt>
                <c:pt idx="10">
                  <c:v>0.52444377594262515</c:v>
                </c:pt>
                <c:pt idx="11">
                  <c:v>0.5091729388997468</c:v>
                </c:pt>
                <c:pt idx="12">
                  <c:v>0.5130124998629364</c:v>
                </c:pt>
                <c:pt idx="13">
                  <c:v>0.52177844146689401</c:v>
                </c:pt>
                <c:pt idx="14">
                  <c:v>0.52705893370228019</c:v>
                </c:pt>
                <c:pt idx="15">
                  <c:v>0.50818493895900785</c:v>
                </c:pt>
                <c:pt idx="16">
                  <c:v>0.50680707756286802</c:v>
                </c:pt>
                <c:pt idx="17">
                  <c:v>0.48871671710560183</c:v>
                </c:pt>
                <c:pt idx="18">
                  <c:v>0.4922604402640095</c:v>
                </c:pt>
              </c:numCache>
            </c:numRef>
          </c:val>
        </c:ser>
        <c:ser>
          <c:idx val="0"/>
          <c:order val="1"/>
          <c:tx>
            <c:strRef>
              <c:f>'11'!$AT$4</c:f>
              <c:strCache>
                <c:ptCount val="1"/>
                <c:pt idx="0">
                  <c:v>Canada</c:v>
                </c:pt>
              </c:strCache>
            </c:strRef>
          </c:tx>
          <c:spPr>
            <a:ln w="12700">
              <a:solidFill>
                <a:srgbClr val="000000"/>
              </a:solidFill>
              <a:prstDash val="solid"/>
            </a:ln>
          </c:spPr>
          <c:marker>
            <c:symbol val="none"/>
          </c:marker>
          <c:val>
            <c:numRef>
              <c:f>'11'!$AT$5:$AT$34</c:f>
              <c:numCache>
                <c:formatCode>0.000</c:formatCode>
                <c:ptCount val="19"/>
                <c:pt idx="0">
                  <c:v>0.44780458265691525</c:v>
                </c:pt>
                <c:pt idx="1">
                  <c:v>0.43301562693507134</c:v>
                </c:pt>
                <c:pt idx="2">
                  <c:v>0.42340958261067185</c:v>
                </c:pt>
                <c:pt idx="3">
                  <c:v>0.42844030729926186</c:v>
                </c:pt>
                <c:pt idx="4">
                  <c:v>0.44705988924508555</c:v>
                </c:pt>
                <c:pt idx="5">
                  <c:v>0.45172672744933806</c:v>
                </c:pt>
                <c:pt idx="6">
                  <c:v>0.46232821572107063</c:v>
                </c:pt>
                <c:pt idx="7">
                  <c:v>0.48738294963598849</c:v>
                </c:pt>
                <c:pt idx="8">
                  <c:v>0.50357121370456881</c:v>
                </c:pt>
                <c:pt idx="9">
                  <c:v>0.49054495517693048</c:v>
                </c:pt>
                <c:pt idx="10">
                  <c:v>0.48104437061629834</c:v>
                </c:pt>
                <c:pt idx="11">
                  <c:v>0.47966464196689351</c:v>
                </c:pt>
                <c:pt idx="12">
                  <c:v>0.4798713663978178</c:v>
                </c:pt>
                <c:pt idx="13">
                  <c:v>0.48615136049483088</c:v>
                </c:pt>
                <c:pt idx="14">
                  <c:v>0.4878403706788994</c:v>
                </c:pt>
                <c:pt idx="15">
                  <c:v>0.47679488956266264</c:v>
                </c:pt>
                <c:pt idx="16">
                  <c:v>0.47766802820173043</c:v>
                </c:pt>
                <c:pt idx="17">
                  <c:v>0.48422154380221771</c:v>
                </c:pt>
                <c:pt idx="18">
                  <c:v>0.49477781532887766</c:v>
                </c:pt>
              </c:numCache>
            </c:numRef>
          </c:val>
        </c:ser>
        <c:marker val="1"/>
        <c:axId val="135948160"/>
        <c:axId val="135949696"/>
      </c:lineChart>
      <c:catAx>
        <c:axId val="135948160"/>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5949696"/>
        <c:crosses val="autoZero"/>
        <c:auto val="1"/>
        <c:lblAlgn val="ctr"/>
        <c:lblOffset val="100"/>
        <c:tickLblSkip val="3"/>
        <c:tickMarkSkip val="1"/>
      </c:catAx>
      <c:valAx>
        <c:axId val="135949696"/>
        <c:scaling>
          <c:orientation val="minMax"/>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35948160"/>
        <c:crosses val="autoZero"/>
        <c:crossBetween val="midCat"/>
      </c:valAx>
      <c:spPr>
        <a:solidFill>
          <a:srgbClr val="FFFFFF"/>
        </a:solidFill>
        <a:ln w="3175">
          <a:solidFill>
            <a:srgbClr val="000000"/>
          </a:solidFill>
          <a:prstDash val="solid"/>
        </a:ln>
      </c:spPr>
    </c:plotArea>
    <c:legend>
      <c:legendPos val="r"/>
      <c:layout>
        <c:manualLayout>
          <c:xMode val="edge"/>
          <c:yMode val="edge"/>
          <c:x val="0.91120976692563749"/>
          <c:y val="0.49265905383360531"/>
          <c:w val="8.4350721420638694E-2"/>
          <c:h val="7.014681892332833E-2"/>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82.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6.3261068137407936E-2"/>
          <c:y val="2.2429332697049394E-2"/>
          <c:w val="0.92058621526934659"/>
          <c:h val="0.82072472759087334"/>
        </c:manualLayout>
      </c:layout>
      <c:lineChart>
        <c:grouping val="standard"/>
        <c:ser>
          <c:idx val="0"/>
          <c:order val="0"/>
          <c:tx>
            <c:v>Index of Total Per-capita Consumption Flows</c:v>
          </c:tx>
          <c:marker>
            <c:symbol val="x"/>
            <c:size val="5"/>
          </c:marker>
          <c:cat>
            <c:numRef>
              <c:f>'[1]10A'!$A$19:$A$47</c:f>
              <c:numCache>
                <c:formatCode>General</c:formatCode>
                <c:ptCount val="2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numCache>
            </c:numRef>
          </c:cat>
          <c:val>
            <c:numRef>
              <c:f>'[1]10A'!$B$19:$B$47</c:f>
              <c:numCache>
                <c:formatCode>General</c:formatCode>
                <c:ptCount val="29"/>
                <c:pt idx="0">
                  <c:v>0.25670944965986692</c:v>
                </c:pt>
                <c:pt idx="1">
                  <c:v>0.23740321719697308</c:v>
                </c:pt>
                <c:pt idx="2">
                  <c:v>0.24666456405466089</c:v>
                </c:pt>
                <c:pt idx="3">
                  <c:v>0.2653167774119215</c:v>
                </c:pt>
                <c:pt idx="4">
                  <c:v>0.29287965795122134</c:v>
                </c:pt>
                <c:pt idx="5">
                  <c:v>0.31446018809586973</c:v>
                </c:pt>
                <c:pt idx="6">
                  <c:v>0.33943258684995681</c:v>
                </c:pt>
                <c:pt idx="7">
                  <c:v>0.36853355942753036</c:v>
                </c:pt>
                <c:pt idx="8">
                  <c:v>0.39104379085287866</c:v>
                </c:pt>
                <c:pt idx="9">
                  <c:v>0.40416999735367098</c:v>
                </c:pt>
                <c:pt idx="10">
                  <c:v>0.40791989123499744</c:v>
                </c:pt>
                <c:pt idx="11">
                  <c:v>0.42979106562922342</c:v>
                </c:pt>
                <c:pt idx="12">
                  <c:v>0.43732889601713532</c:v>
                </c:pt>
                <c:pt idx="13">
                  <c:v>0.45334026529529864</c:v>
                </c:pt>
                <c:pt idx="14">
                  <c:v>0.46508482101486348</c:v>
                </c:pt>
                <c:pt idx="15">
                  <c:v>0.47901584094957567</c:v>
                </c:pt>
                <c:pt idx="16">
                  <c:v>0.50438678232947065</c:v>
                </c:pt>
                <c:pt idx="17">
                  <c:v>0.53241916705725856</c:v>
                </c:pt>
                <c:pt idx="18">
                  <c:v>0.55613044166189196</c:v>
                </c:pt>
                <c:pt idx="19">
                  <c:v>0.58378218980811425</c:v>
                </c:pt>
                <c:pt idx="20">
                  <c:v>0.60171906900890115</c:v>
                </c:pt>
                <c:pt idx="21">
                  <c:v>0.62047306038782513</c:v>
                </c:pt>
                <c:pt idx="22">
                  <c:v>0.64128296526044448</c:v>
                </c:pt>
                <c:pt idx="23">
                  <c:v>0.66237544087299693</c:v>
                </c:pt>
                <c:pt idx="24">
                  <c:v>0.68537958038447788</c:v>
                </c:pt>
                <c:pt idx="25">
                  <c:v>0.7210186879489191</c:v>
                </c:pt>
                <c:pt idx="26">
                  <c:v>0.75598864400813581</c:v>
                </c:pt>
                <c:pt idx="27">
                  <c:v>0.78169760314128534</c:v>
                </c:pt>
                <c:pt idx="28">
                  <c:v>0.80956961180104303</c:v>
                </c:pt>
              </c:numCache>
            </c:numRef>
          </c:val>
        </c:ser>
        <c:ser>
          <c:idx val="1"/>
          <c:order val="1"/>
          <c:tx>
            <c:v>Index of Total Per-capita Stocks of Wealth</c:v>
          </c:tx>
          <c:marker>
            <c:symbol val="circle"/>
            <c:size val="5"/>
          </c:marker>
          <c:cat>
            <c:numRef>
              <c:f>'[1]10A'!$A$19:$A$47</c:f>
              <c:numCache>
                <c:formatCode>General</c:formatCode>
                <c:ptCount val="2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numCache>
            </c:numRef>
          </c:cat>
          <c:val>
            <c:numRef>
              <c:f>'[1]10A'!$D$19:$D$47</c:f>
              <c:numCache>
                <c:formatCode>General</c:formatCode>
                <c:ptCount val="29"/>
                <c:pt idx="0">
                  <c:v>0.27621245976709657</c:v>
                </c:pt>
                <c:pt idx="1">
                  <c:v>0.27559401620932489</c:v>
                </c:pt>
                <c:pt idx="2">
                  <c:v>0.2863180168707819</c:v>
                </c:pt>
                <c:pt idx="3">
                  <c:v>0.28679592175873547</c:v>
                </c:pt>
                <c:pt idx="4">
                  <c:v>0.28189600629592609</c:v>
                </c:pt>
                <c:pt idx="5">
                  <c:v>0.26318046741132772</c:v>
                </c:pt>
                <c:pt idx="6">
                  <c:v>0.27141041290792556</c:v>
                </c:pt>
                <c:pt idx="7">
                  <c:v>0.28091778111162863</c:v>
                </c:pt>
                <c:pt idx="8">
                  <c:v>0.285620417874488</c:v>
                </c:pt>
                <c:pt idx="9">
                  <c:v>0.302715227244856</c:v>
                </c:pt>
                <c:pt idx="10">
                  <c:v>0.29399499384755789</c:v>
                </c:pt>
                <c:pt idx="11">
                  <c:v>0.29081349841545068</c:v>
                </c:pt>
                <c:pt idx="12">
                  <c:v>0.28939208537626904</c:v>
                </c:pt>
                <c:pt idx="13">
                  <c:v>0.2964233161083466</c:v>
                </c:pt>
                <c:pt idx="14">
                  <c:v>0.30695267898736356</c:v>
                </c:pt>
                <c:pt idx="15">
                  <c:v>0.31986049427032576</c:v>
                </c:pt>
                <c:pt idx="16">
                  <c:v>0.33234609520308367</c:v>
                </c:pt>
                <c:pt idx="17">
                  <c:v>0.33342755569938309</c:v>
                </c:pt>
                <c:pt idx="18">
                  <c:v>0.35477152583129279</c:v>
                </c:pt>
                <c:pt idx="19">
                  <c:v>0.38720080692459141</c:v>
                </c:pt>
                <c:pt idx="20">
                  <c:v>0.3869055243641723</c:v>
                </c:pt>
                <c:pt idx="21">
                  <c:v>0.3891397947770458</c:v>
                </c:pt>
                <c:pt idx="22">
                  <c:v>0.40282034555894741</c:v>
                </c:pt>
                <c:pt idx="23">
                  <c:v>0.42148515622323002</c:v>
                </c:pt>
                <c:pt idx="24">
                  <c:v>0.45179379889580945</c:v>
                </c:pt>
                <c:pt idx="25">
                  <c:v>0.4766513626648497</c:v>
                </c:pt>
                <c:pt idx="26">
                  <c:v>0.48309305114953816</c:v>
                </c:pt>
                <c:pt idx="27">
                  <c:v>0.51481591212258604</c:v>
                </c:pt>
                <c:pt idx="28">
                  <c:v>0.5297906170112241</c:v>
                </c:pt>
              </c:numCache>
            </c:numRef>
          </c:val>
        </c:ser>
        <c:ser>
          <c:idx val="2"/>
          <c:order val="2"/>
          <c:tx>
            <c:v>Index of Equality</c:v>
          </c:tx>
          <c:marker>
            <c:symbol val="square"/>
            <c:size val="5"/>
          </c:marker>
          <c:cat>
            <c:numRef>
              <c:f>'[1]10A'!$A$19:$A$47</c:f>
              <c:numCache>
                <c:formatCode>General</c:formatCode>
                <c:ptCount val="2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numCache>
            </c:numRef>
          </c:cat>
          <c:val>
            <c:numRef>
              <c:f>'[1]10A'!$F$19:$F$47</c:f>
              <c:numCache>
                <c:formatCode>General</c:formatCode>
                <c:ptCount val="29"/>
                <c:pt idx="0">
                  <c:v>0.54469146067546736</c:v>
                </c:pt>
                <c:pt idx="1">
                  <c:v>0.51693640159030863</c:v>
                </c:pt>
                <c:pt idx="2">
                  <c:v>0.42193516823383936</c:v>
                </c:pt>
                <c:pt idx="3">
                  <c:v>0.43870225637785498</c:v>
                </c:pt>
                <c:pt idx="4">
                  <c:v>0.48235518471361249</c:v>
                </c:pt>
                <c:pt idx="5">
                  <c:v>0.51002979275189742</c:v>
                </c:pt>
                <c:pt idx="6">
                  <c:v>0.51580076402779018</c:v>
                </c:pt>
                <c:pt idx="7">
                  <c:v>0.56180182926037636</c:v>
                </c:pt>
                <c:pt idx="8">
                  <c:v>0.60413115597439804</c:v>
                </c:pt>
                <c:pt idx="9">
                  <c:v>0.51006822233299076</c:v>
                </c:pt>
                <c:pt idx="10">
                  <c:v>0.42777562711554251</c:v>
                </c:pt>
                <c:pt idx="11">
                  <c:v>0.4330192290850241</c:v>
                </c:pt>
                <c:pt idx="12">
                  <c:v>0.39438851039997214</c:v>
                </c:pt>
                <c:pt idx="13">
                  <c:v>0.40880436906528628</c:v>
                </c:pt>
                <c:pt idx="14">
                  <c:v>0.38152171029381599</c:v>
                </c:pt>
                <c:pt idx="15">
                  <c:v>0.31137547206711985</c:v>
                </c:pt>
                <c:pt idx="16">
                  <c:v>0.28048039640379308</c:v>
                </c:pt>
                <c:pt idx="17">
                  <c:v>0.30885504696863875</c:v>
                </c:pt>
                <c:pt idx="18">
                  <c:v>0.32940709067285867</c:v>
                </c:pt>
                <c:pt idx="19">
                  <c:v>0.34627470967515028</c:v>
                </c:pt>
                <c:pt idx="20">
                  <c:v>0.39830238826230963</c:v>
                </c:pt>
                <c:pt idx="21">
                  <c:v>0.39979089153226083</c:v>
                </c:pt>
                <c:pt idx="22">
                  <c:v>0.40166818966131423</c:v>
                </c:pt>
                <c:pt idx="23">
                  <c:v>0.38755166853045275</c:v>
                </c:pt>
                <c:pt idx="24">
                  <c:v>0.39061766146097998</c:v>
                </c:pt>
                <c:pt idx="25">
                  <c:v>0.42661987292434217</c:v>
                </c:pt>
                <c:pt idx="26">
                  <c:v>0.46887805067503069</c:v>
                </c:pt>
                <c:pt idx="27">
                  <c:v>0.46887805067503069</c:v>
                </c:pt>
                <c:pt idx="28">
                  <c:v>0.46887805067503069</c:v>
                </c:pt>
              </c:numCache>
            </c:numRef>
          </c:val>
        </c:ser>
        <c:ser>
          <c:idx val="3"/>
          <c:order val="3"/>
          <c:tx>
            <c:v>Index of Security</c:v>
          </c:tx>
          <c:marker>
            <c:symbol val="diamond"/>
            <c:size val="5"/>
          </c:marker>
          <c:cat>
            <c:numRef>
              <c:f>'[1]10A'!$A$19:$A$47</c:f>
              <c:numCache>
                <c:formatCode>General</c:formatCode>
                <c:ptCount val="2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numCache>
            </c:numRef>
          </c:cat>
          <c:val>
            <c:numRef>
              <c:f>'[1]10A'!$G$19:$G$47</c:f>
              <c:numCache>
                <c:formatCode>General</c:formatCode>
                <c:ptCount val="29"/>
                <c:pt idx="0">
                  <c:v>0.65965773193210397</c:v>
                </c:pt>
                <c:pt idx="1">
                  <c:v>0.63232533333739294</c:v>
                </c:pt>
                <c:pt idx="2">
                  <c:v>0.61689709070295573</c:v>
                </c:pt>
                <c:pt idx="3">
                  <c:v>0.62833487526390774</c:v>
                </c:pt>
                <c:pt idx="4">
                  <c:v>0.634414786779125</c:v>
                </c:pt>
                <c:pt idx="5">
                  <c:v>0.62899553412741449</c:v>
                </c:pt>
                <c:pt idx="6">
                  <c:v>0.6222309970186517</c:v>
                </c:pt>
                <c:pt idx="7">
                  <c:v>0.65276566272757508</c:v>
                </c:pt>
                <c:pt idx="8">
                  <c:v>0.66572036122389455</c:v>
                </c:pt>
                <c:pt idx="9">
                  <c:v>0.65204217905998574</c:v>
                </c:pt>
                <c:pt idx="10">
                  <c:v>0.61866058592679063</c:v>
                </c:pt>
                <c:pt idx="11">
                  <c:v>0.60061314389692255</c:v>
                </c:pt>
                <c:pt idx="12">
                  <c:v>0.58962850811287759</c:v>
                </c:pt>
                <c:pt idx="13">
                  <c:v>0.58934840464705796</c:v>
                </c:pt>
                <c:pt idx="14">
                  <c:v>0.59584801998138859</c:v>
                </c:pt>
                <c:pt idx="15">
                  <c:v>0.58351686850069162</c:v>
                </c:pt>
                <c:pt idx="16">
                  <c:v>0.57210854394623956</c:v>
                </c:pt>
                <c:pt idx="17">
                  <c:v>0.57811019703310473</c:v>
                </c:pt>
                <c:pt idx="18">
                  <c:v>0.58110016984082358</c:v>
                </c:pt>
                <c:pt idx="19">
                  <c:v>0.58986561649107816</c:v>
                </c:pt>
                <c:pt idx="20">
                  <c:v>0.56706549497443592</c:v>
                </c:pt>
                <c:pt idx="21">
                  <c:v>0.53290321916932404</c:v>
                </c:pt>
                <c:pt idx="22">
                  <c:v>0.52941752587191804</c:v>
                </c:pt>
                <c:pt idx="23">
                  <c:v>0.54471587732492888</c:v>
                </c:pt>
                <c:pt idx="24">
                  <c:v>0.53907408601030515</c:v>
                </c:pt>
                <c:pt idx="25">
                  <c:v>0.55357402285635693</c:v>
                </c:pt>
                <c:pt idx="26">
                  <c:v>0.5581412074935368</c:v>
                </c:pt>
                <c:pt idx="27">
                  <c:v>0.55552132319189773</c:v>
                </c:pt>
                <c:pt idx="28">
                  <c:v>0.52953838304203926</c:v>
                </c:pt>
              </c:numCache>
            </c:numRef>
          </c:val>
        </c:ser>
        <c:marker val="1"/>
        <c:axId val="136038272"/>
        <c:axId val="136039808"/>
      </c:lineChart>
      <c:catAx>
        <c:axId val="136038272"/>
        <c:scaling>
          <c:orientation val="minMax"/>
        </c:scaling>
        <c:axPos val="b"/>
        <c:numFmt formatCode="General" sourceLinked="1"/>
        <c:majorTickMark val="none"/>
        <c:tickLblPos val="nextTo"/>
        <c:txPr>
          <a:bodyPr rot="-5400000" vert="horz"/>
          <a:lstStyle/>
          <a:p>
            <a:pPr>
              <a:defRPr lang="en-CA"/>
            </a:pPr>
            <a:endParaRPr lang="en-US"/>
          </a:p>
        </c:txPr>
        <c:crossAx val="136039808"/>
        <c:crosses val="autoZero"/>
        <c:auto val="1"/>
        <c:lblAlgn val="ctr"/>
        <c:lblOffset val="100"/>
      </c:catAx>
      <c:valAx>
        <c:axId val="136039808"/>
        <c:scaling>
          <c:orientation val="minMax"/>
        </c:scaling>
        <c:axPos val="l"/>
        <c:majorGridlines/>
        <c:numFmt formatCode="General" sourceLinked="1"/>
        <c:majorTickMark val="none"/>
        <c:tickLblPos val="nextTo"/>
        <c:txPr>
          <a:bodyPr/>
          <a:lstStyle/>
          <a:p>
            <a:pPr>
              <a:defRPr lang="en-CA"/>
            </a:pPr>
            <a:endParaRPr lang="en-US"/>
          </a:p>
        </c:txPr>
        <c:crossAx val="136038272"/>
        <c:crosses val="autoZero"/>
        <c:crossBetween val="between"/>
      </c:valAx>
    </c:plotArea>
    <c:legend>
      <c:legendPos val="b"/>
      <c:layout>
        <c:manualLayout>
          <c:xMode val="edge"/>
          <c:yMode val="edge"/>
          <c:x val="0.56395007342144121"/>
          <c:y val="0.67660017497813096"/>
          <c:w val="0.40513950073421434"/>
          <c:h val="0.1456220472440945"/>
        </c:manualLayout>
      </c:layout>
      <c:spPr>
        <a:solidFill>
          <a:schemeClr val="bg1"/>
        </a:solidFill>
        <a:ln>
          <a:solidFill>
            <a:schemeClr val="tx1"/>
          </a:solidFill>
        </a:ln>
      </c:spPr>
      <c:txPr>
        <a:bodyPr/>
        <a:lstStyle/>
        <a:p>
          <a:pPr>
            <a:defRPr lang="en-CA"/>
          </a:pPr>
          <a:endParaRPr lang="en-US"/>
        </a:p>
      </c:txPr>
    </c:legend>
    <c:plotVisOnly val="1"/>
    <c:dispBlanksAs val="gap"/>
  </c:chart>
  <c:userShapes r:id="rId1"/>
</c:chartSpace>
</file>

<file path=xl/charts/chart83.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1966885389326334"/>
          <c:y val="5.1400554097404488E-2"/>
          <c:w val="0.84626312335958065"/>
          <c:h val="0.53726851851851865"/>
        </c:manualLayout>
      </c:layout>
      <c:barChart>
        <c:barDir val="col"/>
        <c:grouping val="clustered"/>
        <c:ser>
          <c:idx val="0"/>
          <c:order val="0"/>
          <c:tx>
            <c:v>1981</c:v>
          </c:tx>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('[2]9'!$B$19,'[2]9'!$W$19,'[2]9'!$AH$19,'[2]9'!$AP$19,'[2]9'!$AX$19,'[2]9'!$BF$19,'[2]9'!$BN$19,'[2]9'!$BV$19,'[2]9'!$CD$19,'[2]9'!$CL$19,'[2]9'!$CT$19)</c:f>
              <c:numCache>
                <c:formatCode>General</c:formatCode>
                <c:ptCount val="11"/>
                <c:pt idx="0">
                  <c:v>0.27078562954425206</c:v>
                </c:pt>
                <c:pt idx="1">
                  <c:v>8.3333333333333343E-2</c:v>
                </c:pt>
                <c:pt idx="2">
                  <c:v>0.19871757000817478</c:v>
                </c:pt>
                <c:pt idx="3">
                  <c:v>0.23468308257160744</c:v>
                </c:pt>
                <c:pt idx="4">
                  <c:v>9.7236701123749769E-2</c:v>
                </c:pt>
                <c:pt idx="5">
                  <c:v>0.19143669414468906</c:v>
                </c:pt>
                <c:pt idx="6">
                  <c:v>0.28370110865484038</c:v>
                </c:pt>
                <c:pt idx="7">
                  <c:v>0.21776021263526801</c:v>
                </c:pt>
                <c:pt idx="8">
                  <c:v>0.24433241637815054</c:v>
                </c:pt>
                <c:pt idx="9">
                  <c:v>0.41144984252679173</c:v>
                </c:pt>
                <c:pt idx="10">
                  <c:v>0.37667041370289539</c:v>
                </c:pt>
              </c:numCache>
            </c:numRef>
          </c:val>
        </c:ser>
        <c:ser>
          <c:idx val="1"/>
          <c:order val="1"/>
          <c:tx>
            <c:v>2008</c:v>
          </c:tx>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('[2]9'!$B$46,'[2]9'!$W$46,'[2]9'!$AH$46,'[2]9'!$AP$46,'[2]9'!$AX$46,'[2]9'!$BF$46,'[2]9'!$BN$46,'[2]9'!$BV$46,'[2]9'!$CD$46,'[2]9'!$CL$46,'[2]9'!$CT$46)</c:f>
              <c:numCache>
                <c:formatCode>General</c:formatCode>
                <c:ptCount val="11"/>
                <c:pt idx="0">
                  <c:v>0.83731839475495085</c:v>
                </c:pt>
                <c:pt idx="1">
                  <c:v>0.72697275968811426</c:v>
                </c:pt>
                <c:pt idx="2">
                  <c:v>0.73343062020266059</c:v>
                </c:pt>
                <c:pt idx="3">
                  <c:v>0.85415178537111203</c:v>
                </c:pt>
                <c:pt idx="4">
                  <c:v>0.71886555132036334</c:v>
                </c:pt>
                <c:pt idx="5">
                  <c:v>0.76078788107376183</c:v>
                </c:pt>
                <c:pt idx="6">
                  <c:v>0.87696272508913009</c:v>
                </c:pt>
                <c:pt idx="7">
                  <c:v>0.76796666736274355</c:v>
                </c:pt>
                <c:pt idx="8">
                  <c:v>0.73124697131814664</c:v>
                </c:pt>
                <c:pt idx="9">
                  <c:v>0.91666666666666652</c:v>
                </c:pt>
                <c:pt idx="10">
                  <c:v>0.90944869639451198</c:v>
                </c:pt>
              </c:numCache>
            </c:numRef>
          </c:val>
        </c:ser>
        <c:axId val="135729152"/>
        <c:axId val="135730688"/>
      </c:barChart>
      <c:catAx>
        <c:axId val="135729152"/>
        <c:scaling>
          <c:orientation val="minMax"/>
        </c:scaling>
        <c:axPos val="b"/>
        <c:numFmt formatCode="General" sourceLinked="1"/>
        <c:tickLblPos val="nextTo"/>
        <c:txPr>
          <a:bodyPr/>
          <a:lstStyle/>
          <a:p>
            <a:pPr>
              <a:defRPr lang="en-CA"/>
            </a:pPr>
            <a:endParaRPr lang="en-US"/>
          </a:p>
        </c:txPr>
        <c:crossAx val="135730688"/>
        <c:crosses val="autoZero"/>
        <c:auto val="1"/>
        <c:lblAlgn val="ctr"/>
        <c:lblOffset val="100"/>
      </c:catAx>
      <c:valAx>
        <c:axId val="135730688"/>
        <c:scaling>
          <c:orientation val="minMax"/>
        </c:scaling>
        <c:axPos val="l"/>
        <c:majorGridlines/>
        <c:numFmt formatCode="0.0" sourceLinked="0"/>
        <c:tickLblPos val="nextTo"/>
        <c:txPr>
          <a:bodyPr/>
          <a:lstStyle/>
          <a:p>
            <a:pPr>
              <a:defRPr lang="en-CA"/>
            </a:pPr>
            <a:endParaRPr lang="en-US"/>
          </a:p>
        </c:txPr>
        <c:crossAx val="135729152"/>
        <c:crosses val="autoZero"/>
        <c:crossBetween val="between"/>
      </c:valAx>
    </c:plotArea>
    <c:legend>
      <c:legendPos val="r"/>
      <c:layout>
        <c:manualLayout>
          <c:xMode val="edge"/>
          <c:yMode val="edge"/>
          <c:x val="2.1262439368223848E-2"/>
          <c:y val="0.80054217103459091"/>
          <c:w val="8.7784424473442743E-2"/>
          <c:h val="0.14394358914091068"/>
        </c:manualLayout>
      </c:layout>
      <c:txPr>
        <a:bodyPr/>
        <a:lstStyle/>
        <a:p>
          <a:pPr>
            <a:defRPr lang="en-CA"/>
          </a:pPr>
          <a:endParaRPr lang="en-US"/>
        </a:p>
      </c:txPr>
    </c:legend>
    <c:plotVisOnly val="1"/>
    <c:dispBlanksAs val="gap"/>
  </c:chart>
  <c:spPr>
    <a:ln>
      <a:noFill/>
    </a:ln>
  </c:spPr>
  <c:printSettings>
    <c:headerFooter/>
    <c:pageMargins b="0.75000000000000488" l="0.70000000000000062" r="0.70000000000000062" t="0.75000000000000488"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1966885389326334"/>
          <c:y val="5.1400554097404488E-2"/>
          <c:w val="0.84626312335958065"/>
          <c:h val="0.53726851851851865"/>
        </c:manualLayout>
      </c:layout>
      <c:barChart>
        <c:barDir val="col"/>
        <c:grouping val="clustered"/>
        <c:ser>
          <c:idx val="0"/>
          <c:order val="0"/>
          <c:tx>
            <c:v>1981</c:v>
          </c:tx>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('[2]9'!$E$19,'[2]9'!$Y$19,'[2]9'!$AJ$19,'[2]9'!$AR$19,'[2]9'!$AZ$19,'[2]9'!$BH$19,'[2]9'!$BP$19,'[2]9'!$BX$19,'[2]9'!$CF$19,'[2]9'!$CN$19,'[2]9'!$CV$19)</c:f>
              <c:numCache>
                <c:formatCode>General</c:formatCode>
                <c:ptCount val="11"/>
                <c:pt idx="0">
                  <c:v>0.29266674413317117</c:v>
                </c:pt>
                <c:pt idx="1">
                  <c:v>0.17228492699687872</c:v>
                </c:pt>
                <c:pt idx="2">
                  <c:v>8.3333333333333343E-2</c:v>
                </c:pt>
                <c:pt idx="3">
                  <c:v>0.14610743428789677</c:v>
                </c:pt>
                <c:pt idx="4">
                  <c:v>0.17031304246845391</c:v>
                </c:pt>
                <c:pt idx="5">
                  <c:v>0.22477349107068445</c:v>
                </c:pt>
                <c:pt idx="6">
                  <c:v>0.22957424085523451</c:v>
                </c:pt>
                <c:pt idx="7">
                  <c:v>0.27879690837166698</c:v>
                </c:pt>
                <c:pt idx="8">
                  <c:v>0.3637096982373188</c:v>
                </c:pt>
                <c:pt idx="9">
                  <c:v>0.69563826717393062</c:v>
                </c:pt>
                <c:pt idx="10">
                  <c:v>0.36345115296265545</c:v>
                </c:pt>
              </c:numCache>
            </c:numRef>
          </c:val>
        </c:ser>
        <c:ser>
          <c:idx val="1"/>
          <c:order val="1"/>
          <c:tx>
            <c:v>2008</c:v>
          </c:tx>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('[2]9'!$E$46,'[2]9'!$Y$46,'[2]9'!$AJ$46,'[2]9'!$AR$46,'[2]9'!$AZ$46,'[2]9'!$BH$46,'[2]9'!$BP$46,'[2]9'!$BX$46,'[2]9'!$CF$46,'[2]9'!$CN$46,'[2]9'!$CV$46)</c:f>
              <c:numCache>
                <c:formatCode>General</c:formatCode>
                <c:ptCount val="11"/>
                <c:pt idx="0">
                  <c:v>0.5670817014186218</c:v>
                </c:pt>
                <c:pt idx="1">
                  <c:v>0.73685727629859266</c:v>
                </c:pt>
                <c:pt idx="2">
                  <c:v>0.30521876813147253</c:v>
                </c:pt>
                <c:pt idx="3">
                  <c:v>0.34892148557707442</c:v>
                </c:pt>
                <c:pt idx="4">
                  <c:v>0.41233666219602932</c:v>
                </c:pt>
                <c:pt idx="5">
                  <c:v>0.44668498636679732</c:v>
                </c:pt>
                <c:pt idx="6">
                  <c:v>0.43200225149775556</c:v>
                </c:pt>
                <c:pt idx="7">
                  <c:v>0.44076754224727954</c:v>
                </c:pt>
                <c:pt idx="8">
                  <c:v>0.62696174156616535</c:v>
                </c:pt>
                <c:pt idx="9">
                  <c:v>0.89433585728750975</c:v>
                </c:pt>
                <c:pt idx="10">
                  <c:v>0.57885479467199785</c:v>
                </c:pt>
              </c:numCache>
            </c:numRef>
          </c:val>
        </c:ser>
        <c:axId val="135742976"/>
        <c:axId val="135744512"/>
      </c:barChart>
      <c:catAx>
        <c:axId val="135742976"/>
        <c:scaling>
          <c:orientation val="minMax"/>
        </c:scaling>
        <c:axPos val="b"/>
        <c:numFmt formatCode="General" sourceLinked="1"/>
        <c:tickLblPos val="nextTo"/>
        <c:txPr>
          <a:bodyPr/>
          <a:lstStyle/>
          <a:p>
            <a:pPr>
              <a:defRPr lang="en-CA"/>
            </a:pPr>
            <a:endParaRPr lang="en-US"/>
          </a:p>
        </c:txPr>
        <c:crossAx val="135744512"/>
        <c:crosses val="autoZero"/>
        <c:auto val="1"/>
        <c:lblAlgn val="ctr"/>
        <c:lblOffset val="100"/>
      </c:catAx>
      <c:valAx>
        <c:axId val="135744512"/>
        <c:scaling>
          <c:orientation val="minMax"/>
        </c:scaling>
        <c:axPos val="l"/>
        <c:majorGridlines/>
        <c:numFmt formatCode="0.0" sourceLinked="0"/>
        <c:tickLblPos val="nextTo"/>
        <c:txPr>
          <a:bodyPr/>
          <a:lstStyle/>
          <a:p>
            <a:pPr>
              <a:defRPr lang="en-CA"/>
            </a:pPr>
            <a:endParaRPr lang="en-US"/>
          </a:p>
        </c:txPr>
        <c:crossAx val="135742976"/>
        <c:crosses val="autoZero"/>
        <c:crossBetween val="between"/>
      </c:valAx>
    </c:plotArea>
    <c:legend>
      <c:legendPos val="r"/>
      <c:layout>
        <c:manualLayout>
          <c:xMode val="edge"/>
          <c:yMode val="edge"/>
          <c:x val="2.1262403175212857E-2"/>
          <c:y val="0.80054203898669951"/>
          <c:w val="8.9524358235709103E-2"/>
          <c:h val="0.14351529092571291"/>
        </c:manualLayout>
      </c:layout>
      <c:txPr>
        <a:bodyPr/>
        <a:lstStyle/>
        <a:p>
          <a:pPr>
            <a:defRPr lang="en-CA"/>
          </a:pPr>
          <a:endParaRPr lang="en-US"/>
        </a:p>
      </c:txPr>
    </c:legend>
    <c:plotVisOnly val="1"/>
    <c:dispBlanksAs val="gap"/>
  </c:chart>
  <c:spPr>
    <a:ln>
      <a:noFill/>
    </a:ln>
  </c:spPr>
  <c:printSettings>
    <c:headerFooter/>
    <c:pageMargins b="0.75000000000000511" l="0.70000000000000062" r="0.70000000000000062" t="0.75000000000000511"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1966885389326334"/>
          <c:y val="5.1400554097404488E-2"/>
          <c:w val="0.84626312335958065"/>
          <c:h val="0.53726851851851865"/>
        </c:manualLayout>
      </c:layout>
      <c:barChart>
        <c:barDir val="col"/>
        <c:grouping val="clustered"/>
        <c:ser>
          <c:idx val="0"/>
          <c:order val="0"/>
          <c:tx>
            <c:v>1981</c:v>
          </c:tx>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('[2]9'!$H$19,'[2]9'!$AA$19,'[2]9'!$AL$19,'[2]9'!$AT$19,'[2]9'!$BB$19,'[2]9'!$BJ$19,'[2]9'!$BR$19,'[2]9'!$BZ$19,'[2]9'!$CH$19,'[2]9'!$CP$19,'[2]9'!$CX$19)</c:f>
              <c:numCache>
                <c:formatCode>General</c:formatCode>
                <c:ptCount val="11"/>
                <c:pt idx="0">
                  <c:v>0.54469146067546992</c:v>
                </c:pt>
                <c:pt idx="1">
                  <c:v>0.7538708216660146</c:v>
                </c:pt>
                <c:pt idx="2">
                  <c:v>0.76370726263821276</c:v>
                </c:pt>
                <c:pt idx="3">
                  <c:v>0.67396393859406223</c:v>
                </c:pt>
                <c:pt idx="4">
                  <c:v>0.60461580665999093</c:v>
                </c:pt>
                <c:pt idx="5">
                  <c:v>0.43734200511971977</c:v>
                </c:pt>
                <c:pt idx="6">
                  <c:v>0.62884423369951026</c:v>
                </c:pt>
                <c:pt idx="7">
                  <c:v>0.37528444973860875</c:v>
                </c:pt>
                <c:pt idx="8">
                  <c:v>0.52825657416758398</c:v>
                </c:pt>
                <c:pt idx="9">
                  <c:v>0.62852825888523867</c:v>
                </c:pt>
                <c:pt idx="10">
                  <c:v>0.47859129589945848</c:v>
                </c:pt>
              </c:numCache>
            </c:numRef>
          </c:val>
        </c:ser>
        <c:ser>
          <c:idx val="1"/>
          <c:order val="1"/>
          <c:tx>
            <c:v>2008</c:v>
          </c:tx>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('[2]9'!$H$46,'[2]9'!$AA$46,'[2]9'!$AL$46,'[2]9'!$AT$46,'[2]9'!$BB$46,'[2]9'!$BJ$46,'[2]9'!$BR$46,'[2]9'!$BZ$46,'[2]9'!$CH$46,'[2]9'!$CP$46,'[2]9'!$CX$46)</c:f>
              <c:numCache>
                <c:formatCode>General</c:formatCode>
                <c:ptCount val="11"/>
                <c:pt idx="0">
                  <c:v>0.4688780506750308</c:v>
                </c:pt>
                <c:pt idx="1">
                  <c:v>0.71396314251673043</c:v>
                </c:pt>
                <c:pt idx="2">
                  <c:v>0.83880718711334012</c:v>
                </c:pt>
                <c:pt idx="3">
                  <c:v>0.59940646605539738</c:v>
                </c:pt>
                <c:pt idx="4">
                  <c:v>0.67327958872843274</c:v>
                </c:pt>
                <c:pt idx="5">
                  <c:v>0.4170084111928174</c:v>
                </c:pt>
                <c:pt idx="6">
                  <c:v>0.50627414539928139</c:v>
                </c:pt>
                <c:pt idx="7">
                  <c:v>0.50012309210792649</c:v>
                </c:pt>
                <c:pt idx="8">
                  <c:v>0.57645837231085462</c:v>
                </c:pt>
                <c:pt idx="9">
                  <c:v>0.58309577586873551</c:v>
                </c:pt>
                <c:pt idx="10">
                  <c:v>0.33225486615760869</c:v>
                </c:pt>
              </c:numCache>
            </c:numRef>
          </c:val>
        </c:ser>
        <c:axId val="135842816"/>
        <c:axId val="135848704"/>
      </c:barChart>
      <c:catAx>
        <c:axId val="135842816"/>
        <c:scaling>
          <c:orientation val="minMax"/>
        </c:scaling>
        <c:axPos val="b"/>
        <c:numFmt formatCode="General" sourceLinked="1"/>
        <c:tickLblPos val="nextTo"/>
        <c:txPr>
          <a:bodyPr/>
          <a:lstStyle/>
          <a:p>
            <a:pPr>
              <a:defRPr lang="en-CA"/>
            </a:pPr>
            <a:endParaRPr lang="en-US"/>
          </a:p>
        </c:txPr>
        <c:crossAx val="135848704"/>
        <c:crosses val="autoZero"/>
        <c:auto val="1"/>
        <c:lblAlgn val="ctr"/>
        <c:lblOffset val="100"/>
      </c:catAx>
      <c:valAx>
        <c:axId val="135848704"/>
        <c:scaling>
          <c:orientation val="minMax"/>
        </c:scaling>
        <c:axPos val="l"/>
        <c:majorGridlines/>
        <c:numFmt formatCode="0.0" sourceLinked="0"/>
        <c:tickLblPos val="nextTo"/>
        <c:txPr>
          <a:bodyPr/>
          <a:lstStyle/>
          <a:p>
            <a:pPr>
              <a:defRPr lang="en-CA"/>
            </a:pPr>
            <a:endParaRPr lang="en-US"/>
          </a:p>
        </c:txPr>
        <c:crossAx val="135842816"/>
        <c:crosses val="autoZero"/>
        <c:crossBetween val="between"/>
      </c:valAx>
    </c:plotArea>
    <c:legend>
      <c:legendPos val="r"/>
      <c:layout>
        <c:manualLayout>
          <c:xMode val="edge"/>
          <c:yMode val="edge"/>
          <c:x val="2.1262316032485476E-2"/>
          <c:y val="0.80054208716868169"/>
          <c:w val="8.9524306843844437E-2"/>
          <c:h val="0.14351528594137125"/>
        </c:manualLayout>
      </c:layout>
      <c:txPr>
        <a:bodyPr/>
        <a:lstStyle/>
        <a:p>
          <a:pPr>
            <a:defRPr lang="en-CA"/>
          </a:pPr>
          <a:endParaRPr lang="en-US"/>
        </a:p>
      </c:txPr>
    </c:legend>
    <c:plotVisOnly val="1"/>
    <c:dispBlanksAs val="gap"/>
  </c:chart>
  <c:spPr>
    <a:ln>
      <a:noFill/>
    </a:ln>
  </c:spPr>
  <c:printSettings>
    <c:headerFooter/>
    <c:pageMargins b="0.75000000000000533" l="0.70000000000000062" r="0.70000000000000062" t="0.75000000000000533"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1966885389326334"/>
          <c:y val="5.1400554097404488E-2"/>
          <c:w val="0.84626312335958065"/>
          <c:h val="0.53726851851851865"/>
        </c:manualLayout>
      </c:layout>
      <c:barChart>
        <c:barDir val="col"/>
        <c:grouping val="clustered"/>
        <c:ser>
          <c:idx val="0"/>
          <c:order val="0"/>
          <c:tx>
            <c:v>1981</c:v>
          </c:tx>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('[2]9'!$J$19,'[2]9'!$AB$19,'[2]9'!$AM$19,'[2]9'!$AU$19,'[2]9'!$BC$19,'[2]9'!$BK$19,'[2]9'!$BS$19,'[2]9'!$CA$19,'[2]9'!$CI$19,'[2]9'!$CQ$19,'[2]9'!$CY$19)</c:f>
              <c:numCache>
                <c:formatCode>General</c:formatCode>
                <c:ptCount val="11"/>
                <c:pt idx="0">
                  <c:v>0.64678102255727776</c:v>
                </c:pt>
                <c:pt idx="1">
                  <c:v>0.48447886927512518</c:v>
                </c:pt>
                <c:pt idx="2">
                  <c:v>0.52863707336779164</c:v>
                </c:pt>
                <c:pt idx="3">
                  <c:v>0.66254593886903734</c:v>
                </c:pt>
                <c:pt idx="4">
                  <c:v>0.61102507256572247</c:v>
                </c:pt>
                <c:pt idx="5">
                  <c:v>0.55962172572918456</c:v>
                </c:pt>
                <c:pt idx="6">
                  <c:v>0.68269364236298125</c:v>
                </c:pt>
                <c:pt idx="7">
                  <c:v>0.61280941820107326</c:v>
                </c:pt>
                <c:pt idx="8">
                  <c:v>0.7858541635139501</c:v>
                </c:pt>
                <c:pt idx="9">
                  <c:v>0.71528684592254688</c:v>
                </c:pt>
                <c:pt idx="10">
                  <c:v>0.61961031134406064</c:v>
                </c:pt>
              </c:numCache>
            </c:numRef>
          </c:val>
        </c:ser>
        <c:ser>
          <c:idx val="1"/>
          <c:order val="1"/>
          <c:tx>
            <c:v>2008</c:v>
          </c:tx>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('[2]9'!$J$46,'[2]9'!$AB$46,'[2]9'!$AM$46,'[2]9'!$AU$46,'[2]9'!$BC$46,'[2]9'!$BK$46,'[2]9'!$BS$46,'[2]9'!$CA$46,'[2]9'!$CI$46,'[2]9'!$CQ$46,'[2]9'!$CY$46)</c:f>
              <c:numCache>
                <c:formatCode>General</c:formatCode>
                <c:ptCount val="11"/>
                <c:pt idx="0">
                  <c:v>0.5479009756357297</c:v>
                </c:pt>
                <c:pt idx="1">
                  <c:v>0.58766682813519378</c:v>
                </c:pt>
                <c:pt idx="2">
                  <c:v>0.51878806087677931</c:v>
                </c:pt>
                <c:pt idx="3">
                  <c:v>0.54837045327643463</c:v>
                </c:pt>
                <c:pt idx="4">
                  <c:v>0.48313566135167302</c:v>
                </c:pt>
                <c:pt idx="5">
                  <c:v>0.54069922124834879</c:v>
                </c:pt>
                <c:pt idx="6">
                  <c:v>0.51129007112433211</c:v>
                </c:pt>
                <c:pt idx="7">
                  <c:v>0.58646686138251636</c:v>
                </c:pt>
                <c:pt idx="8">
                  <c:v>0.66254188470928665</c:v>
                </c:pt>
                <c:pt idx="9">
                  <c:v>0.69678586916353225</c:v>
                </c:pt>
                <c:pt idx="10">
                  <c:v>0.55876953785161443</c:v>
                </c:pt>
              </c:numCache>
            </c:numRef>
          </c:val>
        </c:ser>
        <c:axId val="136389376"/>
        <c:axId val="136390912"/>
      </c:barChart>
      <c:catAx>
        <c:axId val="136389376"/>
        <c:scaling>
          <c:orientation val="minMax"/>
        </c:scaling>
        <c:axPos val="b"/>
        <c:numFmt formatCode="General" sourceLinked="1"/>
        <c:tickLblPos val="nextTo"/>
        <c:txPr>
          <a:bodyPr/>
          <a:lstStyle/>
          <a:p>
            <a:pPr>
              <a:defRPr lang="en-CA"/>
            </a:pPr>
            <a:endParaRPr lang="en-US"/>
          </a:p>
        </c:txPr>
        <c:crossAx val="136390912"/>
        <c:crosses val="autoZero"/>
        <c:auto val="1"/>
        <c:lblAlgn val="ctr"/>
        <c:lblOffset val="100"/>
      </c:catAx>
      <c:valAx>
        <c:axId val="136390912"/>
        <c:scaling>
          <c:orientation val="minMax"/>
        </c:scaling>
        <c:axPos val="l"/>
        <c:majorGridlines/>
        <c:numFmt formatCode="0.0" sourceLinked="0"/>
        <c:tickLblPos val="nextTo"/>
        <c:txPr>
          <a:bodyPr/>
          <a:lstStyle/>
          <a:p>
            <a:pPr>
              <a:defRPr lang="en-CA"/>
            </a:pPr>
            <a:endParaRPr lang="en-US"/>
          </a:p>
        </c:txPr>
        <c:crossAx val="136389376"/>
        <c:crosses val="autoZero"/>
        <c:crossBetween val="between"/>
      </c:valAx>
    </c:plotArea>
    <c:legend>
      <c:legendPos val="r"/>
      <c:layout>
        <c:manualLayout>
          <c:xMode val="edge"/>
          <c:yMode val="edge"/>
          <c:x val="2.1262316032485476E-2"/>
          <c:y val="0.80054208716868169"/>
          <c:w val="8.9524306843844437E-2"/>
          <c:h val="0.14351528594137125"/>
        </c:manualLayout>
      </c:layout>
      <c:txPr>
        <a:bodyPr/>
        <a:lstStyle/>
        <a:p>
          <a:pPr>
            <a:defRPr lang="en-CA"/>
          </a:pPr>
          <a:endParaRPr lang="en-US"/>
        </a:p>
      </c:txPr>
    </c:legend>
    <c:plotVisOnly val="1"/>
    <c:dispBlanksAs val="gap"/>
  </c:chart>
  <c:spPr>
    <a:ln>
      <a:noFill/>
    </a:ln>
  </c:spPr>
  <c:printSettings>
    <c:headerFooter/>
    <c:pageMargins b="0.75000000000000555" l="0.70000000000000062" r="0.70000000000000062" t="0.7500000000000055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9.1502187226596671E-2"/>
          <c:y val="5.1400554097404488E-2"/>
          <c:w val="0.89077690288713851"/>
          <c:h val="0.53726851851851865"/>
        </c:manualLayout>
      </c:layout>
      <c:barChart>
        <c:barDir val="col"/>
        <c:grouping val="clustered"/>
        <c:ser>
          <c:idx val="0"/>
          <c:order val="0"/>
          <c:tx>
            <c:strRef>
              <c:f>'C1a'!$A$27</c:f>
              <c:strCache>
                <c:ptCount val="1"/>
                <c:pt idx="0">
                  <c:v>Index of Economic Well-being</c:v>
                </c:pt>
              </c:strCache>
            </c:strRef>
          </c:tx>
          <c:spPr>
            <a:solidFill>
              <a:schemeClr val="tx1"/>
            </a:solidFill>
          </c:spPr>
          <c:cat>
            <c:strRef>
              <c:f>'C1a'!$B$26:$L$26</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'C1a'!$B$27:$L$27</c:f>
              <c:numCache>
                <c:formatCode>General</c:formatCode>
                <c:ptCount val="11"/>
                <c:pt idx="0">
                  <c:v>1.3410148335240457</c:v>
                </c:pt>
                <c:pt idx="1">
                  <c:v>2.2200000000000002</c:v>
                </c:pt>
                <c:pt idx="2">
                  <c:v>1.74</c:v>
                </c:pt>
                <c:pt idx="3">
                  <c:v>1.29</c:v>
                </c:pt>
                <c:pt idx="4">
                  <c:v>1.99</c:v>
                </c:pt>
                <c:pt idx="5">
                  <c:v>1.95</c:v>
                </c:pt>
                <c:pt idx="6">
                  <c:v>1</c:v>
                </c:pt>
                <c:pt idx="7">
                  <c:v>1.77</c:v>
                </c:pt>
                <c:pt idx="8">
                  <c:v>1.36</c:v>
                </c:pt>
                <c:pt idx="9">
                  <c:v>1.07</c:v>
                </c:pt>
                <c:pt idx="10">
                  <c:v>1.1399999999999999</c:v>
                </c:pt>
              </c:numCache>
            </c:numRef>
          </c:val>
        </c:ser>
        <c:ser>
          <c:idx val="1"/>
          <c:order val="1"/>
          <c:tx>
            <c:strRef>
              <c:f>'C1a'!$A$28</c:f>
              <c:strCache>
                <c:ptCount val="1"/>
                <c:pt idx="0">
                  <c:v>Per-capita GDP</c:v>
                </c:pt>
              </c:strCache>
            </c:strRef>
          </c:tx>
          <c:val>
            <c:numRef>
              <c:f>'C1a'!$B$28:$L$28</c:f>
              <c:numCache>
                <c:formatCode>General</c:formatCode>
                <c:ptCount val="11"/>
                <c:pt idx="0">
                  <c:v>1.5623344546885187</c:v>
                </c:pt>
                <c:pt idx="1">
                  <c:v>3.2271089021235877</c:v>
                </c:pt>
                <c:pt idx="2">
                  <c:v>2.0667920338117707</c:v>
                </c:pt>
                <c:pt idx="3">
                  <c:v>1.9124978871920328</c:v>
                </c:pt>
                <c:pt idx="4">
                  <c:v>2.2670804283991597</c:v>
                </c:pt>
                <c:pt idx="5">
                  <c:v>1.4016280649084223</c:v>
                </c:pt>
                <c:pt idx="6">
                  <c:v>1.3593276218480277</c:v>
                </c:pt>
                <c:pt idx="7">
                  <c:v>2.1012778761403172</c:v>
                </c:pt>
                <c:pt idx="8">
                  <c:v>1.986208068973716</c:v>
                </c:pt>
                <c:pt idx="9">
                  <c:v>0.70530399558761392</c:v>
                </c:pt>
                <c:pt idx="10">
                  <c:v>0.85534437329999324</c:v>
                </c:pt>
              </c:numCache>
            </c:numRef>
          </c:val>
        </c:ser>
        <c:axId val="136427776"/>
        <c:axId val="136441856"/>
      </c:barChart>
      <c:catAx>
        <c:axId val="136427776"/>
        <c:scaling>
          <c:orientation val="minMax"/>
        </c:scaling>
        <c:axPos val="b"/>
        <c:tickLblPos val="nextTo"/>
        <c:txPr>
          <a:bodyPr/>
          <a:lstStyle/>
          <a:p>
            <a:pPr>
              <a:defRPr lang="en-CA"/>
            </a:pPr>
            <a:endParaRPr lang="en-US"/>
          </a:p>
        </c:txPr>
        <c:crossAx val="136441856"/>
        <c:crosses val="autoZero"/>
        <c:auto val="1"/>
        <c:lblAlgn val="ctr"/>
        <c:lblOffset val="100"/>
      </c:catAx>
      <c:valAx>
        <c:axId val="136441856"/>
        <c:scaling>
          <c:orientation val="minMax"/>
        </c:scaling>
        <c:axPos val="l"/>
        <c:majorGridlines/>
        <c:title>
          <c:tx>
            <c:rich>
              <a:bodyPr rot="-5400000" vert="horz"/>
              <a:lstStyle/>
              <a:p>
                <a:pPr>
                  <a:defRPr lang="en-CA" b="0"/>
                </a:pPr>
                <a:r>
                  <a:rPr lang="en-US" b="0"/>
                  <a:t>Growth</a:t>
                </a:r>
                <a:r>
                  <a:rPr lang="en-US" b="0" baseline="0"/>
                  <a:t> Rate (per cent per year)</a:t>
                </a:r>
                <a:endParaRPr lang="en-US" b="0"/>
              </a:p>
            </c:rich>
          </c:tx>
        </c:title>
        <c:numFmt formatCode="General" sourceLinked="1"/>
        <c:tickLblPos val="nextTo"/>
        <c:txPr>
          <a:bodyPr/>
          <a:lstStyle/>
          <a:p>
            <a:pPr>
              <a:defRPr lang="en-CA"/>
            </a:pPr>
            <a:endParaRPr lang="en-US"/>
          </a:p>
        </c:txPr>
        <c:crossAx val="136427776"/>
        <c:crosses val="autoZero"/>
        <c:crossBetween val="between"/>
      </c:valAx>
    </c:plotArea>
    <c:legend>
      <c:legendPos val="r"/>
      <c:layout>
        <c:manualLayout>
          <c:xMode val="edge"/>
          <c:yMode val="edge"/>
          <c:x val="0.54235161474381555"/>
          <c:y val="5.4787785673132333E-2"/>
          <c:w val="0.43438757655293564"/>
          <c:h val="0.12190580344123797"/>
        </c:manualLayout>
      </c:layout>
      <c:spPr>
        <a:solidFill>
          <a:schemeClr val="bg1"/>
        </a:solidFill>
        <a:ln>
          <a:solidFill>
            <a:sysClr val="windowText" lastClr="000000"/>
          </a:solidFill>
        </a:ln>
      </c:spPr>
      <c:txPr>
        <a:bodyPr/>
        <a:lstStyle/>
        <a:p>
          <a:pPr>
            <a:defRPr lang="en-CA"/>
          </a:pPr>
          <a:endParaRPr lang="en-US"/>
        </a:p>
      </c:txPr>
    </c:legend>
    <c:plotVisOnly val="1"/>
  </c:chart>
  <c:spPr>
    <a:ln>
      <a:noFill/>
    </a:ln>
  </c:spPr>
  <c:printSettings>
    <c:headerFooter/>
    <c:pageMargins b="0.75000000000000211" l="0.70000000000000062" r="0.70000000000000062" t="0.75000000000000211" header="0.30000000000000032" footer="0.30000000000000032"/>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8.0617495711835727E-2"/>
          <c:y val="3.7533512064343438E-2"/>
          <c:w val="0.8919382504288198"/>
          <c:h val="0.78552278820375043"/>
        </c:manualLayout>
      </c:layout>
      <c:lineChart>
        <c:grouping val="standard"/>
        <c:ser>
          <c:idx val="0"/>
          <c:order val="0"/>
          <c:tx>
            <c:strRef>
              <c:f>'C9-b'!$B$1</c:f>
              <c:strCache>
                <c:ptCount val="1"/>
                <c:pt idx="0">
                  <c:v>Share of Personal Consumption per Capita</c:v>
                </c:pt>
              </c:strCache>
            </c:strRef>
          </c:tx>
          <c:marker>
            <c:symbol val="none"/>
          </c:marker>
          <c:cat>
            <c:numRef>
              <c:f>'C9-b'!$A$3:$A$29</c:f>
              <c:numCache>
                <c:formatCode>General</c:formatCode>
                <c:ptCount val="27"/>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numCache>
            </c:numRef>
          </c:cat>
          <c:val>
            <c:numRef>
              <c:f>'C9-b'!$B$3:$B$29</c:f>
              <c:numCache>
                <c:formatCode>General</c:formatCode>
                <c:ptCount val="27"/>
                <c:pt idx="0">
                  <c:v>55.287497390065177</c:v>
                </c:pt>
                <c:pt idx="1">
                  <c:v>55.620760432878704</c:v>
                </c:pt>
                <c:pt idx="2">
                  <c:v>56.199569086924519</c:v>
                </c:pt>
                <c:pt idx="3">
                  <c:v>56.606471417917703</c:v>
                </c:pt>
                <c:pt idx="4">
                  <c:v>56.778661182072923</c:v>
                </c:pt>
                <c:pt idx="5">
                  <c:v>56.676332107379338</c:v>
                </c:pt>
                <c:pt idx="6">
                  <c:v>56.488176273556498</c:v>
                </c:pt>
                <c:pt idx="7">
                  <c:v>56.039994182510014</c:v>
                </c:pt>
                <c:pt idx="8">
                  <c:v>55.128139993495893</c:v>
                </c:pt>
                <c:pt idx="9">
                  <c:v>53.494668323309988</c:v>
                </c:pt>
                <c:pt idx="10">
                  <c:v>52.551258554100308</c:v>
                </c:pt>
                <c:pt idx="11">
                  <c:v>52.486986033765028</c:v>
                </c:pt>
                <c:pt idx="12">
                  <c:v>52.671931811528147</c:v>
                </c:pt>
                <c:pt idx="13">
                  <c:v>52.61081422211015</c:v>
                </c:pt>
                <c:pt idx="14">
                  <c:v>52.629879167681622</c:v>
                </c:pt>
                <c:pt idx="15">
                  <c:v>53.082878404320667</c:v>
                </c:pt>
                <c:pt idx="16">
                  <c:v>52.673987193205548</c:v>
                </c:pt>
                <c:pt idx="17">
                  <c:v>53.070400162836926</c:v>
                </c:pt>
                <c:pt idx="18">
                  <c:v>53.365667251578586</c:v>
                </c:pt>
                <c:pt idx="19">
                  <c:v>53.20346704069415</c:v>
                </c:pt>
                <c:pt idx="20">
                  <c:v>53.703606006465257</c:v>
                </c:pt>
                <c:pt idx="21">
                  <c:v>53.855171450234295</c:v>
                </c:pt>
                <c:pt idx="22">
                  <c:v>54.168519742399191</c:v>
                </c:pt>
                <c:pt idx="23">
                  <c:v>54.656531290254925</c:v>
                </c:pt>
                <c:pt idx="24">
                  <c:v>54.963036796208556</c:v>
                </c:pt>
                <c:pt idx="25">
                  <c:v>55.412011585484592</c:v>
                </c:pt>
                <c:pt idx="26">
                  <c:v>55.799245715621325</c:v>
                </c:pt>
              </c:numCache>
            </c:numRef>
          </c:val>
        </c:ser>
        <c:ser>
          <c:idx val="1"/>
          <c:order val="1"/>
          <c:tx>
            <c:strRef>
              <c:f>'C9-b'!$C$1</c:f>
              <c:strCache>
                <c:ptCount val="1"/>
                <c:pt idx="0">
                  <c:v>Share of Government Expenditure per Capita</c:v>
                </c:pt>
              </c:strCache>
            </c:strRef>
          </c:tx>
          <c:marker>
            <c:symbol val="none"/>
          </c:marker>
          <c:cat>
            <c:numRef>
              <c:f>'C9-b'!$A$3:$A$29</c:f>
              <c:numCache>
                <c:formatCode>General</c:formatCode>
                <c:ptCount val="27"/>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numCache>
            </c:numRef>
          </c:cat>
          <c:val>
            <c:numRef>
              <c:f>'C9-b'!$C$3:$C$29</c:f>
              <c:numCache>
                <c:formatCode>General</c:formatCode>
                <c:ptCount val="27"/>
                <c:pt idx="0">
                  <c:v>23.71304604041201</c:v>
                </c:pt>
                <c:pt idx="1">
                  <c:v>23.511316614396161</c:v>
                </c:pt>
                <c:pt idx="2">
                  <c:v>23.061114676132192</c:v>
                </c:pt>
                <c:pt idx="3">
                  <c:v>23.19303041223688</c:v>
                </c:pt>
                <c:pt idx="4">
                  <c:v>22.798609801395479</c:v>
                </c:pt>
                <c:pt idx="5">
                  <c:v>22.190810877060557</c:v>
                </c:pt>
                <c:pt idx="6">
                  <c:v>22.208742969783373</c:v>
                </c:pt>
                <c:pt idx="7">
                  <c:v>22.029984872939366</c:v>
                </c:pt>
                <c:pt idx="8">
                  <c:v>22.302379551905968</c:v>
                </c:pt>
                <c:pt idx="9">
                  <c:v>22.775811262023684</c:v>
                </c:pt>
                <c:pt idx="10">
                  <c:v>22.235104965456348</c:v>
                </c:pt>
                <c:pt idx="11">
                  <c:v>21.758464271377413</c:v>
                </c:pt>
                <c:pt idx="12">
                  <c:v>20.991491834097776</c:v>
                </c:pt>
                <c:pt idx="13">
                  <c:v>20.293048460302916</c:v>
                </c:pt>
                <c:pt idx="14">
                  <c:v>19.469279750694753</c:v>
                </c:pt>
                <c:pt idx="15">
                  <c:v>18.50576072669563</c:v>
                </c:pt>
                <c:pt idx="16">
                  <c:v>18.395748757254641</c:v>
                </c:pt>
                <c:pt idx="17">
                  <c:v>18.501673657256845</c:v>
                </c:pt>
                <c:pt idx="18">
                  <c:v>18.530466334195552</c:v>
                </c:pt>
                <c:pt idx="19">
                  <c:v>18.957600658970744</c:v>
                </c:pt>
                <c:pt idx="20">
                  <c:v>18.930520707779198</c:v>
                </c:pt>
                <c:pt idx="21">
                  <c:v>19.144503141477571</c:v>
                </c:pt>
                <c:pt idx="22">
                  <c:v>19.094926332836607</c:v>
                </c:pt>
                <c:pt idx="23">
                  <c:v>19.071729858942209</c:v>
                </c:pt>
                <c:pt idx="24">
                  <c:v>19.122974824351825</c:v>
                </c:pt>
                <c:pt idx="25">
                  <c:v>19.183556147473798</c:v>
                </c:pt>
                <c:pt idx="26">
                  <c:v>19.153896792354818</c:v>
                </c:pt>
              </c:numCache>
            </c:numRef>
          </c:val>
        </c:ser>
        <c:ser>
          <c:idx val="2"/>
          <c:order val="2"/>
          <c:tx>
            <c:strRef>
              <c:f>'C9-b'!$D$1</c:f>
              <c:strCache>
                <c:ptCount val="1"/>
                <c:pt idx="0">
                  <c:v>Share of Unpaid Work per Capita</c:v>
                </c:pt>
              </c:strCache>
            </c:strRef>
          </c:tx>
          <c:marker>
            <c:symbol val="none"/>
          </c:marker>
          <c:cat>
            <c:numRef>
              <c:f>'C9-b'!$A$3:$A$29</c:f>
              <c:numCache>
                <c:formatCode>General</c:formatCode>
                <c:ptCount val="27"/>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numCache>
            </c:numRef>
          </c:cat>
          <c:val>
            <c:numRef>
              <c:f>'C9-b'!$D$3:$D$29</c:f>
              <c:numCache>
                <c:formatCode>General</c:formatCode>
                <c:ptCount val="27"/>
                <c:pt idx="0">
                  <c:v>27.469197760493323</c:v>
                </c:pt>
                <c:pt idx="1">
                  <c:v>27.3635505122502</c:v>
                </c:pt>
                <c:pt idx="2">
                  <c:v>27.343449871249909</c:v>
                </c:pt>
                <c:pt idx="3">
                  <c:v>27.136963871063134</c:v>
                </c:pt>
                <c:pt idx="4">
                  <c:v>27.090496031050815</c:v>
                </c:pt>
                <c:pt idx="5">
                  <c:v>27.351571441242367</c:v>
                </c:pt>
                <c:pt idx="6">
                  <c:v>27.642947414759121</c:v>
                </c:pt>
                <c:pt idx="7">
                  <c:v>27.731927343641892</c:v>
                </c:pt>
                <c:pt idx="8">
                  <c:v>28.266405738318394</c:v>
                </c:pt>
                <c:pt idx="9">
                  <c:v>28.963775250198225</c:v>
                </c:pt>
                <c:pt idx="10">
                  <c:v>30.326416592495519</c:v>
                </c:pt>
                <c:pt idx="11">
                  <c:v>31.112589205046881</c:v>
                </c:pt>
                <c:pt idx="12">
                  <c:v>31.64497633188974</c:v>
                </c:pt>
                <c:pt idx="13">
                  <c:v>32.353868444225149</c:v>
                </c:pt>
                <c:pt idx="14">
                  <c:v>33.007587722888672</c:v>
                </c:pt>
                <c:pt idx="15">
                  <c:v>33.32283161461293</c:v>
                </c:pt>
                <c:pt idx="16">
                  <c:v>33.631763053333209</c:v>
                </c:pt>
                <c:pt idx="17">
                  <c:v>33.037394879761777</c:v>
                </c:pt>
                <c:pt idx="18">
                  <c:v>32.369294765953754</c:v>
                </c:pt>
                <c:pt idx="19">
                  <c:v>32.012072400431357</c:v>
                </c:pt>
                <c:pt idx="20">
                  <c:v>31.643716619197264</c:v>
                </c:pt>
                <c:pt idx="21">
                  <c:v>31.22348581445906</c:v>
                </c:pt>
                <c:pt idx="22">
                  <c:v>30.828290361506109</c:v>
                </c:pt>
                <c:pt idx="23">
                  <c:v>30.423301571425466</c:v>
                </c:pt>
                <c:pt idx="24">
                  <c:v>29.721895936873533</c:v>
                </c:pt>
                <c:pt idx="25">
                  <c:v>29.042250470168739</c:v>
                </c:pt>
                <c:pt idx="26">
                  <c:v>28.57397943497843</c:v>
                </c:pt>
              </c:numCache>
            </c:numRef>
          </c:val>
        </c:ser>
        <c:ser>
          <c:idx val="3"/>
          <c:order val="3"/>
          <c:tx>
            <c:strRef>
              <c:f>'C9-b'!$E$1</c:f>
              <c:strCache>
                <c:ptCount val="1"/>
                <c:pt idx="0">
                  <c:v>Share of Regrettable Expenditure per Capita</c:v>
                </c:pt>
              </c:strCache>
            </c:strRef>
          </c:tx>
          <c:marker>
            <c:symbol val="none"/>
          </c:marker>
          <c:cat>
            <c:numRef>
              <c:f>'C9-b'!$A$3:$A$29</c:f>
              <c:numCache>
                <c:formatCode>General</c:formatCode>
                <c:ptCount val="27"/>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numCache>
            </c:numRef>
          </c:cat>
          <c:val>
            <c:numRef>
              <c:f>'C9-b'!$E$3:$E$29</c:f>
              <c:numCache>
                <c:formatCode>General</c:formatCode>
                <c:ptCount val="27"/>
                <c:pt idx="0">
                  <c:v>6.5647177128497187</c:v>
                </c:pt>
                <c:pt idx="1">
                  <c:v>6.7199938208903038</c:v>
                </c:pt>
                <c:pt idx="2">
                  <c:v>6.9649745991640755</c:v>
                </c:pt>
                <c:pt idx="3">
                  <c:v>7.0292190088135618</c:v>
                </c:pt>
                <c:pt idx="4">
                  <c:v>6.8211195045404791</c:v>
                </c:pt>
                <c:pt idx="5">
                  <c:v>6.575924202293006</c:v>
                </c:pt>
                <c:pt idx="6">
                  <c:v>6.5227767425444085</c:v>
                </c:pt>
                <c:pt idx="7">
                  <c:v>6.3386332988454281</c:v>
                </c:pt>
                <c:pt idx="8">
                  <c:v>6.4517339316996702</c:v>
                </c:pt>
                <c:pt idx="9">
                  <c:v>6.2262914030765542</c:v>
                </c:pt>
                <c:pt idx="10">
                  <c:v>6.2435038479938187</c:v>
                </c:pt>
                <c:pt idx="11">
                  <c:v>6.3542691494802419</c:v>
                </c:pt>
                <c:pt idx="12">
                  <c:v>6.4032321844854554</c:v>
                </c:pt>
                <c:pt idx="13">
                  <c:v>6.4530004943155514</c:v>
                </c:pt>
                <c:pt idx="14">
                  <c:v>6.4947052955315234</c:v>
                </c:pt>
                <c:pt idx="15">
                  <c:v>6.4738916683349244</c:v>
                </c:pt>
                <c:pt idx="16">
                  <c:v>6.4567978991096151</c:v>
                </c:pt>
                <c:pt idx="17">
                  <c:v>6.4766687022714482</c:v>
                </c:pt>
                <c:pt idx="18">
                  <c:v>6.4743251415837397</c:v>
                </c:pt>
                <c:pt idx="19">
                  <c:v>6.5277134573845732</c:v>
                </c:pt>
                <c:pt idx="20">
                  <c:v>6.5844304998306402</c:v>
                </c:pt>
                <c:pt idx="21">
                  <c:v>6.6481001572394574</c:v>
                </c:pt>
                <c:pt idx="22">
                  <c:v>6.7158116943375132</c:v>
                </c:pt>
                <c:pt idx="23">
                  <c:v>6.7809771928185301</c:v>
                </c:pt>
                <c:pt idx="24">
                  <c:v>6.7802213379146119</c:v>
                </c:pt>
                <c:pt idx="25">
                  <c:v>6.7904958952860044</c:v>
                </c:pt>
                <c:pt idx="26">
                  <c:v>6.8536847785190842</c:v>
                </c:pt>
              </c:numCache>
            </c:numRef>
          </c:val>
        </c:ser>
        <c:marker val="1"/>
        <c:axId val="136521984"/>
        <c:axId val="136531968"/>
      </c:lineChart>
      <c:catAx>
        <c:axId val="136521984"/>
        <c:scaling>
          <c:orientation val="minMax"/>
        </c:scaling>
        <c:axPos val="b"/>
        <c:numFmt formatCode="General" sourceLinked="1"/>
        <c:tickLblPos val="nextTo"/>
        <c:txPr>
          <a:bodyPr/>
          <a:lstStyle/>
          <a:p>
            <a:pPr>
              <a:defRPr lang="en-CA"/>
            </a:pPr>
            <a:endParaRPr lang="en-US"/>
          </a:p>
        </c:txPr>
        <c:crossAx val="136531968"/>
        <c:crosses val="autoZero"/>
        <c:auto val="1"/>
        <c:lblAlgn val="ctr"/>
        <c:lblOffset val="100"/>
      </c:catAx>
      <c:valAx>
        <c:axId val="136531968"/>
        <c:scaling>
          <c:orientation val="minMax"/>
          <c:max val="100"/>
        </c:scaling>
        <c:axPos val="l"/>
        <c:majorGridlines/>
        <c:title>
          <c:tx>
            <c:rich>
              <a:bodyPr rot="-5400000" vert="horz"/>
              <a:lstStyle/>
              <a:p>
                <a:pPr>
                  <a:defRPr lang="en-CA" b="0"/>
                </a:pPr>
                <a:r>
                  <a:rPr lang="en-US" b="0"/>
                  <a:t>Share (per cent)</a:t>
                </a:r>
              </a:p>
            </c:rich>
          </c:tx>
        </c:title>
        <c:numFmt formatCode="General" sourceLinked="1"/>
        <c:tickLblPos val="nextTo"/>
        <c:txPr>
          <a:bodyPr/>
          <a:lstStyle/>
          <a:p>
            <a:pPr>
              <a:defRPr lang="en-CA"/>
            </a:pPr>
            <a:endParaRPr lang="en-US"/>
          </a:p>
        </c:txPr>
        <c:crossAx val="136521984"/>
        <c:crosses val="autoZero"/>
        <c:crossBetween val="between"/>
      </c:valAx>
    </c:plotArea>
    <c:legend>
      <c:legendPos val="r"/>
      <c:layout>
        <c:manualLayout>
          <c:xMode val="edge"/>
          <c:yMode val="edge"/>
          <c:x val="9.9725467421204278E-2"/>
          <c:y val="5.1986799237227037E-2"/>
          <c:w val="0.51834199970286443"/>
          <c:h val="0.17752746054196442"/>
        </c:manualLayout>
      </c:layout>
      <c:spPr>
        <a:solidFill>
          <a:schemeClr val="bg1"/>
        </a:solidFill>
      </c:spPr>
      <c:txPr>
        <a:bodyPr/>
        <a:lstStyle/>
        <a:p>
          <a:pPr>
            <a:defRPr lang="en-CA"/>
          </a:pPr>
          <a:endParaRPr lang="en-US"/>
        </a:p>
      </c:txPr>
    </c:legend>
    <c:plotVisOnly val="1"/>
    <c:dispBlanksAs val="gap"/>
  </c:chart>
  <c:spPr>
    <a:ln>
      <a:noFill/>
    </a:ln>
  </c:spPr>
  <c:printSettings>
    <c:headerFooter/>
    <c:pageMargins b="0.75000000000000522" l="0.70000000000000062" r="0.70000000000000062" t="0.75000000000000522" header="0.30000000000000032" footer="0.30000000000000032"/>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6546762589928071"/>
          <c:y val="4.0816326530612519E-2"/>
          <c:w val="0.7032374100719424"/>
          <c:h val="0.60932944606414419"/>
        </c:manualLayout>
      </c:layout>
      <c:barChart>
        <c:barDir val="col"/>
        <c:grouping val="clustered"/>
        <c:ser>
          <c:idx val="0"/>
          <c:order val="0"/>
          <c:tx>
            <c:v>1981</c:v>
          </c:tx>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('[2]1'!$I$19,'[2]1'!$T$19,'[2]1'!$AE$19,'[2]1'!$AP$19,'[2]1'!$BA$19,'[2]1'!$BL$19,'[2]1'!$BW$19,'[2]1'!$CH$19,'[2]1'!$CS$19,'[2]1'!$DD$19,'[2]1'!$DO$19)</c:f>
              <c:numCache>
                <c:formatCode>General</c:formatCode>
                <c:ptCount val="11"/>
                <c:pt idx="0">
                  <c:v>26544.414111916678</c:v>
                </c:pt>
                <c:pt idx="1">
                  <c:v>20635.085640164769</c:v>
                </c:pt>
                <c:pt idx="2">
                  <c:v>24272.508967360529</c:v>
                </c:pt>
                <c:pt idx="3">
                  <c:v>25406.301573203596</c:v>
                </c:pt>
                <c:pt idx="4">
                  <c:v>21073.381509555998</c:v>
                </c:pt>
                <c:pt idx="5">
                  <c:v>24042.983440551423</c:v>
                </c:pt>
                <c:pt idx="6">
                  <c:v>26951.567344911193</c:v>
                </c:pt>
                <c:pt idx="7">
                  <c:v>24872.81759269238</c:v>
                </c:pt>
                <c:pt idx="8">
                  <c:v>25710.491407892445</c:v>
                </c:pt>
                <c:pt idx="9">
                  <c:v>30978.774509396244</c:v>
                </c:pt>
                <c:pt idx="10">
                  <c:v>29882.372528013842</c:v>
                </c:pt>
              </c:numCache>
            </c:numRef>
          </c:val>
        </c:ser>
        <c:ser>
          <c:idx val="1"/>
          <c:order val="1"/>
          <c:tx>
            <c:v>2008</c:v>
          </c:tx>
          <c:val>
            <c:numRef>
              <c:f>('[2]1'!$I$46,'[2]1'!$T$46,'[2]1'!$AE$46,'[2]1'!$AP$46,'[2]1'!$BA$46,'[2]1'!$BL$46,'[2]1'!$BW$46,'[2]1'!$CH$46,'[2]1'!$CS$46,'[2]1'!$DD$46,'[2]1'!$DO$46)</c:f>
              <c:numCache>
                <c:formatCode>General</c:formatCode>
                <c:ptCount val="11"/>
                <c:pt idx="0">
                  <c:v>44404.041693501647</c:v>
                </c:pt>
                <c:pt idx="1">
                  <c:v>40925.457455193166</c:v>
                </c:pt>
                <c:pt idx="2">
                  <c:v>41129.037884863064</c:v>
                </c:pt>
                <c:pt idx="3">
                  <c:v>44934.704888644708</c:v>
                </c:pt>
                <c:pt idx="4">
                  <c:v>40669.882259784215</c:v>
                </c:pt>
                <c:pt idx="5">
                  <c:v>41991.460185589858</c:v>
                </c:pt>
                <c:pt idx="6">
                  <c:v>45653.806965641561</c:v>
                </c:pt>
                <c:pt idx="7">
                  <c:v>42217.767395838004</c:v>
                </c:pt>
                <c:pt idx="8">
                  <c:v>41060.19957887051</c:v>
                </c:pt>
                <c:pt idx="9">
                  <c:v>46905.451448784712</c:v>
                </c:pt>
                <c:pt idx="10">
                  <c:v>46677.908985450311</c:v>
                </c:pt>
              </c:numCache>
            </c:numRef>
          </c:val>
        </c:ser>
        <c:axId val="136573696"/>
        <c:axId val="136575232"/>
      </c:barChart>
      <c:catAx>
        <c:axId val="136573696"/>
        <c:scaling>
          <c:orientation val="minMax"/>
        </c:scaling>
        <c:axPos val="b"/>
        <c:numFmt formatCode="General" sourceLinked="1"/>
        <c:tickLblPos val="nextTo"/>
        <c:txPr>
          <a:bodyPr/>
          <a:lstStyle/>
          <a:p>
            <a:pPr>
              <a:defRPr lang="en-CA"/>
            </a:pPr>
            <a:endParaRPr lang="en-US"/>
          </a:p>
        </c:txPr>
        <c:crossAx val="136575232"/>
        <c:crosses val="autoZero"/>
        <c:auto val="1"/>
        <c:lblAlgn val="ctr"/>
        <c:lblOffset val="100"/>
      </c:catAx>
      <c:valAx>
        <c:axId val="136575232"/>
        <c:scaling>
          <c:orientation val="minMax"/>
        </c:scaling>
        <c:axPos val="l"/>
        <c:majorGridlines/>
        <c:title>
          <c:tx>
            <c:rich>
              <a:bodyPr rot="-5400000" vert="horz"/>
              <a:lstStyle/>
              <a:p>
                <a:pPr>
                  <a:defRPr lang="en-CA" b="0"/>
                </a:pPr>
                <a:r>
                  <a:rPr lang="en-US" b="0"/>
                  <a:t>Consumption, 2002$</a:t>
                </a:r>
              </a:p>
            </c:rich>
          </c:tx>
        </c:title>
        <c:numFmt formatCode="General" sourceLinked="1"/>
        <c:tickLblPos val="nextTo"/>
        <c:txPr>
          <a:bodyPr/>
          <a:lstStyle/>
          <a:p>
            <a:pPr>
              <a:defRPr lang="en-CA"/>
            </a:pPr>
            <a:endParaRPr lang="en-US"/>
          </a:p>
        </c:txPr>
        <c:crossAx val="136573696"/>
        <c:crosses val="autoZero"/>
        <c:crossBetween val="between"/>
      </c:valAx>
    </c:plotArea>
    <c:legend>
      <c:legendPos val="r"/>
      <c:txPr>
        <a:bodyPr/>
        <a:lstStyle/>
        <a:p>
          <a:pPr>
            <a:defRPr lang="en-CA"/>
          </a:pPr>
          <a:endParaRPr lang="en-US"/>
        </a:p>
      </c:txPr>
    </c:legend>
    <c:plotVisOnly val="1"/>
    <c:dispBlanksAs val="gap"/>
  </c:chart>
  <c:spPr>
    <a:ln>
      <a:noFill/>
    </a:ln>
  </c:spPr>
  <c:printSettings>
    <c:headerFooter/>
    <c:pageMargins b="0.75000000000000522" l="0.70000000000000062" r="0.70000000000000062" t="0.75000000000000522"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en-US" sz="1200" b="1" i="0" u="none" strike="noStrike" baseline="0">
                <a:solidFill>
                  <a:srgbClr val="000000"/>
                </a:solidFill>
                <a:latin typeface="Times New Roman"/>
                <a:ea typeface="Times New Roman"/>
                <a:cs typeface="Times New Roman"/>
              </a:defRPr>
            </a:pPr>
            <a:r>
              <a:t>Chart 8: Overall Index of Economic Well-being, Nova Scotia vs. Canada</a:t>
            </a:r>
          </a:p>
        </c:rich>
      </c:tx>
      <c:layout>
        <c:manualLayout>
          <c:xMode val="edge"/>
          <c:yMode val="edge"/>
          <c:x val="0.23196448390677293"/>
          <c:y val="1.9575856443719643E-2"/>
        </c:manualLayout>
      </c:layout>
      <c:spPr>
        <a:noFill/>
        <a:ln w="25400">
          <a:noFill/>
        </a:ln>
      </c:spPr>
    </c:title>
    <c:plotArea>
      <c:layout>
        <c:manualLayout>
          <c:layoutTarget val="inner"/>
          <c:xMode val="edge"/>
          <c:yMode val="edge"/>
          <c:x val="4.1065482796892344E-2"/>
          <c:y val="0.12234910277324652"/>
          <c:w val="0.84239733629301672"/>
          <c:h val="0.81076672104404557"/>
        </c:manualLayout>
      </c:layout>
      <c:lineChart>
        <c:grouping val="standard"/>
        <c:ser>
          <c:idx val="1"/>
          <c:order val="0"/>
          <c:tx>
            <c:strRef>
              <c:f>'11'!$E$4</c:f>
              <c:strCache>
                <c:ptCount val="1"/>
                <c:pt idx="0">
                  <c:v>NS</c:v>
                </c:pt>
              </c:strCache>
            </c:strRef>
          </c:tx>
          <c:spPr>
            <a:ln w="12700">
              <a:solidFill>
                <a:srgbClr val="969696"/>
              </a:solidFill>
              <a:prstDash val="solid"/>
            </a:ln>
          </c:spPr>
          <c:marker>
            <c:symbol val="square"/>
            <c:size val="3"/>
            <c:spPr>
              <a:solidFill>
                <a:srgbClr val="969696"/>
              </a:solidFill>
              <a:ln>
                <a:solidFill>
                  <a:srgbClr val="969696"/>
                </a:solidFill>
                <a:prstDash val="solid"/>
              </a:ln>
            </c:spPr>
          </c:marker>
          <c:cat>
            <c:numRef>
              <c:f>'a29'!$A$8:$A$37</c:f>
              <c:numCache>
                <c:formatCode>General</c:formatCode>
                <c:ptCount val="1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numCache>
            </c:numRef>
          </c:cat>
          <c:val>
            <c:numRef>
              <c:f>'11'!$AW$5:$AW$34</c:f>
              <c:numCache>
                <c:formatCode>0.000</c:formatCode>
                <c:ptCount val="19"/>
                <c:pt idx="0">
                  <c:v>0.38080016714420584</c:v>
                </c:pt>
                <c:pt idx="1">
                  <c:v>0.38216591999241573</c:v>
                </c:pt>
                <c:pt idx="2">
                  <c:v>0.38924355996785065</c:v>
                </c:pt>
                <c:pt idx="3">
                  <c:v>0.3917244242177329</c:v>
                </c:pt>
                <c:pt idx="4">
                  <c:v>0.39541727754183831</c:v>
                </c:pt>
                <c:pt idx="5">
                  <c:v>0.39321152229900869</c:v>
                </c:pt>
                <c:pt idx="6">
                  <c:v>0.42180760205839757</c:v>
                </c:pt>
                <c:pt idx="7">
                  <c:v>0.45548130432178591</c:v>
                </c:pt>
                <c:pt idx="8">
                  <c:v>0.4557900269846985</c:v>
                </c:pt>
                <c:pt idx="9">
                  <c:v>0.47229130781295481</c:v>
                </c:pt>
                <c:pt idx="10">
                  <c:v>0.46413717160320112</c:v>
                </c:pt>
                <c:pt idx="11">
                  <c:v>0.46213621970955721</c:v>
                </c:pt>
                <c:pt idx="12">
                  <c:v>0.45570929881332423</c:v>
                </c:pt>
                <c:pt idx="13">
                  <c:v>0.43569596580968523</c:v>
                </c:pt>
                <c:pt idx="14">
                  <c:v>0.45135885615333537</c:v>
                </c:pt>
                <c:pt idx="15">
                  <c:v>0.42837338682574905</c:v>
                </c:pt>
                <c:pt idx="16">
                  <c:v>0.41833596530782657</c:v>
                </c:pt>
                <c:pt idx="17">
                  <c:v>0.41830649843385531</c:v>
                </c:pt>
                <c:pt idx="18">
                  <c:v>0.45933663963543203</c:v>
                </c:pt>
              </c:numCache>
            </c:numRef>
          </c:val>
        </c:ser>
        <c:ser>
          <c:idx val="0"/>
          <c:order val="1"/>
          <c:tx>
            <c:strRef>
              <c:f>'11'!$AT$4</c:f>
              <c:strCache>
                <c:ptCount val="1"/>
                <c:pt idx="0">
                  <c:v>Canada</c:v>
                </c:pt>
              </c:strCache>
            </c:strRef>
          </c:tx>
          <c:spPr>
            <a:ln w="12700">
              <a:solidFill>
                <a:srgbClr val="000000"/>
              </a:solidFill>
              <a:prstDash val="solid"/>
            </a:ln>
          </c:spPr>
          <c:marker>
            <c:symbol val="none"/>
          </c:marker>
          <c:val>
            <c:numRef>
              <c:f>'11'!$AT$5:$AT$34</c:f>
              <c:numCache>
                <c:formatCode>0.000</c:formatCode>
                <c:ptCount val="19"/>
                <c:pt idx="0">
                  <c:v>0.44780458265691525</c:v>
                </c:pt>
                <c:pt idx="1">
                  <c:v>0.43301562693507134</c:v>
                </c:pt>
                <c:pt idx="2">
                  <c:v>0.42340958261067185</c:v>
                </c:pt>
                <c:pt idx="3">
                  <c:v>0.42844030729926186</c:v>
                </c:pt>
                <c:pt idx="4">
                  <c:v>0.44705988924508555</c:v>
                </c:pt>
                <c:pt idx="5">
                  <c:v>0.45172672744933806</c:v>
                </c:pt>
                <c:pt idx="6">
                  <c:v>0.46232821572107063</c:v>
                </c:pt>
                <c:pt idx="7">
                  <c:v>0.48738294963598849</c:v>
                </c:pt>
                <c:pt idx="8">
                  <c:v>0.50357121370456881</c:v>
                </c:pt>
                <c:pt idx="9">
                  <c:v>0.49054495517693048</c:v>
                </c:pt>
                <c:pt idx="10">
                  <c:v>0.48104437061629834</c:v>
                </c:pt>
                <c:pt idx="11">
                  <c:v>0.47966464196689351</c:v>
                </c:pt>
                <c:pt idx="12">
                  <c:v>0.4798713663978178</c:v>
                </c:pt>
                <c:pt idx="13">
                  <c:v>0.48615136049483088</c:v>
                </c:pt>
                <c:pt idx="14">
                  <c:v>0.4878403706788994</c:v>
                </c:pt>
                <c:pt idx="15">
                  <c:v>0.47679488956266264</c:v>
                </c:pt>
                <c:pt idx="16">
                  <c:v>0.47766802820173043</c:v>
                </c:pt>
                <c:pt idx="17">
                  <c:v>0.48422154380221771</c:v>
                </c:pt>
                <c:pt idx="18">
                  <c:v>0.49477781532887766</c:v>
                </c:pt>
              </c:numCache>
            </c:numRef>
          </c:val>
        </c:ser>
        <c:marker val="1"/>
        <c:axId val="128546688"/>
        <c:axId val="128548224"/>
      </c:lineChart>
      <c:catAx>
        <c:axId val="128546688"/>
        <c:scaling>
          <c:orientation val="minMax"/>
        </c:scaling>
        <c:axPos val="b"/>
        <c:numFmt formatCode="General" sourceLinked="1"/>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28548224"/>
        <c:crosses val="autoZero"/>
        <c:auto val="1"/>
        <c:lblAlgn val="ctr"/>
        <c:lblOffset val="100"/>
        <c:tickLblSkip val="3"/>
        <c:tickMarkSkip val="1"/>
      </c:catAx>
      <c:valAx>
        <c:axId val="128548224"/>
        <c:scaling>
          <c:orientation val="minMax"/>
          <c:max val="1.4"/>
          <c:min val="0.8"/>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lang="en-US" sz="1000" b="0" i="0" u="none" strike="noStrike" baseline="0">
                <a:solidFill>
                  <a:srgbClr val="000000"/>
                </a:solidFill>
                <a:latin typeface="Times New Roman"/>
                <a:ea typeface="Times New Roman"/>
                <a:cs typeface="Times New Roman"/>
              </a:defRPr>
            </a:pPr>
            <a:endParaRPr lang="en-US"/>
          </a:p>
        </c:txPr>
        <c:crossAx val="128546688"/>
        <c:crosses val="autoZero"/>
        <c:crossBetween val="midCat"/>
      </c:valAx>
      <c:spPr>
        <a:solidFill>
          <a:srgbClr val="FFFFFF"/>
        </a:solidFill>
        <a:ln w="3175">
          <a:solidFill>
            <a:srgbClr val="000000"/>
          </a:solidFill>
          <a:prstDash val="solid"/>
        </a:ln>
      </c:spPr>
    </c:plotArea>
    <c:legend>
      <c:legendPos val="r"/>
      <c:layout>
        <c:manualLayout>
          <c:xMode val="edge"/>
          <c:yMode val="edge"/>
          <c:wMode val="edge"/>
          <c:hMode val="edge"/>
          <c:x val="0.91120976692563749"/>
          <c:y val="0.49265905383360531"/>
          <c:w val="0.99556048834627453"/>
          <c:h val="0.56280587275693361"/>
        </c:manualLayout>
      </c:layout>
      <c:spPr>
        <a:solidFill>
          <a:srgbClr val="FFFFFF"/>
        </a:solidFill>
        <a:ln w="3175">
          <a:solidFill>
            <a:srgbClr val="000000"/>
          </a:solidFill>
          <a:prstDash val="solid"/>
        </a:ln>
      </c:spPr>
      <c:txPr>
        <a:bodyPr/>
        <a:lstStyle/>
        <a:p>
          <a:pPr>
            <a:defRPr lang="en-US" sz="920" b="0" i="0" u="none" strike="noStrike" baseline="0">
              <a:solidFill>
                <a:srgbClr val="000000"/>
              </a:solidFill>
              <a:latin typeface="Times New Roman"/>
              <a:ea typeface="Times New Roman"/>
              <a:cs typeface="Times New Roman"/>
            </a:defRPr>
          </a:pPr>
          <a:endParaRPr lang="en-US"/>
        </a:p>
      </c:txPr>
    </c:legend>
    <c:plotVisOnly val="1"/>
    <c:dispBlanksAs val="gap"/>
  </c:chart>
  <c:spPr>
    <a:noFill/>
    <a:ln w="9525">
      <a:noFill/>
    </a:ln>
  </c:spPr>
  <c:txPr>
    <a:bodyPr/>
    <a:lstStyle/>
    <a:p>
      <a:pPr>
        <a:defRPr sz="950" b="0" i="0" u="none" strike="noStrike" baseline="0">
          <a:solidFill>
            <a:srgbClr val="000000"/>
          </a:solidFill>
          <a:latin typeface="System"/>
          <a:ea typeface="System"/>
          <a:cs typeface="System"/>
        </a:defRPr>
      </a:pPr>
      <a:endParaRPr lang="en-US"/>
    </a:p>
  </c:txPr>
</c:chartSpace>
</file>

<file path=xl/charts/chart90.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8.0568720379147266E-2"/>
          <c:y val="3.6269430051813482E-2"/>
          <c:w val="0.89731437598735597"/>
          <c:h val="0.81088082901554404"/>
        </c:manualLayout>
      </c:layout>
      <c:lineChart>
        <c:grouping val="standard"/>
        <c:ser>
          <c:idx val="0"/>
          <c:order val="0"/>
          <c:tx>
            <c:strRef>
              <c:f>'C11a'!$B$1</c:f>
              <c:strCache>
                <c:ptCount val="1"/>
                <c:pt idx="0">
                  <c:v>Index of Total Per-capita Net Capital Stock</c:v>
                </c:pt>
              </c:strCache>
            </c:strRef>
          </c:tx>
          <c:marker>
            <c:symbol val="none"/>
          </c:marker>
          <c:cat>
            <c:numRef>
              <c:f>'C11a'!$A$2:$A$29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'C11a'!$B$2:$B$29</c:f>
              <c:numCache>
                <c:formatCode>General</c:formatCode>
                <c:ptCount val="28"/>
                <c:pt idx="0">
                  <c:v>100</c:v>
                </c:pt>
                <c:pt idx="1">
                  <c:v>101.37544999667637</c:v>
                </c:pt>
                <c:pt idx="2">
                  <c:v>102.43302603487905</c:v>
                </c:pt>
                <c:pt idx="3">
                  <c:v>103.47562396542669</c:v>
                </c:pt>
                <c:pt idx="4">
                  <c:v>105.03708458598022</c:v>
                </c:pt>
                <c:pt idx="5">
                  <c:v>106.64828957959914</c:v>
                </c:pt>
                <c:pt idx="6">
                  <c:v>108.59114913658883</c:v>
                </c:pt>
                <c:pt idx="7">
                  <c:v>111.27292532822044</c:v>
                </c:pt>
                <c:pt idx="8">
                  <c:v>113.48117716638353</c:v>
                </c:pt>
                <c:pt idx="9">
                  <c:v>115.23107598521874</c:v>
                </c:pt>
                <c:pt idx="10">
                  <c:v>116.30827035788856</c:v>
                </c:pt>
                <c:pt idx="11">
                  <c:v>116.7128046835012</c:v>
                </c:pt>
                <c:pt idx="12">
                  <c:v>116.81966511871065</c:v>
                </c:pt>
                <c:pt idx="13">
                  <c:v>117.46854934835689</c:v>
                </c:pt>
                <c:pt idx="14">
                  <c:v>117.68348207197261</c:v>
                </c:pt>
                <c:pt idx="15">
                  <c:v>117.91890784447921</c:v>
                </c:pt>
                <c:pt idx="16">
                  <c:v>119.36268992802658</c:v>
                </c:pt>
                <c:pt idx="17">
                  <c:v>120.75781766059191</c:v>
                </c:pt>
                <c:pt idx="18">
                  <c:v>122.42338789570904</c:v>
                </c:pt>
                <c:pt idx="19">
                  <c:v>123.98030465162732</c:v>
                </c:pt>
                <c:pt idx="20">
                  <c:v>125.34409005139536</c:v>
                </c:pt>
                <c:pt idx="21">
                  <c:v>126.60651751948038</c:v>
                </c:pt>
                <c:pt idx="22">
                  <c:v>128.65799255469398</c:v>
                </c:pt>
                <c:pt idx="23">
                  <c:v>131.40038202835248</c:v>
                </c:pt>
                <c:pt idx="24">
                  <c:v>135.01777649444949</c:v>
                </c:pt>
                <c:pt idx="25">
                  <c:v>139.01825671680916</c:v>
                </c:pt>
                <c:pt idx="26">
                  <c:v>142.83836317293063</c:v>
                </c:pt>
                <c:pt idx="27">
                  <c:v>146.79060460155793</c:v>
                </c:pt>
              </c:numCache>
            </c:numRef>
          </c:val>
        </c:ser>
        <c:ser>
          <c:idx val="1"/>
          <c:order val="1"/>
          <c:tx>
            <c:strRef>
              <c:f>'C11a'!$C$1</c:f>
              <c:strCache>
                <c:ptCount val="1"/>
                <c:pt idx="0">
                  <c:v>Index of Per-capita R&amp;D Stock</c:v>
                </c:pt>
              </c:strCache>
            </c:strRef>
          </c:tx>
          <c:marker>
            <c:symbol val="none"/>
          </c:marker>
          <c:cat>
            <c:numRef>
              <c:f>'C11a'!$A$2:$A$29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'C11a'!$C$2:$C$29</c:f>
              <c:numCache>
                <c:formatCode>General</c:formatCode>
                <c:ptCount val="28"/>
                <c:pt idx="0">
                  <c:v>100</c:v>
                </c:pt>
                <c:pt idx="1">
                  <c:v>106.95914518249367</c:v>
                </c:pt>
                <c:pt idx="2">
                  <c:v>112.53281212972242</c:v>
                </c:pt>
                <c:pt idx="3">
                  <c:v>119.50129531621612</c:v>
                </c:pt>
                <c:pt idx="4">
                  <c:v>127.19986908378409</c:v>
                </c:pt>
                <c:pt idx="5">
                  <c:v>134.4391943408321</c:v>
                </c:pt>
                <c:pt idx="6">
                  <c:v>139.63429318401128</c:v>
                </c:pt>
                <c:pt idx="7">
                  <c:v>146.25711456949105</c:v>
                </c:pt>
                <c:pt idx="8">
                  <c:v>150.53385340383628</c:v>
                </c:pt>
                <c:pt idx="9">
                  <c:v>155.24622168722789</c:v>
                </c:pt>
                <c:pt idx="10">
                  <c:v>159.54497280813368</c:v>
                </c:pt>
                <c:pt idx="11">
                  <c:v>164.02344838446487</c:v>
                </c:pt>
                <c:pt idx="12">
                  <c:v>169.45579929503296</c:v>
                </c:pt>
                <c:pt idx="13">
                  <c:v>176.56600460586131</c:v>
                </c:pt>
                <c:pt idx="14">
                  <c:v>182.1799012179869</c:v>
                </c:pt>
                <c:pt idx="15">
                  <c:v>185.71703109495888</c:v>
                </c:pt>
                <c:pt idx="16">
                  <c:v>190.09845225427512</c:v>
                </c:pt>
                <c:pt idx="17">
                  <c:v>197.896962540966</c:v>
                </c:pt>
                <c:pt idx="18">
                  <c:v>207.35635603989567</c:v>
                </c:pt>
                <c:pt idx="19">
                  <c:v>220.20005362916265</c:v>
                </c:pt>
                <c:pt idx="20">
                  <c:v>235.67759358632082</c:v>
                </c:pt>
                <c:pt idx="21">
                  <c:v>247.65539977582537</c:v>
                </c:pt>
                <c:pt idx="22">
                  <c:v>257.92915730002915</c:v>
                </c:pt>
                <c:pt idx="23">
                  <c:v>268.58184982770712</c:v>
                </c:pt>
                <c:pt idx="24">
                  <c:v>277.33639435988323</c:v>
                </c:pt>
                <c:pt idx="25">
                  <c:v>283.20272795555945</c:v>
                </c:pt>
                <c:pt idx="26">
                  <c:v>285.51483730442783</c:v>
                </c:pt>
                <c:pt idx="27">
                  <c:v>284.47028799907139</c:v>
                </c:pt>
              </c:numCache>
            </c:numRef>
          </c:val>
        </c:ser>
        <c:ser>
          <c:idx val="2"/>
          <c:order val="2"/>
          <c:tx>
            <c:strRef>
              <c:f>'C11a'!$D$1</c:f>
              <c:strCache>
                <c:ptCount val="1"/>
                <c:pt idx="0">
                  <c:v>Index of Per-capita Stock of Natural Resources</c:v>
                </c:pt>
              </c:strCache>
            </c:strRef>
          </c:tx>
          <c:marker>
            <c:symbol val="none"/>
          </c:marker>
          <c:cat>
            <c:numRef>
              <c:f>'C11a'!$A$2:$A$29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'C11a'!$D$2:$D$29</c:f>
              <c:numCache>
                <c:formatCode>General</c:formatCode>
                <c:ptCount val="28"/>
                <c:pt idx="0">
                  <c:v>100</c:v>
                </c:pt>
                <c:pt idx="1">
                  <c:v>89.257363186061582</c:v>
                </c:pt>
                <c:pt idx="2">
                  <c:v>94.866270623336561</c:v>
                </c:pt>
                <c:pt idx="3">
                  <c:v>91.10189302461491</c:v>
                </c:pt>
                <c:pt idx="4">
                  <c:v>82.492900159669915</c:v>
                </c:pt>
                <c:pt idx="5">
                  <c:v>55.745105024840505</c:v>
                </c:pt>
                <c:pt idx="6">
                  <c:v>59.389412630974348</c:v>
                </c:pt>
                <c:pt idx="7">
                  <c:v>60.048681038855811</c:v>
                </c:pt>
                <c:pt idx="8">
                  <c:v>61.438563885683948</c:v>
                </c:pt>
                <c:pt idx="9">
                  <c:v>61.258524797867295</c:v>
                </c:pt>
                <c:pt idx="10">
                  <c:v>46.59452699601789</c:v>
                </c:pt>
                <c:pt idx="11">
                  <c:v>41.876800004437555</c:v>
                </c:pt>
                <c:pt idx="12">
                  <c:v>38.067447259357394</c:v>
                </c:pt>
                <c:pt idx="13">
                  <c:v>41.958264721740932</c:v>
                </c:pt>
                <c:pt idx="14">
                  <c:v>48.252176624409024</c:v>
                </c:pt>
                <c:pt idx="15">
                  <c:v>57.21618353589578</c:v>
                </c:pt>
                <c:pt idx="16">
                  <c:v>60.864039710938059</c:v>
                </c:pt>
                <c:pt idx="17">
                  <c:v>57.426253236069336</c:v>
                </c:pt>
                <c:pt idx="18">
                  <c:v>67.117879123122407</c:v>
                </c:pt>
                <c:pt idx="19">
                  <c:v>92.104149779261235</c:v>
                </c:pt>
                <c:pt idx="20">
                  <c:v>82.643655632921281</c:v>
                </c:pt>
                <c:pt idx="21">
                  <c:v>78.701170955963292</c:v>
                </c:pt>
                <c:pt idx="22">
                  <c:v>85.484052442919861</c:v>
                </c:pt>
                <c:pt idx="23">
                  <c:v>95.193184840597894</c:v>
                </c:pt>
                <c:pt idx="24">
                  <c:v>114.34811577275622</c:v>
                </c:pt>
                <c:pt idx="25">
                  <c:v>122.36675948618208</c:v>
                </c:pt>
                <c:pt idx="26">
                  <c:v>122.59039283463883</c:v>
                </c:pt>
                <c:pt idx="27">
                  <c:v>136.52883054443106</c:v>
                </c:pt>
              </c:numCache>
            </c:numRef>
          </c:val>
        </c:ser>
        <c:ser>
          <c:idx val="3"/>
          <c:order val="3"/>
          <c:tx>
            <c:strRef>
              <c:f>'C11a'!$E$1</c:f>
              <c:strCache>
                <c:ptCount val="1"/>
                <c:pt idx="0">
                  <c:v>Index of Per-capita Net International Investment Position</c:v>
                </c:pt>
              </c:strCache>
            </c:strRef>
          </c:tx>
          <c:marker>
            <c:symbol val="none"/>
          </c:marker>
          <c:cat>
            <c:numRef>
              <c:f>'C11a'!$A$2:$A$29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'C11a'!$E$2:$E$29</c:f>
              <c:numCache>
                <c:formatCode>General</c:formatCode>
                <c:ptCount val="28"/>
                <c:pt idx="0">
                  <c:v>-100</c:v>
                </c:pt>
                <c:pt idx="1">
                  <c:v>-91.70736526818537</c:v>
                </c:pt>
                <c:pt idx="2">
                  <c:v>-90.96459483889025</c:v>
                </c:pt>
                <c:pt idx="3">
                  <c:v>-93.331856552088993</c:v>
                </c:pt>
                <c:pt idx="4">
                  <c:v>-103.37335905673682</c:v>
                </c:pt>
                <c:pt idx="5">
                  <c:v>-109.87329059849755</c:v>
                </c:pt>
                <c:pt idx="6">
                  <c:v>-111.98835304720878</c:v>
                </c:pt>
                <c:pt idx="7">
                  <c:v>-107.42920135322997</c:v>
                </c:pt>
                <c:pt idx="8">
                  <c:v>-108.58258843103204</c:v>
                </c:pt>
                <c:pt idx="9">
                  <c:v>-112.70877398673579</c:v>
                </c:pt>
                <c:pt idx="10">
                  <c:v>-114.54985276280698</c:v>
                </c:pt>
                <c:pt idx="11">
                  <c:v>-124.5846573675927</c:v>
                </c:pt>
                <c:pt idx="12">
                  <c:v>-131.81999594749229</c:v>
                </c:pt>
                <c:pt idx="13">
                  <c:v>-132.62560779810272</c:v>
                </c:pt>
                <c:pt idx="14">
                  <c:v>-124.92343083180116</c:v>
                </c:pt>
                <c:pt idx="15">
                  <c:v>-116.92132473167358</c:v>
                </c:pt>
                <c:pt idx="16">
                  <c:v>-106.62279296755565</c:v>
                </c:pt>
                <c:pt idx="17">
                  <c:v>-109.65305558872629</c:v>
                </c:pt>
                <c:pt idx="18">
                  <c:v>-86.938277460678421</c:v>
                </c:pt>
                <c:pt idx="19">
                  <c:v>-70.873873771212999</c:v>
                </c:pt>
                <c:pt idx="20">
                  <c:v>-67.53977625695309</c:v>
                </c:pt>
                <c:pt idx="21">
                  <c:v>-67.790939250595926</c:v>
                </c:pt>
                <c:pt idx="22">
                  <c:v>-67.527190273790509</c:v>
                </c:pt>
                <c:pt idx="23">
                  <c:v>-56.960880670746526</c:v>
                </c:pt>
                <c:pt idx="24">
                  <c:v>-45.704791459831462</c:v>
                </c:pt>
                <c:pt idx="25">
                  <c:v>-21.407093346554205</c:v>
                </c:pt>
                <c:pt idx="26">
                  <c:v>-33.219167450208573</c:v>
                </c:pt>
                <c:pt idx="27">
                  <c:v>1.4444053944082453</c:v>
                </c:pt>
              </c:numCache>
            </c:numRef>
          </c:val>
        </c:ser>
        <c:ser>
          <c:idx val="4"/>
          <c:order val="4"/>
          <c:tx>
            <c:strRef>
              <c:f>'C11a'!$F$1</c:f>
              <c:strCache>
                <c:ptCount val="1"/>
                <c:pt idx="0">
                  <c:v>Index of Per-capita Stock of Human Capital</c:v>
                </c:pt>
              </c:strCache>
            </c:strRef>
          </c:tx>
          <c:marker>
            <c:symbol val="none"/>
          </c:marker>
          <c:cat>
            <c:numRef>
              <c:f>'C11a'!$A$2:$A$29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'C11a'!$F$2:$F$29</c:f>
              <c:numCache>
                <c:formatCode>General</c:formatCode>
                <c:ptCount val="28"/>
                <c:pt idx="0">
                  <c:v>100</c:v>
                </c:pt>
                <c:pt idx="1">
                  <c:v>101.22675210490846</c:v>
                </c:pt>
                <c:pt idx="2">
                  <c:v>102.72047878244746</c:v>
                </c:pt>
                <c:pt idx="3">
                  <c:v>103.67878674121354</c:v>
                </c:pt>
                <c:pt idx="4">
                  <c:v>104.71307620579471</c:v>
                </c:pt>
                <c:pt idx="5">
                  <c:v>105.77073439448483</c:v>
                </c:pt>
                <c:pt idx="6">
                  <c:v>106.73683391748961</c:v>
                </c:pt>
                <c:pt idx="7">
                  <c:v>107.87760187630369</c:v>
                </c:pt>
                <c:pt idx="8">
                  <c:v>107.88888060769084</c:v>
                </c:pt>
                <c:pt idx="9">
                  <c:v>114.04363270814544</c:v>
                </c:pt>
                <c:pt idx="10">
                  <c:v>114.88004145016713</c:v>
                </c:pt>
                <c:pt idx="11">
                  <c:v>116.12402114775848</c:v>
                </c:pt>
                <c:pt idx="12">
                  <c:v>117.58715869980108</c:v>
                </c:pt>
                <c:pt idx="13">
                  <c:v>118.67639064206541</c:v>
                </c:pt>
                <c:pt idx="14">
                  <c:v>119.6032182912254</c:v>
                </c:pt>
                <c:pt idx="15">
                  <c:v>120.54852672500034</c:v>
                </c:pt>
                <c:pt idx="16">
                  <c:v>122.00801253105666</c:v>
                </c:pt>
                <c:pt idx="17">
                  <c:v>122.91713035055447</c:v>
                </c:pt>
                <c:pt idx="18">
                  <c:v>124.09342860012922</c:v>
                </c:pt>
                <c:pt idx="19">
                  <c:v>125.45047623674978</c:v>
                </c:pt>
                <c:pt idx="20">
                  <c:v>126.9448970533072</c:v>
                </c:pt>
                <c:pt idx="21">
                  <c:v>128.13558584469013</c:v>
                </c:pt>
                <c:pt idx="22">
                  <c:v>129.7888432423529</c:v>
                </c:pt>
                <c:pt idx="23">
                  <c:v>130.64811680308864</c:v>
                </c:pt>
                <c:pt idx="24">
                  <c:v>132.34926012446445</c:v>
                </c:pt>
                <c:pt idx="25">
                  <c:v>133.73733543126556</c:v>
                </c:pt>
                <c:pt idx="26">
                  <c:v>135.12289065708052</c:v>
                </c:pt>
                <c:pt idx="27">
                  <c:v>136.13576980774383</c:v>
                </c:pt>
              </c:numCache>
            </c:numRef>
          </c:val>
        </c:ser>
        <c:ser>
          <c:idx val="5"/>
          <c:order val="5"/>
          <c:tx>
            <c:strRef>
              <c:f>'C11a'!$G$1</c:f>
              <c:strCache>
                <c:ptCount val="1"/>
                <c:pt idx="0">
                  <c:v>Index of Per-capita Greenhouse Gas Social Cost</c:v>
                </c:pt>
              </c:strCache>
            </c:strRef>
          </c:tx>
          <c:marker>
            <c:symbol val="none"/>
          </c:marker>
          <c:cat>
            <c:numRef>
              <c:f>'C11a'!$A$2:$A$29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'C11a'!$G$2:$G$29</c:f>
              <c:numCache>
                <c:formatCode>General</c:formatCode>
                <c:ptCount val="28"/>
                <c:pt idx="0">
                  <c:v>100</c:v>
                </c:pt>
                <c:pt idx="1">
                  <c:v>94.455936653925804</c:v>
                </c:pt>
                <c:pt idx="2">
                  <c:v>90.410696191833509</c:v>
                </c:pt>
                <c:pt idx="3">
                  <c:v>92.886828937984205</c:v>
                </c:pt>
                <c:pt idx="4">
                  <c:v>96.279838418040782</c:v>
                </c:pt>
                <c:pt idx="5">
                  <c:v>93.928852115897342</c:v>
                </c:pt>
                <c:pt idx="6">
                  <c:v>96.608030453744547</c:v>
                </c:pt>
                <c:pt idx="7">
                  <c:v>102.40269288822412</c:v>
                </c:pt>
                <c:pt idx="8">
                  <c:v>104.81914432370358</c:v>
                </c:pt>
                <c:pt idx="9">
                  <c:v>98.197987693352871</c:v>
                </c:pt>
                <c:pt idx="10">
                  <c:v>95.846085375278449</c:v>
                </c:pt>
                <c:pt idx="11">
                  <c:v>97.45207069346408</c:v>
                </c:pt>
                <c:pt idx="12">
                  <c:v>96.705111615397328</c:v>
                </c:pt>
                <c:pt idx="13">
                  <c:v>99.112802230615259</c:v>
                </c:pt>
                <c:pt idx="14">
                  <c:v>100.58373930980784</c:v>
                </c:pt>
                <c:pt idx="15">
                  <c:v>99.537801808784891</c:v>
                </c:pt>
                <c:pt idx="16">
                  <c:v>101.29957841204384</c:v>
                </c:pt>
                <c:pt idx="17">
                  <c:v>102.42924621258516</c:v>
                </c:pt>
                <c:pt idx="18">
                  <c:v>102.50047572564193</c:v>
                </c:pt>
                <c:pt idx="19">
                  <c:v>103.33453215594652</c:v>
                </c:pt>
                <c:pt idx="20">
                  <c:v>106.04844976368952</c:v>
                </c:pt>
                <c:pt idx="21">
                  <c:v>103.89799220456091</c:v>
                </c:pt>
                <c:pt idx="22">
                  <c:v>106.85218199471966</c:v>
                </c:pt>
                <c:pt idx="23">
                  <c:v>105.84521683551318</c:v>
                </c:pt>
                <c:pt idx="24">
                  <c:v>103.43066409155159</c:v>
                </c:pt>
                <c:pt idx="25">
                  <c:v>100.55943712717752</c:v>
                </c:pt>
                <c:pt idx="26">
                  <c:v>103.5048413509608</c:v>
                </c:pt>
                <c:pt idx="27">
                  <c:v>103.24035046809293</c:v>
                </c:pt>
              </c:numCache>
            </c:numRef>
          </c:val>
        </c:ser>
        <c:ser>
          <c:idx val="6"/>
          <c:order val="6"/>
          <c:tx>
            <c:strRef>
              <c:f>'C11a'!$H$1</c:f>
              <c:strCache>
                <c:ptCount val="1"/>
                <c:pt idx="0">
                  <c:v>Index of Total Per-capita Wealth</c:v>
                </c:pt>
              </c:strCache>
            </c:strRef>
          </c:tx>
          <c:marker>
            <c:symbol val="none"/>
          </c:marker>
          <c:cat>
            <c:numRef>
              <c:f>'C11a'!$A$2:$A$29</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'C11a'!$H$2:$H$29</c:f>
              <c:numCache>
                <c:formatCode>General</c:formatCode>
                <c:ptCount val="28"/>
                <c:pt idx="0">
                  <c:v>100</c:v>
                </c:pt>
                <c:pt idx="1">
                  <c:v>99.868932418934705</c:v>
                </c:pt>
                <c:pt idx="2">
                  <c:v>102.14168440798304</c:v>
                </c:pt>
                <c:pt idx="3">
                  <c:v>102.24296743835211</c:v>
                </c:pt>
                <c:pt idx="4">
                  <c:v>101.20452171591819</c:v>
                </c:pt>
                <c:pt idx="5">
                  <c:v>97.23811220431125</c:v>
                </c:pt>
                <c:pt idx="6">
                  <c:v>98.982295703327424</c:v>
                </c:pt>
                <c:pt idx="7">
                  <c:v>100.9972051273115</c:v>
                </c:pt>
                <c:pt idx="8">
                  <c:v>101.99384130759202</c:v>
                </c:pt>
                <c:pt idx="9">
                  <c:v>105.61676741748533</c:v>
                </c:pt>
                <c:pt idx="10">
                  <c:v>103.76867653943216</c:v>
                </c:pt>
                <c:pt idx="11">
                  <c:v>103.09441790221874</c:v>
                </c:pt>
                <c:pt idx="12">
                  <c:v>102.79317591109596</c:v>
                </c:pt>
                <c:pt idx="13">
                  <c:v>104.28331416604976</c:v>
                </c:pt>
                <c:pt idx="14">
                  <c:v>106.5148163061705</c:v>
                </c:pt>
                <c:pt idx="15">
                  <c:v>109.25038708658437</c:v>
                </c:pt>
                <c:pt idx="16">
                  <c:v>111.89647740774382</c:v>
                </c:pt>
                <c:pt idx="17">
                  <c:v>112.12567279588619</c:v>
                </c:pt>
                <c:pt idx="18">
                  <c:v>116.64912930273195</c:v>
                </c:pt>
                <c:pt idx="19">
                  <c:v>123.52191077999343</c:v>
                </c:pt>
                <c:pt idx="20">
                  <c:v>123.4593311469153</c:v>
                </c:pt>
                <c:pt idx="21">
                  <c:v>123.93284310250297</c:v>
                </c:pt>
                <c:pt idx="22">
                  <c:v>126.83218076410836</c:v>
                </c:pt>
                <c:pt idx="23">
                  <c:v>130.78783937525725</c:v>
                </c:pt>
                <c:pt idx="24">
                  <c:v>137.21119107897681</c:v>
                </c:pt>
                <c:pt idx="25">
                  <c:v>142.47928824555291</c:v>
                </c:pt>
                <c:pt idx="26">
                  <c:v>143.8444840133063</c:v>
                </c:pt>
                <c:pt idx="27">
                  <c:v>150.56755291742573</c:v>
                </c:pt>
              </c:numCache>
            </c:numRef>
          </c:val>
        </c:ser>
        <c:marker val="1"/>
        <c:axId val="136821760"/>
        <c:axId val="136643328"/>
      </c:lineChart>
      <c:catAx>
        <c:axId val="136821760"/>
        <c:scaling>
          <c:orientation val="minMax"/>
        </c:scaling>
        <c:axPos val="b"/>
        <c:numFmt formatCode="General" sourceLinked="1"/>
        <c:tickLblPos val="low"/>
        <c:txPr>
          <a:bodyPr/>
          <a:lstStyle/>
          <a:p>
            <a:pPr>
              <a:defRPr lang="en-CA"/>
            </a:pPr>
            <a:endParaRPr lang="en-US"/>
          </a:p>
        </c:txPr>
        <c:crossAx val="136643328"/>
        <c:crosses val="autoZero"/>
        <c:auto val="1"/>
        <c:lblAlgn val="ctr"/>
        <c:lblOffset val="100"/>
      </c:catAx>
      <c:valAx>
        <c:axId val="136643328"/>
        <c:scaling>
          <c:orientation val="minMax"/>
          <c:max val="400"/>
        </c:scaling>
        <c:axPos val="l"/>
        <c:majorGridlines/>
        <c:title>
          <c:tx>
            <c:rich>
              <a:bodyPr rot="-5400000" vert="horz"/>
              <a:lstStyle/>
              <a:p>
                <a:pPr>
                  <a:defRPr lang="en-CA" b="0"/>
                </a:pPr>
                <a:r>
                  <a:rPr lang="en-US" b="0"/>
                  <a:t>Index</a:t>
                </a:r>
                <a:r>
                  <a:rPr lang="en-US" b="0" baseline="0"/>
                  <a:t> (normalized to 100 in 1981)</a:t>
                </a:r>
                <a:endParaRPr lang="en-US" b="0"/>
              </a:p>
            </c:rich>
          </c:tx>
        </c:title>
        <c:numFmt formatCode="General" sourceLinked="1"/>
        <c:tickLblPos val="nextTo"/>
        <c:txPr>
          <a:bodyPr/>
          <a:lstStyle/>
          <a:p>
            <a:pPr>
              <a:defRPr lang="en-CA"/>
            </a:pPr>
            <a:endParaRPr lang="en-US"/>
          </a:p>
        </c:txPr>
        <c:crossAx val="136821760"/>
        <c:crosses val="autoZero"/>
        <c:crossBetween val="between"/>
      </c:valAx>
    </c:plotArea>
    <c:legend>
      <c:legendPos val="b"/>
      <c:layout>
        <c:manualLayout>
          <c:xMode val="edge"/>
          <c:yMode val="edge"/>
          <c:x val="8.5497464475708315E-2"/>
          <c:y val="2.877619572164879E-2"/>
          <c:w val="0.48355993415515008"/>
          <c:h val="0.25274366610909377"/>
        </c:manualLayout>
      </c:layout>
      <c:spPr>
        <a:solidFill>
          <a:schemeClr val="bg1"/>
        </a:solidFill>
      </c:spPr>
      <c:txPr>
        <a:bodyPr/>
        <a:lstStyle/>
        <a:p>
          <a:pPr>
            <a:defRPr lang="en-CA" sz="800"/>
          </a:pPr>
          <a:endParaRPr lang="en-US"/>
        </a:p>
      </c:txPr>
    </c:legend>
    <c:plotVisOnly val="1"/>
    <c:dispBlanksAs val="gap"/>
  </c:chart>
  <c:spPr>
    <a:ln>
      <a:noFill/>
    </a:ln>
  </c:spPr>
  <c:printSettings>
    <c:headerFooter/>
    <c:pageMargins b="0.75000000000000522" l="0.70000000000000062" r="0.70000000000000062" t="0.75000000000000522"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4579759862778729"/>
          <c:y val="3.8461538461538464E-2"/>
          <c:w val="0.82504288164665518"/>
          <c:h val="0.63186813186813184"/>
        </c:manualLayout>
      </c:layout>
      <c:barChart>
        <c:barDir val="col"/>
        <c:grouping val="clustered"/>
        <c:ser>
          <c:idx val="0"/>
          <c:order val="0"/>
          <c:tx>
            <c:v>1981</c:v>
          </c:tx>
          <c:cat>
            <c:strLit>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Lit>
          </c:cat>
          <c:val>
            <c:numRef>
              <c:f>('[2]2'!$H$19,'[2]2'!$R$19,'[2]2'!$AB$19,'[2]2'!$AL$19,'[2]2'!$AV$19,'[2]2'!$BF$19,'[2]2'!$BP$19,'[2]2'!$BZ$19,'[2]2'!$CJ$19,'[2]2'!$CT$19,'[2]2'!$DD$19)</c:f>
              <c:numCache>
                <c:formatCode>General</c:formatCode>
                <c:ptCount val="11"/>
                <c:pt idx="0">
                  <c:v>145946.99184755064</c:v>
                </c:pt>
                <c:pt idx="1">
                  <c:v>110280.3817367392</c:v>
                </c:pt>
                <c:pt idx="2">
                  <c:v>83925.888297409576</c:v>
                </c:pt>
                <c:pt idx="3">
                  <c:v>102524.53913242935</c:v>
                </c:pt>
                <c:pt idx="4">
                  <c:v>109696.15366698631</c:v>
                </c:pt>
                <c:pt idx="5">
                  <c:v>125831.64350227024</c:v>
                </c:pt>
                <c:pt idx="6">
                  <c:v>127254.00507545726</c:v>
                </c:pt>
                <c:pt idx="7">
                  <c:v>141837.65011991674</c:v>
                </c:pt>
                <c:pt idx="8">
                  <c:v>166995.53061719012</c:v>
                </c:pt>
                <c:pt idx="9">
                  <c:v>265339.01084143564</c:v>
                </c:pt>
                <c:pt idx="10">
                  <c:v>166918.92906949122</c:v>
                </c:pt>
              </c:numCache>
            </c:numRef>
          </c:val>
        </c:ser>
        <c:ser>
          <c:idx val="1"/>
          <c:order val="1"/>
          <c:tx>
            <c:v>2008</c:v>
          </c:tx>
          <c:val>
            <c:numRef>
              <c:f>('[2]2'!$H$46,'[2]2'!$R$46,'[2]2'!$AB$46,'[2]2'!$AL$46,'[2]2'!$AV$46,'[2]2'!$BF$46,'[2]2'!$BP$46,'[2]2'!$BZ$46,'[2]2'!$CJ$46,'[2]2'!$CT$46,'[2]2'!$DD$46)</c:f>
              <c:numCache>
                <c:formatCode>General</c:formatCode>
                <c:ptCount val="11"/>
                <c:pt idx="0">
                  <c:v>227250.39399668167</c:v>
                </c:pt>
                <c:pt idx="1">
                  <c:v>277551.3396015063</c:v>
                </c:pt>
                <c:pt idx="2">
                  <c:v>149665.89356127087</c:v>
                </c:pt>
                <c:pt idx="3">
                  <c:v>162614.09305680179</c:v>
                </c:pt>
                <c:pt idx="4">
                  <c:v>181402.68117900813</c:v>
                </c:pt>
                <c:pt idx="5">
                  <c:v>191579.36994564746</c:v>
                </c:pt>
                <c:pt idx="6">
                  <c:v>187229.18324476338</c:v>
                </c:pt>
                <c:pt idx="7">
                  <c:v>189826.15523860912</c:v>
                </c:pt>
                <c:pt idx="8">
                  <c:v>244991.59525255056</c:v>
                </c:pt>
                <c:pt idx="9">
                  <c:v>324208.94356985867</c:v>
                </c:pt>
                <c:pt idx="10">
                  <c:v>230738.51485127042</c:v>
                </c:pt>
              </c:numCache>
            </c:numRef>
          </c:val>
        </c:ser>
        <c:axId val="136672768"/>
        <c:axId val="136674304"/>
      </c:barChart>
      <c:catAx>
        <c:axId val="136672768"/>
        <c:scaling>
          <c:orientation val="minMax"/>
        </c:scaling>
        <c:axPos val="b"/>
        <c:numFmt formatCode="General" sourceLinked="1"/>
        <c:tickLblPos val="nextTo"/>
        <c:txPr>
          <a:bodyPr/>
          <a:lstStyle/>
          <a:p>
            <a:pPr>
              <a:defRPr lang="en-CA"/>
            </a:pPr>
            <a:endParaRPr lang="en-US"/>
          </a:p>
        </c:txPr>
        <c:crossAx val="136674304"/>
        <c:crosses val="autoZero"/>
        <c:auto val="1"/>
        <c:lblAlgn val="ctr"/>
        <c:lblOffset val="100"/>
      </c:catAx>
      <c:valAx>
        <c:axId val="136674304"/>
        <c:scaling>
          <c:orientation val="minMax"/>
        </c:scaling>
        <c:axPos val="l"/>
        <c:majorGridlines/>
        <c:title>
          <c:tx>
            <c:rich>
              <a:bodyPr rot="-5400000" vert="horz"/>
              <a:lstStyle/>
              <a:p>
                <a:pPr>
                  <a:defRPr lang="en-CA"/>
                </a:pPr>
                <a:r>
                  <a:rPr lang="en-US" b="0"/>
                  <a:t>Per-capita</a:t>
                </a:r>
                <a:r>
                  <a:rPr lang="en-US" b="0" baseline="0"/>
                  <a:t> Wealth (2002$)</a:t>
                </a:r>
                <a:endParaRPr lang="en-US" b="0"/>
              </a:p>
            </c:rich>
          </c:tx>
        </c:title>
        <c:numFmt formatCode="General" sourceLinked="1"/>
        <c:tickLblPos val="nextTo"/>
        <c:txPr>
          <a:bodyPr/>
          <a:lstStyle/>
          <a:p>
            <a:pPr>
              <a:defRPr lang="en-CA"/>
            </a:pPr>
            <a:endParaRPr lang="en-US"/>
          </a:p>
        </c:txPr>
        <c:crossAx val="136672768"/>
        <c:crosses val="autoZero"/>
        <c:crossBetween val="between"/>
      </c:valAx>
    </c:plotArea>
    <c:legend>
      <c:legendPos val="r"/>
      <c:layout>
        <c:manualLayout>
          <c:xMode val="edge"/>
          <c:yMode val="edge"/>
          <c:x val="0.15091026143173059"/>
          <c:y val="5.2809841077557616E-2"/>
          <c:w val="8.5224672816413091E-2"/>
          <c:h val="0.13247555594012286"/>
        </c:manualLayout>
      </c:layout>
      <c:spPr>
        <a:solidFill>
          <a:schemeClr val="bg1"/>
        </a:solidFill>
      </c:spPr>
      <c:txPr>
        <a:bodyPr/>
        <a:lstStyle/>
        <a:p>
          <a:pPr>
            <a:defRPr lang="en-CA"/>
          </a:pPr>
          <a:endParaRPr lang="en-US"/>
        </a:p>
      </c:txPr>
    </c:legend>
    <c:plotVisOnly val="1"/>
    <c:dispBlanksAs val="gap"/>
  </c:chart>
  <c:spPr>
    <a:ln>
      <a:noFill/>
    </a:ln>
  </c:spPr>
  <c:printSettings>
    <c:headerFooter/>
    <c:pageMargins b="0.75000000000000488" l="0.70000000000000062" r="0.70000000000000062" t="0.75000000000000488" header="0.30000000000000032" footer="0.30000000000000032"/>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0208333333333333"/>
          <c:y val="4.8611111111111112E-2"/>
          <c:w val="0.88124999999999998"/>
          <c:h val="0.53125"/>
        </c:manualLayout>
      </c:layout>
      <c:barChart>
        <c:barDir val="col"/>
        <c:grouping val="clustered"/>
        <c:ser>
          <c:idx val="0"/>
          <c:order val="0"/>
          <c:tx>
            <c:v>1981</c:v>
          </c:tx>
          <c:spPr>
            <a:gradFill flip="none" rotWithShape="1">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2700000" scaled="1"/>
              <a:tileRect/>
            </a:gradFill>
          </c:spPr>
          <c:cat>
            <c:strRef>
              <c:f>('[2]4'!$B$3,'[2]4'!$J$3,'[2]4'!$Q$3,'[2]4'!$X$3,'[2]4'!$AE$3,'[2]4'!$AL$3,'[2]4'!$AS$3,'[2]4'!$AZ$3,'[2]4'!$BG$3,'[2]4'!$BN$3,'[2]4'!$BU$3)</c:f>
              <c:strCache>
                <c:ptCount val="11"/>
                <c:pt idx="0">
                  <c:v>Canada</c:v>
                </c:pt>
                <c:pt idx="1">
                  <c:v>New Brunswick</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('[2]4'!$H$19,'[2]4'!$P$19,'[2]4'!$W$19,'[2]4'!$AD$19,'[2]4'!$AK$19,'[2]4'!$AR$19,'[2]4'!$AY$19,'[2]4'!$BF$19,'[2]4'!$BM$19,'[2]4'!$BT$19,'[2]4'!$CA$19)</c:f>
              <c:numCache>
                <c:formatCode>General</c:formatCode>
                <c:ptCount val="11"/>
                <c:pt idx="0">
                  <c:v>0.6268043384913079</c:v>
                </c:pt>
                <c:pt idx="1">
                  <c:v>0.44647927609416377</c:v>
                </c:pt>
                <c:pt idx="2">
                  <c:v>0.54532805513428639</c:v>
                </c:pt>
                <c:pt idx="3">
                  <c:v>0.55236206832742774</c:v>
                </c:pt>
                <c:pt idx="4">
                  <c:v>0.51939750618741332</c:v>
                </c:pt>
                <c:pt idx="5">
                  <c:v>0.51310479194001746</c:v>
                </c:pt>
                <c:pt idx="6">
                  <c:v>0.64688076035673148</c:v>
                </c:pt>
                <c:pt idx="7">
                  <c:v>0.67983076391048569</c:v>
                </c:pt>
                <c:pt idx="8">
                  <c:v>0.73335157878957857</c:v>
                </c:pt>
                <c:pt idx="9">
                  <c:v>0.73630618492074351</c:v>
                </c:pt>
                <c:pt idx="10">
                  <c:v>0.64171629331266355</c:v>
                </c:pt>
              </c:numCache>
            </c:numRef>
          </c:val>
        </c:ser>
        <c:ser>
          <c:idx val="1"/>
          <c:order val="1"/>
          <c:tx>
            <c:v>2008</c:v>
          </c:tx>
          <c:val>
            <c:numRef>
              <c:f>('[2]4'!$H$46,'[2]4'!$P$46,'[2]4'!$W$46,'[2]4'!$AD$46,'[2]4'!$AK$46,'[2]4'!$AR$46,'[2]4'!$AY$46,'[2]4'!$BF$46,'[2]4'!$BM$46,'[2]4'!$BT$46,'[2]4'!$CA$46)</c:f>
              <c:numCache>
                <c:formatCode>General</c:formatCode>
                <c:ptCount val="11"/>
                <c:pt idx="0">
                  <c:v>0.66492502354772109</c:v>
                </c:pt>
                <c:pt idx="1">
                  <c:v>0.45530188796786702</c:v>
                </c:pt>
                <c:pt idx="2">
                  <c:v>0.55243456157628179</c:v>
                </c:pt>
                <c:pt idx="3">
                  <c:v>0.64090535591762909</c:v>
                </c:pt>
                <c:pt idx="4">
                  <c:v>0.62053204276721552</c:v>
                </c:pt>
                <c:pt idx="5">
                  <c:v>0.6343708166261286</c:v>
                </c:pt>
                <c:pt idx="6">
                  <c:v>0.63476804442090806</c:v>
                </c:pt>
                <c:pt idx="7">
                  <c:v>0.73932016819911928</c:v>
                </c:pt>
                <c:pt idx="8">
                  <c:v>0.74165501698769332</c:v>
                </c:pt>
                <c:pt idx="9">
                  <c:v>0.74206349206349209</c:v>
                </c:pt>
                <c:pt idx="10">
                  <c:v>0.721439744397115</c:v>
                </c:pt>
              </c:numCache>
            </c:numRef>
          </c:val>
        </c:ser>
        <c:axId val="136953856"/>
        <c:axId val="136955392"/>
      </c:barChart>
      <c:catAx>
        <c:axId val="136953856"/>
        <c:scaling>
          <c:orientation val="minMax"/>
        </c:scaling>
        <c:axPos val="b"/>
        <c:numFmt formatCode="General" sourceLinked="1"/>
        <c:tickLblPos val="nextTo"/>
        <c:txPr>
          <a:bodyPr/>
          <a:lstStyle/>
          <a:p>
            <a:pPr>
              <a:defRPr lang="en-CA"/>
            </a:pPr>
            <a:endParaRPr lang="en-US"/>
          </a:p>
        </c:txPr>
        <c:crossAx val="136955392"/>
        <c:crosses val="autoZero"/>
        <c:auto val="1"/>
        <c:lblAlgn val="ctr"/>
        <c:lblOffset val="100"/>
      </c:catAx>
      <c:valAx>
        <c:axId val="136955392"/>
        <c:scaling>
          <c:orientation val="minMax"/>
        </c:scaling>
        <c:axPos val="l"/>
        <c:majorGridlines/>
        <c:title>
          <c:tx>
            <c:rich>
              <a:bodyPr rot="-5400000" vert="horz"/>
              <a:lstStyle/>
              <a:p>
                <a:pPr>
                  <a:defRPr lang="en-CA" b="0"/>
                </a:pPr>
                <a:r>
                  <a:rPr lang="en-US" b="0"/>
                  <a:t>Index</a:t>
                </a:r>
              </a:p>
            </c:rich>
          </c:tx>
        </c:title>
        <c:numFmt formatCode="0.0" sourceLinked="0"/>
        <c:tickLblPos val="nextTo"/>
        <c:txPr>
          <a:bodyPr/>
          <a:lstStyle/>
          <a:p>
            <a:pPr>
              <a:defRPr lang="en-CA"/>
            </a:pPr>
            <a:endParaRPr lang="en-US"/>
          </a:p>
        </c:txPr>
        <c:crossAx val="136953856"/>
        <c:crosses val="autoZero"/>
        <c:crossBetween val="between"/>
      </c:valAx>
    </c:plotArea>
    <c:legend>
      <c:legendPos val="r"/>
      <c:layout>
        <c:manualLayout>
          <c:xMode val="edge"/>
          <c:yMode val="edge"/>
          <c:x val="0.17426531058617803"/>
          <c:y val="2.7393919510061426E-2"/>
          <c:w val="0.10351246719160107"/>
          <c:h val="0.16743438320210088"/>
        </c:manualLayout>
      </c:layout>
      <c:spPr>
        <a:solidFill>
          <a:schemeClr val="bg1"/>
        </a:solidFill>
        <a:ln>
          <a:solidFill>
            <a:schemeClr val="tx1"/>
          </a:solidFill>
        </a:ln>
      </c:spPr>
      <c:txPr>
        <a:bodyPr/>
        <a:lstStyle/>
        <a:p>
          <a:pPr>
            <a:defRPr lang="en-CA"/>
          </a:pPr>
          <a:endParaRPr lang="en-US"/>
        </a:p>
      </c:txPr>
    </c:legend>
    <c:plotVisOnly val="1"/>
    <c:dispBlanksAs val="gap"/>
  </c:chart>
  <c:spPr>
    <a:ln>
      <a:noFill/>
    </a:ln>
  </c:spPr>
  <c:printSettings>
    <c:headerFooter/>
    <c:pageMargins b="0.75000000000000433" l="0.70000000000000062" r="0.70000000000000062" t="0.75000000000000433" header="0.30000000000000032" footer="0.30000000000000032"/>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0456273764258572"/>
          <c:y val="4.8231511254019303E-2"/>
          <c:w val="0.87452471482890004"/>
          <c:h val="0.76205787781350953"/>
        </c:manualLayout>
      </c:layout>
      <c:lineChart>
        <c:grouping val="standard"/>
        <c:ser>
          <c:idx val="0"/>
          <c:order val="0"/>
          <c:tx>
            <c:strRef>
              <c:f>'C16a'!$H$3</c:f>
              <c:strCache>
                <c:ptCount val="1"/>
                <c:pt idx="0">
                  <c:v>Index of Poverty Rate</c:v>
                </c:pt>
              </c:strCache>
            </c:strRef>
          </c:tx>
          <c:marker>
            <c:symbol val="triangle"/>
            <c:size val="5"/>
          </c:marker>
          <c:cat>
            <c:numRef>
              <c:f>'C16a'!$G$4:$G$31</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'C16a'!$H$4:$H$31</c:f>
              <c:numCache>
                <c:formatCode>General</c:formatCode>
                <c:ptCount val="28"/>
                <c:pt idx="0">
                  <c:v>100</c:v>
                </c:pt>
                <c:pt idx="1">
                  <c:v>106.89655172413795</c:v>
                </c:pt>
                <c:pt idx="2">
                  <c:v>120.68965517241379</c:v>
                </c:pt>
                <c:pt idx="3">
                  <c:v>118.10344827586208</c:v>
                </c:pt>
                <c:pt idx="4">
                  <c:v>112.06896551724139</c:v>
                </c:pt>
                <c:pt idx="5">
                  <c:v>104.31034482758621</c:v>
                </c:pt>
                <c:pt idx="6">
                  <c:v>102.58620689655173</c:v>
                </c:pt>
                <c:pt idx="7">
                  <c:v>93.103448275862078</c:v>
                </c:pt>
                <c:pt idx="8">
                  <c:v>87.931034482758619</c:v>
                </c:pt>
                <c:pt idx="9">
                  <c:v>101.72413793103449</c:v>
                </c:pt>
                <c:pt idx="10">
                  <c:v>113.79310344827587</c:v>
                </c:pt>
                <c:pt idx="11">
                  <c:v>114.65517241379311</c:v>
                </c:pt>
                <c:pt idx="12">
                  <c:v>121.55172413793103</c:v>
                </c:pt>
                <c:pt idx="13">
                  <c:v>120.68965517241379</c:v>
                </c:pt>
                <c:pt idx="14">
                  <c:v>125</c:v>
                </c:pt>
                <c:pt idx="15">
                  <c:v>131.0344827586207</c:v>
                </c:pt>
                <c:pt idx="16">
                  <c:v>129.31034482758622</c:v>
                </c:pt>
                <c:pt idx="17">
                  <c:v>118.10344827586208</c:v>
                </c:pt>
                <c:pt idx="18">
                  <c:v>112.06896551724139</c:v>
                </c:pt>
                <c:pt idx="19">
                  <c:v>107.75862068965519</c:v>
                </c:pt>
                <c:pt idx="20">
                  <c:v>96.551724137931032</c:v>
                </c:pt>
                <c:pt idx="21">
                  <c:v>100</c:v>
                </c:pt>
                <c:pt idx="22">
                  <c:v>100</c:v>
                </c:pt>
                <c:pt idx="23">
                  <c:v>98.275862068965523</c:v>
                </c:pt>
                <c:pt idx="24">
                  <c:v>93.103448275862078</c:v>
                </c:pt>
                <c:pt idx="25">
                  <c:v>90.517241379310349</c:v>
                </c:pt>
                <c:pt idx="26">
                  <c:v>79.310344827586192</c:v>
                </c:pt>
                <c:pt idx="27">
                  <c:v>79.310344827586192</c:v>
                </c:pt>
              </c:numCache>
            </c:numRef>
          </c:val>
        </c:ser>
        <c:ser>
          <c:idx val="1"/>
          <c:order val="1"/>
          <c:tx>
            <c:strRef>
              <c:f>'C16a'!$I$3</c:f>
              <c:strCache>
                <c:ptCount val="1"/>
                <c:pt idx="0">
                  <c:v>Index of Poverty Gap</c:v>
                </c:pt>
              </c:strCache>
            </c:strRef>
          </c:tx>
          <c:marker>
            <c:symbol val="circle"/>
            <c:size val="5"/>
          </c:marker>
          <c:cat>
            <c:numRef>
              <c:f>'C16a'!$G$4:$G$31</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'C16a'!$I$4:$I$31</c:f>
              <c:numCache>
                <c:formatCode>General</c:formatCode>
                <c:ptCount val="28"/>
                <c:pt idx="0">
                  <c:v>100</c:v>
                </c:pt>
                <c:pt idx="1">
                  <c:v>97.798421581080092</c:v>
                </c:pt>
                <c:pt idx="2">
                  <c:v>99.613777945764923</c:v>
                </c:pt>
                <c:pt idx="3">
                  <c:v>100.36747079343536</c:v>
                </c:pt>
                <c:pt idx="4">
                  <c:v>97.358903592169256</c:v>
                </c:pt>
                <c:pt idx="5">
                  <c:v>98.406359268332139</c:v>
                </c:pt>
                <c:pt idx="6">
                  <c:v>100.26014566453702</c:v>
                </c:pt>
                <c:pt idx="7">
                  <c:v>100.32005202547818</c:v>
                </c:pt>
                <c:pt idx="8">
                  <c:v>97.474664544019134</c:v>
                </c:pt>
                <c:pt idx="9">
                  <c:v>101.37569058818117</c:v>
                </c:pt>
                <c:pt idx="10">
                  <c:v>103.26686968421912</c:v>
                </c:pt>
                <c:pt idx="11">
                  <c:v>101.5026535795549</c:v>
                </c:pt>
                <c:pt idx="12">
                  <c:v>101.41374017205027</c:v>
                </c:pt>
                <c:pt idx="13">
                  <c:v>101.56274850875103</c:v>
                </c:pt>
                <c:pt idx="14">
                  <c:v>101.22640449678408</c:v>
                </c:pt>
                <c:pt idx="15">
                  <c:v>104.06518575097212</c:v>
                </c:pt>
                <c:pt idx="16">
                  <c:v>107.6197246537164</c:v>
                </c:pt>
                <c:pt idx="17">
                  <c:v>112.23307845136243</c:v>
                </c:pt>
                <c:pt idx="18">
                  <c:v>114.31552480574065</c:v>
                </c:pt>
                <c:pt idx="19">
                  <c:v>112.81332577990651</c:v>
                </c:pt>
                <c:pt idx="20">
                  <c:v>114.26926455621999</c:v>
                </c:pt>
                <c:pt idx="21">
                  <c:v>110.49128721695848</c:v>
                </c:pt>
                <c:pt idx="22">
                  <c:v>111.05349073821174</c:v>
                </c:pt>
                <c:pt idx="23">
                  <c:v>113.64261278874199</c:v>
                </c:pt>
                <c:pt idx="24">
                  <c:v>119.76450849741798</c:v>
                </c:pt>
                <c:pt idx="25">
                  <c:v>115.13035961384783</c:v>
                </c:pt>
                <c:pt idx="26">
                  <c:v>119.28066466462526</c:v>
                </c:pt>
                <c:pt idx="27">
                  <c:v>119.28066466462526</c:v>
                </c:pt>
              </c:numCache>
            </c:numRef>
          </c:val>
        </c:ser>
        <c:ser>
          <c:idx val="2"/>
          <c:order val="2"/>
          <c:tx>
            <c:strRef>
              <c:f>'C16a'!$J$3</c:f>
              <c:strCache>
                <c:ptCount val="1"/>
                <c:pt idx="0">
                  <c:v>Index of Poverty Intensity</c:v>
                </c:pt>
              </c:strCache>
            </c:strRef>
          </c:tx>
          <c:marker>
            <c:symbol val="square"/>
            <c:size val="4"/>
          </c:marker>
          <c:cat>
            <c:numRef>
              <c:f>'C16a'!$G$4:$G$31</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'C16a'!$J$4:$J$31</c:f>
              <c:numCache>
                <c:formatCode>General</c:formatCode>
                <c:ptCount val="28"/>
                <c:pt idx="0">
                  <c:v>100</c:v>
                </c:pt>
                <c:pt idx="1">
                  <c:v>104.54314031080978</c:v>
                </c:pt>
                <c:pt idx="2">
                  <c:v>120.22352510695768</c:v>
                </c:pt>
                <c:pt idx="3">
                  <c:v>118.53744395431589</c:v>
                </c:pt>
                <c:pt idx="4">
                  <c:v>109.10911609467244</c:v>
                </c:pt>
                <c:pt idx="5">
                  <c:v>102.64801268507058</c:v>
                </c:pt>
                <c:pt idx="6">
                  <c:v>102.85308046620609</c:v>
                </c:pt>
                <c:pt idx="7">
                  <c:v>93.401427747859017</c:v>
                </c:pt>
                <c:pt idx="8">
                  <c:v>85.710480892154749</c:v>
                </c:pt>
                <c:pt idx="9">
                  <c:v>103.12354732246017</c:v>
                </c:pt>
                <c:pt idx="10">
                  <c:v>117.51057584755968</c:v>
                </c:pt>
                <c:pt idx="11">
                  <c:v>116.37804246621381</c:v>
                </c:pt>
                <c:pt idx="12">
                  <c:v>123.27014969188869</c:v>
                </c:pt>
                <c:pt idx="13">
                  <c:v>122.57573095883745</c:v>
                </c:pt>
                <c:pt idx="14">
                  <c:v>126.53300562098013</c:v>
                </c:pt>
                <c:pt idx="15">
                  <c:v>136.36127788058417</c:v>
                </c:pt>
                <c:pt idx="16">
                  <c:v>139.16343705221951</c:v>
                </c:pt>
                <c:pt idx="17">
                  <c:v>132.55113575721253</c:v>
                </c:pt>
                <c:pt idx="18">
                  <c:v>128.11222607539901</c:v>
                </c:pt>
                <c:pt idx="19">
                  <c:v>121.56608381455443</c:v>
                </c:pt>
                <c:pt idx="20">
                  <c:v>110.32894508876414</c:v>
                </c:pt>
                <c:pt idx="21">
                  <c:v>110.49128721695851</c:v>
                </c:pt>
                <c:pt idx="22">
                  <c:v>111.05349073821174</c:v>
                </c:pt>
                <c:pt idx="23">
                  <c:v>111.68325739583264</c:v>
                </c:pt>
                <c:pt idx="24">
                  <c:v>111.50488722173399</c:v>
                </c:pt>
                <c:pt idx="25">
                  <c:v>104.21282551253471</c:v>
                </c:pt>
                <c:pt idx="26">
                  <c:v>94.601906458151078</c:v>
                </c:pt>
                <c:pt idx="27">
                  <c:v>94.601906458151078</c:v>
                </c:pt>
              </c:numCache>
            </c:numRef>
          </c:val>
        </c:ser>
        <c:marker val="1"/>
        <c:axId val="137001984"/>
        <c:axId val="137003776"/>
      </c:lineChart>
      <c:catAx>
        <c:axId val="137001984"/>
        <c:scaling>
          <c:orientation val="minMax"/>
        </c:scaling>
        <c:axPos val="b"/>
        <c:numFmt formatCode="General" sourceLinked="1"/>
        <c:tickLblPos val="nextTo"/>
        <c:txPr>
          <a:bodyPr rot="-4800000" vert="horz"/>
          <a:lstStyle/>
          <a:p>
            <a:pPr>
              <a:defRPr lang="en-CA"/>
            </a:pPr>
            <a:endParaRPr lang="en-US"/>
          </a:p>
        </c:txPr>
        <c:crossAx val="137003776"/>
        <c:crosses val="autoZero"/>
        <c:auto val="1"/>
        <c:lblAlgn val="ctr"/>
        <c:lblOffset val="100"/>
      </c:catAx>
      <c:valAx>
        <c:axId val="137003776"/>
        <c:scaling>
          <c:orientation val="minMax"/>
        </c:scaling>
        <c:axPos val="l"/>
        <c:majorGridlines/>
        <c:title>
          <c:tx>
            <c:rich>
              <a:bodyPr rot="-5400000" vert="horz"/>
              <a:lstStyle/>
              <a:p>
                <a:pPr>
                  <a:defRPr lang="en-CA" b="0"/>
                </a:pPr>
                <a:r>
                  <a:rPr lang="en-US" b="0"/>
                  <a:t>Index</a:t>
                </a:r>
                <a:r>
                  <a:rPr lang="en-US" b="0" baseline="0"/>
                  <a:t> (normalized to 100 in 1981)</a:t>
                </a:r>
                <a:endParaRPr lang="en-US" b="0"/>
              </a:p>
            </c:rich>
          </c:tx>
        </c:title>
        <c:numFmt formatCode="General" sourceLinked="1"/>
        <c:tickLblPos val="nextTo"/>
        <c:txPr>
          <a:bodyPr/>
          <a:lstStyle/>
          <a:p>
            <a:pPr>
              <a:defRPr lang="en-CA"/>
            </a:pPr>
            <a:endParaRPr lang="en-US"/>
          </a:p>
        </c:txPr>
        <c:crossAx val="137001984"/>
        <c:crosses val="autoZero"/>
        <c:crossBetween val="between"/>
      </c:valAx>
    </c:plotArea>
    <c:legend>
      <c:legendPos val="r"/>
      <c:layout>
        <c:manualLayout>
          <c:xMode val="edge"/>
          <c:yMode val="edge"/>
          <c:x val="0.12121533287426525"/>
          <c:y val="0.57670371589403413"/>
          <c:w val="0.52094767621728144"/>
          <c:h val="0.15249056890396739"/>
        </c:manualLayout>
      </c:layout>
      <c:spPr>
        <a:solidFill>
          <a:schemeClr val="bg1"/>
        </a:solidFill>
        <a:ln>
          <a:solidFill>
            <a:schemeClr val="tx1"/>
          </a:solidFill>
        </a:ln>
      </c:spPr>
      <c:txPr>
        <a:bodyPr/>
        <a:lstStyle/>
        <a:p>
          <a:pPr>
            <a:defRPr lang="en-CA"/>
          </a:pPr>
          <a:endParaRPr lang="en-US"/>
        </a:p>
      </c:txPr>
    </c:legend>
    <c:plotVisOnly val="1"/>
    <c:dispBlanksAs val="gap"/>
  </c:chart>
  <c:spPr>
    <a:ln>
      <a:noFill/>
    </a:ln>
  </c:spPr>
  <c:printSettings>
    <c:headerFooter/>
    <c:pageMargins b="0.75000000000000444" l="0.70000000000000062" r="0.70000000000000062" t="0.75000000000000444"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7351636860634487"/>
          <c:y val="6.0070775022731913E-2"/>
          <c:w val="0.82191964076689361"/>
          <c:h val="0.65724495024871799"/>
        </c:manualLayout>
      </c:layout>
      <c:lineChart>
        <c:grouping val="standard"/>
        <c:ser>
          <c:idx val="0"/>
          <c:order val="0"/>
          <c:marker>
            <c:symbol val="none"/>
          </c:marker>
          <c:cat>
            <c:numRef>
              <c:f>'[2]5'!$A$17:$A$44</c:f>
              <c:numCache>
                <c:formatCode>General</c:formatCode>
                <c:ptCount val="28"/>
                <c:pt idx="0">
                  <c:v>1981</c:v>
                </c:pt>
                <c:pt idx="1">
                  <c:v>1982</c:v>
                </c:pt>
                <c:pt idx="2">
                  <c:v>1981</c:v>
                </c:pt>
                <c:pt idx="3">
                  <c:v>1982</c:v>
                </c:pt>
                <c:pt idx="4">
                  <c:v>1983</c:v>
                </c:pt>
                <c:pt idx="5">
                  <c:v>1984</c:v>
                </c:pt>
                <c:pt idx="6">
                  <c:v>1985</c:v>
                </c:pt>
                <c:pt idx="7">
                  <c:v>1986</c:v>
                </c:pt>
                <c:pt idx="8">
                  <c:v>1987</c:v>
                </c:pt>
                <c:pt idx="9">
                  <c:v>1988</c:v>
                </c:pt>
                <c:pt idx="10">
                  <c:v>1989</c:v>
                </c:pt>
                <c:pt idx="11">
                  <c:v>1990</c:v>
                </c:pt>
                <c:pt idx="12">
                  <c:v>1991</c:v>
                </c:pt>
                <c:pt idx="13">
                  <c:v>1992</c:v>
                </c:pt>
                <c:pt idx="14">
                  <c:v>1993</c:v>
                </c:pt>
                <c:pt idx="15">
                  <c:v>1994</c:v>
                </c:pt>
                <c:pt idx="16">
                  <c:v>1995</c:v>
                </c:pt>
                <c:pt idx="17">
                  <c:v>1996</c:v>
                </c:pt>
                <c:pt idx="18">
                  <c:v>1997</c:v>
                </c:pt>
                <c:pt idx="19">
                  <c:v>1998</c:v>
                </c:pt>
                <c:pt idx="20">
                  <c:v>1999</c:v>
                </c:pt>
                <c:pt idx="21">
                  <c:v>2000</c:v>
                </c:pt>
                <c:pt idx="22">
                  <c:v>2001</c:v>
                </c:pt>
                <c:pt idx="23">
                  <c:v>2002</c:v>
                </c:pt>
                <c:pt idx="24">
                  <c:v>2003</c:v>
                </c:pt>
                <c:pt idx="25">
                  <c:v>2004</c:v>
                </c:pt>
                <c:pt idx="26">
                  <c:v>2005</c:v>
                </c:pt>
                <c:pt idx="27">
                  <c:v>2006</c:v>
                </c:pt>
              </c:numCache>
            </c:numRef>
          </c:cat>
          <c:val>
            <c:numRef>
              <c:f>'[2]5'!$B$17:$B$44</c:f>
              <c:numCache>
                <c:formatCode>General</c:formatCode>
                <c:ptCount val="28"/>
                <c:pt idx="0">
                  <c:v>2.65462729352992</c:v>
                </c:pt>
                <c:pt idx="1">
                  <c:v>2.7755720207096548</c:v>
                </c:pt>
                <c:pt idx="2">
                  <c:v>21</c:v>
                </c:pt>
                <c:pt idx="3">
                  <c:v>17.8</c:v>
                </c:pt>
                <c:pt idx="4">
                  <c:v>19.399999999999999</c:v>
                </c:pt>
                <c:pt idx="5">
                  <c:v>16.2</c:v>
                </c:pt>
                <c:pt idx="6">
                  <c:v>14.7</c:v>
                </c:pt>
                <c:pt idx="7">
                  <c:v>13.5</c:v>
                </c:pt>
                <c:pt idx="8">
                  <c:v>12.6</c:v>
                </c:pt>
                <c:pt idx="9">
                  <c:v>13</c:v>
                </c:pt>
                <c:pt idx="10">
                  <c:v>11.3</c:v>
                </c:pt>
                <c:pt idx="11">
                  <c:v>10.8</c:v>
                </c:pt>
                <c:pt idx="12">
                  <c:v>11.1</c:v>
                </c:pt>
                <c:pt idx="13">
                  <c:v>9.8000000000000007</c:v>
                </c:pt>
                <c:pt idx="14">
                  <c:v>10.7</c:v>
                </c:pt>
                <c:pt idx="15">
                  <c:v>8.6</c:v>
                </c:pt>
                <c:pt idx="16">
                  <c:v>8.6999999999999993</c:v>
                </c:pt>
                <c:pt idx="17">
                  <c:v>9.6999999999999993</c:v>
                </c:pt>
                <c:pt idx="18">
                  <c:v>9</c:v>
                </c:pt>
                <c:pt idx="19">
                  <c:v>8.6</c:v>
                </c:pt>
                <c:pt idx="20">
                  <c:v>7.9</c:v>
                </c:pt>
                <c:pt idx="21">
                  <c:v>7.6</c:v>
                </c:pt>
                <c:pt idx="22">
                  <c:v>6.7</c:v>
                </c:pt>
                <c:pt idx="23">
                  <c:v>7.6</c:v>
                </c:pt>
                <c:pt idx="24">
                  <c:v>6.8</c:v>
                </c:pt>
                <c:pt idx="25">
                  <c:v>5.6</c:v>
                </c:pt>
                <c:pt idx="26">
                  <c:v>6.1</c:v>
                </c:pt>
                <c:pt idx="27">
                  <c:v>5.4</c:v>
                </c:pt>
              </c:numCache>
            </c:numRef>
          </c:val>
        </c:ser>
        <c:marker val="1"/>
        <c:axId val="137077504"/>
        <c:axId val="137079040"/>
      </c:lineChart>
      <c:dateAx>
        <c:axId val="137077504"/>
        <c:scaling>
          <c:orientation val="minMax"/>
        </c:scaling>
        <c:axPos val="b"/>
        <c:numFmt formatCode="General" sourceLinked="0"/>
        <c:tickLblPos val="nextTo"/>
        <c:txPr>
          <a:bodyPr/>
          <a:lstStyle/>
          <a:p>
            <a:pPr>
              <a:defRPr lang="en-CA"/>
            </a:pPr>
            <a:endParaRPr lang="en-US"/>
          </a:p>
        </c:txPr>
        <c:crossAx val="137079040"/>
        <c:crosses val="autoZero"/>
        <c:lblOffset val="100"/>
        <c:baseTimeUnit val="days"/>
      </c:dateAx>
      <c:valAx>
        <c:axId val="137079040"/>
        <c:scaling>
          <c:orientation val="minMax"/>
        </c:scaling>
        <c:axPos val="l"/>
        <c:majorGridlines/>
        <c:title>
          <c:tx>
            <c:rich>
              <a:bodyPr rot="-5400000" vert="horz"/>
              <a:lstStyle/>
              <a:p>
                <a:pPr>
                  <a:defRPr lang="en-CA"/>
                </a:pPr>
                <a:r>
                  <a:rPr lang="en-US"/>
                  <a:t>Per cent</a:t>
                </a:r>
              </a:p>
            </c:rich>
          </c:tx>
        </c:title>
        <c:numFmt formatCode="General" sourceLinked="1"/>
        <c:tickLblPos val="nextTo"/>
        <c:txPr>
          <a:bodyPr/>
          <a:lstStyle/>
          <a:p>
            <a:pPr>
              <a:defRPr lang="en-CA"/>
            </a:pPr>
            <a:endParaRPr lang="en-US"/>
          </a:p>
        </c:txPr>
        <c:crossAx val="137077504"/>
        <c:crosses val="autoZero"/>
        <c:crossBetween val="between"/>
      </c:valAx>
    </c:plotArea>
    <c:plotVisOnly val="1"/>
    <c:dispBlanksAs val="gap"/>
  </c:chart>
  <c:spPr>
    <a:ln>
      <a:noFill/>
    </a:ln>
  </c:spPr>
  <c:printSettings>
    <c:headerFooter/>
    <c:pageMargins b="0.75000000000000322" l="0.70000000000000062" r="0.70000000000000062" t="0.75000000000000322" header="0.30000000000000032" footer="0.30000000000000032"/>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3215873244632473"/>
          <c:y val="7.2368537290131596E-2"/>
          <c:w val="0.82378943224875834"/>
          <c:h val="0.64473787767571833"/>
        </c:manualLayout>
      </c:layout>
      <c:lineChart>
        <c:grouping val="standard"/>
        <c:ser>
          <c:idx val="0"/>
          <c:order val="0"/>
          <c:marker>
            <c:symbol val="none"/>
          </c:marker>
          <c:cat>
            <c:numRef>
              <c:f>'[2]6'!$A$19:$A$46</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'[2]6'!$B$19:$B$46</c:f>
              <c:numCache>
                <c:formatCode>General</c:formatCode>
                <c:ptCount val="28"/>
                <c:pt idx="0">
                  <c:v>1.1155668651039621</c:v>
                </c:pt>
                <c:pt idx="1">
                  <c:v>1.1456009045621545</c:v>
                </c:pt>
                <c:pt idx="2">
                  <c:v>1.1027519666094547</c:v>
                </c:pt>
                <c:pt idx="3">
                  <c:v>1.0372187285046714</c:v>
                </c:pt>
                <c:pt idx="4">
                  <c:v>0.97664881780124335</c:v>
                </c:pt>
                <c:pt idx="5">
                  <c:v>1.221016281178668</c:v>
                </c:pt>
                <c:pt idx="6">
                  <c:v>1.4748162477838471</c:v>
                </c:pt>
                <c:pt idx="7">
                  <c:v>1.2600833109316343</c:v>
                </c:pt>
                <c:pt idx="8">
                  <c:v>1.1986588599984418</c:v>
                </c:pt>
                <c:pt idx="9">
                  <c:v>1.1438592987314304</c:v>
                </c:pt>
                <c:pt idx="10">
                  <c:v>1.1095797124687401</c:v>
                </c:pt>
                <c:pt idx="11">
                  <c:v>1.1294730309624723</c:v>
                </c:pt>
                <c:pt idx="12">
                  <c:v>1.1088265504893056</c:v>
                </c:pt>
                <c:pt idx="13">
                  <c:v>1.1092924477688215</c:v>
                </c:pt>
                <c:pt idx="14">
                  <c:v>1.0838485334378707</c:v>
                </c:pt>
                <c:pt idx="15">
                  <c:v>0.99169747293084476</c:v>
                </c:pt>
                <c:pt idx="16">
                  <c:v>0.92372853716579451</c:v>
                </c:pt>
                <c:pt idx="17">
                  <c:v>0.93760116841868613</c:v>
                </c:pt>
                <c:pt idx="18">
                  <c:v>0.9532809649445747</c:v>
                </c:pt>
                <c:pt idx="19">
                  <c:v>0.94670738938491172</c:v>
                </c:pt>
                <c:pt idx="20">
                  <c:v>0.9354428044341121</c:v>
                </c:pt>
                <c:pt idx="21">
                  <c:v>0.91464505728900936</c:v>
                </c:pt>
                <c:pt idx="22">
                  <c:v>0.9175222288116075</c:v>
                </c:pt>
                <c:pt idx="23">
                  <c:v>0.89527906253571299</c:v>
                </c:pt>
                <c:pt idx="24">
                  <c:v>0.90932817032171231</c:v>
                </c:pt>
                <c:pt idx="25">
                  <c:v>0.90232467859311449</c:v>
                </c:pt>
                <c:pt idx="26">
                  <c:v>0.8961448611522862</c:v>
                </c:pt>
                <c:pt idx="27">
                  <c:v>0.889869707871358</c:v>
                </c:pt>
              </c:numCache>
            </c:numRef>
          </c:val>
        </c:ser>
        <c:marker val="1"/>
        <c:axId val="135542272"/>
        <c:axId val="135543808"/>
      </c:lineChart>
      <c:dateAx>
        <c:axId val="135542272"/>
        <c:scaling>
          <c:orientation val="minMax"/>
        </c:scaling>
        <c:axPos val="b"/>
        <c:numFmt formatCode="General" sourceLinked="0"/>
        <c:tickLblPos val="nextTo"/>
        <c:txPr>
          <a:bodyPr/>
          <a:lstStyle/>
          <a:p>
            <a:pPr>
              <a:defRPr lang="en-CA"/>
            </a:pPr>
            <a:endParaRPr lang="en-US"/>
          </a:p>
        </c:txPr>
        <c:crossAx val="135543808"/>
        <c:crosses val="autoZero"/>
        <c:lblOffset val="100"/>
        <c:baseTimeUnit val="days"/>
      </c:dateAx>
      <c:valAx>
        <c:axId val="135543808"/>
        <c:scaling>
          <c:orientation val="minMax"/>
        </c:scaling>
        <c:axPos val="l"/>
        <c:majorGridlines/>
        <c:title>
          <c:tx>
            <c:rich>
              <a:bodyPr rot="-5400000" vert="horz"/>
              <a:lstStyle/>
              <a:p>
                <a:pPr>
                  <a:defRPr lang="en-CA"/>
                </a:pPr>
                <a:r>
                  <a:rPr lang="en-US"/>
                  <a:t>Per Cent of Legally Married Couples</a:t>
                </a:r>
              </a:p>
            </c:rich>
          </c:tx>
        </c:title>
        <c:numFmt formatCode="General" sourceLinked="1"/>
        <c:tickLblPos val="nextTo"/>
        <c:txPr>
          <a:bodyPr/>
          <a:lstStyle/>
          <a:p>
            <a:pPr>
              <a:defRPr lang="en-CA"/>
            </a:pPr>
            <a:endParaRPr lang="en-US"/>
          </a:p>
        </c:txPr>
        <c:crossAx val="135542272"/>
        <c:crosses val="autoZero"/>
        <c:crossBetween val="between"/>
      </c:valAx>
    </c:plotArea>
    <c:plotVisOnly val="1"/>
    <c:dispBlanksAs val="gap"/>
  </c:chart>
  <c:printSettings>
    <c:headerFooter/>
    <c:pageMargins b="0.75000000000000322" l="0.70000000000000062" r="0.70000000000000062" t="0.75000000000000322" header="0.30000000000000032" footer="0.30000000000000032"/>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2039312039312072"/>
          <c:y val="5.9071973364869156E-2"/>
          <c:w val="0.71253071253071265"/>
          <c:h val="0.63291400033788703"/>
        </c:manualLayout>
      </c:layout>
      <c:lineChart>
        <c:grouping val="standard"/>
        <c:ser>
          <c:idx val="0"/>
          <c:order val="0"/>
          <c:tx>
            <c:v>Poverty Rate - Left Axis</c:v>
          </c:tx>
          <c:marker>
            <c:symbol val="square"/>
            <c:size val="5"/>
          </c:marker>
          <c:cat>
            <c:numRef>
              <c:f>'[2]6'!$A$19:$A$46</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'[2]6'!$C$19:$C$46</c:f>
              <c:numCache>
                <c:formatCode>General</c:formatCode>
                <c:ptCount val="28"/>
                <c:pt idx="0">
                  <c:v>39.5</c:v>
                </c:pt>
                <c:pt idx="1">
                  <c:v>43.8</c:v>
                </c:pt>
                <c:pt idx="2">
                  <c:v>47.8</c:v>
                </c:pt>
                <c:pt idx="3">
                  <c:v>47.9</c:v>
                </c:pt>
                <c:pt idx="4">
                  <c:v>47.9</c:v>
                </c:pt>
                <c:pt idx="5">
                  <c:v>43.3</c:v>
                </c:pt>
                <c:pt idx="6">
                  <c:v>44</c:v>
                </c:pt>
                <c:pt idx="7">
                  <c:v>40.9</c:v>
                </c:pt>
                <c:pt idx="8">
                  <c:v>37.9</c:v>
                </c:pt>
                <c:pt idx="9">
                  <c:v>43.5</c:v>
                </c:pt>
                <c:pt idx="10">
                  <c:v>44.7</c:v>
                </c:pt>
                <c:pt idx="11">
                  <c:v>42</c:v>
                </c:pt>
                <c:pt idx="12">
                  <c:v>42.5</c:v>
                </c:pt>
                <c:pt idx="13">
                  <c:v>41.9</c:v>
                </c:pt>
                <c:pt idx="14">
                  <c:v>42.7</c:v>
                </c:pt>
                <c:pt idx="15">
                  <c:v>48.5</c:v>
                </c:pt>
                <c:pt idx="16">
                  <c:v>43.6</c:v>
                </c:pt>
                <c:pt idx="17">
                  <c:v>39</c:v>
                </c:pt>
                <c:pt idx="18">
                  <c:v>36.1</c:v>
                </c:pt>
                <c:pt idx="19">
                  <c:v>32.299999999999997</c:v>
                </c:pt>
                <c:pt idx="20">
                  <c:v>30.1</c:v>
                </c:pt>
                <c:pt idx="21">
                  <c:v>34.200000000000003</c:v>
                </c:pt>
                <c:pt idx="22">
                  <c:v>34.200000000000003</c:v>
                </c:pt>
                <c:pt idx="23">
                  <c:v>32.1</c:v>
                </c:pt>
                <c:pt idx="24">
                  <c:v>25.9</c:v>
                </c:pt>
                <c:pt idx="25">
                  <c:v>24.3</c:v>
                </c:pt>
                <c:pt idx="26">
                  <c:v>21.3</c:v>
                </c:pt>
                <c:pt idx="27">
                  <c:v>21.3</c:v>
                </c:pt>
              </c:numCache>
            </c:numRef>
          </c:val>
        </c:ser>
        <c:marker val="1"/>
        <c:axId val="135578368"/>
        <c:axId val="135579904"/>
      </c:lineChart>
      <c:lineChart>
        <c:grouping val="standard"/>
        <c:ser>
          <c:idx val="1"/>
          <c:order val="1"/>
          <c:tx>
            <c:v>Poverty Gap - Right Axis</c:v>
          </c:tx>
          <c:marker>
            <c:symbol val="triangle"/>
            <c:size val="5"/>
          </c:marker>
          <c:val>
            <c:numRef>
              <c:f>'[2]6'!$D$19:$D$46</c:f>
              <c:numCache>
                <c:formatCode>General</c:formatCode>
                <c:ptCount val="28"/>
                <c:pt idx="0">
                  <c:v>9200</c:v>
                </c:pt>
                <c:pt idx="1">
                  <c:v>8600</c:v>
                </c:pt>
                <c:pt idx="2">
                  <c:v>8800</c:v>
                </c:pt>
                <c:pt idx="3">
                  <c:v>8500</c:v>
                </c:pt>
                <c:pt idx="4">
                  <c:v>8800</c:v>
                </c:pt>
                <c:pt idx="5">
                  <c:v>7900</c:v>
                </c:pt>
                <c:pt idx="6">
                  <c:v>7900</c:v>
                </c:pt>
                <c:pt idx="7">
                  <c:v>7600</c:v>
                </c:pt>
                <c:pt idx="8">
                  <c:v>7200</c:v>
                </c:pt>
                <c:pt idx="9">
                  <c:v>7700</c:v>
                </c:pt>
                <c:pt idx="10">
                  <c:v>8000</c:v>
                </c:pt>
                <c:pt idx="11">
                  <c:v>7700</c:v>
                </c:pt>
                <c:pt idx="12">
                  <c:v>7300</c:v>
                </c:pt>
                <c:pt idx="13">
                  <c:v>7300</c:v>
                </c:pt>
                <c:pt idx="14">
                  <c:v>7200</c:v>
                </c:pt>
                <c:pt idx="15">
                  <c:v>7500</c:v>
                </c:pt>
                <c:pt idx="16">
                  <c:v>7600</c:v>
                </c:pt>
                <c:pt idx="17">
                  <c:v>7600</c:v>
                </c:pt>
                <c:pt idx="18">
                  <c:v>7000</c:v>
                </c:pt>
                <c:pt idx="19">
                  <c:v>6600</c:v>
                </c:pt>
                <c:pt idx="20">
                  <c:v>6700</c:v>
                </c:pt>
                <c:pt idx="21">
                  <c:v>6900</c:v>
                </c:pt>
                <c:pt idx="22">
                  <c:v>6900</c:v>
                </c:pt>
                <c:pt idx="23">
                  <c:v>6800</c:v>
                </c:pt>
                <c:pt idx="24">
                  <c:v>7200</c:v>
                </c:pt>
                <c:pt idx="25">
                  <c:v>6700</c:v>
                </c:pt>
                <c:pt idx="26">
                  <c:v>7600</c:v>
                </c:pt>
                <c:pt idx="27">
                  <c:v>7600</c:v>
                </c:pt>
              </c:numCache>
            </c:numRef>
          </c:val>
        </c:ser>
        <c:marker val="1"/>
        <c:axId val="135598464"/>
        <c:axId val="135600000"/>
      </c:lineChart>
      <c:dateAx>
        <c:axId val="135578368"/>
        <c:scaling>
          <c:orientation val="minMax"/>
        </c:scaling>
        <c:axPos val="b"/>
        <c:numFmt formatCode="General" sourceLinked="0"/>
        <c:tickLblPos val="nextTo"/>
        <c:txPr>
          <a:bodyPr/>
          <a:lstStyle/>
          <a:p>
            <a:pPr>
              <a:defRPr lang="en-CA"/>
            </a:pPr>
            <a:endParaRPr lang="en-US"/>
          </a:p>
        </c:txPr>
        <c:crossAx val="135579904"/>
        <c:crosses val="autoZero"/>
        <c:lblOffset val="100"/>
        <c:baseTimeUnit val="days"/>
      </c:dateAx>
      <c:valAx>
        <c:axId val="135579904"/>
        <c:scaling>
          <c:orientation val="minMax"/>
          <c:min val="0"/>
        </c:scaling>
        <c:axPos val="l"/>
        <c:majorGridlines/>
        <c:title>
          <c:tx>
            <c:rich>
              <a:bodyPr rot="-5400000" vert="horz"/>
              <a:lstStyle/>
              <a:p>
                <a:pPr>
                  <a:defRPr lang="en-CA"/>
                </a:pPr>
                <a:r>
                  <a:rPr lang="en-US"/>
                  <a:t>Per</a:t>
                </a:r>
                <a:r>
                  <a:rPr lang="en-US" baseline="0"/>
                  <a:t> cent</a:t>
                </a:r>
                <a:endParaRPr lang="en-US"/>
              </a:p>
            </c:rich>
          </c:tx>
        </c:title>
        <c:numFmt formatCode="General" sourceLinked="1"/>
        <c:tickLblPos val="nextTo"/>
        <c:txPr>
          <a:bodyPr/>
          <a:lstStyle/>
          <a:p>
            <a:pPr>
              <a:defRPr lang="en-CA"/>
            </a:pPr>
            <a:endParaRPr lang="en-US"/>
          </a:p>
        </c:txPr>
        <c:crossAx val="135578368"/>
        <c:crosses val="autoZero"/>
        <c:crossBetween val="between"/>
      </c:valAx>
      <c:catAx>
        <c:axId val="135598464"/>
        <c:scaling>
          <c:orientation val="minMax"/>
        </c:scaling>
        <c:delete val="1"/>
        <c:axPos val="b"/>
        <c:tickLblPos val="none"/>
        <c:crossAx val="135600000"/>
        <c:crosses val="autoZero"/>
        <c:auto val="1"/>
        <c:lblAlgn val="ctr"/>
        <c:lblOffset val="100"/>
      </c:catAx>
      <c:valAx>
        <c:axId val="135600000"/>
        <c:scaling>
          <c:orientation val="minMax"/>
        </c:scaling>
        <c:axPos val="r"/>
        <c:title>
          <c:tx>
            <c:rich>
              <a:bodyPr rot="-5400000" vert="horz"/>
              <a:lstStyle/>
              <a:p>
                <a:pPr>
                  <a:defRPr lang="en-CA" b="0"/>
                </a:pPr>
                <a:r>
                  <a:rPr lang="en-US" b="0"/>
                  <a:t>2007</a:t>
                </a:r>
                <a:r>
                  <a:rPr lang="en-US" b="0" baseline="0"/>
                  <a:t> Dollars</a:t>
                </a:r>
                <a:endParaRPr lang="en-US" b="0"/>
              </a:p>
            </c:rich>
          </c:tx>
        </c:title>
        <c:numFmt formatCode="General" sourceLinked="1"/>
        <c:tickLblPos val="nextTo"/>
        <c:txPr>
          <a:bodyPr/>
          <a:lstStyle/>
          <a:p>
            <a:pPr>
              <a:defRPr lang="en-CA"/>
            </a:pPr>
            <a:endParaRPr lang="en-US"/>
          </a:p>
        </c:txPr>
        <c:crossAx val="135598464"/>
        <c:crosses val="max"/>
        <c:crossBetween val="between"/>
      </c:valAx>
    </c:plotArea>
    <c:plotVisOnly val="1"/>
    <c:dispBlanksAs val="gap"/>
  </c:chart>
  <c:spPr>
    <a:ln>
      <a:noFill/>
    </a:ln>
  </c:spPr>
  <c:printSettings>
    <c:headerFooter/>
    <c:pageMargins b="0.75000000000000322" l="0.70000000000000062" r="0.70000000000000062" t="0.75000000000000322" header="0.30000000000000032" footer="0.30000000000000032"/>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2530712530712534"/>
          <c:y val="5.0420271509551313E-2"/>
          <c:w val="0.74692874692874955"/>
          <c:h val="0.70588380113371763"/>
        </c:manualLayout>
      </c:layout>
      <c:lineChart>
        <c:grouping val="standard"/>
        <c:ser>
          <c:idx val="0"/>
          <c:order val="0"/>
          <c:tx>
            <c:v>Poverty Rate - Left Axis</c:v>
          </c:tx>
          <c:marker>
            <c:symbol val="square"/>
            <c:size val="5"/>
          </c:marker>
          <c:cat>
            <c:numRef>
              <c:f>'[2]7'!$A$19:$A$46</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'[2]7'!$B$19:$B$46</c:f>
              <c:numCache>
                <c:formatCode>General</c:formatCode>
                <c:ptCount val="28"/>
                <c:pt idx="0">
                  <c:v>0.27078562954425101</c:v>
                </c:pt>
                <c:pt idx="1">
                  <c:v>17.8</c:v>
                </c:pt>
                <c:pt idx="2">
                  <c:v>19.399999999999999</c:v>
                </c:pt>
                <c:pt idx="3">
                  <c:v>16.2</c:v>
                </c:pt>
                <c:pt idx="4">
                  <c:v>14.7</c:v>
                </c:pt>
                <c:pt idx="5">
                  <c:v>13.5</c:v>
                </c:pt>
                <c:pt idx="6">
                  <c:v>12.6</c:v>
                </c:pt>
                <c:pt idx="7">
                  <c:v>13</c:v>
                </c:pt>
                <c:pt idx="8">
                  <c:v>11.3</c:v>
                </c:pt>
                <c:pt idx="9">
                  <c:v>10.8</c:v>
                </c:pt>
                <c:pt idx="10">
                  <c:v>11.1</c:v>
                </c:pt>
                <c:pt idx="11">
                  <c:v>9.8000000000000007</c:v>
                </c:pt>
                <c:pt idx="12">
                  <c:v>10.7</c:v>
                </c:pt>
                <c:pt idx="13">
                  <c:v>8.6</c:v>
                </c:pt>
                <c:pt idx="14">
                  <c:v>8.6999999999999993</c:v>
                </c:pt>
                <c:pt idx="15">
                  <c:v>9.6999999999999993</c:v>
                </c:pt>
                <c:pt idx="16">
                  <c:v>9</c:v>
                </c:pt>
                <c:pt idx="17">
                  <c:v>8.6</c:v>
                </c:pt>
                <c:pt idx="18">
                  <c:v>7.9</c:v>
                </c:pt>
                <c:pt idx="19">
                  <c:v>7.6</c:v>
                </c:pt>
                <c:pt idx="20">
                  <c:v>6.7</c:v>
                </c:pt>
                <c:pt idx="21">
                  <c:v>7.6</c:v>
                </c:pt>
                <c:pt idx="22">
                  <c:v>6.8</c:v>
                </c:pt>
                <c:pt idx="23">
                  <c:v>5.6</c:v>
                </c:pt>
                <c:pt idx="24">
                  <c:v>6.1</c:v>
                </c:pt>
                <c:pt idx="25">
                  <c:v>5.4</c:v>
                </c:pt>
                <c:pt idx="26">
                  <c:v>4.8</c:v>
                </c:pt>
                <c:pt idx="27">
                  <c:v>0.83731839475495318</c:v>
                </c:pt>
              </c:numCache>
            </c:numRef>
          </c:val>
        </c:ser>
        <c:marker val="1"/>
        <c:axId val="135621632"/>
        <c:axId val="135631616"/>
      </c:lineChart>
      <c:lineChart>
        <c:grouping val="standard"/>
        <c:ser>
          <c:idx val="1"/>
          <c:order val="1"/>
          <c:tx>
            <c:v>Poverty Gap - Right Axis</c:v>
          </c:tx>
          <c:marker>
            <c:symbol val="triangle"/>
            <c:size val="5"/>
          </c:marker>
          <c:val>
            <c:numRef>
              <c:f>'[2]7'!$C$19:$C$46</c:f>
              <c:numCache>
                <c:formatCode>General</c:formatCode>
                <c:ptCount val="28"/>
                <c:pt idx="0">
                  <c:v>1700</c:v>
                </c:pt>
                <c:pt idx="1">
                  <c:v>1800</c:v>
                </c:pt>
                <c:pt idx="2">
                  <c:v>2000</c:v>
                </c:pt>
                <c:pt idx="3">
                  <c:v>2100</c:v>
                </c:pt>
                <c:pt idx="4">
                  <c:v>2100</c:v>
                </c:pt>
                <c:pt idx="5">
                  <c:v>2000</c:v>
                </c:pt>
                <c:pt idx="6">
                  <c:v>2200</c:v>
                </c:pt>
                <c:pt idx="7">
                  <c:v>2200</c:v>
                </c:pt>
                <c:pt idx="8">
                  <c:v>2200</c:v>
                </c:pt>
                <c:pt idx="9">
                  <c:v>2200</c:v>
                </c:pt>
                <c:pt idx="10">
                  <c:v>2000</c:v>
                </c:pt>
                <c:pt idx="11">
                  <c:v>2200</c:v>
                </c:pt>
                <c:pt idx="12">
                  <c:v>2700</c:v>
                </c:pt>
                <c:pt idx="13">
                  <c:v>2400</c:v>
                </c:pt>
                <c:pt idx="14">
                  <c:v>2100</c:v>
                </c:pt>
                <c:pt idx="15">
                  <c:v>2600</c:v>
                </c:pt>
                <c:pt idx="16">
                  <c:v>2900</c:v>
                </c:pt>
                <c:pt idx="17">
                  <c:v>3000</c:v>
                </c:pt>
                <c:pt idx="18">
                  <c:v>2400</c:v>
                </c:pt>
                <c:pt idx="19">
                  <c:v>2900</c:v>
                </c:pt>
                <c:pt idx="20">
                  <c:v>3100</c:v>
                </c:pt>
                <c:pt idx="21">
                  <c:v>2900</c:v>
                </c:pt>
                <c:pt idx="22">
                  <c:v>3500</c:v>
                </c:pt>
                <c:pt idx="23">
                  <c:v>3100</c:v>
                </c:pt>
                <c:pt idx="24">
                  <c:v>2800</c:v>
                </c:pt>
                <c:pt idx="25">
                  <c:v>3200</c:v>
                </c:pt>
                <c:pt idx="26">
                  <c:v>3200</c:v>
                </c:pt>
                <c:pt idx="27">
                  <c:v>3200</c:v>
                </c:pt>
              </c:numCache>
            </c:numRef>
          </c:val>
        </c:ser>
        <c:marker val="1"/>
        <c:axId val="135633536"/>
        <c:axId val="135639424"/>
      </c:lineChart>
      <c:dateAx>
        <c:axId val="135621632"/>
        <c:scaling>
          <c:orientation val="minMax"/>
        </c:scaling>
        <c:axPos val="b"/>
        <c:numFmt formatCode="General" sourceLinked="0"/>
        <c:tickLblPos val="nextTo"/>
        <c:txPr>
          <a:bodyPr/>
          <a:lstStyle/>
          <a:p>
            <a:pPr>
              <a:defRPr lang="en-CA"/>
            </a:pPr>
            <a:endParaRPr lang="en-US"/>
          </a:p>
        </c:txPr>
        <c:crossAx val="135631616"/>
        <c:crosses val="autoZero"/>
        <c:lblOffset val="100"/>
        <c:baseTimeUnit val="days"/>
      </c:dateAx>
      <c:valAx>
        <c:axId val="135631616"/>
        <c:scaling>
          <c:orientation val="minMax"/>
        </c:scaling>
        <c:axPos val="l"/>
        <c:majorGridlines/>
        <c:title>
          <c:tx>
            <c:rich>
              <a:bodyPr rot="-5400000" vert="horz"/>
              <a:lstStyle/>
              <a:p>
                <a:pPr>
                  <a:defRPr lang="en-CA" b="0"/>
                </a:pPr>
                <a:r>
                  <a:rPr lang="en-US" b="0"/>
                  <a:t>Per cent</a:t>
                </a:r>
              </a:p>
            </c:rich>
          </c:tx>
        </c:title>
        <c:numFmt formatCode="General" sourceLinked="1"/>
        <c:tickLblPos val="nextTo"/>
        <c:txPr>
          <a:bodyPr/>
          <a:lstStyle/>
          <a:p>
            <a:pPr>
              <a:defRPr lang="en-CA"/>
            </a:pPr>
            <a:endParaRPr lang="en-US"/>
          </a:p>
        </c:txPr>
        <c:crossAx val="135621632"/>
        <c:crosses val="autoZero"/>
        <c:crossBetween val="between"/>
      </c:valAx>
      <c:catAx>
        <c:axId val="135633536"/>
        <c:scaling>
          <c:orientation val="minMax"/>
        </c:scaling>
        <c:delete val="1"/>
        <c:axPos val="b"/>
        <c:tickLblPos val="none"/>
        <c:crossAx val="135639424"/>
        <c:crosses val="autoZero"/>
        <c:auto val="1"/>
        <c:lblAlgn val="ctr"/>
        <c:lblOffset val="100"/>
      </c:catAx>
      <c:valAx>
        <c:axId val="135639424"/>
        <c:scaling>
          <c:orientation val="minMax"/>
        </c:scaling>
        <c:axPos val="r"/>
        <c:title>
          <c:tx>
            <c:rich>
              <a:bodyPr rot="-5400000" vert="horz"/>
              <a:lstStyle/>
              <a:p>
                <a:pPr>
                  <a:defRPr lang="en-CA" b="0"/>
                </a:pPr>
                <a:r>
                  <a:rPr lang="en-US" b="0"/>
                  <a:t>2007</a:t>
                </a:r>
                <a:r>
                  <a:rPr lang="en-US" b="0" baseline="0"/>
                  <a:t> Dollars</a:t>
                </a:r>
                <a:endParaRPr lang="en-US" b="0"/>
              </a:p>
            </c:rich>
          </c:tx>
        </c:title>
        <c:numFmt formatCode="General" sourceLinked="1"/>
        <c:tickLblPos val="nextTo"/>
        <c:txPr>
          <a:bodyPr/>
          <a:lstStyle/>
          <a:p>
            <a:pPr>
              <a:defRPr lang="en-CA"/>
            </a:pPr>
            <a:endParaRPr lang="en-US"/>
          </a:p>
        </c:txPr>
        <c:crossAx val="135633536"/>
        <c:crosses val="max"/>
        <c:crossBetween val="between"/>
      </c:valAx>
    </c:plotArea>
    <c:legend>
      <c:legendPos val="r"/>
      <c:layout>
        <c:manualLayout>
          <c:xMode val="edge"/>
          <c:yMode val="edge"/>
          <c:x val="8.4398731408573929E-2"/>
          <c:y val="0.53260976524275927"/>
          <c:w val="0.4893475503062118"/>
          <c:h val="0.18290286884871099"/>
        </c:manualLayout>
      </c:layout>
      <c:spPr>
        <a:solidFill>
          <a:schemeClr val="bg1"/>
        </a:solidFill>
        <a:ln>
          <a:solidFill>
            <a:sysClr val="windowText" lastClr="000000"/>
          </a:solidFill>
        </a:ln>
      </c:spPr>
      <c:txPr>
        <a:bodyPr/>
        <a:lstStyle/>
        <a:p>
          <a:pPr>
            <a:defRPr lang="en-CA"/>
          </a:pPr>
          <a:endParaRPr lang="en-US"/>
        </a:p>
      </c:txPr>
    </c:legend>
    <c:plotVisOnly val="1"/>
    <c:dispBlanksAs val="gap"/>
  </c:chart>
  <c:printSettings>
    <c:headerFooter/>
    <c:pageMargins b="0.75000000000000344" l="0.70000000000000062" r="0.70000000000000062" t="0.75000000000000344" header="0.30000000000000032" footer="0.30000000000000032"/>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c:lang val="en-US"/>
  <c:style val="1"/>
  <c:chart>
    <c:autoTitleDeleted val="1"/>
    <c:plotArea>
      <c:layout>
        <c:manualLayout>
          <c:layoutTarget val="inner"/>
          <c:xMode val="edge"/>
          <c:yMode val="edge"/>
          <c:x val="0.13319238900634325"/>
          <c:y val="6.7340288760945263E-2"/>
          <c:w val="0.81606765327695552"/>
          <c:h val="0.6969719886757868"/>
        </c:manualLayout>
      </c:layout>
      <c:lineChart>
        <c:grouping val="standard"/>
        <c:ser>
          <c:idx val="0"/>
          <c:order val="0"/>
          <c:tx>
            <c:v>Gini</c:v>
          </c:tx>
          <c:marker>
            <c:symbol val="none"/>
          </c:marker>
          <c:cat>
            <c:numRef>
              <c:f>[2]a17!$A$17:$A$44</c:f>
              <c:numCache>
                <c:formatCode>General</c:formatCode>
                <c:ptCount val="2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numCache>
            </c:numRef>
          </c:cat>
          <c:val>
            <c:numRef>
              <c:f>[2]a17!$B$17:$B$44</c:f>
              <c:numCache>
                <c:formatCode>General</c:formatCode>
                <c:ptCount val="28"/>
                <c:pt idx="0">
                  <c:v>0.34799999999999998</c:v>
                </c:pt>
                <c:pt idx="1">
                  <c:v>0.35099999999999998</c:v>
                </c:pt>
                <c:pt idx="2">
                  <c:v>0.36099999999999999</c:v>
                </c:pt>
                <c:pt idx="3">
                  <c:v>0.35699999999999998</c:v>
                </c:pt>
                <c:pt idx="4">
                  <c:v>0.35699999999999998</c:v>
                </c:pt>
                <c:pt idx="5">
                  <c:v>0.35799999999999998</c:v>
                </c:pt>
                <c:pt idx="6">
                  <c:v>0.35499999999999998</c:v>
                </c:pt>
                <c:pt idx="7">
                  <c:v>0.35399999999999998</c:v>
                </c:pt>
                <c:pt idx="8">
                  <c:v>0.35099999999999998</c:v>
                </c:pt>
                <c:pt idx="9">
                  <c:v>0.35699999999999998</c:v>
                </c:pt>
                <c:pt idx="10">
                  <c:v>0.36399999999999999</c:v>
                </c:pt>
                <c:pt idx="11">
                  <c:v>0.36399999999999999</c:v>
                </c:pt>
                <c:pt idx="12">
                  <c:v>0.36699999999999999</c:v>
                </c:pt>
                <c:pt idx="13">
                  <c:v>0.36199999999999999</c:v>
                </c:pt>
                <c:pt idx="14">
                  <c:v>0.36599999999999999</c:v>
                </c:pt>
                <c:pt idx="15">
                  <c:v>0.377</c:v>
                </c:pt>
                <c:pt idx="16">
                  <c:v>0.38500000000000001</c:v>
                </c:pt>
                <c:pt idx="17">
                  <c:v>0.38600000000000001</c:v>
                </c:pt>
                <c:pt idx="18">
                  <c:v>0.38600000000000001</c:v>
                </c:pt>
                <c:pt idx="19">
                  <c:v>0.39200000000000002</c:v>
                </c:pt>
                <c:pt idx="20">
                  <c:v>0.39200000000000002</c:v>
                </c:pt>
                <c:pt idx="21">
                  <c:v>0.39100000000000001</c:v>
                </c:pt>
                <c:pt idx="22">
                  <c:v>0.38900000000000001</c:v>
                </c:pt>
                <c:pt idx="23">
                  <c:v>0.39400000000000002</c:v>
                </c:pt>
                <c:pt idx="24">
                  <c:v>0.39300000000000002</c:v>
                </c:pt>
                <c:pt idx="25">
                  <c:v>0.39200000000000002</c:v>
                </c:pt>
                <c:pt idx="26">
                  <c:v>0.39300000000000002</c:v>
                </c:pt>
                <c:pt idx="27">
                  <c:v>0.39300000000000002</c:v>
                </c:pt>
              </c:numCache>
            </c:numRef>
          </c:val>
        </c:ser>
        <c:marker val="1"/>
        <c:axId val="135675904"/>
        <c:axId val="135677440"/>
      </c:lineChart>
      <c:catAx>
        <c:axId val="135675904"/>
        <c:scaling>
          <c:orientation val="minMax"/>
        </c:scaling>
        <c:axPos val="b"/>
        <c:numFmt formatCode="General" sourceLinked="1"/>
        <c:tickLblPos val="nextTo"/>
        <c:txPr>
          <a:bodyPr/>
          <a:lstStyle/>
          <a:p>
            <a:pPr>
              <a:defRPr lang="en-CA"/>
            </a:pPr>
            <a:endParaRPr lang="en-US"/>
          </a:p>
        </c:txPr>
        <c:crossAx val="135677440"/>
        <c:crosses val="autoZero"/>
        <c:auto val="1"/>
        <c:lblAlgn val="ctr"/>
        <c:lblOffset val="100"/>
      </c:catAx>
      <c:valAx>
        <c:axId val="135677440"/>
        <c:scaling>
          <c:orientation val="minMax"/>
        </c:scaling>
        <c:axPos val="l"/>
        <c:majorGridlines/>
        <c:title>
          <c:tx>
            <c:rich>
              <a:bodyPr rot="-5400000" vert="horz"/>
              <a:lstStyle/>
              <a:p>
                <a:pPr>
                  <a:defRPr lang="en-CA" b="0"/>
                </a:pPr>
                <a:r>
                  <a:rPr lang="en-US" b="0"/>
                  <a:t>Gini</a:t>
                </a:r>
                <a:r>
                  <a:rPr lang="en-US" b="0" baseline="0"/>
                  <a:t> Coefficient</a:t>
                </a:r>
                <a:endParaRPr lang="en-US" b="0"/>
              </a:p>
            </c:rich>
          </c:tx>
        </c:title>
        <c:numFmt formatCode="0.00" sourceLinked="0"/>
        <c:tickLblPos val="nextTo"/>
        <c:txPr>
          <a:bodyPr/>
          <a:lstStyle/>
          <a:p>
            <a:pPr>
              <a:defRPr lang="en-CA"/>
            </a:pPr>
            <a:endParaRPr lang="en-US"/>
          </a:p>
        </c:txPr>
        <c:crossAx val="135675904"/>
        <c:crosses val="autoZero"/>
        <c:crossBetween val="between"/>
      </c:valAx>
    </c:plotArea>
    <c:plotVisOnly val="1"/>
    <c:dispBlanksAs val="gap"/>
  </c:chart>
  <c:spPr>
    <a:ln>
      <a:noFill/>
    </a:ln>
  </c:spPr>
  <c:printSettings>
    <c:headerFooter/>
    <c:pageMargins b="0.75000000000000289" l="0.70000000000000062" r="0.70000000000000062" t="0.75000000000000289" header="0.30000000000000032" footer="0.30000000000000032"/>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lang val="en-US"/>
  <c:style val="1"/>
  <c:chart>
    <c:plotArea>
      <c:layout>
        <c:manualLayout>
          <c:layoutTarget val="inner"/>
          <c:xMode val="edge"/>
          <c:yMode val="edge"/>
          <c:x val="0.1"/>
          <c:y val="4.8611111111111112E-2"/>
          <c:w val="0.88124999999999998"/>
          <c:h val="0.79513888888888884"/>
        </c:manualLayout>
      </c:layout>
      <c:barChart>
        <c:barDir val="col"/>
        <c:grouping val="clustered"/>
        <c:ser>
          <c:idx val="0"/>
          <c:order val="0"/>
          <c:tx>
            <c:v>Index of Economic Well-being</c:v>
          </c:tx>
          <c:spPr>
            <a:solidFill>
              <a:schemeClr val="tx1"/>
            </a:solidFill>
          </c:spPr>
          <c:cat>
            <c:strRef>
              <c:f>'C1a'!$A$6:$A$9</c:f>
              <c:strCache>
                <c:ptCount val="4"/>
                <c:pt idx="0">
                  <c:v>1981-2009</c:v>
                </c:pt>
                <c:pt idx="1">
                  <c:v>1981-1989</c:v>
                </c:pt>
                <c:pt idx="2">
                  <c:v>1989-2000</c:v>
                </c:pt>
                <c:pt idx="3">
                  <c:v>2000-2009</c:v>
                </c:pt>
              </c:strCache>
            </c:strRef>
          </c:cat>
          <c:val>
            <c:numRef>
              <c:f>'C1a'!$B$6:$B$9</c:f>
              <c:numCache>
                <c:formatCode>General</c:formatCode>
                <c:ptCount val="4"/>
                <c:pt idx="0">
                  <c:v>1.0659439285221062</c:v>
                </c:pt>
                <c:pt idx="1">
                  <c:v>1.4317200388277884</c:v>
                </c:pt>
                <c:pt idx="2">
                  <c:v>-0.18569078139941686</c:v>
                </c:pt>
                <c:pt idx="3">
                  <c:v>2.2880538499630454</c:v>
                </c:pt>
              </c:numCache>
            </c:numRef>
          </c:val>
        </c:ser>
        <c:ser>
          <c:idx val="1"/>
          <c:order val="1"/>
          <c:tx>
            <c:v>Per-capita GDP</c:v>
          </c:tx>
          <c:val>
            <c:numRef>
              <c:f>'C1a'!$C$6:$C$9</c:f>
              <c:numCache>
                <c:formatCode>General</c:formatCode>
                <c:ptCount val="4"/>
                <c:pt idx="0">
                  <c:v>1.5623344546885187</c:v>
                </c:pt>
                <c:pt idx="1">
                  <c:v>1.8601788753041415</c:v>
                </c:pt>
                <c:pt idx="2">
                  <c:v>1.5721151707197345</c:v>
                </c:pt>
                <c:pt idx="3">
                  <c:v>1.2863932173289072</c:v>
                </c:pt>
              </c:numCache>
            </c:numRef>
          </c:val>
        </c:ser>
        <c:axId val="137033600"/>
        <c:axId val="137035136"/>
      </c:barChart>
      <c:catAx>
        <c:axId val="137033600"/>
        <c:scaling>
          <c:orientation val="minMax"/>
        </c:scaling>
        <c:axPos val="b"/>
        <c:numFmt formatCode="General" sourceLinked="1"/>
        <c:tickLblPos val="nextTo"/>
        <c:txPr>
          <a:bodyPr/>
          <a:lstStyle/>
          <a:p>
            <a:pPr>
              <a:defRPr lang="en-CA"/>
            </a:pPr>
            <a:endParaRPr lang="en-US"/>
          </a:p>
        </c:txPr>
        <c:crossAx val="137035136"/>
        <c:crosses val="autoZero"/>
        <c:auto val="1"/>
        <c:lblAlgn val="ctr"/>
        <c:lblOffset val="100"/>
      </c:catAx>
      <c:valAx>
        <c:axId val="137035136"/>
        <c:scaling>
          <c:orientation val="minMax"/>
        </c:scaling>
        <c:axPos val="l"/>
        <c:majorGridlines/>
        <c:title>
          <c:tx>
            <c:rich>
              <a:bodyPr rot="-5400000" vert="horz"/>
              <a:lstStyle/>
              <a:p>
                <a:pPr>
                  <a:defRPr lang="en-CA" b="0"/>
                </a:pPr>
                <a:r>
                  <a:rPr lang="en-US" b="0"/>
                  <a:t>Growth</a:t>
                </a:r>
                <a:r>
                  <a:rPr lang="en-US" b="0" baseline="0"/>
                  <a:t> Rate (per cent per year)</a:t>
                </a:r>
                <a:endParaRPr lang="en-US" b="0"/>
              </a:p>
            </c:rich>
          </c:tx>
        </c:title>
        <c:numFmt formatCode="#,##0.0" sourceLinked="0"/>
        <c:tickLblPos val="nextTo"/>
        <c:txPr>
          <a:bodyPr/>
          <a:lstStyle/>
          <a:p>
            <a:pPr>
              <a:defRPr lang="en-CA"/>
            </a:pPr>
            <a:endParaRPr lang="en-US"/>
          </a:p>
        </c:txPr>
        <c:crossAx val="137033600"/>
        <c:crosses val="autoZero"/>
        <c:crossBetween val="between"/>
      </c:valAx>
    </c:plotArea>
    <c:legend>
      <c:legendPos val="r"/>
      <c:layout>
        <c:manualLayout>
          <c:xMode val="edge"/>
          <c:yMode val="edge"/>
          <c:x val="0.11283464566929149"/>
          <c:y val="9.645450568678976E-2"/>
          <c:w val="0.43438757655293264"/>
          <c:h val="0.11727617381160757"/>
        </c:manualLayout>
      </c:layout>
      <c:spPr>
        <a:solidFill>
          <a:sysClr val="window" lastClr="FFFFFF"/>
        </a:solidFill>
        <a:ln>
          <a:solidFill>
            <a:sysClr val="windowText" lastClr="000000"/>
          </a:solidFill>
        </a:ln>
      </c:spPr>
      <c:txPr>
        <a:bodyPr/>
        <a:lstStyle/>
        <a:p>
          <a:pPr>
            <a:defRPr lang="en-CA"/>
          </a:pPr>
          <a:endParaRPr lang="en-US"/>
        </a:p>
      </c:txPr>
    </c:legend>
    <c:plotVisOnly val="1"/>
    <c:dispBlanksAs val="gap"/>
  </c:chart>
  <c:spPr>
    <a:ln>
      <a:noFill/>
    </a:ln>
  </c:spPr>
  <c:printSettings>
    <c:headerFooter/>
    <c:pageMargins b="0.75000000000000422" l="0.70000000000000062" r="0.70000000000000062" t="0.75000000000000422" header="0.30000000000000032" footer="0.30000000000000032"/>
    <c:pageSetup/>
  </c:printSettings>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9.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69.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70.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71.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72.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73.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74.bin"/></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134.xml"/></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75.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76.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7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0.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78.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79.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80.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81.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82.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83.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84.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85.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86.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8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1.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8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2.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3.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4.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5.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6.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68.bin"/></Relationships>
</file>

<file path=xl/chartsheets/sheet1.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10.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11.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12.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13.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14.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15.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16.xml><?xml version="1.0" encoding="utf-8"?>
<chartsheet xmlns="http://schemas.openxmlformats.org/spreadsheetml/2006/main" xmlns:r="http://schemas.openxmlformats.org/officeDocument/2006/relationships">
  <sheetPr/>
  <sheetViews>
    <sheetView zoomScale="121"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18.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19.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2.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20.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21.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22.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23.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24.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25.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26.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27.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28.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29.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3.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30.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4.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5.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6.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7.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8.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chartsheets/sheet9.xml><?xml version="1.0" encoding="utf-8"?>
<chartsheet xmlns="http://schemas.openxmlformats.org/spreadsheetml/2006/main" xmlns:r="http://schemas.openxmlformats.org/officeDocument/2006/relationships">
  <sheetPr/>
  <sheetViews>
    <sheetView zoomScale="74" workbookViewId="0"/>
  </sheetViews>
  <pageMargins left="0.75" right="0.75" top="1" bottom="1" header="0.5" footer="0.5"/>
  <pageSetup orientation="landscape" horizontalDpi="360" verticalDpi="36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16.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10" Type="http://schemas.openxmlformats.org/officeDocument/2006/relationships/chart" Target="../charts/chart74.xml"/><Relationship Id="rId4" Type="http://schemas.openxmlformats.org/officeDocument/2006/relationships/chart" Target="../charts/chart68.xml"/><Relationship Id="rId9" Type="http://schemas.openxmlformats.org/officeDocument/2006/relationships/chart" Target="../charts/chart73.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36.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5" Type="http://schemas.openxmlformats.org/officeDocument/2006/relationships/chart" Target="../charts/chart87.xml"/><Relationship Id="rId4" Type="http://schemas.openxmlformats.org/officeDocument/2006/relationships/chart" Target="../charts/chart86.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48.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 Id="rId5" Type="http://schemas.openxmlformats.org/officeDocument/2006/relationships/chart" Target="../charts/chart98.xml"/><Relationship Id="rId4" Type="http://schemas.openxmlformats.org/officeDocument/2006/relationships/chart" Target="../charts/chart9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4.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64.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76.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 Id="rId4" Type="http://schemas.openxmlformats.org/officeDocument/2006/relationships/chart" Target="../charts/chart1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1.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1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4.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18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6.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82.xml.rels><?xml version="1.0" encoding="UTF-8" standalone="yes"?>
<Relationships xmlns="http://schemas.openxmlformats.org/package/2006/relationships"><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0.xml.rels><?xml version="1.0" encoding="UTF-8" standalone="yes"?>
<Relationships xmlns="http://schemas.openxmlformats.org/package/2006/relationships"><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96.xml.rels><?xml version="1.0" encoding="UTF-8" standalone="yes"?>
<Relationships xmlns="http://schemas.openxmlformats.org/package/2006/relationships"><Relationship Id="rId1" Type="http://schemas.openxmlformats.org/officeDocument/2006/relationships/image" Target="../media/image2.png"/></Relationships>
</file>

<file path=xl/drawings/_rels/drawing9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55.xml"/></Relationships>
</file>

<file path=xl/drawings/drawing1.xml><?xml version="1.0" encoding="utf-8"?>
<xdr:wsDr xmlns:xdr="http://schemas.openxmlformats.org/drawingml/2006/spreadsheetDrawing" xmlns:a="http://schemas.openxmlformats.org/drawingml/2006/main">
  <xdr:absoluteAnchor>
    <xdr:pos x="0" y="200025"/>
    <xdr:ext cx="5162550" cy="30670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cdr:x>
      <cdr:y>0.94165</cdr:y>
    </cdr:from>
    <cdr:to>
      <cdr:x>0.42053</cdr:x>
      <cdr:y>0.9776</cdr:y>
    </cdr:to>
    <cdr:sp macro="" textlink="">
      <cdr:nvSpPr>
        <cdr:cNvPr id="2" name="TextBox 1"/>
        <cdr:cNvSpPr txBox="1"/>
      </cdr:nvSpPr>
      <cdr:spPr>
        <a:xfrm xmlns:a="http://schemas.openxmlformats.org/drawingml/2006/main">
          <a:off x="-23616" y="5919670"/>
          <a:ext cx="3637044" cy="2260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t>Source: Table</a:t>
          </a:r>
          <a:r>
            <a:rPr lang="en-US" sz="900" baseline="0"/>
            <a:t> 9.</a:t>
          </a:r>
          <a:endParaRPr lang="en-US" sz="900"/>
        </a:p>
      </cdr:txBody>
    </cdr:sp>
  </cdr:relSizeAnchor>
</c:userShapes>
</file>

<file path=xl/drawings/drawing100.xml><?xml version="1.0" encoding="utf-8"?>
<c:userShapes xmlns:c="http://schemas.openxmlformats.org/drawingml/2006/chart">
  <cdr:relSizeAnchor xmlns:cdr="http://schemas.openxmlformats.org/drawingml/2006/chartDrawing">
    <cdr:from>
      <cdr:x>0.0141</cdr:x>
      <cdr:y>0.94023</cdr:y>
    </cdr:from>
    <cdr:to>
      <cdr:x>0.09591</cdr:x>
      <cdr:y>0.9908</cdr:y>
    </cdr:to>
    <cdr:sp macro="" textlink="">
      <cdr:nvSpPr>
        <cdr:cNvPr id="2" name="TextBox 1"/>
        <cdr:cNvSpPr txBox="1"/>
      </cdr:nvSpPr>
      <cdr:spPr>
        <a:xfrm xmlns:a="http://schemas.openxmlformats.org/drawingml/2006/main">
          <a:off x="95250" y="3895725"/>
          <a:ext cx="552450" cy="2095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en-CA" sz="800"/>
            <a:t>Source: Table 6</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598193</xdr:colOff>
      <xdr:row>17</xdr:row>
      <xdr:rowOff>34347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0.01089</cdr:x>
      <cdr:y>0.93061</cdr:y>
    </cdr:from>
    <cdr:to>
      <cdr:x>0.83589</cdr:x>
      <cdr:y>1</cdr:y>
    </cdr:to>
    <cdr:sp macro="" textlink="">
      <cdr:nvSpPr>
        <cdr:cNvPr id="2" name="TextBox 1"/>
        <cdr:cNvSpPr txBox="1"/>
      </cdr:nvSpPr>
      <cdr:spPr>
        <a:xfrm xmlns:a="http://schemas.openxmlformats.org/drawingml/2006/main">
          <a:off x="58770" y="2445435"/>
          <a:ext cx="4454004" cy="182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a:t>
          </a:r>
          <a:r>
            <a:rPr lang="en-US" sz="900" baseline="0"/>
            <a:t> Table 7 </a:t>
          </a:r>
          <a:endParaRPr lang="en-US" sz="900"/>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582146</xdr:colOff>
      <xdr:row>17</xdr:row>
      <xdr:rowOff>152400</xdr:rowOff>
    </xdr:to>
    <xdr:graphicFrame macro="">
      <xdr:nvGraphicFramePr>
        <xdr:cNvPr id="2"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0.04409</cdr:x>
      <cdr:y>0.89167</cdr:y>
    </cdr:from>
    <cdr:to>
      <cdr:x>0.90829</cdr:x>
      <cdr:y>0.96111</cdr:y>
    </cdr:to>
    <cdr:sp macro="" textlink="">
      <cdr:nvSpPr>
        <cdr:cNvPr id="2" name="TextBox 1"/>
        <cdr:cNvSpPr txBox="1"/>
      </cdr:nvSpPr>
      <cdr:spPr>
        <a:xfrm xmlns:a="http://schemas.openxmlformats.org/drawingml/2006/main">
          <a:off x="238126" y="3057525"/>
          <a:ext cx="46672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0.05291</cdr:x>
      <cdr:y>0.92778</cdr:y>
    </cdr:from>
    <cdr:to>
      <cdr:x>0.75661</cdr:x>
      <cdr:y>0.98333</cdr:y>
    </cdr:to>
    <cdr:sp macro="" textlink="">
      <cdr:nvSpPr>
        <cdr:cNvPr id="4" name="TextBox 3"/>
        <cdr:cNvSpPr txBox="1"/>
      </cdr:nvSpPr>
      <cdr:spPr>
        <a:xfrm xmlns:a="http://schemas.openxmlformats.org/drawingml/2006/main">
          <a:off x="285770" y="3181365"/>
          <a:ext cx="3800455" cy="1904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a:latin typeface="+mn-lt"/>
              <a:ea typeface="+mn-ea"/>
              <a:cs typeface="+mn-cs"/>
            </a:rPr>
            <a:t>Source: Appendix Table 27</a:t>
          </a:r>
          <a:endParaRPr lang="en-US" sz="900"/>
        </a:p>
        <a:p xmlns:a="http://schemas.openxmlformats.org/drawingml/2006/main">
          <a:endParaRPr lang="en-US" sz="900"/>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323850</xdr:colOff>
      <xdr:row>18</xdr:row>
      <xdr:rowOff>95250</xdr:rowOff>
    </xdr:to>
    <xdr:graphicFrame macro="">
      <xdr:nvGraphicFramePr>
        <xdr:cNvPr id="2"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0.01286</cdr:x>
      <cdr:y>0.91539</cdr:y>
    </cdr:from>
    <cdr:to>
      <cdr:x>0.68249</cdr:x>
      <cdr:y>0.98329</cdr:y>
    </cdr:to>
    <cdr:sp macro="" textlink="">
      <cdr:nvSpPr>
        <cdr:cNvPr id="3" name="TextBox 2"/>
        <cdr:cNvSpPr txBox="1"/>
      </cdr:nvSpPr>
      <cdr:spPr>
        <a:xfrm xmlns:a="http://schemas.openxmlformats.org/drawingml/2006/main">
          <a:off x="65907" y="2607012"/>
          <a:ext cx="3431486" cy="1933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7</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441512</xdr:colOff>
      <xdr:row>17</xdr:row>
      <xdr:rowOff>66675</xdr:rowOff>
    </xdr:to>
    <xdr:graphicFrame macro="">
      <xdr:nvGraphicFramePr>
        <xdr:cNvPr id="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0.00617</cdr:x>
      <cdr:y>0.93403</cdr:y>
    </cdr:from>
    <cdr:to>
      <cdr:x>0.72492</cdr:x>
      <cdr:y>1</cdr:y>
    </cdr:to>
    <cdr:sp macro="" textlink="">
      <cdr:nvSpPr>
        <cdr:cNvPr id="2" name="TextBox 1"/>
        <cdr:cNvSpPr txBox="1"/>
      </cdr:nvSpPr>
      <cdr:spPr>
        <a:xfrm xmlns:a="http://schemas.openxmlformats.org/drawingml/2006/main">
          <a:off x="28133" y="2558361"/>
          <a:ext cx="3274849" cy="1753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Appendix Table</a:t>
          </a:r>
          <a:r>
            <a:rPr lang="en-US" sz="900" baseline="0"/>
            <a:t> </a:t>
          </a:r>
          <a:r>
            <a:rPr lang="en-US" sz="900"/>
            <a:t>7</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561975</xdr:colOff>
      <xdr:row>19</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457200</xdr:colOff>
      <xdr:row>17</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c:userShapes xmlns:c="http://schemas.openxmlformats.org/drawingml/2006/chart">
  <cdr:relSizeAnchor xmlns:cdr="http://schemas.openxmlformats.org/drawingml/2006/chartDrawing">
    <cdr:from>
      <cdr:x>0.02447</cdr:x>
      <cdr:y>0.93281</cdr:y>
    </cdr:from>
    <cdr:to>
      <cdr:x>0.43485</cdr:x>
      <cdr:y>0.99965</cdr:y>
    </cdr:to>
    <cdr:sp macro="" textlink="">
      <cdr:nvSpPr>
        <cdr:cNvPr id="2" name="TextBox 1"/>
        <cdr:cNvSpPr txBox="1"/>
      </cdr:nvSpPr>
      <cdr:spPr>
        <a:xfrm xmlns:a="http://schemas.openxmlformats.org/drawingml/2006/main">
          <a:off x="133565" y="3154167"/>
          <a:ext cx="2239766" cy="2260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8</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23168</xdr:colOff>
      <xdr:row>16</xdr:row>
      <xdr:rowOff>110353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0</xdr:rowOff>
    </xdr:from>
    <xdr:to>
      <xdr:col>6</xdr:col>
      <xdr:colOff>441512</xdr:colOff>
      <xdr:row>33</xdr:row>
      <xdr:rowOff>66675</xdr:rowOff>
    </xdr:to>
    <xdr:graphicFrame macro="">
      <xdr:nvGraphicFramePr>
        <xdr:cNvPr id="4"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0.01296</cdr:x>
      <cdr:y>0.92205</cdr:y>
    </cdr:from>
    <cdr:to>
      <cdr:x>0.70477</cdr:x>
      <cdr:y>0.98124</cdr:y>
    </cdr:to>
    <cdr:sp macro="" textlink="">
      <cdr:nvSpPr>
        <cdr:cNvPr id="2" name="TextBox 1"/>
        <cdr:cNvSpPr txBox="1"/>
      </cdr:nvSpPr>
      <cdr:spPr>
        <a:xfrm xmlns:a="http://schemas.openxmlformats.org/drawingml/2006/main">
          <a:off x="71392" y="2341306"/>
          <a:ext cx="3811574" cy="1502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9 and Appendix Tables 31-33</a:t>
          </a:r>
        </a:p>
      </cdr:txBody>
    </cdr:sp>
  </cdr:relSizeAnchor>
</c:userShapes>
</file>

<file path=xl/drawings/drawing113.xml><?xml version="1.0" encoding="utf-8"?>
<c:userShapes xmlns:c="http://schemas.openxmlformats.org/drawingml/2006/chart">
  <cdr:relSizeAnchor xmlns:cdr="http://schemas.openxmlformats.org/drawingml/2006/chartDrawing">
    <cdr:from>
      <cdr:x>0.04167</cdr:x>
      <cdr:y>0.89583</cdr:y>
    </cdr:from>
    <cdr:to>
      <cdr:x>0.6625</cdr:x>
      <cdr:y>0.98611</cdr:y>
    </cdr:to>
    <cdr:sp macro="" textlink="">
      <cdr:nvSpPr>
        <cdr:cNvPr id="2" name="TextBox 1"/>
        <cdr:cNvSpPr txBox="1"/>
      </cdr:nvSpPr>
      <cdr:spPr>
        <a:xfrm xmlns:a="http://schemas.openxmlformats.org/drawingml/2006/main">
          <a:off x="190500" y="2457450"/>
          <a:ext cx="283845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114.xml><?xml version="1.0" encoding="utf-8"?>
<xdr:wsDr xmlns:xdr="http://schemas.openxmlformats.org/drawingml/2006/spreadsheetDrawing" xmlns:a="http://schemas.openxmlformats.org/drawingml/2006/main">
  <xdr:twoCellAnchor>
    <xdr:from>
      <xdr:col>6</xdr:col>
      <xdr:colOff>9525</xdr:colOff>
      <xdr:row>13</xdr:row>
      <xdr:rowOff>9524</xdr:rowOff>
    </xdr:from>
    <xdr:to>
      <xdr:col>11</xdr:col>
      <xdr:colOff>723901</xdr:colOff>
      <xdr:row>29</xdr:row>
      <xdr:rowOff>152399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5</xdr:col>
      <xdr:colOff>142875</xdr:colOff>
      <xdr:row>10</xdr:row>
      <xdr:rowOff>152400</xdr:rowOff>
    </xdr:from>
    <xdr:to>
      <xdr:col>11</xdr:col>
      <xdr:colOff>600075</xdr:colOff>
      <xdr:row>27</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276225</xdr:colOff>
      <xdr:row>3</xdr:row>
      <xdr:rowOff>38100</xdr:rowOff>
    </xdr:from>
    <xdr:to>
      <xdr:col>7</xdr:col>
      <xdr:colOff>47625</xdr:colOff>
      <xdr:row>20</xdr:row>
      <xdr:rowOff>28575</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38100</xdr:colOff>
      <xdr:row>40</xdr:row>
      <xdr:rowOff>95250</xdr:rowOff>
    </xdr:from>
    <xdr:to>
      <xdr:col>24</xdr:col>
      <xdr:colOff>542925</xdr:colOff>
      <xdr:row>57</xdr:row>
      <xdr:rowOff>85725</xdr:rowOff>
    </xdr:to>
    <xdr:graphicFrame macro="">
      <xdr:nvGraphicFramePr>
        <xdr:cNvPr id="32"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123825</xdr:colOff>
      <xdr:row>58</xdr:row>
      <xdr:rowOff>0</xdr:rowOff>
    </xdr:from>
    <xdr:to>
      <xdr:col>24</xdr:col>
      <xdr:colOff>581025</xdr:colOff>
      <xdr:row>74</xdr:row>
      <xdr:rowOff>152400</xdr:rowOff>
    </xdr:to>
    <xdr:graphicFrame macro="">
      <xdr:nvGraphicFramePr>
        <xdr:cNvPr id="33"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561975</xdr:colOff>
      <xdr:row>57</xdr:row>
      <xdr:rowOff>152400</xdr:rowOff>
    </xdr:from>
    <xdr:to>
      <xdr:col>31</xdr:col>
      <xdr:colOff>333375</xdr:colOff>
      <xdr:row>74</xdr:row>
      <xdr:rowOff>142875</xdr:rowOff>
    </xdr:to>
    <xdr:graphicFrame macro="">
      <xdr:nvGraphicFramePr>
        <xdr:cNvPr id="34"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75</xdr:row>
      <xdr:rowOff>0</xdr:rowOff>
    </xdr:from>
    <xdr:to>
      <xdr:col>16</xdr:col>
      <xdr:colOff>490591</xdr:colOff>
      <xdr:row>91</xdr:row>
      <xdr:rowOff>131852</xdr:rowOff>
    </xdr:to>
    <xdr:graphicFrame macro="">
      <xdr:nvGraphicFramePr>
        <xdr:cNvPr id="40" name="Chart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3</xdr:row>
      <xdr:rowOff>0</xdr:rowOff>
    </xdr:from>
    <xdr:to>
      <xdr:col>26</xdr:col>
      <xdr:colOff>562511</xdr:colOff>
      <xdr:row>21</xdr:row>
      <xdr:rowOff>23759</xdr:rowOff>
    </xdr:to>
    <xdr:graphicFrame macro="">
      <xdr:nvGraphicFramePr>
        <xdr:cNvPr id="41" name="Chart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3</xdr:row>
      <xdr:rowOff>0</xdr:rowOff>
    </xdr:from>
    <xdr:to>
      <xdr:col>36</xdr:col>
      <xdr:colOff>0</xdr:colOff>
      <xdr:row>19</xdr:row>
      <xdr:rowOff>111304</xdr:rowOff>
    </xdr:to>
    <xdr:graphicFrame macro="">
      <xdr:nvGraphicFramePr>
        <xdr:cNvPr id="42" name="Chart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0</xdr:colOff>
      <xdr:row>38</xdr:row>
      <xdr:rowOff>0</xdr:rowOff>
    </xdr:from>
    <xdr:to>
      <xdr:col>34</xdr:col>
      <xdr:colOff>654978</xdr:colOff>
      <xdr:row>54</xdr:row>
      <xdr:rowOff>59933</xdr:rowOff>
    </xdr:to>
    <xdr:graphicFrame macro="">
      <xdr:nvGraphicFramePr>
        <xdr:cNvPr id="43" name="Chart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94</xdr:row>
      <xdr:rowOff>0</xdr:rowOff>
    </xdr:from>
    <xdr:to>
      <xdr:col>17</xdr:col>
      <xdr:colOff>600075</xdr:colOff>
      <xdr:row>111</xdr:row>
      <xdr:rowOff>38100</xdr:rowOff>
    </xdr:to>
    <xdr:graphicFrame macro="">
      <xdr:nvGraphicFramePr>
        <xdr:cNvPr id="49" name="Chart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116</xdr:row>
      <xdr:rowOff>0</xdr:rowOff>
    </xdr:from>
    <xdr:to>
      <xdr:col>17</xdr:col>
      <xdr:colOff>398124</xdr:colOff>
      <xdr:row>135</xdr:row>
      <xdr:rowOff>159785</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0.025</cdr:x>
      <cdr:y>0.90278</cdr:y>
    </cdr:from>
    <cdr:to>
      <cdr:x>0.74583</cdr:x>
      <cdr:y>1</cdr:y>
    </cdr:to>
    <cdr:sp macro="" textlink="">
      <cdr:nvSpPr>
        <cdr:cNvPr id="2" name="TextBox 1"/>
        <cdr:cNvSpPr txBox="1"/>
      </cdr:nvSpPr>
      <cdr:spPr>
        <a:xfrm xmlns:a="http://schemas.openxmlformats.org/drawingml/2006/main">
          <a:off x="114300" y="2495550"/>
          <a:ext cx="32956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Tables 13-15</a:t>
          </a:r>
        </a:p>
      </cdr:txBody>
    </cdr:sp>
  </cdr:relSizeAnchor>
</c:userShapes>
</file>

<file path=xl/drawings/drawing118.xml><?xml version="1.0" encoding="utf-8"?>
<c:userShapes xmlns:c="http://schemas.openxmlformats.org/drawingml/2006/chart">
  <cdr:relSizeAnchor xmlns:cdr="http://schemas.openxmlformats.org/drawingml/2006/chartDrawing">
    <cdr:from>
      <cdr:x>0.02083</cdr:x>
      <cdr:y>0.90625</cdr:y>
    </cdr:from>
    <cdr:to>
      <cdr:x>0.45</cdr:x>
      <cdr:y>0.97569</cdr:y>
    </cdr:to>
    <cdr:sp macro="" textlink="">
      <cdr:nvSpPr>
        <cdr:cNvPr id="2" name="TextBox 1"/>
        <cdr:cNvSpPr txBox="1"/>
      </cdr:nvSpPr>
      <cdr:spPr>
        <a:xfrm xmlns:a="http://schemas.openxmlformats.org/drawingml/2006/main">
          <a:off x="95250" y="2486025"/>
          <a:ext cx="19621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13</a:t>
          </a:r>
        </a:p>
      </cdr:txBody>
    </cdr:sp>
  </cdr:relSizeAnchor>
</c:userShapes>
</file>

<file path=xl/drawings/drawing119.xml><?xml version="1.0" encoding="utf-8"?>
<c:userShapes xmlns:c="http://schemas.openxmlformats.org/drawingml/2006/chart">
  <cdr:relSizeAnchor xmlns:cdr="http://schemas.openxmlformats.org/drawingml/2006/chartDrawing">
    <cdr:from>
      <cdr:x>0.03333</cdr:x>
      <cdr:y>0.92014</cdr:y>
    </cdr:from>
    <cdr:to>
      <cdr:x>0.47292</cdr:x>
      <cdr:y>0.99306</cdr:y>
    </cdr:to>
    <cdr:sp macro="" textlink="">
      <cdr:nvSpPr>
        <cdr:cNvPr id="2" name="TextBox 1"/>
        <cdr:cNvSpPr txBox="1"/>
      </cdr:nvSpPr>
      <cdr:spPr>
        <a:xfrm xmlns:a="http://schemas.openxmlformats.org/drawingml/2006/main">
          <a:off x="152400" y="2524125"/>
          <a:ext cx="20097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14</a:t>
          </a:r>
        </a:p>
      </cdr:txBody>
    </cdr:sp>
  </cdr:relSizeAnchor>
</c:userShapes>
</file>

<file path=xl/drawings/drawing12.xml><?xml version="1.0" encoding="utf-8"?>
<c:userShapes xmlns:c="http://schemas.openxmlformats.org/drawingml/2006/chart">
  <cdr:relSizeAnchor xmlns:cdr="http://schemas.openxmlformats.org/drawingml/2006/chartDrawing">
    <cdr:from>
      <cdr:x>0.02917</cdr:x>
      <cdr:y>0.90278</cdr:y>
    </cdr:from>
    <cdr:to>
      <cdr:x>0.85625</cdr:x>
      <cdr:y>0.98611</cdr:y>
    </cdr:to>
    <cdr:sp macro="" textlink="">
      <cdr:nvSpPr>
        <cdr:cNvPr id="2" name="TextBox 1"/>
        <cdr:cNvSpPr txBox="1"/>
      </cdr:nvSpPr>
      <cdr:spPr>
        <a:xfrm xmlns:a="http://schemas.openxmlformats.org/drawingml/2006/main">
          <a:off x="133350" y="2476500"/>
          <a:ext cx="3781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Tables 1 and 3-6.</a:t>
          </a:r>
        </a:p>
      </cdr:txBody>
    </cdr:sp>
  </cdr:relSizeAnchor>
</c:userShapes>
</file>

<file path=xl/drawings/drawing120.xml><?xml version="1.0" encoding="utf-8"?>
<c:userShapes xmlns:c="http://schemas.openxmlformats.org/drawingml/2006/chart">
  <cdr:relSizeAnchor xmlns:cdr="http://schemas.openxmlformats.org/drawingml/2006/chartDrawing">
    <cdr:from>
      <cdr:x>0.02083</cdr:x>
      <cdr:y>0.90278</cdr:y>
    </cdr:from>
    <cdr:to>
      <cdr:x>0.4375</cdr:x>
      <cdr:y>0.98611</cdr:y>
    </cdr:to>
    <cdr:sp macro="" textlink="">
      <cdr:nvSpPr>
        <cdr:cNvPr id="2" name="TextBox 1"/>
        <cdr:cNvSpPr txBox="1"/>
      </cdr:nvSpPr>
      <cdr:spPr>
        <a:xfrm xmlns:a="http://schemas.openxmlformats.org/drawingml/2006/main">
          <a:off x="95250" y="2476500"/>
          <a:ext cx="19050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15</a:t>
          </a:r>
        </a:p>
      </cdr:txBody>
    </cdr:sp>
  </cdr:relSizeAnchor>
</c:userShapes>
</file>

<file path=xl/drawings/drawing121.xml><?xml version="1.0" encoding="utf-8"?>
<c:userShapes xmlns:c="http://schemas.openxmlformats.org/drawingml/2006/chart">
  <cdr:relSizeAnchor xmlns:cdr="http://schemas.openxmlformats.org/drawingml/2006/chartDrawing">
    <cdr:from>
      <cdr:x>0.02301</cdr:x>
      <cdr:y>0.92593</cdr:y>
    </cdr:from>
    <cdr:to>
      <cdr:x>0.6841</cdr:x>
      <cdr:y>1</cdr:y>
    </cdr:to>
    <cdr:sp macro="" textlink="">
      <cdr:nvSpPr>
        <cdr:cNvPr id="2" name="TextBox 1"/>
        <cdr:cNvSpPr txBox="1"/>
      </cdr:nvSpPr>
      <cdr:spPr>
        <a:xfrm xmlns:a="http://schemas.openxmlformats.org/drawingml/2006/main">
          <a:off x="104763" y="2619375"/>
          <a:ext cx="300991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4a and Appendix Tables 7-11.</a:t>
          </a:r>
        </a:p>
      </cdr:txBody>
    </cdr:sp>
  </cdr:relSizeAnchor>
</c:userShapes>
</file>

<file path=xl/drawings/drawing122.xml><?xml version="1.0" encoding="utf-8"?>
<c:userShapes xmlns:c="http://schemas.openxmlformats.org/drawingml/2006/chart">
  <cdr:relSizeAnchor xmlns:cdr="http://schemas.openxmlformats.org/drawingml/2006/chartDrawing">
    <cdr:from>
      <cdr:x>0.03089</cdr:x>
      <cdr:y>0.92284</cdr:y>
    </cdr:from>
    <cdr:to>
      <cdr:x>0.71815</cdr:x>
      <cdr:y>0.99074</cdr:y>
    </cdr:to>
    <cdr:sp macro="" textlink="">
      <cdr:nvSpPr>
        <cdr:cNvPr id="2" name="TextBox 1"/>
        <cdr:cNvSpPr txBox="1"/>
      </cdr:nvSpPr>
      <cdr:spPr>
        <a:xfrm xmlns:a="http://schemas.openxmlformats.org/drawingml/2006/main">
          <a:off x="152400" y="2847975"/>
          <a:ext cx="33909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a:t>
          </a:r>
          <a:r>
            <a:rPr lang="en-US" sz="900" baseline="0"/>
            <a:t> Table 12</a:t>
          </a:r>
          <a:endParaRPr lang="en-US" sz="900"/>
        </a:p>
      </cdr:txBody>
    </cdr:sp>
  </cdr:relSizeAnchor>
</c:userShapes>
</file>

<file path=xl/drawings/drawing123.xml><?xml version="1.0" encoding="utf-8"?>
<c:userShapes xmlns:c="http://schemas.openxmlformats.org/drawingml/2006/chart">
  <cdr:relSizeAnchor xmlns:cdr="http://schemas.openxmlformats.org/drawingml/2006/chartDrawing">
    <cdr:from>
      <cdr:x>0.02401</cdr:x>
      <cdr:y>0.91484</cdr:y>
    </cdr:from>
    <cdr:to>
      <cdr:x>0.26587</cdr:x>
      <cdr:y>0.97253</cdr:y>
    </cdr:to>
    <cdr:sp macro="" textlink="">
      <cdr:nvSpPr>
        <cdr:cNvPr id="2" name="TextBox 1"/>
        <cdr:cNvSpPr txBox="1"/>
      </cdr:nvSpPr>
      <cdr:spPr>
        <a:xfrm xmlns:a="http://schemas.openxmlformats.org/drawingml/2006/main">
          <a:off x="133350" y="3171825"/>
          <a:ext cx="13430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4a</a:t>
          </a:r>
        </a:p>
      </cdr:txBody>
    </cdr:sp>
  </cdr:relSizeAnchor>
</c:userShapes>
</file>

<file path=xl/drawings/drawing124.xml><?xml version="1.0" encoding="utf-8"?>
<c:userShapes xmlns:c="http://schemas.openxmlformats.org/drawingml/2006/chart">
  <cdr:relSizeAnchor xmlns:cdr="http://schemas.openxmlformats.org/drawingml/2006/chartDrawing">
    <cdr:from>
      <cdr:x>0.04141</cdr:x>
      <cdr:y>0.93619</cdr:y>
    </cdr:from>
    <cdr:to>
      <cdr:x>0.57603</cdr:x>
      <cdr:y>1</cdr:y>
    </cdr:to>
    <cdr:sp macro="" textlink="">
      <cdr:nvSpPr>
        <cdr:cNvPr id="2" name="TextBox 1"/>
        <cdr:cNvSpPr txBox="1"/>
      </cdr:nvSpPr>
      <cdr:spPr>
        <a:xfrm xmlns:a="http://schemas.openxmlformats.org/drawingml/2006/main">
          <a:off x="225915" y="2481590"/>
          <a:ext cx="2916662" cy="1691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4</a:t>
          </a:r>
        </a:p>
      </cdr:txBody>
    </cdr:sp>
  </cdr:relSizeAnchor>
</c:userShapes>
</file>

<file path=xl/drawings/drawing125.xml><?xml version="1.0" encoding="utf-8"?>
<c:userShapes xmlns:c="http://schemas.openxmlformats.org/drawingml/2006/chart">
  <cdr:relSizeAnchor xmlns:cdr="http://schemas.openxmlformats.org/drawingml/2006/chartDrawing">
    <cdr:from>
      <cdr:x>0.04599</cdr:x>
      <cdr:y>0.92931</cdr:y>
    </cdr:from>
    <cdr:to>
      <cdr:x>0.91019</cdr:x>
      <cdr:y>0.99875</cdr:y>
    </cdr:to>
    <cdr:sp macro="" textlink="">
      <cdr:nvSpPr>
        <cdr:cNvPr id="2" name="TextBox 1"/>
        <cdr:cNvSpPr txBox="1"/>
      </cdr:nvSpPr>
      <cdr:spPr>
        <a:xfrm xmlns:a="http://schemas.openxmlformats.org/drawingml/2006/main">
          <a:off x="248390" y="2628953"/>
          <a:ext cx="4667263" cy="196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0.05291</cdr:x>
      <cdr:y>0.92141</cdr:y>
    </cdr:from>
    <cdr:to>
      <cdr:x>0.75661</cdr:x>
      <cdr:y>0.99875</cdr:y>
    </cdr:to>
    <cdr:sp macro="" textlink="">
      <cdr:nvSpPr>
        <cdr:cNvPr id="4" name="TextBox 3"/>
        <cdr:cNvSpPr txBox="1"/>
      </cdr:nvSpPr>
      <cdr:spPr>
        <a:xfrm xmlns:a="http://schemas.openxmlformats.org/drawingml/2006/main">
          <a:off x="285750" y="2606601"/>
          <a:ext cx="3800455" cy="2187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a:latin typeface="+mn-lt"/>
              <a:ea typeface="+mn-ea"/>
              <a:cs typeface="+mn-cs"/>
            </a:rPr>
            <a:t>Source: Appendix Table 27</a:t>
          </a:r>
          <a:endParaRPr lang="en-US" sz="900"/>
        </a:p>
        <a:p xmlns:a="http://schemas.openxmlformats.org/drawingml/2006/main">
          <a:endParaRPr lang="en-US" sz="900"/>
        </a:p>
      </cdr:txBody>
    </cdr:sp>
  </cdr:relSizeAnchor>
</c:userShapes>
</file>

<file path=xl/drawings/drawing126.xml><?xml version="1.0" encoding="utf-8"?>
<c:userShapes xmlns:c="http://schemas.openxmlformats.org/drawingml/2006/chart">
  <cdr:relSizeAnchor xmlns:cdr="http://schemas.openxmlformats.org/drawingml/2006/chartDrawing">
    <cdr:from>
      <cdr:x>0.02959</cdr:x>
      <cdr:y>0.89198</cdr:y>
    </cdr:from>
    <cdr:to>
      <cdr:x>0.7002</cdr:x>
      <cdr:y>0.95988</cdr:y>
    </cdr:to>
    <cdr:sp macro="" textlink="">
      <cdr:nvSpPr>
        <cdr:cNvPr id="3" name="TextBox 2"/>
        <cdr:cNvSpPr txBox="1"/>
      </cdr:nvSpPr>
      <cdr:spPr>
        <a:xfrm xmlns:a="http://schemas.openxmlformats.org/drawingml/2006/main">
          <a:off x="142877" y="2752725"/>
          <a:ext cx="32385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28</a:t>
          </a:r>
        </a:p>
      </cdr:txBody>
    </cdr:sp>
  </cdr:relSizeAnchor>
</c:userShapes>
</file>

<file path=xl/drawings/drawing127.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8.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9.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441511</xdr:colOff>
      <xdr:row>17</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1.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2.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3.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4.xml><?xml version="1.0" encoding="utf-8"?>
<xdr:wsDr xmlns:xdr="http://schemas.openxmlformats.org/drawingml/2006/spreadsheetDrawing" xmlns:a="http://schemas.openxmlformats.org/drawingml/2006/main">
  <xdr:absoluteAnchor>
    <xdr:pos x="0" y="0"/>
    <xdr:ext cx="8648700"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5.xml><?xml version="1.0" encoding="utf-8"?>
<c:userShapes xmlns:c="http://schemas.openxmlformats.org/drawingml/2006/chart">
  <cdr:relSizeAnchor xmlns:cdr="http://schemas.openxmlformats.org/drawingml/2006/chartDrawing">
    <cdr:from>
      <cdr:x>0</cdr:x>
      <cdr:y>0.94165</cdr:y>
    </cdr:from>
    <cdr:to>
      <cdr:x>0.42053</cdr:x>
      <cdr:y>0.9776</cdr:y>
    </cdr:to>
    <cdr:sp macro="" textlink="">
      <cdr:nvSpPr>
        <cdr:cNvPr id="2" name="TextBox 1"/>
        <cdr:cNvSpPr txBox="1"/>
      </cdr:nvSpPr>
      <cdr:spPr>
        <a:xfrm xmlns:a="http://schemas.openxmlformats.org/drawingml/2006/main">
          <a:off x="-23616" y="5919670"/>
          <a:ext cx="3637044" cy="2260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t>Source: Tables</a:t>
          </a:r>
          <a:r>
            <a:rPr lang="en-US" sz="900" baseline="0"/>
            <a:t> 3-6.</a:t>
          </a:r>
          <a:endParaRPr lang="en-US" sz="900"/>
        </a:p>
      </cdr:txBody>
    </cdr:sp>
  </cdr:relSizeAnchor>
</c:userShapes>
</file>

<file path=xl/drawings/drawing136.xml><?xml version="1.0" encoding="utf-8"?>
<xdr:wsDr xmlns:xdr="http://schemas.openxmlformats.org/drawingml/2006/spreadsheetDrawing" xmlns:a="http://schemas.openxmlformats.org/drawingml/2006/main">
  <xdr:twoCellAnchor>
    <xdr:from>
      <xdr:col>2</xdr:col>
      <xdr:colOff>628650</xdr:colOff>
      <xdr:row>1</xdr:row>
      <xdr:rowOff>19050</xdr:rowOff>
    </xdr:from>
    <xdr:to>
      <xdr:col>10</xdr:col>
      <xdr:colOff>533400</xdr:colOff>
      <xdr:row>20</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23</xdr:row>
      <xdr:rowOff>95250</xdr:rowOff>
    </xdr:from>
    <xdr:to>
      <xdr:col>9</xdr:col>
      <xdr:colOff>66675</xdr:colOff>
      <xdr:row>44</xdr:row>
      <xdr:rowOff>76200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50</xdr:row>
      <xdr:rowOff>0</xdr:rowOff>
    </xdr:from>
    <xdr:to>
      <xdr:col>8</xdr:col>
      <xdr:colOff>657225</xdr:colOff>
      <xdr:row>70</xdr:row>
      <xdr:rowOff>142875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76</xdr:row>
      <xdr:rowOff>0</xdr:rowOff>
    </xdr:from>
    <xdr:to>
      <xdr:col>8</xdr:col>
      <xdr:colOff>657225</xdr:colOff>
      <xdr:row>96</xdr:row>
      <xdr:rowOff>142875</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28575</xdr:colOff>
      <xdr:row>99</xdr:row>
      <xdr:rowOff>47625</xdr:rowOff>
    </xdr:from>
    <xdr:to>
      <xdr:col>9</xdr:col>
      <xdr:colOff>18301</xdr:colOff>
      <xdr:row>116</xdr:row>
      <xdr:rowOff>140842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7.xml><?xml version="1.0" encoding="utf-8"?>
<c:userShapes xmlns:c="http://schemas.openxmlformats.org/drawingml/2006/chart">
  <cdr:relSizeAnchor xmlns:cdr="http://schemas.openxmlformats.org/drawingml/2006/chartDrawing">
    <cdr:from>
      <cdr:x>0.01667</cdr:x>
      <cdr:y>0.90278</cdr:y>
    </cdr:from>
    <cdr:to>
      <cdr:x>0.6625</cdr:x>
      <cdr:y>1</cdr:y>
    </cdr:to>
    <cdr:sp macro="" textlink="">
      <cdr:nvSpPr>
        <cdr:cNvPr id="2" name="TextBox 1"/>
        <cdr:cNvSpPr txBox="1"/>
      </cdr:nvSpPr>
      <cdr:spPr>
        <a:xfrm xmlns:a="http://schemas.openxmlformats.org/drawingml/2006/main">
          <a:off x="76200" y="2505075"/>
          <a:ext cx="29527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Tables 1 and 2.</a:t>
          </a:r>
        </a:p>
      </cdr:txBody>
    </cdr:sp>
  </cdr:relSizeAnchor>
</c:userShapes>
</file>

<file path=xl/drawings/drawing138.xml><?xml version="1.0" encoding="utf-8"?>
<xdr:wsDr xmlns:xdr="http://schemas.openxmlformats.org/drawingml/2006/spreadsheetDrawing" xmlns:a="http://schemas.openxmlformats.org/drawingml/2006/main">
  <xdr:twoCellAnchor>
    <xdr:from>
      <xdr:col>1</xdr:col>
      <xdr:colOff>152400</xdr:colOff>
      <xdr:row>7</xdr:row>
      <xdr:rowOff>47625</xdr:rowOff>
    </xdr:from>
    <xdr:to>
      <xdr:col>7</xdr:col>
      <xdr:colOff>152400</xdr:colOff>
      <xdr:row>29</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0.0669</cdr:x>
      <cdr:y>0.94102</cdr:y>
    </cdr:from>
    <cdr:to>
      <cdr:x>0.25214</cdr:x>
      <cdr:y>1</cdr:y>
    </cdr:to>
    <cdr:sp macro="" textlink="">
      <cdr:nvSpPr>
        <cdr:cNvPr id="2" name="TextBox 1"/>
        <cdr:cNvSpPr txBox="1"/>
      </cdr:nvSpPr>
      <cdr:spPr>
        <a:xfrm xmlns:a="http://schemas.openxmlformats.org/drawingml/2006/main">
          <a:off x="371475" y="3343274"/>
          <a:ext cx="1028700" cy="2095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1</a:t>
          </a:r>
        </a:p>
      </cdr:txBody>
    </cdr:sp>
  </cdr:relSizeAnchor>
</c:userShapes>
</file>

<file path=xl/drawings/drawing14.xml><?xml version="1.0" encoding="utf-8"?>
<c:userShapes xmlns:c="http://schemas.openxmlformats.org/drawingml/2006/chart">
  <cdr:relSizeAnchor xmlns:cdr="http://schemas.openxmlformats.org/drawingml/2006/chartDrawing">
    <cdr:from>
      <cdr:x>0.02292</cdr:x>
      <cdr:y>0.90278</cdr:y>
    </cdr:from>
    <cdr:to>
      <cdr:x>0.78958</cdr:x>
      <cdr:y>0.98611</cdr:y>
    </cdr:to>
    <cdr:sp macro="" textlink="">
      <cdr:nvSpPr>
        <cdr:cNvPr id="2" name="TextBox 1"/>
        <cdr:cNvSpPr txBox="1"/>
      </cdr:nvSpPr>
      <cdr:spPr>
        <a:xfrm xmlns:a="http://schemas.openxmlformats.org/drawingml/2006/main">
          <a:off x="104775" y="2476500"/>
          <a:ext cx="35052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a:t>
          </a:r>
          <a:r>
            <a:rPr lang="en-US" sz="900" baseline="0"/>
            <a:t> Table 1.</a:t>
          </a:r>
          <a:endParaRPr lang="en-US" sz="900"/>
        </a:p>
      </cdr:txBody>
    </cdr:sp>
  </cdr:relSizeAnchor>
</c:userShapes>
</file>

<file path=xl/drawings/drawing140.xml><?xml version="1.0" encoding="utf-8"?>
<xdr:wsDr xmlns:xdr="http://schemas.openxmlformats.org/drawingml/2006/spreadsheetDrawing" xmlns:a="http://schemas.openxmlformats.org/drawingml/2006/main">
  <xdr:twoCellAnchor>
    <xdr:from>
      <xdr:col>2</xdr:col>
      <xdr:colOff>447675</xdr:colOff>
      <xdr:row>15</xdr:row>
      <xdr:rowOff>47625</xdr:rowOff>
    </xdr:from>
    <xdr:to>
      <xdr:col>10</xdr:col>
      <xdr:colOff>257175</xdr:colOff>
      <xdr:row>35</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c:userShapes xmlns:c="http://schemas.openxmlformats.org/drawingml/2006/chart">
  <cdr:relSizeAnchor xmlns:cdr="http://schemas.openxmlformats.org/drawingml/2006/chartDrawing">
    <cdr:from>
      <cdr:x>0.02698</cdr:x>
      <cdr:y>0.90962</cdr:y>
    </cdr:from>
    <cdr:to>
      <cdr:x>0.2446</cdr:x>
      <cdr:y>0.98542</cdr:y>
    </cdr:to>
    <cdr:sp macro="" textlink="">
      <cdr:nvSpPr>
        <cdr:cNvPr id="2" name="TextBox 1"/>
        <cdr:cNvSpPr txBox="1"/>
      </cdr:nvSpPr>
      <cdr:spPr>
        <a:xfrm xmlns:a="http://schemas.openxmlformats.org/drawingml/2006/main">
          <a:off x="142875" y="2971801"/>
          <a:ext cx="11525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1</a:t>
          </a:r>
        </a:p>
      </cdr:txBody>
    </cdr:sp>
  </cdr:relSizeAnchor>
</c:userShapes>
</file>

<file path=xl/drawings/drawing142.xml><?xml version="1.0" encoding="utf-8"?>
<xdr:wsDr xmlns:xdr="http://schemas.openxmlformats.org/drawingml/2006/spreadsheetDrawing" xmlns:a="http://schemas.openxmlformats.org/drawingml/2006/main">
  <xdr:twoCellAnchor>
    <xdr:from>
      <xdr:col>9</xdr:col>
      <xdr:colOff>0</xdr:colOff>
      <xdr:row>3</xdr:row>
      <xdr:rowOff>114300</xdr:rowOff>
    </xdr:from>
    <xdr:to>
      <xdr:col>17</xdr:col>
      <xdr:colOff>542925</xdr:colOff>
      <xdr:row>26</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6</xdr:col>
      <xdr:colOff>542925</xdr:colOff>
      <xdr:row>10</xdr:row>
      <xdr:rowOff>152400</xdr:rowOff>
    </xdr:from>
    <xdr:to>
      <xdr:col>14</xdr:col>
      <xdr:colOff>609600</xdr:colOff>
      <xdr:row>32</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c:userShapes xmlns:c="http://schemas.openxmlformats.org/drawingml/2006/chart">
  <cdr:relSizeAnchor xmlns:cdr="http://schemas.openxmlformats.org/drawingml/2006/chartDrawing">
    <cdr:from>
      <cdr:x>0.02401</cdr:x>
      <cdr:y>0.91484</cdr:y>
    </cdr:from>
    <cdr:to>
      <cdr:x>0.26587</cdr:x>
      <cdr:y>0.97253</cdr:y>
    </cdr:to>
    <cdr:sp macro="" textlink="">
      <cdr:nvSpPr>
        <cdr:cNvPr id="2" name="TextBox 1"/>
        <cdr:cNvSpPr txBox="1"/>
      </cdr:nvSpPr>
      <cdr:spPr>
        <a:xfrm xmlns:a="http://schemas.openxmlformats.org/drawingml/2006/main">
          <a:off x="133350" y="3171825"/>
          <a:ext cx="13430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2</a:t>
          </a:r>
        </a:p>
      </cdr:txBody>
    </cdr:sp>
  </cdr:relSizeAnchor>
</c:userShapes>
</file>

<file path=xl/drawings/drawing145.xml><?xml version="1.0" encoding="utf-8"?>
<xdr:wsDr xmlns:xdr="http://schemas.openxmlformats.org/drawingml/2006/spreadsheetDrawing" xmlns:a="http://schemas.openxmlformats.org/drawingml/2006/main">
  <xdr:twoCellAnchor>
    <xdr:from>
      <xdr:col>8</xdr:col>
      <xdr:colOff>152400</xdr:colOff>
      <xdr:row>15</xdr:row>
      <xdr:rowOff>66675</xdr:rowOff>
    </xdr:from>
    <xdr:to>
      <xdr:col>14</xdr:col>
      <xdr:colOff>609600</xdr:colOff>
      <xdr:row>32</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c:userShapes xmlns:c="http://schemas.openxmlformats.org/drawingml/2006/chart">
  <cdr:relSizeAnchor xmlns:cdr="http://schemas.openxmlformats.org/drawingml/2006/chartDrawing">
    <cdr:from>
      <cdr:x>0.02917</cdr:x>
      <cdr:y>0.90972</cdr:y>
    </cdr:from>
    <cdr:to>
      <cdr:x>0.60833</cdr:x>
      <cdr:y>0.97222</cdr:y>
    </cdr:to>
    <cdr:sp macro="" textlink="">
      <cdr:nvSpPr>
        <cdr:cNvPr id="2" name="TextBox 1"/>
        <cdr:cNvSpPr txBox="1"/>
      </cdr:nvSpPr>
      <cdr:spPr>
        <a:xfrm xmlns:a="http://schemas.openxmlformats.org/drawingml/2006/main">
          <a:off x="133350" y="2495550"/>
          <a:ext cx="2647950" cy="171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20</a:t>
          </a:r>
        </a:p>
      </cdr:txBody>
    </cdr:sp>
  </cdr:relSizeAnchor>
</c:userShapes>
</file>

<file path=xl/drawings/drawing147.xml><?xml version="1.0" encoding="utf-8"?>
<xdr:wsDr xmlns:xdr="http://schemas.openxmlformats.org/drawingml/2006/spreadsheetDrawing" xmlns:a="http://schemas.openxmlformats.org/drawingml/2006/main">
  <xdr:twoCellAnchor>
    <xdr:from>
      <xdr:col>9</xdr:col>
      <xdr:colOff>542925</xdr:colOff>
      <xdr:row>6</xdr:row>
      <xdr:rowOff>38100</xdr:rowOff>
    </xdr:from>
    <xdr:to>
      <xdr:col>17</xdr:col>
      <xdr:colOff>66675</xdr:colOff>
      <xdr:row>24</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133350</xdr:colOff>
      <xdr:row>2</xdr:row>
      <xdr:rowOff>123825</xdr:rowOff>
    </xdr:from>
    <xdr:to>
      <xdr:col>7</xdr:col>
      <xdr:colOff>257175</xdr:colOff>
      <xdr:row>22</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0</xdr:rowOff>
    </xdr:from>
    <xdr:to>
      <xdr:col>7</xdr:col>
      <xdr:colOff>304800</xdr:colOff>
      <xdr:row>47</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58</xdr:row>
      <xdr:rowOff>142875</xdr:rowOff>
    </xdr:from>
    <xdr:to>
      <xdr:col>6</xdr:col>
      <xdr:colOff>590550</xdr:colOff>
      <xdr:row>75</xdr:row>
      <xdr:rowOff>133350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113</xdr:row>
      <xdr:rowOff>0</xdr:rowOff>
    </xdr:from>
    <xdr:to>
      <xdr:col>6</xdr:col>
      <xdr:colOff>457200</xdr:colOff>
      <xdr:row>129</xdr:row>
      <xdr:rowOff>152400</xdr:rowOff>
    </xdr:to>
    <xdr:graphicFrame macro="">
      <xdr:nvGraphicFramePr>
        <xdr:cNvPr id="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19050</xdr:colOff>
      <xdr:row>2</xdr:row>
      <xdr:rowOff>123825</xdr:rowOff>
    </xdr:from>
    <xdr:to>
      <xdr:col>15</xdr:col>
      <xdr:colOff>533400</xdr:colOff>
      <xdr:row>23</xdr:row>
      <xdr:rowOff>152400</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9.xml><?xml version="1.0" encoding="utf-8"?>
<c:userShapes xmlns:c="http://schemas.openxmlformats.org/drawingml/2006/chart">
  <cdr:relSizeAnchor xmlns:cdr="http://schemas.openxmlformats.org/drawingml/2006/chartDrawing">
    <cdr:from>
      <cdr:x>0.04241</cdr:x>
      <cdr:y>0.89141</cdr:y>
    </cdr:from>
    <cdr:to>
      <cdr:x>0.89136</cdr:x>
      <cdr:y>0.95797</cdr:y>
    </cdr:to>
    <cdr:sp macro="" textlink="">
      <cdr:nvSpPr>
        <cdr:cNvPr id="2" name="TextBox 1"/>
        <cdr:cNvSpPr txBox="1"/>
      </cdr:nvSpPr>
      <cdr:spPr>
        <a:xfrm xmlns:a="http://schemas.openxmlformats.org/drawingml/2006/main">
          <a:off x="171450" y="2924174"/>
          <a:ext cx="405765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21</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0.xml><?xml version="1.0" encoding="utf-8"?>
<c:userShapes xmlns:c="http://schemas.openxmlformats.org/drawingml/2006/chart">
  <cdr:relSizeAnchor xmlns:cdr="http://schemas.openxmlformats.org/drawingml/2006/chartDrawing">
    <cdr:from>
      <cdr:x>0</cdr:x>
      <cdr:y>0</cdr:y>
    </cdr:from>
    <cdr:to>
      <cdr:x>0</cdr:x>
      <cdr:y>0</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0.06477</cdr:x>
      <cdr:y>0.88775</cdr:y>
    </cdr:from>
    <cdr:to>
      <cdr:x>0.88635</cdr:x>
      <cdr:y>0.95272</cdr:y>
    </cdr:to>
    <cdr:sp macro="" textlink="">
      <cdr:nvSpPr>
        <cdr:cNvPr id="3" name="TextBox 2"/>
        <cdr:cNvSpPr txBox="1"/>
      </cdr:nvSpPr>
      <cdr:spPr>
        <a:xfrm xmlns:a="http://schemas.openxmlformats.org/drawingml/2006/main">
          <a:off x="257174" y="3219450"/>
          <a:ext cx="41052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a:t>
          </a:r>
          <a:r>
            <a:rPr lang="en-US" sz="900" baseline="0"/>
            <a:t> Table 23</a:t>
          </a:r>
          <a:endParaRPr lang="en-US" sz="900"/>
        </a:p>
      </cdr:txBody>
    </cdr:sp>
  </cdr:relSizeAnchor>
</c:userShapes>
</file>

<file path=xl/drawings/drawing151.xml><?xml version="1.0" encoding="utf-8"?>
<c:userShapes xmlns:c="http://schemas.openxmlformats.org/drawingml/2006/chart">
  <cdr:relSizeAnchor xmlns:cdr="http://schemas.openxmlformats.org/drawingml/2006/chartDrawing">
    <cdr:from>
      <cdr:x>0.06589</cdr:x>
      <cdr:y>0.8836</cdr:y>
    </cdr:from>
    <cdr:to>
      <cdr:x>0.81452</cdr:x>
      <cdr:y>0.95689</cdr:y>
    </cdr:to>
    <cdr:sp macro="" textlink="">
      <cdr:nvSpPr>
        <cdr:cNvPr id="2" name="TextBox 1"/>
        <cdr:cNvSpPr txBox="1"/>
      </cdr:nvSpPr>
      <cdr:spPr>
        <a:xfrm xmlns:a="http://schemas.openxmlformats.org/drawingml/2006/main">
          <a:off x="228600" y="2438400"/>
          <a:ext cx="36004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0.06283</cdr:x>
      <cdr:y>0.8727</cdr:y>
    </cdr:from>
    <cdr:to>
      <cdr:x>0.92074</cdr:x>
      <cdr:y>0.946</cdr:y>
    </cdr:to>
    <cdr:sp macro="" textlink="">
      <cdr:nvSpPr>
        <cdr:cNvPr id="3" name="TextBox 2"/>
        <cdr:cNvSpPr txBox="1"/>
      </cdr:nvSpPr>
      <cdr:spPr>
        <a:xfrm xmlns:a="http://schemas.openxmlformats.org/drawingml/2006/main">
          <a:off x="219075" y="2409825"/>
          <a:ext cx="40386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Tables 24 and 25</a:t>
          </a:r>
        </a:p>
      </cdr:txBody>
    </cdr:sp>
  </cdr:relSizeAnchor>
</c:userShapes>
</file>

<file path=xl/drawings/drawing152.xml><?xml version="1.0" encoding="utf-8"?>
<c:userShapes xmlns:c="http://schemas.openxmlformats.org/drawingml/2006/chart">
  <cdr:relSizeAnchor xmlns:cdr="http://schemas.openxmlformats.org/drawingml/2006/chartDrawing">
    <cdr:from>
      <cdr:x>0.03038</cdr:x>
      <cdr:y>0.8849</cdr:y>
    </cdr:from>
    <cdr:to>
      <cdr:x>0.83411</cdr:x>
      <cdr:y>0.95958</cdr:y>
    </cdr:to>
    <cdr:sp macro="" textlink="">
      <cdr:nvSpPr>
        <cdr:cNvPr id="2" name="TextBox 1"/>
        <cdr:cNvSpPr txBox="1"/>
      </cdr:nvSpPr>
      <cdr:spPr>
        <a:xfrm xmlns:a="http://schemas.openxmlformats.org/drawingml/2006/main">
          <a:off x="114300" y="2447925"/>
          <a:ext cx="37719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a:t>
          </a:r>
          <a:r>
            <a:rPr lang="en-US" sz="900" baseline="0"/>
            <a:t> Appendix Table 27</a:t>
          </a:r>
          <a:endParaRPr lang="en-US" sz="900"/>
        </a:p>
      </cdr:txBody>
    </cdr:sp>
  </cdr:relSizeAnchor>
</c:userShapes>
</file>

<file path=xl/drawings/drawing153.xml><?xml version="1.0" encoding="utf-8"?>
<c:userShapes xmlns:c="http://schemas.openxmlformats.org/drawingml/2006/chart">
  <cdr:relSizeAnchor xmlns:cdr="http://schemas.openxmlformats.org/drawingml/2006/chartDrawing">
    <cdr:from>
      <cdr:x>0.04321</cdr:x>
      <cdr:y>0.90901</cdr:y>
    </cdr:from>
    <cdr:to>
      <cdr:x>0.6542</cdr:x>
      <cdr:y>0.99833</cdr:y>
    </cdr:to>
    <cdr:sp macro="" textlink="">
      <cdr:nvSpPr>
        <cdr:cNvPr id="2" name="TextBox 1"/>
        <cdr:cNvSpPr txBox="1"/>
      </cdr:nvSpPr>
      <cdr:spPr>
        <a:xfrm xmlns:a="http://schemas.openxmlformats.org/drawingml/2006/main">
          <a:off x="201707" y="3059207"/>
          <a:ext cx="3238500" cy="2577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13</a:t>
          </a:r>
        </a:p>
      </cdr:txBody>
    </cdr:sp>
  </cdr:relSizeAnchor>
</c:userShapes>
</file>

<file path=xl/drawings/drawing154.xml><?xml version="1.0" encoding="utf-8"?>
<xdr:wsDr xmlns:xdr="http://schemas.openxmlformats.org/drawingml/2006/spreadsheetDrawing" xmlns:a="http://schemas.openxmlformats.org/drawingml/2006/main">
  <xdr:twoCellAnchor>
    <xdr:from>
      <xdr:col>3</xdr:col>
      <xdr:colOff>533400</xdr:colOff>
      <xdr:row>4</xdr:row>
      <xdr:rowOff>133350</xdr:rowOff>
    </xdr:from>
    <xdr:to>
      <xdr:col>10</xdr:col>
      <xdr:colOff>304800</xdr:colOff>
      <xdr:row>21</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552450</xdr:colOff>
      <xdr:row>2</xdr:row>
      <xdr:rowOff>38100</xdr:rowOff>
    </xdr:from>
    <xdr:to>
      <xdr:col>19</xdr:col>
      <xdr:colOff>542925</xdr:colOff>
      <xdr:row>21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485775</xdr:colOff>
      <xdr:row>48</xdr:row>
      <xdr:rowOff>123825</xdr:rowOff>
    </xdr:from>
    <xdr:to>
      <xdr:col>7</xdr:col>
      <xdr:colOff>257175</xdr:colOff>
      <xdr:row>65</xdr:row>
      <xdr:rowOff>114300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0.06458</cdr:x>
      <cdr:y>0.89236</cdr:y>
    </cdr:from>
    <cdr:to>
      <cdr:x>0.61875</cdr:x>
      <cdr:y>0.97569</cdr:y>
    </cdr:to>
    <cdr:sp macro="" textlink="">
      <cdr:nvSpPr>
        <cdr:cNvPr id="2" name="TextBox 1"/>
        <cdr:cNvSpPr txBox="1"/>
      </cdr:nvSpPr>
      <cdr:spPr>
        <a:xfrm xmlns:a="http://schemas.openxmlformats.org/drawingml/2006/main">
          <a:off x="295275" y="2447925"/>
          <a:ext cx="25336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Tables 1 and 2.</a:t>
          </a:r>
        </a:p>
      </cdr:txBody>
    </cdr:sp>
  </cdr:relSizeAnchor>
</c:userShapes>
</file>

<file path=xl/drawings/drawing156.xml><?xml version="1.0" encoding="utf-8"?>
<c:userShapes xmlns:c="http://schemas.openxmlformats.org/drawingml/2006/chart">
  <cdr:relSizeAnchor xmlns:cdr="http://schemas.openxmlformats.org/drawingml/2006/chartDrawing">
    <cdr:from>
      <cdr:x>0.01667</cdr:x>
      <cdr:y>0.90278</cdr:y>
    </cdr:from>
    <cdr:to>
      <cdr:x>0.6625</cdr:x>
      <cdr:y>1</cdr:y>
    </cdr:to>
    <cdr:sp macro="" textlink="">
      <cdr:nvSpPr>
        <cdr:cNvPr id="2" name="TextBox 1"/>
        <cdr:cNvSpPr txBox="1"/>
      </cdr:nvSpPr>
      <cdr:spPr>
        <a:xfrm xmlns:a="http://schemas.openxmlformats.org/drawingml/2006/main">
          <a:off x="76200" y="2505075"/>
          <a:ext cx="29527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Tables 1 and 2.</a:t>
          </a:r>
        </a:p>
      </cdr:txBody>
    </cdr:sp>
  </cdr:relSizeAnchor>
</c:userShapes>
</file>

<file path=xl/drawings/drawing157.xml><?xml version="1.0" encoding="utf-8"?>
<c:userShapes xmlns:c="http://schemas.openxmlformats.org/drawingml/2006/chart">
  <cdr:relSizeAnchor xmlns:cdr="http://schemas.openxmlformats.org/drawingml/2006/chartDrawing">
    <cdr:from>
      <cdr:x>0.02917</cdr:x>
      <cdr:y>0.90278</cdr:y>
    </cdr:from>
    <cdr:to>
      <cdr:x>0.85625</cdr:x>
      <cdr:y>0.98611</cdr:y>
    </cdr:to>
    <cdr:sp macro="" textlink="">
      <cdr:nvSpPr>
        <cdr:cNvPr id="2" name="TextBox 1"/>
        <cdr:cNvSpPr txBox="1"/>
      </cdr:nvSpPr>
      <cdr:spPr>
        <a:xfrm xmlns:a="http://schemas.openxmlformats.org/drawingml/2006/main">
          <a:off x="133350" y="2476500"/>
          <a:ext cx="3781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Tables 1 and 3-6.</a:t>
          </a:r>
        </a:p>
      </cdr:txBody>
    </cdr:sp>
  </cdr:relSizeAnchor>
</c:userShapes>
</file>

<file path=xl/drawings/drawing158.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9.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0.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1.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2.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3.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4.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5.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6.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7.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8.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9.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0.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1.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2.xml><?xml version="1.0" encoding="utf-8"?>
<xdr:wsDr xmlns:xdr="http://schemas.openxmlformats.org/drawingml/2006/spreadsheetDrawing" xmlns:a="http://schemas.openxmlformats.org/drawingml/2006/main">
  <xdr:absoluteAnchor>
    <xdr:pos x="2403231" y="542924"/>
    <xdr:ext cx="7063154" cy="47910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3.xml><?xml version="1.0" encoding="utf-8"?>
<c:userShapes xmlns:c="http://schemas.openxmlformats.org/drawingml/2006/chart">
  <cdr:relSizeAnchor xmlns:cdr="http://schemas.openxmlformats.org/drawingml/2006/chartDrawing">
    <cdr:from>
      <cdr:x>0</cdr:x>
      <cdr:y>0.93745</cdr:y>
    </cdr:from>
    <cdr:to>
      <cdr:x>0.35872</cdr:x>
      <cdr:y>0.98516</cdr:y>
    </cdr:to>
    <cdr:sp macro="" textlink="">
      <cdr:nvSpPr>
        <cdr:cNvPr id="2" name="TextBox 1"/>
        <cdr:cNvSpPr txBox="1"/>
      </cdr:nvSpPr>
      <cdr:spPr>
        <a:xfrm xmlns:a="http://schemas.openxmlformats.org/drawingml/2006/main">
          <a:off x="0" y="4491404"/>
          <a:ext cx="2533674" cy="2285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t>Source: Tables 1 and 2.</a:t>
          </a:r>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457200</xdr:colOff>
      <xdr:row>16</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5.xml><?xml version="1.0" encoding="utf-8"?>
<c:userShapes xmlns:c="http://schemas.openxmlformats.org/drawingml/2006/chart">
  <cdr:relSizeAnchor xmlns:cdr="http://schemas.openxmlformats.org/drawingml/2006/chartDrawing">
    <cdr:from>
      <cdr:x>0.06458</cdr:x>
      <cdr:y>0.89236</cdr:y>
    </cdr:from>
    <cdr:to>
      <cdr:x>0.61875</cdr:x>
      <cdr:y>0.97569</cdr:y>
    </cdr:to>
    <cdr:sp macro="" textlink="">
      <cdr:nvSpPr>
        <cdr:cNvPr id="2" name="TextBox 1"/>
        <cdr:cNvSpPr txBox="1"/>
      </cdr:nvSpPr>
      <cdr:spPr>
        <a:xfrm xmlns:a="http://schemas.openxmlformats.org/drawingml/2006/main">
          <a:off x="295275" y="2447925"/>
          <a:ext cx="25336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Tables 1 and 2.</a:t>
          </a:r>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41097</xdr:colOff>
      <xdr:row>18</xdr:row>
      <xdr:rowOff>29110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0</xdr:rowOff>
    </xdr:from>
    <xdr:to>
      <xdr:col>8</xdr:col>
      <xdr:colOff>143839</xdr:colOff>
      <xdr:row>36</xdr:row>
      <xdr:rowOff>152400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41</xdr:row>
      <xdr:rowOff>0</xdr:rowOff>
    </xdr:from>
    <xdr:to>
      <xdr:col>8</xdr:col>
      <xdr:colOff>61645</xdr:colOff>
      <xdr:row>56</xdr:row>
      <xdr:rowOff>16374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40</xdr:row>
      <xdr:rowOff>0</xdr:rowOff>
    </xdr:from>
    <xdr:to>
      <xdr:col>16</xdr:col>
      <xdr:colOff>336479</xdr:colOff>
      <xdr:row>54</xdr:row>
      <xdr:rowOff>34462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7.xml><?xml version="1.0" encoding="utf-8"?>
<c:userShapes xmlns:c="http://schemas.openxmlformats.org/drawingml/2006/chart">
  <cdr:relSizeAnchor xmlns:cdr="http://schemas.openxmlformats.org/drawingml/2006/chartDrawing">
    <cdr:from>
      <cdr:x>0.03889</cdr:x>
      <cdr:y>0.90765</cdr:y>
    </cdr:from>
    <cdr:to>
      <cdr:x>0.7307</cdr:x>
      <cdr:y>0.96684</cdr:y>
    </cdr:to>
    <cdr:sp macro="" textlink="">
      <cdr:nvSpPr>
        <cdr:cNvPr id="2" name="TextBox 1"/>
        <cdr:cNvSpPr txBox="1"/>
      </cdr:nvSpPr>
      <cdr:spPr>
        <a:xfrm xmlns:a="http://schemas.openxmlformats.org/drawingml/2006/main">
          <a:off x="195209" y="2835668"/>
          <a:ext cx="3472666" cy="1849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1 and Appendix Tables 31-33</a:t>
          </a:r>
        </a:p>
      </cdr:txBody>
    </cdr:sp>
  </cdr:relSizeAnchor>
</c:userShapes>
</file>

<file path=xl/drawings/drawing178.xml><?xml version="1.0" encoding="utf-8"?>
<c:userShapes xmlns:c="http://schemas.openxmlformats.org/drawingml/2006/chart">
  <cdr:relSizeAnchor xmlns:cdr="http://schemas.openxmlformats.org/drawingml/2006/chartDrawing">
    <cdr:from>
      <cdr:x>0.04167</cdr:x>
      <cdr:y>0.89583</cdr:y>
    </cdr:from>
    <cdr:to>
      <cdr:x>0.6625</cdr:x>
      <cdr:y>0.98611</cdr:y>
    </cdr:to>
    <cdr:sp macro="" textlink="">
      <cdr:nvSpPr>
        <cdr:cNvPr id="2" name="TextBox 1"/>
        <cdr:cNvSpPr txBox="1"/>
      </cdr:nvSpPr>
      <cdr:spPr>
        <a:xfrm xmlns:a="http://schemas.openxmlformats.org/drawingml/2006/main">
          <a:off x="190500" y="2457450"/>
          <a:ext cx="283845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1 and Appendix Tables 31-33</a:t>
          </a:r>
        </a:p>
      </cdr:txBody>
    </cdr:sp>
  </cdr:relSizeAnchor>
</c:userShapes>
</file>

<file path=xl/drawings/drawing179.xml><?xml version="1.0" encoding="utf-8"?>
<c:userShapes xmlns:c="http://schemas.openxmlformats.org/drawingml/2006/chart">
  <cdr:relSizeAnchor xmlns:cdr="http://schemas.openxmlformats.org/drawingml/2006/chartDrawing">
    <cdr:from>
      <cdr:x>0.02814</cdr:x>
      <cdr:y>0.90253</cdr:y>
    </cdr:from>
    <cdr:to>
      <cdr:x>0.52164</cdr:x>
      <cdr:y>0.98195</cdr:y>
    </cdr:to>
    <cdr:sp macro="" textlink="">
      <cdr:nvSpPr>
        <cdr:cNvPr id="2" name="TextBox 1"/>
        <cdr:cNvSpPr txBox="1"/>
      </cdr:nvSpPr>
      <cdr:spPr>
        <a:xfrm xmlns:a="http://schemas.openxmlformats.org/drawingml/2006/main">
          <a:off x="145676" y="2801470"/>
          <a:ext cx="2554941" cy="246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Tables 14 and 15</a:t>
          </a: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0.xml><?xml version="1.0" encoding="utf-8"?>
<c:userShapes xmlns:c="http://schemas.openxmlformats.org/drawingml/2006/chart">
  <cdr:relSizeAnchor xmlns:cdr="http://schemas.openxmlformats.org/drawingml/2006/chartDrawing">
    <cdr:from>
      <cdr:x>0.03333</cdr:x>
      <cdr:y>0.90972</cdr:y>
    </cdr:from>
    <cdr:to>
      <cdr:x>0.72917</cdr:x>
      <cdr:y>0.98611</cdr:y>
    </cdr:to>
    <cdr:sp macro="" textlink="">
      <cdr:nvSpPr>
        <cdr:cNvPr id="2" name="TextBox 1"/>
        <cdr:cNvSpPr txBox="1"/>
      </cdr:nvSpPr>
      <cdr:spPr>
        <a:xfrm xmlns:a="http://schemas.openxmlformats.org/drawingml/2006/main">
          <a:off x="152385" y="2495550"/>
          <a:ext cx="3181365" cy="2095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6 and Appendix Tables 20, 22, 26, and 29</a:t>
          </a:r>
        </a:p>
      </cdr:txBody>
    </cdr:sp>
  </cdr:relSizeAnchor>
</c:userShapes>
</file>

<file path=xl/drawings/drawing181.xml><?xml version="1.0" encoding="utf-8"?>
<xdr:wsDr xmlns:xdr="http://schemas.openxmlformats.org/drawingml/2006/spreadsheetDrawing" xmlns:a="http://schemas.openxmlformats.org/drawingml/2006/main">
  <xdr:twoCellAnchor>
    <xdr:from>
      <xdr:col>14</xdr:col>
      <xdr:colOff>276225</xdr:colOff>
      <xdr:row>2</xdr:row>
      <xdr:rowOff>333375</xdr:rowOff>
    </xdr:from>
    <xdr:to>
      <xdr:col>23</xdr:col>
      <xdr:colOff>47625</xdr:colOff>
      <xdr:row>15</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314325</xdr:colOff>
      <xdr:row>16</xdr:row>
      <xdr:rowOff>47625</xdr:rowOff>
    </xdr:from>
    <xdr:to>
      <xdr:col>23</xdr:col>
      <xdr:colOff>85725</xdr:colOff>
      <xdr:row>27</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2.xml><?xml version="1.0" encoding="utf-8"?>
<c:userShapes xmlns:c="http://schemas.openxmlformats.org/drawingml/2006/chart">
  <cdr:relSizeAnchor xmlns:cdr="http://schemas.openxmlformats.org/drawingml/2006/chartDrawing">
    <cdr:from>
      <cdr:x>0.03125</cdr:x>
      <cdr:y>0.92014</cdr:y>
    </cdr:from>
    <cdr:to>
      <cdr:x>0.46458</cdr:x>
      <cdr:y>0.99653</cdr:y>
    </cdr:to>
    <cdr:sp macro="" textlink="">
      <cdr:nvSpPr>
        <cdr:cNvPr id="2" name="TextBox 1"/>
        <cdr:cNvSpPr txBox="1"/>
      </cdr:nvSpPr>
      <cdr:spPr>
        <a:xfrm xmlns:a="http://schemas.openxmlformats.org/drawingml/2006/main">
          <a:off x="142875" y="2524125"/>
          <a:ext cx="1981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cdr:x>
      <cdr:y>0.92014</cdr:y>
    </cdr:from>
    <cdr:to>
      <cdr:x>0.54167</cdr:x>
      <cdr:y>1</cdr:y>
    </cdr:to>
    <cdr:sp macro="" textlink="">
      <cdr:nvSpPr>
        <cdr:cNvPr id="3" name="TextBox 2"/>
        <cdr:cNvSpPr txBox="1"/>
      </cdr:nvSpPr>
      <cdr:spPr>
        <a:xfrm xmlns:a="http://schemas.openxmlformats.org/drawingml/2006/main">
          <a:off x="0" y="2600325"/>
          <a:ext cx="247650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Source:</a:t>
          </a:r>
          <a:r>
            <a:rPr lang="en-US" sz="1100" baseline="0"/>
            <a:t>  Table  3</a:t>
          </a:r>
          <a:endParaRPr lang="en-US" sz="1100"/>
        </a:p>
      </cdr:txBody>
    </cdr:sp>
  </cdr:relSizeAnchor>
</c:userShapes>
</file>

<file path=xl/drawings/drawing183.xml><?xml version="1.0" encoding="utf-8"?>
<c:userShapes xmlns:c="http://schemas.openxmlformats.org/drawingml/2006/chart">
  <cdr:relSizeAnchor xmlns:cdr="http://schemas.openxmlformats.org/drawingml/2006/chartDrawing">
    <cdr:from>
      <cdr:x>0</cdr:x>
      <cdr:y>0</cdr:y>
    </cdr:from>
    <cdr:to>
      <cdr:x>0.00533</cdr:x>
      <cdr:y>0.00889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0.31667</cdr:x>
      <cdr:y>0.52778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447800" cy="1447800"/>
        </a:xfrm>
        <a:prstGeom xmlns:a="http://schemas.openxmlformats.org/drawingml/2006/main" prst="rect">
          <a:avLst/>
        </a:prstGeom>
      </cdr:spPr>
    </cdr:pic>
  </cdr:relSizeAnchor>
  <cdr:relSizeAnchor xmlns:cdr="http://schemas.openxmlformats.org/drawingml/2006/chartDrawing">
    <cdr:from>
      <cdr:x>0</cdr:x>
      <cdr:y>0.90972</cdr:y>
    </cdr:from>
    <cdr:to>
      <cdr:x>0.54167</cdr:x>
      <cdr:y>0.98958</cdr:y>
    </cdr:to>
    <cdr:sp macro="" textlink="">
      <cdr:nvSpPr>
        <cdr:cNvPr id="4" name="TextBox 1"/>
        <cdr:cNvSpPr txBox="1"/>
      </cdr:nvSpPr>
      <cdr:spPr>
        <a:xfrm xmlns:a="http://schemas.openxmlformats.org/drawingml/2006/main">
          <a:off x="0" y="2495550"/>
          <a:ext cx="247650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a:t>Source:</a:t>
          </a:r>
          <a:r>
            <a:rPr lang="en-US" sz="1100" baseline="0"/>
            <a:t>  Table  3a</a:t>
          </a:r>
          <a:endParaRPr lang="en-US" sz="1100"/>
        </a:p>
      </cdr:txBody>
    </cdr:sp>
  </cdr:relSizeAnchor>
</c:userShapes>
</file>

<file path=xl/drawings/drawing184.xml><?xml version="1.0" encoding="utf-8"?>
<xdr:wsDr xmlns:xdr="http://schemas.openxmlformats.org/drawingml/2006/spreadsheetDrawing" xmlns:a="http://schemas.openxmlformats.org/drawingml/2006/main">
  <xdr:twoCellAnchor>
    <xdr:from>
      <xdr:col>9</xdr:col>
      <xdr:colOff>428625</xdr:colOff>
      <xdr:row>22</xdr:row>
      <xdr:rowOff>76200</xdr:rowOff>
    </xdr:from>
    <xdr:to>
      <xdr:col>18</xdr:col>
      <xdr:colOff>200025</xdr:colOff>
      <xdr:row>35</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238125</xdr:colOff>
      <xdr:row>2</xdr:row>
      <xdr:rowOff>200025</xdr:rowOff>
    </xdr:from>
    <xdr:to>
      <xdr:col>19</xdr:col>
      <xdr:colOff>85725</xdr:colOff>
      <xdr:row>19</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57150</xdr:colOff>
      <xdr:row>17</xdr:row>
      <xdr:rowOff>142875</xdr:rowOff>
    </xdr:from>
    <xdr:to>
      <xdr:col>15</xdr:col>
      <xdr:colOff>171450</xdr:colOff>
      <xdr:row>19</xdr:row>
      <xdr:rowOff>57150</xdr:rowOff>
    </xdr:to>
    <xdr:sp macro="" textlink="">
      <xdr:nvSpPr>
        <xdr:cNvPr id="4" name="TextBox 3"/>
        <xdr:cNvSpPr txBox="1"/>
      </xdr:nvSpPr>
      <xdr:spPr>
        <a:xfrm>
          <a:off x="8248650" y="3724275"/>
          <a:ext cx="27813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Source: Table 4</a:t>
          </a:r>
        </a:p>
      </xdr:txBody>
    </xdr:sp>
    <xdr:clientData/>
  </xdr:twoCellAnchor>
</xdr:wsDr>
</file>

<file path=xl/drawings/drawing185.xml><?xml version="1.0" encoding="utf-8"?>
<c:userShapes xmlns:c="http://schemas.openxmlformats.org/drawingml/2006/chart">
  <cdr:relSizeAnchor xmlns:cdr="http://schemas.openxmlformats.org/drawingml/2006/chartDrawing">
    <cdr:from>
      <cdr:x>0.01875</cdr:x>
      <cdr:y>0.89583</cdr:y>
    </cdr:from>
    <cdr:to>
      <cdr:x>0.25077</cdr:x>
      <cdr:y>0.98251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5725" y="2457450"/>
          <a:ext cx="1060796" cy="237765"/>
        </a:xfrm>
        <a:prstGeom xmlns:a="http://schemas.openxmlformats.org/drawingml/2006/main" prst="rect">
          <a:avLst/>
        </a:prstGeom>
      </cdr:spPr>
    </cdr:pic>
  </cdr:relSizeAnchor>
</c:userShapes>
</file>

<file path=xl/drawings/drawing186.xml><?xml version="1.0" encoding="utf-8"?>
<xdr:wsDr xmlns:xdr="http://schemas.openxmlformats.org/drawingml/2006/spreadsheetDrawing" xmlns:a="http://schemas.openxmlformats.org/drawingml/2006/main">
  <xdr:twoCellAnchor>
    <xdr:from>
      <xdr:col>21</xdr:col>
      <xdr:colOff>133350</xdr:colOff>
      <xdr:row>17</xdr:row>
      <xdr:rowOff>266700</xdr:rowOff>
    </xdr:from>
    <xdr:to>
      <xdr:col>29</xdr:col>
      <xdr:colOff>400050</xdr:colOff>
      <xdr:row>25</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9525</xdr:colOff>
      <xdr:row>2</xdr:row>
      <xdr:rowOff>1152525</xdr:rowOff>
    </xdr:from>
    <xdr:to>
      <xdr:col>30</xdr:col>
      <xdr:colOff>276225</xdr:colOff>
      <xdr:row>16</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437029</xdr:colOff>
      <xdr:row>41</xdr:row>
      <xdr:rowOff>963706</xdr:rowOff>
    </xdr:from>
    <xdr:to>
      <xdr:col>26</xdr:col>
      <xdr:colOff>470647</xdr:colOff>
      <xdr:row>41</xdr:row>
      <xdr:rowOff>1288676</xdr:rowOff>
    </xdr:to>
    <xdr:sp macro="" textlink="">
      <xdr:nvSpPr>
        <xdr:cNvPr id="4" name="TextBox 3"/>
        <xdr:cNvSpPr txBox="1"/>
      </xdr:nvSpPr>
      <xdr:spPr>
        <a:xfrm>
          <a:off x="13095754" y="11660281"/>
          <a:ext cx="2700618" cy="1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Source: Table 5</a:t>
          </a:r>
        </a:p>
      </xdr:txBody>
    </xdr:sp>
    <xdr:clientData/>
  </xdr:twoCellAnchor>
  <xdr:twoCellAnchor>
    <xdr:from>
      <xdr:col>21</xdr:col>
      <xdr:colOff>504265</xdr:colOff>
      <xdr:row>2</xdr:row>
      <xdr:rowOff>358588</xdr:rowOff>
    </xdr:from>
    <xdr:to>
      <xdr:col>25</xdr:col>
      <xdr:colOff>459441</xdr:colOff>
      <xdr:row>2</xdr:row>
      <xdr:rowOff>627529</xdr:rowOff>
    </xdr:to>
    <xdr:sp macro="" textlink="">
      <xdr:nvSpPr>
        <xdr:cNvPr id="5" name="TextBox 4"/>
        <xdr:cNvSpPr txBox="1"/>
      </xdr:nvSpPr>
      <xdr:spPr>
        <a:xfrm>
          <a:off x="13162990" y="682438"/>
          <a:ext cx="2088776" cy="268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Source: Table 5</a:t>
          </a:r>
        </a:p>
      </xdr:txBody>
    </xdr:sp>
    <xdr:clientData/>
  </xdr:twoCellAnchor>
  <xdr:twoCellAnchor>
    <xdr:from>
      <xdr:col>1</xdr:col>
      <xdr:colOff>228600</xdr:colOff>
      <xdr:row>67</xdr:row>
      <xdr:rowOff>123825</xdr:rowOff>
    </xdr:from>
    <xdr:to>
      <xdr:col>19</xdr:col>
      <xdr:colOff>295275</xdr:colOff>
      <xdr:row>108</xdr:row>
      <xdr:rowOff>133350</xdr:rowOff>
    </xdr:to>
    <xdr:graphicFrame macro="">
      <xdr:nvGraphicFramePr>
        <xdr:cNvPr id="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7.xml><?xml version="1.0" encoding="utf-8"?>
<c:userShapes xmlns:c="http://schemas.openxmlformats.org/drawingml/2006/chart">
  <cdr:relSizeAnchor xmlns:cdr="http://schemas.openxmlformats.org/drawingml/2006/chartDrawing">
    <cdr:from>
      <cdr:x>0.84171</cdr:x>
      <cdr:y>0.02159</cdr:y>
    </cdr:from>
    <cdr:to>
      <cdr:x>0.84278</cdr:x>
      <cdr:y>0.83564</cdr:y>
    </cdr:to>
    <cdr:sp macro="" textlink="">
      <cdr:nvSpPr>
        <cdr:cNvPr id="3" name="Straight Connector 2"/>
        <cdr:cNvSpPr/>
      </cdr:nvSpPr>
      <cdr:spPr>
        <a:xfrm xmlns:a="http://schemas.openxmlformats.org/drawingml/2006/main" rot="16200000" flipH="1">
          <a:off x="8796617" y="123265"/>
          <a:ext cx="11207" cy="533400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0.05166</cdr:x>
      <cdr:y>0.90062</cdr:y>
    </cdr:from>
    <cdr:to>
      <cdr:x>0.33026</cdr:x>
      <cdr:y>1</cdr:y>
    </cdr:to>
    <cdr:sp macro="" textlink="">
      <cdr:nvSpPr>
        <cdr:cNvPr id="2" name="TextBox 1"/>
        <cdr:cNvSpPr txBox="1"/>
      </cdr:nvSpPr>
      <cdr:spPr>
        <a:xfrm xmlns:a="http://schemas.openxmlformats.org/drawingml/2006/main">
          <a:off x="266700" y="2819400"/>
          <a:ext cx="143827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0.06642</cdr:x>
      <cdr:y>0.93478</cdr:y>
    </cdr:from>
    <cdr:to>
      <cdr:x>0.41882</cdr:x>
      <cdr:y>0.99689</cdr:y>
    </cdr:to>
    <cdr:sp macro="" textlink="">
      <cdr:nvSpPr>
        <cdr:cNvPr id="3" name="TextBox 2"/>
        <cdr:cNvSpPr txBox="1"/>
      </cdr:nvSpPr>
      <cdr:spPr>
        <a:xfrm xmlns:a="http://schemas.openxmlformats.org/drawingml/2006/main">
          <a:off x="342900" y="2867025"/>
          <a:ext cx="18192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cdr:x>
      <cdr:y>0.92857</cdr:y>
    </cdr:from>
    <cdr:to>
      <cdr:x>0.52583</cdr:x>
      <cdr:y>0.99379</cdr:y>
    </cdr:to>
    <cdr:sp macro="" textlink="">
      <cdr:nvSpPr>
        <cdr:cNvPr id="4" name="TextBox 3"/>
        <cdr:cNvSpPr txBox="1"/>
      </cdr:nvSpPr>
      <cdr:spPr>
        <a:xfrm xmlns:a="http://schemas.openxmlformats.org/drawingml/2006/main">
          <a:off x="0" y="2847976"/>
          <a:ext cx="2714625" cy="200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Source: Table 1 and Appendix Table 30</a:t>
          </a:r>
        </a:p>
      </cdr:txBody>
    </cdr:sp>
  </cdr:relSizeAnchor>
  <cdr:relSizeAnchor xmlns:cdr="http://schemas.openxmlformats.org/drawingml/2006/chartDrawing">
    <cdr:from>
      <cdr:x>0.04244</cdr:x>
      <cdr:y>0.91615</cdr:y>
    </cdr:from>
    <cdr:to>
      <cdr:x>0.3893</cdr:x>
      <cdr:y>0.99689</cdr:y>
    </cdr:to>
    <cdr:sp macro="" textlink="">
      <cdr:nvSpPr>
        <cdr:cNvPr id="5" name="TextBox 4"/>
        <cdr:cNvSpPr txBox="1"/>
      </cdr:nvSpPr>
      <cdr:spPr>
        <a:xfrm xmlns:a="http://schemas.openxmlformats.org/drawingml/2006/main">
          <a:off x="219075" y="2809875"/>
          <a:ext cx="179070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userShapes>
</file>

<file path=xl/drawings/drawing20.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441512</xdr:colOff>
      <xdr:row>17</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0.02292</cdr:x>
      <cdr:y>0.90972</cdr:y>
    </cdr:from>
    <cdr:to>
      <cdr:x>0.65625</cdr:x>
      <cdr:y>1</cdr:y>
    </cdr:to>
    <cdr:sp macro="" textlink="">
      <cdr:nvSpPr>
        <cdr:cNvPr id="2" name="TextBox 1"/>
        <cdr:cNvSpPr txBox="1"/>
      </cdr:nvSpPr>
      <cdr:spPr>
        <a:xfrm xmlns:a="http://schemas.openxmlformats.org/drawingml/2006/main">
          <a:off x="104775" y="2495550"/>
          <a:ext cx="289560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1.</a:t>
          </a: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441512</xdr:colOff>
      <xdr:row>17</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0.0375</cdr:x>
      <cdr:y>0.89931</cdr:y>
    </cdr:from>
    <cdr:to>
      <cdr:x>0.74792</cdr:x>
      <cdr:y>0.99306</cdr:y>
    </cdr:to>
    <cdr:sp macro="" textlink="">
      <cdr:nvSpPr>
        <cdr:cNvPr id="2" name="TextBox 1"/>
        <cdr:cNvSpPr txBox="1"/>
      </cdr:nvSpPr>
      <cdr:spPr>
        <a:xfrm xmlns:a="http://schemas.openxmlformats.org/drawingml/2006/main">
          <a:off x="171450" y="2466975"/>
          <a:ext cx="324802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1</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443753</xdr:colOff>
      <xdr:row>17</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0.68117</cdr:x>
      <cdr:y>0.89236</cdr:y>
    </cdr:from>
    <cdr:to>
      <cdr:x>0.9819</cdr:x>
      <cdr:y>0.98566</cdr:y>
    </cdr:to>
    <cdr:sp macro="" textlink="">
      <cdr:nvSpPr>
        <cdr:cNvPr id="2" name="TextBox 1"/>
        <cdr:cNvSpPr txBox="1"/>
      </cdr:nvSpPr>
      <cdr:spPr>
        <a:xfrm xmlns:a="http://schemas.openxmlformats.org/drawingml/2006/main">
          <a:off x="3105150" y="2371425"/>
          <a:ext cx="1370912" cy="247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a:t>
          </a:r>
          <a:r>
            <a:rPr lang="en-US" sz="900" baseline="0"/>
            <a:t> Table 6</a:t>
          </a:r>
          <a:endParaRPr lang="en-US" sz="900"/>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441512</xdr:colOff>
      <xdr:row>17</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9525</xdr:rowOff>
    </xdr:from>
    <xdr:to>
      <xdr:col>6</xdr:col>
      <xdr:colOff>590550</xdr:colOff>
      <xdr:row>18</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0.0145</cdr:x>
      <cdr:y>0.92372</cdr:y>
    </cdr:from>
    <cdr:to>
      <cdr:x>0.66033</cdr:x>
      <cdr:y>0.98969</cdr:y>
    </cdr:to>
    <cdr:sp macro="" textlink="">
      <cdr:nvSpPr>
        <cdr:cNvPr id="2" name="TextBox 1"/>
        <cdr:cNvSpPr txBox="1"/>
      </cdr:nvSpPr>
      <cdr:spPr>
        <a:xfrm xmlns:a="http://schemas.openxmlformats.org/drawingml/2006/main">
          <a:off x="66087" y="2454774"/>
          <a:ext cx="2942603" cy="1753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a:t>
          </a:r>
          <a:r>
            <a:rPr lang="en-US" sz="900" baseline="0"/>
            <a:t> Table 5</a:t>
          </a:r>
          <a:endParaRPr lang="en-US" sz="900"/>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1</xdr:row>
      <xdr:rowOff>19050</xdr:rowOff>
    </xdr:from>
    <xdr:to>
      <xdr:col>6</xdr:col>
      <xdr:colOff>441512</xdr:colOff>
      <xdr:row>17</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0.04583</cdr:x>
      <cdr:y>0.91667</cdr:y>
    </cdr:from>
    <cdr:to>
      <cdr:x>0.74792</cdr:x>
      <cdr:y>0.99653</cdr:y>
    </cdr:to>
    <cdr:sp macro="" textlink="">
      <cdr:nvSpPr>
        <cdr:cNvPr id="2" name="TextBox 1"/>
        <cdr:cNvSpPr txBox="1"/>
      </cdr:nvSpPr>
      <cdr:spPr>
        <a:xfrm xmlns:a="http://schemas.openxmlformats.org/drawingml/2006/main">
          <a:off x="209550" y="2514600"/>
          <a:ext cx="32099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3</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474903</xdr:colOff>
      <xdr:row>17</xdr:row>
      <xdr:rowOff>87224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0.02698</cdr:x>
      <cdr:y>0.93599</cdr:y>
    </cdr:from>
    <cdr:to>
      <cdr:x>0.2446</cdr:x>
      <cdr:y>1</cdr:y>
    </cdr:to>
    <cdr:sp macro="" textlink="">
      <cdr:nvSpPr>
        <cdr:cNvPr id="2" name="TextBox 1"/>
        <cdr:cNvSpPr txBox="1"/>
      </cdr:nvSpPr>
      <cdr:spPr>
        <a:xfrm xmlns:a="http://schemas.openxmlformats.org/drawingml/2006/main">
          <a:off x="142883" y="3058069"/>
          <a:ext cx="1152494" cy="2091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1</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577645</xdr:colOff>
      <xdr:row>16</xdr:row>
      <xdr:rowOff>151450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0.06099</cdr:x>
      <cdr:y>0.92278</cdr:y>
    </cdr:from>
    <cdr:to>
      <cdr:x>0.51837</cdr:x>
      <cdr:y>1</cdr:y>
    </cdr:to>
    <cdr:sp macro="" textlink="">
      <cdr:nvSpPr>
        <cdr:cNvPr id="2" name="TextBox 1"/>
        <cdr:cNvSpPr txBox="1"/>
      </cdr:nvSpPr>
      <cdr:spPr>
        <a:xfrm xmlns:a="http://schemas.openxmlformats.org/drawingml/2006/main">
          <a:off x="328950" y="2455524"/>
          <a:ext cx="2467078" cy="2054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1</a:t>
          </a: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267821</xdr:colOff>
      <xdr:row>19</xdr:row>
      <xdr:rowOff>37540</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0.02896</cdr:x>
      <cdr:y>0.88754</cdr:y>
    </cdr:from>
    <cdr:to>
      <cdr:x>0.47359</cdr:x>
      <cdr:y>0.97264</cdr:y>
    </cdr:to>
    <cdr:sp macro="" textlink="">
      <cdr:nvSpPr>
        <cdr:cNvPr id="2" name="TextBox 1"/>
        <cdr:cNvSpPr txBox="1"/>
      </cdr:nvSpPr>
      <cdr:spPr>
        <a:xfrm xmlns:a="http://schemas.openxmlformats.org/drawingml/2006/main">
          <a:off x="161926" y="2781301"/>
          <a:ext cx="24860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2</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19049</xdr:colOff>
      <xdr:row>1</xdr:row>
      <xdr:rowOff>9526</xdr:rowOff>
    </xdr:from>
    <xdr:to>
      <xdr:col>7</xdr:col>
      <xdr:colOff>19050</xdr:colOff>
      <xdr:row>18</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0.93127</cdr:y>
    </cdr:from>
    <cdr:to>
      <cdr:x>0.54748</cdr:x>
      <cdr:y>1</cdr:y>
    </cdr:to>
    <cdr:sp macro="" textlink="">
      <cdr:nvSpPr>
        <cdr:cNvPr id="2" name="TextBox 1"/>
        <cdr:cNvSpPr txBox="1"/>
      </cdr:nvSpPr>
      <cdr:spPr>
        <a:xfrm xmlns:a="http://schemas.openxmlformats.org/drawingml/2006/main">
          <a:off x="0" y="2581275"/>
          <a:ext cx="351472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9 and Appendix</a:t>
          </a:r>
          <a:r>
            <a:rPr lang="en-US" sz="900" baseline="0"/>
            <a:t> Tables 1 and 30</a:t>
          </a:r>
          <a:r>
            <a:rPr lang="en-US" sz="900"/>
            <a:t>.</a:t>
          </a:r>
        </a:p>
      </cdr:txBody>
    </cdr:sp>
  </cdr:relSizeAnchor>
</c:userShapes>
</file>

<file path=xl/drawings/drawing40.xml><?xml version="1.0" encoding="utf-8"?>
<c:userShapes xmlns:c="http://schemas.openxmlformats.org/drawingml/2006/chart">
  <cdr:relSizeAnchor xmlns:cdr="http://schemas.openxmlformats.org/drawingml/2006/chartDrawing">
    <cdr:from>
      <cdr:x>0.02301</cdr:x>
      <cdr:y>0.92593</cdr:y>
    </cdr:from>
    <cdr:to>
      <cdr:x>0.6841</cdr:x>
      <cdr:y>1</cdr:y>
    </cdr:to>
    <cdr:sp macro="" textlink="">
      <cdr:nvSpPr>
        <cdr:cNvPr id="2" name="TextBox 1"/>
        <cdr:cNvSpPr txBox="1"/>
      </cdr:nvSpPr>
      <cdr:spPr>
        <a:xfrm xmlns:a="http://schemas.openxmlformats.org/drawingml/2006/main">
          <a:off x="104763" y="2619375"/>
          <a:ext cx="300991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2.</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443753</xdr:colOff>
      <xdr:row>17</xdr:row>
      <xdr:rowOff>66675</xdr:rowOff>
    </xdr:to>
    <xdr:graphicFrame macro="">
      <xdr:nvGraphicFramePr>
        <xdr:cNvPr id="2"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0.00829</cdr:x>
      <cdr:y>0.93402</cdr:y>
    </cdr:from>
    <cdr:to>
      <cdr:x>0.66454</cdr:x>
      <cdr:y>1</cdr:y>
    </cdr:to>
    <cdr:sp macro="" textlink="">
      <cdr:nvSpPr>
        <cdr:cNvPr id="2" name="TextBox 1"/>
        <cdr:cNvSpPr txBox="1"/>
      </cdr:nvSpPr>
      <cdr:spPr>
        <a:xfrm xmlns:a="http://schemas.openxmlformats.org/drawingml/2006/main">
          <a:off x="37807" y="2606567"/>
          <a:ext cx="2991550" cy="1753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a:t>
          </a:r>
          <a:r>
            <a:rPr lang="en-US" sz="900" baseline="0"/>
            <a:t> Table 2</a:t>
          </a:r>
          <a:endParaRPr lang="en-US" sz="9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441512</xdr:colOff>
      <xdr:row>17</xdr:row>
      <xdr:rowOff>71717</xdr:rowOff>
    </xdr:to>
    <xdr:graphicFrame macro="">
      <xdr:nvGraphicFramePr>
        <xdr:cNvPr id="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0.03125</cdr:x>
      <cdr:y>0.91319</cdr:y>
    </cdr:from>
    <cdr:to>
      <cdr:x>0.68958</cdr:x>
      <cdr:y>0.98264</cdr:y>
    </cdr:to>
    <cdr:sp macro="" textlink="">
      <cdr:nvSpPr>
        <cdr:cNvPr id="2" name="TextBox 1"/>
        <cdr:cNvSpPr txBox="1"/>
      </cdr:nvSpPr>
      <cdr:spPr>
        <a:xfrm xmlns:a="http://schemas.openxmlformats.org/drawingml/2006/main">
          <a:off x="142875" y="2505075"/>
          <a:ext cx="30099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2</a:t>
          </a:r>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441512</xdr:colOff>
      <xdr:row>17</xdr:row>
      <xdr:rowOff>66675</xdr:rowOff>
    </xdr:to>
    <xdr:graphicFrame macro="">
      <xdr:nvGraphicFramePr>
        <xdr:cNvPr id="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0.03333</cdr:x>
      <cdr:y>0.89583</cdr:y>
    </cdr:from>
    <cdr:to>
      <cdr:x>0.70833</cdr:x>
      <cdr:y>0.98958</cdr:y>
    </cdr:to>
    <cdr:sp macro="" textlink="">
      <cdr:nvSpPr>
        <cdr:cNvPr id="2" name="TextBox 1"/>
        <cdr:cNvSpPr txBox="1"/>
      </cdr:nvSpPr>
      <cdr:spPr>
        <a:xfrm xmlns:a="http://schemas.openxmlformats.org/drawingml/2006/main">
          <a:off x="152400" y="2457450"/>
          <a:ext cx="30861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2</a:t>
          </a: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441512</xdr:colOff>
      <xdr:row>17</xdr:row>
      <xdr:rowOff>66675</xdr:rowOff>
    </xdr:to>
    <xdr:graphicFrame macro="">
      <xdr:nvGraphicFramePr>
        <xdr:cNvPr id="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0.04375</cdr:x>
      <cdr:y>0.90278</cdr:y>
    </cdr:from>
    <cdr:to>
      <cdr:x>0.59375</cdr:x>
      <cdr:y>1</cdr:y>
    </cdr:to>
    <cdr:sp macro="" textlink="">
      <cdr:nvSpPr>
        <cdr:cNvPr id="2" name="TextBox 1"/>
        <cdr:cNvSpPr txBox="1"/>
      </cdr:nvSpPr>
      <cdr:spPr>
        <a:xfrm xmlns:a="http://schemas.openxmlformats.org/drawingml/2006/main">
          <a:off x="199339" y="2400303"/>
          <a:ext cx="2505971" cy="2583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2</a:t>
          </a:r>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441512</xdr:colOff>
      <xdr:row>17</xdr:row>
      <xdr:rowOff>66675</xdr:rowOff>
    </xdr:to>
    <xdr:graphicFrame macro="">
      <xdr:nvGraphicFramePr>
        <xdr:cNvPr id="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10</xdr:row>
      <xdr:rowOff>133350</xdr:rowOff>
    </xdr:from>
    <xdr:to>
      <xdr:col>7</xdr:col>
      <xdr:colOff>457200</xdr:colOff>
      <xdr:row>29</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0.03333</cdr:x>
      <cdr:y>0.91319</cdr:y>
    </cdr:from>
    <cdr:to>
      <cdr:x>0.69583</cdr:x>
      <cdr:y>0.99653</cdr:y>
    </cdr:to>
    <cdr:sp macro="" textlink="">
      <cdr:nvSpPr>
        <cdr:cNvPr id="2" name="TextBox 1"/>
        <cdr:cNvSpPr txBox="1"/>
      </cdr:nvSpPr>
      <cdr:spPr>
        <a:xfrm xmlns:a="http://schemas.openxmlformats.org/drawingml/2006/main">
          <a:off x="152400" y="2505075"/>
          <a:ext cx="30289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2</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443753</xdr:colOff>
      <xdr:row>17</xdr:row>
      <xdr:rowOff>66675</xdr:rowOff>
    </xdr:to>
    <xdr:graphicFrame macro="">
      <xdr:nvGraphicFramePr>
        <xdr:cNvPr id="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6</xdr:col>
      <xdr:colOff>441512</xdr:colOff>
      <xdr:row>34</xdr:row>
      <xdr:rowOff>66675</xdr:rowOff>
    </xdr:to>
    <xdr:graphicFrame macro="">
      <xdr:nvGraphicFramePr>
        <xdr:cNvPr id="3"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0.03125</cdr:x>
      <cdr:y>0.92014</cdr:y>
    </cdr:from>
    <cdr:to>
      <cdr:x>0.68125</cdr:x>
      <cdr:y>0.98958</cdr:y>
    </cdr:to>
    <cdr:sp macro="" textlink="">
      <cdr:nvSpPr>
        <cdr:cNvPr id="2" name="TextBox 1"/>
        <cdr:cNvSpPr txBox="1"/>
      </cdr:nvSpPr>
      <cdr:spPr>
        <a:xfrm xmlns:a="http://schemas.openxmlformats.org/drawingml/2006/main">
          <a:off x="142875" y="2524125"/>
          <a:ext cx="29718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9</a:t>
          </a:r>
        </a:p>
      </cdr:txBody>
    </cdr:sp>
  </cdr:relSizeAnchor>
  <cdr:relSizeAnchor xmlns:cdr="http://schemas.openxmlformats.org/drawingml/2006/chartDrawing">
    <cdr:from>
      <cdr:x>0.03125</cdr:x>
      <cdr:y>0.92014</cdr:y>
    </cdr:from>
    <cdr:to>
      <cdr:x>0.68125</cdr:x>
      <cdr:y>0.98958</cdr:y>
    </cdr:to>
    <cdr:sp macro="" textlink="">
      <cdr:nvSpPr>
        <cdr:cNvPr id="3" name="TextBox 1"/>
        <cdr:cNvSpPr txBox="1"/>
      </cdr:nvSpPr>
      <cdr:spPr>
        <a:xfrm xmlns:a="http://schemas.openxmlformats.org/drawingml/2006/main">
          <a:off x="142875" y="2524125"/>
          <a:ext cx="29718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a:t>
          </a: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0.93907</cdr:y>
    </cdr:from>
    <cdr:to>
      <cdr:x>0.50799</cdr:x>
      <cdr:y>1</cdr:y>
    </cdr:to>
    <cdr:sp macro="" textlink="">
      <cdr:nvSpPr>
        <cdr:cNvPr id="2" name="TextBox 1"/>
        <cdr:cNvSpPr txBox="1"/>
      </cdr:nvSpPr>
      <cdr:spPr>
        <a:xfrm xmlns:a="http://schemas.openxmlformats.org/drawingml/2006/main">
          <a:off x="0" y="2495550"/>
          <a:ext cx="2314575"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9</a:t>
          </a:r>
        </a:p>
      </cdr:txBody>
    </cdr:sp>
  </cdr:relSizeAnchor>
  <cdr:relSizeAnchor xmlns:cdr="http://schemas.openxmlformats.org/drawingml/2006/chartDrawing">
    <cdr:from>
      <cdr:x>0.42646</cdr:x>
      <cdr:y>0.04301</cdr:y>
    </cdr:from>
    <cdr:to>
      <cdr:x>0.55759</cdr:x>
      <cdr:y>0.13707</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943100" y="114300"/>
          <a:ext cx="597460" cy="249958"/>
        </a:xfrm>
        <a:prstGeom xmlns:a="http://schemas.openxmlformats.org/drawingml/2006/main" prst="rect">
          <a:avLst/>
        </a:prstGeom>
      </cdr:spPr>
    </cdr:pic>
  </cdr:relSizeAnchor>
</c:userShapes>
</file>

<file path=xl/drawings/drawing54.xml><?xml version="1.0" encoding="utf-8"?>
<xdr:wsDr xmlns:xdr="http://schemas.openxmlformats.org/drawingml/2006/spreadsheetDrawing" xmlns:a="http://schemas.openxmlformats.org/drawingml/2006/main">
  <xdr:twoCellAnchor>
    <xdr:from>
      <xdr:col>0</xdr:col>
      <xdr:colOff>1</xdr:colOff>
      <xdr:row>1</xdr:row>
      <xdr:rowOff>1</xdr:rowOff>
    </xdr:from>
    <xdr:to>
      <xdr:col>7</xdr:col>
      <xdr:colOff>76201</xdr:colOff>
      <xdr:row>18</xdr:row>
      <xdr:rowOff>85726</xdr:rowOff>
    </xdr:to>
    <xdr:graphicFrame macro="">
      <xdr:nvGraphicFramePr>
        <xdr:cNvPr id="2"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0.03089</cdr:x>
      <cdr:y>0.92284</cdr:y>
    </cdr:from>
    <cdr:to>
      <cdr:x>0.71815</cdr:x>
      <cdr:y>0.99074</cdr:y>
    </cdr:to>
    <cdr:sp macro="" textlink="">
      <cdr:nvSpPr>
        <cdr:cNvPr id="2" name="TextBox 1"/>
        <cdr:cNvSpPr txBox="1"/>
      </cdr:nvSpPr>
      <cdr:spPr>
        <a:xfrm xmlns:a="http://schemas.openxmlformats.org/drawingml/2006/main">
          <a:off x="152400" y="2847975"/>
          <a:ext cx="33909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a:t>
          </a:r>
          <a:r>
            <a:rPr lang="en-US" sz="900" baseline="0"/>
            <a:t> Table 2</a:t>
          </a:r>
          <a:endParaRPr lang="en-US" sz="9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0</xdr:colOff>
      <xdr:row>17</xdr:row>
      <xdr:rowOff>156128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0.02401</cdr:x>
      <cdr:y>0.91484</cdr:y>
    </cdr:from>
    <cdr:to>
      <cdr:x>0.26587</cdr:x>
      <cdr:y>0.97253</cdr:y>
    </cdr:to>
    <cdr:sp macro="" textlink="">
      <cdr:nvSpPr>
        <cdr:cNvPr id="2" name="TextBox 1"/>
        <cdr:cNvSpPr txBox="1"/>
      </cdr:nvSpPr>
      <cdr:spPr>
        <a:xfrm xmlns:a="http://schemas.openxmlformats.org/drawingml/2006/main">
          <a:off x="133350" y="3171825"/>
          <a:ext cx="13430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2</a:t>
          </a: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654978</xdr:colOff>
      <xdr:row>17</xdr:row>
      <xdr:rowOff>59933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0.01173</cdr:x>
      <cdr:y>0.9326</cdr:y>
    </cdr:from>
    <cdr:to>
      <cdr:x>0.54635</cdr:x>
      <cdr:y>0.99641</cdr:y>
    </cdr:to>
    <cdr:sp macro="" textlink="">
      <cdr:nvSpPr>
        <cdr:cNvPr id="2" name="TextBox 1"/>
        <cdr:cNvSpPr txBox="1"/>
      </cdr:nvSpPr>
      <cdr:spPr>
        <a:xfrm xmlns:a="http://schemas.openxmlformats.org/drawingml/2006/main">
          <a:off x="63990" y="2472065"/>
          <a:ext cx="2916662" cy="1691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2</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0.93281</cdr:y>
    </cdr:from>
    <cdr:to>
      <cdr:x>0.65934</cdr:x>
      <cdr:y>1</cdr:y>
    </cdr:to>
    <cdr:sp macro="" textlink="">
      <cdr:nvSpPr>
        <cdr:cNvPr id="2" name="TextBox 1"/>
        <cdr:cNvSpPr txBox="1"/>
      </cdr:nvSpPr>
      <cdr:spPr>
        <a:xfrm xmlns:a="http://schemas.openxmlformats.org/drawingml/2006/main">
          <a:off x="0" y="2943225"/>
          <a:ext cx="3441536" cy="2079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900"/>
            <a:t>Source: Table 9</a:t>
          </a:r>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269420</xdr:colOff>
      <xdr:row>14</xdr:row>
      <xdr:rowOff>89734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0.03806</cdr:x>
      <cdr:y>0.91919</cdr:y>
    </cdr:from>
    <cdr:to>
      <cdr:x>0.64905</cdr:x>
      <cdr:y>0.99663</cdr:y>
    </cdr:to>
    <cdr:sp macro="" textlink="">
      <cdr:nvSpPr>
        <cdr:cNvPr id="2" name="TextBox 1"/>
        <cdr:cNvSpPr txBox="1"/>
      </cdr:nvSpPr>
      <cdr:spPr>
        <a:xfrm xmlns:a="http://schemas.openxmlformats.org/drawingml/2006/main">
          <a:off x="201707" y="3059207"/>
          <a:ext cx="3238500" cy="2577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17</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443753</xdr:colOff>
      <xdr:row>17</xdr:row>
      <xdr:rowOff>66675</xdr:rowOff>
    </xdr:to>
    <xdr:graphicFrame macro="">
      <xdr:nvGraphicFramePr>
        <xdr:cNvPr id="2"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cdr:x>
      <cdr:y>0.93056</cdr:y>
    </cdr:from>
    <cdr:to>
      <cdr:x>0.55208</cdr:x>
      <cdr:y>1</cdr:y>
    </cdr:to>
    <cdr:sp macro="" textlink="">
      <cdr:nvSpPr>
        <cdr:cNvPr id="2" name="TextBox 1"/>
        <cdr:cNvSpPr txBox="1"/>
      </cdr:nvSpPr>
      <cdr:spPr>
        <a:xfrm xmlns:a="http://schemas.openxmlformats.org/drawingml/2006/main">
          <a:off x="0" y="2502703"/>
          <a:ext cx="2516686" cy="1845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17</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374836</xdr:colOff>
      <xdr:row>20</xdr:row>
      <xdr:rowOff>28015</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0.01317</cdr:x>
      <cdr:y>0.89368</cdr:y>
    </cdr:from>
    <cdr:to>
      <cdr:x>0.49932</cdr:x>
      <cdr:y>0.98761</cdr:y>
    </cdr:to>
    <cdr:sp macro="" textlink="">
      <cdr:nvSpPr>
        <cdr:cNvPr id="2" name="TextBox 1"/>
        <cdr:cNvSpPr txBox="1"/>
      </cdr:nvSpPr>
      <cdr:spPr>
        <a:xfrm xmlns:a="http://schemas.openxmlformats.org/drawingml/2006/main">
          <a:off x="68139" y="2774498"/>
          <a:ext cx="2516038" cy="2916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Tables 18</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441511</xdr:colOff>
      <xdr:row>17</xdr:row>
      <xdr:rowOff>71718</xdr:rowOff>
    </xdr:to>
    <xdr:graphicFrame macro="">
      <xdr:nvGraphicFramePr>
        <xdr:cNvPr id="2"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cdr:x>
      <cdr:y>0.92014</cdr:y>
    </cdr:from>
    <cdr:to>
      <cdr:x>0.58959</cdr:x>
      <cdr:y>1</cdr:y>
    </cdr:to>
    <cdr:sp macro="" textlink="">
      <cdr:nvSpPr>
        <cdr:cNvPr id="2" name="TextBox 1"/>
        <cdr:cNvSpPr txBox="1"/>
      </cdr:nvSpPr>
      <cdr:spPr>
        <a:xfrm xmlns:a="http://schemas.openxmlformats.org/drawingml/2006/main">
          <a:off x="0" y="2707064"/>
          <a:ext cx="2686355" cy="2126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18</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441512</xdr:colOff>
      <xdr:row>17</xdr:row>
      <xdr:rowOff>66675</xdr:rowOff>
    </xdr:to>
    <xdr:graphicFrame macro="">
      <xdr:nvGraphicFramePr>
        <xdr:cNvPr id="2"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cdr:x>
      <cdr:y>0.92014</cdr:y>
    </cdr:from>
    <cdr:to>
      <cdr:x>0.58959</cdr:x>
      <cdr:y>1</cdr:y>
    </cdr:to>
    <cdr:sp macro="" textlink="">
      <cdr:nvSpPr>
        <cdr:cNvPr id="2" name="TextBox 1"/>
        <cdr:cNvSpPr txBox="1"/>
      </cdr:nvSpPr>
      <cdr:spPr>
        <a:xfrm xmlns:a="http://schemas.openxmlformats.org/drawingml/2006/main">
          <a:off x="0" y="2521449"/>
          <a:ext cx="2686356" cy="2122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Table 18</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9525</xdr:colOff>
      <xdr:row>1</xdr:row>
      <xdr:rowOff>28575</xdr:rowOff>
    </xdr:from>
    <xdr:to>
      <xdr:col>8</xdr:col>
      <xdr:colOff>0</xdr:colOff>
      <xdr:row>20</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654978</xdr:colOff>
      <xdr:row>17</xdr:row>
      <xdr:rowOff>7813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cdr:x>
      <cdr:y>0.93316</cdr:y>
    </cdr:from>
    <cdr:to>
      <cdr:x>0.52333</cdr:x>
      <cdr:y>1</cdr:y>
    </cdr:to>
    <cdr:sp macro="" textlink="">
      <cdr:nvSpPr>
        <cdr:cNvPr id="2" name="TextBox 1"/>
        <cdr:cNvSpPr txBox="1"/>
      </cdr:nvSpPr>
      <cdr:spPr>
        <a:xfrm xmlns:a="http://schemas.openxmlformats.org/drawingml/2006/main">
          <a:off x="0" y="2483456"/>
          <a:ext cx="2855068" cy="1730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5</a:t>
          </a:r>
        </a:p>
      </cdr:txBody>
    </cdr:sp>
  </cdr:relSizeAnchor>
</c:userShapes>
</file>

<file path=xl/drawings/drawing72.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317687</xdr:colOff>
      <xdr:row>19</xdr:row>
      <xdr:rowOff>75639</xdr:rowOff>
    </xdr:to>
    <xdr:graphicFrame macro="">
      <xdr:nvGraphicFramePr>
        <xdr:cNvPr id="2"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0.03333</cdr:x>
      <cdr:y>0.90972</cdr:y>
    </cdr:from>
    <cdr:to>
      <cdr:x>0.72917</cdr:x>
      <cdr:y>0.98611</cdr:y>
    </cdr:to>
    <cdr:sp macro="" textlink="">
      <cdr:nvSpPr>
        <cdr:cNvPr id="2" name="TextBox 1"/>
        <cdr:cNvSpPr txBox="1"/>
      </cdr:nvSpPr>
      <cdr:spPr>
        <a:xfrm xmlns:a="http://schemas.openxmlformats.org/drawingml/2006/main">
          <a:off x="152385" y="2495550"/>
          <a:ext cx="3181365" cy="2095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Tables</a:t>
          </a:r>
          <a:r>
            <a:rPr lang="en-US" sz="900" baseline="0"/>
            <a:t> 4-8</a:t>
          </a:r>
          <a:endParaRPr lang="en-US" sz="9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441512</xdr:colOff>
      <xdr:row>17</xdr:row>
      <xdr:rowOff>66675</xdr:rowOff>
    </xdr:to>
    <xdr:graphicFrame macro="">
      <xdr:nvGraphicFramePr>
        <xdr:cNvPr id="3"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6</xdr:col>
      <xdr:colOff>441512</xdr:colOff>
      <xdr:row>34</xdr:row>
      <xdr:rowOff>111498</xdr:rowOff>
    </xdr:to>
    <xdr:graphicFrame macro="">
      <xdr:nvGraphicFramePr>
        <xdr:cNvPr id="4"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0.04167</cdr:x>
      <cdr:y>0.92014</cdr:y>
    </cdr:from>
    <cdr:to>
      <cdr:x>0.7625</cdr:x>
      <cdr:y>1</cdr:y>
    </cdr:to>
    <cdr:sp macro="" textlink="">
      <cdr:nvSpPr>
        <cdr:cNvPr id="2" name="TextBox 1"/>
        <cdr:cNvSpPr txBox="1"/>
      </cdr:nvSpPr>
      <cdr:spPr>
        <a:xfrm xmlns:a="http://schemas.openxmlformats.org/drawingml/2006/main">
          <a:off x="190500" y="2524125"/>
          <a:ext cx="32956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4</a:t>
          </a:r>
        </a:p>
      </cdr:txBody>
    </cdr:sp>
  </cdr:relSizeAnchor>
</c:userShapes>
</file>

<file path=xl/drawings/drawing76.xml><?xml version="1.0" encoding="utf-8"?>
<c:userShapes xmlns:c="http://schemas.openxmlformats.org/drawingml/2006/chart">
  <cdr:relSizeAnchor xmlns:cdr="http://schemas.openxmlformats.org/drawingml/2006/chartDrawing">
    <cdr:from>
      <cdr:x>0.01875</cdr:x>
      <cdr:y>0.91319</cdr:y>
    </cdr:from>
    <cdr:to>
      <cdr:x>0.57708</cdr:x>
      <cdr:y>0.99306</cdr:y>
    </cdr:to>
    <cdr:sp macro="" textlink="">
      <cdr:nvSpPr>
        <cdr:cNvPr id="2" name="TextBox 1"/>
        <cdr:cNvSpPr txBox="1"/>
      </cdr:nvSpPr>
      <cdr:spPr>
        <a:xfrm xmlns:a="http://schemas.openxmlformats.org/drawingml/2006/main">
          <a:off x="85725" y="2505075"/>
          <a:ext cx="255270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a:t>
          </a:r>
          <a:r>
            <a:rPr lang="en-US" sz="900" baseline="0"/>
            <a:t> 4</a:t>
          </a:r>
          <a:endParaRPr lang="en-US" sz="900"/>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443753</xdr:colOff>
      <xdr:row>17</xdr:row>
      <xdr:rowOff>116541</xdr:rowOff>
    </xdr:to>
    <xdr:graphicFrame macro="">
      <xdr:nvGraphicFramePr>
        <xdr:cNvPr id="2"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0.05625</cdr:x>
      <cdr:y>0.86458</cdr:y>
    </cdr:from>
    <cdr:to>
      <cdr:x>0.7125</cdr:x>
      <cdr:y>0.94097</cdr:y>
    </cdr:to>
    <cdr:sp macro="" textlink="">
      <cdr:nvSpPr>
        <cdr:cNvPr id="3" name="TextBox 2"/>
        <cdr:cNvSpPr txBox="1"/>
      </cdr:nvSpPr>
      <cdr:spPr>
        <a:xfrm xmlns:a="http://schemas.openxmlformats.org/drawingml/2006/main">
          <a:off x="257175" y="2371725"/>
          <a:ext cx="300037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Appendix </a:t>
          </a:r>
          <a:r>
            <a:rPr lang="en-US" sz="900" baseline="0" smtClean="0">
              <a:latin typeface="+mn-lt"/>
              <a:ea typeface="+mn-ea"/>
              <a:cs typeface="+mn-cs"/>
            </a:rPr>
            <a:t>Table 17	</a:t>
          </a:r>
        </a:p>
        <a:p xmlns:a="http://schemas.openxmlformats.org/drawingml/2006/main">
          <a:endParaRPr lang="en-US" sz="900"/>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289112</xdr:colOff>
      <xdr:row>19</xdr:row>
      <xdr:rowOff>8965</xdr:rowOff>
    </xdr:to>
    <xdr:graphicFrame macro="">
      <xdr:nvGraphicFramePr>
        <xdr:cNvPr id="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0.01667</cdr:x>
      <cdr:y>0.90278</cdr:y>
    </cdr:from>
    <cdr:to>
      <cdr:x>0.6625</cdr:x>
      <cdr:y>1</cdr:y>
    </cdr:to>
    <cdr:sp macro="" textlink="">
      <cdr:nvSpPr>
        <cdr:cNvPr id="2" name="TextBox 1"/>
        <cdr:cNvSpPr txBox="1"/>
      </cdr:nvSpPr>
      <cdr:spPr>
        <a:xfrm xmlns:a="http://schemas.openxmlformats.org/drawingml/2006/main">
          <a:off x="76200" y="2505075"/>
          <a:ext cx="29527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9 and Appendix</a:t>
          </a:r>
          <a:r>
            <a:rPr lang="en-US" sz="900" baseline="0"/>
            <a:t> Table 30.</a:t>
          </a:r>
          <a:endParaRPr lang="en-US" sz="900"/>
        </a:p>
      </cdr:txBody>
    </cdr:sp>
  </cdr:relSizeAnchor>
</c:userShapes>
</file>

<file path=xl/drawings/drawing80.xml><?xml version="1.0" encoding="utf-8"?>
<c:userShapes xmlns:c="http://schemas.openxmlformats.org/drawingml/2006/chart">
  <cdr:relSizeAnchor xmlns:cdr="http://schemas.openxmlformats.org/drawingml/2006/chartDrawing">
    <cdr:from>
      <cdr:x>0.01861</cdr:x>
      <cdr:y>0.91798</cdr:y>
    </cdr:from>
    <cdr:to>
      <cdr:x>0.81152</cdr:x>
      <cdr:y>1</cdr:y>
    </cdr:to>
    <cdr:sp macro="" textlink="">
      <cdr:nvSpPr>
        <cdr:cNvPr id="3" name="TextBox 2"/>
        <cdr:cNvSpPr txBox="1"/>
      </cdr:nvSpPr>
      <cdr:spPr>
        <a:xfrm xmlns:a="http://schemas.openxmlformats.org/drawingml/2006/main">
          <a:off x="94713" y="2704992"/>
          <a:ext cx="4035683" cy="239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4</a:t>
          </a: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355787</xdr:colOff>
      <xdr:row>19</xdr:row>
      <xdr:rowOff>75640</xdr:rowOff>
    </xdr:to>
    <xdr:graphicFrame macro="">
      <xdr:nvGraphicFramePr>
        <xdr:cNvPr id="2"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cdr:x>
      <cdr:y>0</cdr:y>
    </cdr:from>
    <cdr:to>
      <cdr:x>0.00471</cdr:x>
      <cdr:y>0.0079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0.00471</cdr:x>
      <cdr:y>0.0079</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0.05709</cdr:x>
      <cdr:y>0.91667</cdr:y>
    </cdr:from>
    <cdr:to>
      <cdr:x>0.65193</cdr:x>
      <cdr:y>1</cdr:y>
    </cdr:to>
    <cdr:sp macro="" textlink="">
      <cdr:nvSpPr>
        <cdr:cNvPr id="5" name="TextBox 4"/>
        <cdr:cNvSpPr txBox="1"/>
      </cdr:nvSpPr>
      <cdr:spPr>
        <a:xfrm xmlns:a="http://schemas.openxmlformats.org/drawingml/2006/main">
          <a:off x="295285" y="2828926"/>
          <a:ext cx="3076557" cy="2571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4</a:t>
          </a: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223462</xdr:colOff>
      <xdr:row>19</xdr:row>
      <xdr:rowOff>157324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0.02917</cdr:x>
      <cdr:y>0.90972</cdr:y>
    </cdr:from>
    <cdr:to>
      <cdr:x>0.60833</cdr:x>
      <cdr:y>0.97222</cdr:y>
    </cdr:to>
    <cdr:sp macro="" textlink="">
      <cdr:nvSpPr>
        <cdr:cNvPr id="2" name="TextBox 1"/>
        <cdr:cNvSpPr txBox="1"/>
      </cdr:nvSpPr>
      <cdr:spPr>
        <a:xfrm xmlns:a="http://schemas.openxmlformats.org/drawingml/2006/main">
          <a:off x="133350" y="2495550"/>
          <a:ext cx="2647950" cy="171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4</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20549</xdr:colOff>
      <xdr:row>16</xdr:row>
      <xdr:rowOff>57471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0.03482</cdr:x>
      <cdr:y>0.89504</cdr:y>
    </cdr:from>
    <cdr:to>
      <cdr:x>0.8588</cdr:x>
      <cdr:y>0.95918</cdr:y>
    </cdr:to>
    <cdr:sp macro="" textlink="">
      <cdr:nvSpPr>
        <cdr:cNvPr id="2" name="TextBox 1"/>
        <cdr:cNvSpPr txBox="1"/>
      </cdr:nvSpPr>
      <cdr:spPr>
        <a:xfrm xmlns:a="http://schemas.openxmlformats.org/drawingml/2006/main">
          <a:off x="171450" y="2924174"/>
          <a:ext cx="405765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5</a:t>
          </a: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670112</xdr:colOff>
      <xdr:row>17</xdr:row>
      <xdr:rowOff>66675</xdr:rowOff>
    </xdr:to>
    <xdr:graphicFrame macro="">
      <xdr:nvGraphicFramePr>
        <xdr:cNvPr id="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cdr:x>
      <cdr:y>0.92708</cdr:y>
    </cdr:from>
    <cdr:to>
      <cdr:x>0.60913</cdr:x>
      <cdr:y>1</cdr:y>
    </cdr:to>
    <cdr:sp macro="" textlink="">
      <cdr:nvSpPr>
        <cdr:cNvPr id="2" name="TextBox 1"/>
        <cdr:cNvSpPr txBox="1"/>
      </cdr:nvSpPr>
      <cdr:spPr>
        <a:xfrm xmlns:a="http://schemas.openxmlformats.org/drawingml/2006/main">
          <a:off x="0" y="2578572"/>
          <a:ext cx="2914633" cy="1937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5</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1</xdr:row>
      <xdr:rowOff>0</xdr:rowOff>
    </xdr:from>
    <xdr:to>
      <xdr:col>7</xdr:col>
      <xdr:colOff>400051</xdr:colOff>
      <xdr:row>16</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absoluteAnchor>
    <xdr:pos x="0" y="200025"/>
    <xdr:ext cx="6515100" cy="392429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c:userShapes xmlns:c="http://schemas.openxmlformats.org/drawingml/2006/chart">
  <cdr:relSizeAnchor xmlns:cdr="http://schemas.openxmlformats.org/drawingml/2006/chartDrawing">
    <cdr:from>
      <cdr:x>0</cdr:x>
      <cdr:y>0</cdr:y>
    </cdr:from>
    <cdr:to>
      <cdr:x>0.00479</cdr:x>
      <cdr:y>0.00683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1.96629E-7</cdr:x>
      <cdr:y>0.93124</cdr:y>
    </cdr:from>
    <cdr:to>
      <cdr:x>0.34461</cdr:x>
      <cdr:y>1</cdr:y>
    </cdr:to>
    <cdr:sp macro="" textlink="">
      <cdr:nvSpPr>
        <cdr:cNvPr id="3" name="TextBox 2"/>
        <cdr:cNvSpPr txBox="1"/>
      </cdr:nvSpPr>
      <cdr:spPr>
        <a:xfrm xmlns:a="http://schemas.openxmlformats.org/drawingml/2006/main">
          <a:off x="1" y="2133599"/>
          <a:ext cx="1752600" cy="1575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a:t>
          </a:r>
          <a:r>
            <a:rPr lang="en-US" sz="900" baseline="0"/>
            <a:t>Table 6</a:t>
          </a:r>
          <a:endParaRPr lang="en-US" sz="900"/>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466724</xdr:colOff>
      <xdr:row>20</xdr:row>
      <xdr:rowOff>57150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0.05</cdr:x>
      <cdr:y>0.88889</cdr:y>
    </cdr:from>
    <cdr:to>
      <cdr:x>0.8375</cdr:x>
      <cdr:y>0.95833</cdr:y>
    </cdr:to>
    <cdr:sp macro="" textlink="">
      <cdr:nvSpPr>
        <cdr:cNvPr id="2" name="TextBox 1"/>
        <cdr:cNvSpPr txBox="1"/>
      </cdr:nvSpPr>
      <cdr:spPr>
        <a:xfrm xmlns:a="http://schemas.openxmlformats.org/drawingml/2006/main">
          <a:off x="228600" y="2438400"/>
          <a:ext cx="36004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0.04792</cdr:x>
      <cdr:y>0.87847</cdr:y>
    </cdr:from>
    <cdr:to>
      <cdr:x>0.93125</cdr:x>
      <cdr:y>0.94792</cdr:y>
    </cdr:to>
    <cdr:sp macro="" textlink="">
      <cdr:nvSpPr>
        <cdr:cNvPr id="3" name="TextBox 2"/>
        <cdr:cNvSpPr txBox="1"/>
      </cdr:nvSpPr>
      <cdr:spPr>
        <a:xfrm xmlns:a="http://schemas.openxmlformats.org/drawingml/2006/main">
          <a:off x="219075" y="2409825"/>
          <a:ext cx="40386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a:t>
          </a:r>
          <a:r>
            <a:rPr lang="en-US" sz="900" baseline="0"/>
            <a:t> 6</a:t>
          </a:r>
          <a:endParaRPr lang="en-US" sz="900"/>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1</xdr:row>
      <xdr:rowOff>95250</xdr:rowOff>
    </xdr:from>
    <xdr:to>
      <xdr:col>6</xdr:col>
      <xdr:colOff>443753</xdr:colOff>
      <xdr:row>18</xdr:row>
      <xdr:rowOff>0</xdr:rowOff>
    </xdr:to>
    <xdr:graphicFrame macro="">
      <xdr:nvGraphicFramePr>
        <xdr:cNvPr id="2"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0.01875</cdr:x>
      <cdr:y>0.92361</cdr:y>
    </cdr:from>
    <cdr:to>
      <cdr:x>0.69583</cdr:x>
      <cdr:y>1</cdr:y>
    </cdr:to>
    <cdr:sp macro="" textlink="">
      <cdr:nvSpPr>
        <cdr:cNvPr id="3" name="TextBox 2"/>
        <cdr:cNvSpPr txBox="1"/>
      </cdr:nvSpPr>
      <cdr:spPr>
        <a:xfrm xmlns:a="http://schemas.openxmlformats.org/drawingml/2006/main">
          <a:off x="85740" y="2533650"/>
          <a:ext cx="309561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6</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558053</xdr:colOff>
      <xdr:row>17</xdr:row>
      <xdr:rowOff>128307</xdr:rowOff>
    </xdr:to>
    <xdr:graphicFrame macro="">
      <xdr:nvGraphicFramePr>
        <xdr:cNvPr id="2"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cdr:x>
      <cdr:y>0</cdr:y>
    </cdr:from>
    <cdr:to>
      <cdr:x>0.00533</cdr:x>
      <cdr:y>0.00889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0.04878</cdr:x>
      <cdr:y>0.90848</cdr:y>
    </cdr:from>
    <cdr:to>
      <cdr:x>0.84756</cdr:x>
      <cdr:y>0.98305</cdr:y>
    </cdr:to>
    <cdr:sp macro="" textlink="">
      <cdr:nvSpPr>
        <cdr:cNvPr id="4" name="TextBox 3"/>
        <cdr:cNvSpPr txBox="1"/>
      </cdr:nvSpPr>
      <cdr:spPr>
        <a:xfrm xmlns:a="http://schemas.openxmlformats.org/drawingml/2006/main">
          <a:off x="228598" y="2552710"/>
          <a:ext cx="3743322" cy="2095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Source: Table 6</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253253</xdr:colOff>
      <xdr:row>18</xdr:row>
      <xdr:rowOff>71157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0.73704</cdr:x>
      <cdr:y>0.91557</cdr:y>
    </cdr:from>
    <cdr:to>
      <cdr:x>0.96168</cdr:x>
      <cdr:y>1</cdr:y>
    </cdr:to>
    <cdr:sp macro="" textlink="">
      <cdr:nvSpPr>
        <cdr:cNvPr id="3" name="TextBox 2"/>
        <cdr:cNvSpPr txBox="1"/>
      </cdr:nvSpPr>
      <cdr:spPr>
        <a:xfrm xmlns:a="http://schemas.openxmlformats.org/drawingml/2006/main">
          <a:off x="3219450" y="2585462"/>
          <a:ext cx="981217" cy="238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00">
              <a:latin typeface="+mn-lt"/>
              <a:ea typeface="+mn-ea"/>
              <a:cs typeface="+mn-cs"/>
            </a:rPr>
            <a:t>Source: Table 6</a:t>
          </a:r>
          <a:endParaRPr lang="en-US" sz="900"/>
        </a:p>
        <a:p xmlns:a="http://schemas.openxmlformats.org/drawingml/2006/main">
          <a:endParaRPr lang="en-US" sz="900"/>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667870</xdr:colOff>
      <xdr:row>17</xdr:row>
      <xdr:rowOff>40895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ls-3\jf\IEWB\2010%20update\OLD\Copy%20of%20IEWB-Canada-20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tp://ftp.csls.ca/wwwroot/iwb/IEWB_Canad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ls-3\jf\IEWB\2010%20update\OLD\IEWB-Canada-SummTab-2009%20Update%20Chart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2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ls-3\jf\IEWB\2010%20update\OLD\IEWB-Canada-All-2009%20Updat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ist"/>
      <sheetName val="1 (21)"/>
      <sheetName val="1"/>
      <sheetName val="2"/>
      <sheetName val="3"/>
      <sheetName val="4"/>
      <sheetName val="5"/>
      <sheetName val="6"/>
      <sheetName val="7"/>
      <sheetName val="4old"/>
      <sheetName val="5old"/>
      <sheetName val="6old"/>
      <sheetName val="7old"/>
      <sheetName val="8"/>
      <sheetName val="9"/>
      <sheetName val="9old"/>
      <sheetName val="10"/>
      <sheetName val="10A"/>
      <sheetName val="10B"/>
      <sheetName val="10C"/>
      <sheetName val="11"/>
      <sheetName val="12"/>
      <sheetName val="a1"/>
      <sheetName val="a2"/>
      <sheetName val="a3"/>
      <sheetName val="a4"/>
      <sheetName val="a5-1"/>
      <sheetName val="a5-2"/>
      <sheetName val="a5-3"/>
      <sheetName val="a5-4"/>
      <sheetName val="a5-5"/>
      <sheetName val="a5-6"/>
      <sheetName val="a5-7"/>
      <sheetName val="a5-8"/>
      <sheetName val="a5-9"/>
      <sheetName val="a5-10"/>
      <sheetName val="a5-11"/>
      <sheetName val="a5"/>
      <sheetName val="a6"/>
      <sheetName val="a7"/>
      <sheetName val="a8"/>
      <sheetName val="a9"/>
      <sheetName val="a10"/>
      <sheetName val="a11"/>
      <sheetName val="a12"/>
      <sheetName val="a12A"/>
      <sheetName val="new gdp"/>
      <sheetName val="a13"/>
      <sheetName val="a14a"/>
      <sheetName val="a14"/>
      <sheetName val="a15"/>
      <sheetName val="a16"/>
      <sheetName val="a17"/>
      <sheetName val="a18(old)"/>
      <sheetName val="a18"/>
      <sheetName val="a19"/>
      <sheetName val="a20"/>
      <sheetName val="a20 (2)"/>
      <sheetName val="a21"/>
      <sheetName val="a22"/>
      <sheetName val="a23"/>
      <sheetName val="a24"/>
      <sheetName val="a25"/>
      <sheetName val="a26"/>
      <sheetName val="a27old"/>
      <sheetName val="a27"/>
      <sheetName val="a28"/>
      <sheetName val="a29"/>
      <sheetName val="Chart2"/>
      <sheetName val="Chart2 (2)"/>
      <sheetName val="C2"/>
      <sheetName val="Chart3 (2)"/>
      <sheetName val="C4C5C6C7"/>
      <sheetName val="C8"/>
      <sheetName val="C9"/>
      <sheetName val="C10"/>
      <sheetName val="C11"/>
      <sheetName val="C14"/>
      <sheetName val="C1a (2)"/>
      <sheetName val="C19"/>
      <sheetName val="C16"/>
      <sheetName val="new tables"/>
      <sheetName val="ComponentsCharts"/>
      <sheetName val="C1a"/>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Sheet1"/>
      <sheetName val="C31"/>
      <sheetName val="C32"/>
      <sheetName val="C51"/>
    </sheetNames>
    <sheetDataSet>
      <sheetData sheetId="0"/>
      <sheetData sheetId="1"/>
      <sheetData sheetId="2">
        <row r="19">
          <cell r="A19">
            <v>1981</v>
          </cell>
          <cell r="B19">
            <v>26074.431381273986</v>
          </cell>
          <cell r="C19">
            <v>14849.083890899707</v>
          </cell>
          <cell r="E19">
            <v>6046.2166026798013</v>
          </cell>
          <cell r="F19">
            <v>7405.6692300550103</v>
          </cell>
          <cell r="G19">
            <v>1756.5556117178382</v>
          </cell>
          <cell r="I19">
            <v>26544.414111916678</v>
          </cell>
        </row>
        <row r="20">
          <cell r="A20">
            <v>1982</v>
          </cell>
          <cell r="B20">
            <v>25039.100267025857</v>
          </cell>
          <cell r="C20">
            <v>14311.933355581265</v>
          </cell>
          <cell r="E20">
            <v>6138.4499318862509</v>
          </cell>
          <cell r="F20">
            <v>7110.781754250771</v>
          </cell>
          <cell r="G20">
            <v>1699.3679735880385</v>
          </cell>
          <cell r="I20">
            <v>25886.383054395639</v>
          </cell>
        </row>
        <row r="21">
          <cell r="A21">
            <v>1983</v>
          </cell>
          <cell r="B21">
            <v>25459.529060227029</v>
          </cell>
          <cell r="C21">
            <v>14573.776993872734</v>
          </cell>
          <cell r="E21">
            <v>6160.4458929331195</v>
          </cell>
          <cell r="F21">
            <v>7169.8099742335135</v>
          </cell>
          <cell r="G21">
            <v>1760.7758431142558</v>
          </cell>
          <cell r="I21">
            <v>26202.045567967176</v>
          </cell>
        </row>
        <row r="22">
          <cell r="A22">
            <v>1984</v>
          </cell>
          <cell r="B22">
            <v>26682.309719472065</v>
          </cell>
          <cell r="C22">
            <v>15082.719592918404</v>
          </cell>
          <cell r="E22">
            <v>6189.0924042896713</v>
          </cell>
          <cell r="F22">
            <v>7338.3763223023716</v>
          </cell>
          <cell r="G22">
            <v>1869.2449169584877</v>
          </cell>
          <cell r="I22">
            <v>26837.785125344624</v>
          </cell>
        </row>
        <row r="23">
          <cell r="A23">
            <v>1985</v>
          </cell>
          <cell r="B23">
            <v>27721.891287210416</v>
          </cell>
          <cell r="C23">
            <v>15723.712408070609</v>
          </cell>
          <cell r="E23">
            <v>6442.3824862931715</v>
          </cell>
          <cell r="F23">
            <v>7537.8981386523492</v>
          </cell>
          <cell r="G23">
            <v>1952.5226600318153</v>
          </cell>
          <cell r="I23">
            <v>27777.234676905806</v>
          </cell>
        </row>
        <row r="24">
          <cell r="A24">
            <v>1986</v>
          </cell>
          <cell r="B24">
            <v>28093.5293884083</v>
          </cell>
          <cell r="C24">
            <v>16189.176222567437</v>
          </cell>
          <cell r="E24">
            <v>6500.5180471018202</v>
          </cell>
          <cell r="F24">
            <v>7724.2542369406674</v>
          </cell>
          <cell r="G24">
            <v>1944.8909747992425</v>
          </cell>
          <cell r="I24">
            <v>28512.782593892767</v>
          </cell>
        </row>
        <row r="25">
          <cell r="A25">
            <v>1987</v>
          </cell>
          <cell r="B25">
            <v>28912.453245355835</v>
          </cell>
          <cell r="C25">
            <v>16642.403309219208</v>
          </cell>
          <cell r="E25">
            <v>6516.0960606087938</v>
          </cell>
          <cell r="F25">
            <v>8031.4986192765709</v>
          </cell>
          <cell r="G25">
            <v>1930.9503391657672</v>
          </cell>
          <cell r="I25">
            <v>29363.938509091247</v>
          </cell>
        </row>
        <row r="26">
          <cell r="A26">
            <v>1988</v>
          </cell>
          <cell r="B26">
            <v>29952.472214358513</v>
          </cell>
          <cell r="C26">
            <v>17147.444696308903</v>
          </cell>
          <cell r="E26">
            <v>6741.644304547538</v>
          </cell>
          <cell r="F26">
            <v>8391.2411996110241</v>
          </cell>
          <cell r="G26">
            <v>1980.0418572109122</v>
          </cell>
          <cell r="I26">
            <v>30355.812184958151</v>
          </cell>
        </row>
        <row r="27">
          <cell r="A27">
            <v>1989</v>
          </cell>
          <cell r="B27">
            <v>30216.928873625013</v>
          </cell>
          <cell r="C27">
            <v>17441.354241909998</v>
          </cell>
          <cell r="E27">
            <v>6856.4027480354835</v>
          </cell>
          <cell r="F27">
            <v>8631.0210353719995</v>
          </cell>
          <cell r="G27">
            <v>1972.7758788603426</v>
          </cell>
          <cell r="I27">
            <v>31123.047916649171</v>
          </cell>
        </row>
        <row r="28">
          <cell r="A28">
            <v>1990</v>
          </cell>
          <cell r="B28">
            <v>29798.228034550044</v>
          </cell>
          <cell r="C28">
            <v>17404.196245022504</v>
          </cell>
          <cell r="E28">
            <v>7040.9593085880215</v>
          </cell>
          <cell r="F28">
            <v>8923.8286049405087</v>
          </cell>
          <cell r="G28">
            <v>2036.8407764386661</v>
          </cell>
          <cell r="I28">
            <v>31570.439791866509</v>
          </cell>
        </row>
        <row r="29">
          <cell r="A29">
            <v>1991</v>
          </cell>
          <cell r="B29">
            <v>28826.325742054461</v>
          </cell>
          <cell r="C29">
            <v>16956.874063305397</v>
          </cell>
          <cell r="E29">
            <v>7219.5337472811489</v>
          </cell>
          <cell r="F29">
            <v>9181.0100839803472</v>
          </cell>
          <cell r="G29">
            <v>1973.6254567523881</v>
          </cell>
          <cell r="I29">
            <v>31698.250675790314</v>
          </cell>
        </row>
        <row r="30">
          <cell r="A30">
            <v>1992</v>
          </cell>
          <cell r="B30">
            <v>28742.457051606529</v>
          </cell>
          <cell r="C30">
            <v>17049.575232178588</v>
          </cell>
          <cell r="E30">
            <v>7213.8918331263549</v>
          </cell>
          <cell r="F30">
            <v>9839.0130977329063</v>
          </cell>
          <cell r="G30">
            <v>2025.6239621583991</v>
          </cell>
          <cell r="I30">
            <v>32443.704872693856</v>
          </cell>
        </row>
        <row r="31">
          <cell r="A31">
            <v>1993</v>
          </cell>
          <cell r="B31">
            <v>29072.109692259874</v>
          </cell>
          <cell r="C31">
            <v>17163.571574094178</v>
          </cell>
          <cell r="E31">
            <v>7115.1534329655324</v>
          </cell>
          <cell r="F31">
            <v>10174.010588695</v>
          </cell>
          <cell r="G31">
            <v>2077.8856167889467</v>
          </cell>
          <cell r="I31">
            <v>32700.623280317152</v>
          </cell>
        </row>
        <row r="32">
          <cell r="A32">
            <v>1994</v>
          </cell>
          <cell r="B32">
            <v>30137.437510798987</v>
          </cell>
          <cell r="C32">
            <v>17511.496202690261</v>
          </cell>
          <cell r="E32">
            <v>6978.9054036775033</v>
          </cell>
          <cell r="F32">
            <v>10520.800430350364</v>
          </cell>
          <cell r="G32">
            <v>2128.8411536677208</v>
          </cell>
          <cell r="I32">
            <v>33246.35265961058</v>
          </cell>
        </row>
        <row r="33">
          <cell r="A33">
            <v>1995</v>
          </cell>
          <cell r="B33">
            <v>30662.315965575126</v>
          </cell>
          <cell r="C33">
            <v>17701.777856360884</v>
          </cell>
          <cell r="E33">
            <v>6827.9315038937748</v>
          </cell>
          <cell r="F33">
            <v>10885.993696575542</v>
          </cell>
          <cell r="G33">
            <v>2171.2186543076709</v>
          </cell>
          <cell r="I33">
            <v>33646.652533504341</v>
          </cell>
        </row>
        <row r="34">
          <cell r="A34">
            <v>1996</v>
          </cell>
          <cell r="B34">
            <v>30854.449869283748</v>
          </cell>
          <cell r="C34">
            <v>17958.091358868078</v>
          </cell>
          <cell r="E34">
            <v>6643.2055323629611</v>
          </cell>
          <cell r="F34">
            <v>11262.675978695359</v>
          </cell>
          <cell r="G34">
            <v>2216.0892802828207</v>
          </cell>
          <cell r="I34">
            <v>34121.475562679203</v>
          </cell>
        </row>
        <row r="35">
          <cell r="A35">
            <v>1997</v>
          </cell>
          <cell r="B35">
            <v>31841.392670154051</v>
          </cell>
          <cell r="C35">
            <v>18571.690153410284</v>
          </cell>
          <cell r="E35">
            <v>6474.4653003098256</v>
          </cell>
          <cell r="F35">
            <v>11658.397629968833</v>
          </cell>
          <cell r="G35">
            <v>2264.9696807186406</v>
          </cell>
          <cell r="I35">
            <v>34986.215351687948</v>
          </cell>
        </row>
        <row r="36">
          <cell r="A36">
            <v>1998</v>
          </cell>
          <cell r="B36">
            <v>32873.409766649915</v>
          </cell>
          <cell r="C36">
            <v>18931.909294634126</v>
          </cell>
          <cell r="E36">
            <v>6611.7388380302154</v>
          </cell>
          <cell r="F36">
            <v>12087.81642462148</v>
          </cell>
          <cell r="G36">
            <v>2320.6808269774415</v>
          </cell>
          <cell r="I36">
            <v>35941.667421516489</v>
          </cell>
        </row>
        <row r="37">
          <cell r="A37">
            <v>1999</v>
          </cell>
          <cell r="B37">
            <v>34415.091710047964</v>
          </cell>
          <cell r="C37">
            <v>19503.286801749109</v>
          </cell>
          <cell r="E37">
            <v>6799.3353459303817</v>
          </cell>
          <cell r="F37">
            <v>12141.189543429058</v>
          </cell>
          <cell r="G37">
            <v>2380.1653432560047</v>
          </cell>
          <cell r="I37">
            <v>36749.839349066147</v>
          </cell>
        </row>
        <row r="38">
          <cell r="A38">
            <v>2000</v>
          </cell>
          <cell r="B38">
            <v>35873.172270224874</v>
          </cell>
          <cell r="C38">
            <v>20114.756924472709</v>
          </cell>
          <cell r="E38">
            <v>6984.5622702008413</v>
          </cell>
          <cell r="F38">
            <v>12200.737469735406</v>
          </cell>
          <cell r="G38">
            <v>2440.3232111579568</v>
          </cell>
          <cell r="I38">
            <v>37692.317852313005</v>
          </cell>
        </row>
        <row r="39">
          <cell r="A39">
            <v>2001</v>
          </cell>
          <cell r="B39">
            <v>36118.874581571428</v>
          </cell>
          <cell r="C39">
            <v>20378.883665570349</v>
          </cell>
          <cell r="E39">
            <v>7261.4579443103903</v>
          </cell>
          <cell r="F39">
            <v>12261.800510918252</v>
          </cell>
          <cell r="G39">
            <v>2500.3542165488661</v>
          </cell>
          <cell r="I39">
            <v>38303.676055515316</v>
          </cell>
        </row>
        <row r="40">
          <cell r="A40">
            <v>2002</v>
          </cell>
          <cell r="B40">
            <v>36770.990917295261</v>
          </cell>
          <cell r="C40">
            <v>20913.733313907636</v>
          </cell>
          <cell r="E40">
            <v>7372.0908336814055</v>
          </cell>
          <cell r="F40">
            <v>12322.976046619429</v>
          </cell>
          <cell r="G40">
            <v>2564.1671712108046</v>
          </cell>
          <cell r="I40">
            <v>38942.884601436039</v>
          </cell>
        </row>
        <row r="41">
          <cell r="A41">
            <v>2003</v>
          </cell>
          <cell r="B41">
            <v>37118.565632112426</v>
          </cell>
          <cell r="C41">
            <v>21354.742321901587</v>
          </cell>
          <cell r="E41">
            <v>7591.2102859958577</v>
          </cell>
          <cell r="F41">
            <v>12380.788622601665</v>
          </cell>
          <cell r="G41">
            <v>2636.1157520263437</v>
          </cell>
          <cell r="I41">
            <v>39652.166629224768</v>
          </cell>
        </row>
        <row r="42">
          <cell r="A42">
            <v>2004</v>
          </cell>
          <cell r="B42">
            <v>37913.450494094781</v>
          </cell>
          <cell r="C42">
            <v>21868.416310287234</v>
          </cell>
          <cell r="E42">
            <v>7708.82794003856</v>
          </cell>
          <cell r="F42">
            <v>12445.713690642773</v>
          </cell>
          <cell r="G42">
            <v>2711.2456956861161</v>
          </cell>
          <cell r="I42">
            <v>40371.079760501969</v>
          </cell>
        </row>
        <row r="43">
          <cell r="A43">
            <v>2005</v>
          </cell>
          <cell r="B43">
            <v>38628.285289960077</v>
          </cell>
          <cell r="C43">
            <v>22493.977322336475</v>
          </cell>
          <cell r="E43">
            <v>7848.9989909268643</v>
          </cell>
          <cell r="F43">
            <v>12520.755332679952</v>
          </cell>
          <cell r="G43">
            <v>2790.7213209071069</v>
          </cell>
          <cell r="I43">
            <v>41155.149789659401</v>
          </cell>
        </row>
        <row r="44">
          <cell r="A44">
            <v>2006</v>
          </cell>
          <cell r="B44">
            <v>39438.651250977819</v>
          </cell>
          <cell r="C44">
            <v>23287.766352691855</v>
          </cell>
          <cell r="E44">
            <v>8102.3792649796533</v>
          </cell>
          <cell r="F44">
            <v>12593.128190920455</v>
          </cell>
          <cell r="G44">
            <v>2872.7708573006507</v>
          </cell>
          <cell r="I44">
            <v>42369.868388164257</v>
          </cell>
        </row>
        <row r="45">
          <cell r="A45">
            <v>2007</v>
          </cell>
          <cell r="B45">
            <v>40066.468260954411</v>
          </cell>
          <cell r="C45">
            <v>24138.458422980126</v>
          </cell>
          <cell r="E45">
            <v>8356.6984706254916</v>
          </cell>
          <cell r="F45">
            <v>12651.3211743351</v>
          </cell>
          <cell r="G45">
            <v>2958.0608635171061</v>
          </cell>
          <cell r="I45">
            <v>43561.779715832039</v>
          </cell>
        </row>
        <row r="46">
          <cell r="A46">
            <v>2008</v>
          </cell>
          <cell r="B46">
            <v>39770.777193893533</v>
          </cell>
          <cell r="C46">
            <v>24796.091385781339</v>
          </cell>
          <cell r="E46">
            <v>8511.6164056692869</v>
          </cell>
          <cell r="F46">
            <v>12697.716541476591</v>
          </cell>
          <cell r="G46">
            <v>3045.6432146702073</v>
          </cell>
          <cell r="I46">
            <v>44438.040456951065</v>
          </cell>
        </row>
        <row r="47">
          <cell r="A47">
            <v>2009</v>
          </cell>
          <cell r="B47">
            <v>40246.650258253438</v>
          </cell>
        </row>
      </sheetData>
      <sheetData sheetId="3">
        <row r="3">
          <cell r="B3" t="str">
            <v>Canada</v>
          </cell>
          <cell r="L3" t="str">
            <v>Newfoundland</v>
          </cell>
          <cell r="V3" t="str">
            <v>Prince Edward Island</v>
          </cell>
          <cell r="AF3" t="str">
            <v>Nova Scotia</v>
          </cell>
          <cell r="AP3" t="str">
            <v>New Brunswick</v>
          </cell>
          <cell r="AZ3" t="str">
            <v>Quebec</v>
          </cell>
          <cell r="BJ3" t="str">
            <v>Ontario</v>
          </cell>
          <cell r="BT3" t="str">
            <v>Manitoba</v>
          </cell>
          <cell r="CD3" t="str">
            <v>Saskatchewan</v>
          </cell>
          <cell r="CN3" t="str">
            <v>Alberta</v>
          </cell>
          <cell r="CX3" t="str">
            <v>British Columbia</v>
          </cell>
        </row>
        <row r="19">
          <cell r="B19">
            <v>53260.19610462003</v>
          </cell>
          <cell r="C19">
            <v>1227.8557197272121</v>
          </cell>
          <cell r="D19">
            <v>26184.900383233871</v>
          </cell>
          <cell r="E19">
            <v>-9818.5184573276856</v>
          </cell>
          <cell r="F19">
            <v>77530.178961133061</v>
          </cell>
          <cell r="G19">
            <v>649.03106206770872</v>
          </cell>
          <cell r="H19">
            <v>147735.58164931877</v>
          </cell>
          <cell r="Q19">
            <v>483.04935818709532</v>
          </cell>
          <cell r="R19">
            <v>119761.0876986396</v>
          </cell>
          <cell r="AA19">
            <v>462.37811479564073</v>
          </cell>
          <cell r="AB19">
            <v>87345.509119583192</v>
          </cell>
          <cell r="AK19">
            <v>615.03623552002591</v>
          </cell>
          <cell r="AL19">
            <v>107262.86767576404</v>
          </cell>
          <cell r="AU19">
            <v>598.74052678516773</v>
          </cell>
          <cell r="AV19">
            <v>113900.87285263033</v>
          </cell>
          <cell r="BE19">
            <v>348.75171899032421</v>
          </cell>
          <cell r="BF19">
            <v>128866.00730433232</v>
          </cell>
          <cell r="BO19">
            <v>525.8963945182536</v>
          </cell>
          <cell r="BP19">
            <v>127696.04764956835</v>
          </cell>
          <cell r="BY19">
            <v>473.83615614806911</v>
          </cell>
          <cell r="BZ19">
            <v>144062.47898423276</v>
          </cell>
          <cell r="CI19">
            <v>1317.4962544924952</v>
          </cell>
          <cell r="CJ19">
            <v>180196.37554155744</v>
          </cell>
          <cell r="CS19">
            <v>2227.1370183986901</v>
          </cell>
          <cell r="CT19">
            <v>264234.53960001905</v>
          </cell>
          <cell r="DC19">
            <v>509.83845145866979</v>
          </cell>
          <cell r="DD19">
            <v>168513.30384328112</v>
          </cell>
        </row>
        <row r="20">
          <cell r="B20">
            <v>53992.763470170852</v>
          </cell>
          <cell r="C20">
            <v>1313.3039818945813</v>
          </cell>
          <cell r="D20">
            <v>23371.951634971487</v>
          </cell>
          <cell r="E20">
            <v>-9004.3045855856999</v>
          </cell>
          <cell r="F20">
            <v>78481.282063478051</v>
          </cell>
          <cell r="G20">
            <v>613.04836885097677</v>
          </cell>
          <cell r="H20">
            <v>147541.94819607827</v>
          </cell>
        </row>
        <row r="21">
          <cell r="B21">
            <v>54556.030542073073</v>
          </cell>
          <cell r="C21">
            <v>1381.7405703046745</v>
          </cell>
          <cell r="D21">
            <v>24840.638460009737</v>
          </cell>
          <cell r="E21">
            <v>-8931.3755338897863</v>
          </cell>
          <cell r="F21">
            <v>79639.371029764225</v>
          </cell>
          <cell r="G21">
            <v>586.79350171666647</v>
          </cell>
          <cell r="H21">
            <v>150899.61156654527</v>
          </cell>
        </row>
        <row r="22">
          <cell r="B22">
            <v>55111.32024446546</v>
          </cell>
          <cell r="C22">
            <v>1467.3034896882666</v>
          </cell>
          <cell r="D22">
            <v>23854.9399357357</v>
          </cell>
          <cell r="E22">
            <v>-9163.805562133457</v>
          </cell>
          <cell r="F22">
            <v>80382.348905194347</v>
          </cell>
          <cell r="G22">
            <v>602.86437237721475</v>
          </cell>
          <cell r="H22">
            <v>151049.24264057309</v>
          </cell>
        </row>
        <row r="23">
          <cell r="B23">
            <v>55942.957233068686</v>
          </cell>
          <cell r="C23">
            <v>1561.8308680307687</v>
          </cell>
          <cell r="D23">
            <v>21600.683730050143</v>
          </cell>
          <cell r="E23">
            <v>-10149.732338945325</v>
          </cell>
          <cell r="F23">
            <v>81184.235378060272</v>
          </cell>
          <cell r="G23">
            <v>624.88605784168385</v>
          </cell>
          <cell r="H23">
            <v>149515.08881242285</v>
          </cell>
        </row>
        <row r="24">
          <cell r="B24">
            <v>56801.088172317541</v>
          </cell>
          <cell r="C24">
            <v>1650.7193372690892</v>
          </cell>
          <cell r="D24">
            <v>14596.800219283585</v>
          </cell>
          <cell r="E24">
            <v>-10787.929317086766</v>
          </cell>
          <cell r="F24">
            <v>82004.239664548804</v>
          </cell>
          <cell r="G24">
            <v>609.62742647581604</v>
          </cell>
          <cell r="H24">
            <v>143655.29064985644</v>
          </cell>
        </row>
        <row r="25">
          <cell r="B25">
            <v>57835.858982407604</v>
          </cell>
          <cell r="C25">
            <v>1714.5076555605472</v>
          </cell>
          <cell r="D25">
            <v>15551.058535608347</v>
          </cell>
          <cell r="E25">
            <v>-10995.597113997484</v>
          </cell>
          <cell r="F25">
            <v>82753.258353677069</v>
          </cell>
          <cell r="G25">
            <v>627.01612609663368</v>
          </cell>
          <cell r="H25">
            <v>146232.07028715944</v>
          </cell>
        </row>
        <row r="26">
          <cell r="B26">
            <v>59264.178241157621</v>
          </cell>
          <cell r="C26">
            <v>1795.8263467494774</v>
          </cell>
          <cell r="D26">
            <v>15723.687311470239</v>
          </cell>
          <cell r="E26">
            <v>-10547.95596342661</v>
          </cell>
          <cell r="F26">
            <v>83637.697793676882</v>
          </cell>
          <cell r="G26">
            <v>664.62528523837511</v>
          </cell>
          <cell r="H26">
            <v>149208.80844438923</v>
          </cell>
        </row>
        <row r="27">
          <cell r="B27">
            <v>60440.297500647161</v>
          </cell>
          <cell r="C27">
            <v>1848.3385291447801</v>
          </cell>
          <cell r="D27">
            <v>16087.626750355843</v>
          </cell>
          <cell r="E27">
            <v>-10661.201486545036</v>
          </cell>
          <cell r="F27">
            <v>83646.442214305891</v>
          </cell>
          <cell r="G27">
            <v>680.30880565441782</v>
          </cell>
          <cell r="H27">
            <v>150681.19470225423</v>
          </cell>
        </row>
        <row r="28">
          <cell r="B28">
            <v>61372.297043191211</v>
          </cell>
          <cell r="C28">
            <v>1906.1996126470151</v>
          </cell>
          <cell r="D28">
            <v>16040.483694560169</v>
          </cell>
          <cell r="E28">
            <v>-11066.3317769154</v>
          </cell>
          <cell r="F28">
            <v>88418.232532402428</v>
          </cell>
          <cell r="G28">
            <v>637.33544245528606</v>
          </cell>
          <cell r="H28">
            <v>156033.54566343015</v>
          </cell>
        </row>
        <row r="29">
          <cell r="B29">
            <v>61946.012878503097</v>
          </cell>
          <cell r="C29">
            <v>1958.9820741618948</v>
          </cell>
          <cell r="D29">
            <v>12200.730477946299</v>
          </cell>
          <cell r="E29">
            <v>-11247.098436357892</v>
          </cell>
          <cell r="F29">
            <v>89066.701726938409</v>
          </cell>
          <cell r="G29">
            <v>622.07086586149251</v>
          </cell>
          <cell r="H29">
            <v>153303.2578553303</v>
          </cell>
        </row>
        <row r="30">
          <cell r="B30">
            <v>62161.468653634889</v>
          </cell>
          <cell r="C30">
            <v>2013.9712926824634</v>
          </cell>
          <cell r="D30">
            <v>10965.398364848052</v>
          </cell>
          <cell r="E30">
            <v>-12232.367578635545</v>
          </cell>
          <cell r="F30">
            <v>90031.161412721151</v>
          </cell>
          <cell r="G30">
            <v>632.49420942876418</v>
          </cell>
          <cell r="H30">
            <v>152307.13793582228</v>
          </cell>
        </row>
        <row r="31">
          <cell r="B31">
            <v>62218.382730985693</v>
          </cell>
          <cell r="C31">
            <v>2080.672724053527</v>
          </cell>
          <cell r="D31">
            <v>9967.9231433028272</v>
          </cell>
          <cell r="E31">
            <v>-12942.770632553136</v>
          </cell>
          <cell r="F31">
            <v>91165.534575267317</v>
          </cell>
          <cell r="G31">
            <v>627.64621299117641</v>
          </cell>
          <cell r="H31">
            <v>151862.09632806506</v>
          </cell>
        </row>
        <row r="32">
          <cell r="B32">
            <v>62563.979744187229</v>
          </cell>
          <cell r="C32">
            <v>2167.9757866468808</v>
          </cell>
          <cell r="D32">
            <v>10986.729819921422</v>
          </cell>
          <cell r="E32">
            <v>-13021.86978079974</v>
          </cell>
          <cell r="F32">
            <v>92010.018049406688</v>
          </cell>
          <cell r="G32">
            <v>643.27287296242991</v>
          </cell>
          <cell r="H32">
            <v>154063.56074640006</v>
          </cell>
        </row>
        <row r="33">
          <cell r="B33">
            <v>62678.453334277969</v>
          </cell>
          <cell r="C33">
            <v>2236.9063372984369</v>
          </cell>
          <cell r="D33">
            <v>12634.784381843563</v>
          </cell>
          <cell r="E33">
            <v>-12265.63011374738</v>
          </cell>
          <cell r="F33">
            <v>92728.589184461685</v>
          </cell>
          <cell r="G33">
            <v>652.81971150986124</v>
          </cell>
          <cell r="H33">
            <v>157360.28341262441</v>
          </cell>
        </row>
        <row r="34">
          <cell r="B34">
            <v>62803.841562395792</v>
          </cell>
          <cell r="C34">
            <v>2280.3371888070178</v>
          </cell>
          <cell r="D34">
            <v>14982.000661962569</v>
          </cell>
          <cell r="E34">
            <v>-11479.941849331412</v>
          </cell>
          <cell r="F34">
            <v>93461.488504902081</v>
          </cell>
          <cell r="G34">
            <v>646.03125223840755</v>
          </cell>
          <cell r="H34">
            <v>161401.69481649765</v>
          </cell>
        </row>
        <row r="35">
          <cell r="B35">
            <v>63572.802731416508</v>
          </cell>
          <cell r="C35">
            <v>2334.1347191170203</v>
          </cell>
          <cell r="D35">
            <v>15937.188167521033</v>
          </cell>
          <cell r="E35">
            <v>-10468.778607237738</v>
          </cell>
          <cell r="F35">
            <v>94593.030462249881</v>
          </cell>
          <cell r="G35">
            <v>657.46572963779954</v>
          </cell>
          <cell r="H35">
            <v>165310.91174342891</v>
          </cell>
        </row>
        <row r="36">
          <cell r="B36">
            <v>64315.850497690728</v>
          </cell>
          <cell r="C36">
            <v>2429.8891737256695</v>
          </cell>
          <cell r="D36">
            <v>15037.007203688374</v>
          </cell>
          <cell r="E36">
            <v>-10766.305502002879</v>
          </cell>
          <cell r="F36">
            <v>95297.871134674089</v>
          </cell>
          <cell r="G36">
            <v>664.79762456148978</v>
          </cell>
          <cell r="H36">
            <v>165649.51488321446</v>
          </cell>
        </row>
        <row r="37">
          <cell r="B37">
            <v>65202.936471174289</v>
          </cell>
          <cell r="C37">
            <v>2546.0368778537813</v>
          </cell>
          <cell r="D37">
            <v>17574.749787728924</v>
          </cell>
          <cell r="E37">
            <v>-8536.0508189594657</v>
          </cell>
          <cell r="F37">
            <v>96209.857272686058</v>
          </cell>
          <cell r="G37">
            <v>665.25992622658782</v>
          </cell>
          <cell r="H37">
            <v>172332.26966425698</v>
          </cell>
        </row>
        <row r="38">
          <cell r="B38">
            <v>66032.153388562059</v>
          </cell>
          <cell r="C38">
            <v>2703.7389533280621</v>
          </cell>
          <cell r="D38">
            <v>24117.379868524073</v>
          </cell>
          <cell r="E38">
            <v>-6958.7643776496725</v>
          </cell>
          <cell r="F38">
            <v>97261.978733945813</v>
          </cell>
          <cell r="G38">
            <v>670.67321153443766</v>
          </cell>
          <cell r="H38">
            <v>182485.81335517589</v>
          </cell>
        </row>
        <row r="39">
          <cell r="B39">
            <v>66758.508166924687</v>
          </cell>
          <cell r="C39">
            <v>2893.780812965093</v>
          </cell>
          <cell r="D39">
            <v>21640.158900543287</v>
          </cell>
          <cell r="E39">
            <v>-6631.4053978267611</v>
          </cell>
          <cell r="F39">
            <v>98420.605867455204</v>
          </cell>
          <cell r="G39">
            <v>688.28737980761468</v>
          </cell>
          <cell r="H39">
            <v>182393.36097025388</v>
          </cell>
        </row>
        <row r="40">
          <cell r="B40">
            <v>67430.87951210537</v>
          </cell>
          <cell r="C40">
            <v>3040.850991360765</v>
          </cell>
          <cell r="D40">
            <v>20607.823215257577</v>
          </cell>
          <cell r="E40">
            <v>-6656.0658827155594</v>
          </cell>
          <cell r="F40">
            <v>99343.749018284536</v>
          </cell>
          <cell r="G40">
            <v>674.3302422722868</v>
          </cell>
          <cell r="H40">
            <v>183092.90661202039</v>
          </cell>
        </row>
        <row r="41">
          <cell r="B41">
            <v>68523.499138897459</v>
          </cell>
          <cell r="C41">
            <v>3166.997910752606</v>
          </cell>
          <cell r="D41">
            <v>22383.913975729967</v>
          </cell>
          <cell r="E41">
            <v>-6630.169640746908</v>
          </cell>
          <cell r="F41">
            <v>100625.52243738064</v>
          </cell>
          <cell r="G41">
            <v>693.50385164285001</v>
          </cell>
          <cell r="H41">
            <v>187376.25997037088</v>
          </cell>
        </row>
        <row r="42">
          <cell r="B42">
            <v>69984.101150520422</v>
          </cell>
          <cell r="C42">
            <v>3297.7976052586532</v>
          </cell>
          <cell r="D42">
            <v>24926.240622138244</v>
          </cell>
          <cell r="E42">
            <v>-5592.7145821136455</v>
          </cell>
          <cell r="F42">
            <v>101291.71876678476</v>
          </cell>
          <cell r="G42">
            <v>686.96833497540047</v>
          </cell>
          <cell r="H42">
            <v>193220.17522761304</v>
          </cell>
        </row>
        <row r="43">
          <cell r="B43">
            <v>71910.732537041375</v>
          </cell>
          <cell r="C43">
            <v>3405.2907810330435</v>
          </cell>
          <cell r="D43">
            <v>29941.940205201154</v>
          </cell>
          <cell r="E43">
            <v>-4487.5333853666798</v>
          </cell>
          <cell r="F43">
            <v>102610.61822823281</v>
          </cell>
          <cell r="G43">
            <v>671.29713765708152</v>
          </cell>
          <cell r="H43">
            <v>202709.75122848459</v>
          </cell>
        </row>
        <row r="44">
          <cell r="B44">
            <v>74041.396148596672</v>
          </cell>
          <cell r="C44">
            <v>3477.3208936258334</v>
          </cell>
          <cell r="D44">
            <v>32041.614073648158</v>
          </cell>
          <cell r="E44">
            <v>-2101.8594114087919</v>
          </cell>
          <cell r="F44">
            <v>103686.79549771101</v>
          </cell>
          <cell r="G44">
            <v>652.66198279583011</v>
          </cell>
          <cell r="H44">
            <v>210492.60521937706</v>
          </cell>
        </row>
        <row r="45">
          <cell r="B45">
            <v>76075.992338532204</v>
          </cell>
          <cell r="C45">
            <v>3505.7102605122609</v>
          </cell>
          <cell r="D45">
            <v>32100.172243165252</v>
          </cell>
          <cell r="E45">
            <v>-3261.6300874693197</v>
          </cell>
          <cell r="F45">
            <v>104761.01894389067</v>
          </cell>
          <cell r="G45">
            <v>671.77857111163792</v>
          </cell>
          <cell r="H45">
            <v>212509.48512751941</v>
          </cell>
        </row>
        <row r="46">
          <cell r="B46">
            <v>78180.963873947141</v>
          </cell>
          <cell r="C46">
            <v>3492.8847021210709</v>
          </cell>
          <cell r="D46">
            <v>35749.938272453452</v>
          </cell>
          <cell r="E46">
            <v>141.81921024861032</v>
          </cell>
          <cell r="F46">
            <v>105546.30596205994</v>
          </cell>
          <cell r="G46">
            <v>670.06194312548814</v>
          </cell>
          <cell r="H46">
            <v>222441.85007770473</v>
          </cell>
        </row>
        <row r="47">
          <cell r="H47">
            <v>227130.40052407348</v>
          </cell>
          <cell r="R47">
            <v>305508.23273966619</v>
          </cell>
          <cell r="AB47">
            <v>160062.22114098462</v>
          </cell>
          <cell r="AL47">
            <v>170701.35636337136</v>
          </cell>
          <cell r="AV47">
            <v>190699.49759155675</v>
          </cell>
          <cell r="BF47">
            <v>196771.83322463691</v>
          </cell>
          <cell r="BP47">
            <v>188464.42607133964</v>
          </cell>
          <cell r="BZ47">
            <v>196233.00907618448</v>
          </cell>
          <cell r="CJ47">
            <v>289874.0311139478</v>
          </cell>
          <cell r="CT47">
            <v>333594.94301443116</v>
          </cell>
          <cell r="DD47">
            <v>230531.90984807277</v>
          </cell>
        </row>
      </sheetData>
      <sheetData sheetId="4"/>
      <sheetData sheetId="5"/>
      <sheetData sheetId="6"/>
      <sheetData sheetId="7"/>
      <sheetData sheetId="8">
        <row r="3">
          <cell r="B3" t="str">
            <v>Canada</v>
          </cell>
          <cell r="F3" t="str">
            <v>Newfoundland</v>
          </cell>
          <cell r="J3" t="str">
            <v>Prince Edward Island</v>
          </cell>
          <cell r="N3" t="str">
            <v>Nova Scotia</v>
          </cell>
          <cell r="R3" t="str">
            <v>New Brunswick</v>
          </cell>
          <cell r="V3" t="str">
            <v>Quebec</v>
          </cell>
          <cell r="Z3" t="str">
            <v>Ontario</v>
          </cell>
          <cell r="AD3" t="str">
            <v>Manitoba</v>
          </cell>
          <cell r="AH3" t="str">
            <v>Saskatchewan</v>
          </cell>
          <cell r="AL3" t="str">
            <v>Alberta</v>
          </cell>
          <cell r="AP3" t="str">
            <v>British Columbia</v>
          </cell>
        </row>
        <row r="9">
          <cell r="C9">
            <v>0.35326081214970839</v>
          </cell>
        </row>
        <row r="19">
          <cell r="A19">
            <v>1981</v>
          </cell>
          <cell r="B19">
            <v>21</v>
          </cell>
          <cell r="C19">
            <v>1700</v>
          </cell>
          <cell r="F19">
            <v>16.899999999999999</v>
          </cell>
          <cell r="G19">
            <v>1200</v>
          </cell>
          <cell r="J19">
            <v>16.399999999999999</v>
          </cell>
          <cell r="K19">
            <v>900</v>
          </cell>
          <cell r="N19">
            <v>17.2</v>
          </cell>
          <cell r="O19">
            <v>1200</v>
          </cell>
          <cell r="R19">
            <v>18.100000000000001</v>
          </cell>
          <cell r="S19">
            <v>1200</v>
          </cell>
          <cell r="V19">
            <v>28.9</v>
          </cell>
          <cell r="W19">
            <v>2000</v>
          </cell>
          <cell r="Z19">
            <v>18.899999999999999</v>
          </cell>
          <cell r="AA19">
            <v>1600</v>
          </cell>
          <cell r="AD19">
            <v>21.3</v>
          </cell>
          <cell r="AE19">
            <v>1700</v>
          </cell>
          <cell r="AH19">
            <v>18.899999999999999</v>
          </cell>
          <cell r="AI19">
            <v>1200</v>
          </cell>
          <cell r="AL19">
            <v>16.3</v>
          </cell>
          <cell r="AM19">
            <v>1900</v>
          </cell>
          <cell r="AP19">
            <v>18.3</v>
          </cell>
          <cell r="AQ19">
            <v>2000</v>
          </cell>
        </row>
        <row r="20">
          <cell r="A20">
            <v>1982</v>
          </cell>
        </row>
        <row r="21">
          <cell r="A21">
            <v>1983</v>
          </cell>
        </row>
        <row r="22">
          <cell r="A22">
            <v>1984</v>
          </cell>
        </row>
        <row r="23">
          <cell r="A23">
            <v>1985</v>
          </cell>
        </row>
        <row r="24">
          <cell r="A24">
            <v>1986</v>
          </cell>
        </row>
        <row r="25">
          <cell r="A25">
            <v>1987</v>
          </cell>
        </row>
        <row r="26">
          <cell r="A26">
            <v>1988</v>
          </cell>
        </row>
        <row r="27">
          <cell r="A27">
            <v>1989</v>
          </cell>
        </row>
        <row r="28">
          <cell r="A28">
            <v>1990</v>
          </cell>
        </row>
        <row r="29">
          <cell r="A29">
            <v>1991</v>
          </cell>
        </row>
        <row r="30">
          <cell r="A30">
            <v>1992</v>
          </cell>
        </row>
        <row r="31">
          <cell r="A31">
            <v>1993</v>
          </cell>
        </row>
        <row r="32">
          <cell r="A32">
            <v>1994</v>
          </cell>
        </row>
        <row r="33">
          <cell r="A33">
            <v>1995</v>
          </cell>
        </row>
        <row r="34">
          <cell r="A34">
            <v>1996</v>
          </cell>
        </row>
        <row r="35">
          <cell r="A35">
            <v>1997</v>
          </cell>
        </row>
        <row r="36">
          <cell r="A36">
            <v>1998</v>
          </cell>
        </row>
        <row r="37">
          <cell r="A37">
            <v>1999</v>
          </cell>
        </row>
        <row r="38">
          <cell r="A38">
            <v>2000</v>
          </cell>
        </row>
        <row r="39">
          <cell r="A39">
            <v>2001</v>
          </cell>
        </row>
        <row r="40">
          <cell r="A40">
            <v>2002</v>
          </cell>
        </row>
        <row r="41">
          <cell r="A41">
            <v>2003</v>
          </cell>
        </row>
        <row r="42">
          <cell r="A42">
            <v>2004</v>
          </cell>
        </row>
        <row r="43">
          <cell r="A43">
            <v>2005</v>
          </cell>
        </row>
        <row r="44">
          <cell r="A44">
            <v>2006</v>
          </cell>
        </row>
        <row r="45">
          <cell r="A45">
            <v>2007</v>
          </cell>
        </row>
        <row r="46">
          <cell r="A46">
            <v>2008</v>
          </cell>
        </row>
        <row r="47">
          <cell r="A47">
            <v>2009</v>
          </cell>
          <cell r="B47">
            <v>4.8</v>
          </cell>
          <cell r="C47">
            <v>3200</v>
          </cell>
          <cell r="F47">
            <v>2.1</v>
          </cell>
          <cell r="G47">
            <v>800</v>
          </cell>
          <cell r="J47">
            <v>2.4</v>
          </cell>
          <cell r="K47">
            <v>1700</v>
          </cell>
          <cell r="N47">
            <v>2.7</v>
          </cell>
          <cell r="O47">
            <v>1600</v>
          </cell>
          <cell r="R47">
            <v>2.4</v>
          </cell>
          <cell r="S47">
            <v>1500</v>
          </cell>
          <cell r="V47">
            <v>8.6999999999999993</v>
          </cell>
          <cell r="W47">
            <v>2800</v>
          </cell>
          <cell r="Z47">
            <v>3</v>
          </cell>
          <cell r="AA47">
            <v>3600</v>
          </cell>
          <cell r="AD47">
            <v>6.9</v>
          </cell>
          <cell r="AE47">
            <v>2600</v>
          </cell>
          <cell r="AH47">
            <v>2.7</v>
          </cell>
          <cell r="AI47">
            <v>2800</v>
          </cell>
          <cell r="AL47">
            <v>2.4</v>
          </cell>
          <cell r="AM47">
            <v>4300</v>
          </cell>
          <cell r="AP47">
            <v>5.6</v>
          </cell>
          <cell r="AQ47">
            <v>3800</v>
          </cell>
        </row>
      </sheetData>
      <sheetData sheetId="9"/>
      <sheetData sheetId="10"/>
      <sheetData sheetId="11"/>
      <sheetData sheetId="12"/>
      <sheetData sheetId="13"/>
      <sheetData sheetId="14">
        <row r="19">
          <cell r="L19">
            <v>0.43431777550863371</v>
          </cell>
        </row>
        <row r="20">
          <cell r="L20">
            <v>0.41556474208349992</v>
          </cell>
        </row>
        <row r="21">
          <cell r="L21">
            <v>0.39295370996555945</v>
          </cell>
        </row>
        <row r="22">
          <cell r="L22">
            <v>0.40478745770310492</v>
          </cell>
        </row>
        <row r="23">
          <cell r="L23">
            <v>0.4228864089349712</v>
          </cell>
        </row>
        <row r="24">
          <cell r="L24">
            <v>0.42916649559662734</v>
          </cell>
        </row>
        <row r="25">
          <cell r="L25">
            <v>0.43721869020108106</v>
          </cell>
        </row>
        <row r="26">
          <cell r="L26">
            <v>0.46600470813177763</v>
          </cell>
        </row>
        <row r="27">
          <cell r="L27">
            <v>0.48662893148141484</v>
          </cell>
        </row>
        <row r="28">
          <cell r="L28">
            <v>0.46724890649787587</v>
          </cell>
        </row>
        <row r="29">
          <cell r="L29">
            <v>0.43708777453122211</v>
          </cell>
        </row>
        <row r="30">
          <cell r="L30">
            <v>0.43855923425665522</v>
          </cell>
        </row>
        <row r="31">
          <cell r="L31">
            <v>0.42768449997656349</v>
          </cell>
        </row>
        <row r="32">
          <cell r="L32">
            <v>0.43697908877899738</v>
          </cell>
        </row>
        <row r="33">
          <cell r="L33">
            <v>0.43735180756935788</v>
          </cell>
        </row>
        <row r="34">
          <cell r="L34">
            <v>0.42344216894692821</v>
          </cell>
        </row>
        <row r="35">
          <cell r="L35">
            <v>0.42233045447064677</v>
          </cell>
        </row>
        <row r="36">
          <cell r="L36">
            <v>0.43820299168959631</v>
          </cell>
        </row>
        <row r="37">
          <cell r="L37">
            <v>0.45535230700171675</v>
          </cell>
        </row>
        <row r="38">
          <cell r="L38">
            <v>0.47678083072473354</v>
          </cell>
        </row>
        <row r="39">
          <cell r="L39">
            <v>0.48849811915245478</v>
          </cell>
        </row>
        <row r="40">
          <cell r="L40">
            <v>0.48557674146661389</v>
          </cell>
        </row>
        <row r="41">
          <cell r="L41">
            <v>0.49379725658815599</v>
          </cell>
        </row>
        <row r="42">
          <cell r="L42">
            <v>0.50403203573790212</v>
          </cell>
        </row>
        <row r="43">
          <cell r="L43">
            <v>0.51671628168789319</v>
          </cell>
        </row>
        <row r="44">
          <cell r="L44">
            <v>0.544465986598617</v>
          </cell>
        </row>
        <row r="45">
          <cell r="L45">
            <v>0.56652523833156043</v>
          </cell>
        </row>
        <row r="46">
          <cell r="L46">
            <v>0.58022822228269999</v>
          </cell>
        </row>
        <row r="47">
          <cell r="L47">
            <v>0.58444416563233426</v>
          </cell>
        </row>
        <row r="51">
          <cell r="L51">
            <v>1.0659439285221062</v>
          </cell>
          <cell r="W51">
            <v>2.138477955689333</v>
          </cell>
          <cell r="AH51">
            <v>1.5504195691422806</v>
          </cell>
          <cell r="AP51">
            <v>0.97383770112111634</v>
          </cell>
          <cell r="AX51">
            <v>1.6042522688858973</v>
          </cell>
          <cell r="BF51">
            <v>1.1959769421995059</v>
          </cell>
          <cell r="BN51">
            <v>0.66379697303582397</v>
          </cell>
          <cell r="BV51">
            <v>1.4129090728904892</v>
          </cell>
          <cell r="CD51">
            <v>1.2276101356268443</v>
          </cell>
          <cell r="CL51">
            <v>0.79659652000336756</v>
          </cell>
          <cell r="CT51">
            <v>0.84597342955645694</v>
          </cell>
        </row>
      </sheetData>
      <sheetData sheetId="15"/>
      <sheetData sheetId="16"/>
      <sheetData sheetId="17">
        <row r="19">
          <cell r="A19">
            <v>1981</v>
          </cell>
          <cell r="B19">
            <v>0.25670944965986692</v>
          </cell>
          <cell r="D19">
            <v>0.27621245976709657</v>
          </cell>
          <cell r="F19">
            <v>0.54469146067546736</v>
          </cell>
          <cell r="G19">
            <v>0.65965773193210397</v>
          </cell>
        </row>
        <row r="20">
          <cell r="A20">
            <v>1982</v>
          </cell>
          <cell r="B20">
            <v>0.23740321719697308</v>
          </cell>
          <cell r="D20">
            <v>0.27559401620932489</v>
          </cell>
          <cell r="F20">
            <v>0.51693640159030863</v>
          </cell>
          <cell r="G20">
            <v>0.63232533333739294</v>
          </cell>
        </row>
        <row r="21">
          <cell r="A21">
            <v>1983</v>
          </cell>
          <cell r="B21">
            <v>0.24666456405466089</v>
          </cell>
          <cell r="D21">
            <v>0.2863180168707819</v>
          </cell>
          <cell r="F21">
            <v>0.42193516823383936</v>
          </cell>
          <cell r="G21">
            <v>0.61689709070295573</v>
          </cell>
        </row>
        <row r="22">
          <cell r="A22">
            <v>1984</v>
          </cell>
          <cell r="B22">
            <v>0.2653167774119215</v>
          </cell>
          <cell r="D22">
            <v>0.28679592175873547</v>
          </cell>
          <cell r="F22">
            <v>0.43870225637785498</v>
          </cell>
          <cell r="G22">
            <v>0.62833487526390774</v>
          </cell>
        </row>
        <row r="23">
          <cell r="A23">
            <v>1985</v>
          </cell>
          <cell r="B23">
            <v>0.29287965795122134</v>
          </cell>
          <cell r="D23">
            <v>0.28189600629592609</v>
          </cell>
          <cell r="F23">
            <v>0.48235518471361249</v>
          </cell>
          <cell r="G23">
            <v>0.634414786779125</v>
          </cell>
        </row>
        <row r="24">
          <cell r="A24">
            <v>1986</v>
          </cell>
          <cell r="B24">
            <v>0.31446018809586973</v>
          </cell>
          <cell r="D24">
            <v>0.26318046741132772</v>
          </cell>
          <cell r="F24">
            <v>0.51002979275189742</v>
          </cell>
          <cell r="G24">
            <v>0.62899553412741449</v>
          </cell>
        </row>
        <row r="25">
          <cell r="A25">
            <v>1987</v>
          </cell>
          <cell r="B25">
            <v>0.33943258684995681</v>
          </cell>
          <cell r="D25">
            <v>0.27141041290792556</v>
          </cell>
          <cell r="F25">
            <v>0.51580076402779018</v>
          </cell>
          <cell r="G25">
            <v>0.6222309970186517</v>
          </cell>
        </row>
        <row r="26">
          <cell r="A26">
            <v>1988</v>
          </cell>
          <cell r="B26">
            <v>0.36853355942753036</v>
          </cell>
          <cell r="D26">
            <v>0.28091778111162863</v>
          </cell>
          <cell r="F26">
            <v>0.56180182926037636</v>
          </cell>
          <cell r="G26">
            <v>0.65276566272757508</v>
          </cell>
        </row>
        <row r="27">
          <cell r="A27">
            <v>1989</v>
          </cell>
          <cell r="B27">
            <v>0.39104379085287866</v>
          </cell>
          <cell r="D27">
            <v>0.285620417874488</v>
          </cell>
          <cell r="F27">
            <v>0.60413115597439804</v>
          </cell>
          <cell r="G27">
            <v>0.66572036122389455</v>
          </cell>
        </row>
        <row r="28">
          <cell r="A28">
            <v>1990</v>
          </cell>
          <cell r="B28">
            <v>0.40416999735367098</v>
          </cell>
          <cell r="D28">
            <v>0.302715227244856</v>
          </cell>
          <cell r="F28">
            <v>0.51006822233299076</v>
          </cell>
          <cell r="G28">
            <v>0.65204217905998574</v>
          </cell>
        </row>
        <row r="29">
          <cell r="A29">
            <v>1991</v>
          </cell>
          <cell r="B29">
            <v>0.40791989123499744</v>
          </cell>
          <cell r="D29">
            <v>0.29399499384755789</v>
          </cell>
          <cell r="F29">
            <v>0.42777562711554251</v>
          </cell>
          <cell r="G29">
            <v>0.61866058592679063</v>
          </cell>
        </row>
        <row r="30">
          <cell r="A30">
            <v>1992</v>
          </cell>
          <cell r="B30">
            <v>0.42979106562922342</v>
          </cell>
          <cell r="D30">
            <v>0.29081349841545068</v>
          </cell>
          <cell r="F30">
            <v>0.4330192290850241</v>
          </cell>
          <cell r="G30">
            <v>0.60061314389692255</v>
          </cell>
        </row>
        <row r="31">
          <cell r="A31">
            <v>1993</v>
          </cell>
          <cell r="B31">
            <v>0.43732889601713532</v>
          </cell>
          <cell r="D31">
            <v>0.28939208537626904</v>
          </cell>
          <cell r="F31">
            <v>0.39438851039997214</v>
          </cell>
          <cell r="G31">
            <v>0.58962850811287759</v>
          </cell>
        </row>
        <row r="32">
          <cell r="A32">
            <v>1994</v>
          </cell>
          <cell r="B32">
            <v>0.45334026529529864</v>
          </cell>
          <cell r="D32">
            <v>0.2964233161083466</v>
          </cell>
          <cell r="F32">
            <v>0.40880436906528628</v>
          </cell>
          <cell r="G32">
            <v>0.58934840464705796</v>
          </cell>
        </row>
        <row r="33">
          <cell r="A33">
            <v>1995</v>
          </cell>
          <cell r="B33">
            <v>0.46508482101486348</v>
          </cell>
          <cell r="D33">
            <v>0.30695267898736356</v>
          </cell>
          <cell r="F33">
            <v>0.38152171029381599</v>
          </cell>
          <cell r="G33">
            <v>0.59584801998138859</v>
          </cell>
        </row>
        <row r="34">
          <cell r="A34">
            <v>1996</v>
          </cell>
          <cell r="B34">
            <v>0.47901584094957567</v>
          </cell>
          <cell r="D34">
            <v>0.31986049427032576</v>
          </cell>
          <cell r="F34">
            <v>0.31137547206711985</v>
          </cell>
          <cell r="G34">
            <v>0.58351686850069162</v>
          </cell>
        </row>
        <row r="35">
          <cell r="A35">
            <v>1997</v>
          </cell>
          <cell r="B35">
            <v>0.50438678232947065</v>
          </cell>
          <cell r="D35">
            <v>0.33234609520308367</v>
          </cell>
          <cell r="F35">
            <v>0.28048039640379308</v>
          </cell>
          <cell r="G35">
            <v>0.57210854394623956</v>
          </cell>
        </row>
        <row r="36">
          <cell r="A36">
            <v>1998</v>
          </cell>
          <cell r="B36">
            <v>0.53241916705725856</v>
          </cell>
          <cell r="D36">
            <v>0.33342755569938309</v>
          </cell>
          <cell r="F36">
            <v>0.30885504696863875</v>
          </cell>
          <cell r="G36">
            <v>0.57811019703310473</v>
          </cell>
        </row>
        <row r="37">
          <cell r="A37">
            <v>1999</v>
          </cell>
          <cell r="B37">
            <v>0.55613044166189196</v>
          </cell>
          <cell r="D37">
            <v>0.35477152583129279</v>
          </cell>
          <cell r="F37">
            <v>0.32940709067285867</v>
          </cell>
          <cell r="G37">
            <v>0.58110016984082358</v>
          </cell>
        </row>
        <row r="38">
          <cell r="A38">
            <v>2000</v>
          </cell>
          <cell r="B38">
            <v>0.58378218980811425</v>
          </cell>
          <cell r="D38">
            <v>0.38720080692459141</v>
          </cell>
          <cell r="F38">
            <v>0.34627470967515028</v>
          </cell>
          <cell r="G38">
            <v>0.58986561649107816</v>
          </cell>
        </row>
        <row r="39">
          <cell r="A39">
            <v>2001</v>
          </cell>
          <cell r="B39">
            <v>0.60171906900890115</v>
          </cell>
          <cell r="D39">
            <v>0.3869055243641723</v>
          </cell>
          <cell r="F39">
            <v>0.39830238826230963</v>
          </cell>
          <cell r="G39">
            <v>0.56706549497443592</v>
          </cell>
        </row>
        <row r="40">
          <cell r="A40">
            <v>2002</v>
          </cell>
          <cell r="B40">
            <v>0.62047306038782513</v>
          </cell>
          <cell r="D40">
            <v>0.3891397947770458</v>
          </cell>
          <cell r="F40">
            <v>0.39979089153226083</v>
          </cell>
          <cell r="G40">
            <v>0.53290321916932404</v>
          </cell>
        </row>
        <row r="41">
          <cell r="A41">
            <v>2003</v>
          </cell>
          <cell r="B41">
            <v>0.64128296526044448</v>
          </cell>
          <cell r="D41">
            <v>0.40282034555894741</v>
          </cell>
          <cell r="F41">
            <v>0.40166818966131423</v>
          </cell>
          <cell r="G41">
            <v>0.52941752587191804</v>
          </cell>
        </row>
        <row r="42">
          <cell r="A42">
            <v>2004</v>
          </cell>
          <cell r="B42">
            <v>0.66237544087299693</v>
          </cell>
          <cell r="D42">
            <v>0.42148515622323002</v>
          </cell>
          <cell r="F42">
            <v>0.38755166853045275</v>
          </cell>
          <cell r="G42">
            <v>0.54471587732492888</v>
          </cell>
        </row>
        <row r="43">
          <cell r="A43">
            <v>2005</v>
          </cell>
          <cell r="B43">
            <v>0.68537958038447788</v>
          </cell>
          <cell r="D43">
            <v>0.45179379889580945</v>
          </cell>
          <cell r="F43">
            <v>0.39061766146097998</v>
          </cell>
          <cell r="G43">
            <v>0.53907408601030515</v>
          </cell>
        </row>
        <row r="44">
          <cell r="A44">
            <v>2006</v>
          </cell>
          <cell r="B44">
            <v>0.7210186879489191</v>
          </cell>
          <cell r="D44">
            <v>0.4766513626648497</v>
          </cell>
          <cell r="F44">
            <v>0.42661987292434217</v>
          </cell>
          <cell r="G44">
            <v>0.55357402285635693</v>
          </cell>
        </row>
        <row r="45">
          <cell r="A45">
            <v>2007</v>
          </cell>
          <cell r="B45">
            <v>0.75598864400813581</v>
          </cell>
          <cell r="D45">
            <v>0.48309305114953816</v>
          </cell>
          <cell r="F45">
            <v>0.46887805067503069</v>
          </cell>
          <cell r="G45">
            <v>0.5581412074935368</v>
          </cell>
        </row>
        <row r="46">
          <cell r="A46">
            <v>2008</v>
          </cell>
          <cell r="B46">
            <v>0.78169760314128534</v>
          </cell>
          <cell r="D46">
            <v>0.51481591212258604</v>
          </cell>
          <cell r="F46">
            <v>0.46887805067503069</v>
          </cell>
          <cell r="G46">
            <v>0.55552132319189773</v>
          </cell>
        </row>
        <row r="47">
          <cell r="A47">
            <v>2009</v>
          </cell>
          <cell r="B47">
            <v>0.80956961180104303</v>
          </cell>
          <cell r="D47">
            <v>0.5297906170112241</v>
          </cell>
          <cell r="F47">
            <v>0.46887805067503069</v>
          </cell>
          <cell r="G47">
            <v>0.52953838304203926</v>
          </cell>
        </row>
      </sheetData>
      <sheetData sheetId="18"/>
      <sheetData sheetId="19"/>
      <sheetData sheetId="20">
        <row r="4">
          <cell r="C4" t="str">
            <v>Nfld.</v>
          </cell>
          <cell r="D4" t="str">
            <v>PEI</v>
          </cell>
          <cell r="E4" t="str">
            <v>NS</v>
          </cell>
          <cell r="F4" t="str">
            <v>NB</v>
          </cell>
          <cell r="G4" t="str">
            <v>PQ</v>
          </cell>
          <cell r="H4" t="str">
            <v>ON</v>
          </cell>
          <cell r="I4" t="str">
            <v>Man.</v>
          </cell>
          <cell r="J4" t="str">
            <v>Sask.</v>
          </cell>
          <cell r="K4" t="str">
            <v>Alb.</v>
          </cell>
          <cell r="L4" t="str">
            <v>BC</v>
          </cell>
          <cell r="AT4" t="str">
            <v>Canada</v>
          </cell>
        </row>
        <row r="5">
          <cell r="N5">
            <v>0.51627837512046104</v>
          </cell>
          <cell r="O5" t="e">
            <v>#REF!</v>
          </cell>
          <cell r="P5">
            <v>0.72177347266255232</v>
          </cell>
          <cell r="Q5">
            <v>6.3347682465001803E-2</v>
          </cell>
          <cell r="R5">
            <v>0.11339982632106221</v>
          </cell>
          <cell r="S5">
            <v>0.12290521742247182</v>
          </cell>
          <cell r="T5">
            <v>0.16822268850423303</v>
          </cell>
          <cell r="U5">
            <v>0.1703045496423316</v>
          </cell>
          <cell r="V5">
            <v>0.23452319283116199</v>
          </cell>
          <cell r="W5">
            <v>0.33757673602300425</v>
          </cell>
          <cell r="Y5">
            <v>0</v>
          </cell>
          <cell r="Z5" t="e">
            <v>#REF!</v>
          </cell>
          <cell r="AA5">
            <v>0</v>
          </cell>
          <cell r="AB5">
            <v>1.1383616990041951</v>
          </cell>
          <cell r="AC5">
            <v>1.1102630421191557</v>
          </cell>
          <cell r="AD5">
            <v>1.1383877521953301</v>
          </cell>
          <cell r="AE5">
            <v>1.105184569623475</v>
          </cell>
          <cell r="AF5">
            <v>1.1246915986969337</v>
          </cell>
          <cell r="AG5">
            <v>1.0993418733237341</v>
          </cell>
          <cell r="AH5">
            <v>1.03191991241676</v>
          </cell>
          <cell r="AJ5" t="e">
            <v>#REF!</v>
          </cell>
          <cell r="AK5">
            <v>-8.0365416491324157E-3</v>
          </cell>
          <cell r="AL5">
            <v>0</v>
          </cell>
          <cell r="AM5">
            <v>0.64593422930859534</v>
          </cell>
          <cell r="AN5">
            <v>0.70267921197875149</v>
          </cell>
          <cell r="AO5">
            <v>0.68367420050248318</v>
          </cell>
          <cell r="AP5">
            <v>0.68047043583448164</v>
          </cell>
          <cell r="AQ5">
            <v>0.74005042853641723</v>
          </cell>
          <cell r="AR5">
            <v>0.68923749075407204</v>
          </cell>
          <cell r="AS5">
            <v>0.60351876348609457</v>
          </cell>
          <cell r="AT5">
            <v>1.1078448008650001</v>
          </cell>
          <cell r="AU5">
            <v>0</v>
          </cell>
          <cell r="AV5">
            <v>-7.4167907418979162E-2</v>
          </cell>
          <cell r="AW5">
            <v>0</v>
          </cell>
          <cell r="AX5">
            <v>0.47778778590847804</v>
          </cell>
          <cell r="AY5">
            <v>0.5066699197643687</v>
          </cell>
          <cell r="AZ5">
            <v>0.49570735230903484</v>
          </cell>
          <cell r="BA5">
            <v>0.5028354379185942</v>
          </cell>
          <cell r="BB5">
            <v>0.55055436440509598</v>
          </cell>
          <cell r="BC5">
            <v>0.53694583170922894</v>
          </cell>
          <cell r="BD5">
            <v>0.49732674662567067</v>
          </cell>
        </row>
        <row r="6">
          <cell r="N6">
            <v>0.52323122012607359</v>
          </cell>
          <cell r="O6" t="e">
            <v>#REF!</v>
          </cell>
          <cell r="P6">
            <v>0.70071983618307432</v>
          </cell>
          <cell r="Q6">
            <v>6.5541934030612814E-2</v>
          </cell>
          <cell r="R6">
            <v>0.11496901454555626</v>
          </cell>
          <cell r="S6">
            <v>0.12290759002592769</v>
          </cell>
          <cell r="T6">
            <v>0.1713449091261123</v>
          </cell>
          <cell r="U6">
            <v>0.17286355937090875</v>
          </cell>
          <cell r="V6">
            <v>0.23641321323086489</v>
          </cell>
          <cell r="W6">
            <v>0.3336339470450424</v>
          </cell>
          <cell r="Y6">
            <v>0</v>
          </cell>
          <cell r="Z6" t="e">
            <v>#REF!</v>
          </cell>
          <cell r="AA6">
            <v>0</v>
          </cell>
          <cell r="AB6">
            <v>1.1383616990041951</v>
          </cell>
          <cell r="AC6">
            <v>1.1102630421191557</v>
          </cell>
          <cell r="AD6">
            <v>1.1383877521953301</v>
          </cell>
          <cell r="AE6">
            <v>1.105184569623475</v>
          </cell>
          <cell r="AF6">
            <v>1.1246915986969337</v>
          </cell>
          <cell r="AG6">
            <v>1.0993418733237341</v>
          </cell>
          <cell r="AH6">
            <v>1.03191991241676</v>
          </cell>
          <cell r="AJ6" t="e">
            <v>#REF!</v>
          </cell>
          <cell r="AK6">
            <v>6.2828315900254278E-3</v>
          </cell>
          <cell r="AL6">
            <v>0</v>
          </cell>
          <cell r="AM6">
            <v>0.63362250388141406</v>
          </cell>
          <cell r="AN6">
            <v>0.69311146582446914</v>
          </cell>
          <cell r="AO6">
            <v>0.68200398907535309</v>
          </cell>
          <cell r="AP6">
            <v>0.68610118711258627</v>
          </cell>
          <cell r="AQ6">
            <v>0.73692271767279294</v>
          </cell>
          <cell r="AR6">
            <v>0.6860173173828682</v>
          </cell>
          <cell r="AS6">
            <v>0.60258678738328408</v>
          </cell>
          <cell r="AT6">
            <v>1.1078448008650001</v>
          </cell>
          <cell r="AU6">
            <v>0</v>
          </cell>
          <cell r="AV6">
            <v>-4.7717340092079986E-2</v>
          </cell>
          <cell r="AW6">
            <v>0</v>
          </cell>
          <cell r="AX6">
            <v>0.48166097496018606</v>
          </cell>
          <cell r="AY6">
            <v>0.50863985886115515</v>
          </cell>
          <cell r="AZ6">
            <v>0.4975900414904183</v>
          </cell>
          <cell r="BA6">
            <v>0.51056497935041778</v>
          </cell>
          <cell r="BB6">
            <v>0.55606944133714409</v>
          </cell>
          <cell r="BC6">
            <v>0.54161886903927847</v>
          </cell>
          <cell r="BD6">
            <v>0.50426535733016475</v>
          </cell>
        </row>
        <row r="7">
          <cell r="N7">
            <v>0.52902507968547707</v>
          </cell>
          <cell r="O7" t="e">
            <v>#REF!</v>
          </cell>
          <cell r="P7">
            <v>0.67933545924318617</v>
          </cell>
          <cell r="Q7">
            <v>7.1838266463759473E-2</v>
          </cell>
          <cell r="R7">
            <v>0.11894204171691478</v>
          </cell>
          <cell r="S7">
            <v>0.12730900595467665</v>
          </cell>
          <cell r="T7">
            <v>0.17641997515746841</v>
          </cell>
          <cell r="U7">
            <v>0.17694340525392729</v>
          </cell>
          <cell r="V7">
            <v>0.23900511893824636</v>
          </cell>
          <cell r="W7">
            <v>0.33555833297975851</v>
          </cell>
          <cell r="Y7">
            <v>0</v>
          </cell>
          <cell r="Z7" t="e">
            <v>#REF!</v>
          </cell>
          <cell r="AA7">
            <v>0</v>
          </cell>
          <cell r="AB7">
            <v>1.1383616990041951</v>
          </cell>
          <cell r="AC7">
            <v>1.1102630421191557</v>
          </cell>
          <cell r="AD7">
            <v>1.1383877521953301</v>
          </cell>
          <cell r="AE7">
            <v>1.105184569623475</v>
          </cell>
          <cell r="AF7">
            <v>1.1246915986969339</v>
          </cell>
          <cell r="AG7">
            <v>1.0993418733237341</v>
          </cell>
          <cell r="AH7">
            <v>1.03191991241676</v>
          </cell>
          <cell r="AJ7" t="e">
            <v>#REF!</v>
          </cell>
          <cell r="AK7">
            <v>2.8374294371563399E-2</v>
          </cell>
          <cell r="AL7">
            <v>0</v>
          </cell>
          <cell r="AM7">
            <v>0.64803678258506159</v>
          </cell>
          <cell r="AN7">
            <v>0.67579897399508326</v>
          </cell>
          <cell r="AO7">
            <v>0.67041335729369711</v>
          </cell>
          <cell r="AP7">
            <v>0.68685284846453265</v>
          </cell>
          <cell r="AQ7">
            <v>0.73824415812614286</v>
          </cell>
          <cell r="AR7">
            <v>0.69101652486330711</v>
          </cell>
          <cell r="AS7">
            <v>0.65483074906919858</v>
          </cell>
          <cell r="AT7">
            <v>1.1078448008650001</v>
          </cell>
          <cell r="AU7">
            <v>0</v>
          </cell>
          <cell r="AV7">
            <v>-8.2844821348547482E-3</v>
          </cell>
          <cell r="AW7">
            <v>0</v>
          </cell>
          <cell r="AX7">
            <v>0.49655488293309824</v>
          </cell>
          <cell r="AY7">
            <v>0.51183989575751965</v>
          </cell>
          <cell r="AZ7">
            <v>0.497607070806383</v>
          </cell>
          <cell r="BA7">
            <v>0.5205447841394979</v>
          </cell>
          <cell r="BB7">
            <v>0.56356541816550321</v>
          </cell>
          <cell r="BC7">
            <v>0.55015952061877704</v>
          </cell>
          <cell r="BD7">
            <v>0.52482169853447425</v>
          </cell>
        </row>
        <row r="8">
          <cell r="N8">
            <v>0.53483261090275636</v>
          </cell>
          <cell r="O8" t="e">
            <v>#REF!</v>
          </cell>
          <cell r="P8">
            <v>0.66264267857180192</v>
          </cell>
          <cell r="Q8">
            <v>7.5213783441039642E-2</v>
          </cell>
          <cell r="R8">
            <v>0.12277665824207651</v>
          </cell>
          <cell r="S8">
            <v>0.14183852621044241</v>
          </cell>
          <cell r="T8">
            <v>0.18229397042746154</v>
          </cell>
          <cell r="U8">
            <v>0.18132523644852566</v>
          </cell>
          <cell r="V8">
            <v>0.24093137611561241</v>
          </cell>
          <cell r="W8">
            <v>0.3391844404077668</v>
          </cell>
          <cell r="Y8">
            <v>0</v>
          </cell>
          <cell r="Z8" t="e">
            <v>#REF!</v>
          </cell>
          <cell r="AA8">
            <v>0</v>
          </cell>
          <cell r="AB8">
            <v>1.1499479499270713</v>
          </cell>
          <cell r="AC8">
            <v>1.1156763615587144</v>
          </cell>
          <cell r="AD8">
            <v>1.1347120873417667</v>
          </cell>
          <cell r="AE8">
            <v>1.1166421537292379</v>
          </cell>
          <cell r="AF8">
            <v>1.1273204512644197</v>
          </cell>
          <cell r="AG8">
            <v>1.1081172268699309</v>
          </cell>
          <cell r="AH8">
            <v>1.0129622342600582</v>
          </cell>
          <cell r="AJ8" t="e">
            <v>#REF!</v>
          </cell>
          <cell r="AK8">
            <v>5.8493828076600543E-2</v>
          </cell>
          <cell r="AL8">
            <v>0</v>
          </cell>
          <cell r="AM8">
            <v>0.61828928615768197</v>
          </cell>
          <cell r="AN8">
            <v>0.66516984979220328</v>
          </cell>
          <cell r="AO8">
            <v>0.64829806745352714</v>
          </cell>
          <cell r="AP8">
            <v>0.67963493315590207</v>
          </cell>
          <cell r="AQ8">
            <v>0.74250705656849636</v>
          </cell>
          <cell r="AR8">
            <v>0.6950559423190501</v>
          </cell>
          <cell r="AS8">
            <v>0.66025289691163058</v>
          </cell>
          <cell r="AT8">
            <v>1.1097213114577633</v>
          </cell>
          <cell r="AU8">
            <v>0</v>
          </cell>
          <cell r="AV8">
            <v>4.3001504320252022E-2</v>
          </cell>
          <cell r="AW8">
            <v>0</v>
          </cell>
          <cell r="AX8">
            <v>0.49921002625850364</v>
          </cell>
          <cell r="AY8">
            <v>0.52013873313484904</v>
          </cell>
          <cell r="AZ8">
            <v>0.49984769487660874</v>
          </cell>
          <cell r="BA8">
            <v>0.5282877578111389</v>
          </cell>
          <cell r="BB8">
            <v>0.57266125754790742</v>
          </cell>
          <cell r="BC8">
            <v>0.56112490951255523</v>
          </cell>
          <cell r="BD8">
            <v>0.53672476027559424</v>
          </cell>
        </row>
        <row r="9">
          <cell r="N9">
            <v>0.54299772953321435</v>
          </cell>
          <cell r="O9" t="e">
            <v>#REF!</v>
          </cell>
          <cell r="P9">
            <v>0.64718910641050642</v>
          </cell>
          <cell r="Q9">
            <v>7.6636633205470372E-2</v>
          </cell>
          <cell r="R9">
            <v>0.12402241876866144</v>
          </cell>
          <cell r="S9">
            <v>0.1488712983015332</v>
          </cell>
          <cell r="T9">
            <v>0.18594154485327699</v>
          </cell>
          <cell r="U9">
            <v>0.18272372373091852</v>
          </cell>
          <cell r="V9">
            <v>0.2416425479440221</v>
          </cell>
          <cell r="W9">
            <v>0.3338662847116507</v>
          </cell>
          <cell r="Y9">
            <v>0</v>
          </cell>
          <cell r="Z9" t="e">
            <v>#REF!</v>
          </cell>
          <cell r="AA9">
            <v>0</v>
          </cell>
          <cell r="AB9">
            <v>1.161534200849947</v>
          </cell>
          <cell r="AC9">
            <v>1.1210896809982733</v>
          </cell>
          <cell r="AD9">
            <v>1.1310364224882037</v>
          </cell>
          <cell r="AE9">
            <v>1.1280997378350008</v>
          </cell>
          <cell r="AF9">
            <v>1.1299493038319059</v>
          </cell>
          <cell r="AG9">
            <v>1.1168925804161276</v>
          </cell>
          <cell r="AH9">
            <v>0.99400455610335636</v>
          </cell>
          <cell r="AJ9" t="e">
            <v>#REF!</v>
          </cell>
          <cell r="AK9">
            <v>8.1851821674177205E-2</v>
          </cell>
          <cell r="AL9">
            <v>0</v>
          </cell>
          <cell r="AM9">
            <v>0.61667681623052328</v>
          </cell>
          <cell r="AN9">
            <v>0.67886494967950273</v>
          </cell>
          <cell r="AO9">
            <v>0.64304969380885357</v>
          </cell>
          <cell r="AP9">
            <v>0.6870768283442038</v>
          </cell>
          <cell r="AQ9">
            <v>0.74345347610743584</v>
          </cell>
          <cell r="AR9">
            <v>0.70369627040003502</v>
          </cell>
          <cell r="AS9">
            <v>0.66982049175838765</v>
          </cell>
          <cell r="AT9">
            <v>1.1115978220505263</v>
          </cell>
          <cell r="AU9">
            <v>0</v>
          </cell>
          <cell r="AV9">
            <v>8.0974612299547805E-2</v>
          </cell>
          <cell r="AW9">
            <v>0</v>
          </cell>
          <cell r="AX9">
            <v>0.51054975770867328</v>
          </cell>
          <cell r="AY9">
            <v>0.53026288374327979</v>
          </cell>
          <cell r="AZ9">
            <v>0.50572066500898138</v>
          </cell>
          <cell r="BA9">
            <v>0.53942872233550487</v>
          </cell>
          <cell r="BB9">
            <v>0.58022792620628505</v>
          </cell>
          <cell r="BC9">
            <v>0.56990829322997583</v>
          </cell>
          <cell r="BD9">
            <v>0.54576739164480526</v>
          </cell>
        </row>
        <row r="10">
          <cell r="N10">
            <v>0.5468362753131899</v>
          </cell>
          <cell r="O10" t="e">
            <v>#REF!</v>
          </cell>
          <cell r="P10">
            <v>0.56215413777752721</v>
          </cell>
          <cell r="Q10">
            <v>6.9596066914740073E-2</v>
          </cell>
          <cell r="R10">
            <v>0.1239111982816883</v>
          </cell>
          <cell r="S10">
            <v>0.14260058967873457</v>
          </cell>
          <cell r="T10">
            <v>0.18156070444109121</v>
          </cell>
          <cell r="U10">
            <v>0.18774397257138192</v>
          </cell>
          <cell r="V10">
            <v>0.24430314790959662</v>
          </cell>
          <cell r="W10">
            <v>0.31851711516638082</v>
          </cell>
          <cell r="Y10">
            <v>0</v>
          </cell>
          <cell r="Z10" t="e">
            <v>#REF!</v>
          </cell>
          <cell r="AA10">
            <v>0</v>
          </cell>
          <cell r="AB10">
            <v>1.1586908117345747</v>
          </cell>
          <cell r="AC10">
            <v>1.1167046558627356</v>
          </cell>
          <cell r="AD10">
            <v>1.1197186316574534</v>
          </cell>
          <cell r="AE10">
            <v>1.1249963963109888</v>
          </cell>
          <cell r="AF10">
            <v>1.126090437677798</v>
          </cell>
          <cell r="AG10">
            <v>1.1004373201422526</v>
          </cell>
          <cell r="AH10">
            <v>1.0260674473797478</v>
          </cell>
          <cell r="AJ10" t="e">
            <v>#REF!</v>
          </cell>
          <cell r="AK10">
            <v>9.5706900219441393E-2</v>
          </cell>
          <cell r="AL10">
            <v>0</v>
          </cell>
          <cell r="AM10">
            <v>0.67701845716221631</v>
          </cell>
          <cell r="AN10">
            <v>0.67065393134459661</v>
          </cell>
          <cell r="AO10">
            <v>0.64851299625844661</v>
          </cell>
          <cell r="AP10">
            <v>0.69110490008934367</v>
          </cell>
          <cell r="AQ10">
            <v>0.72894673090524142</v>
          </cell>
          <cell r="AR10">
            <v>0.70024651115011283</v>
          </cell>
          <cell r="AS10">
            <v>0.66310268131757988</v>
          </cell>
          <cell r="AT10">
            <v>1.1144125879396709</v>
          </cell>
          <cell r="AU10">
            <v>0</v>
          </cell>
          <cell r="AV10">
            <v>0.10281085913733971</v>
          </cell>
          <cell r="AW10">
            <v>0</v>
          </cell>
          <cell r="AX10">
            <v>0.53116566338992588</v>
          </cell>
          <cell r="AY10">
            <v>0.53788604768793535</v>
          </cell>
          <cell r="AZ10">
            <v>0.50734691524598752</v>
          </cell>
          <cell r="BA10">
            <v>0.54448436123168953</v>
          </cell>
          <cell r="BB10">
            <v>0.58226726425072595</v>
          </cell>
          <cell r="BC10">
            <v>0.57331101653572081</v>
          </cell>
          <cell r="BD10">
            <v>0.55573225799425219</v>
          </cell>
        </row>
        <row r="11">
          <cell r="N11">
            <v>0.54494148419148591</v>
          </cell>
          <cell r="O11" t="e">
            <v>#REF!</v>
          </cell>
          <cell r="P11">
            <v>0.44632072296477959</v>
          </cell>
          <cell r="Q11">
            <v>7.256867080709109E-2</v>
          </cell>
          <cell r="R11">
            <v>0.13134527746258637</v>
          </cell>
          <cell r="S11">
            <v>0.14846835142167036</v>
          </cell>
          <cell r="T11">
            <v>0.18923564763836656</v>
          </cell>
          <cell r="U11">
            <v>0.19340780861516976</v>
          </cell>
          <cell r="V11">
            <v>0.24715224018122448</v>
          </cell>
          <cell r="W11">
            <v>0.32363439874671518</v>
          </cell>
          <cell r="Y11">
            <v>0</v>
          </cell>
          <cell r="Z11" t="e">
            <v>#REF!</v>
          </cell>
          <cell r="AA11">
            <v>0</v>
          </cell>
          <cell r="AB11">
            <v>1.1558474226192024</v>
          </cell>
          <cell r="AC11">
            <v>1.1123196307271976</v>
          </cell>
          <cell r="AD11">
            <v>1.1084008408267032</v>
          </cell>
          <cell r="AE11">
            <v>1.1218930547869768</v>
          </cell>
          <cell r="AF11">
            <v>1.1222315715236899</v>
          </cell>
          <cell r="AG11">
            <v>1.0839820598683776</v>
          </cell>
          <cell r="AH11">
            <v>1.0581303386561394</v>
          </cell>
          <cell r="AJ11" t="e">
            <v>#REF!</v>
          </cell>
          <cell r="AK11">
            <v>0.10564752133835315</v>
          </cell>
          <cell r="AL11">
            <v>0</v>
          </cell>
          <cell r="AM11">
            <v>0.69244059124272772</v>
          </cell>
          <cell r="AN11">
            <v>0.69762445808578433</v>
          </cell>
          <cell r="AO11">
            <v>0.61354267066801238</v>
          </cell>
          <cell r="AP11">
            <v>0.67279595039726237</v>
          </cell>
          <cell r="AQ11">
            <v>0.69419262901413403</v>
          </cell>
          <cell r="AR11">
            <v>0.66165273077444509</v>
          </cell>
          <cell r="AS11">
            <v>0.61898026126983818</v>
          </cell>
          <cell r="AT11">
            <v>1.1172273538288153</v>
          </cell>
          <cell r="AU11">
            <v>0</v>
          </cell>
          <cell r="AV11">
            <v>0.11817809291247618</v>
          </cell>
          <cell r="AW11">
            <v>0</v>
          </cell>
          <cell r="AX11">
            <v>0.54100298768298116</v>
          </cell>
          <cell r="AY11">
            <v>0.54797085155297331</v>
          </cell>
          <cell r="AZ11">
            <v>0.49924782150113012</v>
          </cell>
          <cell r="BA11">
            <v>0.54675204979259107</v>
          </cell>
          <cell r="BB11">
            <v>0.57841101689898</v>
          </cell>
          <cell r="BC11">
            <v>0.56192071810280053</v>
          </cell>
          <cell r="BD11">
            <v>0.55730226959887186</v>
          </cell>
        </row>
        <row r="12">
          <cell r="N12">
            <v>0.5488789539431761</v>
          </cell>
          <cell r="O12" t="e">
            <v>#REF!</v>
          </cell>
          <cell r="P12">
            <v>0.41127149758043891</v>
          </cell>
          <cell r="Q12">
            <v>7.7050384994421947E-2</v>
          </cell>
          <cell r="R12">
            <v>0.13186799117019488</v>
          </cell>
          <cell r="S12">
            <v>0.15046591128102102</v>
          </cell>
          <cell r="T12">
            <v>0.19452159960343532</v>
          </cell>
          <cell r="U12">
            <v>0.19488700186738911</v>
          </cell>
          <cell r="V12">
            <v>0.24954023927678709</v>
          </cell>
          <cell r="W12">
            <v>0.33482569226324826</v>
          </cell>
          <cell r="Y12">
            <v>0</v>
          </cell>
          <cell r="Z12" t="e">
            <v>#REF!</v>
          </cell>
          <cell r="AA12">
            <v>0</v>
          </cell>
          <cell r="AB12">
            <v>1.1515711445008074</v>
          </cell>
          <cell r="AC12">
            <v>1.1113858922212474</v>
          </cell>
          <cell r="AD12">
            <v>1.111669390902182</v>
          </cell>
          <cell r="AE12">
            <v>1.1208900736860605</v>
          </cell>
          <cell r="AF12">
            <v>1.1188068278119192</v>
          </cell>
          <cell r="AG12">
            <v>1.0905311827833915</v>
          </cell>
          <cell r="AH12">
            <v>1.0534986331973999</v>
          </cell>
          <cell r="AJ12" t="e">
            <v>#REF!</v>
          </cell>
          <cell r="AK12">
            <v>0.12715225003860173</v>
          </cell>
          <cell r="AL12">
            <v>0</v>
          </cell>
          <cell r="AM12">
            <v>0.65041275742487814</v>
          </cell>
          <cell r="AN12">
            <v>0.68893998305315773</v>
          </cell>
          <cell r="AO12">
            <v>0.59973790614767442</v>
          </cell>
          <cell r="AP12">
            <v>0.67257073690550839</v>
          </cell>
          <cell r="AQ12">
            <v>0.68563365350760319</v>
          </cell>
          <cell r="AR12">
            <v>0.677796461500077</v>
          </cell>
          <cell r="AS12">
            <v>0.66249959847366535</v>
          </cell>
          <cell r="AT12">
            <v>1.1149755411174995</v>
          </cell>
          <cell r="AU12">
            <v>0</v>
          </cell>
          <cell r="AV12">
            <v>0.15060605513271608</v>
          </cell>
          <cell r="AW12">
            <v>0</v>
          </cell>
          <cell r="AX12">
            <v>0.53335939416361522</v>
          </cell>
          <cell r="AY12">
            <v>0.55325683486547672</v>
          </cell>
          <cell r="AZ12">
            <v>0.49956886992009197</v>
          </cell>
          <cell r="BA12">
            <v>0.55161322794439405</v>
          </cell>
          <cell r="BB12">
            <v>0.57821992979195314</v>
          </cell>
          <cell r="BC12">
            <v>0.56820615281060405</v>
          </cell>
          <cell r="BD12">
            <v>0.57540499706560466</v>
          </cell>
        </row>
        <row r="13">
          <cell r="N13">
            <v>0.55739143987723683</v>
          </cell>
          <cell r="O13" t="e">
            <v>#REF!</v>
          </cell>
          <cell r="P13">
            <v>0.41506499806201941</v>
          </cell>
          <cell r="Q13">
            <v>7.983094519684529E-2</v>
          </cell>
          <cell r="R13">
            <v>0.15125654081317874</v>
          </cell>
          <cell r="S13">
            <v>0.17291677948304016</v>
          </cell>
          <cell r="T13">
            <v>0.2101538002610675</v>
          </cell>
          <cell r="U13">
            <v>0.21068241052935827</v>
          </cell>
          <cell r="V13">
            <v>0.27411834014783015</v>
          </cell>
          <cell r="W13">
            <v>0.41538995170405679</v>
          </cell>
          <cell r="Y13">
            <v>0</v>
          </cell>
          <cell r="Z13" t="e">
            <v>#REF!</v>
          </cell>
          <cell r="AA13">
            <v>0</v>
          </cell>
          <cell r="AB13">
            <v>1.1472948663824125</v>
          </cell>
          <cell r="AC13">
            <v>1.1104521537152972</v>
          </cell>
          <cell r="AD13">
            <v>1.1149379409776607</v>
          </cell>
          <cell r="AE13">
            <v>1.1198870925851443</v>
          </cell>
          <cell r="AF13">
            <v>1.1153820841001485</v>
          </cell>
          <cell r="AG13">
            <v>1.0970803056984053</v>
          </cell>
          <cell r="AH13">
            <v>1.0488669277386604</v>
          </cell>
          <cell r="AJ13" t="e">
            <v>#REF!</v>
          </cell>
          <cell r="AK13">
            <v>0.13769666008439838</v>
          </cell>
          <cell r="AL13">
            <v>0</v>
          </cell>
          <cell r="AM13">
            <v>0.48670102888546002</v>
          </cell>
          <cell r="AN13">
            <v>0.65842548097609022</v>
          </cell>
          <cell r="AO13">
            <v>0.57423405513087644</v>
          </cell>
          <cell r="AP13">
            <v>0.69878969409150204</v>
          </cell>
          <cell r="AQ13">
            <v>0.67958934536873439</v>
          </cell>
          <cell r="AR13">
            <v>0.68016325838172886</v>
          </cell>
          <cell r="AS13">
            <v>0.67686584985440601</v>
          </cell>
          <cell r="AT13">
            <v>1.1127237284061842</v>
          </cell>
          <cell r="AU13">
            <v>0</v>
          </cell>
          <cell r="AV13">
            <v>0.16611602839604478</v>
          </cell>
          <cell r="AW13">
            <v>0</v>
          </cell>
          <cell r="AX13">
            <v>0.49379043822363611</v>
          </cell>
          <cell r="AY13">
            <v>0.55384833146795487</v>
          </cell>
          <cell r="AZ13">
            <v>0.50108264587018203</v>
          </cell>
          <cell r="BA13">
            <v>0.56787497207225368</v>
          </cell>
          <cell r="BB13">
            <v>0.58262347856003904</v>
          </cell>
          <cell r="BC13">
            <v>0.58014142616291864</v>
          </cell>
          <cell r="BD13">
            <v>0.60456960741716959</v>
          </cell>
        </row>
        <row r="14">
          <cell r="N14">
            <v>0.54111844039290991</v>
          </cell>
          <cell r="O14" t="e">
            <v>#REF!</v>
          </cell>
          <cell r="P14">
            <v>0.43850241123062539</v>
          </cell>
          <cell r="Q14">
            <v>8.5779487698017409E-2</v>
          </cell>
          <cell r="R14">
            <v>0.16116972521043407</v>
          </cell>
          <cell r="S14">
            <v>0.18850216718431448</v>
          </cell>
          <cell r="T14">
            <v>0.22173567377167669</v>
          </cell>
          <cell r="U14">
            <v>0.22184061473927175</v>
          </cell>
          <cell r="V14">
            <v>0.28341846622910133</v>
          </cell>
          <cell r="W14">
            <v>0.41914492466468417</v>
          </cell>
          <cell r="Y14">
            <v>0</v>
          </cell>
          <cell r="Z14" t="e">
            <v>#REF!</v>
          </cell>
          <cell r="AA14">
            <v>0</v>
          </cell>
          <cell r="AB14">
            <v>0.98976787793074261</v>
          </cell>
          <cell r="AC14">
            <v>1.0233700284683769</v>
          </cell>
          <cell r="AD14">
            <v>1.0435313187909576</v>
          </cell>
          <cell r="AE14">
            <v>1.0166495983608503</v>
          </cell>
          <cell r="AF14">
            <v>1.0211298850992014</v>
          </cell>
          <cell r="AG14">
            <v>0.97632701771568886</v>
          </cell>
          <cell r="AH14">
            <v>0.98080730445404019</v>
          </cell>
          <cell r="AJ14" t="e">
            <v>#REF!</v>
          </cell>
          <cell r="AK14">
            <v>0.13665598487497951</v>
          </cell>
          <cell r="AL14">
            <v>0</v>
          </cell>
          <cell r="AM14">
            <v>0.40052367626483215</v>
          </cell>
          <cell r="AN14">
            <v>0.65679656073696913</v>
          </cell>
          <cell r="AO14">
            <v>0.54408188115797518</v>
          </cell>
          <cell r="AP14">
            <v>0.69200879415263106</v>
          </cell>
          <cell r="AQ14">
            <v>0.69900029492898896</v>
          </cell>
          <cell r="AR14">
            <v>0.66961320971597382</v>
          </cell>
          <cell r="AS14">
            <v>0.69539384241394109</v>
          </cell>
          <cell r="AT14">
            <v>0.9964883080382696</v>
          </cell>
          <cell r="AU14">
            <v>0</v>
          </cell>
          <cell r="AV14">
            <v>0.16459634538451653</v>
          </cell>
          <cell r="AW14">
            <v>0</v>
          </cell>
          <cell r="AX14">
            <v>0.43844846055747544</v>
          </cell>
          <cell r="AY14">
            <v>0.53634202224751271</v>
          </cell>
          <cell r="AZ14">
            <v>0.48259090585592901</v>
          </cell>
          <cell r="BA14">
            <v>0.54741955269962117</v>
          </cell>
          <cell r="BB14">
            <v>0.57141196916811143</v>
          </cell>
          <cell r="BC14">
            <v>0.55323665810327416</v>
          </cell>
          <cell r="BD14">
            <v>0.59972231727530845</v>
          </cell>
        </row>
        <row r="15">
          <cell r="N15"/>
          <cell r="O15"/>
          <cell r="P15"/>
          <cell r="Q15"/>
          <cell r="R15"/>
          <cell r="S15"/>
          <cell r="T15"/>
          <cell r="U15"/>
          <cell r="V15"/>
          <cell r="W15"/>
          <cell r="Y15"/>
          <cell r="Z15"/>
          <cell r="AA15"/>
          <cell r="AB15"/>
          <cell r="AC15"/>
          <cell r="AD15"/>
          <cell r="AE15"/>
          <cell r="AF15"/>
          <cell r="AG15"/>
          <cell r="AH15"/>
          <cell r="AJ15"/>
          <cell r="AK15"/>
          <cell r="AL15"/>
          <cell r="AM15"/>
          <cell r="AN15"/>
          <cell r="AO15"/>
          <cell r="AP15"/>
          <cell r="AQ15"/>
          <cell r="AR15"/>
          <cell r="AS15"/>
          <cell r="AT15"/>
          <cell r="AU15"/>
          <cell r="AV15"/>
          <cell r="AW15"/>
          <cell r="AX15"/>
          <cell r="AY15"/>
          <cell r="AZ15"/>
          <cell r="BA15"/>
          <cell r="BB15"/>
          <cell r="BC15"/>
          <cell r="BD15"/>
        </row>
        <row r="16">
          <cell r="N16">
            <v>0.43431777550863371</v>
          </cell>
          <cell r="O16" t="e">
            <v>#REF!</v>
          </cell>
          <cell r="P16">
            <v>0.44909260107801646</v>
          </cell>
          <cell r="Q16">
            <v>8.3333333333333329E-2</v>
          </cell>
          <cell r="R16">
            <v>0.14694714531033681</v>
          </cell>
          <cell r="S16">
            <v>0.16814819021960303</v>
          </cell>
          <cell r="T16">
            <v>0.21594515318213009</v>
          </cell>
          <cell r="U16">
            <v>0.2122084331100933</v>
          </cell>
          <cell r="V16">
            <v>0.26448098133586145</v>
          </cell>
          <cell r="W16">
            <v>0.37988859902323946</v>
          </cell>
          <cell r="Y16">
            <v>26074.431381273986</v>
          </cell>
          <cell r="Z16" t="e">
            <v>#REF!</v>
          </cell>
          <cell r="AA16">
            <v>0</v>
          </cell>
          <cell r="AB16">
            <v>0.76370726263820932</v>
          </cell>
          <cell r="AC16">
            <v>0.67396393859406012</v>
          </cell>
          <cell r="AD16">
            <v>0.60461580665998671</v>
          </cell>
          <cell r="AE16">
            <v>0.4373420051197181</v>
          </cell>
          <cell r="AF16">
            <v>0.62884423369950393</v>
          </cell>
          <cell r="AG16">
            <v>0.37528444973860736</v>
          </cell>
          <cell r="AH16">
            <v>0.52825657416758398</v>
          </cell>
          <cell r="AJ16" t="e">
            <v>#REF!</v>
          </cell>
          <cell r="AK16">
            <v>8.3333333333333356E-2</v>
          </cell>
          <cell r="AL16">
            <v>0</v>
          </cell>
          <cell r="AM16">
            <v>0.4568628949412793</v>
          </cell>
          <cell r="AN16">
            <v>0.68108408780916574</v>
          </cell>
          <cell r="AO16">
            <v>0.54333636106830019</v>
          </cell>
          <cell r="AP16">
            <v>0.63774514006080363</v>
          </cell>
          <cell r="AQ16">
            <v>0.72881653700162874</v>
          </cell>
          <cell r="AR16">
            <v>0.67076738582361706</v>
          </cell>
          <cell r="AS16">
            <v>0.74195086234949492</v>
          </cell>
          <cell r="AT16">
            <v>0.54469146067546736</v>
          </cell>
          <cell r="AU16">
            <v>100</v>
          </cell>
          <cell r="AV16">
            <v>8.3333333333332912E-2</v>
          </cell>
          <cell r="AW16">
            <v>0</v>
          </cell>
          <cell r="AX16">
            <v>0.37348915509971503</v>
          </cell>
          <cell r="AY16">
            <v>0.43132827229506127</v>
          </cell>
          <cell r="AZ16">
            <v>0.35307325662080724</v>
          </cell>
          <cell r="BA16">
            <v>0.36858782199596651</v>
          </cell>
          <cell r="BB16">
            <v>0.45963107064838993</v>
          </cell>
          <cell r="BC16">
            <v>0.37954965941655039</v>
          </cell>
          <cell r="BD16">
            <v>0.47058467460466957</v>
          </cell>
        </row>
        <row r="17">
          <cell r="N17">
            <v>0.41556474208349992</v>
          </cell>
          <cell r="O17" t="e">
            <v>#REF!</v>
          </cell>
          <cell r="P17">
            <v>0.44666904938031632</v>
          </cell>
          <cell r="Q17">
            <v>8.9281283184253796E-2</v>
          </cell>
          <cell r="R17">
            <v>0.15069301502087321</v>
          </cell>
          <cell r="S17">
            <v>0.15950990652166072</v>
          </cell>
          <cell r="T17">
            <v>0.2164808067663585</v>
          </cell>
          <cell r="U17">
            <v>0.21245298179675606</v>
          </cell>
          <cell r="V17">
            <v>0.25784784707979164</v>
          </cell>
          <cell r="W17">
            <v>0.36462979419503155</v>
          </cell>
          <cell r="Y17">
            <v>25039.100267025853</v>
          </cell>
          <cell r="Z17" t="e">
            <v>#REF!</v>
          </cell>
          <cell r="AA17">
            <v>0</v>
          </cell>
          <cell r="AB17">
            <v>0.80253281652799702</v>
          </cell>
          <cell r="AC17">
            <v>0.62634704655334983</v>
          </cell>
          <cell r="AD17">
            <v>0.58180957014243928</v>
          </cell>
          <cell r="AE17">
            <v>0.43025652425702798</v>
          </cell>
          <cell r="AF17">
            <v>0.57847063650692443</v>
          </cell>
          <cell r="AG17">
            <v>0.38235409178729785</v>
          </cell>
          <cell r="AH17">
            <v>0.59478786043654652</v>
          </cell>
          <cell r="AJ17" t="e">
            <v>#REF!</v>
          </cell>
          <cell r="AK17">
            <v>8.727728123227313E-2</v>
          </cell>
          <cell r="AL17">
            <v>0</v>
          </cell>
          <cell r="AM17">
            <v>0.50788028288605425</v>
          </cell>
          <cell r="AN17">
            <v>0.67191065825071772</v>
          </cell>
          <cell r="AO17">
            <v>0.50563769704931605</v>
          </cell>
          <cell r="AP17">
            <v>0.62294885621442775</v>
          </cell>
          <cell r="AQ17">
            <v>0.6761343636012378</v>
          </cell>
          <cell r="AR17">
            <v>0.67893712323213506</v>
          </cell>
          <cell r="AS17">
            <v>0.77182730418402634</v>
          </cell>
          <cell r="AT17">
            <v>0.51693640159030863</v>
          </cell>
          <cell r="AU17">
            <v>96.029324286658536</v>
          </cell>
          <cell r="AV17">
            <v>8.9584484476404713E-2</v>
          </cell>
          <cell r="AW17">
            <v>0</v>
          </cell>
          <cell r="AX17">
            <v>0.39381654495903584</v>
          </cell>
          <cell r="AY17">
            <v>0.41493832809459952</v>
          </cell>
          <cell r="AZ17">
            <v>0.33934262045069052</v>
          </cell>
          <cell r="BA17">
            <v>0.35865867844484833</v>
          </cell>
          <cell r="BB17">
            <v>0.42966896267951893</v>
          </cell>
          <cell r="BC17">
            <v>0.38569442145421839</v>
          </cell>
          <cell r="BD17">
            <v>0.48573181869844118</v>
          </cell>
        </row>
        <row r="18">
          <cell r="N18">
            <v>0.39295370996555945</v>
          </cell>
          <cell r="O18" t="e">
            <v>#REF!</v>
          </cell>
          <cell r="P18">
            <v>0.40863646553386346</v>
          </cell>
          <cell r="Q18">
            <v>9.5343636488266839E-2</v>
          </cell>
          <cell r="R18">
            <v>0.15852802098089919</v>
          </cell>
          <cell r="S18">
            <v>0.15747883824996931</v>
          </cell>
          <cell r="T18">
            <v>0.22088967051474909</v>
          </cell>
          <cell r="U18">
            <v>0.2175619209276779</v>
          </cell>
          <cell r="V18">
            <v>0.25751829468680792</v>
          </cell>
          <cell r="W18">
            <v>0.37867061401847019</v>
          </cell>
          <cell r="Y18">
            <v>25459.529060227025</v>
          </cell>
          <cell r="Z18" t="e">
            <v>#REF!</v>
          </cell>
          <cell r="AA18">
            <v>0</v>
          </cell>
          <cell r="AB18">
            <v>0.72314072141957308</v>
          </cell>
          <cell r="AC18">
            <v>0.56499044045204982</v>
          </cell>
          <cell r="AD18">
            <v>0.41470967597285679</v>
          </cell>
          <cell r="AE18">
            <v>0.34728614621145687</v>
          </cell>
          <cell r="AF18">
            <v>0.45513008996011106</v>
          </cell>
          <cell r="AG18">
            <v>0.40849025403025552</v>
          </cell>
          <cell r="AH18">
            <v>0.55162691432471977</v>
          </cell>
          <cell r="AJ18" t="e">
            <v>#REF!</v>
          </cell>
          <cell r="AK18">
            <v>0.10046487548502983</v>
          </cell>
          <cell r="AL18">
            <v>0</v>
          </cell>
          <cell r="AM18">
            <v>0.5483827682161313</v>
          </cell>
          <cell r="AN18">
            <v>0.63841711622799213</v>
          </cell>
          <cell r="AO18">
            <v>0.47663442979879422</v>
          </cell>
          <cell r="AP18">
            <v>0.62934684004979324</v>
          </cell>
          <cell r="AQ18">
            <v>0.651117190841771</v>
          </cell>
          <cell r="AR18">
            <v>0.65924542916436057</v>
          </cell>
          <cell r="AS18">
            <v>0.73278453355460926</v>
          </cell>
          <cell r="AT18">
            <v>0.42193516823383936</v>
          </cell>
          <cell r="AU18">
            <v>97.641742164745466</v>
          </cell>
          <cell r="AV18">
            <v>0.11019683925534826</v>
          </cell>
          <cell r="AW18">
            <v>0</v>
          </cell>
          <cell r="AX18">
            <v>0.38764665904897999</v>
          </cell>
          <cell r="AY18">
            <v>0.39371541204931526</v>
          </cell>
          <cell r="AZ18">
            <v>0.29470285010143182</v>
          </cell>
          <cell r="BA18">
            <v>0.34496369301657476</v>
          </cell>
          <cell r="BB18">
            <v>0.39650429165254508</v>
          </cell>
          <cell r="BC18">
            <v>0.38912151140224138</v>
          </cell>
          <cell r="BD18">
            <v>0.46946872553400437</v>
          </cell>
        </row>
        <row r="19">
          <cell r="N19">
            <v>0.40478745770310492</v>
          </cell>
          <cell r="O19" t="e">
            <v>#REF!</v>
          </cell>
          <cell r="P19">
            <v>0.49070670897456781</v>
          </cell>
          <cell r="Q19">
            <v>9.8130122079731569E-2</v>
          </cell>
          <cell r="R19">
            <v>0.16912524089520367</v>
          </cell>
          <cell r="S19">
            <v>0.15763619612798596</v>
          </cell>
          <cell r="T19">
            <v>0.22572076755564693</v>
          </cell>
          <cell r="U19">
            <v>0.22276462275326292</v>
          </cell>
          <cell r="V19">
            <v>0.26329311388363041</v>
          </cell>
          <cell r="W19">
            <v>0.39732114743277031</v>
          </cell>
          <cell r="Y19">
            <v>26682.309719472061</v>
          </cell>
          <cell r="Z19" t="e">
            <v>#REF!</v>
          </cell>
          <cell r="AA19">
            <v>0</v>
          </cell>
          <cell r="AB19">
            <v>0.71394373366570862</v>
          </cell>
          <cell r="AC19">
            <v>0.61273890617117044</v>
          </cell>
          <cell r="AD19">
            <v>0.55635490277402977</v>
          </cell>
          <cell r="AE19">
            <v>0.31989902730134223</v>
          </cell>
          <cell r="AF19">
            <v>0.52834075853999196</v>
          </cell>
          <cell r="AG19">
            <v>0.40299713543102494</v>
          </cell>
          <cell r="AH19">
            <v>0.54480181245246928</v>
          </cell>
          <cell r="AJ19" t="e">
            <v>#REF!</v>
          </cell>
          <cell r="AK19">
            <v>0.12962642943497843</v>
          </cell>
          <cell r="AL19">
            <v>0</v>
          </cell>
          <cell r="AM19">
            <v>0.59313629232483978</v>
          </cell>
          <cell r="AN19">
            <v>0.61153678556246838</v>
          </cell>
          <cell r="AO19">
            <v>0.50724218764286844</v>
          </cell>
          <cell r="AP19">
            <v>0.65073572413537839</v>
          </cell>
          <cell r="AQ19">
            <v>0.66174826135287945</v>
          </cell>
          <cell r="AR19">
            <v>0.69133962402805793</v>
          </cell>
          <cell r="AS19">
            <v>0.70912274189155311</v>
          </cell>
          <cell r="AT19">
            <v>0.43870225637785498</v>
          </cell>
          <cell r="AU19">
            <v>102.33131963381811</v>
          </cell>
          <cell r="AV19">
            <v>0.1542678737160306</v>
          </cell>
          <cell r="AW19">
            <v>0</v>
          </cell>
          <cell r="AX19">
            <v>0.40524468628295518</v>
          </cell>
          <cell r="AY19">
            <v>0.4115821245488851</v>
          </cell>
          <cell r="AZ19">
            <v>0.34487449673690151</v>
          </cell>
          <cell r="BA19">
            <v>0.35136747544291419</v>
          </cell>
          <cell r="BB19">
            <v>0.42375662124065916</v>
          </cell>
          <cell r="BC19">
            <v>0.40884898957203319</v>
          </cell>
          <cell r="BD19">
            <v>0.46803476489121737</v>
          </cell>
        </row>
        <row r="20">
          <cell r="N20">
            <v>0.4228864089349712</v>
          </cell>
          <cell r="O20" t="e">
            <v>#REF!</v>
          </cell>
          <cell r="P20">
            <v>0.49999542088500337</v>
          </cell>
          <cell r="Q20">
            <v>0.10146504219344224</v>
          </cell>
          <cell r="R20">
            <v>0.16744829957191457</v>
          </cell>
          <cell r="S20">
            <v>0.15475342056003716</v>
          </cell>
          <cell r="T20">
            <v>0.22651504380879697</v>
          </cell>
          <cell r="U20">
            <v>0.2234500731430035</v>
          </cell>
          <cell r="V20">
            <v>0.25759476946077231</v>
          </cell>
          <cell r="W20">
            <v>0.38818477818707164</v>
          </cell>
          <cell r="Y20">
            <v>27721.891287210416</v>
          </cell>
          <cell r="Z20" t="e">
            <v>#REF!</v>
          </cell>
          <cell r="AA20">
            <v>0</v>
          </cell>
          <cell r="AB20">
            <v>0.79462545708262988</v>
          </cell>
          <cell r="AC20">
            <v>0.61429580914748905</v>
          </cell>
          <cell r="AD20">
            <v>0.66942582164628051</v>
          </cell>
          <cell r="AE20">
            <v>0.41119680960025085</v>
          </cell>
          <cell r="AF20">
            <v>0.57950672199838171</v>
          </cell>
          <cell r="AG20">
            <v>0.45439670371737317</v>
          </cell>
          <cell r="AH20">
            <v>0.44069264310934403</v>
          </cell>
          <cell r="AJ20" t="e">
            <v>#REF!</v>
          </cell>
          <cell r="AK20">
            <v>0.15660767207796997</v>
          </cell>
          <cell r="AL20">
            <v>0</v>
          </cell>
          <cell r="AM20">
            <v>0.56988895101527337</v>
          </cell>
          <cell r="AN20">
            <v>0.59926794824119178</v>
          </cell>
          <cell r="AO20">
            <v>0.52578499530494893</v>
          </cell>
          <cell r="AP20">
            <v>0.64023770313424355</v>
          </cell>
          <cell r="AQ20">
            <v>0.68015353037978699</v>
          </cell>
          <cell r="AR20">
            <v>0.67573161011632377</v>
          </cell>
          <cell r="AS20">
            <v>0.68568815456272536</v>
          </cell>
          <cell r="AT20">
            <v>0.48235518471361249</v>
          </cell>
          <cell r="AU20">
            <v>106.31829657892212</v>
          </cell>
          <cell r="AV20">
            <v>0.19332166865227482</v>
          </cell>
          <cell r="AW20">
            <v>0</v>
          </cell>
          <cell r="AX20">
            <v>0.42290420259148148</v>
          </cell>
          <cell r="AY20">
            <v>0.4163851073142199</v>
          </cell>
          <cell r="AZ20">
            <v>0.38732735475156765</v>
          </cell>
          <cell r="BA20">
            <v>0.37951308145846946</v>
          </cell>
          <cell r="BB20">
            <v>0.44817059592781117</v>
          </cell>
          <cell r="BC20">
            <v>0.42476444914935713</v>
          </cell>
          <cell r="BD20">
            <v>0.435189064385192</v>
          </cell>
        </row>
        <row r="21">
          <cell r="N21">
            <v>0.42916649559662734</v>
          </cell>
          <cell r="O21" t="e">
            <v>#REF!</v>
          </cell>
          <cell r="P21">
            <v>0.56534231316203654</v>
          </cell>
          <cell r="Q21">
            <v>0.10438293491777959</v>
          </cell>
          <cell r="R21">
            <v>0.16818875949711412</v>
          </cell>
          <cell r="S21">
            <v>0.15835273718361748</v>
          </cell>
          <cell r="T21">
            <v>0.2317556407322536</v>
          </cell>
          <cell r="U21">
            <v>0.22626099276939704</v>
          </cell>
          <cell r="V21">
            <v>0.25907549287258425</v>
          </cell>
          <cell r="W21">
            <v>0.35115528635693849</v>
          </cell>
          <cell r="Y21">
            <v>28093.5293884083</v>
          </cell>
          <cell r="Z21" t="e">
            <v>#REF!</v>
          </cell>
          <cell r="AA21">
            <v>0</v>
          </cell>
          <cell r="AB21">
            <v>0.87751942197041566</v>
          </cell>
          <cell r="AC21">
            <v>0.65114500673445397</v>
          </cell>
          <cell r="AD21">
            <v>0.70485609020660078</v>
          </cell>
          <cell r="AE21">
            <v>0.39753442159779784</v>
          </cell>
          <cell r="AF21">
            <v>0.6102594466536263</v>
          </cell>
          <cell r="AG21">
            <v>0.48402916013767039</v>
          </cell>
          <cell r="AH21">
            <v>0.46607527356412559</v>
          </cell>
          <cell r="AJ21" t="e">
            <v>#REF!</v>
          </cell>
          <cell r="AK21">
            <v>0.18923124890208307</v>
          </cell>
          <cell r="AL21">
            <v>0</v>
          </cell>
          <cell r="AM21">
            <v>0.60510317816866099</v>
          </cell>
          <cell r="AN21">
            <v>0.55280143273966531</v>
          </cell>
          <cell r="AO21">
            <v>0.53692264988743288</v>
          </cell>
          <cell r="AP21">
            <v>0.62292993777264249</v>
          </cell>
          <cell r="AQ21">
            <v>0.68462934012047061</v>
          </cell>
          <cell r="AR21">
            <v>0.63471008452956179</v>
          </cell>
          <cell r="AS21">
            <v>0.64945388523046832</v>
          </cell>
          <cell r="AT21">
            <v>0.51002979275189742</v>
          </cell>
          <cell r="AU21">
            <v>107.74359362860115</v>
          </cell>
          <cell r="AV21">
            <v>0.23851966036040217</v>
          </cell>
          <cell r="AW21">
            <v>0</v>
          </cell>
          <cell r="AX21">
            <v>0.454731849107891</v>
          </cell>
          <cell r="AY21">
            <v>0.4206906297030934</v>
          </cell>
          <cell r="AZ21">
            <v>0.40867438284202845</v>
          </cell>
          <cell r="BA21">
            <v>0.37992990046110697</v>
          </cell>
          <cell r="BB21">
            <v>0.4634337332170011</v>
          </cell>
          <cell r="BC21">
            <v>0.42980651000295567</v>
          </cell>
          <cell r="BD21">
            <v>0.42871119678865088</v>
          </cell>
        </row>
        <row r="22">
          <cell r="N22">
            <v>0.43721869020108106</v>
          </cell>
          <cell r="O22" t="e">
            <v>#REF!</v>
          </cell>
          <cell r="P22">
            <v>0.54013064508574682</v>
          </cell>
          <cell r="Q22">
            <v>0.1042514675310474</v>
          </cell>
          <cell r="R22">
            <v>0.17973446813747457</v>
          </cell>
          <cell r="S22">
            <v>0.17727589775246141</v>
          </cell>
          <cell r="T22">
            <v>0.24014402635822443</v>
          </cell>
          <cell r="U22">
            <v>0.23703809698685283</v>
          </cell>
          <cell r="V22">
            <v>0.26719447727865059</v>
          </cell>
          <cell r="W22">
            <v>0.38536243238037848</v>
          </cell>
          <cell r="Y22">
            <v>28912.453245355835</v>
          </cell>
          <cell r="Z22" t="e">
            <v>#REF!</v>
          </cell>
          <cell r="AA22">
            <v>0</v>
          </cell>
          <cell r="AB22">
            <v>0.81919448366565395</v>
          </cell>
          <cell r="AC22">
            <v>0.66076700675870825</v>
          </cell>
          <cell r="AD22">
            <v>0.64391440195860694</v>
          </cell>
          <cell r="AE22">
            <v>0.4186666664217471</v>
          </cell>
          <cell r="AF22">
            <v>0.63822175359486</v>
          </cell>
          <cell r="AG22">
            <v>0.43623920485323431</v>
          </cell>
          <cell r="AH22">
            <v>0.58652526516403414</v>
          </cell>
          <cell r="AJ22" t="e">
            <v>#REF!</v>
          </cell>
          <cell r="AK22">
            <v>0.20767450808859586</v>
          </cell>
          <cell r="AL22">
            <v>0</v>
          </cell>
          <cell r="AM22">
            <v>0.58352383758980886</v>
          </cell>
          <cell r="AN22">
            <v>0.57200642367880961</v>
          </cell>
          <cell r="AO22">
            <v>0.51493100227960953</v>
          </cell>
          <cell r="AP22">
            <v>0.62690632477915098</v>
          </cell>
          <cell r="AQ22">
            <v>0.68330433760877629</v>
          </cell>
          <cell r="AR22">
            <v>0.65793999168421069</v>
          </cell>
          <cell r="AS22">
            <v>0.6077994330969444</v>
          </cell>
          <cell r="AT22">
            <v>0.51580076402779018</v>
          </cell>
          <cell r="AU22">
            <v>110.88430970011507</v>
          </cell>
          <cell r="AV22">
            <v>0.26316302579291079</v>
          </cell>
          <cell r="AW22">
            <v>0</v>
          </cell>
          <cell r="AX22">
            <v>0.4462247308130402</v>
          </cell>
          <cell r="AY22">
            <v>0.43736824961112503</v>
          </cell>
          <cell r="AZ22">
            <v>0.3984630133383299</v>
          </cell>
          <cell r="BA22">
            <v>0.39136944393835449</v>
          </cell>
          <cell r="BB22">
            <v>0.48081273720554296</v>
          </cell>
          <cell r="BC22">
            <v>0.42851551635647944</v>
          </cell>
          <cell r="BD22">
            <v>0.46035955263210149</v>
          </cell>
        </row>
        <row r="23">
          <cell r="N23">
            <v>0.46600470813177763</v>
          </cell>
          <cell r="O23" t="e">
            <v>#REF!</v>
          </cell>
          <cell r="P23">
            <v>0.58920366791979761</v>
          </cell>
          <cell r="Q23">
            <v>0.11466134059851472</v>
          </cell>
          <cell r="R23">
            <v>0.19253939867773007</v>
          </cell>
          <cell r="S23">
            <v>0.20489493548366591</v>
          </cell>
          <cell r="T23">
            <v>0.25554785228246196</v>
          </cell>
          <cell r="U23">
            <v>0.25277616775937939</v>
          </cell>
          <cell r="V23">
            <v>0.27999538298860749</v>
          </cell>
          <cell r="W23">
            <v>0.40534069633893627</v>
          </cell>
          <cell r="Y23">
            <v>29952.47221435851</v>
          </cell>
          <cell r="Z23" t="e">
            <v>#REF!</v>
          </cell>
          <cell r="AA23">
            <v>0</v>
          </cell>
          <cell r="AB23">
            <v>0.87538448154164183</v>
          </cell>
          <cell r="AC23">
            <v>0.69941327383896379</v>
          </cell>
          <cell r="AD23">
            <v>0.756860473491486</v>
          </cell>
          <cell r="AE23">
            <v>0.44660163553559257</v>
          </cell>
          <cell r="AF23">
            <v>0.65245975045254279</v>
          </cell>
          <cell r="AG23">
            <v>0.46322135506965501</v>
          </cell>
          <cell r="AH23">
            <v>0.5925452023190918</v>
          </cell>
          <cell r="AJ23" t="e">
            <v>#REF!</v>
          </cell>
          <cell r="AK23">
            <v>0.24422675498068758</v>
          </cell>
          <cell r="AL23">
            <v>0</v>
          </cell>
          <cell r="AM23">
            <v>0.60869710174597746</v>
          </cell>
          <cell r="AN23">
            <v>0.62969478402386569</v>
          </cell>
          <cell r="AO23">
            <v>0.56442713423580204</v>
          </cell>
          <cell r="AP23">
            <v>0.649844257784152</v>
          </cell>
          <cell r="AQ23">
            <v>0.69897424810484032</v>
          </cell>
          <cell r="AR23">
            <v>0.69683161837807284</v>
          </cell>
          <cell r="AS23">
            <v>0.6557745166316441</v>
          </cell>
          <cell r="AT23">
            <v>0.56180182926037636</v>
          </cell>
          <cell r="AU23">
            <v>114.87296415548927</v>
          </cell>
          <cell r="AV23">
            <v>0.3102145544002603</v>
          </cell>
          <cell r="AW23">
            <v>0</v>
          </cell>
          <cell r="AX23">
            <v>0.48031324133581804</v>
          </cell>
          <cell r="AY23">
            <v>0.47188505190069097</v>
          </cell>
          <cell r="AZ23">
            <v>0.45077994349472333</v>
          </cell>
          <cell r="BA23">
            <v>0.41474785505489176</v>
          </cell>
          <cell r="BB23">
            <v>0.50011086987588016</v>
          </cell>
          <cell r="BC23">
            <v>0.45013657821070485</v>
          </cell>
          <cell r="BD23">
            <v>0.48093774731583461</v>
          </cell>
        </row>
        <row r="24">
          <cell r="N24">
            <v>0.48662893148141484</v>
          </cell>
          <cell r="O24" t="e">
            <v>#REF!</v>
          </cell>
          <cell r="P24">
            <v>0.62987578743449901</v>
          </cell>
          <cell r="Q24">
            <v>0.12055287019487501</v>
          </cell>
          <cell r="R24">
            <v>0.20050429636316444</v>
          </cell>
          <cell r="S24">
            <v>0.22051224186835261</v>
          </cell>
          <cell r="T24">
            <v>0.25947355555640561</v>
          </cell>
          <cell r="U24">
            <v>0.25661645261972105</v>
          </cell>
          <cell r="V24">
            <v>0.28595596673529911</v>
          </cell>
          <cell r="W24">
            <v>0.42029453298451785</v>
          </cell>
          <cell r="Y24">
            <v>30216.928873625016</v>
          </cell>
          <cell r="Z24" t="e">
            <v>#REF!</v>
          </cell>
          <cell r="AA24">
            <v>0</v>
          </cell>
          <cell r="AB24">
            <v>0.80552291489324812</v>
          </cell>
          <cell r="AC24">
            <v>0.71817922541579537</v>
          </cell>
          <cell r="AD24">
            <v>0.74680434174354182</v>
          </cell>
          <cell r="AE24">
            <v>0.54106004388378937</v>
          </cell>
          <cell r="AF24">
            <v>0.69504040079145313</v>
          </cell>
          <cell r="AG24">
            <v>0.54213605440841128</v>
          </cell>
          <cell r="AH24">
            <v>0.58378076991681405</v>
          </cell>
          <cell r="AJ24" t="e">
            <v>#REF!</v>
          </cell>
          <cell r="AK24">
            <v>0.2599317559806773</v>
          </cell>
          <cell r="AL24">
            <v>0</v>
          </cell>
          <cell r="AM24">
            <v>0.55573867306733149</v>
          </cell>
          <cell r="AN24">
            <v>0.62515216568241627</v>
          </cell>
          <cell r="AO24">
            <v>0.5872708993522906</v>
          </cell>
          <cell r="AP24">
            <v>0.64040666455676154</v>
          </cell>
          <cell r="AQ24">
            <v>0.71886031889441981</v>
          </cell>
          <cell r="AR24">
            <v>0.70081786089359133</v>
          </cell>
          <cell r="AS24">
            <v>0.6349639698241798</v>
          </cell>
          <cell r="AT24">
            <v>0.60413115597439804</v>
          </cell>
          <cell r="AU24">
            <v>115.88720164891524</v>
          </cell>
          <cell r="AV24">
            <v>0.329745141832894</v>
          </cell>
          <cell r="AW24">
            <v>0</v>
          </cell>
          <cell r="AX24">
            <v>0.45853415457752095</v>
          </cell>
          <cell r="AY24">
            <v>0.48198465296567172</v>
          </cell>
          <cell r="AZ24">
            <v>0.45910435943506839</v>
          </cell>
          <cell r="BA24">
            <v>0.44076279468820667</v>
          </cell>
          <cell r="BB24">
            <v>0.52276137965268688</v>
          </cell>
          <cell r="BC24">
            <v>0.47727133459972382</v>
          </cell>
          <cell r="BD24">
            <v>0.48444611377747171</v>
          </cell>
        </row>
        <row r="25">
          <cell r="N25">
            <v>0.46724890649787587</v>
          </cell>
          <cell r="O25" t="e">
            <v>#REF!</v>
          </cell>
          <cell r="P25">
            <v>0.57719324388832272</v>
          </cell>
          <cell r="Q25">
            <v>0.14178150716007895</v>
          </cell>
          <cell r="R25">
            <v>0.22021825778367982</v>
          </cell>
          <cell r="S25">
            <v>0.23993783618046804</v>
          </cell>
          <cell r="T25">
            <v>0.27372775552575829</v>
          </cell>
          <cell r="U25">
            <v>0.26881748522463411</v>
          </cell>
          <cell r="V25">
            <v>0.29991287208218559</v>
          </cell>
          <cell r="W25">
            <v>0.4267035170552419</v>
          </cell>
          <cell r="Y25">
            <v>29798.228034550051</v>
          </cell>
          <cell r="Z25" t="e">
            <v>#REF!</v>
          </cell>
          <cell r="AA25">
            <v>0</v>
          </cell>
          <cell r="AB25">
            <v>0.88306451612903225</v>
          </cell>
          <cell r="AC25">
            <v>0.74357002522358973</v>
          </cell>
          <cell r="AD25">
            <v>0.72244607002858452</v>
          </cell>
          <cell r="AE25">
            <v>0.40888814798163442</v>
          </cell>
          <cell r="AF25">
            <v>0.6145834548368232</v>
          </cell>
          <cell r="AG25">
            <v>0.45617212785889405</v>
          </cell>
          <cell r="AH25">
            <v>0.47457714104738652</v>
          </cell>
          <cell r="AJ25" t="e">
            <v>#REF!</v>
          </cell>
          <cell r="AK25">
            <v>0.2575997335084601</v>
          </cell>
          <cell r="AL25">
            <v>0</v>
          </cell>
          <cell r="AM25">
            <v>0.56486308792732565</v>
          </cell>
          <cell r="AN25">
            <v>0.61037712537806654</v>
          </cell>
          <cell r="AO25">
            <v>0.56033470738578162</v>
          </cell>
          <cell r="AP25">
            <v>0.62916892422008086</v>
          </cell>
          <cell r="AQ25">
            <v>0.68722074167091995</v>
          </cell>
          <cell r="AR25">
            <v>0.67595769491227631</v>
          </cell>
          <cell r="AS25">
            <v>0.63926536796021305</v>
          </cell>
          <cell r="AT25">
            <v>0.51006822233299076</v>
          </cell>
          <cell r="AU25">
            <v>114.28141077680569</v>
          </cell>
          <cell r="AV25">
            <v>0.32686999124711413</v>
          </cell>
          <cell r="AW25">
            <v>0</v>
          </cell>
          <cell r="AX25">
            <v>0.49122917815262956</v>
          </cell>
          <cell r="AY25">
            <v>0.49266681780401861</v>
          </cell>
          <cell r="AZ25">
            <v>0.45441908705003309</v>
          </cell>
          <cell r="BA25">
            <v>0.41073006559978426</v>
          </cell>
          <cell r="BB25">
            <v>0.50154210697976964</v>
          </cell>
          <cell r="BC25">
            <v>0.45629392809856767</v>
          </cell>
          <cell r="BD25">
            <v>0.46478566887187323</v>
          </cell>
        </row>
        <row r="26">
          <cell r="N26">
            <v>0.43708777453122211</v>
          </cell>
          <cell r="O26" t="e">
            <v>#REF!</v>
          </cell>
          <cell r="P26">
            <v>0.56699870848109613</v>
          </cell>
          <cell r="Q26">
            <v>0.14916658002738842</v>
          </cell>
          <cell r="R26">
            <v>0.21775641692878309</v>
          </cell>
          <cell r="S26">
            <v>0.23422152335117968</v>
          </cell>
          <cell r="T26">
            <v>0.27266689061637583</v>
          </cell>
          <cell r="U26">
            <v>0.26920992435857438</v>
          </cell>
          <cell r="V26">
            <v>0.29739454285352973</v>
          </cell>
          <cell r="W26">
            <v>0.39898955340758119</v>
          </cell>
          <cell r="Y26">
            <v>28826.325742054458</v>
          </cell>
          <cell r="Z26" t="e">
            <v>#REF!</v>
          </cell>
          <cell r="AA26">
            <v>0</v>
          </cell>
          <cell r="AB26">
            <v>0.74339816466927899</v>
          </cell>
          <cell r="AC26">
            <v>0.70139030400623703</v>
          </cell>
          <cell r="AD26">
            <v>0.66494981862449032</v>
          </cell>
          <cell r="AE26">
            <v>0.29760756972628288</v>
          </cell>
          <cell r="AF26">
            <v>0.52721026701345808</v>
          </cell>
          <cell r="AG26">
            <v>0.35988086711032119</v>
          </cell>
          <cell r="AH26">
            <v>0.44458901631353209</v>
          </cell>
          <cell r="AJ26" t="e">
            <v>#REF!</v>
          </cell>
          <cell r="AK26">
            <v>0.24933751153747211</v>
          </cell>
          <cell r="AL26">
            <v>0</v>
          </cell>
          <cell r="AM26">
            <v>0.51516682077037623</v>
          </cell>
          <cell r="AN26">
            <v>0.59802733156242083</v>
          </cell>
          <cell r="AO26">
            <v>0.55494145574343956</v>
          </cell>
          <cell r="AP26">
            <v>0.61375781596157897</v>
          </cell>
          <cell r="AQ26">
            <v>0.62575198232087548</v>
          </cell>
          <cell r="AR26">
            <v>0.66313501302195743</v>
          </cell>
          <cell r="AS26">
            <v>0.62722166262316315</v>
          </cell>
          <cell r="AT26">
            <v>0.42777562711554251</v>
          </cell>
          <cell r="AU26">
            <v>110.55399567699418</v>
          </cell>
          <cell r="AV26">
            <v>0.31661383340261129</v>
          </cell>
          <cell r="AW26">
            <v>0</v>
          </cell>
          <cell r="AX26">
            <v>0.44515271484887364</v>
          </cell>
          <cell r="AY26">
            <v>0.4785377565547152</v>
          </cell>
          <cell r="AZ26">
            <v>0.43618256796880484</v>
          </cell>
          <cell r="BA26">
            <v>0.37769898498528592</v>
          </cell>
          <cell r="BB26">
            <v>0.46718885684249967</v>
          </cell>
          <cell r="BC26">
            <v>0.42747790558753185</v>
          </cell>
          <cell r="BD26">
            <v>0.4458546638267864</v>
          </cell>
        </row>
        <row r="27">
          <cell r="N27">
            <v>0.43855923425665522</v>
          </cell>
          <cell r="O27" t="e">
            <v>#REF!</v>
          </cell>
          <cell r="P27">
            <v>0.50873485431004051</v>
          </cell>
          <cell r="Q27">
            <v>0.15693930678906781</v>
          </cell>
          <cell r="R27">
            <v>0.21034517203092301</v>
          </cell>
          <cell r="S27">
            <v>0.22597256320584877</v>
          </cell>
          <cell r="T27">
            <v>0.27320660524641727</v>
          </cell>
          <cell r="U27">
            <v>0.26739968273696751</v>
          </cell>
          <cell r="V27">
            <v>0.2954967331752747</v>
          </cell>
          <cell r="W27">
            <v>0.4001864807185162</v>
          </cell>
          <cell r="Y27">
            <v>28742.457051606529</v>
          </cell>
          <cell r="Z27" t="e">
            <v>#REF!</v>
          </cell>
          <cell r="AA27">
            <v>0</v>
          </cell>
          <cell r="AB27">
            <v>0.81791412643747397</v>
          </cell>
          <cell r="AC27">
            <v>0.65879065592209762</v>
          </cell>
          <cell r="AD27">
            <v>0.6468223785874011</v>
          </cell>
          <cell r="AE27">
            <v>0.37082172819868503</v>
          </cell>
          <cell r="AF27">
            <v>0.55453117891382908</v>
          </cell>
          <cell r="AG27">
            <v>0.29062988741008972</v>
          </cell>
          <cell r="AH27">
            <v>0.42254542478743318</v>
          </cell>
          <cell r="AJ27" t="e">
            <v>#REF!</v>
          </cell>
          <cell r="AK27">
            <v>0.25984120390422522</v>
          </cell>
          <cell r="AL27">
            <v>0</v>
          </cell>
          <cell r="AM27">
            <v>0.49275541547782831</v>
          </cell>
          <cell r="AN27">
            <v>0.56499024153236332</v>
          </cell>
          <cell r="AO27">
            <v>0.51822556789381213</v>
          </cell>
          <cell r="AP27">
            <v>0.58601714002726568</v>
          </cell>
          <cell r="AQ27">
            <v>0.61626330990631417</v>
          </cell>
          <cell r="AR27">
            <v>0.63744792757425695</v>
          </cell>
          <cell r="AS27">
            <v>0.60008239927203699</v>
          </cell>
          <cell r="AT27">
            <v>0.4330192290850241</v>
          </cell>
          <cell r="AU27">
            <v>110.23234459581985</v>
          </cell>
          <cell r="AV27">
            <v>0.32963366026372487</v>
          </cell>
          <cell r="AW27">
            <v>0</v>
          </cell>
          <cell r="AX27">
            <v>0.47207872790769834</v>
          </cell>
          <cell r="AY27">
            <v>0.46582372921614867</v>
          </cell>
          <cell r="AZ27">
            <v>0.42315059878405448</v>
          </cell>
          <cell r="BA27">
            <v>0.39455236829292972</v>
          </cell>
          <cell r="BB27">
            <v>0.47834782474190723</v>
          </cell>
          <cell r="BC27">
            <v>0.40696397846593846</v>
          </cell>
          <cell r="BD27">
            <v>0.43598750701897787</v>
          </cell>
        </row>
        <row r="28">
          <cell r="N28">
            <v>0.42768449997656349</v>
          </cell>
          <cell r="O28" t="e">
            <v>#REF!</v>
          </cell>
          <cell r="P28">
            <v>0.52651099572485915</v>
          </cell>
          <cell r="Q28">
            <v>0.16682997876727332</v>
          </cell>
          <cell r="R28">
            <v>0.2071308278811716</v>
          </cell>
          <cell r="S28">
            <v>0.21625139910973568</v>
          </cell>
          <cell r="T28">
            <v>0.27218671962210655</v>
          </cell>
          <cell r="U28">
            <v>0.26448476911998969</v>
          </cell>
          <cell r="V28">
            <v>0.29130089587010916</v>
          </cell>
          <cell r="W28">
            <v>0.38734510770400188</v>
          </cell>
          <cell r="Y28">
            <v>29072.109692259877</v>
          </cell>
          <cell r="Z28" t="e">
            <v>#REF!</v>
          </cell>
          <cell r="AA28">
            <v>0</v>
          </cell>
          <cell r="AB28">
            <v>0.88138815738874532</v>
          </cell>
          <cell r="AC28">
            <v>0.66352125063837253</v>
          </cell>
          <cell r="AD28">
            <v>0.61215957396844889</v>
          </cell>
          <cell r="AE28">
            <v>0.28505878290515257</v>
          </cell>
          <cell r="AF28">
            <v>0.49990616332391424</v>
          </cell>
          <cell r="AG28">
            <v>0.32731791078661998</v>
          </cell>
          <cell r="AH28">
            <v>0.47146585185287704</v>
          </cell>
          <cell r="AJ28" t="e">
            <v>#REF!</v>
          </cell>
          <cell r="AK28">
            <v>0.25866385252043345</v>
          </cell>
          <cell r="AL28">
            <v>0</v>
          </cell>
          <cell r="AM28">
            <v>0.51511171953227108</v>
          </cell>
          <cell r="AN28">
            <v>0.53143511309907987</v>
          </cell>
          <cell r="AO28">
            <v>0.53457129971351303</v>
          </cell>
          <cell r="AP28">
            <v>0.56061441855364824</v>
          </cell>
          <cell r="AQ28">
            <v>0.59401081859440863</v>
          </cell>
          <cell r="AR28">
            <v>0.62788218332562962</v>
          </cell>
          <cell r="AS28">
            <v>0.58711682359984962</v>
          </cell>
          <cell r="AT28">
            <v>0.39438851039997214</v>
          </cell>
          <cell r="AU28">
            <v>111.4966200687266</v>
          </cell>
          <cell r="AV28">
            <v>0.32818300884179408</v>
          </cell>
          <cell r="AW28">
            <v>0</v>
          </cell>
          <cell r="AX28">
            <v>0.46403113095743775</v>
          </cell>
          <cell r="AY28">
            <v>0.4627154906528651</v>
          </cell>
          <cell r="AZ28">
            <v>0.41978543537229462</v>
          </cell>
          <cell r="BA28">
            <v>0.36830687860711497</v>
          </cell>
          <cell r="BB28">
            <v>0.46002372763724708</v>
          </cell>
          <cell r="BC28">
            <v>0.41401530225073963</v>
          </cell>
          <cell r="BD28">
            <v>0.44503050645479192</v>
          </cell>
        </row>
        <row r="29">
          <cell r="N29">
            <v>0.43697908877899738</v>
          </cell>
          <cell r="O29" t="e">
            <v>#REF!</v>
          </cell>
          <cell r="P29">
            <v>0.50186027945703438</v>
          </cell>
          <cell r="Q29">
            <v>0.17050303556058374</v>
          </cell>
          <cell r="R29">
            <v>0.20840665371239739</v>
          </cell>
          <cell r="S29">
            <v>0.2220218171656799</v>
          </cell>
          <cell r="T29">
            <v>0.27809220765069997</v>
          </cell>
          <cell r="U29">
            <v>0.26932075937103961</v>
          </cell>
          <cell r="V29">
            <v>0.29608557787068956</v>
          </cell>
          <cell r="W29">
            <v>0.41565822386123658</v>
          </cell>
          <cell r="Y29">
            <v>30137.437510798991</v>
          </cell>
          <cell r="Z29" t="e">
            <v>#REF!</v>
          </cell>
          <cell r="AA29">
            <v>0</v>
          </cell>
          <cell r="AB29">
            <v>0.86027209736536858</v>
          </cell>
          <cell r="AC29">
            <v>0.54942425404280959</v>
          </cell>
          <cell r="AD29">
            <v>0.58582078749596389</v>
          </cell>
          <cell r="AE29">
            <v>0.27364082396373574</v>
          </cell>
          <cell r="AF29">
            <v>0.51056295947623342</v>
          </cell>
          <cell r="AG29">
            <v>0.32756526857901058</v>
          </cell>
          <cell r="AH29">
            <v>0.51215799249758576</v>
          </cell>
          <cell r="AJ29" t="e">
            <v>#REF!</v>
          </cell>
          <cell r="AK29">
            <v>0.26760035628323053</v>
          </cell>
          <cell r="AL29">
            <v>0</v>
          </cell>
          <cell r="AM29">
            <v>0.48203343263077919</v>
          </cell>
          <cell r="AN29">
            <v>0.54027809061382059</v>
          </cell>
          <cell r="AO29">
            <v>0.52753598749326724</v>
          </cell>
          <cell r="AP29">
            <v>0.57511021508726956</v>
          </cell>
          <cell r="AQ29">
            <v>0.59322012484396336</v>
          </cell>
          <cell r="AR29">
            <v>0.61270584650647797</v>
          </cell>
          <cell r="AS29">
            <v>0.57388349796766769</v>
          </cell>
          <cell r="AT29">
            <v>0.40880436906528628</v>
          </cell>
          <cell r="AU29">
            <v>115.58233838396552</v>
          </cell>
          <cell r="AV29">
            <v>0.33913966814914193</v>
          </cell>
          <cell r="AW29">
            <v>0</v>
          </cell>
          <cell r="AX29">
            <v>0.45482573891869382</v>
          </cell>
          <cell r="AY29">
            <v>0.43658877446156585</v>
          </cell>
          <cell r="AZ29">
            <v>0.41469149926741533</v>
          </cell>
          <cell r="BA29">
            <v>0.37527175921024924</v>
          </cell>
          <cell r="BB29">
            <v>0.46912544143100832</v>
          </cell>
          <cell r="BC29">
            <v>0.41514337155810366</v>
          </cell>
          <cell r="BD29">
            <v>0.46113592630875161</v>
          </cell>
        </row>
        <row r="30">
          <cell r="N30">
            <v>0.43735180756935788</v>
          </cell>
          <cell r="O30" t="e">
            <v>#REF!</v>
          </cell>
          <cell r="P30">
            <v>0.50537078402873337</v>
          </cell>
          <cell r="Q30">
            <v>0.17902527982478927</v>
          </cell>
          <cell r="R30">
            <v>0.22020052659258094</v>
          </cell>
          <cell r="S30">
            <v>0.25037446623258164</v>
          </cell>
          <cell r="T30">
            <v>0.29482720605371121</v>
          </cell>
          <cell r="U30">
            <v>0.27629980735926479</v>
          </cell>
          <cell r="V30">
            <v>0.30635834900822306</v>
          </cell>
          <cell r="W30">
            <v>0.43894164695940369</v>
          </cell>
          <cell r="Y30">
            <v>30662.315965575126</v>
          </cell>
          <cell r="Z30" t="e">
            <v>#REF!</v>
          </cell>
          <cell r="AA30">
            <v>0</v>
          </cell>
          <cell r="AB30">
            <v>0.75272110075053178</v>
          </cell>
          <cell r="AC30">
            <v>0.57284781019077879</v>
          </cell>
          <cell r="AD30">
            <v>0.61675116557826137</v>
          </cell>
          <cell r="AE30">
            <v>0.20899800233018129</v>
          </cell>
          <cell r="AF30">
            <v>0.49084762679721805</v>
          </cell>
          <cell r="AG30">
            <v>0.38829634656639728</v>
          </cell>
          <cell r="AH30">
            <v>0.45862308237823668</v>
          </cell>
          <cell r="AJ30" t="e">
            <v>#REF!</v>
          </cell>
          <cell r="AK30">
            <v>0.27886567919525745</v>
          </cell>
          <cell r="AL30">
            <v>0</v>
          </cell>
          <cell r="AM30">
            <v>0.48360928626373201</v>
          </cell>
          <cell r="AN30">
            <v>0.5414085454502886</v>
          </cell>
          <cell r="AO30">
            <v>0.55961203942125959</v>
          </cell>
          <cell r="AP30">
            <v>0.58614334667469514</v>
          </cell>
          <cell r="AQ30">
            <v>0.579615690800656</v>
          </cell>
          <cell r="AR30">
            <v>0.64866047986378317</v>
          </cell>
          <cell r="AS30">
            <v>0.59634884118558895</v>
          </cell>
          <cell r="AT30">
            <v>0.38152171029381599</v>
          </cell>
          <cell r="AU30">
            <v>117.59533896334953</v>
          </cell>
          <cell r="AV30">
            <v>0.35277625496154097</v>
          </cell>
          <cell r="AW30">
            <v>0</v>
          </cell>
          <cell r="AX30">
            <v>0.43195248371795641</v>
          </cell>
          <cell r="AY30">
            <v>0.4498361145623842</v>
          </cell>
          <cell r="AZ30">
            <v>0.44030099302835446</v>
          </cell>
          <cell r="BA30">
            <v>0.36833941207284349</v>
          </cell>
          <cell r="BB30">
            <v>0.46659708156376406</v>
          </cell>
          <cell r="BC30">
            <v>0.44422184893775002</v>
          </cell>
          <cell r="BD30">
            <v>0.4609886604418566</v>
          </cell>
        </row>
        <row r="31">
          <cell r="N31">
            <v>0.42344216894692821</v>
          </cell>
          <cell r="O31" t="e">
            <v>#REF!</v>
          </cell>
          <cell r="P31">
            <v>0.52127508097704522</v>
          </cell>
          <cell r="Q31">
            <v>0.18532294685227529</v>
          </cell>
          <cell r="R31">
            <v>0.22505695379372095</v>
          </cell>
          <cell r="S31">
            <v>0.26745564163271107</v>
          </cell>
          <cell r="T31">
            <v>0.30676039606596389</v>
          </cell>
          <cell r="U31">
            <v>0.28286413120410803</v>
          </cell>
          <cell r="V31">
            <v>0.3110772305533715</v>
          </cell>
          <cell r="W31">
            <v>0.44222694534955259</v>
          </cell>
          <cell r="Y31">
            <v>30854.449869283748</v>
          </cell>
          <cell r="Z31" t="e">
            <v>#REF!</v>
          </cell>
          <cell r="AA31">
            <v>0</v>
          </cell>
          <cell r="AB31">
            <v>0.74738308141061438</v>
          </cell>
          <cell r="AC31">
            <v>0.51793319236571944</v>
          </cell>
          <cell r="AD31">
            <v>0.59386381207079575</v>
          </cell>
          <cell r="AE31">
            <v>0.21773544499554709</v>
          </cell>
          <cell r="AF31">
            <v>0.37010063335803339</v>
          </cell>
          <cell r="AG31">
            <v>0.37183579722236693</v>
          </cell>
          <cell r="AH31">
            <v>0.49279087223232898</v>
          </cell>
          <cell r="AJ31" t="e">
            <v>#REF!</v>
          </cell>
          <cell r="AK31">
            <v>0.28834417383325356</v>
          </cell>
          <cell r="AL31">
            <v>0</v>
          </cell>
          <cell r="AM31">
            <v>0.47307242331787125</v>
          </cell>
          <cell r="AN31">
            <v>0.53539414247327421</v>
          </cell>
          <cell r="AO31">
            <v>0.56642918428842415</v>
          </cell>
          <cell r="AP31">
            <v>0.57119559525256136</v>
          </cell>
          <cell r="AQ31">
            <v>0.56456206971957767</v>
          </cell>
          <cell r="AR31">
            <v>0.61056730146948601</v>
          </cell>
          <cell r="AS31">
            <v>0.61545462420370245</v>
          </cell>
          <cell r="AT31">
            <v>0.31137547206711985</v>
          </cell>
          <cell r="AU31">
            <v>118.33220605317842</v>
          </cell>
          <cell r="AV31">
            <v>0.36410213764636695</v>
          </cell>
          <cell r="AW31">
            <v>0</v>
          </cell>
          <cell r="AX31">
            <v>0.43540074807479179</v>
          </cell>
          <cell r="AY31">
            <v>0.43480081881559363</v>
          </cell>
          <cell r="AZ31">
            <v>0.44354078670181418</v>
          </cell>
          <cell r="BA31">
            <v>0.37521516712115477</v>
          </cell>
          <cell r="BB31">
            <v>0.43664915151983902</v>
          </cell>
          <cell r="BC31">
            <v>0.43472053944300415</v>
          </cell>
          <cell r="BD31">
            <v>0.47912814496526307</v>
          </cell>
        </row>
        <row r="32">
          <cell r="N32">
            <v>0.42233045447064677</v>
          </cell>
          <cell r="O32" t="e">
            <v>#REF!</v>
          </cell>
          <cell r="P32">
            <v>0.53318897456422532</v>
          </cell>
          <cell r="Q32">
            <v>0.19544371911765804</v>
          </cell>
          <cell r="R32">
            <v>0.23504369444822079</v>
          </cell>
          <cell r="S32">
            <v>0.28282028659897013</v>
          </cell>
          <cell r="T32">
            <v>0.32196589395649711</v>
          </cell>
          <cell r="U32">
            <v>0.2920792363847679</v>
          </cell>
          <cell r="V32">
            <v>0.32125861814384188</v>
          </cell>
          <cell r="W32">
            <v>0.45423682810809618</v>
          </cell>
          <cell r="Y32">
            <v>31841.392670154055</v>
          </cell>
          <cell r="Z32" t="e">
            <v>#REF!</v>
          </cell>
          <cell r="AA32">
            <v>0</v>
          </cell>
          <cell r="AB32">
            <v>0.70343794662866799</v>
          </cell>
          <cell r="AC32">
            <v>0.48720633231445504</v>
          </cell>
          <cell r="AD32">
            <v>0.53229343796688566</v>
          </cell>
          <cell r="AE32">
            <v>0.15501792114695334</v>
          </cell>
          <cell r="AF32">
            <v>0.35128667879794251</v>
          </cell>
          <cell r="AG32">
            <v>0.31561359015677265</v>
          </cell>
          <cell r="AH32">
            <v>0.56648080693960579</v>
          </cell>
          <cell r="AJ32" t="e">
            <v>#REF!</v>
          </cell>
          <cell r="AK32">
            <v>0.30228925834250553</v>
          </cell>
          <cell r="AL32">
            <v>0</v>
          </cell>
          <cell r="AM32">
            <v>0.44793459291630766</v>
          </cell>
          <cell r="AN32">
            <v>0.51246538351499193</v>
          </cell>
          <cell r="AO32">
            <v>0.52291758785041065</v>
          </cell>
          <cell r="AP32">
            <v>0.56385024203499212</v>
          </cell>
          <cell r="AQ32">
            <v>0.55766408188054228</v>
          </cell>
          <cell r="AR32">
            <v>0.58408169288880407</v>
          </cell>
          <cell r="AS32">
            <v>0.60700645729223812</v>
          </cell>
          <cell r="AT32">
            <v>0.28048039640379308</v>
          </cell>
          <cell r="AU32">
            <v>122.11730413044313</v>
          </cell>
          <cell r="AV32">
            <v>0.38052662313768698</v>
          </cell>
          <cell r="AW32">
            <v>0</v>
          </cell>
          <cell r="AX32">
            <v>0.43403665157595517</v>
          </cell>
          <cell r="AY32">
            <v>0.42814705507948464</v>
          </cell>
          <cell r="AZ32">
            <v>0.42555036702267923</v>
          </cell>
          <cell r="BA32">
            <v>0.36535601221468839</v>
          </cell>
          <cell r="BB32">
            <v>0.44057668895166652</v>
          </cell>
          <cell r="BC32">
            <v>0.42251697587875559</v>
          </cell>
          <cell r="BD32">
            <v>0.50528308777620867</v>
          </cell>
        </row>
        <row r="33">
          <cell r="N33">
            <v>0.43820299168959631</v>
          </cell>
          <cell r="O33" t="e">
            <v>#REF!</v>
          </cell>
          <cell r="P33">
            <v>0.50607930492649511</v>
          </cell>
          <cell r="Q33">
            <v>0.20012655347817557</v>
          </cell>
          <cell r="R33">
            <v>0.24213516525137313</v>
          </cell>
          <cell r="S33">
            <v>0.29206298271631626</v>
          </cell>
          <cell r="T33">
            <v>0.32756685771667432</v>
          </cell>
          <cell r="U33">
            <v>0.29408333842304085</v>
          </cell>
          <cell r="V33">
            <v>0.32385167512002194</v>
          </cell>
          <cell r="W33">
            <v>0.44075915339571081</v>
          </cell>
          <cell r="Y33">
            <v>32873.409766649915</v>
          </cell>
          <cell r="Z33" t="e">
            <v>#REF!</v>
          </cell>
          <cell r="AA33">
            <v>0</v>
          </cell>
          <cell r="AB33">
            <v>0.73927269423916508</v>
          </cell>
          <cell r="AC33">
            <v>0.44519879815376406</v>
          </cell>
          <cell r="AD33">
            <v>0.59856659802643553</v>
          </cell>
          <cell r="AE33">
            <v>0.20173074598631482</v>
          </cell>
          <cell r="AF33">
            <v>0.41065299369050096</v>
          </cell>
          <cell r="AG33">
            <v>0.40349374001045718</v>
          </cell>
          <cell r="AH33">
            <v>0.49089844333479382</v>
          </cell>
          <cell r="AJ33" t="e">
            <v>#REF!</v>
          </cell>
          <cell r="AK33">
            <v>0.35438270504919667</v>
          </cell>
          <cell r="AL33">
            <v>0</v>
          </cell>
          <cell r="AM33">
            <v>0.47692127360756625</v>
          </cell>
          <cell r="AN33">
            <v>0.51791145511237269</v>
          </cell>
          <cell r="AO33">
            <v>0.54225600632876114</v>
          </cell>
          <cell r="AP33">
            <v>0.59031922150905725</v>
          </cell>
          <cell r="AQ33">
            <v>0.56247909057405876</v>
          </cell>
          <cell r="AR33">
            <v>0.60565665151373305</v>
          </cell>
          <cell r="AS33">
            <v>0.65420269352105509</v>
          </cell>
          <cell r="AT33">
            <v>0.30885504696863875</v>
          </cell>
          <cell r="AU33">
            <v>126.07527000668857</v>
          </cell>
          <cell r="AV33">
            <v>0.43951693187107149</v>
          </cell>
          <cell r="AW33">
            <v>0</v>
          </cell>
          <cell r="AX33">
            <v>0.45418697008403702</v>
          </cell>
          <cell r="AY33">
            <v>0.4268488983459045</v>
          </cell>
          <cell r="AZ33">
            <v>0.45723661463669363</v>
          </cell>
          <cell r="BA33">
            <v>0.39155515206990466</v>
          </cell>
          <cell r="BB33">
            <v>0.46511593577628751</v>
          </cell>
          <cell r="BC33">
            <v>0.45387873607567153</v>
          </cell>
          <cell r="BD33">
            <v>0.50030735627036638</v>
          </cell>
        </row>
        <row r="34">
          <cell r="N34">
            <v>0.45535230700171675</v>
          </cell>
          <cell r="O34" t="e">
            <v>#REF!</v>
          </cell>
          <cell r="P34">
            <v>0.53665673068449959</v>
          </cell>
          <cell r="Q34">
            <v>0.2097654314222295</v>
          </cell>
          <cell r="R34">
            <v>0.25011930263782917</v>
          </cell>
          <cell r="S34">
            <v>0.30740618975566519</v>
          </cell>
          <cell r="T34">
            <v>0.33912587311729753</v>
          </cell>
          <cell r="U34">
            <v>0.30743124636736158</v>
          </cell>
          <cell r="V34">
            <v>0.33482581407941925</v>
          </cell>
          <cell r="W34">
            <v>0.48286079213489835</v>
          </cell>
          <cell r="Y34">
            <v>34415.091710047971</v>
          </cell>
          <cell r="Z34" t="e">
            <v>#REF!</v>
          </cell>
          <cell r="AA34">
            <v>0</v>
          </cell>
          <cell r="AB34">
            <v>0.65120052256380301</v>
          </cell>
          <cell r="AC34">
            <v>0.46849150604987444</v>
          </cell>
          <cell r="AD34">
            <v>0.64691723052954719</v>
          </cell>
          <cell r="AE34">
            <v>0.29592609496796807</v>
          </cell>
          <cell r="AF34">
            <v>0.39634008409518734</v>
          </cell>
          <cell r="AG34">
            <v>0.36820900195109796</v>
          </cell>
          <cell r="AH34">
            <v>0.56224872815877402</v>
          </cell>
          <cell r="AJ34" t="e">
            <v>#REF!</v>
          </cell>
          <cell r="AK34">
            <v>0.39821288741368666</v>
          </cell>
          <cell r="AL34">
            <v>0</v>
          </cell>
          <cell r="AM34">
            <v>0.45384308248142979</v>
          </cell>
          <cell r="AN34">
            <v>0.57904625254542286</v>
          </cell>
          <cell r="AO34">
            <v>0.54939018026245745</v>
          </cell>
          <cell r="AP34">
            <v>0.58570235204184007</v>
          </cell>
          <cell r="AQ34">
            <v>0.56519769440984358</v>
          </cell>
          <cell r="AR34">
            <v>0.57577946069031316</v>
          </cell>
          <cell r="AS34">
            <v>0.62501240596016527</v>
          </cell>
          <cell r="AT34">
            <v>0.32940709067285867</v>
          </cell>
          <cell r="AU34">
            <v>131.98788961804183</v>
          </cell>
          <cell r="AV34">
            <v>0.48649485089772926</v>
          </cell>
          <cell r="AW34">
            <v>0</v>
          </cell>
          <cell r="AX34">
            <v>0.44070607441266207</v>
          </cell>
          <cell r="AY34">
            <v>0.45955142021746831</v>
          </cell>
          <cell r="AZ34">
            <v>0.48465063948519443</v>
          </cell>
          <cell r="BA34">
            <v>0.42238374890267028</v>
          </cell>
          <cell r="BB34">
            <v>0.47224300776299621</v>
          </cell>
          <cell r="BC34">
            <v>0.44636699279148162</v>
          </cell>
          <cell r="BD34">
            <v>0.52498163020626987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8">
          <cell r="A18">
            <v>1981</v>
          </cell>
          <cell r="B18">
            <v>11.6</v>
          </cell>
          <cell r="C18">
            <v>3505.6577086280058</v>
          </cell>
        </row>
        <row r="19">
          <cell r="A19">
            <v>1982</v>
          </cell>
          <cell r="B19">
            <v>12.4</v>
          </cell>
          <cell r="C19">
            <v>3428.4779050736497</v>
          </cell>
        </row>
        <row r="20">
          <cell r="A20">
            <v>1983</v>
          </cell>
          <cell r="B20">
            <v>14</v>
          </cell>
          <cell r="C20">
            <v>3492.1180854112927</v>
          </cell>
        </row>
        <row r="21">
          <cell r="A21">
            <v>1984</v>
          </cell>
          <cell r="B21">
            <v>13.7</v>
          </cell>
          <cell r="C21">
            <v>3518.539976825029</v>
          </cell>
        </row>
        <row r="22">
          <cell r="A22">
            <v>1985</v>
          </cell>
          <cell r="B22">
            <v>13</v>
          </cell>
          <cell r="C22">
            <v>3413.0699088145898</v>
          </cell>
        </row>
        <row r="23">
          <cell r="A23">
            <v>1986</v>
          </cell>
          <cell r="B23">
            <v>12.1</v>
          </cell>
          <cell r="C23">
            <v>3449.7901194704555</v>
          </cell>
        </row>
        <row r="24">
          <cell r="A24">
            <v>1987</v>
          </cell>
          <cell r="B24">
            <v>11.9</v>
          </cell>
          <cell r="C24">
            <v>3514.7775251705098</v>
          </cell>
        </row>
        <row r="25">
          <cell r="A25">
            <v>1988</v>
          </cell>
          <cell r="B25">
            <v>10.8</v>
          </cell>
          <cell r="C25">
            <v>3516.8776371308018</v>
          </cell>
        </row>
        <row r="26">
          <cell r="A26">
            <v>1989</v>
          </cell>
          <cell r="B26">
            <v>10.199999999999999</v>
          </cell>
          <cell r="C26">
            <v>3417.1280915466964</v>
          </cell>
        </row>
        <row r="27">
          <cell r="A27">
            <v>1990</v>
          </cell>
          <cell r="B27">
            <v>11.8</v>
          </cell>
          <cell r="C27">
            <v>3553.8847117794485</v>
          </cell>
        </row>
        <row r="28">
          <cell r="A28">
            <v>1991</v>
          </cell>
          <cell r="B28">
            <v>13.2</v>
          </cell>
          <cell r="C28">
            <v>3620.1829775436649</v>
          </cell>
        </row>
        <row r="29">
          <cell r="A29">
            <v>1992</v>
          </cell>
          <cell r="B29">
            <v>13.3</v>
          </cell>
          <cell r="C29">
            <v>3558.3355996736468</v>
          </cell>
        </row>
        <row r="30">
          <cell r="A30">
            <v>1993</v>
          </cell>
          <cell r="B30">
            <v>14.1</v>
          </cell>
          <cell r="C30">
            <v>3555.2185999494568</v>
          </cell>
        </row>
        <row r="31">
          <cell r="A31">
            <v>1994</v>
          </cell>
          <cell r="B31">
            <v>14</v>
          </cell>
          <cell r="C31">
            <v>3560.4423221915054</v>
          </cell>
        </row>
        <row r="32">
          <cell r="A32">
            <v>1995</v>
          </cell>
          <cell r="B32">
            <v>14.5</v>
          </cell>
          <cell r="C32">
            <v>3548.6512524084778</v>
          </cell>
        </row>
        <row r="33">
          <cell r="A33">
            <v>1996</v>
          </cell>
          <cell r="B33">
            <v>15.2</v>
          </cell>
          <cell r="C33">
            <v>3648.1692062770071</v>
          </cell>
        </row>
        <row r="34">
          <cell r="A34">
            <v>1997</v>
          </cell>
          <cell r="B34">
            <v>15</v>
          </cell>
          <cell r="C34">
            <v>3772.7791733272438</v>
          </cell>
        </row>
        <row r="35">
          <cell r="A35">
            <v>1998</v>
          </cell>
          <cell r="B35">
            <v>13.7</v>
          </cell>
          <cell r="C35">
            <v>3934.5075663607045</v>
          </cell>
        </row>
        <row r="36">
          <cell r="A36">
            <v>1999</v>
          </cell>
          <cell r="B36">
            <v>13</v>
          </cell>
          <cell r="C36">
            <v>4007.5110075110074</v>
          </cell>
        </row>
        <row r="37">
          <cell r="A37">
            <v>2000</v>
          </cell>
          <cell r="B37">
            <v>12.5</v>
          </cell>
          <cell r="C37">
            <v>3954.8490515629173</v>
          </cell>
        </row>
        <row r="38">
          <cell r="A38">
            <v>2001</v>
          </cell>
          <cell r="B38">
            <v>11.2</v>
          </cell>
          <cell r="C38">
            <v>4005.8892815076561</v>
          </cell>
        </row>
        <row r="39">
          <cell r="A39">
            <v>2002</v>
          </cell>
          <cell r="B39">
            <v>11.6</v>
          </cell>
          <cell r="C39">
            <v>3873.4463276836159</v>
          </cell>
        </row>
        <row r="40">
          <cell r="A40">
            <v>2003</v>
          </cell>
          <cell r="B40">
            <v>11.6</v>
          </cell>
          <cell r="C40">
            <v>3893.1552587646079</v>
          </cell>
        </row>
        <row r="41">
          <cell r="A41">
            <v>2004</v>
          </cell>
          <cell r="B41">
            <v>11.4</v>
          </cell>
          <cell r="C41">
            <v>3983.9210155148094</v>
          </cell>
        </row>
        <row r="42">
          <cell r="A42">
            <v>2005</v>
          </cell>
          <cell r="B42">
            <v>10.8</v>
          </cell>
          <cell r="C42">
            <v>4198.5337243401764</v>
          </cell>
        </row>
        <row r="43">
          <cell r="A43">
            <v>2006</v>
          </cell>
          <cell r="B43">
            <v>10.5</v>
          </cell>
          <cell r="C43">
            <v>4036.0763267740012</v>
          </cell>
        </row>
        <row r="44">
          <cell r="A44">
            <v>2007</v>
          </cell>
          <cell r="B44">
            <v>9.1999999999999993</v>
          </cell>
          <cell r="C44">
            <v>4181.5718157181573</v>
          </cell>
        </row>
        <row r="45">
          <cell r="A45">
            <v>2008</v>
          </cell>
          <cell r="B45">
            <v>9.1999999999999993</v>
          </cell>
          <cell r="C45">
            <v>4181.5718157181573</v>
          </cell>
        </row>
        <row r="46">
          <cell r="B46">
            <v>9.1999999999999993</v>
          </cell>
          <cell r="C46">
            <v>4181.5718157181573</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row r="8">
          <cell r="A8">
            <v>1971</v>
          </cell>
        </row>
        <row r="9">
          <cell r="A9">
            <v>1972</v>
          </cell>
        </row>
        <row r="10">
          <cell r="A10">
            <v>1973</v>
          </cell>
        </row>
        <row r="11">
          <cell r="A11">
            <v>1974</v>
          </cell>
        </row>
        <row r="12">
          <cell r="A12">
            <v>1975</v>
          </cell>
        </row>
        <row r="13">
          <cell r="A13">
            <v>1976</v>
          </cell>
        </row>
        <row r="14">
          <cell r="A14">
            <v>1977</v>
          </cell>
        </row>
        <row r="15">
          <cell r="A15">
            <v>1978</v>
          </cell>
        </row>
        <row r="16">
          <cell r="A16">
            <v>1979</v>
          </cell>
        </row>
        <row r="17">
          <cell r="A17">
            <v>1980</v>
          </cell>
        </row>
        <row r="19">
          <cell r="A19">
            <v>1981</v>
          </cell>
        </row>
        <row r="20">
          <cell r="A20">
            <v>1982</v>
          </cell>
        </row>
        <row r="21">
          <cell r="A21">
            <v>1983</v>
          </cell>
        </row>
        <row r="22">
          <cell r="A22">
            <v>1984</v>
          </cell>
        </row>
        <row r="23">
          <cell r="A23">
            <v>1985</v>
          </cell>
        </row>
        <row r="24">
          <cell r="A24">
            <v>1986</v>
          </cell>
        </row>
        <row r="25">
          <cell r="A25">
            <v>1987</v>
          </cell>
        </row>
        <row r="26">
          <cell r="A26">
            <v>1988</v>
          </cell>
        </row>
        <row r="27">
          <cell r="A27">
            <v>1989</v>
          </cell>
        </row>
        <row r="28">
          <cell r="A28">
            <v>1990</v>
          </cell>
        </row>
        <row r="29">
          <cell r="A29">
            <v>1991</v>
          </cell>
        </row>
        <row r="30">
          <cell r="A30">
            <v>1992</v>
          </cell>
        </row>
        <row r="31">
          <cell r="A31">
            <v>1993</v>
          </cell>
        </row>
        <row r="32">
          <cell r="A32">
            <v>1994</v>
          </cell>
        </row>
        <row r="33">
          <cell r="A33">
            <v>1995</v>
          </cell>
        </row>
        <row r="34">
          <cell r="A34">
            <v>1996</v>
          </cell>
        </row>
        <row r="35">
          <cell r="A35">
            <v>1997</v>
          </cell>
        </row>
        <row r="36">
          <cell r="A36">
            <v>1998</v>
          </cell>
        </row>
        <row r="37">
          <cell r="A37">
            <v>1999</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ist"/>
      <sheetName val="Prac"/>
      <sheetName val="Chart2"/>
      <sheetName val="C2"/>
      <sheetName val="Chart3"/>
      <sheetName val="C4C5C6C7"/>
      <sheetName val="C8"/>
      <sheetName val="C9"/>
      <sheetName val="C10"/>
      <sheetName val="C11"/>
      <sheetName val="C14"/>
      <sheetName val="Chart4"/>
      <sheetName val="Chart10"/>
      <sheetName val="Chart11"/>
      <sheetName val="Chart12"/>
      <sheetName val="Chart13"/>
      <sheetName val="Table 4"/>
      <sheetName val="Table 5"/>
      <sheetName val="Exhibit5"/>
      <sheetName val="1"/>
      <sheetName val="C1a"/>
      <sheetName val="2"/>
      <sheetName val="3"/>
      <sheetName val="4"/>
      <sheetName val="C19"/>
      <sheetName val="5"/>
      <sheetName val="6"/>
      <sheetName val="7"/>
      <sheetName val="8"/>
      <sheetName val="9 (3)"/>
      <sheetName val="ComponentsCharts"/>
      <sheetName val="9"/>
      <sheetName val="10A"/>
      <sheetName val="10B"/>
      <sheetName val="10C"/>
      <sheetName val="Exhibit3 and 4"/>
      <sheetName val="11"/>
      <sheetName val="Sheet4"/>
      <sheetName val="Sheet3"/>
      <sheetName val="Sheet6"/>
      <sheetName val="C21"/>
      <sheetName val="12"/>
      <sheetName val="a1"/>
      <sheetName val="a2"/>
      <sheetName val="a3"/>
      <sheetName val="a4"/>
      <sheetName val="a5-1"/>
      <sheetName val="a5-2"/>
      <sheetName val="a5-3"/>
      <sheetName val="a5-4"/>
      <sheetName val="a5-5"/>
      <sheetName val="a5-6"/>
      <sheetName val="a5-7"/>
      <sheetName val="a5-8"/>
      <sheetName val="a5-9"/>
      <sheetName val="a5-10"/>
      <sheetName val="a5-11"/>
      <sheetName val="a5"/>
      <sheetName val="a6"/>
      <sheetName val="a7"/>
      <sheetName val="a8"/>
      <sheetName val="a9"/>
      <sheetName val="a10"/>
      <sheetName val="a11"/>
      <sheetName val="a12"/>
      <sheetName val="a12A"/>
      <sheetName val="new gdp"/>
      <sheetName val="a13"/>
      <sheetName val="a14"/>
      <sheetName val="a15"/>
      <sheetName val="a16"/>
      <sheetName val="a17"/>
      <sheetName val="C16"/>
      <sheetName val="new tables"/>
      <sheetName val="a18"/>
      <sheetName val="a19"/>
      <sheetName val="a20"/>
      <sheetName val="a20 (2)"/>
      <sheetName val="a21"/>
      <sheetName val="a22"/>
      <sheetName val="a23"/>
      <sheetName val="a24"/>
      <sheetName val="a25"/>
      <sheetName val="a26"/>
      <sheetName val="a27"/>
      <sheetName val="a28"/>
      <sheetName val="a29"/>
      <sheetName val="Chart14"/>
      <sheetName val="Chart15"/>
      <sheetName val="Chart16"/>
      <sheetName val="Chart17"/>
      <sheetName val="Chart31"/>
      <sheetName val="Chart32"/>
      <sheetName val="Chart33"/>
      <sheetName val="Chart34"/>
      <sheetName val="Chart35"/>
      <sheetName val="Chart36"/>
      <sheetName val="Chart37"/>
      <sheetName val="Chart38"/>
      <sheetName val="Chart39"/>
      <sheetName val="Chart40"/>
    </sheetNames>
    <sheetDataSet>
      <sheetData sheetId="0"/>
      <sheetData sheetId="1"/>
      <sheetData sheetId="2" refreshError="1"/>
      <sheetData sheetId="3"/>
      <sheetData sheetId="4" refreshError="1"/>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row r="3">
          <cell r="B3" t="str">
            <v>Canada</v>
          </cell>
        </row>
        <row r="19">
          <cell r="I19">
            <v>26544.414111916678</v>
          </cell>
          <cell r="T19">
            <v>20635.085640164769</v>
          </cell>
          <cell r="AE19">
            <v>24272.508967360529</v>
          </cell>
          <cell r="AP19">
            <v>25406.301573203596</v>
          </cell>
          <cell r="BA19">
            <v>21073.381509555998</v>
          </cell>
          <cell r="BL19">
            <v>24042.983440551423</v>
          </cell>
          <cell r="BW19">
            <v>26951.567344911193</v>
          </cell>
          <cell r="CH19">
            <v>24872.81759269238</v>
          </cell>
          <cell r="CS19">
            <v>25710.491407892445</v>
          </cell>
          <cell r="DD19">
            <v>30978.774509396244</v>
          </cell>
          <cell r="DO19">
            <v>29882.372528013842</v>
          </cell>
        </row>
        <row r="46">
          <cell r="I46">
            <v>44404.041693501647</v>
          </cell>
          <cell r="T46">
            <v>40925.457455193166</v>
          </cell>
          <cell r="AE46">
            <v>41129.037884863064</v>
          </cell>
          <cell r="AP46">
            <v>44934.704888644708</v>
          </cell>
          <cell r="BA46">
            <v>40669.882259784215</v>
          </cell>
          <cell r="BL46">
            <v>41991.460185589858</v>
          </cell>
          <cell r="BW46">
            <v>45653.806965641561</v>
          </cell>
          <cell r="CH46">
            <v>42217.767395838004</v>
          </cell>
          <cell r="CS46">
            <v>41060.19957887051</v>
          </cell>
          <cell r="DD46">
            <v>46905.451448784712</v>
          </cell>
          <cell r="DO46">
            <v>46677.908985450311</v>
          </cell>
        </row>
      </sheetData>
      <sheetData sheetId="20">
        <row r="3">
          <cell r="B3" t="str">
            <v>Canada</v>
          </cell>
        </row>
      </sheetData>
      <sheetData sheetId="21">
        <row r="3">
          <cell r="B3" t="str">
            <v>Canada</v>
          </cell>
        </row>
        <row r="19">
          <cell r="H19">
            <v>145946.99184755064</v>
          </cell>
          <cell r="R19">
            <v>110280.3817367392</v>
          </cell>
          <cell r="AB19">
            <v>83925.888297409576</v>
          </cell>
          <cell r="AL19">
            <v>102524.53913242935</v>
          </cell>
          <cell r="AV19">
            <v>109696.15366698631</v>
          </cell>
          <cell r="BF19">
            <v>125831.64350227024</v>
          </cell>
          <cell r="BP19">
            <v>127254.00507545726</v>
          </cell>
          <cell r="BZ19">
            <v>141837.65011991674</v>
          </cell>
          <cell r="CJ19">
            <v>166995.53061719012</v>
          </cell>
          <cell r="CT19">
            <v>265339.01084143564</v>
          </cell>
          <cell r="DD19">
            <v>166918.92906949122</v>
          </cell>
        </row>
        <row r="46">
          <cell r="H46">
            <v>227250.39399668167</v>
          </cell>
          <cell r="R46">
            <v>277551.3396015063</v>
          </cell>
          <cell r="AB46">
            <v>149665.89356127087</v>
          </cell>
          <cell r="AL46">
            <v>162614.09305680179</v>
          </cell>
          <cell r="AV46">
            <v>181402.68117900813</v>
          </cell>
          <cell r="BF46">
            <v>191579.36994564746</v>
          </cell>
          <cell r="BP46">
            <v>187229.18324476338</v>
          </cell>
          <cell r="BZ46">
            <v>189826.15523860912</v>
          </cell>
          <cell r="CJ46">
            <v>244991.59525255056</v>
          </cell>
          <cell r="CT46">
            <v>324208.94356985867</v>
          </cell>
          <cell r="DD46">
            <v>230738.51485127042</v>
          </cell>
        </row>
      </sheetData>
      <sheetData sheetId="22">
        <row r="3">
          <cell r="B3" t="str">
            <v>Canada</v>
          </cell>
        </row>
      </sheetData>
      <sheetData sheetId="23">
        <row r="3">
          <cell r="B3" t="str">
            <v>Canada</v>
          </cell>
          <cell r="J3" t="str">
            <v>New Brunswick</v>
          </cell>
          <cell r="Q3" t="str">
            <v>Prince Edward Island</v>
          </cell>
          <cell r="X3" t="str">
            <v>Nova Scotia</v>
          </cell>
          <cell r="AE3" t="str">
            <v>New Brunswick</v>
          </cell>
          <cell r="AL3" t="str">
            <v>Quebec</v>
          </cell>
          <cell r="AS3" t="str">
            <v>Ontario</v>
          </cell>
          <cell r="AZ3" t="str">
            <v>Manitoba</v>
          </cell>
          <cell r="BG3" t="str">
            <v>Saskatchewan</v>
          </cell>
          <cell r="BN3" t="str">
            <v>Alberta</v>
          </cell>
          <cell r="BU3" t="str">
            <v>British Columbia</v>
          </cell>
        </row>
        <row r="19">
          <cell r="H19">
            <v>0.6268043384913079</v>
          </cell>
          <cell r="P19">
            <v>0.44647927609416377</v>
          </cell>
          <cell r="W19">
            <v>0.54532805513428639</v>
          </cell>
          <cell r="AD19">
            <v>0.55236206832742774</v>
          </cell>
          <cell r="AK19">
            <v>0.51939750618741332</v>
          </cell>
          <cell r="AR19">
            <v>0.51310479194001746</v>
          </cell>
          <cell r="AY19">
            <v>0.64688076035673148</v>
          </cell>
          <cell r="BF19">
            <v>0.67983076391048569</v>
          </cell>
          <cell r="BM19">
            <v>0.73335157878957857</v>
          </cell>
          <cell r="BT19">
            <v>0.73630618492074351</v>
          </cell>
          <cell r="CA19">
            <v>0.64171629331266355</v>
          </cell>
        </row>
        <row r="46">
          <cell r="H46">
            <v>0.66492502354772109</v>
          </cell>
          <cell r="P46">
            <v>0.45530188796786702</v>
          </cell>
          <cell r="W46">
            <v>0.55243456157628179</v>
          </cell>
          <cell r="AD46">
            <v>0.64090535591762909</v>
          </cell>
          <cell r="AK46">
            <v>0.62053204276721552</v>
          </cell>
          <cell r="AR46">
            <v>0.6343708166261286</v>
          </cell>
          <cell r="AY46">
            <v>0.63476804442090806</v>
          </cell>
          <cell r="BF46">
            <v>0.73932016819911928</v>
          </cell>
          <cell r="BM46">
            <v>0.74165501698769332</v>
          </cell>
          <cell r="BT46">
            <v>0.74206349206349209</v>
          </cell>
          <cell r="CA46">
            <v>0.721439744397115</v>
          </cell>
        </row>
      </sheetData>
      <sheetData sheetId="24">
        <row r="3">
          <cell r="B3" t="str">
            <v>Canada</v>
          </cell>
        </row>
      </sheetData>
      <sheetData sheetId="25">
        <row r="3">
          <cell r="B3" t="str">
            <v>Canada</v>
          </cell>
        </row>
        <row r="17">
          <cell r="A17">
            <v>1981</v>
          </cell>
          <cell r="B17">
            <v>2.65462729352992</v>
          </cell>
        </row>
        <row r="18">
          <cell r="A18">
            <v>1982</v>
          </cell>
          <cell r="B18">
            <v>2.7755720207096548</v>
          </cell>
        </row>
        <row r="19">
          <cell r="A19">
            <v>1981</v>
          </cell>
          <cell r="B19">
            <v>21</v>
          </cell>
        </row>
        <row r="20">
          <cell r="A20">
            <v>1982</v>
          </cell>
          <cell r="B20">
            <v>17.8</v>
          </cell>
        </row>
        <row r="21">
          <cell r="A21">
            <v>1983</v>
          </cell>
          <cell r="B21">
            <v>19.399999999999999</v>
          </cell>
        </row>
        <row r="22">
          <cell r="A22">
            <v>1984</v>
          </cell>
          <cell r="B22">
            <v>16.2</v>
          </cell>
        </row>
        <row r="23">
          <cell r="A23">
            <v>1985</v>
          </cell>
          <cell r="B23">
            <v>14.7</v>
          </cell>
        </row>
        <row r="24">
          <cell r="A24">
            <v>1986</v>
          </cell>
          <cell r="B24">
            <v>13.5</v>
          </cell>
        </row>
        <row r="25">
          <cell r="A25">
            <v>1987</v>
          </cell>
          <cell r="B25">
            <v>12.6</v>
          </cell>
        </row>
        <row r="26">
          <cell r="A26">
            <v>1988</v>
          </cell>
          <cell r="B26">
            <v>13</v>
          </cell>
        </row>
        <row r="27">
          <cell r="A27">
            <v>1989</v>
          </cell>
          <cell r="B27">
            <v>11.3</v>
          </cell>
        </row>
        <row r="28">
          <cell r="A28">
            <v>1990</v>
          </cell>
          <cell r="B28">
            <v>10.8</v>
          </cell>
        </row>
        <row r="29">
          <cell r="A29">
            <v>1991</v>
          </cell>
          <cell r="B29">
            <v>11.1</v>
          </cell>
        </row>
        <row r="30">
          <cell r="A30">
            <v>1992</v>
          </cell>
          <cell r="B30">
            <v>9.8000000000000007</v>
          </cell>
        </row>
        <row r="31">
          <cell r="A31">
            <v>1993</v>
          </cell>
          <cell r="B31">
            <v>10.7</v>
          </cell>
        </row>
        <row r="32">
          <cell r="A32">
            <v>1994</v>
          </cell>
          <cell r="B32">
            <v>8.6</v>
          </cell>
        </row>
        <row r="33">
          <cell r="A33">
            <v>1995</v>
          </cell>
          <cell r="B33">
            <v>8.6999999999999993</v>
          </cell>
        </row>
        <row r="34">
          <cell r="A34">
            <v>1996</v>
          </cell>
          <cell r="B34">
            <v>9.6999999999999993</v>
          </cell>
        </row>
        <row r="35">
          <cell r="A35">
            <v>1997</v>
          </cell>
          <cell r="B35">
            <v>9</v>
          </cell>
        </row>
        <row r="36">
          <cell r="A36">
            <v>1998</v>
          </cell>
          <cell r="B36">
            <v>8.6</v>
          </cell>
        </row>
        <row r="37">
          <cell r="A37">
            <v>1999</v>
          </cell>
          <cell r="B37">
            <v>7.9</v>
          </cell>
        </row>
        <row r="38">
          <cell r="A38">
            <v>2000</v>
          </cell>
          <cell r="B38">
            <v>7.6</v>
          </cell>
        </row>
        <row r="39">
          <cell r="A39">
            <v>2001</v>
          </cell>
          <cell r="B39">
            <v>6.7</v>
          </cell>
        </row>
        <row r="40">
          <cell r="A40">
            <v>2002</v>
          </cell>
          <cell r="B40">
            <v>7.6</v>
          </cell>
        </row>
        <row r="41">
          <cell r="A41">
            <v>2003</v>
          </cell>
          <cell r="B41">
            <v>6.8</v>
          </cell>
        </row>
        <row r="42">
          <cell r="A42">
            <v>2004</v>
          </cell>
          <cell r="B42">
            <v>5.6</v>
          </cell>
        </row>
        <row r="43">
          <cell r="A43">
            <v>2005</v>
          </cell>
          <cell r="B43">
            <v>6.1</v>
          </cell>
        </row>
        <row r="44">
          <cell r="A44">
            <v>2006</v>
          </cell>
          <cell r="B44">
            <v>5.4</v>
          </cell>
        </row>
      </sheetData>
      <sheetData sheetId="26">
        <row r="3">
          <cell r="B3" t="str">
            <v>Canada</v>
          </cell>
          <cell r="G3" t="str">
            <v>Newfoundland</v>
          </cell>
          <cell r="L3" t="str">
            <v>Prince Edward Island</v>
          </cell>
          <cell r="Q3" t="str">
            <v>Nova Scotia</v>
          </cell>
          <cell r="V3" t="str">
            <v>New Brunswick</v>
          </cell>
          <cell r="AA3" t="str">
            <v>Quebec</v>
          </cell>
          <cell r="AF3" t="str">
            <v>Ontario</v>
          </cell>
          <cell r="AK3" t="str">
            <v>Manitoba</v>
          </cell>
          <cell r="AP3" t="str">
            <v>Saskatchewan</v>
          </cell>
          <cell r="AU3" t="str">
            <v>Alberta</v>
          </cell>
          <cell r="AZ3" t="str">
            <v>British Columbia</v>
          </cell>
        </row>
        <row r="19">
          <cell r="A19">
            <v>1981</v>
          </cell>
          <cell r="B19">
            <v>1.1155668651039621</v>
          </cell>
          <cell r="C19">
            <v>39.5</v>
          </cell>
          <cell r="D19">
            <v>9200</v>
          </cell>
        </row>
        <row r="20">
          <cell r="A20">
            <v>1982</v>
          </cell>
          <cell r="B20">
            <v>1.1456009045621545</v>
          </cell>
          <cell r="C20">
            <v>43.8</v>
          </cell>
          <cell r="D20">
            <v>8600</v>
          </cell>
        </row>
        <row r="21">
          <cell r="A21">
            <v>1983</v>
          </cell>
          <cell r="B21">
            <v>1.1027519666094547</v>
          </cell>
          <cell r="C21">
            <v>47.8</v>
          </cell>
          <cell r="D21">
            <v>8800</v>
          </cell>
        </row>
        <row r="22">
          <cell r="A22">
            <v>1984</v>
          </cell>
          <cell r="B22">
            <v>1.0372187285046714</v>
          </cell>
          <cell r="C22">
            <v>47.9</v>
          </cell>
          <cell r="D22">
            <v>8500</v>
          </cell>
        </row>
        <row r="23">
          <cell r="A23">
            <v>1985</v>
          </cell>
          <cell r="B23">
            <v>0.97664881780124335</v>
          </cell>
          <cell r="C23">
            <v>47.9</v>
          </cell>
          <cell r="D23">
            <v>8800</v>
          </cell>
        </row>
        <row r="24">
          <cell r="A24">
            <v>1986</v>
          </cell>
          <cell r="B24">
            <v>1.221016281178668</v>
          </cell>
          <cell r="C24">
            <v>43.3</v>
          </cell>
          <cell r="D24">
            <v>7900</v>
          </cell>
        </row>
        <row r="25">
          <cell r="A25">
            <v>1987</v>
          </cell>
          <cell r="B25">
            <v>1.4748162477838471</v>
          </cell>
          <cell r="C25">
            <v>44</v>
          </cell>
          <cell r="D25">
            <v>7900</v>
          </cell>
        </row>
        <row r="26">
          <cell r="A26">
            <v>1988</v>
          </cell>
          <cell r="B26">
            <v>1.2600833109316343</v>
          </cell>
          <cell r="C26">
            <v>40.9</v>
          </cell>
          <cell r="D26">
            <v>7600</v>
          </cell>
        </row>
        <row r="27">
          <cell r="A27">
            <v>1989</v>
          </cell>
          <cell r="B27">
            <v>1.1986588599984418</v>
          </cell>
          <cell r="C27">
            <v>37.9</v>
          </cell>
          <cell r="D27">
            <v>7200</v>
          </cell>
        </row>
        <row r="28">
          <cell r="A28">
            <v>1990</v>
          </cell>
          <cell r="B28">
            <v>1.1438592987314304</v>
          </cell>
          <cell r="C28">
            <v>43.5</v>
          </cell>
          <cell r="D28">
            <v>7700</v>
          </cell>
        </row>
        <row r="29">
          <cell r="A29">
            <v>1991</v>
          </cell>
          <cell r="B29">
            <v>1.1095797124687401</v>
          </cell>
          <cell r="C29">
            <v>44.7</v>
          </cell>
          <cell r="D29">
            <v>8000</v>
          </cell>
        </row>
        <row r="30">
          <cell r="A30">
            <v>1992</v>
          </cell>
          <cell r="B30">
            <v>1.1294730309624723</v>
          </cell>
          <cell r="C30">
            <v>42</v>
          </cell>
          <cell r="D30">
            <v>7700</v>
          </cell>
        </row>
        <row r="31">
          <cell r="A31">
            <v>1993</v>
          </cell>
          <cell r="B31">
            <v>1.1088265504893056</v>
          </cell>
          <cell r="C31">
            <v>42.5</v>
          </cell>
          <cell r="D31">
            <v>7300</v>
          </cell>
        </row>
        <row r="32">
          <cell r="A32">
            <v>1994</v>
          </cell>
          <cell r="B32">
            <v>1.1092924477688215</v>
          </cell>
          <cell r="C32">
            <v>41.9</v>
          </cell>
          <cell r="D32">
            <v>7300</v>
          </cell>
        </row>
        <row r="33">
          <cell r="A33">
            <v>1995</v>
          </cell>
          <cell r="B33">
            <v>1.0838485334378707</v>
          </cell>
          <cell r="C33">
            <v>42.7</v>
          </cell>
          <cell r="D33">
            <v>7200</v>
          </cell>
        </row>
        <row r="34">
          <cell r="A34">
            <v>1996</v>
          </cell>
          <cell r="B34">
            <v>0.99169747293084476</v>
          </cell>
          <cell r="C34">
            <v>48.5</v>
          </cell>
          <cell r="D34">
            <v>7500</v>
          </cell>
        </row>
        <row r="35">
          <cell r="A35">
            <v>1997</v>
          </cell>
          <cell r="B35">
            <v>0.92372853716579451</v>
          </cell>
          <cell r="C35">
            <v>43.6</v>
          </cell>
          <cell r="D35">
            <v>7600</v>
          </cell>
        </row>
        <row r="36">
          <cell r="A36">
            <v>1998</v>
          </cell>
          <cell r="B36">
            <v>0.93760116841868613</v>
          </cell>
          <cell r="C36">
            <v>39</v>
          </cell>
          <cell r="D36">
            <v>7600</v>
          </cell>
        </row>
        <row r="37">
          <cell r="A37">
            <v>1999</v>
          </cell>
          <cell r="B37">
            <v>0.9532809649445747</v>
          </cell>
          <cell r="C37">
            <v>36.1</v>
          </cell>
          <cell r="D37">
            <v>7000</v>
          </cell>
        </row>
        <row r="38">
          <cell r="A38">
            <v>2000</v>
          </cell>
          <cell r="B38">
            <v>0.94670738938491172</v>
          </cell>
          <cell r="C38">
            <v>32.299999999999997</v>
          </cell>
          <cell r="D38">
            <v>6600</v>
          </cell>
        </row>
        <row r="39">
          <cell r="A39">
            <v>2001</v>
          </cell>
          <cell r="B39">
            <v>0.9354428044341121</v>
          </cell>
          <cell r="C39">
            <v>30.1</v>
          </cell>
          <cell r="D39">
            <v>6700</v>
          </cell>
        </row>
        <row r="40">
          <cell r="A40">
            <v>2002</v>
          </cell>
          <cell r="B40">
            <v>0.91464505728900936</v>
          </cell>
          <cell r="C40">
            <v>34.200000000000003</v>
          </cell>
          <cell r="D40">
            <v>6900</v>
          </cell>
        </row>
        <row r="41">
          <cell r="A41">
            <v>2003</v>
          </cell>
          <cell r="B41">
            <v>0.9175222288116075</v>
          </cell>
          <cell r="C41">
            <v>34.200000000000003</v>
          </cell>
          <cell r="D41">
            <v>6900</v>
          </cell>
        </row>
        <row r="42">
          <cell r="A42">
            <v>2004</v>
          </cell>
          <cell r="B42">
            <v>0.89527906253571299</v>
          </cell>
          <cell r="C42">
            <v>32.1</v>
          </cell>
          <cell r="D42">
            <v>6800</v>
          </cell>
        </row>
        <row r="43">
          <cell r="A43">
            <v>2005</v>
          </cell>
          <cell r="B43">
            <v>0.90932817032171231</v>
          </cell>
          <cell r="C43">
            <v>25.9</v>
          </cell>
          <cell r="D43">
            <v>7200</v>
          </cell>
        </row>
        <row r="44">
          <cell r="A44">
            <v>2006</v>
          </cell>
          <cell r="B44">
            <v>0.90232467859311449</v>
          </cell>
          <cell r="C44">
            <v>24.3</v>
          </cell>
          <cell r="D44">
            <v>6700</v>
          </cell>
        </row>
        <row r="45">
          <cell r="A45">
            <v>2007</v>
          </cell>
          <cell r="B45">
            <v>0.8961448611522862</v>
          </cell>
          <cell r="C45">
            <v>21.3</v>
          </cell>
          <cell r="D45">
            <v>7600</v>
          </cell>
        </row>
        <row r="46">
          <cell r="A46">
            <v>2008</v>
          </cell>
          <cell r="B46">
            <v>0.889869707871358</v>
          </cell>
          <cell r="C46">
            <v>21.3</v>
          </cell>
          <cell r="D46">
            <v>7600</v>
          </cell>
        </row>
      </sheetData>
      <sheetData sheetId="27">
        <row r="3">
          <cell r="B3" t="str">
            <v>Canada</v>
          </cell>
        </row>
        <row r="19">
          <cell r="A19">
            <v>1981</v>
          </cell>
          <cell r="B19">
            <v>0.27078562954425101</v>
          </cell>
          <cell r="C19">
            <v>1700</v>
          </cell>
        </row>
        <row r="20">
          <cell r="A20">
            <v>1982</v>
          </cell>
          <cell r="B20">
            <v>17.8</v>
          </cell>
          <cell r="C20">
            <v>1800</v>
          </cell>
        </row>
        <row r="21">
          <cell r="A21">
            <v>1983</v>
          </cell>
          <cell r="B21">
            <v>19.399999999999999</v>
          </cell>
          <cell r="C21">
            <v>2000</v>
          </cell>
        </row>
        <row r="22">
          <cell r="A22">
            <v>1984</v>
          </cell>
          <cell r="B22">
            <v>16.2</v>
          </cell>
          <cell r="C22">
            <v>2100</v>
          </cell>
        </row>
        <row r="23">
          <cell r="A23">
            <v>1985</v>
          </cell>
          <cell r="B23">
            <v>14.7</v>
          </cell>
          <cell r="C23">
            <v>2100</v>
          </cell>
        </row>
        <row r="24">
          <cell r="A24">
            <v>1986</v>
          </cell>
          <cell r="B24">
            <v>13.5</v>
          </cell>
          <cell r="C24">
            <v>2000</v>
          </cell>
        </row>
        <row r="25">
          <cell r="A25">
            <v>1987</v>
          </cell>
          <cell r="B25">
            <v>12.6</v>
          </cell>
          <cell r="C25">
            <v>2200</v>
          </cell>
        </row>
        <row r="26">
          <cell r="A26">
            <v>1988</v>
          </cell>
          <cell r="B26">
            <v>13</v>
          </cell>
          <cell r="C26">
            <v>2200</v>
          </cell>
        </row>
        <row r="27">
          <cell r="A27">
            <v>1989</v>
          </cell>
          <cell r="B27">
            <v>11.3</v>
          </cell>
          <cell r="C27">
            <v>2200</v>
          </cell>
        </row>
        <row r="28">
          <cell r="A28">
            <v>1990</v>
          </cell>
          <cell r="B28">
            <v>10.8</v>
          </cell>
          <cell r="C28">
            <v>2200</v>
          </cell>
        </row>
        <row r="29">
          <cell r="A29">
            <v>1991</v>
          </cell>
          <cell r="B29">
            <v>11.1</v>
          </cell>
          <cell r="C29">
            <v>2000</v>
          </cell>
        </row>
        <row r="30">
          <cell r="A30">
            <v>1992</v>
          </cell>
          <cell r="B30">
            <v>9.8000000000000007</v>
          </cell>
          <cell r="C30">
            <v>2200</v>
          </cell>
        </row>
        <row r="31">
          <cell r="A31">
            <v>1993</v>
          </cell>
          <cell r="B31">
            <v>10.7</v>
          </cell>
          <cell r="C31">
            <v>2700</v>
          </cell>
        </row>
        <row r="32">
          <cell r="A32">
            <v>1994</v>
          </cell>
          <cell r="B32">
            <v>8.6</v>
          </cell>
          <cell r="C32">
            <v>2400</v>
          </cell>
        </row>
        <row r="33">
          <cell r="A33">
            <v>1995</v>
          </cell>
          <cell r="B33">
            <v>8.6999999999999993</v>
          </cell>
          <cell r="C33">
            <v>2100</v>
          </cell>
        </row>
        <row r="34">
          <cell r="A34">
            <v>1996</v>
          </cell>
          <cell r="B34">
            <v>9.6999999999999993</v>
          </cell>
          <cell r="C34">
            <v>2600</v>
          </cell>
        </row>
        <row r="35">
          <cell r="A35">
            <v>1997</v>
          </cell>
          <cell r="B35">
            <v>9</v>
          </cell>
          <cell r="C35">
            <v>2900</v>
          </cell>
        </row>
        <row r="36">
          <cell r="A36">
            <v>1998</v>
          </cell>
          <cell r="B36">
            <v>8.6</v>
          </cell>
          <cell r="C36">
            <v>3000</v>
          </cell>
        </row>
        <row r="37">
          <cell r="A37">
            <v>1999</v>
          </cell>
          <cell r="B37">
            <v>7.9</v>
          </cell>
          <cell r="C37">
            <v>2400</v>
          </cell>
        </row>
        <row r="38">
          <cell r="A38">
            <v>2000</v>
          </cell>
          <cell r="B38">
            <v>7.6</v>
          </cell>
          <cell r="C38">
            <v>2900</v>
          </cell>
        </row>
        <row r="39">
          <cell r="A39">
            <v>2001</v>
          </cell>
          <cell r="B39">
            <v>6.7</v>
          </cell>
          <cell r="C39">
            <v>3100</v>
          </cell>
        </row>
        <row r="40">
          <cell r="A40">
            <v>2002</v>
          </cell>
          <cell r="B40">
            <v>7.6</v>
          </cell>
          <cell r="C40">
            <v>2900</v>
          </cell>
        </row>
        <row r="41">
          <cell r="A41">
            <v>2003</v>
          </cell>
          <cell r="B41">
            <v>6.8</v>
          </cell>
          <cell r="C41">
            <v>3500</v>
          </cell>
        </row>
        <row r="42">
          <cell r="A42">
            <v>2004</v>
          </cell>
          <cell r="B42">
            <v>5.6</v>
          </cell>
          <cell r="C42">
            <v>3100</v>
          </cell>
        </row>
        <row r="43">
          <cell r="A43">
            <v>2005</v>
          </cell>
          <cell r="B43">
            <v>6.1</v>
          </cell>
          <cell r="C43">
            <v>2800</v>
          </cell>
        </row>
        <row r="44">
          <cell r="A44">
            <v>2006</v>
          </cell>
          <cell r="B44">
            <v>5.4</v>
          </cell>
          <cell r="C44">
            <v>3200</v>
          </cell>
        </row>
        <row r="45">
          <cell r="A45">
            <v>2007</v>
          </cell>
          <cell r="B45">
            <v>4.8</v>
          </cell>
          <cell r="C45">
            <v>3200</v>
          </cell>
        </row>
        <row r="46">
          <cell r="A46">
            <v>2008</v>
          </cell>
          <cell r="B46">
            <v>0.83731839475495318</v>
          </cell>
          <cell r="C46">
            <v>3200</v>
          </cell>
        </row>
      </sheetData>
      <sheetData sheetId="28"/>
      <sheetData sheetId="29">
        <row r="19">
          <cell r="B19">
            <v>0.27078562954425101</v>
          </cell>
        </row>
      </sheetData>
      <sheetData sheetId="30"/>
      <sheetData sheetId="31"/>
      <sheetData sheetId="32"/>
      <sheetData sheetId="33"/>
      <sheetData sheetId="34"/>
      <sheetData sheetId="35"/>
      <sheetData sheetId="36"/>
      <sheetData sheetId="37"/>
      <sheetData sheetId="38"/>
      <sheetData sheetId="39"/>
      <sheetData sheetId="40">
        <row r="15">
          <cell r="B15">
            <v>75.599999999999994</v>
          </cell>
        </row>
      </sheetData>
      <sheetData sheetId="41"/>
      <sheetData sheetId="42"/>
      <sheetData sheetId="43">
        <row r="15">
          <cell r="B15">
            <v>75.599999999999994</v>
          </cell>
        </row>
      </sheetData>
      <sheetData sheetId="44">
        <row r="15">
          <cell r="B15">
            <v>75.599999999999994</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row r="17">
          <cell r="A17">
            <v>1981</v>
          </cell>
        </row>
      </sheetData>
      <sheetData sheetId="58"/>
      <sheetData sheetId="59"/>
      <sheetData sheetId="60">
        <row r="17">
          <cell r="A17">
            <v>1981</v>
          </cell>
        </row>
      </sheetData>
      <sheetData sheetId="61">
        <row r="17">
          <cell r="A17">
            <v>1981</v>
          </cell>
        </row>
      </sheetData>
      <sheetData sheetId="62"/>
      <sheetData sheetId="63"/>
      <sheetData sheetId="64"/>
      <sheetData sheetId="65"/>
      <sheetData sheetId="66">
        <row r="3">
          <cell r="B3" t="str">
            <v>Canada</v>
          </cell>
        </row>
      </sheetData>
      <sheetData sheetId="67">
        <row r="17">
          <cell r="A17">
            <v>1981</v>
          </cell>
        </row>
      </sheetData>
      <sheetData sheetId="68"/>
      <sheetData sheetId="69">
        <row r="3">
          <cell r="B3" t="str">
            <v>Canada</v>
          </cell>
        </row>
      </sheetData>
      <sheetData sheetId="70">
        <row r="2">
          <cell r="B2" t="str">
            <v>Canada</v>
          </cell>
        </row>
      </sheetData>
      <sheetData sheetId="71">
        <row r="17">
          <cell r="A17">
            <v>1981</v>
          </cell>
          <cell r="B17">
            <v>0.34799999999999998</v>
          </cell>
        </row>
        <row r="18">
          <cell r="A18">
            <v>1982</v>
          </cell>
          <cell r="B18">
            <v>0.35099999999999998</v>
          </cell>
        </row>
        <row r="19">
          <cell r="A19">
            <v>1983</v>
          </cell>
          <cell r="B19">
            <v>0.36099999999999999</v>
          </cell>
        </row>
        <row r="20">
          <cell r="A20">
            <v>1984</v>
          </cell>
          <cell r="B20">
            <v>0.35699999999999998</v>
          </cell>
        </row>
        <row r="21">
          <cell r="A21">
            <v>1985</v>
          </cell>
          <cell r="B21">
            <v>0.35699999999999998</v>
          </cell>
        </row>
        <row r="22">
          <cell r="A22">
            <v>1986</v>
          </cell>
          <cell r="B22">
            <v>0.35799999999999998</v>
          </cell>
        </row>
        <row r="23">
          <cell r="A23">
            <v>1987</v>
          </cell>
          <cell r="B23">
            <v>0.35499999999999998</v>
          </cell>
        </row>
        <row r="24">
          <cell r="A24">
            <v>1988</v>
          </cell>
          <cell r="B24">
            <v>0.35399999999999998</v>
          </cell>
        </row>
        <row r="25">
          <cell r="A25">
            <v>1989</v>
          </cell>
          <cell r="B25">
            <v>0.35099999999999998</v>
          </cell>
        </row>
        <row r="26">
          <cell r="A26">
            <v>1990</v>
          </cell>
          <cell r="B26">
            <v>0.35699999999999998</v>
          </cell>
        </row>
        <row r="27">
          <cell r="A27">
            <v>1991</v>
          </cell>
          <cell r="B27">
            <v>0.36399999999999999</v>
          </cell>
        </row>
        <row r="28">
          <cell r="A28">
            <v>1992</v>
          </cell>
          <cell r="B28">
            <v>0.36399999999999999</v>
          </cell>
        </row>
        <row r="29">
          <cell r="A29">
            <v>1993</v>
          </cell>
          <cell r="B29">
            <v>0.36699999999999999</v>
          </cell>
        </row>
        <row r="30">
          <cell r="A30">
            <v>1994</v>
          </cell>
          <cell r="B30">
            <v>0.36199999999999999</v>
          </cell>
        </row>
        <row r="31">
          <cell r="A31">
            <v>1995</v>
          </cell>
          <cell r="B31">
            <v>0.36599999999999999</v>
          </cell>
        </row>
        <row r="32">
          <cell r="A32">
            <v>1996</v>
          </cell>
          <cell r="B32">
            <v>0.377</v>
          </cell>
        </row>
        <row r="33">
          <cell r="A33">
            <v>1997</v>
          </cell>
          <cell r="B33">
            <v>0.38500000000000001</v>
          </cell>
        </row>
        <row r="34">
          <cell r="A34">
            <v>1998</v>
          </cell>
          <cell r="B34">
            <v>0.38600000000000001</v>
          </cell>
        </row>
        <row r="35">
          <cell r="A35">
            <v>1999</v>
          </cell>
          <cell r="B35">
            <v>0.38600000000000001</v>
          </cell>
        </row>
        <row r="36">
          <cell r="A36">
            <v>2000</v>
          </cell>
          <cell r="B36">
            <v>0.39200000000000002</v>
          </cell>
        </row>
        <row r="37">
          <cell r="A37">
            <v>2001</v>
          </cell>
          <cell r="B37">
            <v>0.39200000000000002</v>
          </cell>
        </row>
        <row r="38">
          <cell r="A38">
            <v>2002</v>
          </cell>
          <cell r="B38">
            <v>0.39100000000000001</v>
          </cell>
        </row>
        <row r="39">
          <cell r="A39">
            <v>2003</v>
          </cell>
          <cell r="B39">
            <v>0.38900000000000001</v>
          </cell>
        </row>
        <row r="40">
          <cell r="A40">
            <v>2004</v>
          </cell>
          <cell r="B40">
            <v>0.39400000000000002</v>
          </cell>
        </row>
        <row r="41">
          <cell r="A41">
            <v>2005</v>
          </cell>
          <cell r="B41">
            <v>0.39300000000000002</v>
          </cell>
        </row>
        <row r="42">
          <cell r="A42">
            <v>2006</v>
          </cell>
          <cell r="B42">
            <v>0.39200000000000002</v>
          </cell>
        </row>
        <row r="43">
          <cell r="A43">
            <v>2007</v>
          </cell>
          <cell r="B43">
            <v>0.39300000000000002</v>
          </cell>
        </row>
        <row r="44">
          <cell r="A44">
            <v>2008</v>
          </cell>
          <cell r="B44">
            <v>0.39300000000000002</v>
          </cell>
        </row>
      </sheetData>
      <sheetData sheetId="72"/>
      <sheetData sheetId="73">
        <row r="2">
          <cell r="B2" t="str">
            <v>Canada</v>
          </cell>
        </row>
      </sheetData>
      <sheetData sheetId="74">
        <row r="2">
          <cell r="B2" t="str">
            <v>Canada</v>
          </cell>
        </row>
        <row r="18">
          <cell r="B18">
            <v>11.6</v>
          </cell>
          <cell r="C18">
            <v>3505.6577086280058</v>
          </cell>
        </row>
        <row r="45">
          <cell r="B45">
            <v>9.1999999999999993</v>
          </cell>
          <cell r="C45">
            <v>4181.5718157181573</v>
          </cell>
        </row>
      </sheetData>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List"/>
      <sheetName val="Tot"/>
      <sheetName val="Con"/>
      <sheetName val="Wea"/>
      <sheetName val="Equ"/>
      <sheetName val="Sec"/>
      <sheetName val="TotG"/>
      <sheetName val="ConG"/>
      <sheetName val="WeaG"/>
      <sheetName val="EquG"/>
      <sheetName val="SecG"/>
    </sheetNames>
    <sheetDataSet>
      <sheetData sheetId="0"/>
      <sheetData sheetId="1"/>
      <sheetData sheetId="2">
        <row r="5">
          <cell r="H5">
            <v>0.84773486302389722</v>
          </cell>
        </row>
        <row r="6">
          <cell r="H6">
            <v>0.72447359326200633</v>
          </cell>
        </row>
        <row r="7">
          <cell r="H7">
            <v>0.72807660936440866</v>
          </cell>
        </row>
        <row r="8">
          <cell r="H8">
            <v>0.8465865824588471</v>
          </cell>
        </row>
        <row r="9">
          <cell r="H9">
            <v>0.72994075011402426</v>
          </cell>
        </row>
        <row r="10">
          <cell r="H10">
            <v>0.76723732547508694</v>
          </cell>
        </row>
        <row r="11">
          <cell r="H11">
            <v>0.88261624906916214</v>
          </cell>
        </row>
        <row r="12">
          <cell r="H12">
            <v>0.76110813004713385</v>
          </cell>
        </row>
        <row r="13">
          <cell r="H13">
            <v>0.70994344377470053</v>
          </cell>
        </row>
        <row r="14">
          <cell r="H14">
            <v>0.96046009445596614</v>
          </cell>
        </row>
        <row r="15">
          <cell r="H15">
            <v>0.9220986626371046</v>
          </cell>
        </row>
      </sheetData>
      <sheetData sheetId="3">
        <row r="5">
          <cell r="J5">
            <v>667.55785289927962</v>
          </cell>
        </row>
        <row r="6">
          <cell r="J6">
            <v>624.37023250490688</v>
          </cell>
        </row>
        <row r="7">
          <cell r="J7">
            <v>445.37194316035573</v>
          </cell>
        </row>
        <row r="8">
          <cell r="J8">
            <v>663.01367154316188</v>
          </cell>
        </row>
        <row r="9">
          <cell r="J9">
            <v>681.2340708354692</v>
          </cell>
        </row>
        <row r="10">
          <cell r="J10">
            <v>325.13430640059295</v>
          </cell>
        </row>
        <row r="11">
          <cell r="J11">
            <v>437.62043160756332</v>
          </cell>
        </row>
        <row r="12">
          <cell r="J12">
            <v>529.85859450763348</v>
          </cell>
        </row>
        <row r="13">
          <cell r="J13">
            <v>2300.5186506582695</v>
          </cell>
        </row>
        <row r="14">
          <cell r="J14">
            <v>2265.8719571356428</v>
          </cell>
        </row>
        <row r="15">
          <cell r="J15">
            <v>449.03297090118713</v>
          </cell>
        </row>
        <row r="41">
          <cell r="L41">
            <v>0.27621245976709657</v>
          </cell>
        </row>
        <row r="42">
          <cell r="L42">
            <v>0.18686505994443872</v>
          </cell>
        </row>
        <row r="43">
          <cell r="L43">
            <v>8.3333333333333329E-2</v>
          </cell>
        </row>
        <row r="44">
          <cell r="L44">
            <v>0.14694714531033681</v>
          </cell>
        </row>
        <row r="45">
          <cell r="L45">
            <v>0.16814819021960303</v>
          </cell>
        </row>
        <row r="46">
          <cell r="L46">
            <v>0.21594515318213009</v>
          </cell>
        </row>
        <row r="47">
          <cell r="L47">
            <v>0.2122084331100933</v>
          </cell>
        </row>
        <row r="48">
          <cell r="L48">
            <v>0.26448098133586145</v>
          </cell>
        </row>
        <row r="49">
          <cell r="L49">
            <v>0.37988859902323946</v>
          </cell>
        </row>
        <row r="50">
          <cell r="L50">
            <v>0.64829708061120361</v>
          </cell>
        </row>
        <row r="51">
          <cell r="L51">
            <v>0.34257417682053393</v>
          </cell>
        </row>
      </sheetData>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21"/>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list"/>
      <sheetName val="1 (21)"/>
      <sheetName val="1"/>
      <sheetName val="2"/>
      <sheetName val="3"/>
      <sheetName val="4"/>
      <sheetName val="5"/>
      <sheetName val="6"/>
      <sheetName val="7"/>
      <sheetName val="8"/>
      <sheetName val="9"/>
      <sheetName val="10"/>
      <sheetName val="11"/>
      <sheetName val="12"/>
      <sheetName val="a1"/>
      <sheetName val="a2"/>
      <sheetName val="a3"/>
      <sheetName val="a4"/>
      <sheetName val="a5-1"/>
      <sheetName val="a5-2"/>
      <sheetName val="a5-3"/>
      <sheetName val="a5-4"/>
      <sheetName val="a5-5"/>
      <sheetName val="a5-6"/>
      <sheetName val="a5-7"/>
      <sheetName val="a5-8"/>
      <sheetName val="a5-9"/>
      <sheetName val="a5-10"/>
      <sheetName val="a5-11"/>
      <sheetName val="a5"/>
      <sheetName val="a6"/>
      <sheetName val="a7"/>
      <sheetName val="a8"/>
      <sheetName val="a9"/>
      <sheetName val="a10"/>
      <sheetName val="a11"/>
      <sheetName val="a12"/>
      <sheetName val="a12A"/>
      <sheetName val="new gdp"/>
      <sheetName val="a13"/>
      <sheetName val="a14a"/>
      <sheetName val="a14"/>
      <sheetName val="a15"/>
      <sheetName val="a16"/>
      <sheetName val="a17"/>
      <sheetName val="a18(old)"/>
      <sheetName val="a18"/>
      <sheetName val="a19"/>
      <sheetName val="a20"/>
      <sheetName val="a20 (2)"/>
      <sheetName val="a21"/>
      <sheetName val="a22"/>
      <sheetName val="a23"/>
      <sheetName val="a24"/>
      <sheetName val="a25"/>
      <sheetName val="a26"/>
      <sheetName val="a27"/>
      <sheetName val="a28"/>
      <sheetName val="a29"/>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
      <sheetName val="Chart17"/>
      <sheetName val="Chart18"/>
      <sheetName val="Chart19"/>
      <sheetName val="Chart20"/>
      <sheetName val="Chart21"/>
      <sheetName val="Chart22"/>
      <sheetName val="Chart23"/>
      <sheetName val="Chart24"/>
      <sheetName val="Chart25"/>
      <sheetName val="Chart26"/>
      <sheetName val="Chart27"/>
      <sheetName val="Chart28"/>
    </sheetNames>
    <sheetDataSet>
      <sheetData sheetId="0"/>
      <sheetData sheetId="1"/>
      <sheetData sheetId="2">
        <row r="19">
          <cell r="B19">
            <v>26074.431381273986</v>
          </cell>
          <cell r="C19">
            <v>14849.083890899707</v>
          </cell>
          <cell r="D19">
            <v>1</v>
          </cell>
          <cell r="E19">
            <v>6046.2166026798013</v>
          </cell>
          <cell r="F19">
            <v>7405.6692300550103</v>
          </cell>
          <cell r="H19">
            <v>1</v>
          </cell>
          <cell r="I19">
            <v>26544.414111916678</v>
          </cell>
          <cell r="L19">
            <v>0.34348851728046864</v>
          </cell>
          <cell r="M19">
            <v>16288.678104559156</v>
          </cell>
          <cell r="N19">
            <v>10170.31054993725</v>
          </cell>
          <cell r="O19">
            <v>1.1430710905282153</v>
          </cell>
          <cell r="P19">
            <v>4605.3130806645977</v>
          </cell>
          <cell r="R19">
            <v>1203.0854024842463</v>
          </cell>
          <cell r="S19">
            <v>1</v>
          </cell>
          <cell r="V19">
            <v>9.9347480924162461</v>
          </cell>
          <cell r="W19">
            <v>8.3333333333333787E-2</v>
          </cell>
          <cell r="X19">
            <v>17101.207494303671</v>
          </cell>
          <cell r="Y19">
            <v>11873.639225906711</v>
          </cell>
          <cell r="Z19">
            <v>1.0529651814656009</v>
          </cell>
          <cell r="AB19">
            <v>6650.1434918201776</v>
          </cell>
          <cell r="AC19">
            <v>1404.5787448585675</v>
          </cell>
          <cell r="AF19">
            <v>0.19566148030984087</v>
          </cell>
          <cell r="AG19">
            <v>10.097099670689511</v>
          </cell>
          <cell r="AH19">
            <v>0.25105436830067945</v>
          </cell>
          <cell r="AI19">
            <v>18683.455033303915</v>
          </cell>
          <cell r="AJ19">
            <v>12968.038452585244</v>
          </cell>
          <cell r="AL19">
            <v>7622.7686644742216</v>
          </cell>
          <cell r="AM19">
            <v>6244.8985603270603</v>
          </cell>
          <cell r="AP19">
            <v>25406.301573203596</v>
          </cell>
          <cell r="AQ19">
            <v>0.23067440319891308</v>
          </cell>
          <cell r="AR19">
            <v>10.142752515669754</v>
          </cell>
          <cell r="AS19">
            <v>0.29821709065131885</v>
          </cell>
          <cell r="AT19">
            <v>17143.31197203543</v>
          </cell>
          <cell r="AV19">
            <v>1.0539303327369713</v>
          </cell>
          <cell r="AW19">
            <v>5438.644354706862</v>
          </cell>
          <cell r="AZ19">
            <v>0.99338624338624337</v>
          </cell>
          <cell r="BA19">
            <v>21073.381509555998</v>
          </cell>
          <cell r="BB19">
            <v>9.6868453776443764E-2</v>
          </cell>
          <cell r="BC19">
            <v>9.9557659832214416</v>
          </cell>
          <cell r="BD19">
            <v>0.10504634922249646</v>
          </cell>
          <cell r="BF19">
            <v>12937.272336127451</v>
          </cell>
          <cell r="BG19">
            <v>1.0047907372481997</v>
          </cell>
          <cell r="BJ19">
            <v>1530.4000226083788</v>
          </cell>
          <cell r="BK19">
            <v>0.99338624338624337</v>
          </cell>
          <cell r="BL19">
            <v>24042.983440551423</v>
          </cell>
          <cell r="BM19">
            <v>0.18857344716354493</v>
          </cell>
          <cell r="BN19">
            <v>10.087598484133316</v>
          </cell>
          <cell r="BP19">
            <v>28546.77889918549</v>
          </cell>
          <cell r="BQ19">
            <v>15700.239415742975</v>
          </cell>
          <cell r="BT19">
            <v>7476.8302804719742</v>
          </cell>
          <cell r="BU19">
            <v>1857.2420934289669</v>
          </cell>
          <cell r="BV19">
            <v>1.0039682539682542</v>
          </cell>
          <cell r="BW19">
            <v>26951.567344911193</v>
          </cell>
          <cell r="BX19">
            <v>0.27839412815486281</v>
          </cell>
          <cell r="BZ19">
            <v>0.35921407758146712</v>
          </cell>
          <cell r="CA19">
            <v>23792.62740604909</v>
          </cell>
          <cell r="CD19">
            <v>5813.3953814901361</v>
          </cell>
          <cell r="CE19">
            <v>6503.5260443061579</v>
          </cell>
          <cell r="CF19">
            <v>1704.8199047368812</v>
          </cell>
          <cell r="CG19">
            <v>0.99470899470899488</v>
          </cell>
          <cell r="CH19">
            <v>24872.81759269238</v>
          </cell>
          <cell r="CJ19">
            <v>10.121530823210716</v>
          </cell>
          <cell r="CK19">
            <v>0.27629353277251784</v>
          </cell>
          <cell r="CN19">
            <v>0.9986259307970643</v>
          </cell>
          <cell r="CO19">
            <v>6130.006878402467</v>
          </cell>
          <cell r="CP19">
            <v>7335.3930197679529</v>
          </cell>
          <cell r="CQ19">
            <v>1613.7280974131018</v>
          </cell>
          <cell r="CR19">
            <v>1.0092592592592593</v>
          </cell>
          <cell r="CT19">
            <v>0.24006816284305954</v>
          </cell>
          <cell r="CU19">
            <v>10.154654413569785</v>
          </cell>
          <cell r="CX19">
            <v>17319.597888179673</v>
          </cell>
          <cell r="CY19">
            <v>0.97376537470010749</v>
          </cell>
          <cell r="CZ19">
            <v>7187.3692123827086</v>
          </cell>
          <cell r="DA19">
            <v>9016.01433458459</v>
          </cell>
          <cell r="DB19">
            <v>2048.8022753931054</v>
          </cell>
          <cell r="DD19">
            <v>30978.774509396244</v>
          </cell>
          <cell r="DE19">
            <v>0.40275928381186765</v>
          </cell>
        </row>
        <row r="46">
          <cell r="N46">
            <v>21070.779240280328</v>
          </cell>
        </row>
        <row r="47">
          <cell r="B47">
            <v>40246.650258253438</v>
          </cell>
          <cell r="C47">
            <v>25484.883049253505</v>
          </cell>
          <cell r="D47">
            <v>0.93339725372356652</v>
          </cell>
          <cell r="E47">
            <v>8701.5813892202113</v>
          </cell>
          <cell r="F47">
            <v>12732.916611018894</v>
          </cell>
          <cell r="H47">
            <v>1.0784215086562761</v>
          </cell>
          <cell r="I47">
            <v>45388.026290223621</v>
          </cell>
          <cell r="L47">
            <v>0.89765884113438421</v>
          </cell>
          <cell r="M47">
            <v>39637.954726928212</v>
          </cell>
          <cell r="N47">
            <v>21564.692765397343</v>
          </cell>
          <cell r="O47">
            <v>0.93261120699111155</v>
          </cell>
          <cell r="P47">
            <v>10220.641343160663</v>
          </cell>
          <cell r="R47">
            <v>2652.3838952523379</v>
          </cell>
          <cell r="S47">
            <v>1.0416008198107094</v>
          </cell>
          <cell r="V47">
            <v>10.630953192343211</v>
          </cell>
          <cell r="W47">
            <v>0.80256403716273772</v>
          </cell>
          <cell r="X47">
            <v>30324.37081690702</v>
          </cell>
          <cell r="Y47">
            <v>21841.164772819659</v>
          </cell>
          <cell r="Z47">
            <v>0.93571200886180916</v>
          </cell>
          <cell r="AB47">
            <v>10780.255620995644</v>
          </cell>
          <cell r="AC47">
            <v>2686.3890122253792</v>
          </cell>
          <cell r="AF47">
            <v>0.72807660936440866</v>
          </cell>
          <cell r="AG47">
            <v>10.633767657332868</v>
          </cell>
          <cell r="AH47">
            <v>0.80547158500406524</v>
          </cell>
          <cell r="AI47">
            <v>31755.99232562786</v>
          </cell>
          <cell r="AJ47">
            <v>23045.333507530511</v>
          </cell>
          <cell r="AL47">
            <v>10640.980192233477</v>
          </cell>
          <cell r="AM47">
            <v>14030.071497463216</v>
          </cell>
          <cell r="AP47">
            <v>45350.842533294446</v>
          </cell>
          <cell r="AQ47">
            <v>0.8465865824588471</v>
          </cell>
          <cell r="AR47">
            <v>10.722184033833647</v>
          </cell>
          <cell r="AS47">
            <v>0.89681215792915903</v>
          </cell>
          <cell r="AT47">
            <v>32114.320937173776</v>
          </cell>
          <cell r="AV47">
            <v>0.92324299017951073</v>
          </cell>
          <cell r="AW47">
            <v>9394.6335083027916</v>
          </cell>
          <cell r="AZ47">
            <v>1.0675708943066622</v>
          </cell>
          <cell r="BA47">
            <v>41573.60340835846</v>
          </cell>
          <cell r="BB47">
            <v>0.72994075011402426</v>
          </cell>
          <cell r="BC47">
            <v>10.635220711394879</v>
          </cell>
          <cell r="BD47">
            <v>0.80697269594943499</v>
          </cell>
          <cell r="BF47">
            <v>23081.109145889561</v>
          </cell>
          <cell r="BG47">
            <v>0.89711614902979742</v>
          </cell>
          <cell r="BJ47">
            <v>2838.8979545932752</v>
          </cell>
          <cell r="BK47">
            <v>1.0798047819001735</v>
          </cell>
          <cell r="BL47">
            <v>42781.34551836778</v>
          </cell>
          <cell r="BM47">
            <v>0.76723732547508694</v>
          </cell>
          <cell r="BN47">
            <v>10.663857434184049</v>
          </cell>
          <cell r="BP47">
            <v>41662.113507713431</v>
          </cell>
          <cell r="BQ47">
            <v>25823.643061040108</v>
          </cell>
          <cell r="BT47">
            <v>13214.858536336247</v>
          </cell>
          <cell r="BU47">
            <v>3176.2203021854884</v>
          </cell>
          <cell r="BV47">
            <v>1.0824376814145105</v>
          </cell>
          <cell r="BW47">
            <v>46517.559454449169</v>
          </cell>
          <cell r="BX47">
            <v>0.88261624906916214</v>
          </cell>
          <cell r="BZ47">
            <v>0.92305335840916192</v>
          </cell>
          <cell r="CA47">
            <v>42590.758822980984</v>
          </cell>
          <cell r="CD47">
            <v>8640.5843070435258</v>
          </cell>
          <cell r="CE47">
            <v>12200.118687103897</v>
          </cell>
          <cell r="CF47">
            <v>2854.8214652620672</v>
          </cell>
          <cell r="CG47">
            <v>1.0561777794095972</v>
          </cell>
          <cell r="CH47">
            <v>42582.869187842705</v>
          </cell>
          <cell r="CJ47">
            <v>10.659207319640029</v>
          </cell>
          <cell r="CK47">
            <v>0.83175261372431009</v>
          </cell>
          <cell r="CN47">
            <v>0.95808829910321325</v>
          </cell>
          <cell r="CO47">
            <v>8970.5090856945135</v>
          </cell>
          <cell r="CP47">
            <v>9601.8827491938773</v>
          </cell>
          <cell r="CQ47">
            <v>2973.4261396626234</v>
          </cell>
          <cell r="CR47">
            <v>1.0558666961306022</v>
          </cell>
          <cell r="CT47">
            <v>0.70994344377470053</v>
          </cell>
          <cell r="CU47">
            <v>10.619522016370802</v>
          </cell>
          <cell r="CX47">
            <v>29864.753717877571</v>
          </cell>
          <cell r="CY47">
            <v>0.93435160316767729</v>
          </cell>
          <cell r="CZ47">
            <v>9587.3761499113643</v>
          </cell>
          <cell r="DA47">
            <v>11959.235112524608</v>
          </cell>
          <cell r="DB47">
            <v>3673.2631741492055</v>
          </cell>
          <cell r="DD47">
            <v>49038.308053175715</v>
          </cell>
          <cell r="DE47">
            <v>0.96046009445596614</v>
          </cell>
        </row>
        <row r="49">
          <cell r="N49" t="str">
            <v>See first page for notes.</v>
          </cell>
          <cell r="Y49" t="str">
            <v>See first page for notes.</v>
          </cell>
          <cell r="AJ49" t="str">
            <v>See first page for notes.</v>
          </cell>
          <cell r="BF49" t="str">
            <v>See first page for notes.</v>
          </cell>
          <cell r="CX49" t="str">
            <v>See first page for notes.</v>
          </cell>
        </row>
        <row r="51">
          <cell r="C51" t="str">
            <v>Real GDP per capita based on current dollar data from  CANSIM TABLE 3840013 and implicit price deflator (2000=100) from CANSIM TABLE 3840013</v>
          </cell>
        </row>
      </sheetData>
      <sheetData sheetId="3">
        <row r="19">
          <cell r="B19">
            <v>53260.19610462003</v>
          </cell>
          <cell r="C19">
            <v>1227.8557197272121</v>
          </cell>
          <cell r="D19">
            <v>26184.900383233871</v>
          </cell>
          <cell r="E19">
            <v>-9818.5184573276856</v>
          </cell>
          <cell r="F19">
            <v>77530.178961133061</v>
          </cell>
          <cell r="G19">
            <v>649.03106206770872</v>
          </cell>
          <cell r="H19">
            <v>147735.58164931877</v>
          </cell>
          <cell r="I19">
            <v>0.27621245976709657</v>
          </cell>
          <cell r="L19">
            <v>41491.518889209496</v>
          </cell>
          <cell r="M19">
            <v>399.97838784823591</v>
          </cell>
          <cell r="N19">
            <v>17461.703750220044</v>
          </cell>
          <cell r="O19">
            <v>-6042.7746076231751</v>
          </cell>
          <cell r="P19">
            <v>66933.710637172117</v>
          </cell>
          <cell r="Q19">
            <v>483.04935818709532</v>
          </cell>
          <cell r="R19">
            <v>119761.0876986396</v>
          </cell>
          <cell r="S19">
            <v>0.18686505994443872</v>
          </cell>
          <cell r="V19">
            <v>32022.068619436508</v>
          </cell>
          <cell r="W19">
            <v>353.48455278054729</v>
          </cell>
          <cell r="X19">
            <v>558.35522605768847</v>
          </cell>
          <cell r="Y19">
            <v>-7148.1431920578507</v>
          </cell>
          <cell r="Z19">
            <v>62022.122028161939</v>
          </cell>
          <cell r="AA19">
            <v>462.37811479564073</v>
          </cell>
          <cell r="AB19">
            <v>87345.509119583192</v>
          </cell>
          <cell r="AC19">
            <v>8.3333333333333329E-2</v>
          </cell>
          <cell r="AF19">
            <v>39935.223092139044</v>
          </cell>
          <cell r="AG19">
            <v>900.5550522792463</v>
          </cell>
          <cell r="AH19">
            <v>11660.641533725149</v>
          </cell>
          <cell r="AI19">
            <v>-8277.9192312453288</v>
          </cell>
          <cell r="AJ19">
            <v>63659.403464385934</v>
          </cell>
          <cell r="AK19">
            <v>615.03623552002591</v>
          </cell>
          <cell r="AL19">
            <v>107262.86767576404</v>
          </cell>
          <cell r="AM19">
            <v>0.14694714531033681</v>
          </cell>
          <cell r="AP19">
            <v>41609.817563607845</v>
          </cell>
          <cell r="AQ19">
            <v>988.84137132162084</v>
          </cell>
          <cell r="AR19">
            <v>15335.551075302223</v>
          </cell>
          <cell r="AS19">
            <v>-7216.129562589771</v>
          </cell>
          <cell r="AT19">
            <v>63781.532931773574</v>
          </cell>
          <cell r="AU19">
            <v>598.74052678516773</v>
          </cell>
          <cell r="AV19">
            <v>113900.87285263033</v>
          </cell>
          <cell r="AW19">
            <v>0.16814819021960303</v>
          </cell>
          <cell r="AZ19">
            <v>47530.964348614609</v>
          </cell>
          <cell r="BA19">
            <v>903.58221013495267</v>
          </cell>
          <cell r="BB19">
            <v>10498.736507959711</v>
          </cell>
          <cell r="BC19">
            <v>-8649.5409689137341</v>
          </cell>
          <cell r="BD19">
            <v>78931.016925527103</v>
          </cell>
          <cell r="BE19">
            <v>348.75171899032421</v>
          </cell>
          <cell r="BF19">
            <v>128866.00730433232</v>
          </cell>
          <cell r="BG19">
            <v>0.21594515318213009</v>
          </cell>
          <cell r="BJ19">
            <v>53613.235441972713</v>
          </cell>
          <cell r="BK19">
            <v>1246.9258481621964</v>
          </cell>
          <cell r="BL19">
            <v>8096.80067403261</v>
          </cell>
          <cell r="BM19">
            <v>-10982.95521219717</v>
          </cell>
          <cell r="BN19">
            <v>76247.937292116258</v>
          </cell>
          <cell r="BO19">
            <v>525.8963945182536</v>
          </cell>
          <cell r="BP19">
            <v>127696.04764956835</v>
          </cell>
          <cell r="BQ19">
            <v>0.2122084331100933</v>
          </cell>
          <cell r="BT19">
            <v>49176.132085037345</v>
          </cell>
          <cell r="BU19">
            <v>816.99843047726711</v>
          </cell>
          <cell r="BV19">
            <v>9481.451254577385</v>
          </cell>
          <cell r="BW19">
            <v>-9230.8550564287762</v>
          </cell>
          <cell r="BX19">
            <v>94292.588426717615</v>
          </cell>
          <cell r="BY19">
            <v>473.83615614806911</v>
          </cell>
          <cell r="BZ19">
            <v>144062.47898423276</v>
          </cell>
          <cell r="CA19">
            <v>0.26448098133586145</v>
          </cell>
          <cell r="CD19">
            <v>55847.738017276817</v>
          </cell>
          <cell r="CE19">
            <v>552.31706934177078</v>
          </cell>
          <cell r="CF19">
            <v>41942.547327746594</v>
          </cell>
          <cell r="CG19">
            <v>-9116.605272920433</v>
          </cell>
          <cell r="CH19">
            <v>92287.874654605184</v>
          </cell>
          <cell r="CI19">
            <v>1317.4962544924952</v>
          </cell>
          <cell r="CJ19">
            <v>180196.37554155744</v>
          </cell>
          <cell r="CK19">
            <v>0.37988859902323946</v>
          </cell>
          <cell r="CN19">
            <v>78722.375326480149</v>
          </cell>
          <cell r="CO19">
            <v>1076.6830050398605</v>
          </cell>
          <cell r="CP19">
            <v>125822.53492501241</v>
          </cell>
          <cell r="CQ19">
            <v>-13689.59428059681</v>
          </cell>
          <cell r="CR19">
            <v>74529.677642482144</v>
          </cell>
          <cell r="CS19">
            <v>2227.1370183986901</v>
          </cell>
          <cell r="CT19">
            <v>264234.53960001905</v>
          </cell>
          <cell r="CU19">
            <v>0.64829708061120361</v>
          </cell>
          <cell r="CX19">
            <v>51617.956291715935</v>
          </cell>
          <cell r="CY19">
            <v>597.8946930377474</v>
          </cell>
          <cell r="CZ19">
            <v>37284.453141666119</v>
          </cell>
          <cell r="DA19">
            <v>-10144.927222115259</v>
          </cell>
          <cell r="DB19">
            <v>89667.765390435263</v>
          </cell>
          <cell r="DC19">
            <v>509.83845145866979</v>
          </cell>
          <cell r="DD19">
            <v>168513.30384328112</v>
          </cell>
          <cell r="DE19">
            <v>0.34257417682053393</v>
          </cell>
        </row>
        <row r="47">
          <cell r="B47">
            <v>77920.598304812127</v>
          </cell>
          <cell r="C47">
            <v>3466.6153777574536</v>
          </cell>
          <cell r="D47">
            <v>40215.829424280848</v>
          </cell>
          <cell r="E47">
            <v>135.63625088901716</v>
          </cell>
          <cell r="F47">
            <v>106059.27901923333</v>
          </cell>
          <cell r="G47">
            <v>667.55785289927962</v>
          </cell>
          <cell r="H47">
            <v>227130.40052407348</v>
          </cell>
          <cell r="I47">
            <v>0.5297906170112241</v>
          </cell>
          <cell r="L47">
            <v>78782.138822026827</v>
          </cell>
          <cell r="M47">
            <v>1705.1414881898222</v>
          </cell>
          <cell r="N47">
            <v>118638.23192695626</v>
          </cell>
          <cell r="O47">
            <v>119.13573114943598</v>
          </cell>
          <cell r="P47">
            <v>106887.95500384872</v>
          </cell>
          <cell r="Q47">
            <v>624.37023250490688</v>
          </cell>
          <cell r="R47">
            <v>305508.23273966619</v>
          </cell>
          <cell r="S47">
            <v>0.78012063279439559</v>
          </cell>
          <cell r="V47">
            <v>60293.648260453243</v>
          </cell>
          <cell r="W47">
            <v>1844.9245705238245</v>
          </cell>
          <cell r="X47">
            <v>813.60257692065397</v>
          </cell>
          <cell r="Y47">
            <v>101.02957119088032</v>
          </cell>
          <cell r="Z47">
            <v>97454.38810505638</v>
          </cell>
          <cell r="AA47">
            <v>445.37194316035573</v>
          </cell>
          <cell r="AB47">
            <v>160062.22114098462</v>
          </cell>
          <cell r="AC47">
            <v>0.31558236540590417</v>
          </cell>
          <cell r="AF47">
            <v>65323.289805933382</v>
          </cell>
          <cell r="AG47">
            <v>2236.5347943159932</v>
          </cell>
          <cell r="AH47">
            <v>11558.629832638502</v>
          </cell>
          <cell r="AI47">
            <v>108.98023888710597</v>
          </cell>
          <cell r="AJ47">
            <v>92136.93536313955</v>
          </cell>
          <cell r="AK47">
            <v>663.01367154316188</v>
          </cell>
          <cell r="AL47">
            <v>170701.35636337136</v>
          </cell>
          <cell r="AM47">
            <v>0.34956257145209191</v>
          </cell>
          <cell r="AP47">
            <v>65373.438225514634</v>
          </cell>
          <cell r="AQ47">
            <v>1633.8496084763121</v>
          </cell>
          <cell r="AR47">
            <v>26640.071453725712</v>
          </cell>
          <cell r="AS47">
            <v>111.15164300430132</v>
          </cell>
          <cell r="AT47">
            <v>97622.22073167123</v>
          </cell>
          <cell r="AU47">
            <v>681.2340708354692</v>
          </cell>
          <cell r="AV47">
            <v>190699.49759155675</v>
          </cell>
          <cell r="AW47">
            <v>0.41343439423376116</v>
          </cell>
          <cell r="AZ47">
            <v>71433.43255145468</v>
          </cell>
          <cell r="BA47">
            <v>4277.5591736995048</v>
          </cell>
          <cell r="BB47">
            <v>12059.311558449042</v>
          </cell>
          <cell r="BC47">
            <v>124.65268159074091</v>
          </cell>
          <cell r="BD47">
            <v>109202.01156584354</v>
          </cell>
          <cell r="BE47">
            <v>325.13430640059295</v>
          </cell>
          <cell r="BF47">
            <v>196771.83322463691</v>
          </cell>
          <cell r="BG47">
            <v>0.43282875398957049</v>
          </cell>
          <cell r="BJ47">
            <v>73167.586158031932</v>
          </cell>
          <cell r="BK47">
            <v>4481.0271190391832</v>
          </cell>
          <cell r="BL47">
            <v>9001.373985439277</v>
          </cell>
          <cell r="BM47">
            <v>149.55827648794798</v>
          </cell>
          <cell r="BN47">
            <v>102102.50096394886</v>
          </cell>
          <cell r="BO47">
            <v>437.62043160756332</v>
          </cell>
          <cell r="BP47">
            <v>188464.42607133964</v>
          </cell>
          <cell r="BQ47">
            <v>0.40629582618312354</v>
          </cell>
          <cell r="BT47">
            <v>62430.398931556098</v>
          </cell>
          <cell r="BU47">
            <v>1978.8378895601347</v>
          </cell>
          <cell r="BV47">
            <v>13951.552632198967</v>
          </cell>
          <cell r="BW47">
            <v>116.76829356976685</v>
          </cell>
          <cell r="BX47">
            <v>118285.30992380713</v>
          </cell>
          <cell r="BY47">
            <v>529.85859450763348</v>
          </cell>
          <cell r="BZ47">
            <v>196233.00907618448</v>
          </cell>
          <cell r="CA47">
            <v>0.4311078100214415</v>
          </cell>
          <cell r="CD47">
            <v>81367.817968720963</v>
          </cell>
          <cell r="CE47">
            <v>1635.4902082393639</v>
          </cell>
          <cell r="CF47">
            <v>81560.705719363526</v>
          </cell>
          <cell r="CG47">
            <v>106.89060478053985</v>
          </cell>
          <cell r="CH47">
            <v>127503.64526350163</v>
          </cell>
          <cell r="CI47">
            <v>2300.5186506582695</v>
          </cell>
          <cell r="CJ47">
            <v>289874.0311139478</v>
          </cell>
          <cell r="CK47">
            <v>0.73018674423062424</v>
          </cell>
          <cell r="CN47">
            <v>121877.16770137829</v>
          </cell>
          <cell r="CO47">
            <v>2251.6533640520297</v>
          </cell>
          <cell r="CP47">
            <v>115224.56509673317</v>
          </cell>
          <cell r="CQ47">
            <v>156.551838234304</v>
          </cell>
          <cell r="CR47">
            <v>96350.876971168953</v>
          </cell>
          <cell r="CS47">
            <v>2265.8719571356428</v>
          </cell>
          <cell r="CT47">
            <v>333594.94301443116</v>
          </cell>
          <cell r="CU47">
            <v>0.86982643898509715</v>
          </cell>
          <cell r="CX47">
            <v>72270.760932095858</v>
          </cell>
          <cell r="CY47">
            <v>2555.216348360208</v>
          </cell>
          <cell r="CZ47">
            <v>33222.207884186988</v>
          </cell>
          <cell r="DA47">
            <v>127.94046295914642</v>
          </cell>
          <cell r="DB47">
            <v>122804.81719137177</v>
          </cell>
          <cell r="DC47">
            <v>449.03297090118713</v>
          </cell>
          <cell r="DD47">
            <v>230531.90984807277</v>
          </cell>
          <cell r="DE47">
            <v>0.54065465673639967</v>
          </cell>
        </row>
        <row r="49">
          <cell r="B49">
            <v>1.3682078665663067</v>
          </cell>
          <cell r="C49">
            <v>3.7763786197096971</v>
          </cell>
          <cell r="D49">
            <v>1.5442223481478168</v>
          </cell>
          <cell r="E49" t="e">
            <v>#NUM!</v>
          </cell>
          <cell r="F49">
            <v>1.1253236163438318</v>
          </cell>
          <cell r="G49">
            <v>0.10057011121460402</v>
          </cell>
          <cell r="H49">
            <v>1.5479305108905272</v>
          </cell>
          <cell r="L49">
            <v>2.3164118040453374</v>
          </cell>
          <cell r="M49">
            <v>5.3149774592179622</v>
          </cell>
          <cell r="N49">
            <v>7.0826760943375477</v>
          </cell>
          <cell r="O49" t="e">
            <v>#NUM!</v>
          </cell>
          <cell r="P49">
            <v>1.6857598091938764</v>
          </cell>
          <cell r="Q49">
            <v>0.92072956945512541</v>
          </cell>
          <cell r="R49">
            <v>3.4011232766949284</v>
          </cell>
          <cell r="V49">
            <v>2.2857367863562628</v>
          </cell>
          <cell r="W49">
            <v>6.0788647736050416</v>
          </cell>
          <cell r="X49">
            <v>1.3536393009113468</v>
          </cell>
          <cell r="Y49" t="e">
            <v>#NUM!</v>
          </cell>
          <cell r="Z49">
            <v>1.6269985235122686</v>
          </cell>
          <cell r="AA49">
            <v>-0.13374343457389637</v>
          </cell>
          <cell r="AB49">
            <v>2.1867485454397428</v>
          </cell>
          <cell r="AF49">
            <v>1.7729982410991996</v>
          </cell>
          <cell r="AG49">
            <v>3.3021780237897591</v>
          </cell>
          <cell r="AH49">
            <v>-3.1376754405065821E-2</v>
          </cell>
          <cell r="AI49" t="e">
            <v>#NUM!</v>
          </cell>
          <cell r="AJ49">
            <v>1.3292167435482893</v>
          </cell>
          <cell r="AK49">
            <v>0.26862595857302107</v>
          </cell>
          <cell r="AL49">
            <v>1.6732483152422928</v>
          </cell>
          <cell r="AP49">
            <v>1.6265868193938715</v>
          </cell>
          <cell r="AQ49">
            <v>1.8096081881780579</v>
          </cell>
          <cell r="AR49">
            <v>1.9918739504270144</v>
          </cell>
          <cell r="AS49" t="e">
            <v>#NUM!</v>
          </cell>
          <cell r="AT49">
            <v>1.5317610308746454</v>
          </cell>
          <cell r="AU49">
            <v>0.4620557596698216</v>
          </cell>
          <cell r="AV49">
            <v>1.8576519765061583</v>
          </cell>
          <cell r="AZ49">
            <v>1.4655809277291931</v>
          </cell>
          <cell r="BA49">
            <v>5.7098114911418474</v>
          </cell>
          <cell r="BB49">
            <v>0.49616321764625049</v>
          </cell>
          <cell r="BC49" t="e">
            <v>#NUM!</v>
          </cell>
          <cell r="BD49">
            <v>1.1661225827095389</v>
          </cell>
          <cell r="BE49">
            <v>-0.25012208178422091</v>
          </cell>
          <cell r="BF49">
            <v>1.5231683484791425</v>
          </cell>
          <cell r="BJ49">
            <v>1.116748682670976</v>
          </cell>
          <cell r="BK49">
            <v>4.6744301260543963</v>
          </cell>
          <cell r="BL49">
            <v>0.37895990694112314</v>
          </cell>
          <cell r="BM49" t="e">
            <v>#NUM!</v>
          </cell>
          <cell r="BN49">
            <v>1.0482664182925649</v>
          </cell>
          <cell r="BO49">
            <v>-0.65410948819266679</v>
          </cell>
          <cell r="BP49">
            <v>1.399909866149418</v>
          </cell>
          <cell r="BT49">
            <v>0.85594217784499271</v>
          </cell>
          <cell r="BU49">
            <v>3.20982354284578</v>
          </cell>
          <cell r="BV49">
            <v>1.3890351485914332</v>
          </cell>
          <cell r="BW49" t="e">
            <v>#NUM!</v>
          </cell>
          <cell r="BX49">
            <v>0.81291851250051561</v>
          </cell>
          <cell r="BY49">
            <v>0.3998995024466323</v>
          </cell>
          <cell r="BZ49">
            <v>1.1098843317470797</v>
          </cell>
          <cell r="CD49">
            <v>1.3531838192565537</v>
          </cell>
          <cell r="CE49">
            <v>3.9531942274508403</v>
          </cell>
          <cell r="CF49">
            <v>2.4035990286011888</v>
          </cell>
          <cell r="CG49" t="e">
            <v>#NUM!</v>
          </cell>
          <cell r="CH49">
            <v>1.1610895990921355</v>
          </cell>
          <cell r="CI49">
            <v>2.0106663879049913</v>
          </cell>
          <cell r="CJ49">
            <v>1.712349831528015</v>
          </cell>
          <cell r="CN49">
            <v>1.5732700617701045</v>
          </cell>
          <cell r="CO49">
            <v>2.6699488204141142</v>
          </cell>
          <cell r="CP49">
            <v>-0.3137549605538914</v>
          </cell>
          <cell r="CQ49" t="e">
            <v>#NUM!</v>
          </cell>
          <cell r="CR49">
            <v>0.92135823050136789</v>
          </cell>
          <cell r="CS49">
            <v>6.1600188377197718E-2</v>
          </cell>
          <cell r="CT49">
            <v>0.83594032790401673</v>
          </cell>
          <cell r="CX49">
            <v>1.2092170214976994</v>
          </cell>
          <cell r="CY49">
            <v>5.3243233759972419</v>
          </cell>
          <cell r="CZ49">
            <v>-0.41114486649621584</v>
          </cell>
          <cell r="DA49" t="e">
            <v>#NUM!</v>
          </cell>
          <cell r="DB49">
            <v>1.1294914787356669</v>
          </cell>
          <cell r="DC49">
            <v>-0.45253580277175853</v>
          </cell>
          <cell r="DD49">
            <v>1.1254813785480433</v>
          </cell>
        </row>
        <row r="51">
          <cell r="I51">
            <v>0.25357815724412752</v>
          </cell>
          <cell r="S51">
            <v>0.59325557284995689</v>
          </cell>
          <cell r="AC51">
            <v>0.23224903207257086</v>
          </cell>
          <cell r="AM51">
            <v>0.2026154261417551</v>
          </cell>
          <cell r="AW51">
            <v>0.24528620401415813</v>
          </cell>
          <cell r="BG51">
            <v>0.2168836008074404</v>
          </cell>
          <cell r="BQ51">
            <v>0.19408739307303025</v>
          </cell>
          <cell r="CA51">
            <v>0.16662682868558004</v>
          </cell>
          <cell r="CK51">
            <v>0.35029814520738478</v>
          </cell>
          <cell r="CU51">
            <v>0.22152935837389354</v>
          </cell>
          <cell r="DE51">
            <v>0.19808047991586575</v>
          </cell>
        </row>
      </sheetData>
      <sheetData sheetId="4">
        <row r="19">
          <cell r="D19">
            <v>0.62244113598221285</v>
          </cell>
          <cell r="G19">
            <v>0.39026473009288049</v>
          </cell>
          <cell r="J19">
            <v>0.52406742643011883</v>
          </cell>
          <cell r="M19">
            <v>0.48022551887018616</v>
          </cell>
          <cell r="P19">
            <v>0.46035731768219157</v>
          </cell>
          <cell r="S19">
            <v>0.61402684986208844</v>
          </cell>
          <cell r="V19">
            <v>0.75446042080433962</v>
          </cell>
          <cell r="Y19">
            <v>0.47313490614672399</v>
          </cell>
          <cell r="AB19">
            <v>0.30056286714272312</v>
          </cell>
          <cell r="AE19">
            <v>0.69467784720655845</v>
          </cell>
          <cell r="AH19">
            <v>0.5537067867056451</v>
          </cell>
        </row>
        <row r="47">
          <cell r="D47">
            <v>0.58259815407218163</v>
          </cell>
          <cell r="G47">
            <v>0.58213098772691763</v>
          </cell>
          <cell r="J47">
            <v>0.81367944007484105</v>
          </cell>
          <cell r="M47">
            <v>0.59975254102576969</v>
          </cell>
          <cell r="P47">
            <v>0.54643675814737303</v>
          </cell>
          <cell r="S47">
            <v>0.65733332912271591</v>
          </cell>
          <cell r="V47">
            <v>0.61076433892504456</v>
          </cell>
          <cell r="Y47">
            <v>0.55128141843586498</v>
          </cell>
          <cell r="AB47">
            <v>0.37605586197981328</v>
          </cell>
          <cell r="AE47">
            <v>0.69616554736389646</v>
          </cell>
          <cell r="AH47">
            <v>0.41712584487096765</v>
          </cell>
        </row>
        <row r="49">
          <cell r="D49">
            <v>-3.9842981910031217E-2</v>
          </cell>
          <cell r="G49">
            <v>0.19186625763403714</v>
          </cell>
          <cell r="J49">
            <v>0.28961201364472222</v>
          </cell>
          <cell r="M49">
            <v>0.11952702215558353</v>
          </cell>
          <cell r="P49">
            <v>8.6079440465181456E-2</v>
          </cell>
          <cell r="S49">
            <v>4.3306479260627473E-2</v>
          </cell>
          <cell r="V49">
            <v>-0.14369608187929506</v>
          </cell>
          <cell r="Y49">
            <v>7.814651228914099E-2</v>
          </cell>
          <cell r="AB49">
            <v>7.5492994837090155E-2</v>
          </cell>
          <cell r="AE49">
            <v>1.4877001573380122E-3</v>
          </cell>
          <cell r="AH49">
            <v>-0.13658094183467745</v>
          </cell>
        </row>
      </sheetData>
      <sheetData sheetId="5">
        <row r="19">
          <cell r="B19">
            <v>7.6</v>
          </cell>
          <cell r="C19">
            <v>0.70833333333333326</v>
          </cell>
          <cell r="D19">
            <v>66.628312562670118</v>
          </cell>
          <cell r="E19">
            <v>38.422308089725213</v>
          </cell>
          <cell r="F19">
            <v>0.256001355278142</v>
          </cell>
          <cell r="G19">
            <v>0.30068835912320602</v>
          </cell>
          <cell r="H19">
            <v>0.6268043384913079</v>
          </cell>
          <cell r="I19">
            <v>13.5</v>
          </cell>
          <cell r="J19">
            <v>0.41567460317460314</v>
          </cell>
          <cell r="K19">
            <v>131.73879310344827</v>
          </cell>
          <cell r="L19">
            <v>34.760908941381771</v>
          </cell>
          <cell r="M19">
            <v>0.45793601911164988</v>
          </cell>
          <cell r="N19">
            <v>0.56969796777240611</v>
          </cell>
          <cell r="O19">
            <v>0.44647927609416377</v>
          </cell>
          <cell r="P19">
            <v>11.3</v>
          </cell>
          <cell r="Q19">
            <v>0.52480158730158721</v>
          </cell>
          <cell r="R19">
            <v>117.72222222222221</v>
          </cell>
          <cell r="S19">
            <v>42.581261659939315</v>
          </cell>
          <cell r="T19">
            <v>0.50127607476339675</v>
          </cell>
          <cell r="U19">
            <v>0.62743392646508289</v>
          </cell>
          <cell r="V19">
            <v>0.54532805513428639</v>
          </cell>
          <cell r="W19">
            <v>10</v>
          </cell>
          <cell r="X19">
            <v>0.58928571428571419</v>
          </cell>
          <cell r="Y19">
            <v>89.95077838827838</v>
          </cell>
          <cell r="Z19">
            <v>37.137454185035921</v>
          </cell>
          <cell r="AA19">
            <v>0.33405429113030077</v>
          </cell>
          <cell r="AB19">
            <v>0.40466748449428175</v>
          </cell>
          <cell r="AC19">
            <v>0.55236206832742774</v>
          </cell>
          <cell r="AD19">
            <v>11.6</v>
          </cell>
          <cell r="AE19">
            <v>0.50992063492063489</v>
          </cell>
          <cell r="AF19">
            <v>118.71785361028682</v>
          </cell>
          <cell r="AG19">
            <v>37.789860397187233</v>
          </cell>
          <cell r="AH19">
            <v>0.44863311145864493</v>
          </cell>
          <cell r="AI19">
            <v>0.55730499125452682</v>
          </cell>
          <cell r="AJ19">
            <v>0.51939750618741332</v>
          </cell>
          <cell r="AK19">
            <v>10.5</v>
          </cell>
          <cell r="AL19">
            <v>0.56448412698412698</v>
          </cell>
          <cell r="AM19">
            <v>75.687525344687757</v>
          </cell>
          <cell r="AN19">
            <v>34.507697891790521</v>
          </cell>
          <cell r="AO19">
            <v>0.26118022587717232</v>
          </cell>
          <cell r="AP19">
            <v>0.30758745176357927</v>
          </cell>
          <cell r="AQ19">
            <v>0.51310479194001746</v>
          </cell>
          <cell r="AR19">
            <v>6.6</v>
          </cell>
          <cell r="AS19">
            <v>0.75793650793650791</v>
          </cell>
          <cell r="AT19">
            <v>51.038470017636691</v>
          </cell>
          <cell r="AU19">
            <v>35.740441600834458</v>
          </cell>
          <cell r="AV19">
            <v>0.18241374570612845</v>
          </cell>
          <cell r="AW19">
            <v>0.20265777003762528</v>
          </cell>
          <cell r="AX19">
            <v>0.64688076035673148</v>
          </cell>
          <cell r="AY19">
            <v>6</v>
          </cell>
          <cell r="AZ19">
            <v>0.78769841269841268</v>
          </cell>
          <cell r="BA19">
            <v>55.348484848484844</v>
          </cell>
          <cell r="BB19">
            <v>39.155668633734244</v>
          </cell>
          <cell r="BC19">
            <v>0.21672069321065332</v>
          </cell>
          <cell r="BD19">
            <v>0.24836016875877781</v>
          </cell>
          <cell r="BE19">
            <v>0.67983076391048569</v>
          </cell>
          <cell r="BF19">
            <v>4.5</v>
          </cell>
          <cell r="BG19">
            <v>0.86210317460317454</v>
          </cell>
          <cell r="BH19">
            <v>52.367647058823529</v>
          </cell>
          <cell r="BI19">
            <v>37.08199131463973</v>
          </cell>
          <cell r="BJ19">
            <v>0.19418966334034127</v>
          </cell>
          <cell r="BK19">
            <v>0.2183451955351943</v>
          </cell>
          <cell r="BL19">
            <v>0.73335157878957857</v>
          </cell>
          <cell r="BM19">
            <v>3.9</v>
          </cell>
          <cell r="BN19">
            <v>0.89186507936507942</v>
          </cell>
          <cell r="BO19">
            <v>31.555786555786558</v>
          </cell>
          <cell r="BP19">
            <v>36.733337357911616</v>
          </cell>
          <cell r="BQ19">
            <v>0.11591493531479596</v>
          </cell>
          <cell r="BR19">
            <v>0.11407060714339934</v>
          </cell>
          <cell r="BS19">
            <v>0.73630618492074351</v>
          </cell>
          <cell r="BT19">
            <v>6.8</v>
          </cell>
          <cell r="BU19">
            <v>0.74801587301587291</v>
          </cell>
          <cell r="BV19">
            <v>57.300397648686022</v>
          </cell>
          <cell r="BW19">
            <v>33.650384659563244</v>
          </cell>
          <cell r="BX19">
            <v>0.1928180422024218</v>
          </cell>
          <cell r="BY19">
            <v>0.2165179744998256</v>
          </cell>
          <cell r="BZ19">
            <v>0.64171629331266355</v>
          </cell>
        </row>
        <row r="47">
          <cell r="B47">
            <v>8.3000000000000007</v>
          </cell>
          <cell r="C47">
            <v>0.67361111111111105</v>
          </cell>
          <cell r="D47">
            <v>48.258433129359119</v>
          </cell>
          <cell r="E47">
            <v>40.593542433183977</v>
          </cell>
          <cell r="F47">
            <v>0.19589807529956108</v>
          </cell>
          <cell r="G47">
            <v>0.22062107637623823</v>
          </cell>
          <cell r="H47">
            <v>0.58301310416413654</v>
          </cell>
          <cell r="I47">
            <v>15.5</v>
          </cell>
          <cell r="J47">
            <v>0.3164682539682539</v>
          </cell>
          <cell r="K47">
            <v>104.65224765903309</v>
          </cell>
          <cell r="L47">
            <v>44.122580806689861</v>
          </cell>
          <cell r="M47">
            <v>0.46175272539374074</v>
          </cell>
          <cell r="N47">
            <v>0.57478243739135537</v>
          </cell>
          <cell r="O47">
            <v>0.36813109065287419</v>
          </cell>
          <cell r="P47">
            <v>12</v>
          </cell>
          <cell r="Q47">
            <v>0.490079365079365</v>
          </cell>
          <cell r="R47">
            <v>90.061403505263158</v>
          </cell>
          <cell r="S47">
            <v>49.138418283792987</v>
          </cell>
          <cell r="T47">
            <v>0.44254749166670809</v>
          </cell>
          <cell r="U47">
            <v>0.54919796214155336</v>
          </cell>
          <cell r="V47">
            <v>0.50190308449180265</v>
          </cell>
          <cell r="W47">
            <v>9.1999999999999993</v>
          </cell>
          <cell r="X47">
            <v>0.62896825396825395</v>
          </cell>
          <cell r="Y47">
            <v>71.922101456521744</v>
          </cell>
          <cell r="Z47">
            <v>47.646551606148115</v>
          </cell>
          <cell r="AA47">
            <v>0.34268401186707836</v>
          </cell>
          <cell r="AB47">
            <v>0.41616366724013493</v>
          </cell>
          <cell r="AC47">
            <v>0.58640733662263012</v>
          </cell>
          <cell r="AD47">
            <v>8.9</v>
          </cell>
          <cell r="AE47">
            <v>0.64384920634920628</v>
          </cell>
          <cell r="AF47">
            <v>98.403361344537814</v>
          </cell>
          <cell r="AG47">
            <v>44.447565543071157</v>
          </cell>
          <cell r="AH47">
            <v>0.43737898530198588</v>
          </cell>
          <cell r="AI47">
            <v>0.54231267633633284</v>
          </cell>
          <cell r="AJ47">
            <v>0.62354190034663159</v>
          </cell>
          <cell r="AK47">
            <v>8.5</v>
          </cell>
          <cell r="AL47">
            <v>0.66369047619047616</v>
          </cell>
          <cell r="AM47">
            <v>56.013513513513516</v>
          </cell>
          <cell r="AN47">
            <v>44.423375734112881</v>
          </cell>
          <cell r="AO47">
            <v>0.24883093569986203</v>
          </cell>
          <cell r="AP47">
            <v>0.29113620137086482</v>
          </cell>
          <cell r="AQ47">
            <v>0.58917962122655387</v>
          </cell>
          <cell r="AR47">
            <v>9</v>
          </cell>
          <cell r="AS47">
            <v>0.63888888888888884</v>
          </cell>
          <cell r="AT47">
            <v>37.979840785824344</v>
          </cell>
          <cell r="AU47">
            <v>37.235307273091088</v>
          </cell>
          <cell r="AV47">
            <v>0.14141910418432466</v>
          </cell>
          <cell r="AW47">
            <v>0.14804628202887471</v>
          </cell>
          <cell r="AX47">
            <v>0.54072036751688601</v>
          </cell>
          <cell r="AY47">
            <v>5.2</v>
          </cell>
          <cell r="AZ47">
            <v>0.82738095238095233</v>
          </cell>
          <cell r="BA47">
            <v>45.496987951807228</v>
          </cell>
          <cell r="BB47">
            <v>42.763268744734631</v>
          </cell>
          <cell r="BC47">
            <v>0.19455999228590862</v>
          </cell>
          <cell r="BD47">
            <v>0.21883853354278213</v>
          </cell>
          <cell r="BE47">
            <v>0.70567246861331834</v>
          </cell>
          <cell r="BF47">
            <v>4.8</v>
          </cell>
          <cell r="BG47">
            <v>0.8472222222222221</v>
          </cell>
          <cell r="BH47">
            <v>49.058935361216726</v>
          </cell>
          <cell r="BI47">
            <v>40.305273355026202</v>
          </cell>
          <cell r="BJ47">
            <v>0.19773338002404012</v>
          </cell>
          <cell r="BK47">
            <v>0.22306599888885451</v>
          </cell>
          <cell r="BL47">
            <v>0.7223909775555486</v>
          </cell>
          <cell r="BM47">
            <v>6.6</v>
          </cell>
          <cell r="BN47">
            <v>0.75793650793650791</v>
          </cell>
          <cell r="BO47">
            <v>39.314602720114536</v>
          </cell>
          <cell r="BP47">
            <v>36.969448215620027</v>
          </cell>
          <cell r="BQ47">
            <v>0.14534391693789483</v>
          </cell>
          <cell r="BR47">
            <v>0.15327476693986455</v>
          </cell>
          <cell r="BS47">
            <v>0.63700415973717928</v>
          </cell>
          <cell r="BT47">
            <v>7.6</v>
          </cell>
          <cell r="BU47">
            <v>0.70833333333333326</v>
          </cell>
          <cell r="BV47">
            <v>45.467545277030666</v>
          </cell>
          <cell r="BW47">
            <v>46.489280293051323</v>
          </cell>
          <cell r="BX47">
            <v>0.21137534566208804</v>
          </cell>
          <cell r="BY47">
            <v>0.24123930191583168</v>
          </cell>
          <cell r="BZ47">
            <v>0.61491452704983296</v>
          </cell>
        </row>
        <row r="48">
          <cell r="F48"/>
          <cell r="M48"/>
          <cell r="T48"/>
          <cell r="AA48"/>
          <cell r="AH48"/>
          <cell r="AO48"/>
          <cell r="AV48"/>
          <cell r="BC48"/>
          <cell r="BJ48"/>
          <cell r="BQ48"/>
          <cell r="BX48"/>
        </row>
        <row r="49">
          <cell r="B49">
            <v>-0.81098796016809693</v>
          </cell>
          <cell r="D49">
            <v>-1.5805399023100075</v>
          </cell>
          <cell r="E49">
            <v>0.19861635698266156</v>
          </cell>
          <cell r="I49">
            <v>-8.3198170565745855E-2</v>
          </cell>
          <cell r="K49">
            <v>-0.7730257425145215</v>
          </cell>
          <cell r="L49">
            <v>0.6835911741100098</v>
          </cell>
          <cell r="P49">
            <v>-0.16747660703370082</v>
          </cell>
          <cell r="R49">
            <v>-0.89879712229139486</v>
          </cell>
          <cell r="S49">
            <v>0.53313354513080391</v>
          </cell>
          <cell r="W49">
            <v>-0.96334743576902415</v>
          </cell>
          <cell r="Y49">
            <v>-0.77256068909530295</v>
          </cell>
          <cell r="Z49">
            <v>0.66251019167540282</v>
          </cell>
          <cell r="AD49">
            <v>-1.1021879227271048</v>
          </cell>
          <cell r="AF49">
            <v>-1.1320022274917019</v>
          </cell>
          <cell r="AG49">
            <v>0.53858175267640362</v>
          </cell>
          <cell r="AK49">
            <v>-1.387667921734892</v>
          </cell>
          <cell r="AM49">
            <v>-1.3145044391177363</v>
          </cell>
          <cell r="AN49">
            <v>0.77102641982349507</v>
          </cell>
          <cell r="AR49">
            <v>-5.6530208730221077E-2</v>
          </cell>
          <cell r="AT49">
            <v>-1.9002303837401424</v>
          </cell>
          <cell r="AU49">
            <v>0.43133797817589414</v>
          </cell>
          <cell r="AY49">
            <v>-1.3123311590249043</v>
          </cell>
          <cell r="BA49">
            <v>-1.1587214461168727</v>
          </cell>
          <cell r="BB49">
            <v>0.30802856558764802</v>
          </cell>
          <cell r="BF49">
            <v>-0.34418566319934785</v>
          </cell>
          <cell r="BH49">
            <v>-1.1267872294268955</v>
          </cell>
          <cell r="BI49">
            <v>0.54882829835580793</v>
          </cell>
          <cell r="BM49">
            <v>-0.29601548050385285</v>
          </cell>
          <cell r="BO49">
            <v>-1.0914197574084961</v>
          </cell>
          <cell r="BP49">
            <v>0.27572227768049018</v>
          </cell>
          <cell r="BT49">
            <v>-1.4372248807827948</v>
          </cell>
          <cell r="BV49">
            <v>-1.4946984990484413</v>
          </cell>
          <cell r="BW49">
            <v>0.9190820103951669</v>
          </cell>
        </row>
        <row r="50">
          <cell r="C50"/>
          <cell r="G50"/>
          <cell r="J50"/>
          <cell r="N50"/>
          <cell r="Q50"/>
          <cell r="X50"/>
          <cell r="AE50"/>
          <cell r="AI50"/>
          <cell r="AL50"/>
          <cell r="AP50"/>
          <cell r="AS50"/>
          <cell r="AW50"/>
          <cell r="AZ50"/>
          <cell r="BD50"/>
          <cell r="BG50"/>
          <cell r="BK50"/>
          <cell r="BN50"/>
          <cell r="BR50"/>
          <cell r="BU50"/>
          <cell r="BY50"/>
        </row>
        <row r="51">
          <cell r="H51">
            <v>3.8120685056413195E-2</v>
          </cell>
          <cell r="O51">
            <v>8.8226118737032566E-3</v>
          </cell>
          <cell r="V51">
            <v>7.1065064419953972E-3</v>
          </cell>
          <cell r="AC51">
            <v>8.8543287590201358E-2</v>
          </cell>
          <cell r="AJ51">
            <v>0.1011345365798022</v>
          </cell>
          <cell r="AQ51">
            <v>0.12126602468611114</v>
          </cell>
          <cell r="AX51">
            <v>-1.2112715935823415E-2</v>
          </cell>
          <cell r="BE51">
            <v>5.9489404288633585E-2</v>
          </cell>
          <cell r="BL51">
            <v>8.3034381981147432E-3</v>
          </cell>
          <cell r="BS51">
            <v>5.75730714274858E-3</v>
          </cell>
          <cell r="BZ51">
            <v>7.9723451084451447E-2</v>
          </cell>
        </row>
      </sheetData>
      <sheetData sheetId="6">
        <row r="17">
          <cell r="B17">
            <v>2.65462729352992</v>
          </cell>
          <cell r="C17">
            <v>0.79948096518922318</v>
          </cell>
          <cell r="D17">
            <v>5.4615670978847151</v>
          </cell>
          <cell r="E17">
            <v>0.28823367571908565</v>
          </cell>
          <cell r="F17">
            <v>5.3820960698689957</v>
          </cell>
          <cell r="G17">
            <v>0.30270828169439296</v>
          </cell>
          <cell r="H17">
            <v>2.4104046242774571</v>
          </cell>
          <cell r="I17">
            <v>0.84396292290302011</v>
          </cell>
          <cell r="J17">
            <v>3.3661678348171997</v>
          </cell>
          <cell r="K17">
            <v>0.66988318310751815</v>
          </cell>
          <cell r="L17">
            <v>2.470600717961414</v>
          </cell>
          <cell r="M17">
            <v>0.8329989935430574</v>
          </cell>
          <cell r="N17">
            <v>2.6612939332885603</v>
          </cell>
          <cell r="O17">
            <v>0.79826672414950051</v>
          </cell>
          <cell r="P17">
            <v>3.0096274591879451</v>
          </cell>
          <cell r="Q17">
            <v>0.73482233867627123</v>
          </cell>
          <cell r="R17">
            <v>2.0692341941228851</v>
          </cell>
          <cell r="S17">
            <v>0.90610264438663735</v>
          </cell>
          <cell r="T17">
            <v>2.2516069077673664</v>
          </cell>
          <cell r="U17">
            <v>0.87288584530195368</v>
          </cell>
          <cell r="V17">
            <v>2.8843756151978477</v>
          </cell>
          <cell r="W17">
            <v>0.75763532014517476</v>
          </cell>
        </row>
        <row r="45">
          <cell r="B45">
            <v>5.2856372234498341</v>
          </cell>
          <cell r="C45">
            <v>0.32027699610027532</v>
          </cell>
          <cell r="D45">
            <v>5.1705887935575232</v>
          </cell>
          <cell r="E45">
            <v>0.34123155944680172</v>
          </cell>
          <cell r="F45">
            <v>6.0328896521999003</v>
          </cell>
          <cell r="G45">
            <v>0.18417476186078394</v>
          </cell>
          <cell r="H45">
            <v>5.8298025149877271</v>
          </cell>
          <cell r="I45">
            <v>0.22116442165501646</v>
          </cell>
          <cell r="J45">
            <v>6.8194537270794084</v>
          </cell>
          <cell r="K45">
            <v>4.0912426611251079E-2</v>
          </cell>
          <cell r="L45">
            <v>5.1727492940494457</v>
          </cell>
          <cell r="M45">
            <v>0.34083805260398287</v>
          </cell>
          <cell r="N45">
            <v>6.0225646913517537</v>
          </cell>
          <cell r="O45">
            <v>0.186055318130395</v>
          </cell>
          <cell r="P45">
            <v>5.002179245209363</v>
          </cell>
          <cell r="Q45">
            <v>0.37190515101449756</v>
          </cell>
          <cell r="R45">
            <v>3.9090944432090851</v>
          </cell>
          <cell r="S45">
            <v>0.5709962185595312</v>
          </cell>
          <cell r="T45">
            <v>3.7923200836500004</v>
          </cell>
          <cell r="U45">
            <v>0.59226513736982112</v>
          </cell>
          <cell r="V45">
            <v>5.0847376762021401</v>
          </cell>
          <cell r="W45">
            <v>0.35686821505937594</v>
          </cell>
        </row>
        <row r="47">
          <cell r="B47">
            <v>2.4901010494415843</v>
          </cell>
          <cell r="D47">
            <v>-0.1953417956451764</v>
          </cell>
          <cell r="F47">
            <v>0.40850427845007253</v>
          </cell>
          <cell r="H47">
            <v>3.2045181244846122</v>
          </cell>
          <cell r="J47">
            <v>2.5535016105044717</v>
          </cell>
          <cell r="L47">
            <v>2.674214285770149</v>
          </cell>
          <cell r="N47">
            <v>2.9597432881695251</v>
          </cell>
          <cell r="P47">
            <v>1.8310524827094721</v>
          </cell>
          <cell r="R47">
            <v>2.2978865313382446</v>
          </cell>
          <cell r="T47">
            <v>1.8793481632455755</v>
          </cell>
          <cell r="V47">
            <v>2.0454052909257836</v>
          </cell>
        </row>
        <row r="49">
          <cell r="C49">
            <v>-0.47920396908894786</v>
          </cell>
          <cell r="E49">
            <v>5.2997883727716077E-2</v>
          </cell>
          <cell r="G49">
            <v>-0.11853351983360902</v>
          </cell>
          <cell r="I49">
            <v>-0.62279850124800362</v>
          </cell>
          <cell r="K49">
            <v>-0.6289707564962671</v>
          </cell>
          <cell r="M49">
            <v>-0.49216094093907453</v>
          </cell>
          <cell r="O49">
            <v>-0.61221140601910551</v>
          </cell>
          <cell r="Q49">
            <v>-0.36291718766177367</v>
          </cell>
          <cell r="S49">
            <v>-0.33510642582710615</v>
          </cell>
          <cell r="U49">
            <v>-0.28062070793213256</v>
          </cell>
          <cell r="W49">
            <v>-0.40076710508579882</v>
          </cell>
        </row>
      </sheetData>
      <sheetData sheetId="7">
        <row r="19">
          <cell r="B19">
            <v>1.1155668651039621</v>
          </cell>
          <cell r="C19">
            <v>66.691349889075596</v>
          </cell>
          <cell r="D19">
            <v>0.30380600637744043</v>
          </cell>
          <cell r="E19">
            <v>22.602759812502203</v>
          </cell>
          <cell r="F19">
            <v>0.42532354935121364</v>
          </cell>
          <cell r="G19">
            <v>0.44217700291028628</v>
          </cell>
          <cell r="H19">
            <v>56.934654519472467</v>
          </cell>
          <cell r="I19">
            <v>0.42891562697011887</v>
          </cell>
          <cell r="J19">
            <v>10.798034503407282</v>
          </cell>
          <cell r="K19">
            <v>0.72429325856365734</v>
          </cell>
          <cell r="L19">
            <v>0.65672794956891256</v>
          </cell>
          <cell r="M19">
            <v>48.630497618679897</v>
          </cell>
          <cell r="N19">
            <v>0.4061947830017657</v>
          </cell>
          <cell r="O19">
            <v>12.972645623066866</v>
          </cell>
          <cell r="P19">
            <v>0.6692184612200992</v>
          </cell>
          <cell r="Q19">
            <v>1.1271649212464421</v>
          </cell>
          <cell r="R19">
            <v>69.332232101718205</v>
          </cell>
          <cell r="S19">
            <v>0.25050093475766555</v>
          </cell>
          <cell r="T19">
            <v>19.57636246440758</v>
          </cell>
          <cell r="U19">
            <v>0.50197091821663387</v>
          </cell>
          <cell r="V19">
            <v>0.79920917832429683</v>
          </cell>
          <cell r="W19">
            <v>74.03588389699226</v>
          </cell>
          <cell r="X19">
            <v>0.34734787833632558</v>
          </cell>
          <cell r="Y19">
            <v>20.552628819835231</v>
          </cell>
          <cell r="Z19">
            <v>0.47724572887476718</v>
          </cell>
          <cell r="AA19">
            <v>1.2255675106158808</v>
          </cell>
          <cell r="AB19">
            <v>48.254559910041252</v>
          </cell>
          <cell r="AC19">
            <v>0.34237963556780454</v>
          </cell>
          <cell r="AD19">
            <v>20.248064887458966</v>
          </cell>
          <cell r="AE19">
            <v>0.48495919851636715</v>
          </cell>
          <cell r="AF19">
            <v>0.98321616447283533</v>
          </cell>
          <cell r="AG19">
            <v>40.520595327825994</v>
          </cell>
          <cell r="AH19">
            <v>0.32018643500295874</v>
          </cell>
          <cell r="AI19">
            <v>12.756389047062756</v>
          </cell>
          <cell r="AJ19">
            <v>0.6746954345464854</v>
          </cell>
          <cell r="AK19">
            <v>0.95434157790573948</v>
          </cell>
          <cell r="AL19">
            <v>51.830196581062168</v>
          </cell>
          <cell r="AM19">
            <v>0.37016067136183434</v>
          </cell>
          <cell r="AN19">
            <v>18.309520689586428</v>
          </cell>
          <cell r="AO19">
            <v>0.53405530028562198</v>
          </cell>
          <cell r="AP19">
            <v>0.81584048038309043</v>
          </cell>
          <cell r="AQ19">
            <v>64.231582491408957</v>
          </cell>
          <cell r="AR19">
            <v>0.31279824381713106</v>
          </cell>
          <cell r="AS19">
            <v>16.391480387378152</v>
          </cell>
          <cell r="AT19">
            <v>0.58263211477254218</v>
          </cell>
          <cell r="AU19">
            <v>1.5228109592460837</v>
          </cell>
          <cell r="AV19">
            <v>23.038678832205743</v>
          </cell>
          <cell r="AW19">
            <v>0.31741474962277078</v>
          </cell>
          <cell r="AX19">
            <v>11.136037068289456</v>
          </cell>
          <cell r="AY19">
            <v>0.71573291294866626</v>
          </cell>
          <cell r="AZ19">
            <v>1.3384270218208674</v>
          </cell>
          <cell r="BA19">
            <v>58.01578063360563</v>
          </cell>
          <cell r="BB19">
            <v>0.35004449180021774</v>
          </cell>
          <cell r="BC19">
            <v>27.180915755543058</v>
          </cell>
          <cell r="BD19">
            <v>0.30937591692594996</v>
          </cell>
        </row>
        <row r="47">
          <cell r="B47">
            <v>0.88346681775528202</v>
          </cell>
          <cell r="C47">
            <v>35.50002345972036</v>
          </cell>
          <cell r="D47">
            <v>0.28972607660347477</v>
          </cell>
          <cell r="E47">
            <v>9.0867058144038175</v>
          </cell>
          <cell r="F47">
            <v>0.7676348380686111</v>
          </cell>
          <cell r="G47">
            <v>0.51479574417101426</v>
          </cell>
          <cell r="H47">
            <v>53.139759734019229</v>
          </cell>
          <cell r="I47">
            <v>0.27323068496859509</v>
          </cell>
          <cell r="J47">
            <v>7.4745319951354787</v>
          </cell>
          <cell r="K47">
            <v>0.80846519416128704</v>
          </cell>
          <cell r="L47">
            <v>0.81501811432564408</v>
          </cell>
          <cell r="M47">
            <v>47.828096944723647</v>
          </cell>
          <cell r="N47">
            <v>0.21309947720309069</v>
          </cell>
          <cell r="O47">
            <v>8.3067807242370026</v>
          </cell>
          <cell r="P47">
            <v>0.78738743470336825</v>
          </cell>
          <cell r="Q47">
            <v>0.8073498886571786</v>
          </cell>
          <cell r="R47">
            <v>37.573291254990501</v>
          </cell>
          <cell r="S47">
            <v>0.1133850724664342</v>
          </cell>
          <cell r="T47">
            <v>3.4395126471366941</v>
          </cell>
          <cell r="U47">
            <v>0.91065720029025232</v>
          </cell>
          <cell r="V47">
            <v>0.66275509392080079</v>
          </cell>
          <cell r="W47">
            <v>45.514180432744269</v>
          </cell>
          <cell r="X47">
            <v>0.30015398253573305</v>
          </cell>
          <cell r="Y47">
            <v>9.0540713236830026</v>
          </cell>
          <cell r="Z47">
            <v>0.76846134812671296</v>
          </cell>
          <cell r="AA47">
            <v>0.79322862218455703</v>
          </cell>
          <cell r="AB47">
            <v>28.589398209637803</v>
          </cell>
          <cell r="AC47">
            <v>0.25939988670502939</v>
          </cell>
          <cell r="AD47">
            <v>5.8826522005724815</v>
          </cell>
          <cell r="AE47">
            <v>0.84878157822106604</v>
          </cell>
          <cell r="AF47">
            <v>0.97034486850654122</v>
          </cell>
          <cell r="AG47">
            <v>35.835462029197316</v>
          </cell>
          <cell r="AH47">
            <v>0.28033377837040852</v>
          </cell>
          <cell r="AI47">
            <v>9.7479782674287314</v>
          </cell>
          <cell r="AJ47">
            <v>0.75088727064840688</v>
          </cell>
          <cell r="AK47">
            <v>0.88761990752435038</v>
          </cell>
          <cell r="AL47">
            <v>28.528646597944704</v>
          </cell>
          <cell r="AM47">
            <v>0.30532757043064523</v>
          </cell>
          <cell r="AN47">
            <v>7.7316863030302923</v>
          </cell>
          <cell r="AO47">
            <v>0.80195243366572455</v>
          </cell>
          <cell r="AP47">
            <v>0.74333264845619385</v>
          </cell>
          <cell r="AQ47">
            <v>49.640136751676408</v>
          </cell>
          <cell r="AR47">
            <v>0.30736927017948212</v>
          </cell>
          <cell r="AS47">
            <v>11.34165998660842</v>
          </cell>
          <cell r="AT47">
            <v>0.71052525055182325</v>
          </cell>
          <cell r="AU47">
            <v>0.92970884735706172</v>
          </cell>
          <cell r="AV47">
            <v>28.187785369155097</v>
          </cell>
          <cell r="AW47">
            <v>0.24646929487948852</v>
          </cell>
          <cell r="AX47">
            <v>6.4590811725213815</v>
          </cell>
          <cell r="AY47">
            <v>0.83418278006077207</v>
          </cell>
          <cell r="AZ47">
            <v>0.90517763933824646</v>
          </cell>
          <cell r="BA47">
            <v>45.766465536635287</v>
          </cell>
          <cell r="BB47">
            <v>0.35968717468406913</v>
          </cell>
          <cell r="BC47">
            <v>14.900681898782492</v>
          </cell>
          <cell r="BD47">
            <v>0.6203884859679315</v>
          </cell>
        </row>
        <row r="49">
          <cell r="B49">
            <v>-0.82962595287231489</v>
          </cell>
          <cell r="C49">
            <v>-2.2267685614974386</v>
          </cell>
          <cell r="D49">
            <v>-0.16933306818894822</v>
          </cell>
          <cell r="E49">
            <v>-3.2021095283918277</v>
          </cell>
          <cell r="G49">
            <v>0.54454854687158161</v>
          </cell>
          <cell r="H49">
            <v>-0.24604958384178977</v>
          </cell>
          <cell r="I49">
            <v>-1.5976140998738342</v>
          </cell>
          <cell r="J49">
            <v>-1.3052024520155525</v>
          </cell>
          <cell r="L49">
            <v>0.77419755278185232</v>
          </cell>
          <cell r="M49">
            <v>-5.9402307389566644E-2</v>
          </cell>
          <cell r="N49">
            <v>-2.277499072646183</v>
          </cell>
          <cell r="O49">
            <v>-1.5794326995310914</v>
          </cell>
          <cell r="Q49">
            <v>-1.1847251292769645</v>
          </cell>
          <cell r="R49">
            <v>-2.1641546163817305</v>
          </cell>
          <cell r="S49">
            <v>-2.7912780573372653</v>
          </cell>
          <cell r="T49">
            <v>-6.0217576376086264</v>
          </cell>
          <cell r="V49">
            <v>-0.66640241218848262</v>
          </cell>
          <cell r="W49">
            <v>-1.7225836228075497</v>
          </cell>
          <cell r="X49">
            <v>-0.52018230901659246</v>
          </cell>
          <cell r="Y49">
            <v>-2.8853216359690514</v>
          </cell>
          <cell r="AA49">
            <v>-1.5417338751951615</v>
          </cell>
          <cell r="AB49">
            <v>-1.8521135136074451</v>
          </cell>
          <cell r="AC49">
            <v>-0.98635094717961502</v>
          </cell>
          <cell r="AD49">
            <v>-4.3184500778442159</v>
          </cell>
          <cell r="AF49">
            <v>-4.705127005962817E-2</v>
          </cell>
          <cell r="AG49">
            <v>-0.43786857958403314</v>
          </cell>
          <cell r="AH49">
            <v>-0.47359810176089701</v>
          </cell>
          <cell r="AI49">
            <v>-0.95601633319342127</v>
          </cell>
          <cell r="AK49">
            <v>-0.25851540118152494</v>
          </cell>
          <cell r="AL49">
            <v>-2.1097978245766202</v>
          </cell>
          <cell r="AM49">
            <v>-0.68532641311882525</v>
          </cell>
          <cell r="AN49">
            <v>-3.031992189231536</v>
          </cell>
          <cell r="AP49">
            <v>-0.33185952390802909</v>
          </cell>
          <cell r="AQ49">
            <v>-0.91611823628798827</v>
          </cell>
          <cell r="AR49">
            <v>-6.2510936046067389E-2</v>
          </cell>
          <cell r="AS49">
            <v>-1.3066702485186377</v>
          </cell>
          <cell r="AU49">
            <v>-1.7468544225534344</v>
          </cell>
          <cell r="AV49">
            <v>0.7230092146561784</v>
          </cell>
          <cell r="AW49">
            <v>-0.89940187856275555</v>
          </cell>
          <cell r="AX49">
            <v>-1.9265549281445749</v>
          </cell>
          <cell r="AZ49">
            <v>-1.3871432906169323</v>
          </cell>
          <cell r="BA49">
            <v>-0.84343518650694671</v>
          </cell>
          <cell r="BB49">
            <v>9.7098641100457073E-2</v>
          </cell>
          <cell r="BC49">
            <v>-2.1239346826074312</v>
          </cell>
        </row>
        <row r="51">
          <cell r="F51">
            <v>0.34231128871739747</v>
          </cell>
          <cell r="K51">
            <v>8.4171935597629699E-2</v>
          </cell>
          <cell r="P51">
            <v>0.11816897348326905</v>
          </cell>
          <cell r="U51">
            <v>0.40868628207361846</v>
          </cell>
          <cell r="Z51">
            <v>0.29121561925194578</v>
          </cell>
          <cell r="AE51">
            <v>0.36382237970469888</v>
          </cell>
          <cell r="AJ51">
            <v>7.6191836101921484E-2</v>
          </cell>
          <cell r="AO51">
            <v>0.26789713338010257</v>
          </cell>
          <cell r="AT51">
            <v>0.12789313577928108</v>
          </cell>
          <cell r="AY51">
            <v>0.11844986711210581</v>
          </cell>
          <cell r="BD51">
            <v>0.31101256904198155</v>
          </cell>
        </row>
      </sheetData>
      <sheetData sheetId="8">
        <row r="19">
          <cell r="B19">
            <v>18.698072632663571</v>
          </cell>
          <cell r="C19">
            <v>0.26864873646793302</v>
          </cell>
          <cell r="D19">
            <v>9.4938736797148329E-2</v>
          </cell>
          <cell r="E19">
            <v>0.59957115064117927</v>
          </cell>
          <cell r="F19">
            <v>39.26792065175939</v>
          </cell>
          <cell r="G19">
            <v>0.12103796805124216</v>
          </cell>
          <cell r="H19">
            <v>8.9829986247912288E-2</v>
          </cell>
          <cell r="I19">
            <v>0.61748001155677368</v>
          </cell>
          <cell r="J19">
            <v>26.155342864094951</v>
          </cell>
          <cell r="K19">
            <v>0.28445219302363223</v>
          </cell>
          <cell r="L19">
            <v>0.14061495363886187</v>
          </cell>
          <cell r="M19">
            <v>0.43945195776120954</v>
          </cell>
          <cell r="N19">
            <v>15.41185695155573</v>
          </cell>
          <cell r="O19">
            <v>0.20927067084688039</v>
          </cell>
          <cell r="P19">
            <v>6.0957218257391449E-2</v>
          </cell>
          <cell r="Q19">
            <v>0.71869426760765598</v>
          </cell>
          <cell r="R19">
            <v>18.533590396338397</v>
          </cell>
          <cell r="S19">
            <v>0.69144502350917403</v>
          </cell>
          <cell r="T19">
            <v>0.24220272221407591</v>
          </cell>
          <cell r="U19">
            <v>8.3333333333333301E-2</v>
          </cell>
          <cell r="V19">
            <v>21.467032765301987</v>
          </cell>
          <cell r="W19">
            <v>0.34151023760042454</v>
          </cell>
          <cell r="X19">
            <v>0.13855989659880777</v>
          </cell>
          <cell r="Y19">
            <v>0.44665601486856732</v>
          </cell>
          <cell r="Z19">
            <v>10.09156171314741</v>
          </cell>
          <cell r="AA19">
            <v>0.21913571560963976</v>
          </cell>
          <cell r="AB19">
            <v>4.1795868195195651E-2</v>
          </cell>
          <cell r="AC19">
            <v>0.78586488983938652</v>
          </cell>
          <cell r="AD19">
            <v>19.41621478748997</v>
          </cell>
          <cell r="AE19">
            <v>0.24488410576577926</v>
          </cell>
          <cell r="AF19">
            <v>8.9864253276665765E-2</v>
          </cell>
          <cell r="AG19">
            <v>0.61735988757616</v>
          </cell>
          <cell r="AH19">
            <v>33.231051344026554</v>
          </cell>
          <cell r="AI19">
            <v>0.29772722347242919</v>
          </cell>
          <cell r="AJ19">
            <v>0.18699260547983579</v>
          </cell>
          <cell r="AK19">
            <v>0.27687386583693974</v>
          </cell>
          <cell r="AL19">
            <v>31.338711305099384</v>
          </cell>
          <cell r="AM19">
            <v>0.20241303554796375</v>
          </cell>
          <cell r="AN19">
            <v>0.11988957365455999</v>
          </cell>
          <cell r="AO19">
            <v>0.51210532847965462</v>
          </cell>
          <cell r="AP19">
            <v>37.427717875787579</v>
          </cell>
          <cell r="AQ19">
            <v>0.12463391777541241</v>
          </cell>
          <cell r="AR19">
            <v>8.8164022821567392E-2</v>
          </cell>
          <cell r="AS19">
            <v>0.62332009065347949</v>
          </cell>
        </row>
        <row r="47">
          <cell r="B47">
            <v>6.890877704121209</v>
          </cell>
          <cell r="C47">
            <v>0.17352750142489359</v>
          </cell>
          <cell r="D47">
            <v>2.2599803342730481E-2</v>
          </cell>
          <cell r="E47">
            <v>0.85315720569163278</v>
          </cell>
          <cell r="F47">
            <v>14.034481677677217</v>
          </cell>
          <cell r="G47">
            <v>0.13149702228374358</v>
          </cell>
          <cell r="H47">
            <v>3.4879809193304891E-2</v>
          </cell>
          <cell r="I47">
            <v>0.81010931860043223</v>
          </cell>
          <cell r="J47">
            <v>13.510962102969089</v>
          </cell>
          <cell r="K47">
            <v>0.14656536324936748</v>
          </cell>
          <cell r="L47">
            <v>3.7426518394084937E-2</v>
          </cell>
          <cell r="M47">
            <v>0.80118176176835021</v>
          </cell>
          <cell r="N47">
            <v>12.475196635689969</v>
          </cell>
          <cell r="O47">
            <v>0.14108767001327921</v>
          </cell>
          <cell r="P47">
            <v>3.3265822456824246E-2</v>
          </cell>
          <cell r="Q47">
            <v>0.81576719202851888</v>
          </cell>
          <cell r="R47">
            <v>12.295082508028814</v>
          </cell>
          <cell r="S47">
            <v>0.12104020064423034</v>
          </cell>
          <cell r="T47">
            <v>2.8126965895103394E-2</v>
          </cell>
          <cell r="U47">
            <v>0.83378159037153654</v>
          </cell>
          <cell r="V47">
            <v>9.4334850781015103</v>
          </cell>
          <cell r="W47">
            <v>1.11665062943535</v>
          </cell>
          <cell r="X47">
            <v>0.19909084324936652</v>
          </cell>
          <cell r="Y47">
            <v>0.23446317158788968</v>
          </cell>
          <cell r="Z47">
            <v>4.983034547930659</v>
          </cell>
          <cell r="AA47">
            <v>0.25039930359675727</v>
          </cell>
          <cell r="AB47">
            <v>2.3582444393347925E-2</v>
          </cell>
          <cell r="AC47">
            <v>0.84971253135573421</v>
          </cell>
          <cell r="AD47">
            <v>9.1915965906694055</v>
          </cell>
          <cell r="AE47">
            <v>0.17410554127235281</v>
          </cell>
          <cell r="AF47">
            <v>3.0245819301979018E-2</v>
          </cell>
          <cell r="AG47">
            <v>0.82635389340364618</v>
          </cell>
          <cell r="AH47">
            <v>10.922391775511416</v>
          </cell>
          <cell r="AI47">
            <v>0.17766516033924176</v>
          </cell>
          <cell r="AJ47">
            <v>3.6675988386992348E-2</v>
          </cell>
          <cell r="AK47">
            <v>0.80381276466826901</v>
          </cell>
          <cell r="AL47">
            <v>1.5543676161103548</v>
          </cell>
          <cell r="AM47">
            <v>0.29451323275436025</v>
          </cell>
          <cell r="AN47">
            <v>8.6520766155266972E-3</v>
          </cell>
          <cell r="AO47">
            <v>0.90205133266825022</v>
          </cell>
          <cell r="AP47">
            <v>5.7151659964948172</v>
          </cell>
          <cell r="AQ47">
            <v>0.14878774167170331</v>
          </cell>
          <cell r="AR47">
            <v>1.6071551531860361E-2</v>
          </cell>
          <cell r="AS47">
            <v>0.87604216603097318</v>
          </cell>
        </row>
        <row r="49">
          <cell r="B49">
            <v>-3.5022781028557048</v>
          </cell>
          <cell r="C49">
            <v>-1.5488395212997053</v>
          </cell>
          <cell r="D49">
            <v>-4.9968729567525632</v>
          </cell>
          <cell r="F49">
            <v>-3.6079150663166915</v>
          </cell>
          <cell r="G49">
            <v>0.29643824465122037</v>
          </cell>
          <cell r="H49">
            <v>-3.3221720617565786</v>
          </cell>
          <cell r="J49">
            <v>-2.3315051503975281</v>
          </cell>
          <cell r="K49">
            <v>-2.340370202050579</v>
          </cell>
          <cell r="L49">
            <v>-4.6173095006489362</v>
          </cell>
          <cell r="N49">
            <v>-0.75213839413161843</v>
          </cell>
          <cell r="O49">
            <v>-1.3981587580052079</v>
          </cell>
          <cell r="P49">
            <v>-2.1397810633069558</v>
          </cell>
          <cell r="R49">
            <v>-1.4549735858297108</v>
          </cell>
          <cell r="S49">
            <v>-6.0340675274184292</v>
          </cell>
          <cell r="T49">
            <v>-7.4012470245730766</v>
          </cell>
          <cell r="V49">
            <v>-2.8939175257331584</v>
          </cell>
          <cell r="W49">
            <v>4.3218992974902948</v>
          </cell>
          <cell r="X49">
            <v>1.302909570542532</v>
          </cell>
          <cell r="Z49">
            <v>-2.488723907235868</v>
          </cell>
          <cell r="AA49">
            <v>0.47744190402754239</v>
          </cell>
          <cell r="AB49">
            <v>-2.0231642140170369</v>
          </cell>
          <cell r="AD49">
            <v>-2.6354317391392379</v>
          </cell>
          <cell r="AE49">
            <v>-1.2109066074767028</v>
          </cell>
          <cell r="AF49">
            <v>-3.814425729551163</v>
          </cell>
          <cell r="AH49">
            <v>-3.89589982847659</v>
          </cell>
          <cell r="AI49">
            <v>-1.826951763031448</v>
          </cell>
          <cell r="AJ49">
            <v>-5.6516753809057523</v>
          </cell>
          <cell r="AL49">
            <v>-10.172412513249885</v>
          </cell>
          <cell r="AM49">
            <v>1.3483435250150277</v>
          </cell>
          <cell r="AN49">
            <v>-8.9612280536950699</v>
          </cell>
          <cell r="AP49">
            <v>-6.4914617765658438</v>
          </cell>
          <cell r="AQ49">
            <v>0.63464810774773728</v>
          </cell>
          <cell r="AR49">
            <v>-5.8980116081482459</v>
          </cell>
        </row>
        <row r="51">
          <cell r="E51">
            <v>0.25358605505045351</v>
          </cell>
          <cell r="I51">
            <v>0.19262930704365855</v>
          </cell>
          <cell r="M51">
            <v>0.36172980400714067</v>
          </cell>
          <cell r="Q51">
            <v>9.7072924420862905E-2</v>
          </cell>
          <cell r="U51">
            <v>0.75044825703820328</v>
          </cell>
          <cell r="Y51">
            <v>-0.21219284328067764</v>
          </cell>
          <cell r="AC51">
            <v>6.3847641516347697E-2</v>
          </cell>
          <cell r="AG51">
            <v>0.20899400582748617</v>
          </cell>
          <cell r="AK51">
            <v>0.52693889883132927</v>
          </cell>
          <cell r="AO51">
            <v>0.3899460041885956</v>
          </cell>
          <cell r="AS51">
            <v>0.25272207537749369</v>
          </cell>
        </row>
      </sheetData>
      <sheetData sheetId="9">
        <row r="16">
          <cell r="F16">
            <v>0.65965773193210397</v>
          </cell>
          <cell r="K16">
            <v>0.44909260107801646</v>
          </cell>
          <cell r="P16">
            <v>0.4568628949412793</v>
          </cell>
          <cell r="U16">
            <v>0.68108408780916574</v>
          </cell>
          <cell r="Z16">
            <v>0.54333636106830019</v>
          </cell>
          <cell r="AE16">
            <v>0.63774514006080363</v>
          </cell>
          <cell r="AJ16">
            <v>0.72881653700162874</v>
          </cell>
          <cell r="AO16">
            <v>0.67076738582361706</v>
          </cell>
          <cell r="AT16">
            <v>0.74195086234949492</v>
          </cell>
          <cell r="AY16">
            <v>0.77670048061031971</v>
          </cell>
          <cell r="BD16">
            <v>0.63282860527469653</v>
          </cell>
        </row>
        <row r="44">
          <cell r="F44">
            <v>0.52953838304203926</v>
          </cell>
          <cell r="K44">
            <v>0.47756974210840747</v>
          </cell>
          <cell r="P44">
            <v>0.44812789574422957</v>
          </cell>
          <cell r="U44">
            <v>0.50571654990393444</v>
          </cell>
          <cell r="Z44">
            <v>0.42087793615102032</v>
          </cell>
          <cell r="AE44">
            <v>0.47377617132475969</v>
          </cell>
          <cell r="AJ44">
            <v>0.45741779241698383</v>
          </cell>
          <cell r="AO44">
            <v>0.59024158861067644</v>
          </cell>
          <cell r="AT44">
            <v>0.66361989746635552</v>
          </cell>
          <cell r="AY44">
            <v>0.67784337066030165</v>
          </cell>
          <cell r="BD44">
            <v>0.53663647889826871</v>
          </cell>
        </row>
        <row r="48">
          <cell r="F48">
            <v>-0.10413640874020624</v>
          </cell>
          <cell r="K48">
            <v>5.8592890566560862E-2</v>
          </cell>
          <cell r="P48">
            <v>4.9354930078392978E-3</v>
          </cell>
          <cell r="U48">
            <v>-0.15928263316132407</v>
          </cell>
          <cell r="Z48">
            <v>-0.10692900907815955</v>
          </cell>
          <cell r="AE48">
            <v>-6.6534724947385104E-2</v>
          </cell>
          <cell r="AJ48">
            <v>-0.23807752733221865</v>
          </cell>
          <cell r="AO48">
            <v>-8.052579721294062E-2</v>
          </cell>
          <cell r="AT48">
            <v>-7.8330964883139398E-2</v>
          </cell>
          <cell r="AY48">
            <v>-7.3731998839937862E-2</v>
          </cell>
          <cell r="BD48">
            <v>-6.2057127795228206E-2</v>
          </cell>
        </row>
      </sheetData>
      <sheetData sheetId="10">
        <row r="49">
          <cell r="H49">
            <v>0.166382489622795</v>
          </cell>
          <cell r="P49">
            <v>0.36368480786076451</v>
          </cell>
          <cell r="X49">
            <v>0.2613852938937028</v>
          </cell>
          <cell r="AF49">
            <v>0.19067177241301037</v>
          </cell>
          <cell r="AN49">
            <v>0.21049487897491009</v>
          </cell>
          <cell r="AV49">
            <v>0.16872124741089145</v>
          </cell>
          <cell r="BD49">
            <v>9.5803671880847374E-2</v>
          </cell>
          <cell r="BL49">
            <v>0.17778897951709793</v>
          </cell>
          <cell r="BT49">
            <v>0.20433386402324416</v>
          </cell>
          <cell r="CB49">
            <v>0.17046518980632808</v>
          </cell>
          <cell r="CJ49">
            <v>0.12962626113197262</v>
          </cell>
        </row>
      </sheetData>
      <sheetData sheetId="11">
        <row r="49">
          <cell r="H49">
            <v>0.396266579470888</v>
          </cell>
          <cell r="P49">
            <v>0.51347194153875075</v>
          </cell>
          <cell r="X49">
            <v>0.40537930034372516</v>
          </cell>
          <cell r="AF49">
            <v>0.42427447300477222</v>
          </cell>
          <cell r="AN49">
            <v>0.44127508688830414</v>
          </cell>
          <cell r="AV49">
            <v>0.40495233269578146</v>
          </cell>
          <cell r="BD49">
            <v>0.38624117857280604</v>
          </cell>
          <cell r="BL49">
            <v>0.38165450036411136</v>
          </cell>
          <cell r="BT49">
            <v>0.36365871416828222</v>
          </cell>
          <cell r="CB49">
            <v>0.40280656230899015</v>
          </cell>
          <cell r="CJ49">
            <v>0.38376908414666733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7">
          <cell r="B17">
            <v>0.34799999999999998</v>
          </cell>
          <cell r="C17">
            <v>0.6209677419354841</v>
          </cell>
          <cell r="D17">
            <v>0.32700000000000001</v>
          </cell>
          <cell r="E17">
            <v>0.80913978494623651</v>
          </cell>
          <cell r="F17">
            <v>0.33900000000000002</v>
          </cell>
          <cell r="G17">
            <v>0.70161290322580627</v>
          </cell>
          <cell r="H17">
            <v>0.34200000000000003</v>
          </cell>
          <cell r="I17">
            <v>0.67473118279569866</v>
          </cell>
          <cell r="J17">
            <v>0.35199999999999998</v>
          </cell>
          <cell r="K17">
            <v>0.58512544802867394</v>
          </cell>
          <cell r="L17">
            <v>0.34499999999999997</v>
          </cell>
          <cell r="M17">
            <v>0.6478494623655916</v>
          </cell>
          <cell r="N17">
            <v>0.33800000000000002</v>
          </cell>
          <cell r="O17">
            <v>0.71057347670250881</v>
          </cell>
          <cell r="P17">
            <v>0.35799999999999998</v>
          </cell>
          <cell r="Q17">
            <v>0.53136200716845883</v>
          </cell>
          <cell r="R17">
            <v>0.376</v>
          </cell>
          <cell r="S17">
            <v>0.37007168458781342</v>
          </cell>
          <cell r="T17">
            <v>0.34599999999999997</v>
          </cell>
          <cell r="U17">
            <v>0.63888888888888906</v>
          </cell>
          <cell r="V17">
            <v>0.35399999999999998</v>
          </cell>
          <cell r="W17">
            <v>0.56720430107526898</v>
          </cell>
        </row>
        <row r="44">
          <cell r="C44">
            <v>0.21774193548387052</v>
          </cell>
          <cell r="E44">
            <v>0.42383512544802854</v>
          </cell>
          <cell r="G44">
            <v>0.79121863799283154</v>
          </cell>
          <cell r="I44">
            <v>0.40591397849462352</v>
          </cell>
          <cell r="K44">
            <v>0.45967741935483863</v>
          </cell>
          <cell r="M44">
            <v>0.37007168458781342</v>
          </cell>
          <cell r="O44">
            <v>0.22670250896057303</v>
          </cell>
          <cell r="Q44">
            <v>0.34318996415770586</v>
          </cell>
          <cell r="S44">
            <v>0.28942652329749069</v>
          </cell>
          <cell r="U44">
            <v>0.20878136200716799</v>
          </cell>
          <cell r="W44">
            <v>0.14605734767025033</v>
          </cell>
        </row>
        <row r="45">
          <cell r="B45">
            <v>0.39300000000000002</v>
          </cell>
          <cell r="C45">
            <v>0.21774193548387052</v>
          </cell>
          <cell r="D45">
            <v>0.37</v>
          </cell>
          <cell r="E45">
            <v>0.42383512544802854</v>
          </cell>
          <cell r="F45">
            <v>0.32900000000000001</v>
          </cell>
          <cell r="G45">
            <v>0.79121863799283154</v>
          </cell>
          <cell r="H45">
            <v>0.372</v>
          </cell>
          <cell r="I45">
            <v>0.40591397849462352</v>
          </cell>
          <cell r="J45">
            <v>0.36599999999999999</v>
          </cell>
          <cell r="K45">
            <v>0.45967741935483863</v>
          </cell>
          <cell r="L45">
            <v>0.376</v>
          </cell>
          <cell r="M45">
            <v>0.37007168458781342</v>
          </cell>
          <cell r="N45">
            <v>0.39200000000000002</v>
          </cell>
          <cell r="O45">
            <v>0.22670250896057303</v>
          </cell>
          <cell r="P45">
            <v>0.379</v>
          </cell>
          <cell r="Q45">
            <v>0.34318996415770586</v>
          </cell>
          <cell r="R45">
            <v>0.38500000000000001</v>
          </cell>
          <cell r="S45">
            <v>0.28942652329749069</v>
          </cell>
          <cell r="T45">
            <v>0.39400000000000002</v>
          </cell>
          <cell r="U45">
            <v>0.20878136200716799</v>
          </cell>
          <cell r="V45">
            <v>0.40100000000000002</v>
          </cell>
          <cell r="W45">
            <v>0.14605734767025033</v>
          </cell>
        </row>
        <row r="47">
          <cell r="B47">
            <v>0.43525568394275904</v>
          </cell>
          <cell r="D47">
            <v>0.44219923788750837</v>
          </cell>
          <cell r="F47">
            <v>-0.10687983068996543</v>
          </cell>
          <cell r="H47">
            <v>0.30074818983880647</v>
          </cell>
          <cell r="J47">
            <v>0.13939047907132185</v>
          </cell>
          <cell r="L47">
            <v>0.30777525259932936</v>
          </cell>
          <cell r="N47">
            <v>0.53074615182733265</v>
          </cell>
          <cell r="P47">
            <v>0.20379029459767217</v>
          </cell>
          <cell r="R47">
            <v>8.4514946978431205E-2</v>
          </cell>
          <cell r="T47">
            <v>0.46504992424383218</v>
          </cell>
          <cell r="V47">
            <v>0.44622303094663529</v>
          </cell>
        </row>
      </sheetData>
      <sheetData sheetId="45"/>
      <sheetData sheetId="46">
        <row r="18">
          <cell r="B18">
            <v>11.6</v>
          </cell>
          <cell r="C18">
            <v>3505.6577086280058</v>
          </cell>
          <cell r="D18">
            <v>40665.629420084864</v>
          </cell>
          <cell r="E18">
            <v>0.5192660335887952</v>
          </cell>
          <cell r="G18">
            <v>1986.8421052631579</v>
          </cell>
          <cell r="H18">
            <v>26425</v>
          </cell>
          <cell r="I18">
            <v>0.73544783390593726</v>
          </cell>
          <cell r="J18">
            <v>12</v>
          </cell>
          <cell r="K18">
            <v>1933.3333333333333</v>
          </cell>
          <cell r="L18">
            <v>23200</v>
          </cell>
          <cell r="M18">
            <v>0.7844053824423437</v>
          </cell>
          <cell r="N18">
            <v>12.1</v>
          </cell>
          <cell r="O18">
            <v>2520</v>
          </cell>
          <cell r="P18">
            <v>30492</v>
          </cell>
          <cell r="Q18">
            <v>0.67370819052684727</v>
          </cell>
          <cell r="R18">
            <v>15</v>
          </cell>
          <cell r="S18">
            <v>2307.6923076923076</v>
          </cell>
          <cell r="T18">
            <v>34615.384615384617</v>
          </cell>
          <cell r="U18">
            <v>0.6111125928704243</v>
          </cell>
          <cell r="V18">
            <v>14.3</v>
          </cell>
          <cell r="W18">
            <v>3544.3722943722942</v>
          </cell>
          <cell r="X18">
            <v>50684.523809523809</v>
          </cell>
          <cell r="Y18">
            <v>0.3671728527044269</v>
          </cell>
          <cell r="Z18">
            <v>10</v>
          </cell>
          <cell r="AA18">
            <v>3524.1935483870966</v>
          </cell>
          <cell r="AB18">
            <v>35241.93548387097</v>
          </cell>
          <cell r="AC18">
            <v>0.60160115269850234</v>
          </cell>
          <cell r="AD18">
            <v>14.2</v>
          </cell>
          <cell r="AE18">
            <v>3773.049645390071</v>
          </cell>
          <cell r="AF18">
            <v>53577.304964539006</v>
          </cell>
          <cell r="AG18">
            <v>0.32325859726199019</v>
          </cell>
          <cell r="AH18">
            <v>12.2</v>
          </cell>
          <cell r="AI18">
            <v>3000</v>
          </cell>
          <cell r="AJ18">
            <v>36600</v>
          </cell>
          <cell r="AK18">
            <v>0.58098487069417415</v>
          </cell>
          <cell r="AL18">
            <v>8</v>
          </cell>
          <cell r="AM18">
            <v>4211.95652173913</v>
          </cell>
          <cell r="AN18">
            <v>33695.65217391304</v>
          </cell>
          <cell r="AO18">
            <v>0.6250747155506885</v>
          </cell>
          <cell r="AP18">
            <v>10.9</v>
          </cell>
          <cell r="AQ18">
            <v>4155.1155115511547</v>
          </cell>
          <cell r="AR18">
            <v>45290.75907590759</v>
          </cell>
          <cell r="AS18">
            <v>0.44905362750751954</v>
          </cell>
        </row>
        <row r="46">
          <cell r="B46">
            <v>9.1999999999999993</v>
          </cell>
          <cell r="C46">
            <v>4181.5718157181573</v>
          </cell>
          <cell r="D46">
            <v>38470.460704607045</v>
          </cell>
          <cell r="E46">
            <v>0.55259008907208407</v>
          </cell>
          <cell r="G46">
            <v>3303.030303030303</v>
          </cell>
          <cell r="H46">
            <v>21469.696969696968</v>
          </cell>
          <cell r="I46">
            <v>0.81067248153963112</v>
          </cell>
          <cell r="J46">
            <v>5</v>
          </cell>
          <cell r="K46">
            <v>3714.2857142857142</v>
          </cell>
          <cell r="L46">
            <v>18571.428571428572</v>
          </cell>
          <cell r="M46">
            <v>0.85467003682017628</v>
          </cell>
          <cell r="N46">
            <v>8.1999999999999993</v>
          </cell>
          <cell r="O46">
            <v>3797.2972972972975</v>
          </cell>
          <cell r="P46">
            <v>31137.837837837837</v>
          </cell>
          <cell r="Q46">
            <v>0.6639039619089887</v>
          </cell>
          <cell r="R46">
            <v>8.1999999999999993</v>
          </cell>
          <cell r="S46">
            <v>3150</v>
          </cell>
          <cell r="T46">
            <v>25829.999999999996</v>
          </cell>
          <cell r="U46">
            <v>0.74448031185296415</v>
          </cell>
          <cell r="V46">
            <v>10.7</v>
          </cell>
          <cell r="W46">
            <v>4333.7438423645317</v>
          </cell>
          <cell r="X46">
            <v>46371.059113300485</v>
          </cell>
          <cell r="Y46">
            <v>0.43265398672781585</v>
          </cell>
          <cell r="Z46">
            <v>8.8000000000000007</v>
          </cell>
          <cell r="AA46">
            <v>4020.7581227436822</v>
          </cell>
          <cell r="AB46">
            <v>35382.671480144403</v>
          </cell>
          <cell r="AC46">
            <v>0.59946469087885079</v>
          </cell>
          <cell r="AD46">
            <v>9.8000000000000007</v>
          </cell>
          <cell r="AE46">
            <v>3926.6055045871558</v>
          </cell>
          <cell r="AF46">
            <v>38480.733944954132</v>
          </cell>
          <cell r="AG46">
            <v>0.55243413475800074</v>
          </cell>
          <cell r="AH46">
            <v>7.3</v>
          </cell>
          <cell r="AI46">
            <v>4191.1764705882351</v>
          </cell>
          <cell r="AJ46">
            <v>30595.588235294115</v>
          </cell>
          <cell r="AK46">
            <v>0.67213565531530861</v>
          </cell>
          <cell r="AL46">
            <v>6.1</v>
          </cell>
          <cell r="AM46">
            <v>4629.8076923076924</v>
          </cell>
          <cell r="AN46">
            <v>28241.826923076922</v>
          </cell>
          <cell r="AO46">
            <v>0.70786724715592531</v>
          </cell>
          <cell r="AP46">
            <v>11.1</v>
          </cell>
          <cell r="AQ46">
            <v>4405.0632911392404</v>
          </cell>
          <cell r="AR46">
            <v>48896.202531645569</v>
          </cell>
          <cell r="AS46">
            <v>0.394320705653392</v>
          </cell>
        </row>
        <row r="48">
          <cell r="B48" t="str">
            <v>Poverty intensity is the product of the poverty rate and the poverty gap. Last updated: November 2, 2009.</v>
          </cell>
          <cell r="C48"/>
          <cell r="D48"/>
          <cell r="F48"/>
          <cell r="G48"/>
          <cell r="H48"/>
          <cell r="J48"/>
          <cell r="K48"/>
          <cell r="L48"/>
          <cell r="N48"/>
          <cell r="R48"/>
          <cell r="S48"/>
          <cell r="T48"/>
          <cell r="V48"/>
          <cell r="W48"/>
          <cell r="X48"/>
          <cell r="Z48"/>
          <cell r="AA48"/>
          <cell r="AB48"/>
          <cell r="AD48"/>
          <cell r="AE48"/>
          <cell r="AF48"/>
          <cell r="AH48"/>
          <cell r="AI48"/>
          <cell r="AJ48"/>
          <cell r="AL48"/>
          <cell r="AM48"/>
          <cell r="AN48"/>
          <cell r="AP48"/>
          <cell r="AQ48"/>
          <cell r="AR48"/>
        </row>
        <row r="50">
          <cell r="E50"/>
          <cell r="I50"/>
          <cell r="M50"/>
          <cell r="Q50"/>
          <cell r="U50"/>
          <cell r="Y50"/>
          <cell r="AC50"/>
          <cell r="AG50"/>
          <cell r="AK50"/>
          <cell r="AO50"/>
          <cell r="AS50"/>
        </row>
      </sheetData>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91.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92.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9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81.xml"/></Relationships>
</file>

<file path=xl/worksheets/sheet1.xml><?xml version="1.0" encoding="utf-8"?>
<worksheet xmlns="http://schemas.openxmlformats.org/spreadsheetml/2006/main" xmlns:r="http://schemas.openxmlformats.org/officeDocument/2006/relationships">
  <dimension ref="A1:G68"/>
  <sheetViews>
    <sheetView tabSelected="1" view="pageBreakPreview" zoomScaleSheetLayoutView="100" workbookViewId="0">
      <selection activeCell="E9" sqref="E9"/>
    </sheetView>
  </sheetViews>
  <sheetFormatPr defaultColWidth="8.875" defaultRowHeight="12.75"/>
  <cols>
    <col min="1" max="8" width="8.875" style="1" customWidth="1"/>
    <col min="9" max="9" width="11.75" style="1" customWidth="1"/>
    <col min="10" max="16384" width="8.875" style="1"/>
  </cols>
  <sheetData>
    <row r="1" spans="1:7">
      <c r="A1" s="76" t="s">
        <v>73</v>
      </c>
    </row>
    <row r="2" spans="1:7">
      <c r="A2" s="76" t="s">
        <v>83</v>
      </c>
    </row>
    <row r="3" spans="1:7">
      <c r="A3" s="313">
        <v>40724</v>
      </c>
    </row>
    <row r="4" spans="1:7">
      <c r="G4" s="76"/>
    </row>
    <row r="5" spans="1:7">
      <c r="A5" s="76" t="s">
        <v>71</v>
      </c>
      <c r="G5" s="76"/>
    </row>
    <row r="6" spans="1:7">
      <c r="G6" s="76"/>
    </row>
    <row r="7" spans="1:7">
      <c r="A7" s="1" t="s">
        <v>928</v>
      </c>
    </row>
    <row r="8" spans="1:7">
      <c r="A8" s="1" t="s">
        <v>929</v>
      </c>
    </row>
    <row r="9" spans="1:7">
      <c r="A9" s="1" t="s">
        <v>627</v>
      </c>
    </row>
    <row r="10" spans="1:7">
      <c r="A10" s="1" t="s">
        <v>634</v>
      </c>
    </row>
    <row r="11" spans="1:7">
      <c r="A11" s="1" t="s">
        <v>646</v>
      </c>
    </row>
    <row r="12" spans="1:7">
      <c r="A12" s="1" t="s">
        <v>654</v>
      </c>
    </row>
    <row r="13" spans="1:7">
      <c r="A13" s="1" t="s">
        <v>655</v>
      </c>
    </row>
    <row r="14" spans="1:7">
      <c r="A14" s="1" t="s">
        <v>18</v>
      </c>
    </row>
    <row r="15" spans="1:7">
      <c r="A15" s="1" t="s">
        <v>20</v>
      </c>
    </row>
    <row r="16" spans="1:7">
      <c r="A16" s="1" t="s">
        <v>26</v>
      </c>
    </row>
    <row r="17" spans="1:1">
      <c r="A17" s="1" t="s">
        <v>27</v>
      </c>
    </row>
    <row r="19" spans="1:1">
      <c r="A19" s="76" t="s">
        <v>72</v>
      </c>
    </row>
    <row r="21" spans="1:1">
      <c r="A21" s="1" t="s">
        <v>320</v>
      </c>
    </row>
    <row r="22" spans="1:1">
      <c r="A22" s="1" t="s">
        <v>393</v>
      </c>
    </row>
    <row r="23" spans="1:1">
      <c r="A23" s="1" t="s">
        <v>423</v>
      </c>
    </row>
    <row r="24" spans="1:1">
      <c r="A24" s="1" t="s">
        <v>399</v>
      </c>
    </row>
    <row r="25" spans="1:1">
      <c r="A25" s="1" t="s">
        <v>421</v>
      </c>
    </row>
    <row r="26" spans="1:1">
      <c r="A26" s="1" t="s">
        <v>930</v>
      </c>
    </row>
    <row r="27" spans="1:1">
      <c r="A27" s="1" t="s">
        <v>931</v>
      </c>
    </row>
    <row r="28" spans="1:1">
      <c r="A28" s="1" t="s">
        <v>471</v>
      </c>
    </row>
    <row r="29" spans="1:1">
      <c r="A29" s="1" t="s">
        <v>932</v>
      </c>
    </row>
    <row r="30" spans="1:1">
      <c r="A30" s="1" t="s">
        <v>478</v>
      </c>
    </row>
    <row r="31" spans="1:1">
      <c r="A31" s="1" t="s">
        <v>480</v>
      </c>
    </row>
    <row r="32" spans="1:1">
      <c r="A32" s="1" t="s">
        <v>486</v>
      </c>
    </row>
    <row r="33" spans="1:1" hidden="1">
      <c r="A33" s="1" t="s">
        <v>411</v>
      </c>
    </row>
    <row r="34" spans="1:1">
      <c r="A34" s="1" t="s">
        <v>548</v>
      </c>
    </row>
    <row r="35" spans="1:1">
      <c r="A35" s="77" t="s">
        <v>979</v>
      </c>
    </row>
    <row r="36" spans="1:1">
      <c r="A36" s="35" t="s">
        <v>602</v>
      </c>
    </row>
    <row r="37" spans="1:1">
      <c r="A37" s="1" t="s">
        <v>603</v>
      </c>
    </row>
    <row r="38" spans="1:1">
      <c r="A38" s="31" t="s">
        <v>941</v>
      </c>
    </row>
    <row r="39" spans="1:1">
      <c r="A39" s="78" t="s">
        <v>942</v>
      </c>
    </row>
    <row r="40" spans="1:1">
      <c r="A40" s="1" t="s">
        <v>622</v>
      </c>
    </row>
    <row r="41" spans="1:1">
      <c r="A41" s="1" t="s">
        <v>626</v>
      </c>
    </row>
    <row r="42" spans="1:1">
      <c r="A42" s="1" t="s">
        <v>631</v>
      </c>
    </row>
    <row r="43" spans="1:1">
      <c r="A43" s="1" t="s">
        <v>632</v>
      </c>
    </row>
    <row r="44" spans="1:1">
      <c r="A44" s="1" t="s">
        <v>633</v>
      </c>
    </row>
    <row r="45" spans="1:1">
      <c r="A45" s="1" t="s">
        <v>637</v>
      </c>
    </row>
    <row r="46" spans="1:1">
      <c r="A46" s="1" t="s">
        <v>636</v>
      </c>
    </row>
    <row r="47" spans="1:1">
      <c r="A47" s="1" t="s">
        <v>645</v>
      </c>
    </row>
    <row r="48" spans="1:1">
      <c r="A48" s="31" t="s">
        <v>652</v>
      </c>
    </row>
    <row r="49" spans="1:1">
      <c r="A49" s="1" t="s">
        <v>2</v>
      </c>
    </row>
    <row r="50" spans="1:1">
      <c r="A50" s="1" t="s">
        <v>12</v>
      </c>
    </row>
    <row r="52" spans="1:1" hidden="1">
      <c r="A52" s="76" t="s">
        <v>84</v>
      </c>
    </row>
    <row r="53" spans="1:1" hidden="1"/>
    <row r="54" spans="1:1" hidden="1">
      <c r="A54" s="1" t="s">
        <v>85</v>
      </c>
    </row>
    <row r="55" spans="1:1" hidden="1">
      <c r="A55" s="1" t="s">
        <v>86</v>
      </c>
    </row>
    <row r="56" spans="1:1" hidden="1">
      <c r="A56" s="1" t="s">
        <v>87</v>
      </c>
    </row>
    <row r="57" spans="1:1" hidden="1">
      <c r="A57" s="1" t="s">
        <v>88</v>
      </c>
    </row>
    <row r="58" spans="1:1" hidden="1">
      <c r="A58" s="1" t="s">
        <v>89</v>
      </c>
    </row>
    <row r="59" spans="1:1" hidden="1">
      <c r="A59" s="1" t="s">
        <v>90</v>
      </c>
    </row>
    <row r="60" spans="1:1" hidden="1">
      <c r="A60" s="1" t="s">
        <v>91</v>
      </c>
    </row>
    <row r="61" spans="1:1" hidden="1">
      <c r="A61" s="1" t="s">
        <v>92</v>
      </c>
    </row>
    <row r="62" spans="1:1" hidden="1">
      <c r="A62" s="1" t="s">
        <v>93</v>
      </c>
    </row>
    <row r="63" spans="1:1" hidden="1">
      <c r="A63" s="1" t="s">
        <v>94</v>
      </c>
    </row>
    <row r="64" spans="1:1" hidden="1">
      <c r="A64" s="1" t="s">
        <v>96</v>
      </c>
    </row>
    <row r="65" spans="1:1" hidden="1">
      <c r="A65" s="1" t="s">
        <v>97</v>
      </c>
    </row>
    <row r="66" spans="1:1" hidden="1">
      <c r="A66" s="1" t="s">
        <v>98</v>
      </c>
    </row>
    <row r="67" spans="1:1" hidden="1">
      <c r="A67" s="1" t="s">
        <v>99</v>
      </c>
    </row>
    <row r="68" spans="1:1" hidden="1">
      <c r="A68" s="1" t="s">
        <v>100</v>
      </c>
    </row>
  </sheetData>
  <phoneticPr fontId="0" type="noConversion"/>
  <pageMargins left="0.75" right="0.75" top="1" bottom="1" header="0.5" footer="0.5"/>
  <pageSetup orientation="portrait" r:id="rId1"/>
  <headerFooter alignWithMargins="0"/>
  <rowBreaks count="1" manualBreakCount="1">
    <brk id="51" max="16383" man="1"/>
  </rowBreaks>
  <colBreaks count="1" manualBreakCount="1">
    <brk id="9" max="1048575" man="1"/>
  </colBreaks>
</worksheet>
</file>

<file path=xl/worksheets/sheet10.xml><?xml version="1.0" encoding="utf-8"?>
<worksheet xmlns="http://schemas.openxmlformats.org/spreadsheetml/2006/main" xmlns:r="http://schemas.openxmlformats.org/officeDocument/2006/relationships">
  <dimension ref="A1:EH57"/>
  <sheetViews>
    <sheetView view="pageBreakPreview" zoomScaleSheetLayoutView="100" workbookViewId="0">
      <pane xSplit="1" ySplit="6" topLeftCell="B7" activePane="bottomRight" state="frozen"/>
      <selection activeCell="E9" sqref="E9"/>
      <selection pane="topRight" activeCell="E9" sqref="E9"/>
      <selection pane="bottomLeft" activeCell="E9" sqref="E9"/>
      <selection pane="bottomRight" activeCell="E9" sqref="E9"/>
    </sheetView>
  </sheetViews>
  <sheetFormatPr defaultColWidth="8.875" defaultRowHeight="12.75"/>
  <cols>
    <col min="1" max="1" width="8.875" style="1"/>
    <col min="2" max="89" width="9.75" style="1" customWidth="1"/>
    <col min="90" max="16384" width="8.875" style="1"/>
  </cols>
  <sheetData>
    <row r="1" spans="1:89" ht="15.75">
      <c r="B1" s="2" t="s">
        <v>511</v>
      </c>
      <c r="C1" s="2"/>
      <c r="R1" s="2" t="s">
        <v>512</v>
      </c>
      <c r="AA1" s="2"/>
      <c r="AH1" s="2" t="s">
        <v>513</v>
      </c>
      <c r="AX1" s="2" t="s">
        <v>514</v>
      </c>
      <c r="AY1" s="2"/>
      <c r="BN1" s="2" t="s">
        <v>20</v>
      </c>
      <c r="BW1" s="2"/>
      <c r="CD1" s="2" t="s">
        <v>20</v>
      </c>
    </row>
    <row r="3" spans="1:89" s="3" customFormat="1" ht="15">
      <c r="B3" s="3" t="s">
        <v>321</v>
      </c>
      <c r="J3" s="3" t="s">
        <v>370</v>
      </c>
      <c r="R3" s="3" t="s">
        <v>371</v>
      </c>
      <c r="Z3" s="3" t="s">
        <v>372</v>
      </c>
      <c r="AH3" s="3" t="s">
        <v>373</v>
      </c>
      <c r="AP3" s="3" t="s">
        <v>374</v>
      </c>
      <c r="AX3" s="3" t="s">
        <v>375</v>
      </c>
      <c r="BF3" s="3" t="s">
        <v>376</v>
      </c>
      <c r="BN3" s="3" t="s">
        <v>377</v>
      </c>
      <c r="BV3" s="3" t="s">
        <v>378</v>
      </c>
      <c r="CD3" s="3" t="s">
        <v>379</v>
      </c>
    </row>
    <row r="4" spans="1:89" s="4" customFormat="1" ht="72" customHeight="1">
      <c r="B4" s="4" t="s">
        <v>24</v>
      </c>
      <c r="C4" s="4" t="s">
        <v>180</v>
      </c>
      <c r="D4" s="4" t="s">
        <v>25</v>
      </c>
      <c r="E4" s="4" t="s">
        <v>181</v>
      </c>
      <c r="F4" s="4" t="s">
        <v>628</v>
      </c>
      <c r="G4" s="4" t="s">
        <v>22</v>
      </c>
      <c r="H4" s="4" t="s">
        <v>23</v>
      </c>
      <c r="I4" s="4" t="s">
        <v>182</v>
      </c>
      <c r="J4" s="4" t="s">
        <v>24</v>
      </c>
      <c r="K4" s="4" t="s">
        <v>180</v>
      </c>
      <c r="L4" s="4" t="s">
        <v>25</v>
      </c>
      <c r="M4" s="4" t="s">
        <v>181</v>
      </c>
      <c r="N4" s="4" t="s">
        <v>628</v>
      </c>
      <c r="O4" s="4" t="s">
        <v>22</v>
      </c>
      <c r="P4" s="4" t="s">
        <v>23</v>
      </c>
      <c r="Q4" s="4" t="s">
        <v>182</v>
      </c>
      <c r="R4" s="4" t="s">
        <v>24</v>
      </c>
      <c r="S4" s="4" t="s">
        <v>180</v>
      </c>
      <c r="T4" s="4" t="s">
        <v>25</v>
      </c>
      <c r="U4" s="4" t="s">
        <v>181</v>
      </c>
      <c r="V4" s="4" t="s">
        <v>628</v>
      </c>
      <c r="W4" s="4" t="s">
        <v>22</v>
      </c>
      <c r="X4" s="4" t="s">
        <v>23</v>
      </c>
      <c r="Y4" s="4" t="s">
        <v>182</v>
      </c>
      <c r="Z4" s="4" t="s">
        <v>24</v>
      </c>
      <c r="AA4" s="4" t="s">
        <v>180</v>
      </c>
      <c r="AB4" s="4" t="s">
        <v>25</v>
      </c>
      <c r="AC4" s="4" t="s">
        <v>181</v>
      </c>
      <c r="AD4" s="4" t="s">
        <v>628</v>
      </c>
      <c r="AE4" s="4" t="s">
        <v>22</v>
      </c>
      <c r="AF4" s="4" t="s">
        <v>23</v>
      </c>
      <c r="AG4" s="4" t="s">
        <v>182</v>
      </c>
      <c r="AH4" s="4" t="s">
        <v>24</v>
      </c>
      <c r="AI4" s="4" t="s">
        <v>180</v>
      </c>
      <c r="AJ4" s="4" t="s">
        <v>25</v>
      </c>
      <c r="AK4" s="4" t="s">
        <v>181</v>
      </c>
      <c r="AL4" s="4" t="s">
        <v>628</v>
      </c>
      <c r="AM4" s="4" t="s">
        <v>22</v>
      </c>
      <c r="AN4" s="4" t="s">
        <v>23</v>
      </c>
      <c r="AO4" s="4" t="s">
        <v>182</v>
      </c>
      <c r="AP4" s="4" t="s">
        <v>24</v>
      </c>
      <c r="AQ4" s="4" t="s">
        <v>180</v>
      </c>
      <c r="AR4" s="4" t="s">
        <v>25</v>
      </c>
      <c r="AS4" s="4" t="s">
        <v>181</v>
      </c>
      <c r="AT4" s="4" t="s">
        <v>628</v>
      </c>
      <c r="AU4" s="4" t="s">
        <v>22</v>
      </c>
      <c r="AV4" s="4" t="s">
        <v>23</v>
      </c>
      <c r="AW4" s="4" t="s">
        <v>182</v>
      </c>
      <c r="AX4" s="4" t="s">
        <v>24</v>
      </c>
      <c r="AY4" s="4" t="s">
        <v>180</v>
      </c>
      <c r="AZ4" s="4" t="s">
        <v>25</v>
      </c>
      <c r="BA4" s="4" t="s">
        <v>181</v>
      </c>
      <c r="BB4" s="4" t="s">
        <v>628</v>
      </c>
      <c r="BC4" s="4" t="s">
        <v>22</v>
      </c>
      <c r="BD4" s="4" t="s">
        <v>23</v>
      </c>
      <c r="BE4" s="4" t="s">
        <v>182</v>
      </c>
      <c r="BF4" s="4" t="s">
        <v>24</v>
      </c>
      <c r="BG4" s="4" t="s">
        <v>180</v>
      </c>
      <c r="BH4" s="4" t="s">
        <v>25</v>
      </c>
      <c r="BI4" s="4" t="s">
        <v>181</v>
      </c>
      <c r="BJ4" s="4" t="s">
        <v>628</v>
      </c>
      <c r="BK4" s="4" t="s">
        <v>22</v>
      </c>
      <c r="BL4" s="4" t="s">
        <v>23</v>
      </c>
      <c r="BM4" s="4" t="s">
        <v>182</v>
      </c>
      <c r="BN4" s="4" t="s">
        <v>24</v>
      </c>
      <c r="BO4" s="4" t="s">
        <v>180</v>
      </c>
      <c r="BP4" s="4" t="s">
        <v>25</v>
      </c>
      <c r="BQ4" s="4" t="s">
        <v>181</v>
      </c>
      <c r="BR4" s="4" t="s">
        <v>628</v>
      </c>
      <c r="BS4" s="4" t="s">
        <v>22</v>
      </c>
      <c r="BT4" s="4" t="s">
        <v>23</v>
      </c>
      <c r="BU4" s="4" t="s">
        <v>182</v>
      </c>
      <c r="BV4" s="4" t="s">
        <v>24</v>
      </c>
      <c r="BW4" s="4" t="s">
        <v>180</v>
      </c>
      <c r="BX4" s="4" t="s">
        <v>25</v>
      </c>
      <c r="BY4" s="4" t="s">
        <v>181</v>
      </c>
      <c r="BZ4" s="4" t="s">
        <v>628</v>
      </c>
      <c r="CA4" s="4" t="s">
        <v>22</v>
      </c>
      <c r="CB4" s="4" t="s">
        <v>23</v>
      </c>
      <c r="CC4" s="4" t="s">
        <v>182</v>
      </c>
      <c r="CD4" s="4" t="s">
        <v>24</v>
      </c>
      <c r="CE4" s="4" t="s">
        <v>180</v>
      </c>
      <c r="CF4" s="4" t="s">
        <v>25</v>
      </c>
      <c r="CG4" s="4" t="s">
        <v>181</v>
      </c>
      <c r="CH4" s="4" t="s">
        <v>628</v>
      </c>
      <c r="CI4" s="4" t="s">
        <v>22</v>
      </c>
      <c r="CJ4" s="4" t="s">
        <v>23</v>
      </c>
      <c r="CK4" s="4" t="s">
        <v>182</v>
      </c>
    </row>
    <row r="5" spans="1:89" s="4" customFormat="1" hidden="1"/>
    <row r="6" spans="1:89" s="4" customFormat="1" ht="25.5">
      <c r="B6" s="4" t="s">
        <v>105</v>
      </c>
      <c r="C6" s="4" t="s">
        <v>266</v>
      </c>
      <c r="D6" s="4" t="s">
        <v>106</v>
      </c>
      <c r="E6" s="4" t="s">
        <v>184</v>
      </c>
      <c r="F6" s="4" t="s">
        <v>107</v>
      </c>
      <c r="G6" s="4" t="s">
        <v>108</v>
      </c>
      <c r="H6" s="4" t="s">
        <v>140</v>
      </c>
      <c r="I6" s="4" t="s">
        <v>185</v>
      </c>
      <c r="J6" s="4" t="s">
        <v>110</v>
      </c>
      <c r="K6" s="4" t="s">
        <v>186</v>
      </c>
      <c r="L6" s="4" t="s">
        <v>111</v>
      </c>
      <c r="M6" s="4" t="s">
        <v>187</v>
      </c>
      <c r="N6" s="4" t="s">
        <v>112</v>
      </c>
      <c r="O6" s="4" t="s">
        <v>138</v>
      </c>
      <c r="P6" s="4" t="s">
        <v>141</v>
      </c>
      <c r="Q6" s="4" t="s">
        <v>188</v>
      </c>
      <c r="R6" s="4" t="s">
        <v>105</v>
      </c>
      <c r="S6" s="4" t="s">
        <v>266</v>
      </c>
      <c r="T6" s="4" t="s">
        <v>106</v>
      </c>
      <c r="U6" s="4" t="s">
        <v>184</v>
      </c>
      <c r="V6" s="4" t="s">
        <v>107</v>
      </c>
      <c r="W6" s="4" t="s">
        <v>108</v>
      </c>
      <c r="X6" s="4" t="s">
        <v>140</v>
      </c>
      <c r="Y6" s="4" t="s">
        <v>185</v>
      </c>
      <c r="Z6" s="4" t="s">
        <v>110</v>
      </c>
      <c r="AA6" s="4" t="s">
        <v>186</v>
      </c>
      <c r="AB6" s="4" t="s">
        <v>111</v>
      </c>
      <c r="AC6" s="4" t="s">
        <v>187</v>
      </c>
      <c r="AD6" s="4" t="s">
        <v>112</v>
      </c>
      <c r="AE6" s="4" t="s">
        <v>138</v>
      </c>
      <c r="AF6" s="4" t="s">
        <v>141</v>
      </c>
      <c r="AG6" s="4" t="s">
        <v>188</v>
      </c>
      <c r="AH6" s="4" t="s">
        <v>105</v>
      </c>
      <c r="AI6" s="4" t="s">
        <v>266</v>
      </c>
      <c r="AJ6" s="4" t="s">
        <v>106</v>
      </c>
      <c r="AK6" s="4" t="s">
        <v>184</v>
      </c>
      <c r="AL6" s="4" t="s">
        <v>107</v>
      </c>
      <c r="AM6" s="4" t="s">
        <v>108</v>
      </c>
      <c r="AN6" s="4" t="s">
        <v>140</v>
      </c>
      <c r="AO6" s="4" t="s">
        <v>185</v>
      </c>
      <c r="AP6" s="4" t="s">
        <v>110</v>
      </c>
      <c r="AQ6" s="4" t="s">
        <v>186</v>
      </c>
      <c r="AR6" s="4" t="s">
        <v>111</v>
      </c>
      <c r="AS6" s="4" t="s">
        <v>187</v>
      </c>
      <c r="AT6" s="4" t="s">
        <v>112</v>
      </c>
      <c r="AU6" s="4" t="s">
        <v>138</v>
      </c>
      <c r="AV6" s="4" t="s">
        <v>141</v>
      </c>
      <c r="AW6" s="4" t="s">
        <v>188</v>
      </c>
      <c r="AX6" s="4" t="s">
        <v>105</v>
      </c>
      <c r="AY6" s="4" t="s">
        <v>266</v>
      </c>
      <c r="AZ6" s="4" t="s">
        <v>106</v>
      </c>
      <c r="BA6" s="4" t="s">
        <v>184</v>
      </c>
      <c r="BB6" s="4" t="s">
        <v>107</v>
      </c>
      <c r="BC6" s="4" t="s">
        <v>108</v>
      </c>
      <c r="BD6" s="4" t="s">
        <v>140</v>
      </c>
      <c r="BE6" s="4" t="s">
        <v>185</v>
      </c>
      <c r="BF6" s="4" t="s">
        <v>110</v>
      </c>
      <c r="BG6" s="4" t="s">
        <v>186</v>
      </c>
      <c r="BH6" s="4" t="s">
        <v>111</v>
      </c>
      <c r="BI6" s="4" t="s">
        <v>187</v>
      </c>
      <c r="BJ6" s="4" t="s">
        <v>112</v>
      </c>
      <c r="BK6" s="4" t="s">
        <v>138</v>
      </c>
      <c r="BL6" s="4" t="s">
        <v>141</v>
      </c>
      <c r="BM6" s="4" t="s">
        <v>188</v>
      </c>
      <c r="BN6" s="4" t="s">
        <v>105</v>
      </c>
      <c r="BO6" s="4" t="s">
        <v>266</v>
      </c>
      <c r="BP6" s="4" t="s">
        <v>106</v>
      </c>
      <c r="BQ6" s="4" t="s">
        <v>184</v>
      </c>
      <c r="BR6" s="4" t="s">
        <v>107</v>
      </c>
      <c r="BS6" s="4" t="s">
        <v>108</v>
      </c>
      <c r="BT6" s="4" t="s">
        <v>140</v>
      </c>
      <c r="BU6" s="4" t="s">
        <v>185</v>
      </c>
      <c r="BV6" s="4" t="s">
        <v>110</v>
      </c>
      <c r="BW6" s="4" t="s">
        <v>186</v>
      </c>
      <c r="BX6" s="4" t="s">
        <v>111</v>
      </c>
      <c r="BY6" s="4" t="s">
        <v>187</v>
      </c>
      <c r="BZ6" s="4" t="s">
        <v>112</v>
      </c>
      <c r="CA6" s="4" t="s">
        <v>138</v>
      </c>
      <c r="CB6" s="4" t="s">
        <v>141</v>
      </c>
      <c r="CC6" s="4" t="s">
        <v>188</v>
      </c>
      <c r="CD6" s="4" t="s">
        <v>105</v>
      </c>
      <c r="CE6" s="4" t="s">
        <v>266</v>
      </c>
      <c r="CF6" s="4" t="s">
        <v>106</v>
      </c>
      <c r="CG6" s="4" t="s">
        <v>184</v>
      </c>
      <c r="CH6" s="4" t="s">
        <v>107</v>
      </c>
      <c r="CI6" s="4" t="s">
        <v>108</v>
      </c>
      <c r="CJ6" s="4" t="s">
        <v>140</v>
      </c>
      <c r="CK6" s="4" t="s">
        <v>185</v>
      </c>
    </row>
    <row r="7" spans="1:89" s="4" customFormat="1" ht="2.25" customHeight="1"/>
    <row r="8" spans="1:89" hidden="1">
      <c r="A8" s="1">
        <v>1971</v>
      </c>
      <c r="B8" s="9">
        <f>'1'!I8</f>
        <v>9.286072550406746E-2</v>
      </c>
      <c r="C8" s="9">
        <f>'1'!K8</f>
        <v>9.8142272288917642E-2</v>
      </c>
      <c r="D8" s="9">
        <f>'2'!I8</f>
        <v>0.18222616585167906</v>
      </c>
      <c r="E8" s="9">
        <f>'2'!K8</f>
        <v>0.27402070198874739</v>
      </c>
      <c r="F8" s="9">
        <f>'3'!D8</f>
        <v>-46.459539597108417</v>
      </c>
      <c r="G8" s="9" t="e">
        <f>'8'!F5</f>
        <v>#REF!</v>
      </c>
      <c r="H8" s="9" t="e">
        <f>SUM(B8,D8,F8,G8)/4</f>
        <v>#REF!</v>
      </c>
      <c r="I8" s="9" t="e">
        <f>SUM(C8,E8,F8,G8)/4</f>
        <v>#REF!</v>
      </c>
      <c r="J8" s="9">
        <f>'1'!S8</f>
        <v>-1.2416360431895312E-2</v>
      </c>
      <c r="K8" s="9">
        <f>'1'!U8</f>
        <v>-7.921006185159718E-2</v>
      </c>
      <c r="L8" s="9">
        <f>'2'!S8</f>
        <v>0.13783193796692461</v>
      </c>
      <c r="M8" s="9">
        <f>'2'!U8</f>
        <v>0.19628988799083394</v>
      </c>
      <c r="N8" s="9">
        <f>'3'!G8</f>
        <v>-87.44282039190017</v>
      </c>
      <c r="O8" s="9" t="e">
        <f>'8'!K5</f>
        <v>#REF!</v>
      </c>
      <c r="P8" s="9" t="e">
        <f>SUM(J8,L8,N8,O8)/4</f>
        <v>#REF!</v>
      </c>
      <c r="Q8" s="9" t="e">
        <f>SUM(K8,M8,N8,O8)/4</f>
        <v>#REF!</v>
      </c>
      <c r="R8" s="9">
        <f>'1'!AC8</f>
        <v>6.2557182280176912E-2</v>
      </c>
      <c r="S8" s="9">
        <f>'1'!AE8</f>
        <v>5.0253326247256869E-2</v>
      </c>
      <c r="T8" s="9">
        <f>'2'!AC8</f>
        <v>6.5786261073974367E-2</v>
      </c>
      <c r="U8" s="9">
        <f>'2'!AE8</f>
        <v>4.1538166056354214E-2</v>
      </c>
      <c r="V8" s="9">
        <f>'3'!J8</f>
        <v>-73.855883474873721</v>
      </c>
      <c r="W8" s="9" t="e">
        <f>'8'!P5</f>
        <v>#REF!</v>
      </c>
      <c r="X8" s="9" t="e">
        <f>SUM(R8,T8,V8,W8)/4</f>
        <v>#REF!</v>
      </c>
      <c r="Y8" s="9" t="e">
        <f>SUM(S8,U8,V8,W8)/4</f>
        <v>#REF!</v>
      </c>
      <c r="Z8" s="9">
        <f>'1'!AM8</f>
        <v>0.10115269880784397</v>
      </c>
      <c r="AA8" s="9">
        <f>'1'!AO8</f>
        <v>0.1108536899076922</v>
      </c>
      <c r="AB8" s="9">
        <f>'2'!AM8</f>
        <v>0.10973413383196122</v>
      </c>
      <c r="AC8" s="9">
        <f>'2'!AO8</f>
        <v>0.14088791842055143</v>
      </c>
      <c r="AD8" s="9">
        <f>'3'!M8</f>
        <v>-51.230603824914851</v>
      </c>
      <c r="AE8" s="9" t="e">
        <f>'8'!U5</f>
        <v>#REF!</v>
      </c>
      <c r="AF8" s="9" t="e">
        <f>SUM(Z8,AB8,AD8,AE8)/4</f>
        <v>#REF!</v>
      </c>
      <c r="AG8" s="9" t="e">
        <f>SUM(AA8,AC8,AD8,AE8)/4</f>
        <v>#REF!</v>
      </c>
      <c r="AH8" s="9">
        <f>'1'!AW8</f>
        <v>3.5682580310753394E-2</v>
      </c>
      <c r="AI8" s="9">
        <f>'1'!AY8</f>
        <v>5.7614758664340038E-3</v>
      </c>
      <c r="AJ8" s="9">
        <f>'2'!AW8</f>
        <v>0.11807951407484041</v>
      </c>
      <c r="AK8" s="9">
        <f>'2'!AY8</f>
        <v>0.15792033913589126</v>
      </c>
      <c r="AL8" s="9">
        <f>'3'!P8</f>
        <v>-61.037687169951042</v>
      </c>
      <c r="AM8" s="9" t="e">
        <f>'8'!Z5</f>
        <v>#REF!</v>
      </c>
      <c r="AN8" s="9" t="e">
        <f>SUM(AH8,AJ8,AL8,AM8)/4</f>
        <v>#REF!</v>
      </c>
      <c r="AO8" s="9" t="e">
        <f>SUM(AI8,AK8,AL8,AM8)/4</f>
        <v>#REF!</v>
      </c>
      <c r="AP8" s="9">
        <f>'1'!BG8</f>
        <v>5.6224012902191242E-2</v>
      </c>
      <c r="AQ8" s="9">
        <f>'1'!BI8</f>
        <v>3.9946561660017352E-2</v>
      </c>
      <c r="AR8" s="9">
        <f>'2'!BG8</f>
        <v>0.15785953627863655</v>
      </c>
      <c r="AS8" s="9">
        <f>'2'!BI8</f>
        <v>0.23269200996821837</v>
      </c>
      <c r="AT8" s="9">
        <f>'3'!S8</f>
        <v>-41.292861930799653</v>
      </c>
      <c r="AU8" s="9" t="e">
        <f>'8'!AE5</f>
        <v>#REF!</v>
      </c>
      <c r="AV8" s="9" t="e">
        <f>SUM(AP8,AR8,AT8,AU8)/4</f>
        <v>#REF!</v>
      </c>
      <c r="AW8" s="9" t="e">
        <f>SUM(AQ8,AS8,AT8,AU8)/4</f>
        <v>#REF!</v>
      </c>
      <c r="AX8" s="9">
        <f>'1'!BQ8</f>
        <v>0.17118963708997967</v>
      </c>
      <c r="AY8" s="9">
        <f>'1'!BS8</f>
        <v>0.21218701412252566</v>
      </c>
      <c r="AZ8" s="9">
        <f>'2'!BQ8</f>
        <v>0.15969280418157433</v>
      </c>
      <c r="BA8" s="9">
        <f>'2'!BS8</f>
        <v>0.23590935724775663</v>
      </c>
      <c r="BB8" s="9">
        <f>'3'!V8</f>
        <v>-41.269291869468965</v>
      </c>
      <c r="BC8" s="9" t="e">
        <f>'8'!AJ5</f>
        <v>#REF!</v>
      </c>
      <c r="BD8" s="9" t="e">
        <f>SUM(AX8,AZ8,BB8,BC8)/4</f>
        <v>#REF!</v>
      </c>
      <c r="BE8" s="9" t="e">
        <f>SUM(AY8,BA8,BB8,BC8)/4</f>
        <v>#REF!</v>
      </c>
      <c r="BF8" s="9">
        <f>'1'!CA8</f>
        <v>0.1266627610322468</v>
      </c>
      <c r="BG8" s="9">
        <f>'1'!CC8</f>
        <v>0.14897035701114769</v>
      </c>
      <c r="BH8" s="9">
        <f>'2'!CA8</f>
        <v>0.21607209009362854</v>
      </c>
      <c r="BI8" s="9">
        <f>'2'!CC8</f>
        <v>0.32681075465456128</v>
      </c>
      <c r="BJ8" s="9">
        <f>'3'!Y8</f>
        <v>-61.228690455242877</v>
      </c>
      <c r="BK8" s="9" t="e">
        <f>'8'!AO5</f>
        <v>#REF!</v>
      </c>
      <c r="BL8" s="9" t="e">
        <f>SUM(BF8,BH8,BJ8,BK8)/4</f>
        <v>#REF!</v>
      </c>
      <c r="BM8" s="9" t="e">
        <f>SUM(BG8,BI8,BJ8,BK8)/4</f>
        <v>#REF!</v>
      </c>
      <c r="BN8" s="9">
        <f>'1'!CK8</f>
        <v>1.3077925063923111E-2</v>
      </c>
      <c r="BO8" s="9">
        <f>'1'!CM8</f>
        <v>-3.3268589750641814E-2</v>
      </c>
      <c r="BP8" s="9">
        <f>'2'!CK8</f>
        <v>0.30657179370537407</v>
      </c>
      <c r="BQ8" s="9">
        <f>'2'!CM8</f>
        <v>0.44758819428118407</v>
      </c>
      <c r="BR8" s="9">
        <f>'3'!AB8</f>
        <v>-62.175584769885326</v>
      </c>
      <c r="BS8" s="9" t="e">
        <f>'8'!AT5</f>
        <v>#REF!</v>
      </c>
      <c r="BT8" s="9" t="e">
        <f>SUM(BN8,BP8,BR8,BS8)/4</f>
        <v>#REF!</v>
      </c>
      <c r="BU8" s="9" t="e">
        <f>SUM(BO8,BQ8,BR8,BS8)/4</f>
        <v>#REF!</v>
      </c>
      <c r="BV8" s="9">
        <f>'1'!CU8</f>
        <v>0.12164088674446942</v>
      </c>
      <c r="BW8" s="9">
        <f>'1'!CW8</f>
        <v>0.14158147064749127</v>
      </c>
      <c r="BX8" s="9">
        <f>'2'!CU8</f>
        <v>0.2415980883363375</v>
      </c>
      <c r="BY8" s="9">
        <f>'2'!CW8</f>
        <v>0.36358311211320782</v>
      </c>
      <c r="BZ8" s="9">
        <f>'3'!AE8</f>
        <v>-52.036767110410516</v>
      </c>
      <c r="CA8" s="9" t="e">
        <f>'8'!AY5</f>
        <v>#REF!</v>
      </c>
      <c r="CB8" s="9" t="e">
        <f>SUM(BV8,BX8,BZ8,CA8)/4</f>
        <v>#REF!</v>
      </c>
      <c r="CC8" s="9" t="e">
        <f>SUM(BW8,BY8,BZ8,CA8)/4</f>
        <v>#REF!</v>
      </c>
      <c r="CD8" s="9">
        <f>'1'!DE8</f>
        <v>0.13780551677973304</v>
      </c>
      <c r="CE8" s="9">
        <f>'1'!DG8</f>
        <v>0.16517151640617717</v>
      </c>
      <c r="CF8" s="9">
        <f>'2'!DE8</f>
        <v>0.26908540722552432</v>
      </c>
      <c r="CG8" s="9">
        <f>'2'!DG8</f>
        <v>0.40066379342618608</v>
      </c>
      <c r="CH8" s="9">
        <f>'3'!AH8</f>
        <v>-46.326652926995003</v>
      </c>
      <c r="CI8" s="9" t="e">
        <f>'8'!BD5</f>
        <v>#REF!</v>
      </c>
      <c r="CJ8" s="9" t="e">
        <f>SUM(CD8,CF8,CH8,CI8)/4</f>
        <v>#REF!</v>
      </c>
      <c r="CK8" s="142" t="e">
        <f>SUM(CE8,CG8,CH8,CI8)/4</f>
        <v>#REF!</v>
      </c>
    </row>
    <row r="9" spans="1:89" hidden="1">
      <c r="A9" s="1">
        <v>1972</v>
      </c>
      <c r="B9" s="9">
        <f>'1'!I9</f>
        <v>0.11701940637881059</v>
      </c>
      <c r="C9" s="9">
        <f>'1'!K9</f>
        <v>0.13473280170859125</v>
      </c>
      <c r="D9" s="9">
        <f>'2'!I9</f>
        <v>0.18446376732384434</v>
      </c>
      <c r="E9" s="9">
        <f>'2'!K9</f>
        <v>0.27766795749607875</v>
      </c>
      <c r="F9" s="9">
        <f>'3'!D9</f>
        <v>-46.459539597108417</v>
      </c>
      <c r="G9" s="9" t="e">
        <f>'8'!F6</f>
        <v>#REF!</v>
      </c>
      <c r="H9" s="9" t="e">
        <f t="shared" ref="H9:H39" si="0">SUM(B9,D9,F9,G9)/4</f>
        <v>#REF!</v>
      </c>
      <c r="I9" s="9" t="e">
        <f t="shared" ref="I9:I39" si="1">SUM(C9,E9,F9,G9)/4</f>
        <v>#REF!</v>
      </c>
      <c r="J9" s="9">
        <f>'1'!S9</f>
        <v>2.5894125630057758E-3</v>
      </c>
      <c r="K9" s="9">
        <f>'1'!U9</f>
        <v>-5.1912721225290656E-2</v>
      </c>
      <c r="L9" s="9">
        <f>'2'!S9</f>
        <v>0.13896666149846171</v>
      </c>
      <c r="M9" s="9">
        <f>'2'!U9</f>
        <v>0.198416560835287</v>
      </c>
      <c r="N9" s="9">
        <f>'3'!G9</f>
        <v>-87.44282039190017</v>
      </c>
      <c r="O9" s="9" t="e">
        <f>'8'!K6</f>
        <v>#REF!</v>
      </c>
      <c r="P9" s="9" t="e">
        <f t="shared" ref="P9:P39" si="2">SUM(J9,L9,N9,O9)/4</f>
        <v>#REF!</v>
      </c>
      <c r="Q9" s="9" t="e">
        <f t="shared" ref="Q9:Q39" si="3">SUM(K9,M9,N9,O9)/4</f>
        <v>#REF!</v>
      </c>
      <c r="R9" s="9">
        <f>'1'!AC9</f>
        <v>8.9395039799158638E-2</v>
      </c>
      <c r="S9" s="9">
        <f>'1'!AE9</f>
        <v>9.2780878493023008E-2</v>
      </c>
      <c r="T9" s="9">
        <f>'2'!AC9</f>
        <v>6.7713291953682697E-2</v>
      </c>
      <c r="U9" s="9">
        <f>'2'!AE9</f>
        <v>4.6282963286511491E-2</v>
      </c>
      <c r="V9" s="9">
        <f>'3'!J9</f>
        <v>-73.855883474873721</v>
      </c>
      <c r="W9" s="9" t="e">
        <f>'8'!P6</f>
        <v>#REF!</v>
      </c>
      <c r="X9" s="9" t="e">
        <f t="shared" ref="X9:X39" si="4">SUM(R9,T9,V9,W9)/4</f>
        <v>#REF!</v>
      </c>
      <c r="Y9" s="9" t="e">
        <f t="shared" ref="Y9:Y39" si="5">SUM(S9,U9,V9,W9)/4</f>
        <v>#REF!</v>
      </c>
      <c r="Z9" s="9">
        <f>'1'!AM9</f>
        <v>0.11779214078635432</v>
      </c>
      <c r="AA9" s="9">
        <f>'1'!AO9</f>
        <v>0.13588122501184977</v>
      </c>
      <c r="AB9" s="9">
        <f>'2'!AM9</f>
        <v>0.11111257190512831</v>
      </c>
      <c r="AC9" s="9">
        <f>'2'!AO9</f>
        <v>0.14373704175378091</v>
      </c>
      <c r="AD9" s="9">
        <f>'3'!M9</f>
        <v>-51.230603824914851</v>
      </c>
      <c r="AE9" s="9" t="e">
        <f>'8'!U6</f>
        <v>#REF!</v>
      </c>
      <c r="AF9" s="9" t="e">
        <f t="shared" ref="AF9:AF39" si="6">SUM(Z9,AB9,AD9,AE9)/4</f>
        <v>#REF!</v>
      </c>
      <c r="AG9" s="9" t="e">
        <f t="shared" ref="AG9:AG39" si="7">SUM(AA9,AC9,AD9,AE9)/4</f>
        <v>#REF!</v>
      </c>
      <c r="AH9" s="9">
        <f>'1'!AW9</f>
        <v>4.5322110922740022E-2</v>
      </c>
      <c r="AI9" s="9">
        <f>'1'!AY9</f>
        <v>2.195016764162808E-2</v>
      </c>
      <c r="AJ9" s="9">
        <f>'2'!AW9</f>
        <v>0.11808227942356452</v>
      </c>
      <c r="AK9" s="9">
        <f>'2'!AY9</f>
        <v>0.15792589839189977</v>
      </c>
      <c r="AL9" s="9">
        <f>'3'!P9</f>
        <v>-61.037687169951042</v>
      </c>
      <c r="AM9" s="9" t="e">
        <f>'8'!Z6</f>
        <v>#REF!</v>
      </c>
      <c r="AN9" s="9" t="e">
        <f t="shared" ref="AN9:AN39" si="8">SUM(AH9,AJ9,AL9,AM9)/4</f>
        <v>#REF!</v>
      </c>
      <c r="AO9" s="9" t="e">
        <f t="shared" ref="AO9:AO39" si="9">SUM(AI9,AK9,AL9,AM9)/4</f>
        <v>#REF!</v>
      </c>
      <c r="AP9" s="9">
        <f>'1'!BG9</f>
        <v>7.9451696223627369E-2</v>
      </c>
      <c r="AQ9" s="9">
        <f>'1'!BI9</f>
        <v>7.7236034910803594E-2</v>
      </c>
      <c r="AR9" s="9">
        <f>'2'!BG9</f>
        <v>0.16060116109357234</v>
      </c>
      <c r="AS9" s="9">
        <f>'2'!BI9</f>
        <v>0.23749670982075108</v>
      </c>
      <c r="AT9" s="9">
        <f>'3'!S9</f>
        <v>-41.292861930799653</v>
      </c>
      <c r="AU9" s="9" t="e">
        <f>'8'!AE6</f>
        <v>#REF!</v>
      </c>
      <c r="AV9" s="9" t="e">
        <f t="shared" ref="AV9:AV39" si="10">SUM(AP9,AR9,AT9,AU9)/4</f>
        <v>#REF!</v>
      </c>
      <c r="AW9" s="9" t="e">
        <f t="shared" ref="AW9:AW39" si="11">SUM(AQ9,AS9,AT9,AU9)/4</f>
        <v>#REF!</v>
      </c>
      <c r="AX9" s="9">
        <f>'1'!BQ9</f>
        <v>0.19490336844051109</v>
      </c>
      <c r="AY9" s="9">
        <f>'1'!BS9</f>
        <v>0.24428163692473856</v>
      </c>
      <c r="AZ9" s="9">
        <f>'2'!BQ9</f>
        <v>0.16194006716399267</v>
      </c>
      <c r="BA9" s="9">
        <f>'2'!BS9</f>
        <v>0.23982830590446202</v>
      </c>
      <c r="BB9" s="9">
        <f>'3'!V9</f>
        <v>-41.269291869468965</v>
      </c>
      <c r="BC9" s="9" t="e">
        <f>'8'!AJ6</f>
        <v>#REF!</v>
      </c>
      <c r="BD9" s="9" t="e">
        <f t="shared" ref="BD9:BD39" si="12">SUM(AX9,AZ9,BB9,BC9)/4</f>
        <v>#REF!</v>
      </c>
      <c r="BE9" s="9" t="e">
        <f t="shared" ref="BE9:BE39" si="13">SUM(AY9,BA9,BB9,BC9)/4</f>
        <v>#REF!</v>
      </c>
      <c r="BF9" s="9">
        <f>'1'!CA9</f>
        <v>0.14764483322259325</v>
      </c>
      <c r="BG9" s="9">
        <f>'1'!CC9</f>
        <v>0.179261134221949</v>
      </c>
      <c r="BH9" s="9">
        <f>'2'!CA9</f>
        <v>0.21773206200284898</v>
      </c>
      <c r="BI9" s="9">
        <f>'2'!CC9</f>
        <v>0.32927659941237913</v>
      </c>
      <c r="BJ9" s="9">
        <f>'3'!Y9</f>
        <v>-61.228690455242877</v>
      </c>
      <c r="BK9" s="9" t="e">
        <f>'8'!AO6</f>
        <v>#REF!</v>
      </c>
      <c r="BL9" s="9" t="e">
        <f t="shared" ref="BL9:BL39" si="14">SUM(BF9,BH9,BJ9,BK9)/4</f>
        <v>#REF!</v>
      </c>
      <c r="BM9" s="9" t="e">
        <f t="shared" ref="BM9:BM39" si="15">SUM(BG9,BI9,BJ9,BK9)/4</f>
        <v>#REF!</v>
      </c>
      <c r="BN9" s="9">
        <f>'1'!CK9</f>
        <v>4.7271215409419448E-2</v>
      </c>
      <c r="BO9" s="9">
        <f>'1'!CM9</f>
        <v>2.5191689245728836E-2</v>
      </c>
      <c r="BP9" s="9">
        <f>'2'!CK9</f>
        <v>0.30311238567460042</v>
      </c>
      <c r="BQ9" s="9">
        <f>'2'!CM9</f>
        <v>0.44341815442797961</v>
      </c>
      <c r="BR9" s="9">
        <f>'3'!AB9</f>
        <v>-62.175584769885326</v>
      </c>
      <c r="BS9" s="9" t="e">
        <f>'8'!AT6</f>
        <v>#REF!</v>
      </c>
      <c r="BT9" s="9" t="e">
        <f t="shared" ref="BT9:BT39" si="16">SUM(BN9,BP9,BR9,BS9)/4</f>
        <v>#REF!</v>
      </c>
      <c r="BU9" s="9" t="e">
        <f t="shared" ref="BU9:BU39" si="17">SUM(BO9,BQ9,BR9,BS9)/4</f>
        <v>#REF!</v>
      </c>
      <c r="BV9" s="9">
        <f>'1'!CU9</f>
        <v>0.15091165735650389</v>
      </c>
      <c r="BW9" s="9">
        <f>'1'!CW9</f>
        <v>0.18389529401284924</v>
      </c>
      <c r="BX9" s="9">
        <f>'2'!CU9</f>
        <v>0.24106852498669612</v>
      </c>
      <c r="BY9" s="9">
        <f>'2'!CW9</f>
        <v>0.3628441572857159</v>
      </c>
      <c r="BZ9" s="9">
        <f>'3'!AE9</f>
        <v>-52.036767110410516</v>
      </c>
      <c r="CA9" s="9" t="e">
        <f>'8'!AY6</f>
        <v>#REF!</v>
      </c>
      <c r="CB9" s="9" t="e">
        <f t="shared" ref="CB9:CB39" si="18">SUM(BV9,BX9,BZ9,CA9)/4</f>
        <v>#REF!</v>
      </c>
      <c r="CC9" s="9" t="e">
        <f t="shared" ref="CC9:CC39" si="19">SUM(BW9,BY9,BZ9,CA9)/4</f>
        <v>#REF!</v>
      </c>
      <c r="CD9" s="9">
        <f>'1'!DE9</f>
        <v>0.16746903410538064</v>
      </c>
      <c r="CE9" s="9">
        <f>'1'!DG9</f>
        <v>0.20705603600821712</v>
      </c>
      <c r="CF9" s="9">
        <f>'2'!DE9</f>
        <v>0.26989759491711973</v>
      </c>
      <c r="CG9" s="9">
        <f>'2'!DG9</f>
        <v>0.40172309755741614</v>
      </c>
      <c r="CH9" s="9">
        <f>'3'!AH9</f>
        <v>-46.326652926995003</v>
      </c>
      <c r="CI9" s="9" t="e">
        <f>'8'!BD6</f>
        <v>#REF!</v>
      </c>
      <c r="CJ9" s="9" t="e">
        <f t="shared" ref="CJ9:CJ39" si="20">SUM(CD9,CF9,CH9,CI9)/4</f>
        <v>#REF!</v>
      </c>
      <c r="CK9" s="142" t="e">
        <f t="shared" ref="CK9:CK39" si="21">SUM(CE9,CG9,CH9,CI9)/4</f>
        <v>#REF!</v>
      </c>
    </row>
    <row r="10" spans="1:89" hidden="1">
      <c r="A10" s="1">
        <v>1973</v>
      </c>
      <c r="B10" s="9">
        <f>'1'!I10</f>
        <v>0.14042456734718101</v>
      </c>
      <c r="C10" s="9">
        <f>'1'!K10</f>
        <v>0.16894147879647725</v>
      </c>
      <c r="D10" s="9">
        <f>'2'!I10</f>
        <v>0.1879740233961798</v>
      </c>
      <c r="E10" s="9">
        <f>'2'!K10</f>
        <v>0.28334237294913689</v>
      </c>
      <c r="F10" s="9">
        <f>'3'!D10</f>
        <v>-46.459539597108417</v>
      </c>
      <c r="G10" s="9" t="e">
        <f>'8'!F7</f>
        <v>#REF!</v>
      </c>
      <c r="H10" s="9" t="e">
        <f>SUM(B10,D10,F10,G10)/4</f>
        <v>#REF!</v>
      </c>
      <c r="I10" s="9" t="e">
        <f>SUM(C10,E10,F10,G10)/4</f>
        <v>#REF!</v>
      </c>
      <c r="J10" s="9">
        <f>'1'!S10</f>
        <v>2.5739830537903206E-2</v>
      </c>
      <c r="K10" s="9">
        <f>'1'!U10</f>
        <v>-1.1217482358619154E-2</v>
      </c>
      <c r="L10" s="9">
        <f>'2'!S10</f>
        <v>0.13950414057840363</v>
      </c>
      <c r="M10" s="9">
        <f>'2'!U10</f>
        <v>0.19942109131092231</v>
      </c>
      <c r="N10" s="9">
        <f>'3'!G10</f>
        <v>-87.44282039190017</v>
      </c>
      <c r="O10" s="9" t="e">
        <f>'8'!K7</f>
        <v>#REF!</v>
      </c>
      <c r="P10" s="9" t="e">
        <f t="shared" si="2"/>
        <v>#REF!</v>
      </c>
      <c r="Q10" s="9" t="e">
        <f t="shared" si="3"/>
        <v>#REF!</v>
      </c>
      <c r="R10" s="9">
        <f>'1'!AC10</f>
        <v>0.13012305695109949</v>
      </c>
      <c r="S10" s="9">
        <f>'1'!AE10</f>
        <v>0.15402984068565281</v>
      </c>
      <c r="T10" s="9">
        <f>'2'!AC10</f>
        <v>7.3241703614914236E-2</v>
      </c>
      <c r="U10" s="9">
        <f>'2'!AE10</f>
        <v>5.9677111503833612E-2</v>
      </c>
      <c r="V10" s="9">
        <f>'3'!J10</f>
        <v>-73.855883474873721</v>
      </c>
      <c r="W10" s="9" t="e">
        <f>'8'!P7</f>
        <v>#REF!</v>
      </c>
      <c r="X10" s="9" t="e">
        <f t="shared" si="4"/>
        <v>#REF!</v>
      </c>
      <c r="Y10" s="9" t="e">
        <f t="shared" si="5"/>
        <v>#REF!</v>
      </c>
      <c r="Z10" s="9">
        <f>'1'!AM10</f>
        <v>0.1451847564371459</v>
      </c>
      <c r="AA10" s="9">
        <f>'1'!AO10</f>
        <v>0.17575706418875314</v>
      </c>
      <c r="AB10" s="9">
        <f>'2'!AM10</f>
        <v>0.11460129379679383</v>
      </c>
      <c r="AC10" s="9">
        <f>'2'!AO10</f>
        <v>0.1508841004059048</v>
      </c>
      <c r="AD10" s="9">
        <f>'3'!M10</f>
        <v>-51.230603824914851</v>
      </c>
      <c r="AE10" s="9" t="e">
        <f>'8'!U7</f>
        <v>#REF!</v>
      </c>
      <c r="AF10" s="9" t="e">
        <f t="shared" si="6"/>
        <v>#REF!</v>
      </c>
      <c r="AG10" s="9" t="e">
        <f t="shared" si="7"/>
        <v>#REF!</v>
      </c>
      <c r="AH10" s="9">
        <f>'1'!AW10</f>
        <v>5.2927324606308376E-2</v>
      </c>
      <c r="AI10" s="9">
        <f>'1'!AY10</f>
        <v>3.453883014622422E-2</v>
      </c>
      <c r="AJ10" s="9">
        <f>'2'!AW10</f>
        <v>0.1219471156694063</v>
      </c>
      <c r="AK10" s="9">
        <f>'2'!AY10</f>
        <v>0.1656422542353265</v>
      </c>
      <c r="AL10" s="9">
        <f>'3'!P10</f>
        <v>-61.037687169951042</v>
      </c>
      <c r="AM10" s="9" t="e">
        <f>'8'!Z7</f>
        <v>#REF!</v>
      </c>
      <c r="AN10" s="9" t="e">
        <f t="shared" si="8"/>
        <v>#REF!</v>
      </c>
      <c r="AO10" s="9" t="e">
        <f t="shared" si="9"/>
        <v>#REF!</v>
      </c>
      <c r="AP10" s="9">
        <f>'1'!BG10</f>
        <v>0.11517841301717084</v>
      </c>
      <c r="AQ10" s="9">
        <f>'1'!BI10</f>
        <v>0.13199139154012865</v>
      </c>
      <c r="AR10" s="9">
        <f>'2'!BG10</f>
        <v>0.16505726305514878</v>
      </c>
      <c r="AS10" s="9">
        <f>'2'!BI10</f>
        <v>0.24521948063984525</v>
      </c>
      <c r="AT10" s="9">
        <f>'3'!S10</f>
        <v>-41.292861930799653</v>
      </c>
      <c r="AU10" s="9" t="e">
        <f>'8'!AE7</f>
        <v>#REF!</v>
      </c>
      <c r="AV10" s="9" t="e">
        <f t="shared" si="10"/>
        <v>#REF!</v>
      </c>
      <c r="AW10" s="9" t="e">
        <f t="shared" si="11"/>
        <v>#REF!</v>
      </c>
      <c r="AX10" s="9">
        <f>'1'!BQ10</f>
        <v>0.22066435838334109</v>
      </c>
      <c r="AY10" s="9">
        <f>'1'!BS10</f>
        <v>0.27801086886818199</v>
      </c>
      <c r="AZ10" s="9">
        <f>'2'!BQ10</f>
        <v>0.165522488513411</v>
      </c>
      <c r="BA10" s="9">
        <f>'2'!BS10</f>
        <v>0.24601967097493183</v>
      </c>
      <c r="BB10" s="9">
        <f>'3'!V10</f>
        <v>-41.269291869468965</v>
      </c>
      <c r="BC10" s="9" t="e">
        <f>'8'!AJ7</f>
        <v>#REF!</v>
      </c>
      <c r="BD10" s="9" t="e">
        <f t="shared" si="12"/>
        <v>#REF!</v>
      </c>
      <c r="BE10" s="9" t="e">
        <f t="shared" si="13"/>
        <v>#REF!</v>
      </c>
      <c r="BF10" s="9">
        <f>'1'!CA10</f>
        <v>0.17549003198845856</v>
      </c>
      <c r="BG10" s="9">
        <f>'1'!CC10</f>
        <v>0.21808473988423713</v>
      </c>
      <c r="BH10" s="9">
        <f>'2'!CA10</f>
        <v>0.22000816179587743</v>
      </c>
      <c r="BI10" s="9">
        <f>'2'!CC10</f>
        <v>0.33264020181805054</v>
      </c>
      <c r="BJ10" s="9">
        <f>'3'!Y10</f>
        <v>-61.228690455242877</v>
      </c>
      <c r="BK10" s="9" t="e">
        <f>'8'!AO7</f>
        <v>#REF!</v>
      </c>
      <c r="BL10" s="9" t="e">
        <f t="shared" si="14"/>
        <v>#REF!</v>
      </c>
      <c r="BM10" s="9" t="e">
        <f t="shared" si="15"/>
        <v>#REF!</v>
      </c>
      <c r="BN10" s="9">
        <f>'1'!CK10</f>
        <v>7.6673146900038541E-2</v>
      </c>
      <c r="BO10" s="9">
        <f>'1'!CM10</f>
        <v>7.2848379042191463E-2</v>
      </c>
      <c r="BP10" s="9">
        <f>'2'!CK10</f>
        <v>0.30480393190451716</v>
      </c>
      <c r="BQ10" s="9">
        <f>'2'!CM10</f>
        <v>0.4454610424040274</v>
      </c>
      <c r="BR10" s="9">
        <f>'3'!AB10</f>
        <v>-62.175584769885326</v>
      </c>
      <c r="BS10" s="9" t="e">
        <f>'8'!AT7</f>
        <v>#REF!</v>
      </c>
      <c r="BT10" s="9" t="e">
        <f t="shared" si="16"/>
        <v>#REF!</v>
      </c>
      <c r="BU10" s="9" t="e">
        <f t="shared" si="17"/>
        <v>#REF!</v>
      </c>
      <c r="BV10" s="9">
        <f>'1'!CU10</f>
        <v>0.19048774376849695</v>
      </c>
      <c r="BW10" s="9">
        <f>'1'!CW10</f>
        <v>0.23838346723277301</v>
      </c>
      <c r="BX10" s="9">
        <f>'2'!CU10</f>
        <v>0.26933007881023613</v>
      </c>
      <c r="BY10" s="9">
        <f>'2'!CW10</f>
        <v>0.40098311895205185</v>
      </c>
      <c r="BZ10" s="9">
        <f>'3'!AE10</f>
        <v>-52.036767110410516</v>
      </c>
      <c r="CA10" s="9" t="e">
        <f>'8'!AY7</f>
        <v>#REF!</v>
      </c>
      <c r="CB10" s="9" t="e">
        <f t="shared" si="18"/>
        <v>#REF!</v>
      </c>
      <c r="CC10" s="9" t="e">
        <f t="shared" si="19"/>
        <v>#REF!</v>
      </c>
      <c r="CD10" s="9">
        <f>'1'!DE10</f>
        <v>0.20138348001919087</v>
      </c>
      <c r="CE10" s="9">
        <f>'1'!DG10</f>
        <v>0.25287453583476444</v>
      </c>
      <c r="CF10" s="9">
        <f>'2'!DE10</f>
        <v>0.27626040124614148</v>
      </c>
      <c r="CG10" s="9">
        <f>'2'!DG10</f>
        <v>0.40995350732031161</v>
      </c>
      <c r="CH10" s="9">
        <f>'3'!AH10</f>
        <v>-46.326652926995003</v>
      </c>
      <c r="CI10" s="9" t="e">
        <f>'8'!BD7</f>
        <v>#REF!</v>
      </c>
      <c r="CJ10" s="9" t="e">
        <f t="shared" si="20"/>
        <v>#REF!</v>
      </c>
      <c r="CK10" s="142" t="e">
        <f t="shared" si="21"/>
        <v>#REF!</v>
      </c>
    </row>
    <row r="11" spans="1:89" hidden="1">
      <c r="A11" s="1">
        <v>1974</v>
      </c>
      <c r="B11" s="9">
        <f>'1'!I11</f>
        <v>0.15667009511655916</v>
      </c>
      <c r="C11" s="9">
        <f>'1'!K11</f>
        <v>0.19201167353458995</v>
      </c>
      <c r="D11" s="9">
        <f>'2'!I11</f>
        <v>0.19036063609921283</v>
      </c>
      <c r="E11" s="9">
        <f>'2'!K11</f>
        <v>0.28716794494552289</v>
      </c>
      <c r="F11" s="9">
        <f>'3'!D11</f>
        <v>-46.457663086515652</v>
      </c>
      <c r="G11" s="9" t="e">
        <f>'8'!F8</f>
        <v>#REF!</v>
      </c>
      <c r="H11" s="9" t="e">
        <f t="shared" si="0"/>
        <v>#REF!</v>
      </c>
      <c r="I11" s="9" t="e">
        <f t="shared" si="1"/>
        <v>#REF!</v>
      </c>
      <c r="J11" s="9">
        <f>'1'!S11</f>
        <v>5.7303145352137402E-2</v>
      </c>
      <c r="K11" s="9">
        <f>'1'!U11</f>
        <v>4.1710344266765814E-2</v>
      </c>
      <c r="L11" s="9">
        <f>'2'!S11</f>
        <v>0.14152999978354736</v>
      </c>
      <c r="M11" s="9">
        <f>'2'!U11</f>
        <v>0.20319130568088586</v>
      </c>
      <c r="N11" s="9">
        <f>'3'!G11</f>
        <v>-87.439966198175895</v>
      </c>
      <c r="O11" s="9" t="e">
        <f>'8'!K8</f>
        <v>#REF!</v>
      </c>
      <c r="P11" s="9" t="e">
        <f t="shared" si="2"/>
        <v>#REF!</v>
      </c>
      <c r="Q11" s="9" t="e">
        <f t="shared" si="3"/>
        <v>#REF!</v>
      </c>
      <c r="R11" s="9">
        <f>'1'!AC11</f>
        <v>0.15674721092182259</v>
      </c>
      <c r="S11" s="9">
        <f>'1'!AE11</f>
        <v>0.19211991774968218</v>
      </c>
      <c r="T11" s="9">
        <f>'2'!AC11</f>
        <v>7.6205404211708974E-2</v>
      </c>
      <c r="U11" s="9">
        <f>'2'!AE11</f>
        <v>6.6728270060586209E-2</v>
      </c>
      <c r="V11" s="9">
        <f>'3'!J11</f>
        <v>-73.844297223950846</v>
      </c>
      <c r="W11" s="9" t="e">
        <f>'8'!P8</f>
        <v>#REF!</v>
      </c>
      <c r="X11" s="9" t="e">
        <f t="shared" si="4"/>
        <v>#REF!</v>
      </c>
      <c r="Y11" s="9" t="e">
        <f t="shared" si="5"/>
        <v>#REF!</v>
      </c>
      <c r="Z11" s="9">
        <f>'1'!AM11</f>
        <v>0.18141872196920064</v>
      </c>
      <c r="AA11" s="9">
        <f>'1'!AO11</f>
        <v>0.22615859186423803</v>
      </c>
      <c r="AB11" s="9">
        <f>'2'!AM11</f>
        <v>0.11796817052604915</v>
      </c>
      <c r="AC11" s="9">
        <f>'2'!AO11</f>
        <v>0.15769645648764188</v>
      </c>
      <c r="AD11" s="9">
        <f>'3'!M11</f>
        <v>-51.22519050547529</v>
      </c>
      <c r="AE11" s="9" t="e">
        <f>'8'!U8</f>
        <v>#REF!</v>
      </c>
      <c r="AF11" s="9" t="e">
        <f t="shared" si="6"/>
        <v>#REF!</v>
      </c>
      <c r="AG11" s="9" t="e">
        <f t="shared" si="7"/>
        <v>#REF!</v>
      </c>
      <c r="AH11" s="9">
        <f>'1'!AW11</f>
        <v>7.4120690290924676E-2</v>
      </c>
      <c r="AI11" s="9">
        <f>'1'!AY11</f>
        <v>6.8800602574472153E-2</v>
      </c>
      <c r="AJ11" s="9">
        <f>'2'!AW11</f>
        <v>0.13470367282978349</v>
      </c>
      <c r="AK11" s="9">
        <f>'2'!AY11</f>
        <v>0.19038496481371858</v>
      </c>
      <c r="AL11" s="9">
        <f>'3'!P11</f>
        <v>-61.041362834804609</v>
      </c>
      <c r="AM11" s="9" t="e">
        <f>'8'!Z8</f>
        <v>#REF!</v>
      </c>
      <c r="AN11" s="9" t="e">
        <f t="shared" si="8"/>
        <v>#REF!</v>
      </c>
      <c r="AO11" s="9" t="e">
        <f t="shared" si="9"/>
        <v>#REF!</v>
      </c>
      <c r="AP11" s="9">
        <f>'1'!BG11</f>
        <v>0.1370364837946457</v>
      </c>
      <c r="AQ11" s="9">
        <f>'1'!BI11</f>
        <v>0.16406181830860714</v>
      </c>
      <c r="AR11" s="9">
        <f>'2'!BG11</f>
        <v>0.17021454062564204</v>
      </c>
      <c r="AS11" s="9">
        <f>'2'!BI11</f>
        <v>0.25402699774085374</v>
      </c>
      <c r="AT11" s="9">
        <f>'3'!S11</f>
        <v>-41.28140434669389</v>
      </c>
      <c r="AU11" s="9" t="e">
        <f>'8'!AE8</f>
        <v>#REF!</v>
      </c>
      <c r="AV11" s="9" t="e">
        <f t="shared" si="10"/>
        <v>#REF!</v>
      </c>
      <c r="AW11" s="9" t="e">
        <f t="shared" si="11"/>
        <v>#REF!</v>
      </c>
      <c r="AX11" s="9">
        <f>'1'!BQ11</f>
        <v>0.24697777184003003</v>
      </c>
      <c r="AY11" s="9">
        <f>'1'!BS11</f>
        <v>0.31132047953146885</v>
      </c>
      <c r="AZ11" s="9">
        <f>'2'!BQ11</f>
        <v>0.16936964928392917</v>
      </c>
      <c r="BA11" s="9">
        <f>'2'!BS11</f>
        <v>0.25259352212616382</v>
      </c>
      <c r="BB11" s="9">
        <f>'3'!V11</f>
        <v>-41.266663016901475</v>
      </c>
      <c r="BC11" s="9" t="e">
        <f>'8'!AJ8</f>
        <v>#REF!</v>
      </c>
      <c r="BD11" s="9" t="e">
        <f t="shared" si="12"/>
        <v>#REF!</v>
      </c>
      <c r="BE11" s="9" t="e">
        <f t="shared" si="13"/>
        <v>#REF!</v>
      </c>
      <c r="BF11" s="9">
        <f>'1'!CA11</f>
        <v>0.20600645308420301</v>
      </c>
      <c r="BG11" s="9">
        <f>'1'!CC11</f>
        <v>0.25895968478189596</v>
      </c>
      <c r="BH11" s="9">
        <f>'2'!CA11</f>
        <v>0.22169947193785583</v>
      </c>
      <c r="BI11" s="9">
        <f>'2'!CC11</f>
        <v>0.33512663968444001</v>
      </c>
      <c r="BJ11" s="9">
        <f>'3'!Y11</f>
        <v>-61.219915101696678</v>
      </c>
      <c r="BK11" s="9" t="e">
        <f>'8'!AO8</f>
        <v>#REF!</v>
      </c>
      <c r="BL11" s="9" t="e">
        <f t="shared" si="14"/>
        <v>#REF!</v>
      </c>
      <c r="BM11" s="9" t="e">
        <f t="shared" si="15"/>
        <v>#REF!</v>
      </c>
      <c r="BN11" s="9">
        <f>'1'!CK11</f>
        <v>0.13695212040339574</v>
      </c>
      <c r="BO11" s="9">
        <f>'1'!CM11</f>
        <v>0.16394000826898886</v>
      </c>
      <c r="BP11" s="9">
        <f>'2'!CK11</f>
        <v>0.30798845645659978</v>
      </c>
      <c r="BQ11" s="9">
        <f>'2'!CM11</f>
        <v>0.44928698224322722</v>
      </c>
      <c r="BR11" s="9">
        <f>'3'!AB11</f>
        <v>-62.194542448042029</v>
      </c>
      <c r="BS11" s="9" t="e">
        <f>'8'!AT8</f>
        <v>#REF!</v>
      </c>
      <c r="BT11" s="9" t="e">
        <f t="shared" si="16"/>
        <v>#REF!</v>
      </c>
      <c r="BU11" s="9" t="e">
        <f t="shared" si="17"/>
        <v>#REF!</v>
      </c>
      <c r="BV11" s="9">
        <f>'1'!CU11</f>
        <v>0.23851755972165808</v>
      </c>
      <c r="BW11" s="9">
        <f>'1'!CW11</f>
        <v>0.30073218734784096</v>
      </c>
      <c r="BX11" s="9">
        <f>'2'!CU11</f>
        <v>0.33996310890536313</v>
      </c>
      <c r="BY11" s="9">
        <f>'2'!CW11</f>
        <v>0.48632436070842278</v>
      </c>
      <c r="BZ11" s="9">
        <f>'3'!AE11</f>
        <v>-52.058527021079009</v>
      </c>
      <c r="CA11" s="9" t="e">
        <f>'8'!AY8</f>
        <v>#REF!</v>
      </c>
      <c r="CB11" s="9" t="e">
        <f t="shared" si="18"/>
        <v>#REF!</v>
      </c>
      <c r="CC11" s="9" t="e">
        <f t="shared" si="19"/>
        <v>#REF!</v>
      </c>
      <c r="CD11" s="9">
        <f>'1'!DE11</f>
        <v>0.24645220588302014</v>
      </c>
      <c r="CE11" s="9">
        <f>'1'!DG11</f>
        <v>0.31066598985490684</v>
      </c>
      <c r="CF11" s="9">
        <f>'2'!DE11</f>
        <v>0.27309027700476329</v>
      </c>
      <c r="CG11" s="9">
        <f>'2'!DG11</f>
        <v>0.40586795090083516</v>
      </c>
      <c r="CH11" s="9">
        <f>'3'!AH11</f>
        <v>-46.344817049310002</v>
      </c>
      <c r="CI11" s="9" t="e">
        <f>'8'!BD8</f>
        <v>#REF!</v>
      </c>
      <c r="CJ11" s="9" t="e">
        <f t="shared" si="20"/>
        <v>#REF!</v>
      </c>
      <c r="CK11" s="142" t="e">
        <f t="shared" si="21"/>
        <v>#REF!</v>
      </c>
    </row>
    <row r="12" spans="1:89" hidden="1">
      <c r="A12" s="1">
        <v>1975</v>
      </c>
      <c r="B12" s="9">
        <f>'1'!I12</f>
        <v>0.17627869346084327</v>
      </c>
      <c r="C12" s="9">
        <f>'1'!K12</f>
        <v>0.21916255159999537</v>
      </c>
      <c r="D12" s="9">
        <f>'2'!I12</f>
        <v>0.1915218716260664</v>
      </c>
      <c r="E12" s="9">
        <f>'2'!K12</f>
        <v>0.28901995227485333</v>
      </c>
      <c r="F12" s="9">
        <f>'3'!D12</f>
        <v>-46.455786575922893</v>
      </c>
      <c r="G12" s="9" t="e">
        <f>'8'!F9</f>
        <v>#REF!</v>
      </c>
      <c r="H12" s="9" t="e">
        <f t="shared" si="0"/>
        <v>#REF!</v>
      </c>
      <c r="I12" s="9" t="e">
        <f t="shared" si="1"/>
        <v>#REF!</v>
      </c>
      <c r="J12" s="9">
        <f>'1'!S12</f>
        <v>8.1780805350767524E-2</v>
      </c>
      <c r="K12" s="9">
        <f>'1'!U12</f>
        <v>8.0899101556527603E-2</v>
      </c>
      <c r="L12" s="9">
        <f>'2'!S12</f>
        <v>0.13899596912834475</v>
      </c>
      <c r="M12" s="9">
        <f>'2'!U12</f>
        <v>0.19847138210454693</v>
      </c>
      <c r="N12" s="9">
        <f>'3'!G12</f>
        <v>-87.43711200445162</v>
      </c>
      <c r="O12" s="9" t="e">
        <f>'8'!K9</f>
        <v>#REF!</v>
      </c>
      <c r="P12" s="9" t="e">
        <f t="shared" si="2"/>
        <v>#REF!</v>
      </c>
      <c r="Q12" s="9" t="e">
        <f t="shared" si="3"/>
        <v>#REF!</v>
      </c>
      <c r="R12" s="9">
        <f>'1'!AC12</f>
        <v>0.19233748999705619</v>
      </c>
      <c r="S12" s="9">
        <f>'1'!AE12</f>
        <v>0.2408585284475564</v>
      </c>
      <c r="T12" s="9">
        <f>'2'!AC12</f>
        <v>7.7454191193426461E-2</v>
      </c>
      <c r="U12" s="9">
        <f>'2'!AE12</f>
        <v>6.9673074202520169E-2</v>
      </c>
      <c r="V12" s="9">
        <f>'3'!J12</f>
        <v>-73.832710973027972</v>
      </c>
      <c r="W12" s="9" t="e">
        <f>'8'!P9</f>
        <v>#REF!</v>
      </c>
      <c r="X12" s="9" t="e">
        <f t="shared" si="4"/>
        <v>#REF!</v>
      </c>
      <c r="Y12" s="9" t="e">
        <f t="shared" si="5"/>
        <v>#REF!</v>
      </c>
      <c r="Z12" s="9">
        <f>'1'!AM12</f>
        <v>0.20252667241918984</v>
      </c>
      <c r="AA12" s="9">
        <f>'1'!AO12</f>
        <v>0.25438277477023619</v>
      </c>
      <c r="AB12" s="9">
        <f>'2'!AM12</f>
        <v>0.11906144780304653</v>
      </c>
      <c r="AC12" s="9">
        <f>'2'!AO12</f>
        <v>0.15989089993278777</v>
      </c>
      <c r="AD12" s="9">
        <f>'3'!M12</f>
        <v>-51.219777186035735</v>
      </c>
      <c r="AE12" s="9" t="e">
        <f>'8'!U9</f>
        <v>#REF!</v>
      </c>
      <c r="AF12" s="9" t="e">
        <f t="shared" si="6"/>
        <v>#REF!</v>
      </c>
      <c r="AG12" s="9" t="e">
        <f t="shared" si="7"/>
        <v>#REF!</v>
      </c>
      <c r="AH12" s="9">
        <f>'1'!AW12</f>
        <v>0.10072057943871146</v>
      </c>
      <c r="AI12" s="9">
        <f>'1'!AY12</f>
        <v>0.11019526163607579</v>
      </c>
      <c r="AJ12" s="9">
        <f>'2'!AW12</f>
        <v>0.1408775998370807</v>
      </c>
      <c r="AK12" s="9">
        <f>'2'!AY12</f>
        <v>0.2019799178391212</v>
      </c>
      <c r="AL12" s="9">
        <f>'3'!P12</f>
        <v>-61.045038499658169</v>
      </c>
      <c r="AM12" s="9" t="e">
        <f>'8'!Z9</f>
        <v>#REF!</v>
      </c>
      <c r="AN12" s="9" t="e">
        <f t="shared" si="8"/>
        <v>#REF!</v>
      </c>
      <c r="AO12" s="9" t="e">
        <f t="shared" si="9"/>
        <v>#REF!</v>
      </c>
      <c r="AP12" s="9">
        <f>'1'!BG12</f>
        <v>0.16010866461186965</v>
      </c>
      <c r="AQ12" s="9">
        <f>'1'!BI12</f>
        <v>0.19682682479393981</v>
      </c>
      <c r="AR12" s="9">
        <f>'2'!BG12</f>
        <v>0.17341672314485557</v>
      </c>
      <c r="AS12" s="9">
        <f>'2'!BI12</f>
        <v>0.25942701168013405</v>
      </c>
      <c r="AT12" s="9">
        <f>'3'!S12</f>
        <v>-41.269946762588127</v>
      </c>
      <c r="AU12" s="9" t="e">
        <f>'8'!AE9</f>
        <v>#REF!</v>
      </c>
      <c r="AV12" s="9" t="e">
        <f t="shared" si="10"/>
        <v>#REF!</v>
      </c>
      <c r="AW12" s="9" t="e">
        <f t="shared" si="11"/>
        <v>#REF!</v>
      </c>
      <c r="AX12" s="9">
        <f>'1'!BQ12</f>
        <v>0.27348310403594156</v>
      </c>
      <c r="AY12" s="9">
        <f>'1'!BS12</f>
        <v>0.34378073533594206</v>
      </c>
      <c r="AZ12" s="9">
        <f>'2'!BQ12</f>
        <v>0.17059700118734988</v>
      </c>
      <c r="BA12" s="9">
        <f>'2'!BS12</f>
        <v>0.25467469558411365</v>
      </c>
      <c r="BB12" s="9">
        <f>'3'!V12</f>
        <v>-41.264034164333992</v>
      </c>
      <c r="BC12" s="9" t="e">
        <f>'8'!AJ9</f>
        <v>#REF!</v>
      </c>
      <c r="BD12" s="9" t="e">
        <f t="shared" si="12"/>
        <v>#REF!</v>
      </c>
      <c r="BE12" s="9" t="e">
        <f t="shared" si="13"/>
        <v>#REF!</v>
      </c>
      <c r="BF12" s="9">
        <f>'1'!CA12</f>
        <v>0.22382835048391519</v>
      </c>
      <c r="BG12" s="9">
        <f>'1'!CC12</f>
        <v>0.28207567238815395</v>
      </c>
      <c r="BH12" s="9">
        <f>'2'!CA12</f>
        <v>0.22232355051983427</v>
      </c>
      <c r="BI12" s="9">
        <f>'2'!CC12</f>
        <v>0.33604134334715363</v>
      </c>
      <c r="BJ12" s="9">
        <f>'3'!Y12</f>
        <v>-61.211139748150487</v>
      </c>
      <c r="BK12" s="9" t="e">
        <f>'8'!AO9</f>
        <v>#REF!</v>
      </c>
      <c r="BL12" s="9" t="e">
        <f t="shared" si="14"/>
        <v>#REF!</v>
      </c>
      <c r="BM12" s="9" t="e">
        <f t="shared" si="15"/>
        <v>#REF!</v>
      </c>
      <c r="BN12" s="9">
        <f>'1'!CK12</f>
        <v>0.19026976059198314</v>
      </c>
      <c r="BO12" s="9">
        <f>'1'!CM12</f>
        <v>0.23809138733362956</v>
      </c>
      <c r="BP12" s="9">
        <f>'2'!CK12</f>
        <v>0.30331827630138131</v>
      </c>
      <c r="BQ12" s="9">
        <f>'2'!CM12</f>
        <v>0.44366720656511927</v>
      </c>
      <c r="BR12" s="9">
        <f>'3'!AB12</f>
        <v>-62.213500126198731</v>
      </c>
      <c r="BS12" s="9" t="e">
        <f>'8'!AT9</f>
        <v>#REF!</v>
      </c>
      <c r="BT12" s="9" t="e">
        <f t="shared" si="16"/>
        <v>#REF!</v>
      </c>
      <c r="BU12" s="9" t="e">
        <f t="shared" si="17"/>
        <v>#REF!</v>
      </c>
      <c r="BV12" s="9">
        <f>'1'!CU12</f>
        <v>0.28885023544913124</v>
      </c>
      <c r="BW12" s="9">
        <f>'1'!CW12</f>
        <v>0.36212585637971378</v>
      </c>
      <c r="BX12" s="9">
        <f>'2'!CU12</f>
        <v>0.37861369303241471</v>
      </c>
      <c r="BY12" s="9">
        <f>'2'!CW12</f>
        <v>0.52806370544308889</v>
      </c>
      <c r="BZ12" s="9">
        <f>'3'!AE12</f>
        <v>-52.080286931747509</v>
      </c>
      <c r="CA12" s="9" t="e">
        <f>'8'!AY9</f>
        <v>#REF!</v>
      </c>
      <c r="CB12" s="9" t="e">
        <f t="shared" si="18"/>
        <v>#REF!</v>
      </c>
      <c r="CC12" s="9" t="e">
        <f t="shared" si="19"/>
        <v>#REF!</v>
      </c>
      <c r="CD12" s="9">
        <f>'1'!DE12</f>
        <v>0.27596989850844073</v>
      </c>
      <c r="CE12" s="9">
        <f>'1'!DG12</f>
        <v>0.34677251297489753</v>
      </c>
      <c r="CF12" s="9">
        <f>'2'!DE12</f>
        <v>0.266553346803238</v>
      </c>
      <c r="CG12" s="9">
        <f>'2'!DG12</f>
        <v>0.39734845970050231</v>
      </c>
      <c r="CH12" s="9">
        <f>'3'!AH12</f>
        <v>-46.362981171625002</v>
      </c>
      <c r="CI12" s="9" t="e">
        <f>'8'!BD9</f>
        <v>#REF!</v>
      </c>
      <c r="CJ12" s="9" t="e">
        <f t="shared" si="20"/>
        <v>#REF!</v>
      </c>
      <c r="CK12" s="142" t="e">
        <f t="shared" si="21"/>
        <v>#REF!</v>
      </c>
    </row>
    <row r="13" spans="1:89" hidden="1">
      <c r="A13" s="1">
        <v>1976</v>
      </c>
      <c r="B13" s="9">
        <f>'1'!I13</f>
        <v>0.19630893151526885</v>
      </c>
      <c r="C13" s="9">
        <f>'1'!K13</f>
        <v>0.24615179438609688</v>
      </c>
      <c r="D13" s="9">
        <f>'2'!I13</f>
        <v>0.20342458928402068</v>
      </c>
      <c r="E13" s="9">
        <f>'2'!K13</f>
        <v>0.30765948316408981</v>
      </c>
      <c r="F13" s="9">
        <f>'3'!D13</f>
        <v>-46.452971810033745</v>
      </c>
      <c r="G13" s="9" t="e">
        <f>'8'!F10</f>
        <v>#REF!</v>
      </c>
      <c r="H13" s="9" t="e">
        <f t="shared" si="0"/>
        <v>#REF!</v>
      </c>
      <c r="I13" s="9" t="e">
        <f t="shared" si="1"/>
        <v>#REF!</v>
      </c>
      <c r="J13" s="9">
        <f>'1'!S13</f>
        <v>9.6300027666184035E-2</v>
      </c>
      <c r="K13" s="9">
        <f>'1'!U13</f>
        <v>0.10343440148278413</v>
      </c>
      <c r="L13" s="9">
        <f>'2'!S13</f>
        <v>0.1237257938219465</v>
      </c>
      <c r="M13" s="9">
        <f>'2'!U13</f>
        <v>0.1691582091081231</v>
      </c>
      <c r="N13" s="9">
        <f>'3'!G13</f>
        <v>-87.412185379259611</v>
      </c>
      <c r="O13" s="9" t="e">
        <f>'8'!K10</f>
        <v>#REF!</v>
      </c>
      <c r="P13" s="9" t="e">
        <f t="shared" si="2"/>
        <v>#REF!</v>
      </c>
      <c r="Q13" s="9" t="e">
        <f t="shared" si="3"/>
        <v>#REF!</v>
      </c>
      <c r="R13" s="9">
        <f>'1'!AC13</f>
        <v>0.22587763313615664</v>
      </c>
      <c r="S13" s="9">
        <f>'1'!AE13</f>
        <v>0.28469955453350698</v>
      </c>
      <c r="T13" s="9">
        <f>'2'!AC13</f>
        <v>7.1273227996526037E-2</v>
      </c>
      <c r="U13" s="9">
        <f>'2'!AE13</f>
        <v>5.4944414593473163E-2</v>
      </c>
      <c r="V13" s="9">
        <f>'3'!J13</f>
        <v>-73.835554362143341</v>
      </c>
      <c r="W13" s="9" t="e">
        <f>'8'!P10</f>
        <v>#REF!</v>
      </c>
      <c r="X13" s="9" t="e">
        <f t="shared" si="4"/>
        <v>#REF!</v>
      </c>
      <c r="Y13" s="9" t="e">
        <f t="shared" si="5"/>
        <v>#REF!</v>
      </c>
      <c r="Z13" s="9">
        <f>'1'!AM13</f>
        <v>0.24779738211647265</v>
      </c>
      <c r="AA13" s="9">
        <f>'1'!AO13</f>
        <v>0.31234028426431837</v>
      </c>
      <c r="AB13" s="9">
        <f>'2'!AM13</f>
        <v>0.11896429501176536</v>
      </c>
      <c r="AC13" s="9">
        <f>'2'!AO13</f>
        <v>0.15969623966825883</v>
      </c>
      <c r="AD13" s="9">
        <f>'3'!M13</f>
        <v>-51.224162211171269</v>
      </c>
      <c r="AE13" s="9" t="e">
        <f>'8'!U10</f>
        <v>#REF!</v>
      </c>
      <c r="AF13" s="9" t="e">
        <f t="shared" si="6"/>
        <v>#REF!</v>
      </c>
      <c r="AG13" s="9" t="e">
        <f t="shared" si="7"/>
        <v>#REF!</v>
      </c>
      <c r="AH13" s="9">
        <f>'1'!AW13</f>
        <v>0.1202438167095297</v>
      </c>
      <c r="AI13" s="9">
        <f>'1'!AY13</f>
        <v>0.1395160972441179</v>
      </c>
      <c r="AJ13" s="9">
        <f>'2'!AW13</f>
        <v>0.13537247919063625</v>
      </c>
      <c r="AK13" s="9">
        <f>'2'!AY13</f>
        <v>0.19165262809195238</v>
      </c>
      <c r="AL13" s="9">
        <f>'3'!P13</f>
        <v>-61.056356290488921</v>
      </c>
      <c r="AM13" s="9" t="e">
        <f>'8'!Z10</f>
        <v>#REF!</v>
      </c>
      <c r="AN13" s="9" t="e">
        <f t="shared" si="8"/>
        <v>#REF!</v>
      </c>
      <c r="AO13" s="9" t="e">
        <f t="shared" si="9"/>
        <v>#REF!</v>
      </c>
      <c r="AP13" s="9">
        <f>'1'!BG13</f>
        <v>0.18492236822300859</v>
      </c>
      <c r="AQ13" s="9">
        <f>'1'!BI13</f>
        <v>0.23089929018851513</v>
      </c>
      <c r="AR13" s="9">
        <f>'2'!BG13</f>
        <v>0.16957077529556883</v>
      </c>
      <c r="AS13" s="9">
        <f>'2'!BI13</f>
        <v>0.25293509195127756</v>
      </c>
      <c r="AT13" s="9">
        <f>'3'!S13</f>
        <v>-41.273050104112137</v>
      </c>
      <c r="AU13" s="9" t="e">
        <f>'8'!AE10</f>
        <v>#REF!</v>
      </c>
      <c r="AV13" s="9" t="e">
        <f t="shared" si="10"/>
        <v>#REF!</v>
      </c>
      <c r="AW13" s="9" t="e">
        <f t="shared" si="11"/>
        <v>#REF!</v>
      </c>
      <c r="AX13" s="9">
        <f>'1'!BQ13</f>
        <v>0.29601655225865847</v>
      </c>
      <c r="AY13" s="9">
        <f>'1'!BS13</f>
        <v>0.37056647610921928</v>
      </c>
      <c r="AZ13" s="9">
        <f>'2'!BQ13</f>
        <v>0.17500502750655153</v>
      </c>
      <c r="BA13" s="9">
        <f>'2'!BS13</f>
        <v>0.26208633576989682</v>
      </c>
      <c r="BB13" s="9">
        <f>'3'!V13</f>
        <v>-41.267893030488096</v>
      </c>
      <c r="BC13" s="9" t="e">
        <f>'8'!AJ10</f>
        <v>#REF!</v>
      </c>
      <c r="BD13" s="9" t="e">
        <f t="shared" si="12"/>
        <v>#REF!</v>
      </c>
      <c r="BE13" s="9" t="e">
        <f t="shared" si="13"/>
        <v>#REF!</v>
      </c>
      <c r="BF13" s="9">
        <f>'1'!CA13</f>
        <v>0.25616271397513662</v>
      </c>
      <c r="BG13" s="9">
        <f>'1'!CC13</f>
        <v>0.3226894667523843</v>
      </c>
      <c r="BH13" s="9">
        <f>'2'!CA13</f>
        <v>0.22465988999906616</v>
      </c>
      <c r="BI13" s="9">
        <f>'2'!CC13</f>
        <v>0.33945253253001961</v>
      </c>
      <c r="BJ13" s="9">
        <f>'3'!Y13</f>
        <v>-61.227595008424359</v>
      </c>
      <c r="BK13" s="9" t="e">
        <f>'8'!AO10</f>
        <v>#REF!</v>
      </c>
      <c r="BL13" s="9" t="e">
        <f t="shared" si="14"/>
        <v>#REF!</v>
      </c>
      <c r="BM13" s="9" t="e">
        <f t="shared" si="15"/>
        <v>#REF!</v>
      </c>
      <c r="BN13" s="9">
        <f>'1'!CK13</f>
        <v>0.22156482541592737</v>
      </c>
      <c r="BO13" s="9">
        <f>'1'!CM13</f>
        <v>0.27916939933678142</v>
      </c>
      <c r="BP13" s="9">
        <f>'2'!CK13</f>
        <v>0.28984312411974267</v>
      </c>
      <c r="BQ13" s="9">
        <f>'2'!CM13</f>
        <v>0.42712999711899419</v>
      </c>
      <c r="BR13" s="9">
        <f>'3'!AB13</f>
        <v>-62.181437234922335</v>
      </c>
      <c r="BS13" s="9" t="e">
        <f>'8'!AT10</f>
        <v>#REF!</v>
      </c>
      <c r="BT13" s="9" t="e">
        <f t="shared" si="16"/>
        <v>#REF!</v>
      </c>
      <c r="BU13" s="9" t="e">
        <f t="shared" si="17"/>
        <v>#REF!</v>
      </c>
      <c r="BV13" s="9">
        <f>'1'!CU13</f>
        <v>0.33785196071458812</v>
      </c>
      <c r="BW13" s="9">
        <f>'1'!CW13</f>
        <v>0.41845917988099318</v>
      </c>
      <c r="BX13" s="9">
        <f>'2'!CU13</f>
        <v>0.41806609316154691</v>
      </c>
      <c r="BY13" s="9">
        <f>'2'!CW13</f>
        <v>0.56769580519113483</v>
      </c>
      <c r="BZ13" s="9">
        <f>'3'!AE13</f>
        <v>-52.046497862655492</v>
      </c>
      <c r="CA13" s="9" t="e">
        <f>'8'!AY10</f>
        <v>#REF!</v>
      </c>
      <c r="CB13" s="9" t="e">
        <f t="shared" si="18"/>
        <v>#REF!</v>
      </c>
      <c r="CC13" s="9" t="e">
        <f t="shared" si="19"/>
        <v>#REF!</v>
      </c>
      <c r="CD13" s="9">
        <f>'1'!DE13</f>
        <v>0.32479144607416083</v>
      </c>
      <c r="CE13" s="9">
        <f>'1'!DG13</f>
        <v>0.40375400382981197</v>
      </c>
      <c r="CF13" s="9">
        <f>'2'!DE13</f>
        <v>0.286991795728815</v>
      </c>
      <c r="CG13" s="9">
        <f>'2'!DG13</f>
        <v>0.42356751055896508</v>
      </c>
      <c r="CH13" s="9">
        <f>'3'!AH13</f>
        <v>-46.350665896695432</v>
      </c>
      <c r="CI13" s="9" t="e">
        <f>'8'!BD10</f>
        <v>#REF!</v>
      </c>
      <c r="CJ13" s="9" t="e">
        <f t="shared" si="20"/>
        <v>#REF!</v>
      </c>
      <c r="CK13" s="142" t="e">
        <f t="shared" si="21"/>
        <v>#REF!</v>
      </c>
    </row>
    <row r="14" spans="1:89" hidden="1">
      <c r="A14" s="1">
        <v>1977</v>
      </c>
      <c r="B14" s="9">
        <f>'1'!I14</f>
        <v>0.21573246635837778</v>
      </c>
      <c r="C14" s="9">
        <f>'1'!K14</f>
        <v>0.27164147961976548</v>
      </c>
      <c r="D14" s="9">
        <f>'2'!I14</f>
        <v>0.20836169809978436</v>
      </c>
      <c r="E14" s="9">
        <f>'2'!K14</f>
        <v>0.31521322780513367</v>
      </c>
      <c r="F14" s="9">
        <f>'3'!D14</f>
        <v>-52.990013765375096</v>
      </c>
      <c r="G14" s="9" t="e">
        <f>'8'!F11</f>
        <v>#REF!</v>
      </c>
      <c r="H14" s="9" t="e">
        <f t="shared" si="0"/>
        <v>#REF!</v>
      </c>
      <c r="I14" s="9" t="e">
        <f t="shared" si="1"/>
        <v>#REF!</v>
      </c>
      <c r="J14" s="9">
        <f>'1'!S14</f>
        <v>0.10671715287462524</v>
      </c>
      <c r="K14" s="9">
        <f>'1'!U14</f>
        <v>0.11929359307061004</v>
      </c>
      <c r="L14" s="9">
        <f>'2'!S14</f>
        <v>0.12979057114203205</v>
      </c>
      <c r="M14" s="9">
        <f>'2'!U14</f>
        <v>0.18098395398900693</v>
      </c>
      <c r="N14" s="9">
        <f>'3'!G14</f>
        <v>-71.290685817298581</v>
      </c>
      <c r="O14" s="9" t="e">
        <f>'8'!K11</f>
        <v>#REF!</v>
      </c>
      <c r="P14" s="9" t="e">
        <f t="shared" si="2"/>
        <v>#REF!</v>
      </c>
      <c r="Q14" s="9" t="e">
        <f t="shared" si="3"/>
        <v>#REF!</v>
      </c>
      <c r="R14" s="9">
        <f>'1'!AC14</f>
        <v>0.250816337099728</v>
      </c>
      <c r="S14" s="9">
        <f>'1'!AE14</f>
        <v>0.31608763303012105</v>
      </c>
      <c r="T14" s="9">
        <f>'2'!AC14</f>
        <v>7.3882762195263629E-2</v>
      </c>
      <c r="U14" s="9">
        <f>'2'!AE14</f>
        <v>6.1209813823309492E-2</v>
      </c>
      <c r="V14" s="9">
        <f>'3'!J14</f>
        <v>-69.688068343820603</v>
      </c>
      <c r="W14" s="9" t="e">
        <f>'8'!P11</f>
        <v>#REF!</v>
      </c>
      <c r="X14" s="9" t="e">
        <f t="shared" si="4"/>
        <v>#REF!</v>
      </c>
      <c r="Y14" s="9" t="e">
        <f t="shared" si="5"/>
        <v>#REF!</v>
      </c>
      <c r="Z14" s="9">
        <f>'1'!AM14</f>
        <v>0.25861168891021857</v>
      </c>
      <c r="AA14" s="9">
        <f>'1'!AO14</f>
        <v>0.32569893200632027</v>
      </c>
      <c r="AB14" s="9">
        <f>'2'!AM14</f>
        <v>0.12549083950552753</v>
      </c>
      <c r="AC14" s="9">
        <f>'2'!AO14</f>
        <v>0.17262561681780192</v>
      </c>
      <c r="AD14" s="9">
        <f>'3'!M14</f>
        <v>-59.205556510235986</v>
      </c>
      <c r="AE14" s="9" t="e">
        <f>'8'!U11</f>
        <v>#REF!</v>
      </c>
      <c r="AF14" s="9" t="e">
        <f t="shared" si="6"/>
        <v>#REF!</v>
      </c>
      <c r="AG14" s="9" t="e">
        <f t="shared" si="7"/>
        <v>#REF!</v>
      </c>
      <c r="AH14" s="9">
        <f>'1'!AW14</f>
        <v>0.12865242621116021</v>
      </c>
      <c r="AI14" s="9">
        <f>'1'!AY14</f>
        <v>0.15188270020886652</v>
      </c>
      <c r="AJ14" s="9">
        <f>'2'!AW14</f>
        <v>0.14052380094533734</v>
      </c>
      <c r="AK14" s="9">
        <f>'2'!AY14</f>
        <v>0.20132188465812936</v>
      </c>
      <c r="AL14" s="9">
        <f>'3'!P14</f>
        <v>-68.767816728577884</v>
      </c>
      <c r="AM14" s="9" t="e">
        <f>'8'!Z11</f>
        <v>#REF!</v>
      </c>
      <c r="AN14" s="9" t="e">
        <f t="shared" si="8"/>
        <v>#REF!</v>
      </c>
      <c r="AO14" s="9" t="e">
        <f t="shared" si="9"/>
        <v>#REF!</v>
      </c>
      <c r="AP14" s="9">
        <f>'1'!BG14</f>
        <v>0.20882377782231279</v>
      </c>
      <c r="AQ14" s="9">
        <f>'1'!BI14</f>
        <v>0.26264989136899192</v>
      </c>
      <c r="AR14" s="9">
        <f>'2'!BG14</f>
        <v>0.1763089310631655</v>
      </c>
      <c r="AS14" s="9">
        <f>'2'!BI14</f>
        <v>0.26426012079328259</v>
      </c>
      <c r="AT14" s="9">
        <f>'3'!S14</f>
        <v>-56.097514686815892</v>
      </c>
      <c r="AU14" s="9" t="e">
        <f>'8'!AE11</f>
        <v>#REF!</v>
      </c>
      <c r="AV14" s="9" t="e">
        <f t="shared" si="10"/>
        <v>#REF!</v>
      </c>
      <c r="AW14" s="9" t="e">
        <f t="shared" si="11"/>
        <v>#REF!</v>
      </c>
      <c r="AX14" s="9">
        <f>'1'!BQ14</f>
        <v>0.3143807153620688</v>
      </c>
      <c r="AY14" s="9">
        <f>'1'!BS14</f>
        <v>0.39187437366732492</v>
      </c>
      <c r="AZ14" s="9">
        <f>'2'!BQ14</f>
        <v>0.17997732417787871</v>
      </c>
      <c r="BA14" s="9">
        <f>'2'!BS14</f>
        <v>0.27033113158932842</v>
      </c>
      <c r="BB14" s="9">
        <f>'3'!V14</f>
        <v>-43.994099595619346</v>
      </c>
      <c r="BC14" s="9" t="e">
        <f>'8'!AJ11</f>
        <v>#REF!</v>
      </c>
      <c r="BD14" s="9" t="e">
        <f t="shared" si="12"/>
        <v>#REF!</v>
      </c>
      <c r="BE14" s="9" t="e">
        <f t="shared" si="13"/>
        <v>#REF!</v>
      </c>
      <c r="BF14" s="9">
        <f>'1'!CA14</f>
        <v>0.26311969760328935</v>
      </c>
      <c r="BG14" s="9">
        <f>'1'!CC14</f>
        <v>0.33121495426930952</v>
      </c>
      <c r="BH14" s="9">
        <f>'2'!CA14</f>
        <v>0.22716105701069064</v>
      </c>
      <c r="BI14" s="9">
        <f>'2'!CC14</f>
        <v>0.34308158722608417</v>
      </c>
      <c r="BJ14" s="9">
        <f>'3'!Y14</f>
        <v>-77.209213133604976</v>
      </c>
      <c r="BK14" s="9" t="e">
        <f>'8'!AO11</f>
        <v>#REF!</v>
      </c>
      <c r="BL14" s="9" t="e">
        <f t="shared" si="14"/>
        <v>#REF!</v>
      </c>
      <c r="BM14" s="9" t="e">
        <f t="shared" si="15"/>
        <v>#REF!</v>
      </c>
      <c r="BN14" s="9">
        <f>'1'!CK14</f>
        <v>0.2354209281273146</v>
      </c>
      <c r="BO14" s="9">
        <f>'1'!CM14</f>
        <v>0.29682824483713149</v>
      </c>
      <c r="BP14" s="9">
        <f>'2'!CK14</f>
        <v>0.29433490541595614</v>
      </c>
      <c r="BQ14" s="9">
        <f>'2'!CM14</f>
        <v>0.43269669755487822</v>
      </c>
      <c r="BR14" s="9">
        <f>'3'!AB14</f>
        <v>-71.812658090959701</v>
      </c>
      <c r="BS14" s="9" t="e">
        <f>'8'!AT11</f>
        <v>#REF!</v>
      </c>
      <c r="BT14" s="9" t="e">
        <f t="shared" si="16"/>
        <v>#REF!</v>
      </c>
      <c r="BU14" s="9" t="e">
        <f t="shared" si="17"/>
        <v>#REF!</v>
      </c>
      <c r="BV14" s="9">
        <f>'1'!CU14</f>
        <v>0.36326136022507521</v>
      </c>
      <c r="BW14" s="9">
        <f>'1'!CW14</f>
        <v>0.44645932160866086</v>
      </c>
      <c r="BX14" s="9">
        <f>'2'!CU14</f>
        <v>0.42117290263185325</v>
      </c>
      <c r="BY14" s="9">
        <f>'2'!CW14</f>
        <v>0.57070126547753341</v>
      </c>
      <c r="BZ14" s="9">
        <f>'3'!AE14</f>
        <v>-49.783148864069851</v>
      </c>
      <c r="CA14" s="9" t="e">
        <f>'8'!AY11</f>
        <v>#REF!</v>
      </c>
      <c r="CB14" s="9" t="e">
        <f t="shared" si="18"/>
        <v>#REF!</v>
      </c>
      <c r="CC14" s="9" t="e">
        <f t="shared" si="19"/>
        <v>#REF!</v>
      </c>
      <c r="CD14" s="9">
        <f>'1'!DE14</f>
        <v>0.35339745067387968</v>
      </c>
      <c r="CE14" s="9">
        <f>'1'!DG14</f>
        <v>0.43568319560976976</v>
      </c>
      <c r="CF14" s="9">
        <f>'2'!DE14</f>
        <v>0.29294624257665036</v>
      </c>
      <c r="CG14" s="9">
        <f>'2'!DG14</f>
        <v>0.43098159467021352</v>
      </c>
      <c r="CH14" s="9">
        <f>'3'!AH14</f>
        <v>-49.667134906792931</v>
      </c>
      <c r="CI14" s="9" t="e">
        <f>'8'!BD11</f>
        <v>#REF!</v>
      </c>
      <c r="CJ14" s="9" t="e">
        <f t="shared" si="20"/>
        <v>#REF!</v>
      </c>
      <c r="CK14" s="142" t="e">
        <f t="shared" si="21"/>
        <v>#REF!</v>
      </c>
    </row>
    <row r="15" spans="1:89" hidden="1">
      <c r="A15" s="1">
        <v>1978</v>
      </c>
      <c r="B15" s="9">
        <f>'1'!I15</f>
        <v>0.23022843159693168</v>
      </c>
      <c r="C15" s="9">
        <f>'1'!K15</f>
        <v>0.29024740783902736</v>
      </c>
      <c r="D15" s="9">
        <f>'2'!I15</f>
        <v>0.2147298950211077</v>
      </c>
      <c r="E15" s="9">
        <f>'2'!K15</f>
        <v>0.3248090217240977</v>
      </c>
      <c r="F15" s="9">
        <f>'3'!D15</f>
        <v>-47.343954220727156</v>
      </c>
      <c r="G15" s="9" t="e">
        <f>'8'!F12</f>
        <v>#REF!</v>
      </c>
      <c r="H15" s="9" t="e">
        <f t="shared" si="0"/>
        <v>#REF!</v>
      </c>
      <c r="I15" s="9" t="e">
        <f t="shared" si="1"/>
        <v>#REF!</v>
      </c>
      <c r="J15" s="9">
        <f>'1'!S15</f>
        <v>0.12925271164548124</v>
      </c>
      <c r="K15" s="9">
        <f>'1'!U15</f>
        <v>0.15275968548378399</v>
      </c>
      <c r="L15" s="9">
        <f>'2'!S15</f>
        <v>0.13824399151284511</v>
      </c>
      <c r="M15" s="9">
        <f>'2'!U15</f>
        <v>0.19706307975689449</v>
      </c>
      <c r="N15" s="9">
        <f>'3'!G15</f>
        <v>-87.16824395894038</v>
      </c>
      <c r="O15" s="9" t="e">
        <f>'8'!K12</f>
        <v>#REF!</v>
      </c>
      <c r="P15" s="9" t="e">
        <f t="shared" si="2"/>
        <v>#REF!</v>
      </c>
      <c r="Q15" s="9" t="e">
        <f t="shared" si="3"/>
        <v>#REF!</v>
      </c>
      <c r="R15" s="9">
        <f>'1'!AC15</f>
        <v>0.2626035352568013</v>
      </c>
      <c r="S15" s="9">
        <f>'1'!AE15</f>
        <v>0.33058492569036108</v>
      </c>
      <c r="T15" s="9">
        <f>'2'!AC15</f>
        <v>7.7817521435605955E-2</v>
      </c>
      <c r="U15" s="9">
        <f>'2'!AE15</f>
        <v>7.0526966302625962E-2</v>
      </c>
      <c r="V15" s="9">
        <f>'3'!J15</f>
        <v>-73.563601756623655</v>
      </c>
      <c r="W15" s="9" t="e">
        <f>'8'!P12</f>
        <v>#REF!</v>
      </c>
      <c r="X15" s="9" t="e">
        <f t="shared" si="4"/>
        <v>#REF!</v>
      </c>
      <c r="Y15" s="9" t="e">
        <f t="shared" si="5"/>
        <v>#REF!</v>
      </c>
      <c r="Z15" s="9">
        <f>'1'!AM15</f>
        <v>0.29030065048200349</v>
      </c>
      <c r="AA15" s="9">
        <f>'1'!AO15</f>
        <v>0.36383997954062741</v>
      </c>
      <c r="AB15" s="9">
        <f>'2'!AM15</f>
        <v>0.12594988683736782</v>
      </c>
      <c r="AC15" s="9">
        <f>'2'!AO15</f>
        <v>0.17352391605212328</v>
      </c>
      <c r="AD15" s="9">
        <f>'3'!M15</f>
        <v>-58.115508044358869</v>
      </c>
      <c r="AE15" s="9" t="e">
        <f>'8'!U12</f>
        <v>#REF!</v>
      </c>
      <c r="AF15" s="9" t="e">
        <f t="shared" si="6"/>
        <v>#REF!</v>
      </c>
      <c r="AG15" s="9" t="e">
        <f t="shared" si="7"/>
        <v>#REF!</v>
      </c>
      <c r="AH15" s="9">
        <f>'1'!AW15</f>
        <v>0.13894613311518775</v>
      </c>
      <c r="AI15" s="9">
        <f>'1'!AY15</f>
        <v>0.16681512222436429</v>
      </c>
      <c r="AJ15" s="9">
        <f>'2'!AW15</f>
        <v>0.14227771258617553</v>
      </c>
      <c r="AK15" s="9">
        <f>'2'!AY15</f>
        <v>0.20457646999400733</v>
      </c>
      <c r="AL15" s="9">
        <f>'3'!P15</f>
        <v>-76.988009380491306</v>
      </c>
      <c r="AM15" s="9" t="e">
        <f>'8'!Z12</f>
        <v>#REF!</v>
      </c>
      <c r="AN15" s="9" t="e">
        <f t="shared" si="8"/>
        <v>#REF!</v>
      </c>
      <c r="AO15" s="9" t="e">
        <f t="shared" si="9"/>
        <v>#REF!</v>
      </c>
      <c r="AP15" s="9">
        <f>'1'!BG15</f>
        <v>0.22494830740052849</v>
      </c>
      <c r="AQ15" s="9">
        <f>'1'!BI15</f>
        <v>0.28351051327252563</v>
      </c>
      <c r="AR15" s="9">
        <f>'2'!BG15</f>
        <v>0.18094992913658789</v>
      </c>
      <c r="AS15" s="9">
        <f>'2'!BI15</f>
        <v>0.27192981157084267</v>
      </c>
      <c r="AT15" s="9">
        <f>'3'!S15</f>
        <v>-45.17824782685333</v>
      </c>
      <c r="AU15" s="9" t="e">
        <f>'8'!AE12</f>
        <v>#REF!</v>
      </c>
      <c r="AV15" s="9" t="e">
        <f t="shared" si="10"/>
        <v>#REF!</v>
      </c>
      <c r="AW15" s="9" t="e">
        <f t="shared" si="11"/>
        <v>#REF!</v>
      </c>
      <c r="AX15" s="9">
        <f>'1'!BQ15</f>
        <v>0.32458778871812832</v>
      </c>
      <c r="AY15" s="9">
        <f>'1'!BS15</f>
        <v>0.40352296846101071</v>
      </c>
      <c r="AZ15" s="9">
        <f>'2'!BQ15</f>
        <v>0.18127604050861831</v>
      </c>
      <c r="BA15" s="9">
        <f>'2'!BS15</f>
        <v>0.27246482797164495</v>
      </c>
      <c r="BB15" s="9">
        <f>'3'!V15</f>
        <v>-39.667260646215894</v>
      </c>
      <c r="BC15" s="9" t="e">
        <f>'8'!AJ12</f>
        <v>#REF!</v>
      </c>
      <c r="BD15" s="9" t="e">
        <f t="shared" si="12"/>
        <v>#REF!</v>
      </c>
      <c r="BE15" s="9" t="e">
        <f t="shared" si="13"/>
        <v>#REF!</v>
      </c>
      <c r="BF15" s="9">
        <f>'1'!CA15</f>
        <v>0.26318350227580833</v>
      </c>
      <c r="BG15" s="9">
        <f>'1'!CC15</f>
        <v>0.33129280661569771</v>
      </c>
      <c r="BH15" s="9">
        <f>'2'!CA15</f>
        <v>0.22925775914249699</v>
      </c>
      <c r="BI15" s="9">
        <f>'2'!CC15</f>
        <v>0.34610584130422711</v>
      </c>
      <c r="BJ15" s="9">
        <f>'3'!Y15</f>
        <v>-85.507966291002973</v>
      </c>
      <c r="BK15" s="9" t="e">
        <f>'8'!AO12</f>
        <v>#REF!</v>
      </c>
      <c r="BL15" s="9" t="e">
        <f t="shared" si="14"/>
        <v>#REF!</v>
      </c>
      <c r="BM15" s="9" t="e">
        <f t="shared" si="15"/>
        <v>#REF!</v>
      </c>
      <c r="BN15" s="9">
        <f>'1'!CK15</f>
        <v>0.25882339734967713</v>
      </c>
      <c r="BO15" s="9">
        <f>'1'!CM15</f>
        <v>0.32595866601040263</v>
      </c>
      <c r="BP15" s="9">
        <f>'2'!CK15</f>
        <v>0.30416063691170925</v>
      </c>
      <c r="BQ15" s="9">
        <f>'2'!CM15</f>
        <v>0.44468500653223025</v>
      </c>
      <c r="BR15" s="9">
        <f>'3'!AB15</f>
        <v>-56.538895469618794</v>
      </c>
      <c r="BS15" s="9" t="e">
        <f>'8'!AT12</f>
        <v>#REF!</v>
      </c>
      <c r="BT15" s="9" t="e">
        <f t="shared" si="16"/>
        <v>#REF!</v>
      </c>
      <c r="BU15" s="9" t="e">
        <f t="shared" si="17"/>
        <v>#REF!</v>
      </c>
      <c r="BV15" s="9">
        <f>'1'!CU15</f>
        <v>0.39900995497212355</v>
      </c>
      <c r="BW15" s="9">
        <f>'1'!CW15</f>
        <v>0.48456282463778444</v>
      </c>
      <c r="BX15" s="9">
        <f>'2'!CU15</f>
        <v>0.44629236837394137</v>
      </c>
      <c r="BY15" s="9">
        <f>'2'!CW15</f>
        <v>0.59442870065935305</v>
      </c>
      <c r="BZ15" s="9">
        <f>'3'!AE15</f>
        <v>-39.4807805253918</v>
      </c>
      <c r="CA15" s="9" t="e">
        <f>'8'!AY12</f>
        <v>#REF!</v>
      </c>
      <c r="CB15" s="9" t="e">
        <f t="shared" si="18"/>
        <v>#REF!</v>
      </c>
      <c r="CC15" s="9" t="e">
        <f t="shared" si="19"/>
        <v>#REF!</v>
      </c>
      <c r="CD15" s="9">
        <f>'1'!DE15</f>
        <v>0.38515166697819375</v>
      </c>
      <c r="CE15" s="9">
        <f>'1'!DG15</f>
        <v>0.46996457123642205</v>
      </c>
      <c r="CF15" s="9">
        <f>'2'!DE15</f>
        <v>0.29665959825628496</v>
      </c>
      <c r="CG15" s="9">
        <f>'2'!DG15</f>
        <v>0.43555620954199775</v>
      </c>
      <c r="CH15" s="9">
        <f>'3'!AH15</f>
        <v>-44.562792140288664</v>
      </c>
      <c r="CI15" s="9" t="e">
        <f>'8'!BD12</f>
        <v>#REF!</v>
      </c>
      <c r="CJ15" s="9" t="e">
        <f t="shared" si="20"/>
        <v>#REF!</v>
      </c>
      <c r="CK15" s="142" t="e">
        <f t="shared" si="21"/>
        <v>#REF!</v>
      </c>
    </row>
    <row r="16" spans="1:89" hidden="1">
      <c r="A16" s="1">
        <v>1979</v>
      </c>
      <c r="B16" s="9">
        <f>'1'!I16</f>
        <v>0.23867823350722323</v>
      </c>
      <c r="C16" s="9">
        <f>'1'!K16</f>
        <v>0.30093433176376611</v>
      </c>
      <c r="D16" s="9">
        <f>'2'!I16</f>
        <v>0.23598434718089964</v>
      </c>
      <c r="E16" s="9">
        <f>'2'!K16</f>
        <v>0.35569981345484375</v>
      </c>
      <c r="F16" s="9">
        <f>'3'!D16</f>
        <v>-48.90443694740248</v>
      </c>
      <c r="G16" s="9" t="e">
        <f>'8'!F13</f>
        <v>#REF!</v>
      </c>
      <c r="H16" s="9" t="e">
        <f t="shared" si="0"/>
        <v>#REF!</v>
      </c>
      <c r="I16" s="9" t="e">
        <f t="shared" si="1"/>
        <v>#REF!</v>
      </c>
      <c r="J16" s="9">
        <f>'1'!S16</f>
        <v>0.14030256842829705</v>
      </c>
      <c r="K16" s="9">
        <f>'1'!U16</f>
        <v>0.16876618613995059</v>
      </c>
      <c r="L16" s="9">
        <f>'2'!S16</f>
        <v>0.16972312234618461</v>
      </c>
      <c r="M16" s="9">
        <f>'2'!U16</f>
        <v>0.25319368302344475</v>
      </c>
      <c r="N16" s="9">
        <f>'3'!G16</f>
        <v>-77.828534352792914</v>
      </c>
      <c r="O16" s="9" t="e">
        <f>'8'!K13</f>
        <v>#REF!</v>
      </c>
      <c r="P16" s="9" t="e">
        <f t="shared" si="2"/>
        <v>#REF!</v>
      </c>
      <c r="Q16" s="9" t="e">
        <f t="shared" si="3"/>
        <v>#REF!</v>
      </c>
      <c r="R16" s="9">
        <f>'1'!AC16</f>
        <v>0.26986742557639565</v>
      </c>
      <c r="S16" s="9">
        <f>'1'!AE16</f>
        <v>0.33941470083500974</v>
      </c>
      <c r="T16" s="9">
        <f>'2'!AC16</f>
        <v>8.0259164521288867E-2</v>
      </c>
      <c r="U16" s="9">
        <f>'2'!AE16</f>
        <v>7.6231876216169225E-2</v>
      </c>
      <c r="V16" s="9">
        <f>'3'!J16</f>
        <v>-67.637476152095417</v>
      </c>
      <c r="W16" s="9" t="e">
        <f>'8'!P13</f>
        <v>#REF!</v>
      </c>
      <c r="X16" s="9" t="e">
        <f t="shared" si="4"/>
        <v>#REF!</v>
      </c>
      <c r="Y16" s="9" t="e">
        <f t="shared" si="5"/>
        <v>#REF!</v>
      </c>
      <c r="Z16" s="9">
        <f>'1'!AM16</f>
        <v>0.30541782327969458</v>
      </c>
      <c r="AA16" s="9">
        <f>'1'!AO16</f>
        <v>0.38153182927385565</v>
      </c>
      <c r="AB16" s="9">
        <f>'2'!AM16</f>
        <v>0.14297298533735509</v>
      </c>
      <c r="AC16" s="9">
        <f>'2'!AO16</f>
        <v>0.20586143261986306</v>
      </c>
      <c r="AD16" s="9">
        <f>'3'!M16</f>
        <v>-56.244428692007055</v>
      </c>
      <c r="AE16" s="9" t="e">
        <f>'8'!U13</f>
        <v>#REF!</v>
      </c>
      <c r="AF16" s="9" t="e">
        <f t="shared" si="6"/>
        <v>#REF!</v>
      </c>
      <c r="AG16" s="9" t="e">
        <f t="shared" si="7"/>
        <v>#REF!</v>
      </c>
      <c r="AH16" s="9">
        <f>'1'!AW16</f>
        <v>0.14506558808336645</v>
      </c>
      <c r="AI16" s="9">
        <f>'1'!AY16</f>
        <v>0.17558700962238644</v>
      </c>
      <c r="AJ16" s="9">
        <f>'2'!AW16</f>
        <v>0.16198941198457475</v>
      </c>
      <c r="AK16" s="9">
        <f>'2'!AY16</f>
        <v>0.23991405143898709</v>
      </c>
      <c r="AL16" s="9">
        <f>'3'!P16</f>
        <v>-69.044066673529841</v>
      </c>
      <c r="AM16" s="9" t="e">
        <f>'8'!Z13</f>
        <v>#REF!</v>
      </c>
      <c r="AN16" s="9" t="e">
        <f t="shared" si="8"/>
        <v>#REF!</v>
      </c>
      <c r="AO16" s="9" t="e">
        <f t="shared" si="9"/>
        <v>#REF!</v>
      </c>
      <c r="AP16" s="9">
        <f>'1'!BG16</f>
        <v>0.25030707764932819</v>
      </c>
      <c r="AQ16" s="9">
        <f>'1'!BI16</f>
        <v>0.31545649297391259</v>
      </c>
      <c r="AR16" s="9">
        <f>'2'!BG16</f>
        <v>0.19467483426303003</v>
      </c>
      <c r="AS16" s="9">
        <f>'2'!BI16</f>
        <v>0.2940179321889701</v>
      </c>
      <c r="AT16" s="9">
        <f>'3'!S16</f>
        <v>-49.675518390436139</v>
      </c>
      <c r="AU16" s="9" t="e">
        <f>'8'!AE13</f>
        <v>#REF!</v>
      </c>
      <c r="AV16" s="9" t="e">
        <f t="shared" si="10"/>
        <v>#REF!</v>
      </c>
      <c r="AW16" s="9" t="e">
        <f t="shared" si="11"/>
        <v>#REF!</v>
      </c>
      <c r="AX16" s="9">
        <f>'1'!BQ16</f>
        <v>0.33641670997878365</v>
      </c>
      <c r="AY16" s="9">
        <f>'1'!BS16</f>
        <v>0.41685379734709532</v>
      </c>
      <c r="AZ16" s="9">
        <f>'2'!BQ16</f>
        <v>0.19514435887023393</v>
      </c>
      <c r="BA16" s="9">
        <f>'2'!BS16</f>
        <v>0.29475842225433713</v>
      </c>
      <c r="BB16" s="9">
        <f>'3'!V16</f>
        <v>-42.457693345112652</v>
      </c>
      <c r="BC16" s="9" t="e">
        <f>'8'!AJ13</f>
        <v>#REF!</v>
      </c>
      <c r="BD16" s="9" t="e">
        <f t="shared" si="12"/>
        <v>#REF!</v>
      </c>
      <c r="BE16" s="9" t="e">
        <f t="shared" si="13"/>
        <v>#REF!</v>
      </c>
      <c r="BF16" s="9">
        <f>'1'!CA16</f>
        <v>0.27811350904572102</v>
      </c>
      <c r="BG16" s="9">
        <f>'1'!CC16</f>
        <v>0.34934420754847967</v>
      </c>
      <c r="BH16" s="9">
        <f>'2'!CA16</f>
        <v>0.25083708405764155</v>
      </c>
      <c r="BI16" s="9">
        <f>'2'!CC16</f>
        <v>0.37632138539691556</v>
      </c>
      <c r="BJ16" s="9">
        <f>'3'!Y16</f>
        <v>-67.882716261126262</v>
      </c>
      <c r="BK16" s="9" t="e">
        <f>'8'!AO13</f>
        <v>#REF!</v>
      </c>
      <c r="BL16" s="9" t="e">
        <f t="shared" si="14"/>
        <v>#REF!</v>
      </c>
      <c r="BM16" s="9" t="e">
        <f t="shared" si="15"/>
        <v>#REF!</v>
      </c>
      <c r="BN16" s="9">
        <f>'1'!CK16</f>
        <v>0.28644658365049636</v>
      </c>
      <c r="BO16" s="9">
        <f>'1'!CM16</f>
        <v>0.35927865545292392</v>
      </c>
      <c r="BP16" s="9">
        <f>'2'!CK16</f>
        <v>0.37489455213577616</v>
      </c>
      <c r="BQ16" s="9">
        <f>'2'!CM16</f>
        <v>0.52417941773037824</v>
      </c>
      <c r="BR16" s="9">
        <f>'3'!AB16</f>
        <v>-66.927941104730877</v>
      </c>
      <c r="BS16" s="9" t="e">
        <f>'8'!AT13</f>
        <v>#REF!</v>
      </c>
      <c r="BT16" s="9" t="e">
        <f t="shared" si="16"/>
        <v>#REF!</v>
      </c>
      <c r="BU16" s="9" t="e">
        <f t="shared" si="17"/>
        <v>#REF!</v>
      </c>
      <c r="BV16" s="9">
        <f>'1'!CU16</f>
        <v>0.44318464077202485</v>
      </c>
      <c r="BW16" s="9">
        <f>'1'!CW16</f>
        <v>0.52971434417067353</v>
      </c>
      <c r="BX16" s="9">
        <f>'2'!CU16</f>
        <v>0.46911929908194117</v>
      </c>
      <c r="BY16" s="9">
        <f>'2'!CW16</f>
        <v>0.61515526778984175</v>
      </c>
      <c r="BZ16" s="9">
        <f>'3'!AE16</f>
        <v>-45.066609612005038</v>
      </c>
      <c r="CA16" s="9" t="e">
        <f>'8'!AY13</f>
        <v>#REF!</v>
      </c>
      <c r="CB16" s="9" t="e">
        <f t="shared" si="18"/>
        <v>#REF!</v>
      </c>
      <c r="CC16" s="9" t="e">
        <f t="shared" si="19"/>
        <v>#REF!</v>
      </c>
      <c r="CD16" s="9">
        <f>'1'!DE16</f>
        <v>0.41312828752527125</v>
      </c>
      <c r="CE16" s="9">
        <f>'1'!DG16</f>
        <v>0.49921766586032734</v>
      </c>
      <c r="CF16" s="9">
        <f>'2'!DE16</f>
        <v>0.3358775237305513</v>
      </c>
      <c r="CG16" s="9">
        <f>'2'!DG16</f>
        <v>0.4817256282281514</v>
      </c>
      <c r="CH16" s="9">
        <f>'3'!AH16</f>
        <v>-44.777422945036513</v>
      </c>
      <c r="CI16" s="9" t="e">
        <f>'8'!BD13</f>
        <v>#REF!</v>
      </c>
      <c r="CJ16" s="9" t="e">
        <f t="shared" si="20"/>
        <v>#REF!</v>
      </c>
      <c r="CK16" s="142" t="e">
        <f t="shared" si="21"/>
        <v>#REF!</v>
      </c>
    </row>
    <row r="17" spans="1:89" hidden="1">
      <c r="A17" s="1">
        <v>1980</v>
      </c>
      <c r="B17" s="9">
        <f>'1'!I17</f>
        <v>0.24956313042265793</v>
      </c>
      <c r="C17" s="9">
        <f>'1'!K17</f>
        <v>0.31453377627592888</v>
      </c>
      <c r="D17" s="9">
        <f>'2'!I17</f>
        <v>0.25753477765760036</v>
      </c>
      <c r="E17" s="9">
        <f>'2'!K17</f>
        <v>0.38537867383194491</v>
      </c>
      <c r="F17" s="9">
        <f>'3'!D17</f>
        <v>-45.339100796180233</v>
      </c>
      <c r="G17" s="9" t="e">
        <f>'8'!F14</f>
        <v>#REF!</v>
      </c>
      <c r="H17" s="9" t="e">
        <f t="shared" si="0"/>
        <v>#REF!</v>
      </c>
      <c r="I17" s="9" t="e">
        <f t="shared" si="1"/>
        <v>#REF!</v>
      </c>
      <c r="J17" s="9">
        <f>'1'!S17</f>
        <v>0.13921200840914363</v>
      </c>
      <c r="K17" s="9">
        <f>'1'!U17</f>
        <v>0.16719785286766153</v>
      </c>
      <c r="L17" s="9">
        <f>'2'!S17</f>
        <v>0.18314890620265148</v>
      </c>
      <c r="M17" s="9">
        <f>'2'!U17</f>
        <v>0.27552762197553909</v>
      </c>
      <c r="N17" s="9">
        <f>'3'!G17</f>
        <v>-94.543165043061521</v>
      </c>
      <c r="O17" s="9" t="e">
        <f>'8'!K14</f>
        <v>#REF!</v>
      </c>
      <c r="P17" s="9" t="e">
        <f t="shared" si="2"/>
        <v>#REF!</v>
      </c>
      <c r="Q17" s="9" t="e">
        <f t="shared" si="3"/>
        <v>#REF!</v>
      </c>
      <c r="R17" s="9">
        <f>'1'!AC17</f>
        <v>0.28704086757580499</v>
      </c>
      <c r="S17" s="9">
        <f>'1'!AE17</f>
        <v>0.35998336304343242</v>
      </c>
      <c r="T17" s="9">
        <f>'2'!AC17</f>
        <v>8.5481496406001917E-2</v>
      </c>
      <c r="U17" s="9">
        <f>'2'!AE17</f>
        <v>8.8242975190385584E-2</v>
      </c>
      <c r="V17" s="9">
        <f>'3'!J17</f>
        <v>-54.99250458466485</v>
      </c>
      <c r="W17" s="9" t="e">
        <f>'8'!P14</f>
        <v>#REF!</v>
      </c>
      <c r="X17" s="9" t="e">
        <f t="shared" si="4"/>
        <v>#REF!</v>
      </c>
      <c r="Y17" s="9" t="e">
        <f t="shared" si="5"/>
        <v>#REF!</v>
      </c>
      <c r="Z17" s="9">
        <f>'1'!AM17</f>
        <v>0.31461096359536805</v>
      </c>
      <c r="AA17" s="9">
        <f>'1'!AO17</f>
        <v>0.39213865060078529</v>
      </c>
      <c r="AB17" s="9">
        <f>'2'!AM17</f>
        <v>0.1516760979957773</v>
      </c>
      <c r="AC17" s="9">
        <f>'2'!AO17</f>
        <v>0.22170239547797832</v>
      </c>
      <c r="AD17" s="9">
        <f>'3'!M17</f>
        <v>-49.190557495225946</v>
      </c>
      <c r="AE17" s="9" t="e">
        <f>'8'!U14</f>
        <v>#REF!</v>
      </c>
      <c r="AF17" s="9" t="e">
        <f t="shared" si="6"/>
        <v>#REF!</v>
      </c>
      <c r="AG17" s="9" t="e">
        <f t="shared" si="7"/>
        <v>#REF!</v>
      </c>
      <c r="AH17" s="9">
        <f>'1'!AW17</f>
        <v>0.15764756609148828</v>
      </c>
      <c r="AI17" s="9">
        <f>'1'!AY17</f>
        <v>0.19338283660959807</v>
      </c>
      <c r="AJ17" s="9">
        <f>'2'!AW17</f>
        <v>0.17567252495932173</v>
      </c>
      <c r="AK17" s="9">
        <f>'2'!AY17</f>
        <v>0.26320019492523766</v>
      </c>
      <c r="AL17" s="9">
        <f>'3'!P17</f>
        <v>-60.056884834913873</v>
      </c>
      <c r="AM17" s="9" t="e">
        <f>'8'!Z14</f>
        <v>#REF!</v>
      </c>
      <c r="AN17" s="9" t="e">
        <f t="shared" si="8"/>
        <v>#REF!</v>
      </c>
      <c r="AO17" s="9" t="e">
        <f t="shared" si="9"/>
        <v>#REF!</v>
      </c>
      <c r="AP17" s="9">
        <f>'1'!BG17</f>
        <v>0.26771835401395672</v>
      </c>
      <c r="AQ17" s="9">
        <f>'1'!BI17</f>
        <v>0.3368105155560861</v>
      </c>
      <c r="AR17" s="9">
        <f>'2'!BG17</f>
        <v>0.20484311367519481</v>
      </c>
      <c r="AS17" s="9">
        <f>'2'!BI17</f>
        <v>0.3098402260256683</v>
      </c>
      <c r="AT17" s="9">
        <f>'3'!S17</f>
        <v>-49.211440494915799</v>
      </c>
      <c r="AU17" s="9" t="e">
        <f>'8'!AE14</f>
        <v>#REF!</v>
      </c>
      <c r="AV17" s="9" t="e">
        <f t="shared" si="10"/>
        <v>#REF!</v>
      </c>
      <c r="AW17" s="9" t="e">
        <f t="shared" si="11"/>
        <v>#REF!</v>
      </c>
      <c r="AX17" s="9">
        <f>'1'!BQ17</f>
        <v>0.35615667039285021</v>
      </c>
      <c r="AY17" s="9">
        <f>'1'!BS17</f>
        <v>0.43870938188493103</v>
      </c>
      <c r="AZ17" s="9">
        <f>'2'!BQ17</f>
        <v>0.20494050941541084</v>
      </c>
      <c r="BA17" s="9">
        <f>'2'!BS17</f>
        <v>0.30998964576498461</v>
      </c>
      <c r="BB17" s="9">
        <f>'3'!V17</f>
        <v>-37.508909906445055</v>
      </c>
      <c r="BC17" s="9" t="e">
        <f>'8'!AJ14</f>
        <v>#REF!</v>
      </c>
      <c r="BD17" s="9" t="e">
        <f t="shared" si="12"/>
        <v>#REF!</v>
      </c>
      <c r="BE17" s="9" t="e">
        <f t="shared" si="13"/>
        <v>#REF!</v>
      </c>
      <c r="BF17" s="9">
        <f>'1'!CA17</f>
        <v>0.29318715164736187</v>
      </c>
      <c r="BG17" s="9">
        <f>'1'!CC17</f>
        <v>0.36724251773274502</v>
      </c>
      <c r="BH17" s="9">
        <f>'2'!CA17</f>
        <v>0.25900212020054197</v>
      </c>
      <c r="BI17" s="9">
        <f>'2'!CC17</f>
        <v>0.38734362655971694</v>
      </c>
      <c r="BJ17" s="9">
        <f>'3'!Y17</f>
        <v>-58.183004496758564</v>
      </c>
      <c r="BK17" s="9" t="e">
        <f>'8'!AO14</f>
        <v>#REF!</v>
      </c>
      <c r="BL17" s="9" t="e">
        <f t="shared" si="14"/>
        <v>#REF!</v>
      </c>
      <c r="BM17" s="9" t="e">
        <f t="shared" si="15"/>
        <v>#REF!</v>
      </c>
      <c r="BN17" s="9">
        <f>'1'!CK17</f>
        <v>0.31409896663044168</v>
      </c>
      <c r="BO17" s="9">
        <f>'1'!CM17</f>
        <v>0.39155088923672682</v>
      </c>
      <c r="BP17" s="9">
        <f>'2'!CK17</f>
        <v>0.37819042215859522</v>
      </c>
      <c r="BQ17" s="9">
        <f>'2'!CM17</f>
        <v>0.52762299018568415</v>
      </c>
      <c r="BR17" s="9">
        <f>'3'!AB17</f>
        <v>-46.69755591745961</v>
      </c>
      <c r="BS17" s="9" t="e">
        <f>'8'!AT14</f>
        <v>#REF!</v>
      </c>
      <c r="BT17" s="9" t="e">
        <f t="shared" si="16"/>
        <v>#REF!</v>
      </c>
      <c r="BU17" s="9" t="e">
        <f t="shared" si="17"/>
        <v>#REF!</v>
      </c>
      <c r="BV17" s="9">
        <f>'1'!CU17</f>
        <v>0.47794652011180722</v>
      </c>
      <c r="BW17" s="9">
        <f>'1'!CW17</f>
        <v>0.56385624768401343</v>
      </c>
      <c r="BX17" s="9">
        <f>'2'!CU17</f>
        <v>0.49078262798173633</v>
      </c>
      <c r="BY17" s="9">
        <f>'2'!CW17</f>
        <v>0.63414292288839547</v>
      </c>
      <c r="BZ17" s="9">
        <f>'3'!AE17</f>
        <v>-42.795287769167302</v>
      </c>
      <c r="CA17" s="9" t="e">
        <f>'8'!AY14</f>
        <v>#REF!</v>
      </c>
      <c r="CB17" s="9" t="e">
        <f t="shared" si="18"/>
        <v>#REF!</v>
      </c>
      <c r="CC17" s="9" t="e">
        <f t="shared" si="19"/>
        <v>#REF!</v>
      </c>
      <c r="CD17" s="9">
        <f>'1'!DE17</f>
        <v>0.45949506836533488</v>
      </c>
      <c r="CE17" s="9">
        <f>'1'!DG17</f>
        <v>0.54588007309118203</v>
      </c>
      <c r="CF17" s="9">
        <f>'2'!DE17</f>
        <v>0.33836390207543393</v>
      </c>
      <c r="CG17" s="9">
        <f>'2'!DG17</f>
        <v>0.48452877159872637</v>
      </c>
      <c r="CH17" s="9">
        <f>'3'!AH17</f>
        <v>-42.164777444460185</v>
      </c>
      <c r="CI17" s="9" t="e">
        <f>'8'!BD14</f>
        <v>#REF!</v>
      </c>
      <c r="CJ17" s="9" t="e">
        <f t="shared" si="20"/>
        <v>#REF!</v>
      </c>
      <c r="CK17" s="142" t="e">
        <f t="shared" si="21"/>
        <v>#REF!</v>
      </c>
    </row>
    <row r="18" spans="1:89" hidden="1">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142"/>
    </row>
    <row r="19" spans="1:89">
      <c r="A19" s="1">
        <v>1981</v>
      </c>
      <c r="B19" s="9">
        <f>'1'!I19</f>
        <v>0.26502024105489891</v>
      </c>
      <c r="C19" s="9">
        <f>'1'!K19</f>
        <v>0.33353132290435233</v>
      </c>
      <c r="D19" s="9">
        <f>'2'!I19</f>
        <v>0.25267986708165169</v>
      </c>
      <c r="E19" s="9">
        <f>'2'!K19</f>
        <v>0.3788279641332209</v>
      </c>
      <c r="F19" s="9">
        <f>'3'!D19</f>
        <v>0.6415022695162006</v>
      </c>
      <c r="G19" s="9">
        <f>'8'!F16</f>
        <v>0.63201595297490964</v>
      </c>
      <c r="H19" s="9">
        <f t="shared" si="0"/>
        <v>0.44780458265691525</v>
      </c>
      <c r="I19" s="9">
        <f t="shared" si="1"/>
        <v>0.4964693773821709</v>
      </c>
      <c r="J19" s="9">
        <f>'1'!S19</f>
        <v>8.3333333333333315E-2</v>
      </c>
      <c r="K19" s="9">
        <f>'1'!U19</f>
        <v>8.3333333333332898E-2</v>
      </c>
      <c r="L19" s="9">
        <f>'2'!S19</f>
        <v>0.17423122566164023</v>
      </c>
      <c r="M19" s="9">
        <f>'2'!U19</f>
        <v>0.26079231774301537</v>
      </c>
      <c r="N19" s="9">
        <f>'3'!G19</f>
        <v>0.44335753567434699</v>
      </c>
      <c r="O19" s="9">
        <f>'8'!K16</f>
        <v>0.41310207481519734</v>
      </c>
      <c r="P19" s="9">
        <f t="shared" si="2"/>
        <v>0.27850604237112947</v>
      </c>
      <c r="Q19" s="9">
        <f t="shared" si="3"/>
        <v>0.30014631539147318</v>
      </c>
      <c r="R19" s="9">
        <f>'1'!AC19</f>
        <v>0.19516874738276771</v>
      </c>
      <c r="S19" s="9">
        <f>'1'!AE19</f>
        <v>0.24463500382446471</v>
      </c>
      <c r="T19" s="9">
        <f>'2'!AC19</f>
        <v>8.3333333333333329E-2</v>
      </c>
      <c r="U19" s="9">
        <f>'2'!AE19</f>
        <v>8.3333333333333245E-2</v>
      </c>
      <c r="V19" s="9">
        <f>'3'!J19</f>
        <v>0.44198121002238394</v>
      </c>
      <c r="W19" s="9">
        <f>'8'!P16</f>
        <v>0.45114132979063915</v>
      </c>
      <c r="X19" s="9">
        <f t="shared" si="4"/>
        <v>0.29290615513228102</v>
      </c>
      <c r="Y19" s="9">
        <f t="shared" si="5"/>
        <v>0.30527271924270527</v>
      </c>
      <c r="Z19" s="9">
        <f>'1'!AM19</f>
        <v>0.23002808436799582</v>
      </c>
      <c r="AA19" s="9">
        <f>'1'!AO19</f>
        <v>0.28999261744489518</v>
      </c>
      <c r="AB19" s="9">
        <f>'2'!AM19</f>
        <v>0.13918839018427517</v>
      </c>
      <c r="AC19" s="9">
        <f>'2'!AO19</f>
        <v>0.19883118184636644</v>
      </c>
      <c r="AD19" s="9">
        <f>'3'!M19</f>
        <v>0.52454765506693046</v>
      </c>
      <c r="AE19" s="9">
        <f>'8'!U16</f>
        <v>0.62943653895762197</v>
      </c>
      <c r="AF19" s="9">
        <f t="shared" si="6"/>
        <v>0.38080016714420584</v>
      </c>
      <c r="AG19" s="9">
        <f t="shared" si="7"/>
        <v>0.41070199832895354</v>
      </c>
      <c r="AH19" s="9">
        <f>'1'!AW19</f>
        <v>9.6809081306642272E-2</v>
      </c>
      <c r="AI19" s="9">
        <f>'1'!AY19</f>
        <v>0.10421530401163399</v>
      </c>
      <c r="AJ19" s="9">
        <f>'2'!AW19</f>
        <v>0.15780172121188507</v>
      </c>
      <c r="AK19" s="9">
        <f>'2'!AY19</f>
        <v>0.23259024566263012</v>
      </c>
      <c r="AL19" s="9">
        <f>'3'!P19</f>
        <v>0.35043375775672592</v>
      </c>
      <c r="AM19" s="9">
        <f>'8'!Z16</f>
        <v>0.52017136127858687</v>
      </c>
      <c r="AN19" s="9">
        <f t="shared" si="8"/>
        <v>0.28130398038846005</v>
      </c>
      <c r="AO19" s="9">
        <f t="shared" si="9"/>
        <v>0.30185266717739423</v>
      </c>
      <c r="AP19" s="9">
        <f>'1'!BG19</f>
        <v>0.188111806241578</v>
      </c>
      <c r="AQ19" s="9">
        <f>'1'!BI19</f>
        <v>0.23519526027862409</v>
      </c>
      <c r="AR19" s="9">
        <f>'2'!BG19</f>
        <v>0.19975876004372442</v>
      </c>
      <c r="AS19" s="9">
        <f>'2'!BI19</f>
        <v>0.30198439988856512</v>
      </c>
      <c r="AT19" s="9">
        <f>'3'!S19</f>
        <v>0.59749980492452193</v>
      </c>
      <c r="AU19" s="9">
        <f>'8'!AE16</f>
        <v>0.56113307019886161</v>
      </c>
      <c r="AV19" s="9">
        <f t="shared" si="10"/>
        <v>0.3866258603521715</v>
      </c>
      <c r="AW19" s="9">
        <f t="shared" si="11"/>
        <v>0.42395313382264321</v>
      </c>
      <c r="AX19" s="9">
        <f>'1'!BQ19</f>
        <v>0.27753848440949125</v>
      </c>
      <c r="AY19" s="9">
        <f>'1'!BS19</f>
        <v>0.34865500221180429</v>
      </c>
      <c r="AZ19" s="9">
        <f>'2'!BQ19</f>
        <v>0.1964830485415941</v>
      </c>
      <c r="BA19" s="9">
        <f>'2'!BS19</f>
        <v>0.2968643394138179</v>
      </c>
      <c r="BB19" s="9">
        <f>'3'!V19</f>
        <v>0.76271200423824892</v>
      </c>
      <c r="BC19" s="9">
        <f>'8'!AJ16</f>
        <v>0.68187528276174003</v>
      </c>
      <c r="BD19" s="9">
        <f t="shared" si="12"/>
        <v>0.47965220498776856</v>
      </c>
      <c r="BE19" s="9">
        <f t="shared" si="13"/>
        <v>0.52252665715640279</v>
      </c>
      <c r="BF19" s="9">
        <f>'1'!CA19</f>
        <v>0.21362570375886047</v>
      </c>
      <c r="BG19" s="9">
        <f>'1'!CC19</f>
        <v>0.26890816307309789</v>
      </c>
      <c r="BH19" s="9">
        <f>'2'!CA19</f>
        <v>0.24237508530571805</v>
      </c>
      <c r="BI19" s="9">
        <f>'2'!CC19</f>
        <v>0.36466558199935523</v>
      </c>
      <c r="BJ19" s="9">
        <f>'3'!Y19</f>
        <v>0.48355227539159917</v>
      </c>
      <c r="BK19" s="9">
        <f>'8'!AO16</f>
        <v>0.61454232118591945</v>
      </c>
      <c r="BL19" s="9">
        <f t="shared" si="14"/>
        <v>0.38852384641052429</v>
      </c>
      <c r="BM19" s="9">
        <f t="shared" si="15"/>
        <v>0.43291708541249296</v>
      </c>
      <c r="BN19" s="9">
        <f>'1'!CK19</f>
        <v>0.23938063782464369</v>
      </c>
      <c r="BO19" s="9">
        <f>'1'!CM19</f>
        <v>0.30181754722819948</v>
      </c>
      <c r="BP19" s="9">
        <f>'2'!CK19</f>
        <v>0.34372283562385231</v>
      </c>
      <c r="BQ19" s="9">
        <f>'2'!CM19</f>
        <v>0.49052332979265789</v>
      </c>
      <c r="BR19" s="9">
        <f>'3'!AB19</f>
        <v>0.37606661066813751</v>
      </c>
      <c r="BS19" s="9">
        <f>'8'!AT16</f>
        <v>0.72083174572819975</v>
      </c>
      <c r="BT19" s="9">
        <f t="shared" si="16"/>
        <v>0.42000045746120829</v>
      </c>
      <c r="BU19" s="9">
        <f t="shared" si="17"/>
        <v>0.47230980835429859</v>
      </c>
      <c r="BV19" s="9">
        <f>'1'!CU19</f>
        <v>0.40135810621035933</v>
      </c>
      <c r="BW19" s="9">
        <f>'1'!CW19</f>
        <v>0.48701524306958188</v>
      </c>
      <c r="BX19" s="9">
        <f>'2'!CU19</f>
        <v>0.57940196497283902</v>
      </c>
      <c r="BY19" s="9">
        <f>'2'!CW19</f>
        <v>0.70575899557294919</v>
      </c>
      <c r="BZ19" s="9">
        <f>'3'!AE19</f>
        <v>0.7141753287934689</v>
      </c>
      <c r="CA19" s="9">
        <f>'8'!AY16</f>
        <v>0.71288901997033804</v>
      </c>
      <c r="CB19" s="9">
        <f t="shared" si="18"/>
        <v>0.60195610498675134</v>
      </c>
      <c r="CC19" s="9">
        <f t="shared" si="19"/>
        <v>0.65495964685158448</v>
      </c>
      <c r="CD19" s="9">
        <f>'1'!DE19</f>
        <v>0.36764837310457554</v>
      </c>
      <c r="CE19" s="9">
        <f>'1'!DG19</f>
        <v>0.451214749674409</v>
      </c>
      <c r="CF19" s="9">
        <f>'2'!DE19</f>
        <v>0.31093925165954012</v>
      </c>
      <c r="CG19" s="9">
        <f>'2'!DG19</f>
        <v>0.45280902750841306</v>
      </c>
      <c r="CH19" s="9">
        <f>'3'!AH19</f>
        <v>0.66047047631749756</v>
      </c>
      <c r="CI19" s="9">
        <f>'8'!BD16</f>
        <v>0.60953060721864039</v>
      </c>
      <c r="CJ19" s="9">
        <f t="shared" si="20"/>
        <v>0.48714717707506339</v>
      </c>
      <c r="CK19" s="9">
        <f t="shared" si="21"/>
        <v>0.54350621517974007</v>
      </c>
    </row>
    <row r="20" spans="1:89">
      <c r="A20" s="1">
        <v>1982</v>
      </c>
      <c r="B20" s="9">
        <f>'1'!I20</f>
        <v>0.24478856353058198</v>
      </c>
      <c r="C20" s="9">
        <f>'1'!K20</f>
        <v>0.30859140147898034</v>
      </c>
      <c r="D20" s="9">
        <f>'2'!I20</f>
        <v>0.25213587905563967</v>
      </c>
      <c r="E20" s="9">
        <f>'2'!K20</f>
        <v>0.3780891859005715</v>
      </c>
      <c r="F20" s="9">
        <f>'3'!D20</f>
        <v>0.63333307819238305</v>
      </c>
      <c r="G20" s="9">
        <f>'8'!F17</f>
        <v>0.60180498696168072</v>
      </c>
      <c r="H20" s="9">
        <f t="shared" si="0"/>
        <v>0.43301562693507134</v>
      </c>
      <c r="I20" s="9">
        <f t="shared" si="1"/>
        <v>0.4804546631334039</v>
      </c>
      <c r="J20" s="9">
        <f>'1'!S20</f>
        <v>8.7466334539934174E-2</v>
      </c>
      <c r="K20" s="9">
        <f>'1'!U20</f>
        <v>8.9784605245577381E-2</v>
      </c>
      <c r="L20" s="9">
        <f>'2'!S20</f>
        <v>0.17192099883548367</v>
      </c>
      <c r="M20" s="9">
        <f>'2'!U20</f>
        <v>0.2569111439913454</v>
      </c>
      <c r="N20" s="9">
        <f>'3'!G20</f>
        <v>0.40885941266959336</v>
      </c>
      <c r="O20" s="9">
        <f>'8'!K17</f>
        <v>0.41157836978659207</v>
      </c>
      <c r="P20" s="9">
        <f t="shared" si="2"/>
        <v>0.26995627895790081</v>
      </c>
      <c r="Q20" s="9">
        <f t="shared" si="3"/>
        <v>0.29178338292327705</v>
      </c>
      <c r="R20" s="9">
        <f>'1'!AC20</f>
        <v>0.17999325186694534</v>
      </c>
      <c r="S20" s="9">
        <f>'1'!AE20</f>
        <v>0.22422333049771684</v>
      </c>
      <c r="T20" s="9">
        <f>'2'!AC20</f>
        <v>8.8554849676685463E-2</v>
      </c>
      <c r="U20" s="9">
        <f>'2'!AE20</f>
        <v>9.5193430959594899E-2</v>
      </c>
      <c r="V20" s="9">
        <f>'3'!J20</f>
        <v>0.5757024128558178</v>
      </c>
      <c r="W20" s="9">
        <f>'8'!P17</f>
        <v>0.50014769336507026</v>
      </c>
      <c r="X20" s="9">
        <f t="shared" si="4"/>
        <v>0.33609955194112973</v>
      </c>
      <c r="Y20" s="9">
        <f t="shared" si="5"/>
        <v>0.34881671691954996</v>
      </c>
      <c r="Z20" s="9">
        <f>'1'!AM20</f>
        <v>0.21691283683106291</v>
      </c>
      <c r="AA20" s="9">
        <f>'1'!AO20</f>
        <v>0.27316961340061485</v>
      </c>
      <c r="AB20" s="9">
        <f>'2'!AM20</f>
        <v>0.14247628863851514</v>
      </c>
      <c r="AC20" s="9">
        <f>'2'!AO20</f>
        <v>0.20494376637572401</v>
      </c>
      <c r="AD20" s="9">
        <f>'3'!M20</f>
        <v>0.51883087090194802</v>
      </c>
      <c r="AE20" s="9">
        <f>'8'!U17</f>
        <v>0.65044368359813687</v>
      </c>
      <c r="AF20" s="9">
        <f t="shared" si="6"/>
        <v>0.38216591999241573</v>
      </c>
      <c r="AG20" s="9">
        <f t="shared" si="7"/>
        <v>0.41184698356910593</v>
      </c>
      <c r="AH20" s="9">
        <f>'1'!AW20</f>
        <v>0.1117113878130612</v>
      </c>
      <c r="AI20" s="9">
        <f>'1'!AY20</f>
        <v>0.12680804217995839</v>
      </c>
      <c r="AJ20" s="9">
        <f>'2'!AW20</f>
        <v>0.15021683481130779</v>
      </c>
      <c r="AK20" s="9">
        <f>'2'!AY20</f>
        <v>0.21907726679148992</v>
      </c>
      <c r="AL20" s="9">
        <f>'3'!P20</f>
        <v>0.35992118980643312</v>
      </c>
      <c r="AM20" s="9">
        <f>'8'!Z17</f>
        <v>0.47666775672041134</v>
      </c>
      <c r="AN20" s="9">
        <f t="shared" si="8"/>
        <v>0.27462929228780336</v>
      </c>
      <c r="AO20" s="9">
        <f t="shared" si="9"/>
        <v>0.29561856387457319</v>
      </c>
      <c r="AP20" s="9">
        <f>'1'!BG20</f>
        <v>0.1688607542450852</v>
      </c>
      <c r="AQ20" s="9">
        <f>'1'!BI20</f>
        <v>0.20897842128269906</v>
      </c>
      <c r="AR20" s="9">
        <f>'2'!BG20</f>
        <v>0.20022856321087612</v>
      </c>
      <c r="AS20" s="9">
        <f>'2'!BI20</f>
        <v>0.30271491189582767</v>
      </c>
      <c r="AT20" s="9">
        <f>'3'!S20</f>
        <v>0.61605476410599769</v>
      </c>
      <c r="AU20" s="9">
        <f>'8'!AE17</f>
        <v>0.55783184340064806</v>
      </c>
      <c r="AV20" s="9">
        <f t="shared" si="10"/>
        <v>0.38574398124065179</v>
      </c>
      <c r="AW20" s="9">
        <f t="shared" si="11"/>
        <v>0.42139498517129315</v>
      </c>
      <c r="AX20" s="9">
        <f>'1'!BQ20</f>
        <v>0.25968459506712777</v>
      </c>
      <c r="AY20" s="9">
        <f>'1'!BS20</f>
        <v>0.32701452507764778</v>
      </c>
      <c r="AZ20" s="9">
        <f>'2'!BQ20</f>
        <v>0.1966969268541173</v>
      </c>
      <c r="BA20" s="9">
        <f>'2'!BS20</f>
        <v>0.29720006574312913</v>
      </c>
      <c r="BB20" s="9">
        <f>'3'!V20</f>
        <v>0.73808586794813802</v>
      </c>
      <c r="BC20" s="9">
        <f>'8'!AJ17</f>
        <v>0.63565983644267643</v>
      </c>
      <c r="BD20" s="9">
        <f t="shared" si="12"/>
        <v>0.45753180657801484</v>
      </c>
      <c r="BE20" s="9">
        <f t="shared" si="13"/>
        <v>0.49949007380289784</v>
      </c>
      <c r="BF20" s="9">
        <f>'1'!CA20</f>
        <v>0.23036416368652973</v>
      </c>
      <c r="BG20" s="9">
        <f>'1'!CC20</f>
        <v>0.29041998719350859</v>
      </c>
      <c r="BH20" s="9">
        <f>'2'!CA20</f>
        <v>0.23655071191279708</v>
      </c>
      <c r="BI20" s="9">
        <f>'2'!CC20</f>
        <v>0.35650018336289574</v>
      </c>
      <c r="BJ20" s="9">
        <f>'3'!Y20</f>
        <v>0.51464060519526611</v>
      </c>
      <c r="BK20" s="9">
        <f>'8'!AO17</f>
        <v>0.63543806260371716</v>
      </c>
      <c r="BL20" s="9">
        <f t="shared" si="14"/>
        <v>0.40424838584957756</v>
      </c>
      <c r="BM20" s="9">
        <f t="shared" si="15"/>
        <v>0.44924970958884691</v>
      </c>
      <c r="BN20" s="9">
        <f>'1'!CK20</f>
        <v>0.21783472983496147</v>
      </c>
      <c r="BO20" s="9">
        <f>'1'!CM20</f>
        <v>0.27436148395204529</v>
      </c>
      <c r="BP20" s="9">
        <f>'2'!CK20</f>
        <v>0.33032409623529557</v>
      </c>
      <c r="BQ20" s="9">
        <f>'2'!CM20</f>
        <v>0.47541376476539071</v>
      </c>
      <c r="BR20" s="9">
        <f>'3'!AB20</f>
        <v>0.51827543171596335</v>
      </c>
      <c r="BS20" s="9">
        <f>'8'!AT17</f>
        <v>0.76371266951126482</v>
      </c>
      <c r="BT20" s="9">
        <f t="shared" si="16"/>
        <v>0.45753673182437132</v>
      </c>
      <c r="BU20" s="9">
        <f t="shared" si="17"/>
        <v>0.50794083748616603</v>
      </c>
      <c r="BV20" s="9">
        <f>'1'!CU20</f>
        <v>0.37475517484536675</v>
      </c>
      <c r="BW20" s="9">
        <f>'1'!CW20</f>
        <v>0.45887039271928132</v>
      </c>
      <c r="BX20" s="9">
        <f>'2'!CU20</f>
        <v>0.58281227586298545</v>
      </c>
      <c r="BY20" s="9">
        <f>'2'!CW20</f>
        <v>0.70834074363672006</v>
      </c>
      <c r="BZ20" s="9">
        <f>'3'!AE20</f>
        <v>0.71213847018311682</v>
      </c>
      <c r="CA20" s="9">
        <f>'8'!AY17</f>
        <v>0.64474961545561871</v>
      </c>
      <c r="CB20" s="9">
        <f t="shared" si="18"/>
        <v>0.57861388408677195</v>
      </c>
      <c r="CC20" s="9">
        <f t="shared" si="19"/>
        <v>0.63102480549868423</v>
      </c>
      <c r="CD20" s="9">
        <f>'1'!DE20</f>
        <v>0.31496722849577508</v>
      </c>
      <c r="CE20" s="9">
        <f>'1'!DG20</f>
        <v>0.39254742989004565</v>
      </c>
      <c r="CF20" s="9">
        <f>'2'!DE20</f>
        <v>0.29677007627738905</v>
      </c>
      <c r="CG20" s="9">
        <f>'2'!DG20</f>
        <v>0.43569174284040724</v>
      </c>
      <c r="CH20" s="9">
        <f>'3'!AH20</f>
        <v>0.57084594300491354</v>
      </c>
      <c r="CI20" s="9">
        <f>'8'!BD17</f>
        <v>0.55295977688516529</v>
      </c>
      <c r="CJ20" s="9">
        <f t="shared" si="20"/>
        <v>0.43388575616581077</v>
      </c>
      <c r="CK20" s="9">
        <f t="shared" si="21"/>
        <v>0.48801122315513296</v>
      </c>
    </row>
    <row r="21" spans="1:89">
      <c r="A21" s="1">
        <v>1983</v>
      </c>
      <c r="B21" s="9">
        <f>'1'!I21</f>
        <v>0.25449385343764758</v>
      </c>
      <c r="C21" s="9">
        <f>'1'!K21</f>
        <v>0.32063342349342272</v>
      </c>
      <c r="D21" s="9">
        <f>'2'!I21</f>
        <v>0.26155044305366026</v>
      </c>
      <c r="E21" s="9">
        <f>'2'!K21</f>
        <v>0.39073991128868363</v>
      </c>
      <c r="F21" s="9">
        <f>'3'!D21</f>
        <v>0.60013558735999839</v>
      </c>
      <c r="G21" s="9">
        <f>'8'!F18</f>
        <v>0.57745844659138112</v>
      </c>
      <c r="H21" s="9">
        <f t="shared" si="0"/>
        <v>0.42340958261067185</v>
      </c>
      <c r="I21" s="9">
        <f t="shared" si="1"/>
        <v>0.47224184218337151</v>
      </c>
      <c r="J21" s="9">
        <f>'1'!S21</f>
        <v>0.1012860766753356</v>
      </c>
      <c r="K21" s="9">
        <f>'1'!U21</f>
        <v>0.11105683213421934</v>
      </c>
      <c r="L21" s="9">
        <f>'2'!S21</f>
        <v>0.17335665356942101</v>
      </c>
      <c r="M21" s="9">
        <f>'2'!U21</f>
        <v>0.25932618894450771</v>
      </c>
      <c r="N21" s="9">
        <f>'3'!G21</f>
        <v>0.24238351254480286</v>
      </c>
      <c r="O21" s="9">
        <f>'8'!K18</f>
        <v>0.33440328678736059</v>
      </c>
      <c r="P21" s="9">
        <f t="shared" si="2"/>
        <v>0.21285738239423002</v>
      </c>
      <c r="Q21" s="9">
        <f t="shared" si="3"/>
        <v>0.23679245510272262</v>
      </c>
      <c r="R21" s="9">
        <f>'1'!AC21</f>
        <v>0.18853152565688744</v>
      </c>
      <c r="S21" s="9">
        <f>'1'!AE21</f>
        <v>0.23575921506326397</v>
      </c>
      <c r="T21" s="9">
        <f>'2'!AC21</f>
        <v>9.3876826678976497E-2</v>
      </c>
      <c r="U21" s="9">
        <f>'2'!AE21</f>
        <v>0.1070296531166328</v>
      </c>
      <c r="V21" s="9">
        <f>'3'!J21</f>
        <v>0.64336692878912549</v>
      </c>
      <c r="W21" s="9">
        <f>'8'!P18</f>
        <v>0.50932292058240758</v>
      </c>
      <c r="X21" s="9">
        <f t="shared" si="4"/>
        <v>0.35877455042684925</v>
      </c>
      <c r="Y21" s="9">
        <f t="shared" si="5"/>
        <v>0.37386967938785742</v>
      </c>
      <c r="Z21" s="9">
        <f>'1'!AM21</f>
        <v>0.21913810381994009</v>
      </c>
      <c r="AA21" s="9">
        <f>'1'!AO21</f>
        <v>0.27604411670912954</v>
      </c>
      <c r="AB21" s="9">
        <f>'2'!AM21</f>
        <v>0.14935443507237858</v>
      </c>
      <c r="AC21" s="9">
        <f>'2'!AO21</f>
        <v>0.21752007875490392</v>
      </c>
      <c r="AD21" s="9">
        <f>'3'!M21</f>
        <v>0.53755030279422311</v>
      </c>
      <c r="AE21" s="9">
        <f>'8'!U18</f>
        <v>0.65093139818486079</v>
      </c>
      <c r="AF21" s="9">
        <f t="shared" si="6"/>
        <v>0.38924355996785065</v>
      </c>
      <c r="AG21" s="9">
        <f t="shared" si="7"/>
        <v>0.42051147411077933</v>
      </c>
      <c r="AH21" s="9">
        <f>'1'!AW21</f>
        <v>0.1322248716609048</v>
      </c>
      <c r="AI21" s="9">
        <f>'1'!AY21</f>
        <v>0.15709048556756963</v>
      </c>
      <c r="AJ21" s="9">
        <f>'2'!AW21</f>
        <v>0.14843292782374889</v>
      </c>
      <c r="AK21" s="9">
        <f>'2'!AY21</f>
        <v>0.21585138355632436</v>
      </c>
      <c r="AL21" s="9">
        <f>'3'!P21</f>
        <v>0.27145798470311339</v>
      </c>
      <c r="AM21" s="9">
        <f>'8'!Z18</f>
        <v>0.41863736341171404</v>
      </c>
      <c r="AN21" s="9">
        <f t="shared" si="8"/>
        <v>0.24268828689987026</v>
      </c>
      <c r="AO21" s="9">
        <f t="shared" si="9"/>
        <v>0.26575930430968037</v>
      </c>
      <c r="AP21" s="9">
        <f>'1'!BG21</f>
        <v>0.18707762604829281</v>
      </c>
      <c r="AQ21" s="9">
        <f>'1'!BI21</f>
        <v>0.23380431938391405</v>
      </c>
      <c r="AR21" s="9">
        <f>'2'!BG21</f>
        <v>0.20409905194775241</v>
      </c>
      <c r="AS21" s="9">
        <f>'2'!BI21</f>
        <v>0.3086974109345062</v>
      </c>
      <c r="AT21" s="9">
        <f>'3'!S21</f>
        <v>0.61597300000268285</v>
      </c>
      <c r="AU21" s="9">
        <f>'8'!AE18</f>
        <v>0.57483691178143614</v>
      </c>
      <c r="AV21" s="9">
        <f t="shared" si="10"/>
        <v>0.39549664744504109</v>
      </c>
      <c r="AW21" s="9">
        <f t="shared" si="11"/>
        <v>0.4333279105256348</v>
      </c>
      <c r="AX21" s="9">
        <f>'1'!BQ21</f>
        <v>0.27078232783297135</v>
      </c>
      <c r="AY21" s="9">
        <f>'1'!BS21</f>
        <v>0.34052128582354252</v>
      </c>
      <c r="AZ21" s="9">
        <f>'2'!BQ21</f>
        <v>0.20118175447870573</v>
      </c>
      <c r="BA21" s="9">
        <f>'2'!BS21</f>
        <v>0.30419414961224439</v>
      </c>
      <c r="BB21" s="9">
        <f>'3'!V21</f>
        <v>0.66969336398326762</v>
      </c>
      <c r="BC21" s="9">
        <f>'8'!AJ18</f>
        <v>0.58831083900365877</v>
      </c>
      <c r="BD21" s="9">
        <f t="shared" si="12"/>
        <v>0.43249207132465084</v>
      </c>
      <c r="BE21" s="9">
        <f t="shared" si="13"/>
        <v>0.4756799096056783</v>
      </c>
      <c r="BF21" s="9">
        <f>'1'!CA21</f>
        <v>0.23832159975295916</v>
      </c>
      <c r="BG21" s="9">
        <f>'1'!CC21</f>
        <v>0.30048559354374438</v>
      </c>
      <c r="BH21" s="9">
        <f>'2'!CA21</f>
        <v>0.23626078627920308</v>
      </c>
      <c r="BI21" s="9">
        <f>'2'!CC21</f>
        <v>0.35609061135636078</v>
      </c>
      <c r="BJ21" s="9">
        <f>'3'!Y21</f>
        <v>0.5652200559241003</v>
      </c>
      <c r="BK21" s="9">
        <f>'8'!AO18</f>
        <v>0.54803029694156802</v>
      </c>
      <c r="BL21" s="9">
        <f t="shared" si="14"/>
        <v>0.39695818472445765</v>
      </c>
      <c r="BM21" s="9">
        <f t="shared" si="15"/>
        <v>0.44245663944144337</v>
      </c>
      <c r="BN21" s="9">
        <f>'1'!CK21</f>
        <v>0.22109435720565673</v>
      </c>
      <c r="BO21" s="9">
        <f>'1'!CM21</f>
        <v>0.27856426890725466</v>
      </c>
      <c r="BP21" s="9">
        <f>'2'!CK21</f>
        <v>0.34264978558856035</v>
      </c>
      <c r="BQ21" s="9">
        <f>'2'!CM21</f>
        <v>0.48932811145500038</v>
      </c>
      <c r="BR21" s="9">
        <f>'3'!AB21</f>
        <v>0.49912954994953801</v>
      </c>
      <c r="BS21" s="9">
        <f>'8'!AT18</f>
        <v>0.75240404066837185</v>
      </c>
      <c r="BT21" s="9">
        <f t="shared" si="16"/>
        <v>0.45381943335303176</v>
      </c>
      <c r="BU21" s="9">
        <f t="shared" si="17"/>
        <v>0.50485649274504119</v>
      </c>
      <c r="BV21" s="9">
        <f>'1'!CU21</f>
        <v>0.37828773270750471</v>
      </c>
      <c r="BW21" s="9">
        <f>'1'!CW21</f>
        <v>0.46265392477864764</v>
      </c>
      <c r="BX21" s="9">
        <f>'2'!CU21</f>
        <v>0.64573445984009481</v>
      </c>
      <c r="BY21" s="9">
        <f>'2'!CW21</f>
        <v>0.75396418429387912</v>
      </c>
      <c r="BZ21" s="9">
        <f>'3'!AE21</f>
        <v>0.57882041668042217</v>
      </c>
      <c r="CA21" s="9">
        <f>'8'!AY18</f>
        <v>0.57542741616684556</v>
      </c>
      <c r="CB21" s="9">
        <f t="shared" si="18"/>
        <v>0.54456750634871676</v>
      </c>
      <c r="CC21" s="9">
        <f t="shared" si="19"/>
        <v>0.59271648547994871</v>
      </c>
      <c r="CD21" s="9">
        <f>'1'!DE21</f>
        <v>0.30962657179109354</v>
      </c>
      <c r="CE21" s="9">
        <f>'1'!DG21</f>
        <v>0.38640183878135526</v>
      </c>
      <c r="CF21" s="9">
        <f>'2'!DE21</f>
        <v>0.29234823858125308</v>
      </c>
      <c r="CG21" s="9">
        <f>'2'!DG21</f>
        <v>0.4302414002206616</v>
      </c>
      <c r="CH21" s="9">
        <f>'3'!AH21</f>
        <v>0.62531379257892206</v>
      </c>
      <c r="CI21" s="9">
        <f>'8'!BD18</f>
        <v>0.57695756152533217</v>
      </c>
      <c r="CJ21" s="9">
        <f t="shared" si="20"/>
        <v>0.4510615411191502</v>
      </c>
      <c r="CK21" s="9">
        <f t="shared" si="21"/>
        <v>0.50472864827656783</v>
      </c>
    </row>
    <row r="22" spans="1:89">
      <c r="A22" s="1">
        <v>1984</v>
      </c>
      <c r="B22" s="9">
        <f>'1'!I22</f>
        <v>0.27404016142312027</v>
      </c>
      <c r="C22" s="9">
        <f>'1'!K22</f>
        <v>0.34445169552363886</v>
      </c>
      <c r="D22" s="9">
        <f>'2'!I22</f>
        <v>0.26197048084309882</v>
      </c>
      <c r="E22" s="9">
        <f>'2'!K22</f>
        <v>0.39129775374248149</v>
      </c>
      <c r="F22" s="9">
        <f>'3'!D22</f>
        <v>0.57898096574614399</v>
      </c>
      <c r="G22" s="9">
        <f>'8'!F19</f>
        <v>0.59876962118468435</v>
      </c>
      <c r="H22" s="9">
        <f t="shared" si="0"/>
        <v>0.42844030729926186</v>
      </c>
      <c r="I22" s="9">
        <f t="shared" si="1"/>
        <v>0.47837500904923713</v>
      </c>
      <c r="J22" s="9">
        <f>'1'!S22</f>
        <v>0.13184549093481235</v>
      </c>
      <c r="K22" s="9">
        <f>'1'!U22</f>
        <v>0.15653873142805841</v>
      </c>
      <c r="L22" s="9">
        <f>'2'!S22</f>
        <v>0.17951969995066791</v>
      </c>
      <c r="M22" s="9">
        <f>'2'!U22</f>
        <v>0.26957735490373602</v>
      </c>
      <c r="N22" s="9">
        <f>'3'!G22</f>
        <v>0.32385081270531235</v>
      </c>
      <c r="O22" s="9">
        <f>'8'!K19</f>
        <v>0.46041952656113777</v>
      </c>
      <c r="P22" s="9">
        <f t="shared" si="2"/>
        <v>0.27390888253798257</v>
      </c>
      <c r="Q22" s="9">
        <f t="shared" si="3"/>
        <v>0.30259660639956115</v>
      </c>
      <c r="R22" s="9">
        <f>'1'!AC22</f>
        <v>0.22211688697315826</v>
      </c>
      <c r="S22" s="9">
        <f>'1'!AE22</f>
        <v>0.27987900792410941</v>
      </c>
      <c r="T22" s="9">
        <f>'2'!AC22</f>
        <v>9.6323565249441898E-2</v>
      </c>
      <c r="U22" s="9">
        <f>'2'!AE22</f>
        <v>0.11238876966805374</v>
      </c>
      <c r="V22" s="9">
        <f>'3'!J22</f>
        <v>0.57243536460880062</v>
      </c>
      <c r="W22" s="9">
        <f>'8'!P19</f>
        <v>0.58618352790458705</v>
      </c>
      <c r="X22" s="9">
        <f t="shared" si="4"/>
        <v>0.36926483618399697</v>
      </c>
      <c r="Y22" s="9">
        <f t="shared" si="5"/>
        <v>0.3877216675263877</v>
      </c>
      <c r="Z22" s="9">
        <f>'1'!AM22</f>
        <v>0.26105707218938345</v>
      </c>
      <c r="AA22" s="9">
        <f>'1'!AO22</f>
        <v>0.32869491523844441</v>
      </c>
      <c r="AB22" s="9">
        <f>'2'!AM22</f>
        <v>0.15865884616511211</v>
      </c>
      <c r="AC22" s="9">
        <f>'2'!AO22</f>
        <v>0.23409704640360723</v>
      </c>
      <c r="AD22" s="9">
        <f>'3'!M22</f>
        <v>0.54081003633493385</v>
      </c>
      <c r="AE22" s="9">
        <f>'8'!U19</f>
        <v>0.60637174218150214</v>
      </c>
      <c r="AF22" s="9">
        <f t="shared" si="6"/>
        <v>0.3917244242177329</v>
      </c>
      <c r="AG22" s="9">
        <f t="shared" si="7"/>
        <v>0.42749343503962189</v>
      </c>
      <c r="AH22" s="9">
        <f>'1'!AW22</f>
        <v>0.1618565386204231</v>
      </c>
      <c r="AI22" s="9">
        <f>'1'!AY22</f>
        <v>0.19926551797303152</v>
      </c>
      <c r="AJ22" s="9">
        <f>'2'!AW22</f>
        <v>0.14857153031966308</v>
      </c>
      <c r="AK22" s="9">
        <f>'2'!AY22</f>
        <v>0.21610268608908992</v>
      </c>
      <c r="AL22" s="9">
        <f>'3'!P22</f>
        <v>0.39077901066278808</v>
      </c>
      <c r="AM22" s="9">
        <f>'8'!Z19</f>
        <v>0.47762912328318485</v>
      </c>
      <c r="AN22" s="9">
        <f t="shared" si="8"/>
        <v>0.29470905072151476</v>
      </c>
      <c r="AO22" s="9">
        <f t="shared" si="9"/>
        <v>0.32094408450202361</v>
      </c>
      <c r="AP22" s="9">
        <f>'1'!BG22</f>
        <v>0.21514370265068819</v>
      </c>
      <c r="AQ22" s="9">
        <f>'1'!BI22</f>
        <v>0.27087837360279349</v>
      </c>
      <c r="AR22" s="9">
        <f>'2'!BG22</f>
        <v>0.20834088472275455</v>
      </c>
      <c r="AS22" s="9">
        <f>'2'!BI22</f>
        <v>0.31518159553428643</v>
      </c>
      <c r="AT22" s="9">
        <f>'3'!S22</f>
        <v>0.5450508350951373</v>
      </c>
      <c r="AU22" s="9">
        <f>'8'!AE19</f>
        <v>0.60178313388351179</v>
      </c>
      <c r="AV22" s="9">
        <f t="shared" si="10"/>
        <v>0.39257963908802296</v>
      </c>
      <c r="AW22" s="9">
        <f t="shared" si="11"/>
        <v>0.43322348452893228</v>
      </c>
      <c r="AX22" s="9">
        <f>'1'!BQ22</f>
        <v>0.29170422250463268</v>
      </c>
      <c r="AY22" s="9">
        <f>'1'!BS22</f>
        <v>0.36549593202564934</v>
      </c>
      <c r="AZ22" s="9">
        <f>'2'!BQ22</f>
        <v>0.20574985146448668</v>
      </c>
      <c r="BA22" s="9">
        <f>'2'!BS22</f>
        <v>0.31122976484219905</v>
      </c>
      <c r="BB22" s="9">
        <f>'3'!V22</f>
        <v>0.69538436423292294</v>
      </c>
      <c r="BC22" s="9">
        <f>'8'!AJ19</f>
        <v>0.62792185924655119</v>
      </c>
      <c r="BD22" s="9">
        <f t="shared" si="12"/>
        <v>0.45519007436214837</v>
      </c>
      <c r="BE22" s="9">
        <f t="shared" si="13"/>
        <v>0.50000798008683067</v>
      </c>
      <c r="BF22" s="9">
        <f>'1'!CA22</f>
        <v>0.28708622703446462</v>
      </c>
      <c r="BG22" s="9">
        <f>'1'!CC22</f>
        <v>0.36003713019944567</v>
      </c>
      <c r="BH22" s="9">
        <f>'2'!CA22</f>
        <v>0.24133118722514368</v>
      </c>
      <c r="BI22" s="9">
        <f>'2'!CC22</f>
        <v>0.3632107986181719</v>
      </c>
      <c r="BJ22" s="9">
        <f>'3'!Y22</f>
        <v>0.53172476750368269</v>
      </c>
      <c r="BK22" s="9">
        <f>'8'!AO19</f>
        <v>0.653035095947196</v>
      </c>
      <c r="BL22" s="9">
        <f t="shared" si="14"/>
        <v>0.42829431942762175</v>
      </c>
      <c r="BM22" s="9">
        <f t="shared" si="15"/>
        <v>0.47700194806712404</v>
      </c>
      <c r="BN22" s="9">
        <f>'1'!CK22</f>
        <v>0.22748730331968453</v>
      </c>
      <c r="BO22" s="9">
        <f>'1'!CM22</f>
        <v>0.28675571278185558</v>
      </c>
      <c r="BP22" s="9">
        <f>'2'!CK22</f>
        <v>0.3590251009599465</v>
      </c>
      <c r="BQ22" s="9">
        <f>'2'!CM22</f>
        <v>0.50729697256822093</v>
      </c>
      <c r="BR22" s="9">
        <f>'3'!AB22</f>
        <v>0.38175936614772821</v>
      </c>
      <c r="BS22" s="9">
        <f>'8'!AT19</f>
        <v>0.69979436344291701</v>
      </c>
      <c r="BT22" s="9">
        <f t="shared" si="16"/>
        <v>0.41701653346756906</v>
      </c>
      <c r="BU22" s="9">
        <f t="shared" si="17"/>
        <v>0.46890160373518042</v>
      </c>
      <c r="BV22" s="9">
        <f>'1'!CU22</f>
        <v>0.37629400613310432</v>
      </c>
      <c r="BW22" s="9">
        <f>'1'!CW22</f>
        <v>0.46052032331412679</v>
      </c>
      <c r="BX22" s="9">
        <f>'2'!CU22</f>
        <v>0.62221602152750144</v>
      </c>
      <c r="BY22" s="9">
        <f>'2'!CW22</f>
        <v>0.73734170311759306</v>
      </c>
      <c r="BZ22" s="9">
        <f>'3'!AE22</f>
        <v>0.52423218651320747</v>
      </c>
      <c r="CA22" s="9">
        <f>'8'!AY19</f>
        <v>0.59173142086563169</v>
      </c>
      <c r="CB22" s="9">
        <f t="shared" si="18"/>
        <v>0.52861840875986132</v>
      </c>
      <c r="CC22" s="9">
        <f t="shared" si="19"/>
        <v>0.57845640845263979</v>
      </c>
      <c r="CD22" s="9">
        <f>'1'!DE22</f>
        <v>0.30552942895581869</v>
      </c>
      <c r="CE22" s="9">
        <f>'1'!DG22</f>
        <v>0.3816612785572141</v>
      </c>
      <c r="CF22" s="9">
        <f>'2'!DE22</f>
        <v>0.28939480861255956</v>
      </c>
      <c r="CG22" s="9">
        <f>'2'!DG22</f>
        <v>0.4265713592440471</v>
      </c>
      <c r="CH22" s="9">
        <f>'3'!AH22</f>
        <v>0.55510391696181638</v>
      </c>
      <c r="CI22" s="9">
        <f>'8'!BD19</f>
        <v>0.51629846634910725</v>
      </c>
      <c r="CJ22" s="9">
        <f t="shared" si="20"/>
        <v>0.41658165521982549</v>
      </c>
      <c r="CK22" s="9">
        <f t="shared" si="21"/>
        <v>0.46990875527804621</v>
      </c>
    </row>
    <row r="23" spans="1:89">
      <c r="A23" s="1">
        <v>1985</v>
      </c>
      <c r="B23" s="9">
        <f>'1'!I23</f>
        <v>0.30292426979507547</v>
      </c>
      <c r="C23" s="9">
        <f>'1'!K23</f>
        <v>0.37863519753986374</v>
      </c>
      <c r="D23" s="9">
        <f>'2'!I23</f>
        <v>0.25766914460604035</v>
      </c>
      <c r="E23" s="9">
        <f>'2'!K23</f>
        <v>0.38555889364555529</v>
      </c>
      <c r="F23" s="9">
        <f>'3'!D23</f>
        <v>0.62312174818864408</v>
      </c>
      <c r="G23" s="9">
        <f>'8'!F20</f>
        <v>0.60452439439058236</v>
      </c>
      <c r="H23" s="9">
        <f t="shared" si="0"/>
        <v>0.44705988924508555</v>
      </c>
      <c r="I23" s="9">
        <f t="shared" si="1"/>
        <v>0.49796005844116142</v>
      </c>
      <c r="J23" s="9">
        <f>'1'!S23</f>
        <v>0.16012008057354765</v>
      </c>
      <c r="K23" s="9">
        <f>'1'!U23</f>
        <v>0.1968427721674961</v>
      </c>
      <c r="L23" s="9">
        <f>'2'!S23</f>
        <v>0.17606800093250471</v>
      </c>
      <c r="M23" s="9">
        <f>'2'!U23</f>
        <v>0.26385908987147633</v>
      </c>
      <c r="N23" s="9">
        <f>'3'!G23</f>
        <v>0.27627680337235294</v>
      </c>
      <c r="O23" s="9">
        <f>'8'!K20</f>
        <v>0.46778924147499279</v>
      </c>
      <c r="P23" s="9">
        <f t="shared" si="2"/>
        <v>0.2700635315883495</v>
      </c>
      <c r="Q23" s="9">
        <f t="shared" si="3"/>
        <v>0.30119197672157955</v>
      </c>
      <c r="R23" s="9">
        <f>'1'!AC23</f>
        <v>0.232458709554414</v>
      </c>
      <c r="S23" s="9">
        <f>'1'!AE23</f>
        <v>0.29307934700177113</v>
      </c>
      <c r="T23" s="9">
        <f>'2'!AC23</f>
        <v>9.9251967392188695E-2</v>
      </c>
      <c r="U23" s="9">
        <f>'2'!AE23</f>
        <v>0.11873644221499288</v>
      </c>
      <c r="V23" s="9">
        <f>'3'!J23</f>
        <v>0.65071956921236351</v>
      </c>
      <c r="W23" s="9">
        <f>'8'!P20</f>
        <v>0.54990750262374466</v>
      </c>
      <c r="X23" s="9">
        <f t="shared" si="4"/>
        <v>0.38308443719567775</v>
      </c>
      <c r="Y23" s="9">
        <f t="shared" si="5"/>
        <v>0.40311071526321807</v>
      </c>
      <c r="Z23" s="9">
        <f>'1'!AM23</f>
        <v>0.2941726649126169</v>
      </c>
      <c r="AA23" s="9">
        <f>'1'!AO23</f>
        <v>0.36840155380581946</v>
      </c>
      <c r="AB23" s="9">
        <f>'2'!AM23</f>
        <v>0.15718713515518212</v>
      </c>
      <c r="AC23" s="9">
        <f>'2'!AO23</f>
        <v>0.23150733008007687</v>
      </c>
      <c r="AD23" s="9">
        <f>'3'!M23</f>
        <v>0.53924779731142203</v>
      </c>
      <c r="AE23" s="9">
        <f>'8'!U20</f>
        <v>0.59106151278813224</v>
      </c>
      <c r="AF23" s="9">
        <f t="shared" si="6"/>
        <v>0.39541727754183831</v>
      </c>
      <c r="AG23" s="9">
        <f t="shared" si="7"/>
        <v>0.43255454849636266</v>
      </c>
      <c r="AH23" s="9">
        <f>'1'!AW23</f>
        <v>0.20490621429382325</v>
      </c>
      <c r="AI23" s="9">
        <f>'1'!AY23</f>
        <v>0.25751483313744844</v>
      </c>
      <c r="AJ23" s="9">
        <f>'2'!AW23</f>
        <v>0.14604121910447213</v>
      </c>
      <c r="AK23" s="9">
        <f>'2'!AY23</f>
        <v>0.21149715038554068</v>
      </c>
      <c r="AL23" s="9">
        <f>'3'!P23</f>
        <v>0.52854800054075879</v>
      </c>
      <c r="AM23" s="9">
        <f>'8'!Z20</f>
        <v>0.49711685107665859</v>
      </c>
      <c r="AN23" s="9">
        <f t="shared" si="8"/>
        <v>0.34415307125392819</v>
      </c>
      <c r="AO23" s="9">
        <f t="shared" si="9"/>
        <v>0.37366920878510163</v>
      </c>
      <c r="AP23" s="9">
        <f>'1'!BG23</f>
        <v>0.24761751876682772</v>
      </c>
      <c r="AQ23" s="9">
        <f>'1'!BI23</f>
        <v>0.31211657790621194</v>
      </c>
      <c r="AR23" s="9">
        <f>'2'!BG23</f>
        <v>0.20903861041290089</v>
      </c>
      <c r="AS23" s="9">
        <f>'2'!BI23</f>
        <v>0.31624103349326149</v>
      </c>
      <c r="AT23" s="9">
        <f>'3'!S23</f>
        <v>0.60980448487394967</v>
      </c>
      <c r="AU23" s="9">
        <f>'8'!AE20</f>
        <v>0.59220165730100516</v>
      </c>
      <c r="AV23" s="9">
        <f t="shared" si="10"/>
        <v>0.41466556783867087</v>
      </c>
      <c r="AW23" s="9">
        <f t="shared" si="11"/>
        <v>0.45759093839360704</v>
      </c>
      <c r="AX23" s="9">
        <f>'1'!BQ23</f>
        <v>0.3204168209382543</v>
      </c>
      <c r="AY23" s="9">
        <f>'1'!BS23</f>
        <v>0.39877943424341405</v>
      </c>
      <c r="AZ23" s="9">
        <f>'2'!BQ23</f>
        <v>0.20635208737036076</v>
      </c>
      <c r="BA23" s="9">
        <f>'2'!BS23</f>
        <v>0.31215077270775021</v>
      </c>
      <c r="BB23" s="9">
        <f>'3'!V23</f>
        <v>0.74410758965338442</v>
      </c>
      <c r="BC23" s="9">
        <f>'8'!AJ20</f>
        <v>0.64410289414045541</v>
      </c>
      <c r="BD23" s="9">
        <f t="shared" si="12"/>
        <v>0.47874484802561373</v>
      </c>
      <c r="BE23" s="9">
        <f t="shared" si="13"/>
        <v>0.52478517268625102</v>
      </c>
      <c r="BF23" s="9">
        <f>'1'!CA23</f>
        <v>0.32226396899777598</v>
      </c>
      <c r="BG23" s="9">
        <f>'1'!CC23</f>
        <v>0.40088294263007235</v>
      </c>
      <c r="BH23" s="9">
        <f>'2'!CA23</f>
        <v>0.23632867842537861</v>
      </c>
      <c r="BI23" s="9">
        <f>'2'!CC23</f>
        <v>0.35618654795654769</v>
      </c>
      <c r="BJ23" s="9">
        <f>'3'!Y23</f>
        <v>0.59439845266683344</v>
      </c>
      <c r="BK23" s="9">
        <f>'8'!AO20</f>
        <v>0.62816502695729171</v>
      </c>
      <c r="BL23" s="9">
        <f t="shared" si="14"/>
        <v>0.44528903176181989</v>
      </c>
      <c r="BM23" s="9">
        <f t="shared" si="15"/>
        <v>0.49490824255268628</v>
      </c>
      <c r="BN23" s="9">
        <f>'1'!CK23</f>
        <v>0.23303855465586082</v>
      </c>
      <c r="BO23" s="9">
        <f>'1'!CM23</f>
        <v>0.2938142964622768</v>
      </c>
      <c r="BP23" s="9">
        <f>'2'!CK23</f>
        <v>0.35100489924667277</v>
      </c>
      <c r="BQ23" s="9">
        <f>'2'!CM23</f>
        <v>0.49856802616830731</v>
      </c>
      <c r="BR23" s="9">
        <f>'3'!AB23</f>
        <v>0.30368179575610416</v>
      </c>
      <c r="BS23" s="9">
        <f>'8'!AT20</f>
        <v>0.66759072841013045</v>
      </c>
      <c r="BT23" s="9">
        <f t="shared" si="16"/>
        <v>0.38882899451719211</v>
      </c>
      <c r="BU23" s="9">
        <f t="shared" si="17"/>
        <v>0.44091371169920468</v>
      </c>
      <c r="BV23" s="9">
        <f>'1'!CU23</f>
        <v>0.41099399635570755</v>
      </c>
      <c r="BW23" s="9">
        <f>'1'!CW23</f>
        <v>0.49701609112956463</v>
      </c>
      <c r="BX23" s="9">
        <f>'2'!CU23</f>
        <v>0.60843397916877917</v>
      </c>
      <c r="BY23" s="9">
        <f>'2'!CW23</f>
        <v>0.7273673951101034</v>
      </c>
      <c r="BZ23" s="9">
        <f>'3'!AE23</f>
        <v>0.67581879391074784</v>
      </c>
      <c r="CA23" s="9">
        <f>'8'!AY20</f>
        <v>0.63762014494069985</v>
      </c>
      <c r="CB23" s="9">
        <f t="shared" si="18"/>
        <v>0.58321672859398366</v>
      </c>
      <c r="CC23" s="9">
        <f t="shared" si="19"/>
        <v>0.63445560627277897</v>
      </c>
      <c r="CD23" s="9">
        <f>'1'!DE23</f>
        <v>0.32123530301798991</v>
      </c>
      <c r="CE23" s="9">
        <f>'1'!DG23</f>
        <v>0.399712060609065</v>
      </c>
      <c r="CF23" s="9">
        <f>'2'!DE23</f>
        <v>0.28318051422973378</v>
      </c>
      <c r="CG23" s="9">
        <f>'2'!DG23</f>
        <v>0.41877012057727975</v>
      </c>
      <c r="CH23" s="9">
        <f>'3'!AH23</f>
        <v>0.51651369843274342</v>
      </c>
      <c r="CI23" s="9">
        <f>'8'!BD20</f>
        <v>0.51610257421341199</v>
      </c>
      <c r="CJ23" s="9">
        <f t="shared" si="20"/>
        <v>0.40925802247346976</v>
      </c>
      <c r="CK23" s="9">
        <f t="shared" si="21"/>
        <v>0.46277461345812504</v>
      </c>
    </row>
    <row r="24" spans="1:89">
      <c r="A24" s="1">
        <v>1986</v>
      </c>
      <c r="B24" s="9">
        <f>'1'!I24</f>
        <v>0.32553926355574225</v>
      </c>
      <c r="C24" s="9">
        <f>'1'!K24</f>
        <v>0.40460189118823231</v>
      </c>
      <c r="D24" s="9">
        <f>'2'!I24</f>
        <v>0.24123711194910621</v>
      </c>
      <c r="E24" s="9">
        <f>'2'!K24</f>
        <v>0.36307950960129681</v>
      </c>
      <c r="F24" s="9">
        <f>'3'!D24</f>
        <v>0.6457171797083503</v>
      </c>
      <c r="G24" s="9">
        <f>'8'!F21</f>
        <v>0.59441335458415334</v>
      </c>
      <c r="H24" s="9">
        <f t="shared" si="0"/>
        <v>0.45172672744933806</v>
      </c>
      <c r="I24" s="9">
        <f t="shared" si="1"/>
        <v>0.50195298377050823</v>
      </c>
      <c r="J24" s="9">
        <f>'1'!S24</f>
        <v>0.19430746991861012</v>
      </c>
      <c r="K24" s="9">
        <f>'1'!U24</f>
        <v>0.24348770647206275</v>
      </c>
      <c r="L24" s="9">
        <f>'2'!S24</f>
        <v>0.17819992730765696</v>
      </c>
      <c r="M24" s="9">
        <f>'2'!U24</f>
        <v>0.26739781198617774</v>
      </c>
      <c r="N24" s="9">
        <f>'3'!G24</f>
        <v>0.3640919163431402</v>
      </c>
      <c r="O24" s="9">
        <f>'8'!K21</f>
        <v>0.52975644179646042</v>
      </c>
      <c r="P24" s="9">
        <f t="shared" si="2"/>
        <v>0.31658893884146694</v>
      </c>
      <c r="Q24" s="9">
        <f t="shared" si="3"/>
        <v>0.3511834691494603</v>
      </c>
      <c r="R24" s="9">
        <f>'1'!AC24</f>
        <v>0.23904445868748284</v>
      </c>
      <c r="S24" s="9">
        <f>'1'!AE24</f>
        <v>0.30139492766838077</v>
      </c>
      <c r="T24" s="9">
        <f>'2'!AC24</f>
        <v>0.10181351197257678</v>
      </c>
      <c r="U24" s="9">
        <f>'2'!AE24</f>
        <v>0.12423074909459024</v>
      </c>
      <c r="V24" s="9">
        <f>'3'!J24</f>
        <v>0.72109728779744076</v>
      </c>
      <c r="W24" s="9">
        <f>'8'!P21</f>
        <v>0.59195155131031219</v>
      </c>
      <c r="X24" s="9">
        <f t="shared" si="4"/>
        <v>0.41347670244195317</v>
      </c>
      <c r="Y24" s="9">
        <f t="shared" si="5"/>
        <v>0.43466862896768099</v>
      </c>
      <c r="Z24" s="9">
        <f>'1'!AM24</f>
        <v>0.32152266660074758</v>
      </c>
      <c r="AA24" s="9">
        <f>'1'!AO24</f>
        <v>0.40003929195758647</v>
      </c>
      <c r="AB24" s="9">
        <f>'2'!AM24</f>
        <v>0.15783692687311154</v>
      </c>
      <c r="AC24" s="9">
        <f>'2'!AO24</f>
        <v>0.23265221577969136</v>
      </c>
      <c r="AD24" s="9">
        <f>'3'!M24</f>
        <v>0.54998120927676664</v>
      </c>
      <c r="AE24" s="9">
        <f>'8'!U21</f>
        <v>0.54350528644540874</v>
      </c>
      <c r="AF24" s="9">
        <f t="shared" si="6"/>
        <v>0.39321152229900869</v>
      </c>
      <c r="AG24" s="9">
        <f t="shared" si="7"/>
        <v>0.43154450086486329</v>
      </c>
      <c r="AH24" s="9">
        <f>'1'!AW24</f>
        <v>0.24181540089177453</v>
      </c>
      <c r="AI24" s="9">
        <f>'1'!AY24</f>
        <v>0.30487299738449775</v>
      </c>
      <c r="AJ24" s="9">
        <f>'2'!AW24</f>
        <v>0.14920101401944477</v>
      </c>
      <c r="AK24" s="9">
        <f>'2'!AY24</f>
        <v>0.21724260233362702</v>
      </c>
      <c r="AL24" s="9">
        <f>'3'!P24</f>
        <v>0.58463015337036794</v>
      </c>
      <c r="AM24" s="9">
        <f>'8'!Z21</f>
        <v>0.50278573333178356</v>
      </c>
      <c r="AN24" s="9">
        <f t="shared" si="8"/>
        <v>0.36960807540334273</v>
      </c>
      <c r="AO24" s="9">
        <f t="shared" si="9"/>
        <v>0.40238287160506908</v>
      </c>
      <c r="AP24" s="9">
        <f>'1'!BG24</f>
        <v>0.27632761952857293</v>
      </c>
      <c r="AQ24" s="9">
        <f>'1'!BI24</f>
        <v>0.34720213472163886</v>
      </c>
      <c r="AR24" s="9">
        <f>'2'!BG24</f>
        <v>0.21363947240771014</v>
      </c>
      <c r="AS24" s="9">
        <f>'2'!BI24</f>
        <v>0.32317751608153289</v>
      </c>
      <c r="AT24" s="9">
        <f>'3'!S24</f>
        <v>0.59827622896069943</v>
      </c>
      <c r="AU24" s="9">
        <f>'8'!AE21</f>
        <v>0.56871123842186944</v>
      </c>
      <c r="AV24" s="9">
        <f t="shared" si="10"/>
        <v>0.41423863982971298</v>
      </c>
      <c r="AW24" s="9">
        <f t="shared" si="11"/>
        <v>0.45934177954643518</v>
      </c>
      <c r="AX24" s="9">
        <f>'1'!BQ24</f>
        <v>0.34453304975147464</v>
      </c>
      <c r="AY24" s="9">
        <f>'1'!BS24</f>
        <v>0.42589827788518791</v>
      </c>
      <c r="AZ24" s="9">
        <f>'2'!BQ24</f>
        <v>0.20881956124984066</v>
      </c>
      <c r="BA24" s="9">
        <f>'2'!BS24</f>
        <v>0.31590864063344959</v>
      </c>
      <c r="BB24" s="9">
        <f>'3'!V24</f>
        <v>0.77408148775221253</v>
      </c>
      <c r="BC24" s="9">
        <f>'8'!AJ21</f>
        <v>0.64972332082582884</v>
      </c>
      <c r="BD24" s="9">
        <f t="shared" si="12"/>
        <v>0.49428935489483916</v>
      </c>
      <c r="BE24" s="9">
        <f t="shared" si="13"/>
        <v>0.54140293177416976</v>
      </c>
      <c r="BF24" s="9">
        <f>'1'!CA24</f>
        <v>0.35378228072788942</v>
      </c>
      <c r="BG24" s="9">
        <f>'1'!CC24</f>
        <v>0.43610581318716368</v>
      </c>
      <c r="BH24" s="9">
        <f>'2'!CA24</f>
        <v>0.23762840977170077</v>
      </c>
      <c r="BI24" s="9">
        <f>'2'!CC24</f>
        <v>0.35802001475609491</v>
      </c>
      <c r="BJ24" s="9">
        <f>'3'!Y24</f>
        <v>0.59885652899434094</v>
      </c>
      <c r="BK24" s="9">
        <f>'8'!AO21</f>
        <v>0.57402380844785461</v>
      </c>
      <c r="BL24" s="9">
        <f t="shared" si="14"/>
        <v>0.4410727569854464</v>
      </c>
      <c r="BM24" s="9">
        <f t="shared" si="15"/>
        <v>0.49175154134636351</v>
      </c>
      <c r="BN24" s="9">
        <f>'1'!CK24</f>
        <v>0.25606133156464017</v>
      </c>
      <c r="BO24" s="9">
        <f>'1'!CM24</f>
        <v>0.32256468450732267</v>
      </c>
      <c r="BP24" s="9">
        <f>'2'!CK24</f>
        <v>0.3184936245095224</v>
      </c>
      <c r="BQ24" s="9">
        <f>'2'!CM24</f>
        <v>0.46172659181932346</v>
      </c>
      <c r="BR24" s="9">
        <f>'3'!AB24</f>
        <v>0.26564202343942789</v>
      </c>
      <c r="BS24" s="9">
        <f>'8'!AT21</f>
        <v>0.63763845638143513</v>
      </c>
      <c r="BT24" s="9">
        <f t="shared" si="16"/>
        <v>0.36945885897375641</v>
      </c>
      <c r="BU24" s="9">
        <f t="shared" si="17"/>
        <v>0.4218929390368773</v>
      </c>
      <c r="BV24" s="9">
        <f>'1'!CU24</f>
        <v>0.41344234509665334</v>
      </c>
      <c r="BW24" s="9">
        <f>'1'!CW24</f>
        <v>0.49954121274834068</v>
      </c>
      <c r="BX24" s="9">
        <f>'2'!CU24</f>
        <v>0.4759015112563188</v>
      </c>
      <c r="BY24" s="9">
        <f>'2'!CW24</f>
        <v>0.62116903491369335</v>
      </c>
      <c r="BZ24" s="9">
        <f>'3'!AE24</f>
        <v>0.66544327829219063</v>
      </c>
      <c r="CA24" s="9">
        <f>'8'!AY21</f>
        <v>0.6261993457939613</v>
      </c>
      <c r="CB24" s="9">
        <f t="shared" si="18"/>
        <v>0.54524662010978098</v>
      </c>
      <c r="CC24" s="9">
        <f t="shared" si="19"/>
        <v>0.60308821793704648</v>
      </c>
      <c r="CD24" s="9">
        <f>'1'!DE24</f>
        <v>0.32883566666357544</v>
      </c>
      <c r="CE24" s="9">
        <f>'1'!DG24</f>
        <v>0.40833080470868538</v>
      </c>
      <c r="CF24" s="9">
        <f>'2'!DE24</f>
        <v>0.28294181154944653</v>
      </c>
      <c r="CG24" s="9">
        <f>'2'!DG24</f>
        <v>0.41846829090783511</v>
      </c>
      <c r="CH24" s="9">
        <f>'3'!AH24</f>
        <v>0.63174365658849596</v>
      </c>
      <c r="CI24" s="9">
        <f>'8'!BD21</f>
        <v>0.5150191965315396</v>
      </c>
      <c r="CJ24" s="9">
        <f t="shared" si="20"/>
        <v>0.43963508283326436</v>
      </c>
      <c r="CK24" s="9">
        <f t="shared" si="21"/>
        <v>0.49339048718413903</v>
      </c>
    </row>
    <row r="25" spans="1:89">
      <c r="A25" s="1">
        <v>1987</v>
      </c>
      <c r="B25" s="9">
        <f>'1'!I25</f>
        <v>0.35170871528965209</v>
      </c>
      <c r="C25" s="9">
        <f>'1'!K25</f>
        <v>0.43382651037508896</v>
      </c>
      <c r="D25" s="9">
        <f>'2'!I25</f>
        <v>0.24846321299635038</v>
      </c>
      <c r="E25" s="9">
        <f>'2'!K25</f>
        <v>0.37307585634880303</v>
      </c>
      <c r="F25" s="9">
        <f>'3'!D25</f>
        <v>0.66683467440276667</v>
      </c>
      <c r="G25" s="9">
        <f>'8'!F22</f>
        <v>0.58230626019551324</v>
      </c>
      <c r="H25" s="9">
        <f t="shared" si="0"/>
        <v>0.46232821572107063</v>
      </c>
      <c r="I25" s="9">
        <f t="shared" si="1"/>
        <v>0.51401082533054299</v>
      </c>
      <c r="J25" s="9">
        <f>'1'!S25</f>
        <v>0.2136348075064117</v>
      </c>
      <c r="K25" s="9">
        <f>'1'!U25</f>
        <v>0.26891999047852444</v>
      </c>
      <c r="L25" s="9">
        <f>'2'!S25</f>
        <v>0.18742049606747793</v>
      </c>
      <c r="M25" s="9">
        <f>'2'!U25</f>
        <v>0.28245137678433568</v>
      </c>
      <c r="N25" s="9">
        <f>'3'!G25</f>
        <v>0.37273323076700415</v>
      </c>
      <c r="O25" s="9">
        <f>'8'!K22</f>
        <v>0.48784348802459798</v>
      </c>
      <c r="P25" s="9">
        <f t="shared" si="2"/>
        <v>0.31540800559137294</v>
      </c>
      <c r="Q25" s="9">
        <f t="shared" si="3"/>
        <v>0.35298702151361561</v>
      </c>
      <c r="R25" s="9">
        <f>'1'!AC25</f>
        <v>0.28725709234027469</v>
      </c>
      <c r="S25" s="9">
        <f>'1'!AE25</f>
        <v>0.36023964048114343</v>
      </c>
      <c r="T25" s="9">
        <f>'2'!AC25</f>
        <v>0.10169859053067337</v>
      </c>
      <c r="U25" s="9">
        <f>'2'!AE25</f>
        <v>0.12398539877200582</v>
      </c>
      <c r="V25" s="9">
        <f>'3'!J25</f>
        <v>0.67854189929346687</v>
      </c>
      <c r="W25" s="9">
        <f>'8'!P22</f>
        <v>0.58087052395097549</v>
      </c>
      <c r="X25" s="9">
        <f t="shared" si="4"/>
        <v>0.41209202652884758</v>
      </c>
      <c r="Y25" s="9">
        <f t="shared" si="5"/>
        <v>0.43590936562439792</v>
      </c>
      <c r="Z25" s="9">
        <f>'1'!AM25</f>
        <v>0.34912294921748643</v>
      </c>
      <c r="AA25" s="9">
        <f>'1'!AO25</f>
        <v>0.43097684115582874</v>
      </c>
      <c r="AB25" s="9">
        <f>'2'!AM25</f>
        <v>0.16797427195003378</v>
      </c>
      <c r="AC25" s="9">
        <f>'2'!AO25</f>
        <v>0.25021803909801288</v>
      </c>
      <c r="AD25" s="9">
        <f>'3'!M25</f>
        <v>0.60245604687014798</v>
      </c>
      <c r="AE25" s="9">
        <f>'8'!U22</f>
        <v>0.56767714019592197</v>
      </c>
      <c r="AF25" s="9">
        <f t="shared" si="6"/>
        <v>0.42180760205839757</v>
      </c>
      <c r="AG25" s="9">
        <f t="shared" si="7"/>
        <v>0.46283201682997793</v>
      </c>
      <c r="AH25" s="9">
        <f>'1'!AW25</f>
        <v>0.2660904988975562</v>
      </c>
      <c r="AI25" s="9">
        <f>'1'!AY25</f>
        <v>0.33483337246370171</v>
      </c>
      <c r="AJ25" s="9">
        <f>'2'!AW25</f>
        <v>0.16581552261934299</v>
      </c>
      <c r="AK25" s="9">
        <f>'2'!AY25</f>
        <v>0.2465231073131906</v>
      </c>
      <c r="AL25" s="9">
        <f>'3'!P25</f>
        <v>0.51600665780407207</v>
      </c>
      <c r="AM25" s="9">
        <f>'8'!Z22</f>
        <v>0.48381983196851525</v>
      </c>
      <c r="AN25" s="9">
        <f t="shared" si="8"/>
        <v>0.35793312782237163</v>
      </c>
      <c r="AO25" s="9">
        <f t="shared" si="9"/>
        <v>0.39529574238736992</v>
      </c>
      <c r="AP25" s="9">
        <f>'1'!BG25</f>
        <v>0.28917651502903846</v>
      </c>
      <c r="AQ25" s="9">
        <f>'1'!BI25</f>
        <v>0.36251171657725806</v>
      </c>
      <c r="AR25" s="9">
        <f>'2'!BG25</f>
        <v>0.22100448017792335</v>
      </c>
      <c r="AS25" s="9">
        <f>'2'!BI25</f>
        <v>0.33410624515766141</v>
      </c>
      <c r="AT25" s="9">
        <f>'3'!S25</f>
        <v>0.59860376802807147</v>
      </c>
      <c r="AU25" s="9">
        <f>'8'!AE22</f>
        <v>0.570071030919722</v>
      </c>
      <c r="AV25" s="9">
        <f t="shared" si="10"/>
        <v>0.41971394853868882</v>
      </c>
      <c r="AW25" s="9">
        <f t="shared" si="11"/>
        <v>0.46632319017067825</v>
      </c>
      <c r="AX25" s="9">
        <f>'1'!BQ25</f>
        <v>0.37817344894894789</v>
      </c>
      <c r="AY25" s="9">
        <f>'1'!BS25</f>
        <v>0.46253174687101772</v>
      </c>
      <c r="AZ25" s="9">
        <f>'2'!BQ25</f>
        <v>0.21828176994961038</v>
      </c>
      <c r="BA25" s="9">
        <f>'2'!BS25</f>
        <v>0.330090798407422</v>
      </c>
      <c r="BB25" s="9">
        <f>'3'!V25</f>
        <v>0.82186408271762157</v>
      </c>
      <c r="BC25" s="9">
        <f>'8'!AJ22</f>
        <v>0.64186571094492151</v>
      </c>
      <c r="BD25" s="9">
        <f t="shared" si="12"/>
        <v>0.5150462531402753</v>
      </c>
      <c r="BE25" s="9">
        <f t="shared" si="13"/>
        <v>0.56408808473524563</v>
      </c>
      <c r="BF25" s="9">
        <f>'1'!CA25</f>
        <v>0.36559993760567655</v>
      </c>
      <c r="BG25" s="9">
        <f>'1'!CC25</f>
        <v>0.44899712185134466</v>
      </c>
      <c r="BH25" s="9">
        <f>'2'!CA25</f>
        <v>0.24475704736966836</v>
      </c>
      <c r="BI25" s="9">
        <f>'2'!CC25</f>
        <v>0.36797107426710995</v>
      </c>
      <c r="BJ25" s="9">
        <f>'3'!Y25</f>
        <v>0.62683505177171051</v>
      </c>
      <c r="BK25" s="9">
        <f>'8'!AO22</f>
        <v>0.60866382829394539</v>
      </c>
      <c r="BL25" s="9">
        <f t="shared" si="14"/>
        <v>0.46146396626025021</v>
      </c>
      <c r="BM25" s="9">
        <f t="shared" si="15"/>
        <v>0.51311676904602765</v>
      </c>
      <c r="BN25" s="9">
        <f>'1'!CK25</f>
        <v>0.27030354203810419</v>
      </c>
      <c r="BO25" s="9">
        <f>'1'!CM25</f>
        <v>0.33994234253046512</v>
      </c>
      <c r="BP25" s="9">
        <f>'2'!CK25</f>
        <v>0.34852765264501168</v>
      </c>
      <c r="BQ25" s="9">
        <f>'2'!CM25</f>
        <v>0.49584424151519846</v>
      </c>
      <c r="BR25" s="9">
        <f>'3'!AB25</f>
        <v>0.5007472026582539</v>
      </c>
      <c r="BS25" s="9">
        <f>'8'!AT22</f>
        <v>0.59294760021909387</v>
      </c>
      <c r="BT25" s="9">
        <f t="shared" si="16"/>
        <v>0.42813149939011591</v>
      </c>
      <c r="BU25" s="9">
        <f t="shared" si="17"/>
        <v>0.4823703467307528</v>
      </c>
      <c r="BV25" s="9">
        <f>'1'!CU25</f>
        <v>0.44034859780562285</v>
      </c>
      <c r="BW25" s="9">
        <f>'1'!CW25</f>
        <v>0.52687641961853071</v>
      </c>
      <c r="BX25" s="9">
        <f>'2'!CU25</f>
        <v>0.45487016154575283</v>
      </c>
      <c r="BY25" s="9">
        <f>'2'!CW25</f>
        <v>0.6023071080501361</v>
      </c>
      <c r="BZ25" s="9">
        <f>'3'!AE25</f>
        <v>0.59797887241866676</v>
      </c>
      <c r="CA25" s="9">
        <f>'8'!AY22</f>
        <v>0.60706867801617315</v>
      </c>
      <c r="CB25" s="9">
        <f t="shared" si="18"/>
        <v>0.52506657744655394</v>
      </c>
      <c r="CC25" s="9">
        <f t="shared" si="19"/>
        <v>0.58355776952587668</v>
      </c>
      <c r="CD25" s="9">
        <f>'1'!DE25</f>
        <v>0.36847119782639448</v>
      </c>
      <c r="CE25" s="9">
        <f>'1'!DG25</f>
        <v>0.45210414471345112</v>
      </c>
      <c r="CF25" s="9">
        <f>'2'!DE25</f>
        <v>0.30120837912337806</v>
      </c>
      <c r="CG25" s="9">
        <f>'2'!DG25</f>
        <v>0.44110976263731555</v>
      </c>
      <c r="CH25" s="9">
        <f>'3'!AH25</f>
        <v>0.62624645091947895</v>
      </c>
      <c r="CI25" s="9">
        <f>'8'!BD22</f>
        <v>0.49961050950751129</v>
      </c>
      <c r="CJ25" s="9">
        <f t="shared" si="20"/>
        <v>0.44888413434419072</v>
      </c>
      <c r="CK25" s="9">
        <f t="shared" si="21"/>
        <v>0.50476771694443923</v>
      </c>
    </row>
    <row r="26" spans="1:89">
      <c r="A26" s="1">
        <v>1988</v>
      </c>
      <c r="B26" s="9">
        <f>'1'!I26</f>
        <v>0.38220464420613254</v>
      </c>
      <c r="C26" s="9">
        <f>'1'!K26</f>
        <v>0.46683234069243978</v>
      </c>
      <c r="D26" s="9">
        <f>'2'!I26</f>
        <v>0.25681141822596482</v>
      </c>
      <c r="E26" s="9">
        <f>'2'!K26</f>
        <v>0.38440747342014048</v>
      </c>
      <c r="F26" s="9">
        <f>'3'!D26</f>
        <v>0.69125665216367604</v>
      </c>
      <c r="G26" s="9">
        <f>'8'!F23</f>
        <v>0.61925908394818063</v>
      </c>
      <c r="H26" s="9">
        <f t="shared" si="0"/>
        <v>0.48738294963598849</v>
      </c>
      <c r="I26" s="9">
        <f t="shared" si="1"/>
        <v>0.54043888755610925</v>
      </c>
      <c r="J26" s="9">
        <f>'1'!S26</f>
        <v>0.25193918788364705</v>
      </c>
      <c r="K26" s="9">
        <f>'1'!U26</f>
        <v>0.3174777997500503</v>
      </c>
      <c r="L26" s="9">
        <f>'2'!S26</f>
        <v>0.20693463651034158</v>
      </c>
      <c r="M26" s="9">
        <f>'2'!U26</f>
        <v>0.31304024014941972</v>
      </c>
      <c r="N26" s="9">
        <f>'3'!G26</f>
        <v>0.51624936208937289</v>
      </c>
      <c r="O26" s="9">
        <f>'8'!K23</f>
        <v>0.54753425335997818</v>
      </c>
      <c r="P26" s="9">
        <f t="shared" si="2"/>
        <v>0.38066435996083492</v>
      </c>
      <c r="Q26" s="9">
        <f t="shared" si="3"/>
        <v>0.42357541383720532</v>
      </c>
      <c r="R26" s="9">
        <f>'1'!AC26</f>
        <v>0.33397498697491473</v>
      </c>
      <c r="S26" s="9">
        <f>'1'!AE26</f>
        <v>0.4141166626907824</v>
      </c>
      <c r="T26" s="9">
        <f>'2'!AC26</f>
        <v>0.11083898552922813</v>
      </c>
      <c r="U26" s="9">
        <f>'2'!AE26</f>
        <v>0.14317270736612667</v>
      </c>
      <c r="V26" s="9">
        <f>'3'!J26</f>
        <v>0.7155403952899908</v>
      </c>
      <c r="W26" s="9">
        <f>'8'!P23</f>
        <v>0.60217298270424291</v>
      </c>
      <c r="X26" s="9">
        <f t="shared" si="4"/>
        <v>0.44063183762459412</v>
      </c>
      <c r="Y26" s="9">
        <f t="shared" si="5"/>
        <v>0.46875068701278566</v>
      </c>
      <c r="Z26" s="9">
        <f>'1'!AM26</f>
        <v>0.37943724858124939</v>
      </c>
      <c r="AA26" s="9">
        <f>'1'!AO26</f>
        <v>0.46388200857076922</v>
      </c>
      <c r="AB26" s="9">
        <f>'2'!AM26</f>
        <v>0.17921775044155613</v>
      </c>
      <c r="AC26" s="9">
        <f>'2'!AO26</f>
        <v>0.2690794442246115</v>
      </c>
      <c r="AD26" s="9">
        <f>'3'!M26</f>
        <v>0.65029999299851959</v>
      </c>
      <c r="AE26" s="9">
        <f>'8'!U23</f>
        <v>0.61297022526581846</v>
      </c>
      <c r="AF26" s="9">
        <f t="shared" si="6"/>
        <v>0.45548130432178591</v>
      </c>
      <c r="AG26" s="9">
        <f t="shared" si="7"/>
        <v>0.49905791776492969</v>
      </c>
      <c r="AH26" s="9">
        <f>'1'!AW26</f>
        <v>0.28621764169728453</v>
      </c>
      <c r="AI26" s="9">
        <f>'1'!AY26</f>
        <v>0.35900704045733089</v>
      </c>
      <c r="AJ26" s="9">
        <f>'2'!AW26</f>
        <v>0.19006527403957815</v>
      </c>
      <c r="AK26" s="9">
        <f>'2'!AY26</f>
        <v>0.28669590926695893</v>
      </c>
      <c r="AL26" s="9">
        <f>'3'!P26</f>
        <v>0.60434979021422308</v>
      </c>
      <c r="AM26" s="9">
        <f>'8'!Z23</f>
        <v>0.53460147185274942</v>
      </c>
      <c r="AN26" s="9">
        <f t="shared" si="8"/>
        <v>0.40380854445095876</v>
      </c>
      <c r="AO26" s="9">
        <f t="shared" si="9"/>
        <v>0.44616355294781557</v>
      </c>
      <c r="AP26" s="9">
        <f>'1'!BG26</f>
        <v>0.31771903418119962</v>
      </c>
      <c r="AQ26" s="9">
        <f>'1'!BI26</f>
        <v>0.39569920509342049</v>
      </c>
      <c r="AR26" s="9">
        <f>'2'!BG26</f>
        <v>0.23453286793879127</v>
      </c>
      <c r="AS26" s="9">
        <f>'2'!BI26</f>
        <v>0.35364340934619526</v>
      </c>
      <c r="AT26" s="9">
        <f>'3'!S26</f>
        <v>0.64034289272744704</v>
      </c>
      <c r="AU26" s="9">
        <f>'8'!AE23</f>
        <v>0.5990670139551445</v>
      </c>
      <c r="AV26" s="9">
        <f t="shared" si="10"/>
        <v>0.44791545220064555</v>
      </c>
      <c r="AW26" s="9">
        <f t="shared" si="11"/>
        <v>0.49718813028055187</v>
      </c>
      <c r="AX26" s="9">
        <f>'1'!BQ26</f>
        <v>0.41123218682154333</v>
      </c>
      <c r="AY26" s="9">
        <f>'1'!BS26</f>
        <v>0.49726203253490137</v>
      </c>
      <c r="AZ26" s="9">
        <f>'2'!BQ26</f>
        <v>0.23234233433806753</v>
      </c>
      <c r="BA26" s="9">
        <f>'2'!BS26</f>
        <v>0.35052562901277851</v>
      </c>
      <c r="BB26" s="9">
        <f>'3'!V26</f>
        <v>0.80790183955726469</v>
      </c>
      <c r="BC26" s="9">
        <f>'8'!AJ23</f>
        <v>0.6638736091746168</v>
      </c>
      <c r="BD26" s="9">
        <f t="shared" si="12"/>
        <v>0.52883749247287304</v>
      </c>
      <c r="BE26" s="9">
        <f t="shared" si="13"/>
        <v>0.57989077756989027</v>
      </c>
      <c r="BF26" s="9">
        <f>'1'!CA26</f>
        <v>0.37378385421783744</v>
      </c>
      <c r="BG26" s="9">
        <f>'1'!CC26</f>
        <v>0.45782753310908764</v>
      </c>
      <c r="BH26" s="9">
        <f>'2'!CA26</f>
        <v>0.25599671444673244</v>
      </c>
      <c r="BI26" s="9">
        <f>'2'!CC26</f>
        <v>0.38331161935274838</v>
      </c>
      <c r="BJ26" s="9">
        <f>'3'!Y26</f>
        <v>0.62706523201492803</v>
      </c>
      <c r="BK26" s="9">
        <f>'8'!AO23</f>
        <v>0.64751783197723223</v>
      </c>
      <c r="BL26" s="9">
        <f t="shared" si="14"/>
        <v>0.47609090816418254</v>
      </c>
      <c r="BM26" s="9">
        <f t="shared" si="15"/>
        <v>0.5289305541134991</v>
      </c>
      <c r="BN26" s="9">
        <f>'1'!CK26</f>
        <v>0.2790427901229216</v>
      </c>
      <c r="BO26" s="9">
        <f>'1'!CM26</f>
        <v>0.35045700318236328</v>
      </c>
      <c r="BP26" s="9">
        <f>'2'!CK26</f>
        <v>0.36607072664653678</v>
      </c>
      <c r="BQ26" s="9">
        <f>'2'!CM26</f>
        <v>0.5148549772826535</v>
      </c>
      <c r="BR26" s="9">
        <f>'3'!AB26</f>
        <v>0.42519769129694535</v>
      </c>
      <c r="BS26" s="9">
        <f>'8'!AT23</f>
        <v>0.62869795976875997</v>
      </c>
      <c r="BT26" s="9">
        <f t="shared" si="16"/>
        <v>0.42475229195879094</v>
      </c>
      <c r="BU26" s="9">
        <f t="shared" si="17"/>
        <v>0.47980190788268051</v>
      </c>
      <c r="BV26" s="9">
        <f>'1'!CU26</f>
        <v>0.46737932974309893</v>
      </c>
      <c r="BW26" s="9">
        <f>'1'!CW26</f>
        <v>0.55360108026895893</v>
      </c>
      <c r="BX26" s="9">
        <f>'2'!CU26</f>
        <v>0.39898019819529273</v>
      </c>
      <c r="BY26" s="9">
        <f>'2'!CW26</f>
        <v>0.54887146221836502</v>
      </c>
      <c r="BZ26" s="9">
        <f>'3'!AE26</f>
        <v>0.68625117117684975</v>
      </c>
      <c r="CA26" s="9">
        <f>'8'!AY23</f>
        <v>0.61035946750140313</v>
      </c>
      <c r="CB26" s="9">
        <f t="shared" si="18"/>
        <v>0.54074254165416114</v>
      </c>
      <c r="CC26" s="9">
        <f t="shared" si="19"/>
        <v>0.59977079529139421</v>
      </c>
      <c r="CD26" s="9">
        <f>'1'!DE26</f>
        <v>0.40485237537592844</v>
      </c>
      <c r="CE26" s="9">
        <f>'1'!DG26</f>
        <v>0.49065350152635639</v>
      </c>
      <c r="CF26" s="9">
        <f>'2'!DE26</f>
        <v>0.32453860795380257</v>
      </c>
      <c r="CG26" s="9">
        <f>'2'!DG26</f>
        <v>0.46876190850731686</v>
      </c>
      <c r="CH26" s="9">
        <f>'3'!AH26</f>
        <v>0.7355727462304732</v>
      </c>
      <c r="CI26" s="9">
        <f>'8'!BD23</f>
        <v>0.57337011107653224</v>
      </c>
      <c r="CJ26" s="9">
        <f t="shared" si="20"/>
        <v>0.5095834601591841</v>
      </c>
      <c r="CK26" s="9">
        <f t="shared" si="21"/>
        <v>0.56708956683516965</v>
      </c>
    </row>
    <row r="27" spans="1:89">
      <c r="A27" s="1">
        <v>1989</v>
      </c>
      <c r="B27" s="9">
        <f>'1'!I27</f>
        <v>0.4057939045173144</v>
      </c>
      <c r="C27" s="9">
        <f>'1'!K27</f>
        <v>0.49163155418790633</v>
      </c>
      <c r="D27" s="9">
        <f>'2'!I27</f>
        <v>0.26094061492035886</v>
      </c>
      <c r="E27" s="9">
        <f>'2'!K27</f>
        <v>0.38992902634217386</v>
      </c>
      <c r="F27" s="9">
        <f>'3'!D27</f>
        <v>0.71080697727316267</v>
      </c>
      <c r="G27" s="9">
        <f>'8'!F24</f>
        <v>0.63674335810743921</v>
      </c>
      <c r="H27" s="9">
        <f t="shared" si="0"/>
        <v>0.50357121370456881</v>
      </c>
      <c r="I27" s="9">
        <f t="shared" si="1"/>
        <v>0.55727772897767047</v>
      </c>
      <c r="J27" s="9">
        <f>'1'!S27</f>
        <v>0.26839700876410905</v>
      </c>
      <c r="K27" s="9">
        <f>'1'!U27</f>
        <v>0.33763362821268933</v>
      </c>
      <c r="L27" s="9">
        <f>'2'!S27</f>
        <v>0.21645169179699814</v>
      </c>
      <c r="M27" s="9">
        <f>'2'!U27</f>
        <v>0.32737559751468881</v>
      </c>
      <c r="N27" s="9">
        <f>'3'!G27</f>
        <v>0.59032159403358042</v>
      </c>
      <c r="O27" s="9">
        <f>'8'!K24</f>
        <v>0.57273553184947601</v>
      </c>
      <c r="P27" s="9">
        <f t="shared" si="2"/>
        <v>0.41197645661104093</v>
      </c>
      <c r="Q27" s="9">
        <f t="shared" si="3"/>
        <v>0.45701658790260863</v>
      </c>
      <c r="R27" s="9">
        <f>'1'!AC27</f>
        <v>0.3652161508303452</v>
      </c>
      <c r="S27" s="9">
        <f>'1'!AE27</f>
        <v>0.44858108473608199</v>
      </c>
      <c r="T27" s="9">
        <f>'2'!AC27</f>
        <v>0.11601203213914742</v>
      </c>
      <c r="U27" s="9">
        <f>'2'!AE27</f>
        <v>0.15374856501357956</v>
      </c>
      <c r="V27" s="9">
        <f>'3'!J27</f>
        <v>0.6808433730215484</v>
      </c>
      <c r="W27" s="9">
        <f>'8'!P24</f>
        <v>0.56756375479130416</v>
      </c>
      <c r="X27" s="9">
        <f t="shared" si="4"/>
        <v>0.43240882769558631</v>
      </c>
      <c r="Y27" s="9">
        <f t="shared" si="5"/>
        <v>0.46268419439062852</v>
      </c>
      <c r="Z27" s="9">
        <f>'1'!AM27</f>
        <v>0.39852032734179016</v>
      </c>
      <c r="AA27" s="9">
        <f>'1'!AO27</f>
        <v>0.4840506919886467</v>
      </c>
      <c r="AB27" s="9">
        <f>'2'!AM27</f>
        <v>0.18621128840200088</v>
      </c>
      <c r="AC27" s="9">
        <f>'2'!AO27</f>
        <v>0.28050002664929236</v>
      </c>
      <c r="AD27" s="9">
        <f>'3'!M27</f>
        <v>0.63142892865918843</v>
      </c>
      <c r="AE27" s="9">
        <f>'8'!U24</f>
        <v>0.60699956353581452</v>
      </c>
      <c r="AF27" s="9">
        <f t="shared" si="6"/>
        <v>0.4557900269846985</v>
      </c>
      <c r="AG27" s="9">
        <f t="shared" si="7"/>
        <v>0.50074480270823551</v>
      </c>
      <c r="AH27" s="9">
        <f>'1'!AW27</f>
        <v>0.29134489863561314</v>
      </c>
      <c r="AI27" s="9">
        <f>'1'!AY27</f>
        <v>0.3650722598385841</v>
      </c>
      <c r="AJ27" s="9">
        <f>'2'!AW27</f>
        <v>0.20377737284441291</v>
      </c>
      <c r="AK27" s="9">
        <f>'2'!AY27</f>
        <v>0.30820261929125192</v>
      </c>
      <c r="AL27" s="9">
        <f>'3'!P27</f>
        <v>0.60799307150352921</v>
      </c>
      <c r="AM27" s="9">
        <f>'8'!Z24</f>
        <v>0.55229531282347089</v>
      </c>
      <c r="AN27" s="9">
        <f t="shared" si="8"/>
        <v>0.41385266395175652</v>
      </c>
      <c r="AO27" s="9">
        <f t="shared" si="9"/>
        <v>0.45839081586420899</v>
      </c>
      <c r="AP27" s="9">
        <f>'1'!BG27</f>
        <v>0.33355672811851089</v>
      </c>
      <c r="AQ27" s="9">
        <f>'1'!BI27</f>
        <v>0.41364704341124175</v>
      </c>
      <c r="AR27" s="9">
        <f>'2'!BG27</f>
        <v>0.23798653734463676</v>
      </c>
      <c r="AS27" s="9">
        <f>'2'!BI27</f>
        <v>0.35852415876078692</v>
      </c>
      <c r="AT27" s="9">
        <f>'3'!S27</f>
        <v>0.67821501763428393</v>
      </c>
      <c r="AU27" s="9">
        <f>'8'!AE24</f>
        <v>0.59789924921031101</v>
      </c>
      <c r="AV27" s="9">
        <f t="shared" si="10"/>
        <v>0.46191438307693566</v>
      </c>
      <c r="AW27" s="9">
        <f t="shared" si="11"/>
        <v>0.51207136725415592</v>
      </c>
      <c r="AX27" s="9">
        <f>'1'!BQ27</f>
        <v>0.43669180336965502</v>
      </c>
      <c r="AY27" s="9">
        <f>'1'!BS27</f>
        <v>0.52320519352616568</v>
      </c>
      <c r="AZ27" s="9">
        <f>'2'!BQ27</f>
        <v>0.23588131510733157</v>
      </c>
      <c r="BA27" s="9">
        <f>'2'!BS27</f>
        <v>0.35555408901032237</v>
      </c>
      <c r="BB27" s="9">
        <f>'3'!V27</f>
        <v>0.83602150537634412</v>
      </c>
      <c r="BC27" s="9">
        <f>'8'!AJ24</f>
        <v>0.69747434279663212</v>
      </c>
      <c r="BD27" s="9">
        <f t="shared" si="12"/>
        <v>0.55151724166249072</v>
      </c>
      <c r="BE27" s="9">
        <f t="shared" si="13"/>
        <v>0.60306378267736604</v>
      </c>
      <c r="BF27" s="9">
        <f>'1'!CA27</f>
        <v>0.39440459595715349</v>
      </c>
      <c r="BG27" s="9">
        <f>'1'!CC27</f>
        <v>0.47973531904171401</v>
      </c>
      <c r="BH27" s="9">
        <f>'2'!CA27</f>
        <v>0.26123046650381937</v>
      </c>
      <c r="BI27" s="9">
        <f>'2'!CC27</f>
        <v>0.39031458614509612</v>
      </c>
      <c r="BJ27" s="9">
        <f>'3'!Y27</f>
        <v>0.65031160166211155</v>
      </c>
      <c r="BK27" s="9">
        <f>'8'!AO24</f>
        <v>0.64093733488351723</v>
      </c>
      <c r="BL27" s="9">
        <f t="shared" si="14"/>
        <v>0.4867209997516504</v>
      </c>
      <c r="BM27" s="9">
        <f t="shared" si="15"/>
        <v>0.5403247104331097</v>
      </c>
      <c r="BN27" s="9">
        <f>'1'!CK27</f>
        <v>0.30907095838751047</v>
      </c>
      <c r="BO27" s="9">
        <f>'1'!CM27</f>
        <v>0.38576029574063031</v>
      </c>
      <c r="BP27" s="9">
        <f>'2'!CK27</f>
        <v>0.3792016768781894</v>
      </c>
      <c r="BQ27" s="9">
        <f>'2'!CM27</f>
        <v>0.52867534936337868</v>
      </c>
      <c r="BR27" s="9">
        <f>'3'!AB27</f>
        <v>0.43346439539493647</v>
      </c>
      <c r="BS27" s="9">
        <f>'8'!AT24</f>
        <v>0.61423236386551539</v>
      </c>
      <c r="BT27" s="9">
        <f t="shared" si="16"/>
        <v>0.43399234863153791</v>
      </c>
      <c r="BU27" s="9">
        <f t="shared" si="17"/>
        <v>0.4905331010911152</v>
      </c>
      <c r="BV27" s="9">
        <f>'1'!CU27</f>
        <v>0.49211481047097233</v>
      </c>
      <c r="BW27" s="9">
        <f>'1'!CW27</f>
        <v>0.57744215027449541</v>
      </c>
      <c r="BX27" s="9">
        <f>'2'!CU27</f>
        <v>0.40554578857723245</v>
      </c>
      <c r="BY27" s="9">
        <f>'2'!CW27</f>
        <v>0.55541843360755616</v>
      </c>
      <c r="BZ27" s="9">
        <f>'3'!AE27</f>
        <v>0.6003624805622706</v>
      </c>
      <c r="CA27" s="9">
        <f>'8'!AY24</f>
        <v>0.63231837364604648</v>
      </c>
      <c r="CB27" s="9">
        <f t="shared" si="18"/>
        <v>0.53258536331413042</v>
      </c>
      <c r="CC27" s="9">
        <f t="shared" si="19"/>
        <v>0.59138535952259219</v>
      </c>
      <c r="CD27" s="9">
        <f>'1'!DE27</f>
        <v>0.44374009541263632</v>
      </c>
      <c r="CE27" s="9">
        <f>'1'!DG27</f>
        <v>0.53026921928578119</v>
      </c>
      <c r="CF27" s="9">
        <f>'2'!DE27</f>
        <v>0.32999030546746566</v>
      </c>
      <c r="CG27" s="9">
        <f>'2'!DG27</f>
        <v>0.47503212104513537</v>
      </c>
      <c r="CH27" s="9">
        <f>'3'!AH27</f>
        <v>0.73103526914048256</v>
      </c>
      <c r="CI27" s="9">
        <f>'8'!BD24</f>
        <v>0.5839612976969929</v>
      </c>
      <c r="CJ27" s="9">
        <f t="shared" si="20"/>
        <v>0.52218174192939437</v>
      </c>
      <c r="CK27" s="9">
        <f t="shared" si="21"/>
        <v>0.580074476792098</v>
      </c>
    </row>
    <row r="28" spans="1:89">
      <c r="A28" s="1">
        <v>1990</v>
      </c>
      <c r="B28" s="9">
        <f>'1'!I28</f>
        <v>0.41954931627629088</v>
      </c>
      <c r="C28" s="9">
        <f>'1'!K28</f>
        <v>0.50581185292627906</v>
      </c>
      <c r="D28" s="9">
        <f>'2'!I28</f>
        <v>0.27594805873625794</v>
      </c>
      <c r="E28" s="9">
        <f>'2'!K28</f>
        <v>0.40955228593080256</v>
      </c>
      <c r="F28" s="9">
        <f>'3'!D28</f>
        <v>0.64545797780615266</v>
      </c>
      <c r="G28" s="9">
        <f>'8'!F25</f>
        <v>0.62122446788902042</v>
      </c>
      <c r="H28" s="9">
        <f t="shared" si="0"/>
        <v>0.49054495517693048</v>
      </c>
      <c r="I28" s="9">
        <f t="shared" si="1"/>
        <v>0.54551164613806369</v>
      </c>
      <c r="J28" s="9">
        <f>'1'!S28</f>
        <v>0.26595320069704886</v>
      </c>
      <c r="K28" s="9">
        <f>'1'!U28</f>
        <v>0.33466643420425901</v>
      </c>
      <c r="L28" s="9">
        <f>'2'!S28</f>
        <v>0.22284073523676026</v>
      </c>
      <c r="M28" s="9">
        <f>'2'!U28</f>
        <v>0.3367982481503094</v>
      </c>
      <c r="N28" s="9">
        <f>'3'!G28</f>
        <v>0.46110468581983322</v>
      </c>
      <c r="O28" s="9">
        <f>'8'!K25</f>
        <v>0.53893481652752417</v>
      </c>
      <c r="P28" s="9">
        <f t="shared" si="2"/>
        <v>0.37220835957029164</v>
      </c>
      <c r="Q28" s="9">
        <f t="shared" si="3"/>
        <v>0.41787604617548146</v>
      </c>
      <c r="R28" s="9">
        <f>'1'!AC28</f>
        <v>0.38919860665377942</v>
      </c>
      <c r="S28" s="9">
        <f>'1'!AE28</f>
        <v>0.47424981601429822</v>
      </c>
      <c r="T28" s="9">
        <f>'2'!AC28</f>
        <v>0.1346357747444179</v>
      </c>
      <c r="U28" s="9">
        <f>'2'!AE28</f>
        <v>0.19025611005252005</v>
      </c>
      <c r="V28" s="9">
        <f>'3'!J28</f>
        <v>0.75161033134511135</v>
      </c>
      <c r="W28" s="9">
        <f>'8'!P25</f>
        <v>0.56776582622832605</v>
      </c>
      <c r="X28" s="9">
        <f t="shared" si="4"/>
        <v>0.46080263474290867</v>
      </c>
      <c r="Y28" s="9">
        <f t="shared" si="5"/>
        <v>0.49597052091006394</v>
      </c>
      <c r="Z28" s="9">
        <f>'1'!AM28</f>
        <v>0.41151360940395154</v>
      </c>
      <c r="AA28" s="9">
        <f>'1'!AO28</f>
        <v>0.49755253443318143</v>
      </c>
      <c r="AB28" s="9">
        <f>'2'!AM28</f>
        <v>0.20350055441485559</v>
      </c>
      <c r="AC28" s="9">
        <f>'2'!AO28</f>
        <v>0.30777648137840874</v>
      </c>
      <c r="AD28" s="9">
        <f>'3'!M28</f>
        <v>0.66856574250653356</v>
      </c>
      <c r="AE28" s="9">
        <f>'8'!U25</f>
        <v>0.60558532492647854</v>
      </c>
      <c r="AF28" s="9">
        <f t="shared" si="6"/>
        <v>0.47229130781295481</v>
      </c>
      <c r="AG28" s="9">
        <f t="shared" si="7"/>
        <v>0.51987002081115063</v>
      </c>
      <c r="AH28" s="9">
        <f>'1'!AW28</f>
        <v>0.30510195914057053</v>
      </c>
      <c r="AI28" s="9">
        <f>'1'!AY28</f>
        <v>0.38116537307452025</v>
      </c>
      <c r="AJ28" s="9">
        <f>'2'!AW28</f>
        <v>0.22081366862078933</v>
      </c>
      <c r="AK28" s="9">
        <f>'2'!AY28</f>
        <v>0.33382576923001522</v>
      </c>
      <c r="AL28" s="9">
        <f>'3'!P28</f>
        <v>0.60267945747334273</v>
      </c>
      <c r="AM28" s="9">
        <f>'8'!Z25</f>
        <v>0.54099621330364334</v>
      </c>
      <c r="AN28" s="9">
        <f t="shared" si="8"/>
        <v>0.41739782463458652</v>
      </c>
      <c r="AO28" s="9">
        <f t="shared" si="9"/>
        <v>0.4646667032703804</v>
      </c>
      <c r="AP28" s="9">
        <f>'1'!BG28</f>
        <v>0.34301383877430669</v>
      </c>
      <c r="AQ28" s="9">
        <f>'1'!BI28</f>
        <v>0.42421158962379857</v>
      </c>
      <c r="AR28" s="9">
        <f>'2'!BG28</f>
        <v>0.25049604463273756</v>
      </c>
      <c r="AS28" s="9">
        <f>'2'!BI28</f>
        <v>0.37585627103127062</v>
      </c>
      <c r="AT28" s="9">
        <f>'3'!S28</f>
        <v>0.62369589438233819</v>
      </c>
      <c r="AU28" s="9">
        <f>'8'!AE25</f>
        <v>0.58140773740134155</v>
      </c>
      <c r="AV28" s="9">
        <f t="shared" si="10"/>
        <v>0.44965337879768102</v>
      </c>
      <c r="AW28" s="9">
        <f t="shared" si="11"/>
        <v>0.50129287310968729</v>
      </c>
      <c r="AX28" s="9">
        <f>'1'!BQ28</f>
        <v>0.45243011087831597</v>
      </c>
      <c r="AY28" s="9">
        <f>'1'!BS28</f>
        <v>0.53891006027585775</v>
      </c>
      <c r="AZ28" s="9">
        <f>'2'!BQ28</f>
        <v>0.24671554015213698</v>
      </c>
      <c r="BA28" s="9">
        <f>'2'!BS28</f>
        <v>0.37067442793268368</v>
      </c>
      <c r="BB28" s="9">
        <f>'3'!V28</f>
        <v>0.76761546213142751</v>
      </c>
      <c r="BC28" s="9">
        <f>'8'!AJ25</f>
        <v>0.6585343809986316</v>
      </c>
      <c r="BD28" s="9">
        <f t="shared" si="12"/>
        <v>0.531323873540128</v>
      </c>
      <c r="BE28" s="9">
        <f t="shared" si="13"/>
        <v>0.58393358283465013</v>
      </c>
      <c r="BF28" s="9">
        <f>'1'!CA28</f>
        <v>0.40798327837411341</v>
      </c>
      <c r="BG28" s="9">
        <f>'1'!CC28</f>
        <v>0.49390214198116716</v>
      </c>
      <c r="BH28" s="9">
        <f>'2'!CA28</f>
        <v>0.2734696952953013</v>
      </c>
      <c r="BI28" s="9">
        <f>'2'!CC28</f>
        <v>0.40635850005232971</v>
      </c>
      <c r="BJ28" s="9">
        <f>'3'!Y28</f>
        <v>0.57291631278966348</v>
      </c>
      <c r="BK28" s="9">
        <f>'8'!AO25</f>
        <v>0.62649739935408422</v>
      </c>
      <c r="BL28" s="9">
        <f t="shared" si="14"/>
        <v>0.4702166714532906</v>
      </c>
      <c r="BM28" s="9">
        <f t="shared" si="15"/>
        <v>0.52491858854431117</v>
      </c>
      <c r="BN28" s="9">
        <f>'1'!CK28</f>
        <v>0.32987400633150493</v>
      </c>
      <c r="BO28" s="9">
        <f>'1'!CM28</f>
        <v>0.40950248896455321</v>
      </c>
      <c r="BP28" s="9">
        <f>'2'!CK28</f>
        <v>0.38478753751752898</v>
      </c>
      <c r="BQ28" s="9">
        <f>'2'!CM28</f>
        <v>0.53445303503591934</v>
      </c>
      <c r="BR28" s="9">
        <f>'3'!AB28</f>
        <v>0.29210351024750231</v>
      </c>
      <c r="BS28" s="9">
        <f>'8'!AT25</f>
        <v>0.62364041484483168</v>
      </c>
      <c r="BT28" s="9">
        <f t="shared" si="16"/>
        <v>0.40760136723534202</v>
      </c>
      <c r="BU28" s="9">
        <f t="shared" si="17"/>
        <v>0.46492486227320162</v>
      </c>
      <c r="BV28" s="9">
        <f>'1'!CU28</f>
        <v>0.50040585534866278</v>
      </c>
      <c r="BW28" s="9">
        <f>'1'!CW28</f>
        <v>0.58530706934351107</v>
      </c>
      <c r="BX28" s="9">
        <f>'2'!CU28</f>
        <v>0.43747838995719013</v>
      </c>
      <c r="BY28" s="9">
        <f>'2'!CW28</f>
        <v>0.58621670582649699</v>
      </c>
      <c r="BZ28" s="9">
        <f>'3'!AE28</f>
        <v>0.65083129947882878</v>
      </c>
      <c r="CA28" s="9">
        <f>'8'!AY25</f>
        <v>0.62775261785905634</v>
      </c>
      <c r="CB28" s="9">
        <f t="shared" si="18"/>
        <v>0.55411704066093448</v>
      </c>
      <c r="CC28" s="9">
        <f t="shared" si="19"/>
        <v>0.61252692312697332</v>
      </c>
      <c r="CD28" s="9">
        <f>'1'!DE28</f>
        <v>0.46478946085388284</v>
      </c>
      <c r="CE28" s="9">
        <f>'1'!DG28</f>
        <v>0.55107144990116919</v>
      </c>
      <c r="CF28" s="9">
        <f>'2'!DE28</f>
        <v>0.34741394543150828</v>
      </c>
      <c r="CG28" s="9">
        <f>'2'!DG28</f>
        <v>0.49461538433347574</v>
      </c>
      <c r="CH28" s="9">
        <f>'3'!AH28</f>
        <v>0.55505879712382611</v>
      </c>
      <c r="CI28" s="9">
        <f>'8'!BD25</f>
        <v>0.61511979384135873</v>
      </c>
      <c r="CJ28" s="9">
        <f t="shared" si="20"/>
        <v>0.49559549931264402</v>
      </c>
      <c r="CK28" s="9">
        <f t="shared" si="21"/>
        <v>0.55396635629995739</v>
      </c>
    </row>
    <row r="29" spans="1:89">
      <c r="A29" s="1">
        <v>1991</v>
      </c>
      <c r="B29" s="9">
        <f>'1'!I29</f>
        <v>0.42347896147781944</v>
      </c>
      <c r="C29" s="9">
        <f>'1'!K29</f>
        <v>0.50982598751269381</v>
      </c>
      <c r="D29" s="9">
        <f>'2'!I29</f>
        <v>0.26829177037425173</v>
      </c>
      <c r="E29" s="9">
        <f>'2'!K29</f>
        <v>0.39962675296627276</v>
      </c>
      <c r="F29" s="9">
        <f>'3'!D29</f>
        <v>0.63719491025725805</v>
      </c>
      <c r="G29" s="9">
        <f>'8'!F26</f>
        <v>0.59521184035586427</v>
      </c>
      <c r="H29" s="9">
        <f t="shared" si="0"/>
        <v>0.48104437061629834</v>
      </c>
      <c r="I29" s="9">
        <f t="shared" si="1"/>
        <v>0.53546487277302224</v>
      </c>
      <c r="J29" s="9">
        <f>'1'!S29</f>
        <v>0.25729492876995846</v>
      </c>
      <c r="K29" s="9">
        <f>'1'!U29</f>
        <v>0.32408194160194553</v>
      </c>
      <c r="L29" s="9">
        <f>'2'!S29</f>
        <v>0.2210490981914463</v>
      </c>
      <c r="M29" s="9">
        <f>'2'!U29</f>
        <v>0.33417180947013297</v>
      </c>
      <c r="N29" s="9">
        <f>'3'!G29</f>
        <v>0.43431714951484063</v>
      </c>
      <c r="O29" s="9">
        <f>'8'!K26</f>
        <v>0.52949460664476289</v>
      </c>
      <c r="P29" s="9">
        <f t="shared" si="2"/>
        <v>0.36053894578025203</v>
      </c>
      <c r="Q29" s="9">
        <f t="shared" si="3"/>
        <v>0.40551637680792052</v>
      </c>
      <c r="R29" s="9">
        <f>'1'!AC29</f>
        <v>0.38675869167230209</v>
      </c>
      <c r="S29" s="9">
        <f>'1'!AE29</f>
        <v>0.47166843915060136</v>
      </c>
      <c r="T29" s="9">
        <f>'2'!AC29</f>
        <v>0.14111961569670195</v>
      </c>
      <c r="U29" s="9">
        <f>'2'!AE29</f>
        <v>0.20242960176491451</v>
      </c>
      <c r="V29" s="9">
        <f>'3'!J29</f>
        <v>0.67495944490489657</v>
      </c>
      <c r="W29" s="9">
        <f>'8'!P26</f>
        <v>0.52463646016435306</v>
      </c>
      <c r="X29" s="9">
        <f t="shared" si="4"/>
        <v>0.4318685531095634</v>
      </c>
      <c r="Y29" s="9">
        <f t="shared" si="5"/>
        <v>0.46842348649619137</v>
      </c>
      <c r="Z29" s="9">
        <f>'1'!AM29</f>
        <v>0.41201149475507004</v>
      </c>
      <c r="AA29" s="9">
        <f>'1'!AO29</f>
        <v>0.4980662746921381</v>
      </c>
      <c r="AB29" s="9">
        <f>'2'!AM29</f>
        <v>0.20133914249113</v>
      </c>
      <c r="AC29" s="9">
        <f>'2'!AO29</f>
        <v>0.30443802289380789</v>
      </c>
      <c r="AD29" s="9">
        <f>'3'!M29</f>
        <v>0.64761376904737034</v>
      </c>
      <c r="AE29" s="9">
        <f>'8'!U26</f>
        <v>0.59558428011923403</v>
      </c>
      <c r="AF29" s="9">
        <f t="shared" si="6"/>
        <v>0.46413717160320112</v>
      </c>
      <c r="AG29" s="9">
        <f t="shared" si="7"/>
        <v>0.51142558668813765</v>
      </c>
      <c r="AH29" s="9">
        <f>'1'!AW29</f>
        <v>0.30055364812503199</v>
      </c>
      <c r="AI29" s="9">
        <f>'1'!AY29</f>
        <v>0.37587351633102828</v>
      </c>
      <c r="AJ29" s="9">
        <f>'2'!AW29</f>
        <v>0.21579494180731787</v>
      </c>
      <c r="AK29" s="9">
        <f>'2'!AY29</f>
        <v>0.32639800259878127</v>
      </c>
      <c r="AL29" s="9">
        <f>'3'!P29</f>
        <v>0.58682349177296744</v>
      </c>
      <c r="AM29" s="9">
        <f>'8'!Z26</f>
        <v>0.53437452132880192</v>
      </c>
      <c r="AN29" s="9">
        <f t="shared" si="8"/>
        <v>0.40938665075852987</v>
      </c>
      <c r="AO29" s="9">
        <f t="shared" si="9"/>
        <v>0.45586738300789476</v>
      </c>
      <c r="AP29" s="9">
        <f>'1'!BG29</f>
        <v>0.33843250671196068</v>
      </c>
      <c r="AQ29" s="9">
        <f>'1'!BI29</f>
        <v>0.41910780653689617</v>
      </c>
      <c r="AR29" s="9">
        <f>'2'!BG29</f>
        <v>0.24956865636656225</v>
      </c>
      <c r="AS29" s="9">
        <f>'2'!BI29</f>
        <v>0.37458953674711948</v>
      </c>
      <c r="AT29" s="9">
        <f>'3'!S29</f>
        <v>0.59071152030593421</v>
      </c>
      <c r="AU29" s="9">
        <f>'8'!AE26</f>
        <v>0.58289172967857894</v>
      </c>
      <c r="AV29" s="9">
        <f t="shared" si="10"/>
        <v>0.44040110326575899</v>
      </c>
      <c r="AW29" s="9">
        <f t="shared" si="11"/>
        <v>0.4918251483171322</v>
      </c>
      <c r="AX29" s="9">
        <f>'1'!BQ29</f>
        <v>0.46399565381733415</v>
      </c>
      <c r="AY29" s="9">
        <f>'1'!BS29</f>
        <v>0.55029481490306265</v>
      </c>
      <c r="AZ29" s="9">
        <f>'2'!BQ29</f>
        <v>0.24716512928624149</v>
      </c>
      <c r="BA29" s="9">
        <f>'2'!BS29</f>
        <v>0.37129317634061199</v>
      </c>
      <c r="BB29" s="9">
        <f>'3'!V29</f>
        <v>0.73458745778748735</v>
      </c>
      <c r="BC29" s="9">
        <f>'8'!AJ26</f>
        <v>0.60297492938772468</v>
      </c>
      <c r="BD29" s="9">
        <f t="shared" si="12"/>
        <v>0.51218079256969695</v>
      </c>
      <c r="BE29" s="9">
        <f t="shared" si="13"/>
        <v>0.56478759460472161</v>
      </c>
      <c r="BF29" s="9">
        <f>'1'!CA29</f>
        <v>0.40417736884116567</v>
      </c>
      <c r="BG29" s="9">
        <f>'1'!CC29</f>
        <v>0.48995171729640158</v>
      </c>
      <c r="BH29" s="9">
        <f>'2'!CA29</f>
        <v>0.27125868851480334</v>
      </c>
      <c r="BI29" s="9">
        <f>'2'!CC29</f>
        <v>0.4034938553668016</v>
      </c>
      <c r="BJ29" s="9">
        <f>'3'!Y29</f>
        <v>0.58764372083075722</v>
      </c>
      <c r="BK29" s="9">
        <f>'8'!AO26</f>
        <v>0.632029212950592</v>
      </c>
      <c r="BL29" s="9">
        <f t="shared" si="14"/>
        <v>0.47377724778432956</v>
      </c>
      <c r="BM29" s="9">
        <f t="shared" si="15"/>
        <v>0.52827962661113803</v>
      </c>
      <c r="BN29" s="9">
        <f>'1'!CK29</f>
        <v>0.32360921333398046</v>
      </c>
      <c r="BO29" s="9">
        <f>'1'!CM29</f>
        <v>0.4024120915925874</v>
      </c>
      <c r="BP29" s="9">
        <f>'2'!CK29</f>
        <v>0.36045562696262606</v>
      </c>
      <c r="BQ29" s="9">
        <f>'2'!CM29</f>
        <v>0.50883977231619104</v>
      </c>
      <c r="BR29" s="9">
        <f>'3'!AB29</f>
        <v>0.36252118094290631</v>
      </c>
      <c r="BS29" s="9">
        <f>'8'!AT26</f>
        <v>0.60556234615905191</v>
      </c>
      <c r="BT29" s="9">
        <f t="shared" si="16"/>
        <v>0.41303709184964121</v>
      </c>
      <c r="BU29" s="9">
        <f t="shared" si="17"/>
        <v>0.46983384775268422</v>
      </c>
      <c r="BV29" s="9">
        <f>'1'!CU29</f>
        <v>0.48322988937001005</v>
      </c>
      <c r="BW29" s="9">
        <f>'1'!CW29</f>
        <v>0.56894419073197522</v>
      </c>
      <c r="BX29" s="9">
        <f>'2'!CU29</f>
        <v>0.3768181812967567</v>
      </c>
      <c r="BY29" s="9">
        <f>'2'!CW29</f>
        <v>0.5261918147673359</v>
      </c>
      <c r="BZ29" s="9">
        <f>'3'!AE29</f>
        <v>0.63713172001569063</v>
      </c>
      <c r="CA29" s="9">
        <f>'8'!AY26</f>
        <v>0.60591115098469772</v>
      </c>
      <c r="CB29" s="9">
        <f t="shared" si="18"/>
        <v>0.52577273541678871</v>
      </c>
      <c r="CC29" s="9">
        <f t="shared" si="19"/>
        <v>0.58454471912492489</v>
      </c>
      <c r="CD29" s="9">
        <f>'1'!DE29</f>
        <v>0.48688943795566952</v>
      </c>
      <c r="CE29" s="9">
        <f>'1'!DG29</f>
        <v>0.57245316428606252</v>
      </c>
      <c r="CF29" s="9">
        <f>'2'!DE29</f>
        <v>0.33295891415461165</v>
      </c>
      <c r="CG29" s="9">
        <f>'2'!DG29</f>
        <v>0.47841725730705104</v>
      </c>
      <c r="CH29" s="9">
        <f>'3'!AH29</f>
        <v>0.67062420404927625</v>
      </c>
      <c r="CI29" s="9">
        <f>'8'!BD26</f>
        <v>0.60730254761094293</v>
      </c>
      <c r="CJ29" s="9">
        <f t="shared" si="20"/>
        <v>0.52444377594262515</v>
      </c>
      <c r="CK29" s="9">
        <f t="shared" si="21"/>
        <v>0.5821992933133332</v>
      </c>
    </row>
    <row r="30" spans="1:89">
      <c r="A30" s="1">
        <v>1992</v>
      </c>
      <c r="B30" s="9">
        <f>'1'!I30</f>
        <v>0.44639853153233605</v>
      </c>
      <c r="C30" s="9">
        <f>'1'!K30</f>
        <v>0.53292059939094782</v>
      </c>
      <c r="D30" s="9">
        <f>'2'!I30</f>
        <v>0.26547490353597075</v>
      </c>
      <c r="E30" s="9">
        <f>'2'!K30</f>
        <v>0.39593045057602927</v>
      </c>
      <c r="F30" s="9">
        <f>'3'!D30</f>
        <v>0.62715689884919212</v>
      </c>
      <c r="G30" s="9">
        <f>'8'!F27</f>
        <v>0.57962823395007501</v>
      </c>
      <c r="H30" s="9">
        <f t="shared" si="0"/>
        <v>0.47966464196689351</v>
      </c>
      <c r="I30" s="9">
        <f t="shared" si="1"/>
        <v>0.53390904569156106</v>
      </c>
      <c r="J30" s="9">
        <f>'1'!S30</f>
        <v>0.26830211607008103</v>
      </c>
      <c r="K30" s="9">
        <f>'1'!U30</f>
        <v>0.33751857773647254</v>
      </c>
      <c r="L30" s="9">
        <f>'2'!S30</f>
        <v>0.22355036374478418</v>
      </c>
      <c r="M30" s="9">
        <f>'2'!U30</f>
        <v>0.33783514089959171</v>
      </c>
      <c r="N30" s="9">
        <f>'3'!G30</f>
        <v>0.34585350336552034</v>
      </c>
      <c r="O30" s="9">
        <f>'8'!K27</f>
        <v>0.49362253565600994</v>
      </c>
      <c r="P30" s="9">
        <f t="shared" si="2"/>
        <v>0.33283212970909887</v>
      </c>
      <c r="Q30" s="9">
        <f t="shared" si="3"/>
        <v>0.37870743941439866</v>
      </c>
      <c r="R30" s="9">
        <f>'1'!AC30</f>
        <v>0.43687803884460563</v>
      </c>
      <c r="S30" s="9">
        <f>'1'!AE30</f>
        <v>0.52339249219491157</v>
      </c>
      <c r="T30" s="9">
        <f>'2'!AC30</f>
        <v>0.14794380348655806</v>
      </c>
      <c r="U30" s="9">
        <f>'2'!AE30</f>
        <v>0.21496364528294823</v>
      </c>
      <c r="V30" s="9">
        <f>'3'!J30</f>
        <v>0.74553104897601818</v>
      </c>
      <c r="W30" s="9">
        <f>'8'!P27</f>
        <v>0.49858929792596746</v>
      </c>
      <c r="X30" s="9">
        <f t="shared" si="4"/>
        <v>0.4572355473082873</v>
      </c>
      <c r="Y30" s="9">
        <f t="shared" si="5"/>
        <v>0.49561912109496131</v>
      </c>
      <c r="Z30" s="9">
        <f>'1'!AM30</f>
        <v>0.44574648722445809</v>
      </c>
      <c r="AA30" s="9">
        <f>'1'!AO30</f>
        <v>0.53227094033616607</v>
      </c>
      <c r="AB30" s="9">
        <f>'2'!AM30</f>
        <v>0.194832323392721</v>
      </c>
      <c r="AC30" s="9">
        <f>'2'!AO30</f>
        <v>0.29426641794668418</v>
      </c>
      <c r="AD30" s="9">
        <f>'3'!M30</f>
        <v>0.63830888011204023</v>
      </c>
      <c r="AE30" s="9">
        <f>'8'!U27</f>
        <v>0.56965718810900967</v>
      </c>
      <c r="AF30" s="9">
        <f t="shared" si="6"/>
        <v>0.46213621970955721</v>
      </c>
      <c r="AG30" s="9">
        <f t="shared" si="7"/>
        <v>0.50862585662597504</v>
      </c>
      <c r="AH30" s="9">
        <f>'1'!AW30</f>
        <v>0.31204363893246867</v>
      </c>
      <c r="AI30" s="9">
        <f>'1'!AY30</f>
        <v>0.38918791197566505</v>
      </c>
      <c r="AJ30" s="9">
        <f>'2'!AW30</f>
        <v>0.20855263742318508</v>
      </c>
      <c r="AK30" s="9">
        <f>'2'!AY30</f>
        <v>0.31550333529239349</v>
      </c>
      <c r="AL30" s="9">
        <f>'3'!P30</f>
        <v>0.59230475321299347</v>
      </c>
      <c r="AM30" s="9">
        <f>'8'!Z27</f>
        <v>0.4910447342571862</v>
      </c>
      <c r="AN30" s="9">
        <f t="shared" si="8"/>
        <v>0.40098644095645836</v>
      </c>
      <c r="AO30" s="9">
        <f t="shared" si="9"/>
        <v>0.44701018368455958</v>
      </c>
      <c r="AP30" s="9">
        <f>'1'!BG30</f>
        <v>0.36085866877954903</v>
      </c>
      <c r="AQ30" s="9">
        <f>'1'!BI30</f>
        <v>0.44384517646333493</v>
      </c>
      <c r="AR30" s="9">
        <f>'2'!BG30</f>
        <v>0.25004559047027025</v>
      </c>
      <c r="AS30" s="9">
        <f>'2'!BI30</f>
        <v>0.37524134500601219</v>
      </c>
      <c r="AT30" s="9">
        <f>'3'!S30</f>
        <v>0.6354163298489901</v>
      </c>
      <c r="AU30" s="9">
        <f>'8'!AE27</f>
        <v>0.55761749356146095</v>
      </c>
      <c r="AV30" s="9">
        <f t="shared" si="10"/>
        <v>0.45098452066506756</v>
      </c>
      <c r="AW30" s="9">
        <f t="shared" si="11"/>
        <v>0.5030300862199496</v>
      </c>
      <c r="AX30" s="9">
        <f>'1'!BQ30</f>
        <v>0.49398113478618055</v>
      </c>
      <c r="AY30" s="9">
        <f>'1'!BS30</f>
        <v>0.57921799101619342</v>
      </c>
      <c r="AZ30" s="9">
        <f>'2'!BQ30</f>
        <v>0.24566092614168619</v>
      </c>
      <c r="BA30" s="9">
        <f>'2'!BS30</f>
        <v>0.36922033468123983</v>
      </c>
      <c r="BB30" s="9">
        <f>'3'!V30</f>
        <v>0.72365974009415523</v>
      </c>
      <c r="BC30" s="9">
        <f>'8'!AJ27</f>
        <v>0.60046455070826243</v>
      </c>
      <c r="BD30" s="9">
        <f t="shared" si="12"/>
        <v>0.51594158793257106</v>
      </c>
      <c r="BE30" s="9">
        <f t="shared" si="13"/>
        <v>0.56814065412496273</v>
      </c>
      <c r="BF30" s="9">
        <f>'1'!CA30</f>
        <v>0.41966602307329459</v>
      </c>
      <c r="BG30" s="9">
        <f>'1'!CC30</f>
        <v>0.50593130295506805</v>
      </c>
      <c r="BH30" s="9">
        <f>'2'!CA30</f>
        <v>0.26959247663949737</v>
      </c>
      <c r="BI30" s="9">
        <f>'2'!CC30</f>
        <v>0.401325377917851</v>
      </c>
      <c r="BJ30" s="9">
        <f>'3'!Y30</f>
        <v>0.53989358851529268</v>
      </c>
      <c r="BK30" s="9">
        <f>'8'!AO27</f>
        <v>0.59987441853187051</v>
      </c>
      <c r="BL30" s="9">
        <f t="shared" si="14"/>
        <v>0.45725662668998879</v>
      </c>
      <c r="BM30" s="9">
        <f t="shared" si="15"/>
        <v>0.51175617198002055</v>
      </c>
      <c r="BN30" s="9">
        <f>'1'!CK30</f>
        <v>0.33253479081719994</v>
      </c>
      <c r="BO30" s="9">
        <f>'1'!CM30</f>
        <v>0.4124986818938004</v>
      </c>
      <c r="BP30" s="9">
        <f>'2'!CK30</f>
        <v>0.36150648813285241</v>
      </c>
      <c r="BQ30" s="9">
        <f>'2'!CM30</f>
        <v>0.50997041850630109</v>
      </c>
      <c r="BR30" s="9">
        <f>'3'!AB30</f>
        <v>0.3630023954156939</v>
      </c>
      <c r="BS30" s="9">
        <f>'8'!AT27</f>
        <v>0.59526614259891708</v>
      </c>
      <c r="BT30" s="9">
        <f t="shared" si="16"/>
        <v>0.41307745424116582</v>
      </c>
      <c r="BU30" s="9">
        <f t="shared" si="17"/>
        <v>0.47018440960367813</v>
      </c>
      <c r="BV30" s="9">
        <f>'1'!CU30</f>
        <v>0.49304559250598951</v>
      </c>
      <c r="BW30" s="9">
        <f>'1'!CW30</f>
        <v>0.57832820268152496</v>
      </c>
      <c r="BX30" s="9">
        <f>'2'!CU30</f>
        <v>0.37524340184243815</v>
      </c>
      <c r="BY30" s="9">
        <f>'2'!CW30</f>
        <v>0.52454490053017433</v>
      </c>
      <c r="BZ30" s="9">
        <f>'3'!AE30</f>
        <v>0.50524267219712382</v>
      </c>
      <c r="CA30" s="9">
        <f>'8'!AY27</f>
        <v>0.59325404162897366</v>
      </c>
      <c r="CB30" s="9">
        <f t="shared" si="18"/>
        <v>0.49169642704363126</v>
      </c>
      <c r="CC30" s="9">
        <f t="shared" si="19"/>
        <v>0.55034245425944917</v>
      </c>
      <c r="CD30" s="9">
        <f>'1'!DE30</f>
        <v>0.51299539769274249</v>
      </c>
      <c r="CE30" s="9">
        <f>'1'!DG30</f>
        <v>0.59713176930746903</v>
      </c>
      <c r="CF30" s="9">
        <f>'2'!DE30</f>
        <v>0.31680111586390736</v>
      </c>
      <c r="CG30" s="9">
        <f>'2'!DG30</f>
        <v>0.45974092695928764</v>
      </c>
      <c r="CH30" s="9">
        <f>'3'!AH30</f>
        <v>0.61668801046372801</v>
      </c>
      <c r="CI30" s="9">
        <f>'8'!BD27</f>
        <v>0.5902072315786091</v>
      </c>
      <c r="CJ30" s="9">
        <f t="shared" si="20"/>
        <v>0.5091729388997468</v>
      </c>
      <c r="CK30" s="9">
        <f t="shared" si="21"/>
        <v>0.56594198457727352</v>
      </c>
    </row>
    <row r="31" spans="1:89">
      <c r="A31" s="1">
        <v>1993</v>
      </c>
      <c r="B31" s="9">
        <f>'1'!I31</f>
        <v>0.45409767595013772</v>
      </c>
      <c r="C31" s="9">
        <f>'1'!K31</f>
        <v>0.54055962930496426</v>
      </c>
      <c r="D31" s="9">
        <f>'2'!I31</f>
        <v>0.26425017342839102</v>
      </c>
      <c r="E31" s="9">
        <f>'2'!K31</f>
        <v>0.39431574509612249</v>
      </c>
      <c r="F31" s="9">
        <f>'3'!D31</f>
        <v>0.63523635395519973</v>
      </c>
      <c r="G31" s="9">
        <f>'8'!F28</f>
        <v>0.56590126225754278</v>
      </c>
      <c r="H31" s="9">
        <f t="shared" si="0"/>
        <v>0.4798713663978178</v>
      </c>
      <c r="I31" s="9">
        <f t="shared" si="1"/>
        <v>0.5340032476534573</v>
      </c>
      <c r="J31" s="9">
        <f>'1'!S31</f>
        <v>0.26815036630862493</v>
      </c>
      <c r="K31" s="9">
        <f>'1'!U31</f>
        <v>0.33733456451675609</v>
      </c>
      <c r="L31" s="9">
        <f>'2'!S31</f>
        <v>0.22244543142849407</v>
      </c>
      <c r="M31" s="9">
        <f>'2'!U31</f>
        <v>0.33621980901703125</v>
      </c>
      <c r="N31" s="9">
        <f>'3'!G31</f>
        <v>0.45028668456028575</v>
      </c>
      <c r="O31" s="9">
        <f>'8'!K28</f>
        <v>0.49308792931566037</v>
      </c>
      <c r="P31" s="9">
        <f t="shared" si="2"/>
        <v>0.35849260290326629</v>
      </c>
      <c r="Q31" s="9">
        <f t="shared" si="3"/>
        <v>0.40423224685243342</v>
      </c>
      <c r="R31" s="9">
        <f>'1'!AC31</f>
        <v>0.30279743633291778</v>
      </c>
      <c r="S31" s="9">
        <f>'1'!AE31</f>
        <v>0.37848763574191696</v>
      </c>
      <c r="T31" s="9">
        <f>'2'!AC31</f>
        <v>0.15662747461210255</v>
      </c>
      <c r="U31" s="9">
        <f>'2'!AE31</f>
        <v>0.23051937688026572</v>
      </c>
      <c r="V31" s="9">
        <f>'3'!J31</f>
        <v>0.8339066440361137</v>
      </c>
      <c r="W31" s="9">
        <f>'8'!P28</f>
        <v>0.52230814874021436</v>
      </c>
      <c r="X31" s="9">
        <f t="shared" si="4"/>
        <v>0.45390992593033713</v>
      </c>
      <c r="Y31" s="9">
        <f t="shared" si="5"/>
        <v>0.49130545134962772</v>
      </c>
      <c r="Z31" s="9">
        <f>'1'!AM31</f>
        <v>0.46562080291503388</v>
      </c>
      <c r="AA31" s="9">
        <f>'1'!AO31</f>
        <v>0.55188415764578735</v>
      </c>
      <c r="AB31" s="9">
        <f>'2'!AM31</f>
        <v>0.19201023935816144</v>
      </c>
      <c r="AC31" s="9">
        <f>'2'!AO31</f>
        <v>0.28979701157361537</v>
      </c>
      <c r="AD31" s="9">
        <f>'3'!M31</f>
        <v>0.6299583065402049</v>
      </c>
      <c r="AE31" s="9">
        <f>'8'!U28</f>
        <v>0.53524784643989676</v>
      </c>
      <c r="AF31" s="9">
        <f t="shared" si="6"/>
        <v>0.45570929881332423</v>
      </c>
      <c r="AG31" s="9">
        <f t="shared" si="7"/>
        <v>0.50172183054987607</v>
      </c>
      <c r="AH31" s="9">
        <f>'1'!AW31</f>
        <v>0.32731999924413729</v>
      </c>
      <c r="AI31" s="9">
        <f>'1'!AY31</f>
        <v>0.40661800938417841</v>
      </c>
      <c r="AJ31" s="9">
        <f>'2'!AW31</f>
        <v>0.20001778841048812</v>
      </c>
      <c r="AK31" s="9">
        <f>'2'!AY31</f>
        <v>0.30238728878210164</v>
      </c>
      <c r="AL31" s="9">
        <f>'3'!P31</f>
        <v>0.57621448806619058</v>
      </c>
      <c r="AM31" s="9">
        <f>'8'!Z28</f>
        <v>0.50104280956289671</v>
      </c>
      <c r="AN31" s="9">
        <f t="shared" si="8"/>
        <v>0.40114877132092819</v>
      </c>
      <c r="AO31" s="9">
        <f t="shared" si="9"/>
        <v>0.44656564894884182</v>
      </c>
      <c r="AP31" s="9">
        <f>'1'!BG31</f>
        <v>0.36818067300640384</v>
      </c>
      <c r="AQ31" s="9">
        <f>'1'!BI31</f>
        <v>0.45179020601573178</v>
      </c>
      <c r="AR31" s="9">
        <f>'2'!BG31</f>
        <v>0.2491520854682657</v>
      </c>
      <c r="AS31" s="9">
        <f>'2'!BI31</f>
        <v>0.37401960578641658</v>
      </c>
      <c r="AT31" s="9">
        <f>'3'!S31</f>
        <v>0.58534402376911077</v>
      </c>
      <c r="AU31" s="9">
        <f>'8'!AE28</f>
        <v>0.53153495894987612</v>
      </c>
      <c r="AV31" s="9">
        <f t="shared" si="10"/>
        <v>0.4335529352984141</v>
      </c>
      <c r="AW31" s="9">
        <f t="shared" si="11"/>
        <v>0.48567219863028382</v>
      </c>
      <c r="AX31" s="9">
        <f>'1'!BQ31</f>
        <v>0.5005129155213297</v>
      </c>
      <c r="AY31" s="9">
        <f>'1'!BS31</f>
        <v>0.58540822099919088</v>
      </c>
      <c r="AZ31" s="9">
        <f>'2'!BQ31</f>
        <v>0.243171096495473</v>
      </c>
      <c r="BA31" s="9">
        <f>'2'!BS31</f>
        <v>0.36577238459546418</v>
      </c>
      <c r="BB31" s="9">
        <f>'3'!V31</f>
        <v>0.74324817823536315</v>
      </c>
      <c r="BC31" s="9">
        <f>'8'!AJ28</f>
        <v>0.5772941800331689</v>
      </c>
      <c r="BD31" s="9">
        <f t="shared" si="12"/>
        <v>0.51605659257133374</v>
      </c>
      <c r="BE31" s="9">
        <f t="shared" si="13"/>
        <v>0.56793074096579677</v>
      </c>
      <c r="BF31" s="9">
        <f>'1'!CA31</f>
        <v>0.42460178446498964</v>
      </c>
      <c r="BG31" s="9">
        <f>'1'!CC31</f>
        <v>0.51096997899795027</v>
      </c>
      <c r="BH31" s="9">
        <f>'2'!CA31</f>
        <v>0.26590867524211659</v>
      </c>
      <c r="BI31" s="9">
        <f>'2'!CC31</f>
        <v>0.39650123253664799</v>
      </c>
      <c r="BJ31" s="9">
        <f>'3'!Y31</f>
        <v>0.54619709284578843</v>
      </c>
      <c r="BK31" s="9">
        <f>'8'!AO28</f>
        <v>0.60608164859423674</v>
      </c>
      <c r="BL31" s="9">
        <f t="shared" si="14"/>
        <v>0.4606973002867828</v>
      </c>
      <c r="BM31" s="9">
        <f t="shared" si="15"/>
        <v>0.51493748824365582</v>
      </c>
      <c r="BN31" s="9">
        <f>'1'!CK31</f>
        <v>0.34608927812798596</v>
      </c>
      <c r="BO31" s="9">
        <f>'1'!CM31</f>
        <v>0.42762310050225699</v>
      </c>
      <c r="BP31" s="9">
        <f>'2'!CK31</f>
        <v>0.35023220259348753</v>
      </c>
      <c r="BQ31" s="9">
        <f>'2'!CM31</f>
        <v>0.49771984508541045</v>
      </c>
      <c r="BR31" s="9">
        <f>'3'!AB31</f>
        <v>0.4641391072665747</v>
      </c>
      <c r="BS31" s="9">
        <f>'8'!AT28</f>
        <v>0.57729079215344181</v>
      </c>
      <c r="BT31" s="9">
        <f t="shared" si="16"/>
        <v>0.43443784503537247</v>
      </c>
      <c r="BU31" s="9">
        <f t="shared" si="17"/>
        <v>0.49169321125192095</v>
      </c>
      <c r="BV31" s="9">
        <f>'1'!CU31</f>
        <v>0.50344067261904746</v>
      </c>
      <c r="BW31" s="9">
        <f>'1'!CW31</f>
        <v>0.58817041478917642</v>
      </c>
      <c r="BX31" s="9">
        <f>'2'!CU31</f>
        <v>0.38468220772343198</v>
      </c>
      <c r="BY31" s="9">
        <f>'2'!CW31</f>
        <v>0.53434463548665134</v>
      </c>
      <c r="BZ31" s="9">
        <f>'3'!AE31</f>
        <v>0.59819387818298819</v>
      </c>
      <c r="CA31" s="9">
        <f>'8'!AY28</f>
        <v>0.60999278863482242</v>
      </c>
      <c r="CB31" s="9">
        <f t="shared" si="18"/>
        <v>0.52407738679007254</v>
      </c>
      <c r="CC31" s="9">
        <f t="shared" si="19"/>
        <v>0.58267542927340965</v>
      </c>
      <c r="CD31" s="9">
        <f>'1'!DE31</f>
        <v>0.51830455403552589</v>
      </c>
      <c r="CE31" s="9">
        <f>'1'!DG31</f>
        <v>0.60207650040421556</v>
      </c>
      <c r="CF31" s="9">
        <f>'2'!DE31</f>
        <v>0.31277812030136992</v>
      </c>
      <c r="CG31" s="9">
        <f>'2'!DG31</f>
        <v>0.45499278005316973</v>
      </c>
      <c r="CH31" s="9">
        <f>'3'!AH31</f>
        <v>0.62813183103279413</v>
      </c>
      <c r="CI31" s="9">
        <f>'8'!BD28</f>
        <v>0.59283549408205594</v>
      </c>
      <c r="CJ31" s="9">
        <f t="shared" si="20"/>
        <v>0.5130124998629364</v>
      </c>
      <c r="CK31" s="9">
        <f t="shared" si="21"/>
        <v>0.5695091513930588</v>
      </c>
    </row>
    <row r="32" spans="1:89">
      <c r="A32" s="1">
        <v>1994</v>
      </c>
      <c r="B32" s="9">
        <f>'1'!I32</f>
        <v>0.4707879554041452</v>
      </c>
      <c r="C32" s="9">
        <f>'1'!K32</f>
        <v>0.55692063711279405</v>
      </c>
      <c r="D32" s="9">
        <f>'2'!I32</f>
        <v>0.27042889032161399</v>
      </c>
      <c r="E32" s="9">
        <f>'2'!K32</f>
        <v>0.40241496684723144</v>
      </c>
      <c r="F32" s="9">
        <f>'3'!D32</f>
        <v>0.63273304343063508</v>
      </c>
      <c r="G32" s="9">
        <f>'8'!F29</f>
        <v>0.57065555282292912</v>
      </c>
      <c r="H32" s="9">
        <f t="shared" si="0"/>
        <v>0.48615136049483088</v>
      </c>
      <c r="I32" s="9">
        <f t="shared" si="1"/>
        <v>0.54068105005339739</v>
      </c>
      <c r="J32" s="9">
        <f>'1'!S32</f>
        <v>0.27757566852670645</v>
      </c>
      <c r="K32" s="9">
        <f>'1'!U32</f>
        <v>0.34869958431502579</v>
      </c>
      <c r="L32" s="9">
        <f>'2'!S32</f>
        <v>0.23795497044475625</v>
      </c>
      <c r="M32" s="9">
        <f>'2'!U32</f>
        <v>0.35847973950800688</v>
      </c>
      <c r="N32" s="9">
        <f>'3'!G32</f>
        <v>0.44964490021771963</v>
      </c>
      <c r="O32" s="9">
        <f>'8'!K29</f>
        <v>0.4896761657912887</v>
      </c>
      <c r="P32" s="9">
        <f t="shared" si="2"/>
        <v>0.36371292624511775</v>
      </c>
      <c r="Q32" s="9">
        <f t="shared" si="3"/>
        <v>0.41162509745801024</v>
      </c>
      <c r="R32" s="9">
        <f>'1'!AC32</f>
        <v>0.31711266141564254</v>
      </c>
      <c r="S32" s="9">
        <f>'1'!AE32</f>
        <v>0.3950055555866237</v>
      </c>
      <c r="T32" s="9">
        <f>'2'!AC32</f>
        <v>0.159852292631428</v>
      </c>
      <c r="U32" s="9">
        <f>'2'!AE32</f>
        <v>0.2361883876511662</v>
      </c>
      <c r="V32" s="9">
        <f>'3'!J32</f>
        <v>0.87321690760793291</v>
      </c>
      <c r="W32" s="9">
        <f>'8'!P29</f>
        <v>0.49830843866634822</v>
      </c>
      <c r="X32" s="9">
        <f t="shared" si="4"/>
        <v>0.46212257508033794</v>
      </c>
      <c r="Y32" s="9">
        <f t="shared" si="5"/>
        <v>0.50067982237801778</v>
      </c>
      <c r="Z32" s="9">
        <f>'1'!AM32</f>
        <v>0.4650720912873213</v>
      </c>
      <c r="AA32" s="9">
        <f>'1'!AO32</f>
        <v>0.55134781983976899</v>
      </c>
      <c r="AB32" s="9">
        <f>'2'!AM32</f>
        <v>0.193130370726005</v>
      </c>
      <c r="AC32" s="9">
        <f>'2'!AO32</f>
        <v>0.29157524658436618</v>
      </c>
      <c r="AD32" s="9">
        <f>'3'!M32</f>
        <v>0.54544220100820917</v>
      </c>
      <c r="AE32" s="9">
        <f>'8'!U29</f>
        <v>0.53913920021720529</v>
      </c>
      <c r="AF32" s="9">
        <f t="shared" si="6"/>
        <v>0.43569596580968523</v>
      </c>
      <c r="AG32" s="9">
        <f t="shared" si="7"/>
        <v>0.48187611691238741</v>
      </c>
      <c r="AH32" s="9">
        <f>'1'!AW32</f>
        <v>0.33489440688660105</v>
      </c>
      <c r="AI32" s="9">
        <f>'1'!AY32</f>
        <v>0.41514820386383555</v>
      </c>
      <c r="AJ32" s="9">
        <f>'2'!AW32</f>
        <v>0.20508401775922594</v>
      </c>
      <c r="AK32" s="9">
        <f>'2'!AY32</f>
        <v>0.31020973685296338</v>
      </c>
      <c r="AL32" s="9">
        <f>'3'!P32</f>
        <v>0.50823481147919769</v>
      </c>
      <c r="AM32" s="9">
        <f>'8'!Z29</f>
        <v>0.49459121718787813</v>
      </c>
      <c r="AN32" s="9">
        <f t="shared" si="8"/>
        <v>0.38570111332822571</v>
      </c>
      <c r="AO32" s="9">
        <f t="shared" si="9"/>
        <v>0.43204599234596869</v>
      </c>
      <c r="AP32" s="9">
        <f>'1'!BG32</f>
        <v>0.38804205042598833</v>
      </c>
      <c r="AQ32" s="9">
        <f>'1'!BI32</f>
        <v>0.47302704079429336</v>
      </c>
      <c r="AR32" s="9">
        <f>'2'!BG32</f>
        <v>0.25435065921878725</v>
      </c>
      <c r="AS32" s="9">
        <f>'2'!BI32</f>
        <v>0.38109098008790504</v>
      </c>
      <c r="AT32" s="9">
        <f>'3'!S32</f>
        <v>0.58162708363694771</v>
      </c>
      <c r="AU32" s="9">
        <f>'8'!AE29</f>
        <v>0.54493310600669875</v>
      </c>
      <c r="AV32" s="9">
        <f t="shared" si="10"/>
        <v>0.44223822482210551</v>
      </c>
      <c r="AW32" s="9">
        <f t="shared" si="11"/>
        <v>0.49516955263146123</v>
      </c>
      <c r="AX32" s="9">
        <f>'1'!BQ32</f>
        <v>0.52297506604949962</v>
      </c>
      <c r="AY32" s="9">
        <f>'1'!BS32</f>
        <v>0.60640616987633811</v>
      </c>
      <c r="AZ32" s="9">
        <f>'2'!BQ32</f>
        <v>0.24746453953453088</v>
      </c>
      <c r="BA32" s="9">
        <f>'2'!BS32</f>
        <v>0.37170486320153934</v>
      </c>
      <c r="BB32" s="9">
        <f>'3'!V32</f>
        <v>0.72691778850627997</v>
      </c>
      <c r="BC32" s="9">
        <f>'8'!AJ29</f>
        <v>0.58469736231893121</v>
      </c>
      <c r="BD32" s="9">
        <f t="shared" si="12"/>
        <v>0.52051368910231044</v>
      </c>
      <c r="BE32" s="9">
        <f t="shared" si="13"/>
        <v>0.57243154597577217</v>
      </c>
      <c r="BF32" s="9">
        <f>'1'!CA32</f>
        <v>0.43994270390035312</v>
      </c>
      <c r="BG32" s="9">
        <f>'1'!CC32</f>
        <v>0.52646959250537551</v>
      </c>
      <c r="BH32" s="9">
        <f>'2'!CA32</f>
        <v>0.27010946210724635</v>
      </c>
      <c r="BI32" s="9">
        <f>'2'!CC32</f>
        <v>0.40199909962318942</v>
      </c>
      <c r="BJ32" s="9">
        <f>'3'!Y32</f>
        <v>0.57094678442814573</v>
      </c>
      <c r="BK32" s="9">
        <f>'8'!AO29</f>
        <v>0.57696097822295522</v>
      </c>
      <c r="BL32" s="9">
        <f t="shared" si="14"/>
        <v>0.46448998216467507</v>
      </c>
      <c r="BM32" s="9">
        <f t="shared" si="15"/>
        <v>0.51909411369491654</v>
      </c>
      <c r="BN32" s="9">
        <f>'1'!CK32</f>
        <v>0.35565706530771451</v>
      </c>
      <c r="BO32" s="9">
        <f>'1'!CM32</f>
        <v>0.43816212077215844</v>
      </c>
      <c r="BP32" s="9">
        <f>'2'!CK32</f>
        <v>0.37509014852380773</v>
      </c>
      <c r="BQ32" s="9">
        <f>'2'!CM32</f>
        <v>0.52438436937811017</v>
      </c>
      <c r="BR32" s="9">
        <f>'3'!AB32</f>
        <v>0.47567945449753046</v>
      </c>
      <c r="BS32" s="9">
        <f>'8'!AT29</f>
        <v>0.56447507635919492</v>
      </c>
      <c r="BT32" s="9">
        <f t="shared" si="16"/>
        <v>0.44272543617206195</v>
      </c>
      <c r="BU32" s="9">
        <f t="shared" si="17"/>
        <v>0.5006752552517485</v>
      </c>
      <c r="BV32" s="9">
        <f>'1'!CU32</f>
        <v>0.51245994212043267</v>
      </c>
      <c r="BW32" s="9">
        <f>'1'!CW32</f>
        <v>0.59663169899833968</v>
      </c>
      <c r="BX32" s="9">
        <f>'2'!CU32</f>
        <v>0.39162633030657706</v>
      </c>
      <c r="BY32" s="9">
        <f>'2'!CW32</f>
        <v>0.54144678386396772</v>
      </c>
      <c r="BZ32" s="9">
        <f>'3'!AE32</f>
        <v>0.64712447843980414</v>
      </c>
      <c r="CA32" s="9">
        <f>'8'!AY29</f>
        <v>0.59275983333368854</v>
      </c>
      <c r="CB32" s="9">
        <f t="shared" si="18"/>
        <v>0.53599264605012564</v>
      </c>
      <c r="CC32" s="9">
        <f t="shared" si="19"/>
        <v>0.59449069865894999</v>
      </c>
      <c r="CD32" s="9">
        <f>'1'!DE32</f>
        <v>0.53677516123955482</v>
      </c>
      <c r="CE32" s="9">
        <f>'1'!DG32</f>
        <v>0.6190900240328312</v>
      </c>
      <c r="CF32" s="9">
        <f>'2'!DE32</f>
        <v>0.32091156878904892</v>
      </c>
      <c r="CG32" s="9">
        <f>'2'!DG32</f>
        <v>0.46455123352515948</v>
      </c>
      <c r="CH32" s="9">
        <f>'3'!AH32</f>
        <v>0.61995105184944088</v>
      </c>
      <c r="CI32" s="9">
        <f>'8'!BD29</f>
        <v>0.60947598398953118</v>
      </c>
      <c r="CJ32" s="9">
        <f t="shared" si="20"/>
        <v>0.52177844146689401</v>
      </c>
      <c r="CK32" s="9">
        <f t="shared" si="21"/>
        <v>0.57826707334924066</v>
      </c>
    </row>
    <row r="33" spans="1:89">
      <c r="A33" s="1">
        <v>1995</v>
      </c>
      <c r="B33" s="9">
        <f>'1'!I33</f>
        <v>0.48340105029325475</v>
      </c>
      <c r="C33" s="9">
        <f>'1'!K33</f>
        <v>0.569108585660834</v>
      </c>
      <c r="D33" s="9">
        <f>'2'!I33</f>
        <v>0.27966740692347536</v>
      </c>
      <c r="E33" s="9">
        <f>'2'!K33</f>
        <v>0.41431150251897209</v>
      </c>
      <c r="F33" s="9">
        <f>'3'!D33</f>
        <v>0.61180974212230088</v>
      </c>
      <c r="G33" s="9">
        <f>'8'!F30</f>
        <v>0.57648328337656674</v>
      </c>
      <c r="H33" s="9">
        <f t="shared" si="0"/>
        <v>0.4878403706788994</v>
      </c>
      <c r="I33" s="9">
        <f t="shared" si="1"/>
        <v>0.5429282784196684</v>
      </c>
      <c r="J33" s="9">
        <f>'1'!S33</f>
        <v>0.2894416490761122</v>
      </c>
      <c r="K33" s="9">
        <f>'1'!U33</f>
        <v>0.36282515537337584</v>
      </c>
      <c r="L33" s="9">
        <f>'2'!S33</f>
        <v>0.26199034358642942</v>
      </c>
      <c r="M33" s="9">
        <f>'2'!U33</f>
        <v>0.39132411929185407</v>
      </c>
      <c r="N33" s="9">
        <f>'3'!G33</f>
        <v>0.38154979440299513</v>
      </c>
      <c r="O33" s="9">
        <f>'8'!K30</f>
        <v>0.50241019118959662</v>
      </c>
      <c r="P33" s="9">
        <f t="shared" si="2"/>
        <v>0.35884799456378336</v>
      </c>
      <c r="Q33" s="9">
        <f t="shared" si="3"/>
        <v>0.40952731506445539</v>
      </c>
      <c r="R33" s="9">
        <f>'1'!AC33</f>
        <v>0.32331548031576229</v>
      </c>
      <c r="S33" s="9">
        <f>'1'!AE33</f>
        <v>0.40207840392982003</v>
      </c>
      <c r="T33" s="9">
        <f>'2'!AC33</f>
        <v>0.1673345311087519</v>
      </c>
      <c r="U33" s="9">
        <f>'2'!AE33</f>
        <v>0.24912558318234432</v>
      </c>
      <c r="V33" s="9">
        <f>'3'!J33</f>
        <v>0.7597872992252922</v>
      </c>
      <c r="W33" s="9">
        <f>'8'!P30</f>
        <v>0.48897618508319179</v>
      </c>
      <c r="X33" s="9">
        <f t="shared" si="4"/>
        <v>0.43485337393324952</v>
      </c>
      <c r="Y33" s="9">
        <f t="shared" si="5"/>
        <v>0.47499186785516206</v>
      </c>
      <c r="Z33" s="9">
        <f>'1'!AM33</f>
        <v>0.48317739461380826</v>
      </c>
      <c r="AA33" s="9">
        <f>'1'!AO33</f>
        <v>0.56889376564326399</v>
      </c>
      <c r="AB33" s="9">
        <f>'2'!AM33</f>
        <v>0.2034849870365717</v>
      </c>
      <c r="AC33" s="9">
        <f>'2'!AO33</f>
        <v>0.30775250715782881</v>
      </c>
      <c r="AD33" s="9">
        <f>'3'!M33</f>
        <v>0.56626617126782153</v>
      </c>
      <c r="AE33" s="9">
        <f>'8'!U30</f>
        <v>0.55250687169514012</v>
      </c>
      <c r="AF33" s="9">
        <f t="shared" si="6"/>
        <v>0.45135885615333537</v>
      </c>
      <c r="AG33" s="9">
        <f t="shared" si="7"/>
        <v>0.49885482894101363</v>
      </c>
      <c r="AH33" s="9">
        <f>'1'!AW33</f>
        <v>0.34730560175309128</v>
      </c>
      <c r="AI33" s="9">
        <f>'1'!AY33</f>
        <v>0.4289691130490545</v>
      </c>
      <c r="AJ33" s="9">
        <f>'2'!AW33</f>
        <v>0.22997667222976872</v>
      </c>
      <c r="AK33" s="9">
        <f>'2'!AY33</f>
        <v>0.34713905794311578</v>
      </c>
      <c r="AL33" s="9">
        <f>'3'!P33</f>
        <v>0.54404786736483879</v>
      </c>
      <c r="AM33" s="9">
        <f>'8'!Z30</f>
        <v>0.5521510346434777</v>
      </c>
      <c r="AN33" s="9">
        <f t="shared" si="8"/>
        <v>0.41837029399779413</v>
      </c>
      <c r="AO33" s="9">
        <f t="shared" si="9"/>
        <v>0.46807676825012168</v>
      </c>
      <c r="AP33" s="9">
        <f>'1'!BG33</f>
        <v>0.39794716737729335</v>
      </c>
      <c r="AQ33" s="9">
        <f>'1'!BI33</f>
        <v>0.48345085198639953</v>
      </c>
      <c r="AR33" s="9">
        <f>'2'!BG33</f>
        <v>0.26904836663429765</v>
      </c>
      <c r="AS33" s="9">
        <f>'2'!BI33</f>
        <v>0.4006154352384701</v>
      </c>
      <c r="AT33" s="9">
        <f>'3'!S33</f>
        <v>0.52285638512347121</v>
      </c>
      <c r="AU33" s="9">
        <f>'8'!AE30</f>
        <v>0.55292205112947079</v>
      </c>
      <c r="AV33" s="9">
        <f t="shared" si="10"/>
        <v>0.43569349256613327</v>
      </c>
      <c r="AW33" s="9">
        <f t="shared" si="11"/>
        <v>0.48996118086945289</v>
      </c>
      <c r="AX33" s="9">
        <f>'1'!BQ33</f>
        <v>0.54030514795659623</v>
      </c>
      <c r="AY33" s="9">
        <f>'1'!BS33</f>
        <v>0.62230864127688046</v>
      </c>
      <c r="AZ33" s="9">
        <f>'2'!BQ33</f>
        <v>0.25363037668895105</v>
      </c>
      <c r="BA33" s="9">
        <f>'2'!BS33</f>
        <v>0.38011650514278272</v>
      </c>
      <c r="BB33" s="9">
        <f>'3'!V33</f>
        <v>0.72105009171460044</v>
      </c>
      <c r="BC33" s="9">
        <f>'8'!AJ30</f>
        <v>0.57225957579920972</v>
      </c>
      <c r="BD33" s="9">
        <f t="shared" si="12"/>
        <v>0.52181129803983928</v>
      </c>
      <c r="BE33" s="9">
        <f t="shared" si="13"/>
        <v>0.57393370348336825</v>
      </c>
      <c r="BF33" s="9">
        <f>'1'!CA33</f>
        <v>0.44973709011830881</v>
      </c>
      <c r="BG33" s="9">
        <f>'1'!CC33</f>
        <v>0.53624030558155589</v>
      </c>
      <c r="BH33" s="9">
        <f>'2'!CA33</f>
        <v>0.27912860320331073</v>
      </c>
      <c r="BI33" s="9">
        <f>'2'!CC33</f>
        <v>0.41362454832942447</v>
      </c>
      <c r="BJ33" s="9">
        <f>'3'!Y33</f>
        <v>0.66890068781806122</v>
      </c>
      <c r="BK33" s="9">
        <f>'8'!AO30</f>
        <v>0.61776678300884746</v>
      </c>
      <c r="BL33" s="9">
        <f t="shared" si="14"/>
        <v>0.50388329103713203</v>
      </c>
      <c r="BM33" s="9">
        <f t="shared" si="15"/>
        <v>0.55913308118447225</v>
      </c>
      <c r="BN33" s="9">
        <f>'1'!CK33</f>
        <v>0.36306438150549847</v>
      </c>
      <c r="BO33" s="9">
        <f>'1'!CM33</f>
        <v>0.44624526602323328</v>
      </c>
      <c r="BP33" s="9">
        <f>'2'!CK33</f>
        <v>0.39553219627414382</v>
      </c>
      <c r="BQ33" s="9">
        <f>'2'!CM33</f>
        <v>0.54540246382124913</v>
      </c>
      <c r="BR33" s="9">
        <f>'3'!AB33</f>
        <v>0.41795982269324999</v>
      </c>
      <c r="BS33" s="9">
        <f>'8'!AT30</f>
        <v>0.57402368115939839</v>
      </c>
      <c r="BT33" s="9">
        <f t="shared" si="16"/>
        <v>0.43764502040807268</v>
      </c>
      <c r="BU33" s="9">
        <f t="shared" si="17"/>
        <v>0.49590780842428267</v>
      </c>
      <c r="BV33" s="9">
        <f>'1'!CU33</f>
        <v>0.52296322516338223</v>
      </c>
      <c r="BW33" s="9">
        <f>'1'!CW33</f>
        <v>0.60639521693160514</v>
      </c>
      <c r="BX33" s="9">
        <f>'2'!CU33</f>
        <v>0.38173085177549065</v>
      </c>
      <c r="BY33" s="9">
        <f>'2'!CW33</f>
        <v>0.53129873651375392</v>
      </c>
      <c r="BZ33" s="9">
        <f>'3'!AE33</f>
        <v>0.64330489941391744</v>
      </c>
      <c r="CA33" s="9">
        <f>'8'!AY30</f>
        <v>0.6062359103649001</v>
      </c>
      <c r="CB33" s="9">
        <f t="shared" si="18"/>
        <v>0.53855872167942265</v>
      </c>
      <c r="CC33" s="9">
        <f t="shared" si="19"/>
        <v>0.59680869080604415</v>
      </c>
      <c r="CD33" s="9">
        <f>'1'!DE33</f>
        <v>0.5397287013939136</v>
      </c>
      <c r="CE33" s="9">
        <f>'1'!DG33</f>
        <v>0.62178375313904111</v>
      </c>
      <c r="CF33" s="9">
        <f>'2'!DE33</f>
        <v>0.33306173062269906</v>
      </c>
      <c r="CG33" s="9">
        <f>'2'!DG33</f>
        <v>0.47853413565276404</v>
      </c>
      <c r="CH33" s="9">
        <f>'3'!AH33</f>
        <v>0.60381251296966498</v>
      </c>
      <c r="CI33" s="9">
        <f>'8'!BD30</f>
        <v>0.6316327898228431</v>
      </c>
      <c r="CJ33" s="9">
        <f t="shared" si="20"/>
        <v>0.52705893370228019</v>
      </c>
      <c r="CK33" s="9">
        <f t="shared" si="21"/>
        <v>0.58394079789607822</v>
      </c>
    </row>
    <row r="34" spans="1:89">
      <c r="A34" s="1">
        <v>1996</v>
      </c>
      <c r="B34" s="9">
        <f>'1'!I34</f>
        <v>0.49807269871500515</v>
      </c>
      <c r="C34" s="9">
        <f>'1'!K34</f>
        <v>0.58310011512600657</v>
      </c>
      <c r="D34" s="9">
        <f>'2'!I34</f>
        <v>0.29092897677022855</v>
      </c>
      <c r="E34" s="9">
        <f>'2'!K34</f>
        <v>0.42848076277984837</v>
      </c>
      <c r="F34" s="9">
        <f>'3'!D34</f>
        <v>0.55444102066259571</v>
      </c>
      <c r="G34" s="9">
        <f>'8'!F31</f>
        <v>0.56373686210282115</v>
      </c>
      <c r="H34" s="9">
        <f t="shared" si="0"/>
        <v>0.47679488956266264</v>
      </c>
      <c r="I34" s="9">
        <f t="shared" si="1"/>
        <v>0.532439690167818</v>
      </c>
      <c r="J34" s="9">
        <f>'1'!S34</f>
        <v>0.29832970321722241</v>
      </c>
      <c r="K34" s="9">
        <f>'1'!U34</f>
        <v>0.37327571037274943</v>
      </c>
      <c r="L34" s="9">
        <f>'2'!S34</f>
        <v>0.27306820372706886</v>
      </c>
      <c r="M34" s="9">
        <f>'2'!U34</f>
        <v>0.40583939922634049</v>
      </c>
      <c r="N34" s="9">
        <f>'3'!G34</f>
        <v>0.3630737741339457</v>
      </c>
      <c r="O34" s="9">
        <f>'8'!K31</f>
        <v>0.49818143832306133</v>
      </c>
      <c r="P34" s="9">
        <f t="shared" si="2"/>
        <v>0.35816327985032459</v>
      </c>
      <c r="Q34" s="9">
        <f t="shared" si="3"/>
        <v>0.41009258051402425</v>
      </c>
      <c r="R34" s="9">
        <f>'1'!AC34</f>
        <v>0.34776052329327711</v>
      </c>
      <c r="S34" s="9">
        <f>'1'!AE34</f>
        <v>0.42947207181633518</v>
      </c>
      <c r="T34" s="9">
        <f>'2'!AC34</f>
        <v>0.17325125730859611</v>
      </c>
      <c r="U34" s="9">
        <f>'2'!AE34</f>
        <v>0.25914924472040052</v>
      </c>
      <c r="V34" s="9">
        <f>'3'!J34</f>
        <v>0.7285334273823153</v>
      </c>
      <c r="W34" s="9">
        <f>'8'!P31</f>
        <v>0.4779630287941774</v>
      </c>
      <c r="X34" s="9">
        <f t="shared" si="4"/>
        <v>0.43187705919459146</v>
      </c>
      <c r="Y34" s="9">
        <f t="shared" si="5"/>
        <v>0.47377944317830706</v>
      </c>
      <c r="Z34" s="9">
        <f>'1'!AM34</f>
        <v>0.47756329188992874</v>
      </c>
      <c r="AA34" s="9">
        <f>'1'!AO34</f>
        <v>0.563486179167483</v>
      </c>
      <c r="AB34" s="9">
        <f>'2'!AM34</f>
        <v>0.2076882057813666</v>
      </c>
      <c r="AC34" s="9">
        <f>'2'!AO34</f>
        <v>0.3141887469551024</v>
      </c>
      <c r="AD34" s="9">
        <f>'3'!M34</f>
        <v>0.49720139253500784</v>
      </c>
      <c r="AE34" s="9">
        <f>'8'!U31</f>
        <v>0.53104065709669301</v>
      </c>
      <c r="AF34" s="9">
        <f t="shared" si="6"/>
        <v>0.42837338682574905</v>
      </c>
      <c r="AG34" s="9">
        <f t="shared" si="7"/>
        <v>0.47647924393857155</v>
      </c>
      <c r="AH34" s="9">
        <f>'1'!AW34</f>
        <v>0.35902531597675047</v>
      </c>
      <c r="AI34" s="9">
        <f>'1'!AY34</f>
        <v>0.44184583892681822</v>
      </c>
      <c r="AJ34" s="9">
        <f>'2'!AW34</f>
        <v>0.24507566642408657</v>
      </c>
      <c r="AK34" s="9">
        <f>'2'!AY34</f>
        <v>0.36841175786582819</v>
      </c>
      <c r="AL34" s="9">
        <f>'3'!P34</f>
        <v>0.56109865164481953</v>
      </c>
      <c r="AM34" s="9">
        <f>'8'!Z31</f>
        <v>0.5520371486035125</v>
      </c>
      <c r="AN34" s="9">
        <f t="shared" si="8"/>
        <v>0.42930919566229225</v>
      </c>
      <c r="AO34" s="9">
        <f t="shared" si="9"/>
        <v>0.48084834926024461</v>
      </c>
      <c r="AP34" s="9">
        <f>'1'!BG34</f>
        <v>0.42021762001627372</v>
      </c>
      <c r="AQ34" s="9">
        <f>'1'!BI34</f>
        <v>0.50649567110699223</v>
      </c>
      <c r="AR34" s="9">
        <f>'2'!BG34</f>
        <v>0.27957372057277452</v>
      </c>
      <c r="AS34" s="9">
        <f>'2'!BI34</f>
        <v>0.4141921162597928</v>
      </c>
      <c r="AT34" s="9">
        <f>'3'!S34</f>
        <v>0.54786011088036246</v>
      </c>
      <c r="AU34" s="9">
        <f>'8'!AE31</f>
        <v>0.5498272395477658</v>
      </c>
      <c r="AV34" s="9">
        <f t="shared" si="10"/>
        <v>0.44936967275429407</v>
      </c>
      <c r="AW34" s="9">
        <f t="shared" si="11"/>
        <v>0.50459378444872827</v>
      </c>
      <c r="AX34" s="9">
        <f>'1'!BQ34</f>
        <v>0.55118973271723748</v>
      </c>
      <c r="AY34" s="9">
        <f>'1'!BS34</f>
        <v>0.63216798954013642</v>
      </c>
      <c r="AZ34" s="9">
        <f>'2'!BQ34</f>
        <v>0.25952948205783533</v>
      </c>
      <c r="BA34" s="9">
        <f>'2'!BS34</f>
        <v>0.38804815503215284</v>
      </c>
      <c r="BB34" s="9">
        <f>'3'!V34</f>
        <v>0.61022297095522682</v>
      </c>
      <c r="BC34" s="9">
        <f>'8'!AJ31</f>
        <v>0.54762996686903498</v>
      </c>
      <c r="BD34" s="9">
        <f t="shared" si="12"/>
        <v>0.49214303814983368</v>
      </c>
      <c r="BE34" s="9">
        <f t="shared" si="13"/>
        <v>0.54451727059913768</v>
      </c>
      <c r="BF34" s="9">
        <f>'1'!CA34</f>
        <v>0.46273097696448295</v>
      </c>
      <c r="BG34" s="9">
        <f>'1'!CC34</f>
        <v>0.54905624075376624</v>
      </c>
      <c r="BH34" s="9">
        <f>'2'!CA34</f>
        <v>0.2833063571434738</v>
      </c>
      <c r="BI34" s="9">
        <f>'2'!CC34</f>
        <v>0.41892917853665568</v>
      </c>
      <c r="BJ34" s="9">
        <f>'3'!Y34</f>
        <v>0.59241350433855122</v>
      </c>
      <c r="BK34" s="9">
        <f>'8'!AO31</f>
        <v>0.58486053795548831</v>
      </c>
      <c r="BL34" s="9">
        <f t="shared" si="14"/>
        <v>0.48082784410049906</v>
      </c>
      <c r="BM34" s="9">
        <f t="shared" si="15"/>
        <v>0.53631486539611539</v>
      </c>
      <c r="BN34" s="9">
        <f>'1'!CK34</f>
        <v>0.37772546104340987</v>
      </c>
      <c r="BO34" s="9">
        <f>'1'!CM34</f>
        <v>0.46205266927177635</v>
      </c>
      <c r="BP34" s="9">
        <f>'2'!CK34</f>
        <v>0.39726459152482069</v>
      </c>
      <c r="BQ34" s="9">
        <f>'2'!CM34</f>
        <v>0.54714808366108758</v>
      </c>
      <c r="BR34" s="9">
        <f>'3'!AB34</f>
        <v>0.46234355490891876</v>
      </c>
      <c r="BS34" s="9">
        <f>'8'!AT31</f>
        <v>0.59153306605404543</v>
      </c>
      <c r="BT34" s="9">
        <f t="shared" si="16"/>
        <v>0.45721666838279867</v>
      </c>
      <c r="BU34" s="9">
        <f t="shared" si="17"/>
        <v>0.51576934347395698</v>
      </c>
      <c r="BV34" s="9">
        <f>'1'!CU34</f>
        <v>0.53599961616756442</v>
      </c>
      <c r="BW34" s="9">
        <f>'1'!CW34</f>
        <v>0.6183814882192753</v>
      </c>
      <c r="BX34" s="9">
        <f>'2'!CU34</f>
        <v>0.42315713441968528</v>
      </c>
      <c r="BY34" s="9">
        <f>'2'!CW34</f>
        <v>0.57261239575265821</v>
      </c>
      <c r="BZ34" s="9">
        <f>'3'!AE34</f>
        <v>0.57518452083121474</v>
      </c>
      <c r="CA34" s="9">
        <f>'8'!AY31</f>
        <v>0.61972737869565075</v>
      </c>
      <c r="CB34" s="9">
        <f t="shared" si="18"/>
        <v>0.53851716252852877</v>
      </c>
      <c r="CC34" s="9">
        <f t="shared" si="19"/>
        <v>0.59647644587469983</v>
      </c>
      <c r="CD34" s="9">
        <f>'1'!DE34</f>
        <v>0.56183546143676799</v>
      </c>
      <c r="CE34" s="9">
        <f>'1'!DG34</f>
        <v>0.64171725328522589</v>
      </c>
      <c r="CF34" s="9">
        <f>'2'!DE34</f>
        <v>0.34720763513546604</v>
      </c>
      <c r="CG34" s="9">
        <f>'2'!DG34</f>
        <v>0.49438744777848498</v>
      </c>
      <c r="CH34" s="9">
        <f>'3'!AH34</f>
        <v>0.51395296039029437</v>
      </c>
      <c r="CI34" s="9">
        <f>'8'!BD31</f>
        <v>0.60974369887350299</v>
      </c>
      <c r="CJ34" s="9">
        <f t="shared" si="20"/>
        <v>0.50818493895900785</v>
      </c>
      <c r="CK34" s="9">
        <f t="shared" si="21"/>
        <v>0.56495034008187706</v>
      </c>
    </row>
    <row r="35" spans="1:89">
      <c r="A35" s="1">
        <v>1997</v>
      </c>
      <c r="B35" s="9">
        <f>'1'!I35</f>
        <v>0.52409770210052486</v>
      </c>
      <c r="C35" s="9">
        <f>'1'!K35</f>
        <v>0.6074440720427291</v>
      </c>
      <c r="D35" s="9">
        <f>'2'!I35</f>
        <v>0.30185091473476916</v>
      </c>
      <c r="E35" s="9">
        <f>'2'!K35</f>
        <v>0.44188982405547639</v>
      </c>
      <c r="F35" s="9">
        <f>'3'!D35</f>
        <v>0.52192430097487674</v>
      </c>
      <c r="G35" s="9">
        <f>'8'!F32</f>
        <v>0.56279919499675102</v>
      </c>
      <c r="H35" s="9">
        <f t="shared" si="0"/>
        <v>0.47766802820173043</v>
      </c>
      <c r="I35" s="9">
        <f t="shared" si="1"/>
        <v>0.53351434801745823</v>
      </c>
      <c r="J35" s="9">
        <f>'1'!S35</f>
        <v>0.31298798306272024</v>
      </c>
      <c r="K35" s="9">
        <f>'1'!U35</f>
        <v>0.39027430719058248</v>
      </c>
      <c r="L35" s="9">
        <f>'2'!S35</f>
        <v>0.28937920209203533</v>
      </c>
      <c r="M35" s="9">
        <f>'2'!U35</f>
        <v>0.42655190223942346</v>
      </c>
      <c r="N35" s="9">
        <f>'3'!G35</f>
        <v>0.41654095690631732</v>
      </c>
      <c r="O35" s="9">
        <f>'8'!K32</f>
        <v>0.52646947167375102</v>
      </c>
      <c r="P35" s="9">
        <f t="shared" si="2"/>
        <v>0.38634440343370596</v>
      </c>
      <c r="Q35" s="9">
        <f t="shared" si="3"/>
        <v>0.43995915950251857</v>
      </c>
      <c r="R35" s="9">
        <f>'1'!AC35</f>
        <v>0.39906276422322268</v>
      </c>
      <c r="S35" s="9">
        <f>'1'!AE35</f>
        <v>0.48461804542051062</v>
      </c>
      <c r="T35" s="9">
        <f>'2'!AC35</f>
        <v>0.18192223587520631</v>
      </c>
      <c r="U35" s="9">
        <f>'2'!AE35</f>
        <v>0.27352347082747241</v>
      </c>
      <c r="V35" s="9">
        <f>'3'!J35</f>
        <v>0.70131937046937987</v>
      </c>
      <c r="W35" s="9">
        <f>'8'!P32</f>
        <v>0.45044417570070183</v>
      </c>
      <c r="X35" s="9">
        <f t="shared" si="4"/>
        <v>0.43318713656712765</v>
      </c>
      <c r="Y35" s="9">
        <f t="shared" si="5"/>
        <v>0.47747626560451617</v>
      </c>
      <c r="Z35" s="9">
        <f>'1'!AM35</f>
        <v>0.49540636560141593</v>
      </c>
      <c r="AA35" s="9">
        <f>'1'!AO35</f>
        <v>0.58057198916173713</v>
      </c>
      <c r="AB35" s="9">
        <f>'2'!AM35</f>
        <v>0.21656613232070399</v>
      </c>
      <c r="AC35" s="9">
        <f>'2'!AO35</f>
        <v>0.32754577240507782</v>
      </c>
      <c r="AD35" s="9">
        <f>'3'!M35</f>
        <v>0.45299691639277045</v>
      </c>
      <c r="AE35" s="9">
        <f>'8'!U32</f>
        <v>0.50837444691641598</v>
      </c>
      <c r="AF35" s="9">
        <f t="shared" si="6"/>
        <v>0.41833596530782657</v>
      </c>
      <c r="AG35" s="9">
        <f t="shared" si="7"/>
        <v>0.46737228121900037</v>
      </c>
      <c r="AH35" s="9">
        <f>'1'!AW35</f>
        <v>0.3776320805114618</v>
      </c>
      <c r="AI35" s="9">
        <f>'1'!AY35</f>
        <v>0.46195277916845578</v>
      </c>
      <c r="AJ35" s="9">
        <f>'2'!AW35</f>
        <v>0.25870349116934471</v>
      </c>
      <c r="AK35" s="9">
        <f>'2'!AY35</f>
        <v>0.38694428161096811</v>
      </c>
      <c r="AL35" s="9">
        <f>'3'!P35</f>
        <v>0.50505863951229335</v>
      </c>
      <c r="AM35" s="9">
        <f>'8'!Z32</f>
        <v>0.51249717927068839</v>
      </c>
      <c r="AN35" s="9">
        <f t="shared" si="8"/>
        <v>0.41347284761594705</v>
      </c>
      <c r="AO35" s="9">
        <f t="shared" si="9"/>
        <v>0.46661321989060145</v>
      </c>
      <c r="AP35" s="9">
        <f>'1'!BG35</f>
        <v>0.43637490854377176</v>
      </c>
      <c r="AQ35" s="9">
        <f>'1'!BI35</f>
        <v>0.52288640840965583</v>
      </c>
      <c r="AR35" s="9">
        <f>'2'!BG35</f>
        <v>0.29276113138129567</v>
      </c>
      <c r="AS35" s="9">
        <f>'2'!BI35</f>
        <v>0.43075257275779033</v>
      </c>
      <c r="AT35" s="9">
        <f>'3'!S35</f>
        <v>0.47277954792006055</v>
      </c>
      <c r="AU35" s="9">
        <f>'8'!AE32</f>
        <v>0.54261499745484643</v>
      </c>
      <c r="AV35" s="9">
        <f t="shared" si="10"/>
        <v>0.4361326463249936</v>
      </c>
      <c r="AW35" s="9">
        <f t="shared" si="11"/>
        <v>0.49225838163558827</v>
      </c>
      <c r="AX35" s="9">
        <f>'1'!BQ35</f>
        <v>0.58419461992966959</v>
      </c>
      <c r="AY35" s="9">
        <f>'1'!BS35</f>
        <v>0.6614795811277695</v>
      </c>
      <c r="AZ35" s="9">
        <f>'2'!BQ35</f>
        <v>0.2675791276542438</v>
      </c>
      <c r="BA35" s="9">
        <f>'2'!BS35</f>
        <v>0.39869391436511104</v>
      </c>
      <c r="BB35" s="9">
        <f>'3'!V35</f>
        <v>0.59175290896799237</v>
      </c>
      <c r="BC35" s="9">
        <f>'8'!AJ32</f>
        <v>0.55339924682750474</v>
      </c>
      <c r="BD35" s="9">
        <f t="shared" si="12"/>
        <v>0.49923147584485261</v>
      </c>
      <c r="BE35" s="9">
        <f t="shared" si="13"/>
        <v>0.55133141282209441</v>
      </c>
      <c r="BF35" s="9">
        <f>'1'!CA35</f>
        <v>0.48694301949763352</v>
      </c>
      <c r="BG35" s="9">
        <f>'1'!CC35</f>
        <v>0.57250444922922139</v>
      </c>
      <c r="BH35" s="9">
        <f>'2'!CA35</f>
        <v>0.29222782408990738</v>
      </c>
      <c r="BI35" s="9">
        <f>'2'!CC35</f>
        <v>0.43009223622952647</v>
      </c>
      <c r="BJ35" s="9">
        <f>'3'!Y35</f>
        <v>0.56982569542518924</v>
      </c>
      <c r="BK35" s="9">
        <f>'8'!AO32</f>
        <v>0.57279832219417537</v>
      </c>
      <c r="BL35" s="9">
        <f t="shared" si="14"/>
        <v>0.48044871530172639</v>
      </c>
      <c r="BM35" s="9">
        <f t="shared" si="15"/>
        <v>0.53630517576952808</v>
      </c>
      <c r="BN35" s="9">
        <f>'1'!CK35</f>
        <v>0.40754346280351528</v>
      </c>
      <c r="BO35" s="9">
        <f>'1'!CM35</f>
        <v>0.49344642794837229</v>
      </c>
      <c r="BP35" s="9">
        <f>'2'!CK35</f>
        <v>0.40802956252027583</v>
      </c>
      <c r="BQ35" s="9">
        <f>'2'!CM35</f>
        <v>0.55787542420808411</v>
      </c>
      <c r="BR35" s="9">
        <f>'3'!AB35</f>
        <v>0.58067232722745243</v>
      </c>
      <c r="BS35" s="9">
        <f>'8'!AT32</f>
        <v>0.58770582509077951</v>
      </c>
      <c r="BT35" s="9">
        <f t="shared" si="16"/>
        <v>0.49598779441050578</v>
      </c>
      <c r="BU35" s="9">
        <f t="shared" si="17"/>
        <v>0.55492500111867205</v>
      </c>
      <c r="BV35" s="9">
        <f>'1'!CU35</f>
        <v>0.57368774764415209</v>
      </c>
      <c r="BW35" s="9">
        <f>'1'!CW35</f>
        <v>0.6522419330557907</v>
      </c>
      <c r="BX35" s="9">
        <f>'2'!CU35</f>
        <v>0.43353368510349943</v>
      </c>
      <c r="BY35" s="9">
        <f>'2'!CW35</f>
        <v>0.58250220642813555</v>
      </c>
      <c r="BZ35" s="9">
        <f>'3'!AE35</f>
        <v>0.55229385894406235</v>
      </c>
      <c r="CA35" s="9">
        <f>'8'!AY32</f>
        <v>0.61944656978451196</v>
      </c>
      <c r="CB35" s="9">
        <f t="shared" si="18"/>
        <v>0.5447404653690564</v>
      </c>
      <c r="CC35" s="9">
        <f t="shared" si="19"/>
        <v>0.60162114205312511</v>
      </c>
      <c r="CD35" s="9">
        <f>'1'!DE35</f>
        <v>0.58400882809251697</v>
      </c>
      <c r="CE35" s="9">
        <f>'1'!DG35</f>
        <v>0.66131697657352795</v>
      </c>
      <c r="CF35" s="9">
        <f>'2'!DE35</f>
        <v>0.36129966195937352</v>
      </c>
      <c r="CG35" s="9">
        <f>'2'!DG35</f>
        <v>0.50974806900429293</v>
      </c>
      <c r="CH35" s="9">
        <f>'3'!AH35</f>
        <v>0.47343257061401095</v>
      </c>
      <c r="CI35" s="9">
        <f>'8'!BD32</f>
        <v>0.60848724958557066</v>
      </c>
      <c r="CJ35" s="9">
        <f t="shared" si="20"/>
        <v>0.50680707756286802</v>
      </c>
      <c r="CK35" s="9">
        <f t="shared" si="21"/>
        <v>0.56324621644435058</v>
      </c>
    </row>
    <row r="36" spans="1:89">
      <c r="A36" s="1">
        <v>1998</v>
      </c>
      <c r="B36" s="9">
        <f>'1'!I36</f>
        <v>0.55382919037071332</v>
      </c>
      <c r="C36" s="9">
        <f>'1'!K36</f>
        <v>0.63454416504784661</v>
      </c>
      <c r="D36" s="9">
        <f>'2'!I36</f>
        <v>0.30286039128744413</v>
      </c>
      <c r="E36" s="9">
        <f>'2'!K36</f>
        <v>0.44311318343970818</v>
      </c>
      <c r="F36" s="9">
        <f>'3'!D36</f>
        <v>0.51388214754238271</v>
      </c>
      <c r="G36" s="9">
        <f>'8'!F33</f>
        <v>0.56631444600833059</v>
      </c>
      <c r="H36" s="9">
        <f t="shared" si="0"/>
        <v>0.48422154380221771</v>
      </c>
      <c r="I36" s="9">
        <f t="shared" si="1"/>
        <v>0.53946348550956702</v>
      </c>
      <c r="J36" s="9">
        <f>'1'!S36</f>
        <v>0.3676298882097111</v>
      </c>
      <c r="K36" s="9">
        <f>'1'!U36</f>
        <v>0.45119476011941406</v>
      </c>
      <c r="L36" s="9">
        <f>'2'!S36</f>
        <v>0.3075984438103615</v>
      </c>
      <c r="M36" s="9">
        <f>'2'!U36</f>
        <v>0.4488198112276327</v>
      </c>
      <c r="N36" s="9">
        <f>'3'!G36</f>
        <v>0.35710490721493937</v>
      </c>
      <c r="O36" s="9">
        <f>'8'!K33</f>
        <v>0.49442751104606053</v>
      </c>
      <c r="P36" s="9">
        <f t="shared" si="2"/>
        <v>0.38169018757026812</v>
      </c>
      <c r="Q36" s="9">
        <f t="shared" si="3"/>
        <v>0.43788674740201167</v>
      </c>
      <c r="R36" s="9">
        <f>'1'!AC36</f>
        <v>0.41535381927562864</v>
      </c>
      <c r="S36" s="9">
        <f>'1'!AE36</f>
        <v>0.50150817357588329</v>
      </c>
      <c r="T36" s="9">
        <f>'2'!AC36</f>
        <v>0.18587969157102738</v>
      </c>
      <c r="U36" s="9">
        <f>'2'!AE36</f>
        <v>0.27996372934278435</v>
      </c>
      <c r="V36" s="9">
        <f>'3'!J36</f>
        <v>0.74429299956676298</v>
      </c>
      <c r="W36" s="9">
        <f>'8'!P33</f>
        <v>0.45776943603870024</v>
      </c>
      <c r="X36" s="9">
        <f t="shared" si="4"/>
        <v>0.4508239866130298</v>
      </c>
      <c r="Y36" s="9">
        <f t="shared" si="5"/>
        <v>0.49588358463103266</v>
      </c>
      <c r="Z36" s="9">
        <f>'1'!AM36</f>
        <v>0.52222617770002555</v>
      </c>
      <c r="AA36" s="9">
        <f>'1'!AO36</f>
        <v>0.605713202452412</v>
      </c>
      <c r="AB36" s="9">
        <f>'2'!AM36</f>
        <v>0.22278556129178911</v>
      </c>
      <c r="AC36" s="9">
        <f>'2'!AO36</f>
        <v>0.33671754908641482</v>
      </c>
      <c r="AD36" s="9">
        <f>'3'!M36</f>
        <v>0.41713841196504475</v>
      </c>
      <c r="AE36" s="9">
        <f>'8'!U33</f>
        <v>0.51107584277856177</v>
      </c>
      <c r="AF36" s="9">
        <f t="shared" si="6"/>
        <v>0.41830649843385531</v>
      </c>
      <c r="AG36" s="9">
        <f t="shared" si="7"/>
        <v>0.46766125157060834</v>
      </c>
      <c r="AH36" s="9">
        <f>'1'!AW36</f>
        <v>0.41105147910938672</v>
      </c>
      <c r="AI36" s="9">
        <f>'1'!AY36</f>
        <v>0.49707544999915182</v>
      </c>
      <c r="AJ36" s="9">
        <f>'2'!AW36</f>
        <v>0.26684587271975196</v>
      </c>
      <c r="AK36" s="9">
        <f>'2'!AY36</f>
        <v>0.39773247650837679</v>
      </c>
      <c r="AL36" s="9">
        <f>'3'!P36</f>
        <v>0.52108755349613367</v>
      </c>
      <c r="AM36" s="9">
        <f>'8'!Z33</f>
        <v>0.52628654345046377</v>
      </c>
      <c r="AN36" s="9">
        <f t="shared" si="8"/>
        <v>0.43131786219393403</v>
      </c>
      <c r="AO36" s="9">
        <f t="shared" si="9"/>
        <v>0.48554550586353151</v>
      </c>
      <c r="AP36" s="9">
        <f>'1'!BG36</f>
        <v>0.46405455932897854</v>
      </c>
      <c r="AQ36" s="9">
        <f>'1'!BI36</f>
        <v>0.55035246699867446</v>
      </c>
      <c r="AR36" s="9">
        <f>'2'!BG36</f>
        <v>0.29778306670670068</v>
      </c>
      <c r="AS36" s="9">
        <f>'2'!BI36</f>
        <v>0.43693294830357904</v>
      </c>
      <c r="AT36" s="9">
        <f>'3'!S36</f>
        <v>0.51405399737165869</v>
      </c>
      <c r="AU36" s="9">
        <f>'8'!AE33</f>
        <v>0.56627056965767741</v>
      </c>
      <c r="AV36" s="9">
        <f t="shared" si="10"/>
        <v>0.46054054826625379</v>
      </c>
      <c r="AW36" s="9">
        <f t="shared" si="11"/>
        <v>0.51690249558289736</v>
      </c>
      <c r="AX36" s="9">
        <f>'1'!BQ36</f>
        <v>0.61761527515092574</v>
      </c>
      <c r="AY36" s="9">
        <f>'1'!BS36</f>
        <v>0.69030464259066793</v>
      </c>
      <c r="AZ36" s="9">
        <f>'2'!BQ36</f>
        <v>0.26934092976383051</v>
      </c>
      <c r="BA36" s="9">
        <f>'2'!BS36</f>
        <v>0.40099727653848394</v>
      </c>
      <c r="BB36" s="9">
        <f>'3'!V36</f>
        <v>0.59687182615392664</v>
      </c>
      <c r="BC36" s="9">
        <f>'8'!AJ33</f>
        <v>0.554258491625782</v>
      </c>
      <c r="BD36" s="9">
        <f t="shared" si="12"/>
        <v>0.50952163067361622</v>
      </c>
      <c r="BE36" s="9">
        <f t="shared" si="13"/>
        <v>0.56060805922721513</v>
      </c>
      <c r="BF36" s="9">
        <f>'1'!CA36</f>
        <v>0.50160515315104226</v>
      </c>
      <c r="BG36" s="9">
        <f>'1'!CC36</f>
        <v>0.5864395913609658</v>
      </c>
      <c r="BH36" s="9">
        <f>'2'!CA36</f>
        <v>0.29460233054373774</v>
      </c>
      <c r="BI36" s="9">
        <f>'2'!CC36</f>
        <v>0.43302638775387681</v>
      </c>
      <c r="BJ36" s="9">
        <f>'3'!Y36</f>
        <v>0.51948056494683947</v>
      </c>
      <c r="BK36" s="9">
        <f>'8'!AO33</f>
        <v>0.60376125618948739</v>
      </c>
      <c r="BL36" s="9">
        <f t="shared" si="14"/>
        <v>0.47986232620777669</v>
      </c>
      <c r="BM36" s="9">
        <f t="shared" si="15"/>
        <v>0.53567695006279237</v>
      </c>
      <c r="BN36" s="9">
        <f>'1'!CK36</f>
        <v>0.43038322958225916</v>
      </c>
      <c r="BO36" s="9">
        <f>'1'!CM36</f>
        <v>0.51683965844058699</v>
      </c>
      <c r="BP36" s="9">
        <f>'2'!CK36</f>
        <v>0.3964654452790094</v>
      </c>
      <c r="BQ36" s="9">
        <f>'2'!CM36</f>
        <v>0.54634351029353634</v>
      </c>
      <c r="BR36" s="9">
        <f>'3'!AB36</f>
        <v>0.48472140096128324</v>
      </c>
      <c r="BS36" s="9">
        <f>'8'!AT33</f>
        <v>0.63910218981792299</v>
      </c>
      <c r="BT36" s="9">
        <f t="shared" si="16"/>
        <v>0.48766806641011873</v>
      </c>
      <c r="BU36" s="9">
        <f t="shared" si="17"/>
        <v>0.54675168987833245</v>
      </c>
      <c r="BV36" s="9">
        <f>'1'!CU36</f>
        <v>0.60505800788423514</v>
      </c>
      <c r="BW36" s="9">
        <f>'1'!CW36</f>
        <v>0.67957193585016906</v>
      </c>
      <c r="BX36" s="9">
        <f>'2'!CU36</f>
        <v>0.40115014012401523</v>
      </c>
      <c r="BY36" s="9">
        <f>'2'!CW36</f>
        <v>0.55104369559046251</v>
      </c>
      <c r="BZ36" s="9">
        <f>'3'!AE36</f>
        <v>0.51925792409373972</v>
      </c>
      <c r="CA36" s="9">
        <f>'8'!AY33</f>
        <v>0.64091865863076258</v>
      </c>
      <c r="CB36" s="9">
        <f t="shared" si="18"/>
        <v>0.5415961826831881</v>
      </c>
      <c r="CC36" s="9">
        <f t="shared" si="19"/>
        <v>0.59769805354128347</v>
      </c>
      <c r="CD36" s="9">
        <f>'1'!DE36</f>
        <v>0.61579884007801267</v>
      </c>
      <c r="CE36" s="9">
        <f>'1'!DG36</f>
        <v>0.68875928824316535</v>
      </c>
      <c r="CF36" s="9">
        <f>'2'!DE36</f>
        <v>0.36934787131137803</v>
      </c>
      <c r="CG36" s="9">
        <f>'2'!DG36</f>
        <v>0.51833612498364889</v>
      </c>
      <c r="CH36" s="9">
        <f>'3'!AH36</f>
        <v>0.41092854669338014</v>
      </c>
      <c r="CI36" s="9">
        <f>'8'!BD33</f>
        <v>0.55879161033963654</v>
      </c>
      <c r="CJ36" s="9">
        <f t="shared" si="20"/>
        <v>0.48871671710560183</v>
      </c>
      <c r="CK36" s="9">
        <f t="shared" si="21"/>
        <v>0.54420389256495771</v>
      </c>
    </row>
    <row r="37" spans="1:89">
      <c r="A37" s="1">
        <v>1999</v>
      </c>
      <c r="B37" s="9">
        <f>'1'!I37</f>
        <v>0.57870379700417096</v>
      </c>
      <c r="C37" s="9">
        <f>'1'!K37</f>
        <v>0.65666276223548392</v>
      </c>
      <c r="D37" s="9">
        <f>'2'!I37</f>
        <v>0.32161106042480536</v>
      </c>
      <c r="E37" s="9">
        <f>'2'!K37</f>
        <v>0.46536574007449821</v>
      </c>
      <c r="F37" s="9">
        <f>'3'!D37</f>
        <v>0.50846554511032127</v>
      </c>
      <c r="G37" s="9">
        <f>'8'!F34</f>
        <v>0.57033085877621292</v>
      </c>
      <c r="H37" s="9">
        <f t="shared" si="0"/>
        <v>0.49477781532887766</v>
      </c>
      <c r="I37" s="9">
        <f t="shared" si="1"/>
        <v>0.5502062265491291</v>
      </c>
      <c r="J37" s="9">
        <f>'1'!S37</f>
        <v>0.4133066520219208</v>
      </c>
      <c r="K37" s="9">
        <f>'1'!U37</f>
        <v>0.49940143260552117</v>
      </c>
      <c r="L37" s="9">
        <f>'2'!S37</f>
        <v>0.35546528639434349</v>
      </c>
      <c r="M37" s="9">
        <f>'2'!U37</f>
        <v>0.50343929315893721</v>
      </c>
      <c r="N37" s="9">
        <f>'3'!G37</f>
        <v>0.29417997146002983</v>
      </c>
      <c r="O37" s="9">
        <f>'8'!K34</f>
        <v>0.50486892942479578</v>
      </c>
      <c r="P37" s="9">
        <f t="shared" si="2"/>
        <v>0.39195520982527254</v>
      </c>
      <c r="Q37" s="9">
        <f t="shared" si="3"/>
        <v>0.45047240666232102</v>
      </c>
      <c r="R37" s="9">
        <f>'1'!AC37</f>
        <v>0.46549630466318914</v>
      </c>
      <c r="S37" s="9">
        <f>'1'!AE37</f>
        <v>0.55176249230556451</v>
      </c>
      <c r="T37" s="9">
        <f>'2'!AC37</f>
        <v>0.19462809022624322</v>
      </c>
      <c r="U37" s="9">
        <f>'2'!AE37</f>
        <v>0.29394415848413524</v>
      </c>
      <c r="V37" s="9">
        <f>'3'!J37</f>
        <v>0.55400788436464887</v>
      </c>
      <c r="W37" s="9">
        <f>'8'!P34</f>
        <v>0.45007923326342253</v>
      </c>
      <c r="X37" s="9">
        <f t="shared" si="4"/>
        <v>0.41605287812937597</v>
      </c>
      <c r="Y37" s="9">
        <f t="shared" si="5"/>
        <v>0.4624484421044428</v>
      </c>
      <c r="Z37" s="9">
        <f>'1'!AM37</f>
        <v>0.56241420575957657</v>
      </c>
      <c r="AA37" s="9">
        <f>'1'!AO37</f>
        <v>0.64223376826457823</v>
      </c>
      <c r="AB37" s="9">
        <f>'2'!AM37</f>
        <v>0.22970007146667343</v>
      </c>
      <c r="AC37" s="9">
        <f>'2'!AO37</f>
        <v>0.34674175403445234</v>
      </c>
      <c r="AD37" s="9">
        <f>'3'!M37</f>
        <v>0.46894472368148532</v>
      </c>
      <c r="AE37" s="9">
        <f>'8'!U34</f>
        <v>0.57628755763399309</v>
      </c>
      <c r="AF37" s="9">
        <f t="shared" si="6"/>
        <v>0.45933663963543203</v>
      </c>
      <c r="AG37" s="9">
        <f t="shared" si="7"/>
        <v>0.50855195090362726</v>
      </c>
      <c r="AH37" s="9">
        <f>'1'!AW37</f>
        <v>0.45169032682381477</v>
      </c>
      <c r="AI37" s="9">
        <f>'1'!AY37</f>
        <v>0.53817738189694364</v>
      </c>
      <c r="AJ37" s="9">
        <f>'2'!AW37</f>
        <v>0.28011198509709245</v>
      </c>
      <c r="AK37" s="9">
        <f>'2'!AY37</f>
        <v>0.41487769144639858</v>
      </c>
      <c r="AL37" s="9">
        <f>'3'!P37</f>
        <v>0.51328009062633184</v>
      </c>
      <c r="AM37" s="9">
        <f>'8'!Z34</f>
        <v>0.51798825550025662</v>
      </c>
      <c r="AN37" s="9">
        <f t="shared" si="8"/>
        <v>0.44076766451187394</v>
      </c>
      <c r="AO37" s="9">
        <f t="shared" si="9"/>
        <v>0.49608085486748271</v>
      </c>
      <c r="AP37" s="9">
        <f>'1'!BG37</f>
        <v>0.48723200500675606</v>
      </c>
      <c r="AQ37" s="9">
        <f>'1'!BI37</f>
        <v>0.57278100268078125</v>
      </c>
      <c r="AR37" s="9">
        <f>'2'!BG37</f>
        <v>0.30800298892170802</v>
      </c>
      <c r="AS37" s="9">
        <f>'2'!BI37</f>
        <v>0.4493043822477249</v>
      </c>
      <c r="AT37" s="9">
        <f>'3'!S37</f>
        <v>0.54764451844164452</v>
      </c>
      <c r="AU37" s="9">
        <f>'8'!AE34</f>
        <v>0.56863694137594634</v>
      </c>
      <c r="AV37" s="9">
        <f t="shared" si="10"/>
        <v>0.47787911343651368</v>
      </c>
      <c r="AW37" s="9">
        <f t="shared" si="11"/>
        <v>0.53459171118652427</v>
      </c>
      <c r="AX37" s="9">
        <f>'1'!BQ37</f>
        <v>0.64566743464818133</v>
      </c>
      <c r="AY37" s="9">
        <f>'1'!BS37</f>
        <v>0.71387011357934815</v>
      </c>
      <c r="AZ37" s="9">
        <f>'2'!BQ37</f>
        <v>0.28106565278443429</v>
      </c>
      <c r="BA37" s="9">
        <f>'2'!BS37</f>
        <v>0.41609030735225883</v>
      </c>
      <c r="BB37" s="9">
        <f>'3'!V37</f>
        <v>0.56094066979968427</v>
      </c>
      <c r="BC37" s="9">
        <f>'8'!AJ34</f>
        <v>0.56267555644556888</v>
      </c>
      <c r="BD37" s="9">
        <f t="shared" si="12"/>
        <v>0.51258732841946719</v>
      </c>
      <c r="BE37" s="9">
        <f t="shared" si="13"/>
        <v>0.56339416179421498</v>
      </c>
      <c r="BF37" s="9">
        <f>'1'!CA37</f>
        <v>0.5268606498470787</v>
      </c>
      <c r="BG37" s="9">
        <f>'1'!CC37</f>
        <v>0.60999387062791222</v>
      </c>
      <c r="BH37" s="9">
        <f>'2'!CA37</f>
        <v>0.30426274544837378</v>
      </c>
      <c r="BI37" s="9">
        <f>'2'!CC37</f>
        <v>0.44480825621729708</v>
      </c>
      <c r="BJ37" s="9">
        <f>'3'!Y37</f>
        <v>0.47704794118096033</v>
      </c>
      <c r="BK37" s="9">
        <f>'8'!AO34</f>
        <v>0.55423718859588789</v>
      </c>
      <c r="BL37" s="9">
        <f t="shared" si="14"/>
        <v>0.46560213126807515</v>
      </c>
      <c r="BM37" s="9">
        <f t="shared" si="15"/>
        <v>0.52152181415551435</v>
      </c>
      <c r="BN37" s="9">
        <f>'1'!CK37</f>
        <v>0.44570382870967756</v>
      </c>
      <c r="BO37" s="9">
        <f>'1'!CM37</f>
        <v>0.53222842306246443</v>
      </c>
      <c r="BP37" s="9">
        <f>'2'!CK37</f>
        <v>0.43376404841294114</v>
      </c>
      <c r="BQ37" s="9">
        <f>'2'!CM37</f>
        <v>0.58271980216446551</v>
      </c>
      <c r="BR37" s="9">
        <f>'3'!AB37</f>
        <v>0.54691185781896579</v>
      </c>
      <c r="BS37" s="9">
        <f>'8'!AT34</f>
        <v>0.61130209045433137</v>
      </c>
      <c r="BT37" s="9">
        <f t="shared" si="16"/>
        <v>0.50942045634897903</v>
      </c>
      <c r="BU37" s="9">
        <f t="shared" si="17"/>
        <v>0.5682905433750568</v>
      </c>
      <c r="BV37" s="9">
        <f>'1'!CU37</f>
        <v>0.62148496077463289</v>
      </c>
      <c r="BW37" s="9">
        <f>'1'!CW37</f>
        <v>0.69358883188620124</v>
      </c>
      <c r="BX37" s="9">
        <f>'2'!CU37</f>
        <v>0.48247866513571297</v>
      </c>
      <c r="BY37" s="9">
        <f>'2'!CW37</f>
        <v>0.62694018085242942</v>
      </c>
      <c r="BZ37" s="9">
        <f>'3'!AE37</f>
        <v>0.56297404581095867</v>
      </c>
      <c r="CA37" s="9">
        <f>'8'!AY34</f>
        <v>0.64008680591641787</v>
      </c>
      <c r="CB37" s="9">
        <f t="shared" si="18"/>
        <v>0.57675611940943061</v>
      </c>
      <c r="CC37" s="9">
        <f t="shared" si="19"/>
        <v>0.63089746611650177</v>
      </c>
      <c r="CD37" s="9">
        <f>'1'!DE37</f>
        <v>0.63710844007810286</v>
      </c>
      <c r="CE37" s="9">
        <f>'1'!DG37</f>
        <v>0.7067391225024624</v>
      </c>
      <c r="CF37" s="9">
        <f>'2'!DE37</f>
        <v>0.38172764205768306</v>
      </c>
      <c r="CG37" s="9">
        <f>'2'!DG37</f>
        <v>0.53129541497825494</v>
      </c>
      <c r="CH37" s="9">
        <f>'3'!AH37</f>
        <v>0.37930919750538505</v>
      </c>
      <c r="CI37" s="9">
        <f>'8'!BD34</f>
        <v>0.57089648141486704</v>
      </c>
      <c r="CJ37" s="9">
        <f t="shared" si="20"/>
        <v>0.4922604402640095</v>
      </c>
      <c r="CK37" s="9">
        <f t="shared" si="21"/>
        <v>0.54706005410024239</v>
      </c>
    </row>
    <row r="38" spans="1:89">
      <c r="A38" s="1">
        <v>2000</v>
      </c>
      <c r="B38" s="9">
        <f>'1'!I38</f>
        <v>0.60769764491524347</v>
      </c>
      <c r="C38" s="9">
        <f>'1'!K38</f>
        <v>0.6818376801695516</v>
      </c>
      <c r="D38" s="9">
        <f>'2'!I38</f>
        <v>0.35005266596543333</v>
      </c>
      <c r="E38" s="9">
        <f>'2'!K38</f>
        <v>0.49752258627761098</v>
      </c>
      <c r="F38" s="9">
        <f>'3'!D38</f>
        <v>0.50214776087536384</v>
      </c>
      <c r="G38" s="9">
        <f>'8'!F35</f>
        <v>0.57886134779821263</v>
      </c>
      <c r="H38" s="9">
        <f t="shared" si="0"/>
        <v>0.50968985488856333</v>
      </c>
      <c r="I38" s="9">
        <f t="shared" si="1"/>
        <v>0.5650923437801848</v>
      </c>
      <c r="J38" s="9">
        <f>'1'!S38</f>
        <v>0.44040329454067229</v>
      </c>
      <c r="K38" s="9">
        <f>'1'!U38</f>
        <v>0.52693122937461123</v>
      </c>
      <c r="L38" s="9">
        <f>'2'!S38</f>
        <v>0.43606835142159517</v>
      </c>
      <c r="M38" s="9">
        <f>'2'!U38</f>
        <v>0.58489177075219223</v>
      </c>
      <c r="N38" s="9">
        <f>'3'!G38</f>
        <v>0.31700490501070799</v>
      </c>
      <c r="O38" s="9">
        <f>'8'!K35</f>
        <v>0.47377308533973922</v>
      </c>
      <c r="P38" s="9">
        <f t="shared" si="2"/>
        <v>0.41681240907817868</v>
      </c>
      <c r="Q38" s="9">
        <f t="shared" si="3"/>
        <v>0.47565024761931268</v>
      </c>
      <c r="R38" s="9">
        <f>'1'!AC38</f>
        <v>0.4783148072775002</v>
      </c>
      <c r="S38" s="9">
        <f>'1'!AE38</f>
        <v>0.56421175836789161</v>
      </c>
      <c r="T38" s="9">
        <f>'2'!AC38</f>
        <v>0.20264730453669488</v>
      </c>
      <c r="U38" s="9">
        <f>'2'!AE38</f>
        <v>0.30646094168125831</v>
      </c>
      <c r="V38" s="9">
        <f>'3'!J38</f>
        <v>0.53867965100765636</v>
      </c>
      <c r="W38" s="9">
        <f>'8'!P35</f>
        <v>0.49744249684194863</v>
      </c>
      <c r="X38" s="9">
        <f t="shared" si="4"/>
        <v>0.42927106491595002</v>
      </c>
      <c r="Y38" s="9">
        <f t="shared" si="5"/>
        <v>0.47669871197468872</v>
      </c>
      <c r="Z38" s="9">
        <f>'1'!AM38</f>
        <v>0.58290400183654201</v>
      </c>
      <c r="AA38" s="9">
        <f>'1'!AO38</f>
        <v>0.66034948533580207</v>
      </c>
      <c r="AB38" s="9">
        <f>'2'!AM38</f>
        <v>0.26186311179892163</v>
      </c>
      <c r="AC38" s="9">
        <f>'2'!AO38</f>
        <v>0.39115521204958803</v>
      </c>
      <c r="AD38" s="9">
        <f>'3'!M38</f>
        <v>0.4826130928988871</v>
      </c>
      <c r="AE38" s="9">
        <f>'8'!U35</f>
        <v>0.54337917554704263</v>
      </c>
      <c r="AF38" s="9">
        <f t="shared" si="6"/>
        <v>0.46768984552034831</v>
      </c>
      <c r="AG38" s="9">
        <f t="shared" si="7"/>
        <v>0.51937424145782995</v>
      </c>
      <c r="AH38" s="9">
        <f>'1'!AW38</f>
        <v>0.46761771480012659</v>
      </c>
      <c r="AI38" s="9">
        <f>'1'!AY38</f>
        <v>0.55383359728220838</v>
      </c>
      <c r="AJ38" s="9">
        <f>'2'!AW38</f>
        <v>0.28951855379795449</v>
      </c>
      <c r="AK38" s="9">
        <f>'2'!AY38</f>
        <v>0.42672561135530873</v>
      </c>
      <c r="AL38" s="9">
        <f>'3'!P38</f>
        <v>0.53234695026410461</v>
      </c>
      <c r="AM38" s="9">
        <f>'8'!Z35</f>
        <v>0.53454163211248873</v>
      </c>
      <c r="AN38" s="9">
        <f t="shared" si="8"/>
        <v>0.45600621274366865</v>
      </c>
      <c r="AO38" s="9">
        <f t="shared" si="9"/>
        <v>0.51186194775352756</v>
      </c>
      <c r="AP38" s="9">
        <f>'1'!BG38</f>
        <v>0.51893058272233095</v>
      </c>
      <c r="AQ38" s="9">
        <f>'1'!BI38</f>
        <v>0.60265793924214173</v>
      </c>
      <c r="AR38" s="9">
        <f>'2'!BG38</f>
        <v>0.31609377067851258</v>
      </c>
      <c r="AS38" s="9">
        <f>'2'!BI38</f>
        <v>0.45890898159538296</v>
      </c>
      <c r="AT38" s="9">
        <f>'3'!S38</f>
        <v>0.49279288395279519</v>
      </c>
      <c r="AU38" s="9">
        <f>'8'!AE35</f>
        <v>0.57332468600192721</v>
      </c>
      <c r="AV38" s="9">
        <f t="shared" si="10"/>
        <v>0.47528548083889144</v>
      </c>
      <c r="AW38" s="9">
        <f t="shared" si="11"/>
        <v>0.5319211226980618</v>
      </c>
      <c r="AX38" s="9">
        <f>'1'!BQ38</f>
        <v>0.67084626602538422</v>
      </c>
      <c r="AY38" s="9">
        <f>'1'!BS38</f>
        <v>0.73455609375436293</v>
      </c>
      <c r="AZ38" s="9">
        <f>'2'!BQ38</f>
        <v>0.29166660330602429</v>
      </c>
      <c r="BA38" s="9">
        <f>'2'!BS38</f>
        <v>0.42939649897209059</v>
      </c>
      <c r="BB38" s="9">
        <f>'3'!V38</f>
        <v>0.58537622844875314</v>
      </c>
      <c r="BC38" s="9">
        <f>'8'!AJ35</f>
        <v>0.57131808333860501</v>
      </c>
      <c r="BD38" s="9">
        <f t="shared" si="12"/>
        <v>0.52980179527969162</v>
      </c>
      <c r="BE38" s="9">
        <f t="shared" si="13"/>
        <v>0.58016172612845296</v>
      </c>
      <c r="BF38" s="9">
        <f>'1'!CA38</f>
        <v>0.54173693135950862</v>
      </c>
      <c r="BG38" s="9">
        <f>'1'!CC38</f>
        <v>0.62361116487932555</v>
      </c>
      <c r="BH38" s="9">
        <f>'2'!CA38</f>
        <v>0.31516512868186242</v>
      </c>
      <c r="BI38" s="9">
        <f>'2'!CC38</f>
        <v>0.45781488533294334</v>
      </c>
      <c r="BJ38" s="9">
        <f>'3'!Y38</f>
        <v>0.4876973796521773</v>
      </c>
      <c r="BK38" s="9">
        <f>'8'!AO35</f>
        <v>0.56775842075651128</v>
      </c>
      <c r="BL38" s="9">
        <f t="shared" si="14"/>
        <v>0.47808946511251493</v>
      </c>
      <c r="BM38" s="9">
        <f t="shared" si="15"/>
        <v>0.53422046265523937</v>
      </c>
      <c r="BN38" s="9">
        <f>'1'!CK38</f>
        <v>0.46776011599062156</v>
      </c>
      <c r="BO38" s="9">
        <f>'1'!CM38</f>
        <v>0.55397246719325099</v>
      </c>
      <c r="BP38" s="9">
        <f>'2'!CK38</f>
        <v>0.49016243808522564</v>
      </c>
      <c r="BQ38" s="9">
        <f>'2'!CM38</f>
        <v>0.63360815548666161</v>
      </c>
      <c r="BR38" s="9">
        <f>'3'!AB38</f>
        <v>0.4202178617119271</v>
      </c>
      <c r="BS38" s="9">
        <f>'8'!AT35</f>
        <v>0.59259162850887204</v>
      </c>
      <c r="BT38" s="9">
        <f t="shared" si="16"/>
        <v>0.49268301107416157</v>
      </c>
      <c r="BU38" s="9">
        <f t="shared" si="17"/>
        <v>0.55009752822517799</v>
      </c>
      <c r="BV38" s="9">
        <f>'1'!CU38</f>
        <v>0.65856412862737246</v>
      </c>
      <c r="BW38" s="9">
        <f>'1'!CW38</f>
        <v>0.72451934666710782</v>
      </c>
      <c r="BX38" s="9">
        <f>'2'!CU38</f>
        <v>0.60823375030767857</v>
      </c>
      <c r="BY38" s="9">
        <f>'2'!CW38</f>
        <v>0.72722117398452579</v>
      </c>
      <c r="BZ38" s="9">
        <f>'3'!AE38</f>
        <v>0.58082201657562027</v>
      </c>
      <c r="CA38" s="9">
        <f>'8'!AY35</f>
        <v>0.63609782744343235</v>
      </c>
      <c r="CB38" s="9">
        <f t="shared" si="18"/>
        <v>0.62092943073852591</v>
      </c>
      <c r="CC38" s="9">
        <f t="shared" si="19"/>
        <v>0.66716509116767153</v>
      </c>
      <c r="CD38" s="9">
        <f>'1'!DE38</f>
        <v>0.66790133193502976</v>
      </c>
      <c r="CE38" s="9">
        <f>'1'!DG38</f>
        <v>0.73215877008868846</v>
      </c>
      <c r="CF38" s="9">
        <f>'2'!DE38</f>
        <v>0.40643735320748853</v>
      </c>
      <c r="CG38" s="9">
        <f>'2'!DG38</f>
        <v>0.55630161999149141</v>
      </c>
      <c r="CH38" s="9">
        <f>'3'!AH38</f>
        <v>0.37611648631347033</v>
      </c>
      <c r="CI38" s="9">
        <f>'8'!BD35</f>
        <v>0.60704245861753581</v>
      </c>
      <c r="CJ38" s="9">
        <f>SUM(CD38,CF38,CH38,CI38)/4</f>
        <v>0.51437440751838115</v>
      </c>
      <c r="CK38" s="9">
        <f>SUM(CE38,CG38,CH38,CI38)/4</f>
        <v>0.56790483375279655</v>
      </c>
    </row>
    <row r="39" spans="1:89">
      <c r="A39" s="1">
        <v>2001</v>
      </c>
      <c r="B39" s="9">
        <f>'1'!I39</f>
        <v>0.62648184541481788</v>
      </c>
      <c r="C39" s="9">
        <f>'1'!K39</f>
        <v>0.69781367427793883</v>
      </c>
      <c r="D39" s="9">
        <f>'2'!I39</f>
        <v>0.34979103379749987</v>
      </c>
      <c r="E39" s="9">
        <f>'2'!K39</f>
        <v>0.49723500426215467</v>
      </c>
      <c r="F39" s="9">
        <f>'3'!D39</f>
        <v>0.51107598404402743</v>
      </c>
      <c r="G39" s="9">
        <f>'8'!F36</f>
        <v>0.55139674317838749</v>
      </c>
      <c r="H39" s="9">
        <f t="shared" si="0"/>
        <v>0.50968640160868317</v>
      </c>
      <c r="I39" s="9">
        <f t="shared" si="1"/>
        <v>0.56438035144062715</v>
      </c>
      <c r="J39" s="9">
        <f>'1'!S39</f>
        <v>0.4825548466815337</v>
      </c>
      <c r="K39" s="9">
        <f>'1'!U39</f>
        <v>0.56829556717051466</v>
      </c>
      <c r="L39" s="9">
        <f>'2'!S39</f>
        <v>0.42286743197028021</v>
      </c>
      <c r="M39" s="9">
        <f>'2'!U39</f>
        <v>0.57233377094208504</v>
      </c>
      <c r="N39" s="9">
        <f>'3'!G39</f>
        <v>0.41124604988384045</v>
      </c>
      <c r="O39" s="9">
        <f>'8'!K36</f>
        <v>0.49950470879844366</v>
      </c>
      <c r="P39" s="9">
        <f t="shared" si="2"/>
        <v>0.45404325933352452</v>
      </c>
      <c r="Q39" s="9">
        <f t="shared" si="3"/>
        <v>0.51284502419872102</v>
      </c>
      <c r="R39" s="9">
        <f>'1'!AC39</f>
        <v>0.51415455480124672</v>
      </c>
      <c r="S39" s="9">
        <f>'1'!AE39</f>
        <v>0.59821346276257581</v>
      </c>
      <c r="T39" s="9">
        <f>'2'!AC39</f>
        <v>0.21425197494443562</v>
      </c>
      <c r="U39" s="9">
        <f>'2'!AE39</f>
        <v>0.32409453366376284</v>
      </c>
      <c r="V39" s="9">
        <f>'3'!J39</f>
        <v>0.57684878294837461</v>
      </c>
      <c r="W39" s="9">
        <f>'8'!P36</f>
        <v>0.43163235365441127</v>
      </c>
      <c r="X39" s="9">
        <f t="shared" si="4"/>
        <v>0.43422191658711706</v>
      </c>
      <c r="Y39" s="9">
        <f t="shared" si="5"/>
        <v>0.48269728325728117</v>
      </c>
      <c r="Z39" s="9">
        <f>'1'!AM39</f>
        <v>0.60626015081086526</v>
      </c>
      <c r="AA39" s="9">
        <f>'1'!AO39</f>
        <v>0.68060444142412546</v>
      </c>
      <c r="AB39" s="9">
        <f>'2'!AM39</f>
        <v>0.26322769278266067</v>
      </c>
      <c r="AC39" s="9">
        <f>'2'!AO39</f>
        <v>0.39296412804427089</v>
      </c>
      <c r="AD39" s="9">
        <f>'3'!M39</f>
        <v>0.4669450335986845</v>
      </c>
      <c r="AE39" s="9">
        <f>'8'!U36</f>
        <v>0.51603940494434264</v>
      </c>
      <c r="AF39" s="9">
        <f t="shared" si="6"/>
        <v>0.46311807053413828</v>
      </c>
      <c r="AG39" s="9">
        <f t="shared" si="7"/>
        <v>0.5141382520028559</v>
      </c>
      <c r="AH39" s="9">
        <f>'1'!AW39</f>
        <v>0.47658532289306299</v>
      </c>
      <c r="AI39" s="9">
        <f>'1'!AY39</f>
        <v>0.56254116753769612</v>
      </c>
      <c r="AJ39" s="9">
        <f>'2'!AW39</f>
        <v>0.294099573542283</v>
      </c>
      <c r="AK39" s="9">
        <f>'2'!AY39</f>
        <v>0.43240641294352056</v>
      </c>
      <c r="AL39" s="9">
        <f>'3'!P39</f>
        <v>0.52521390914088895</v>
      </c>
      <c r="AM39" s="9">
        <f>'8'!Z36</f>
        <v>0.47329947601938116</v>
      </c>
      <c r="AN39" s="9">
        <f t="shared" si="8"/>
        <v>0.442299570398904</v>
      </c>
      <c r="AO39" s="9">
        <f t="shared" si="9"/>
        <v>0.4983652414103717</v>
      </c>
      <c r="AP39" s="9">
        <f>'1'!BG39</f>
        <v>0.54265827780181919</v>
      </c>
      <c r="AQ39" s="9">
        <f>'1'!BI39</f>
        <v>0.62444843112975701</v>
      </c>
      <c r="AR39" s="9">
        <f>'2'!BG39</f>
        <v>0.32139137955585945</v>
      </c>
      <c r="AS39" s="9">
        <f>'2'!BI39</f>
        <v>0.46511006493250978</v>
      </c>
      <c r="AT39" s="9">
        <f>'3'!S39</f>
        <v>0.51484303698776857</v>
      </c>
      <c r="AU39" s="9">
        <f>'8'!AE36</f>
        <v>0.55909850511304449</v>
      </c>
      <c r="AV39" s="9">
        <f t="shared" si="10"/>
        <v>0.48449779986462294</v>
      </c>
      <c r="AW39" s="9">
        <f t="shared" si="11"/>
        <v>0.54087500954076995</v>
      </c>
      <c r="AX39" s="9">
        <f>'1'!BQ39</f>
        <v>0.68598462591857168</v>
      </c>
      <c r="AY39" s="9">
        <f>'1'!BS39</f>
        <v>0.7467890011563646</v>
      </c>
      <c r="AZ39" s="9">
        <f>'2'!BQ39</f>
        <v>0.29470094381073564</v>
      </c>
      <c r="BA39" s="9">
        <f>'2'!BS39</f>
        <v>0.43314791255453744</v>
      </c>
      <c r="BB39" s="9">
        <f>'3'!V39</f>
        <v>0.59613962738130466</v>
      </c>
      <c r="BC39" s="9">
        <f>'8'!AJ36</f>
        <v>0.53995233333456505</v>
      </c>
      <c r="BD39" s="9">
        <f t="shared" si="12"/>
        <v>0.52919438261129426</v>
      </c>
      <c r="BE39" s="9">
        <f t="shared" si="13"/>
        <v>0.57900721860669302</v>
      </c>
      <c r="BF39" s="9">
        <f>'1'!CA39</f>
        <v>0.56740661016170135</v>
      </c>
      <c r="BG39" s="9">
        <f>'1'!CC39</f>
        <v>0.64667825176523031</v>
      </c>
      <c r="BH39" s="9">
        <f>'2'!CA39</f>
        <v>0.31561857671371757</v>
      </c>
      <c r="BI39" s="9">
        <f>'2'!CC39</f>
        <v>0.45834938926288138</v>
      </c>
      <c r="BJ39" s="9">
        <f>'3'!Y39</f>
        <v>0.54659327697837279</v>
      </c>
      <c r="BK39" s="9">
        <f>'8'!AO36</f>
        <v>0.52786819158789489</v>
      </c>
      <c r="BL39" s="9">
        <f t="shared" si="14"/>
        <v>0.48937166386042164</v>
      </c>
      <c r="BM39" s="9">
        <f t="shared" si="15"/>
        <v>0.54487227739859478</v>
      </c>
      <c r="BN39" s="9">
        <f>'1'!CK39</f>
        <v>0.50243188642159942</v>
      </c>
      <c r="BO39" s="9">
        <f>'1'!CM39</f>
        <v>0.58721954188220093</v>
      </c>
      <c r="BP39" s="9">
        <f>'2'!CK39</f>
        <v>0.46786132598999519</v>
      </c>
      <c r="BQ39" s="9">
        <f>'2'!CM39</f>
        <v>0.61403272052735769</v>
      </c>
      <c r="BR39" s="9">
        <f>'3'!AB39</f>
        <v>0.50956411580239591</v>
      </c>
      <c r="BS39" s="9">
        <f>'8'!AT36</f>
        <v>0.56803531723160205</v>
      </c>
      <c r="BT39" s="9">
        <f t="shared" si="16"/>
        <v>0.51197316136139814</v>
      </c>
      <c r="BU39" s="9">
        <f t="shared" si="17"/>
        <v>0.56971292386088912</v>
      </c>
      <c r="BV39" s="9">
        <f>'1'!CU39</f>
        <v>0.68439814576899927</v>
      </c>
      <c r="BW39" s="9">
        <f>'1'!CW39</f>
        <v>0.74551405090090772</v>
      </c>
      <c r="BX39" s="9">
        <f>'2'!CU39</f>
        <v>0.5773731881112002</v>
      </c>
      <c r="BY39" s="9">
        <f>'2'!CW39</f>
        <v>0.70421748388006</v>
      </c>
      <c r="BZ39" s="9">
        <f>'3'!AE39</f>
        <v>0.59874778619040558</v>
      </c>
      <c r="CA39" s="9">
        <f>'8'!AY36</f>
        <v>0.62609709007118308</v>
      </c>
      <c r="CB39" s="9">
        <f t="shared" si="18"/>
        <v>0.62165405253544703</v>
      </c>
      <c r="CC39" s="9">
        <f t="shared" si="19"/>
        <v>0.66864410276063913</v>
      </c>
      <c r="CD39" s="9">
        <f>'1'!DE39</f>
        <v>0.68251591287710278</v>
      </c>
      <c r="CE39" s="9">
        <f>'1'!DG39</f>
        <v>0.74399929845232138</v>
      </c>
      <c r="CF39" s="9">
        <f>'2'!DE39</f>
        <v>0.41220797351981675</v>
      </c>
      <c r="CG39" s="9">
        <f>'2'!DG39</f>
        <v>0.561984707313536</v>
      </c>
      <c r="CH39" s="9">
        <f>'3'!AH39</f>
        <v>0.31449866527497178</v>
      </c>
      <c r="CI39" s="9">
        <f>'8'!BD36</f>
        <v>0.55002331892054901</v>
      </c>
      <c r="CJ39" s="9">
        <f t="shared" si="20"/>
        <v>0.48981146764811007</v>
      </c>
      <c r="CK39" s="9">
        <f t="shared" si="21"/>
        <v>0.54262649749034453</v>
      </c>
    </row>
    <row r="40" spans="1:89">
      <c r="A40" s="1">
        <v>2002</v>
      </c>
      <c r="B40" s="9">
        <f>'1'!I40</f>
        <v>0.64603724803837104</v>
      </c>
      <c r="C40" s="9">
        <f>'1'!K40</f>
        <v>0.71417707589382318</v>
      </c>
      <c r="D40" s="9">
        <f>'2'!I40</f>
        <v>0.35157732960737681</v>
      </c>
      <c r="E40" s="9">
        <f>'2'!K40</f>
        <v>0.49919555301401564</v>
      </c>
      <c r="F40" s="9">
        <f>'3'!D40</f>
        <v>0.4993868919690741</v>
      </c>
      <c r="G40" s="9">
        <f>'8'!F37</f>
        <v>0.51205581417800172</v>
      </c>
      <c r="H40" s="9">
        <f t="shared" ref="H40:H45" si="22">SUM(B40,D40,F40,G40)/4</f>
        <v>0.50226432094820594</v>
      </c>
      <c r="I40" s="9">
        <f t="shared" ref="I40:I45" si="23">SUM(C40,E40,F40,G40)/4</f>
        <v>0.55620383376372862</v>
      </c>
      <c r="J40" s="9">
        <f>'1'!S40</f>
        <v>0.51817309037159864</v>
      </c>
      <c r="K40" s="9">
        <f>'1'!U40</f>
        <v>0.60195435719786172</v>
      </c>
      <c r="L40" s="9">
        <f>'2'!S40</f>
        <v>0.43528803154789669</v>
      </c>
      <c r="M40" s="9">
        <f>'2'!U40</f>
        <v>0.58415720321001086</v>
      </c>
      <c r="N40" s="9">
        <f>'3'!G40</f>
        <v>0.32051670050138581</v>
      </c>
      <c r="O40" s="9">
        <f>'8'!K37</f>
        <v>0.47734990143508094</v>
      </c>
      <c r="P40" s="9">
        <f t="shared" ref="P40:P45" si="24">SUM(J40,L40,N40,O40)/4</f>
        <v>0.43783193096399053</v>
      </c>
      <c r="Q40" s="9">
        <f t="shared" ref="Q40:Q45" si="25">SUM(K40,M40,N40,O40)/4</f>
        <v>0.49599454058608483</v>
      </c>
      <c r="R40" s="9">
        <f>'1'!AC40</f>
        <v>0.53624046823867666</v>
      </c>
      <c r="S40" s="9">
        <f>'1'!AE40</f>
        <v>0.6186015840985698</v>
      </c>
      <c r="T40" s="9">
        <f>'2'!AC40</f>
        <v>0.22170022458170222</v>
      </c>
      <c r="U40" s="9">
        <f>'2'!AE40</f>
        <v>0.33512774372120513</v>
      </c>
      <c r="V40" s="9">
        <f>'3'!J40</f>
        <v>0.63100468817585098</v>
      </c>
      <c r="W40" s="9">
        <f>'8'!P37</f>
        <v>0.47401391023156625</v>
      </c>
      <c r="X40" s="9">
        <f t="shared" ref="X40:X45" si="26">SUM(R40,T40,V40,W40)/4</f>
        <v>0.46573982280694903</v>
      </c>
      <c r="Y40" s="9">
        <f t="shared" ref="Y40:Y45" si="27">SUM(S40,U40,V40,W40)/4</f>
        <v>0.51468698155679804</v>
      </c>
      <c r="Z40" s="9">
        <f>'1'!AM40</f>
        <v>0.64146109227636638</v>
      </c>
      <c r="AA40" s="9">
        <f>'1'!AO40</f>
        <v>0.71037196321818752</v>
      </c>
      <c r="AB40" s="9">
        <f>'2'!AM40</f>
        <v>0.26048139799075898</v>
      </c>
      <c r="AC40" s="9">
        <f>'2'!AO40</f>
        <v>0.38931763543815245</v>
      </c>
      <c r="AD40" s="9">
        <f>'3'!M40</f>
        <v>0.45948878897349577</v>
      </c>
      <c r="AE40" s="9">
        <f>'8'!U37</f>
        <v>0.47198552345040967</v>
      </c>
      <c r="AF40" s="9">
        <f t="shared" ref="AF40:AF45" si="28">SUM(Z40,AB40,AD40,AE40)/4</f>
        <v>0.45835420067275767</v>
      </c>
      <c r="AG40" s="9">
        <f t="shared" ref="AG40:AG45" si="29">SUM(AA40,AC40,AD40,AE40)/4</f>
        <v>0.50779097777006132</v>
      </c>
      <c r="AH40" s="9">
        <f>'1'!AW40</f>
        <v>0.4999476600642816</v>
      </c>
      <c r="AI40" s="9">
        <f>'1'!AY40</f>
        <v>0.58487404489405415</v>
      </c>
      <c r="AJ40" s="9">
        <f>'2'!AW40</f>
        <v>0.29950969283697348</v>
      </c>
      <c r="AK40" s="9">
        <f>'2'!AY40</f>
        <v>0.43904226846063688</v>
      </c>
      <c r="AL40" s="9">
        <f>'3'!P40</f>
        <v>0.45548182780966318</v>
      </c>
      <c r="AM40" s="9">
        <f>'8'!Z37</f>
        <v>0.47031596384641045</v>
      </c>
      <c r="AN40" s="9">
        <f t="shared" ref="AN40:AN45" si="30">SUM(AH40,AJ40,AL40,AM40)/4</f>
        <v>0.43131378613933219</v>
      </c>
      <c r="AO40" s="9">
        <f t="shared" ref="AO40:AO45" si="31">SUM(AI40,AK40,AL40,AM40)/4</f>
        <v>0.48742852625269117</v>
      </c>
      <c r="AP40" s="9">
        <f>'1'!BG40</f>
        <v>0.56300589110130783</v>
      </c>
      <c r="AQ40" s="9">
        <f>'1'!BI40</f>
        <v>0.6427615553314312</v>
      </c>
      <c r="AR40" s="9">
        <f>'2'!BG40</f>
        <v>0.32574163288715241</v>
      </c>
      <c r="AS40" s="9">
        <f>'2'!BI40</f>
        <v>0.47015158000015134</v>
      </c>
      <c r="AT40" s="9">
        <f>'3'!S40</f>
        <v>0.52167806416076257</v>
      </c>
      <c r="AU40" s="9">
        <f>'8'!AE37</f>
        <v>0.53433378650175545</v>
      </c>
      <c r="AV40" s="9">
        <f t="shared" ref="AV40:AV45" si="32">SUM(AP40,AR40,AT40,AU40)/4</f>
        <v>0.48618984366274454</v>
      </c>
      <c r="AW40" s="9">
        <f t="shared" ref="AW40:AW45" si="33">SUM(AQ40,AS40,AT40,AU40)/4</f>
        <v>0.54223124649852517</v>
      </c>
      <c r="AX40" s="9">
        <f>'1'!BQ40</f>
        <v>0.70615839029193861</v>
      </c>
      <c r="AY40" s="9">
        <f>'1'!BS40</f>
        <v>0.76286025053788065</v>
      </c>
      <c r="AZ40" s="9">
        <f>'2'!BQ40</f>
        <v>0.29758483743233022</v>
      </c>
      <c r="BA40" s="9">
        <f>'2'!BS40</f>
        <v>0.43669027579590569</v>
      </c>
      <c r="BB40" s="9">
        <f>'3'!V40</f>
        <v>0.56244896390438914</v>
      </c>
      <c r="BC40" s="9">
        <f>'8'!AJ37</f>
        <v>0.48731835015735403</v>
      </c>
      <c r="BD40" s="9">
        <f t="shared" ref="BD40:BD45" si="34">SUM(AX40,AZ40,BB40,BC40)/4</f>
        <v>0.51337763544650294</v>
      </c>
      <c r="BE40" s="9">
        <f t="shared" ref="BE40:BE45" si="35">SUM(AY40,BA40,BB40,BC40)/4</f>
        <v>0.56232946009888229</v>
      </c>
      <c r="BF40" s="9">
        <f>'1'!CA40</f>
        <v>0.58768660768432635</v>
      </c>
      <c r="BG40" s="9">
        <f>'1'!CC40</f>
        <v>0.66453081992756835</v>
      </c>
      <c r="BH40" s="9">
        <f>'2'!CA40</f>
        <v>0.31784881029076906</v>
      </c>
      <c r="BI40" s="9">
        <f>'2'!CC40</f>
        <v>0.46097091721101546</v>
      </c>
      <c r="BJ40" s="9">
        <f>'3'!Y40</f>
        <v>0.49264812516604545</v>
      </c>
      <c r="BK40" s="9">
        <f>'8'!AO37</f>
        <v>0.53490233870051695</v>
      </c>
      <c r="BL40" s="9">
        <f t="shared" ref="BL40:BL45" si="36">SUM(BF40,BH40,BJ40,BK40)/4</f>
        <v>0.48327147046041447</v>
      </c>
      <c r="BM40" s="9">
        <f t="shared" ref="BM40:BM45" si="37">SUM(BG40,BI40,BJ40,BK40)/4</f>
        <v>0.53826305025128662</v>
      </c>
      <c r="BN40" s="9">
        <f>'1'!CK40</f>
        <v>0.52290842253150849</v>
      </c>
      <c r="BO40" s="9">
        <f>'1'!CM40</f>
        <v>0.60634452234550229</v>
      </c>
      <c r="BP40" s="9">
        <f>'2'!CK40</f>
        <v>0.47033701053853599</v>
      </c>
      <c r="BQ40" s="9">
        <f>'2'!CM40</f>
        <v>0.61623975721290891</v>
      </c>
      <c r="BR40" s="9">
        <f>'3'!AB40</f>
        <v>0.50039360026875235</v>
      </c>
      <c r="BS40" s="9">
        <f>'8'!AT37</f>
        <v>0.53730076682248606</v>
      </c>
      <c r="BT40" s="9">
        <f t="shared" ref="BT40:BT45" si="38">SUM(BN40,BP40,BR40,BS40)/4</f>
        <v>0.50773495004032076</v>
      </c>
      <c r="BU40" s="9">
        <f t="shared" ref="BU40:BU45" si="39">SUM(BO40,BQ40,BR40,BS40)/4</f>
        <v>0.56506966166241246</v>
      </c>
      <c r="BV40" s="9">
        <f>'1'!CU40</f>
        <v>0.69899179728158278</v>
      </c>
      <c r="BW40" s="9">
        <f>'1'!CW40</f>
        <v>0.7571807734887801</v>
      </c>
      <c r="BX40" s="9">
        <f>'2'!CU40</f>
        <v>0.58103322241899913</v>
      </c>
      <c r="BY40" s="9">
        <f>'2'!CW40</f>
        <v>0.70699540486502366</v>
      </c>
      <c r="BZ40" s="9">
        <f>'3'!AE40</f>
        <v>0.66093077439176251</v>
      </c>
      <c r="CA40" s="9">
        <f>'8'!AY37</f>
        <v>0.60255218635365027</v>
      </c>
      <c r="CB40" s="9">
        <f t="shared" ref="CB40:CB45" si="40">SUM(BV40,BX40,BZ40,CA40)/4</f>
        <v>0.63587699511149864</v>
      </c>
      <c r="CC40" s="9">
        <f t="shared" ref="CC40:CC45" si="41">SUM(BW40,BY40,BZ40,CA40)/4</f>
        <v>0.68191478477480416</v>
      </c>
      <c r="CD40" s="9">
        <f>'1'!DE40</f>
        <v>0.69977640301901978</v>
      </c>
      <c r="CE40" s="9">
        <f>'1'!DG40</f>
        <v>0.75780415330257112</v>
      </c>
      <c r="CF40" s="9">
        <f>'2'!DE40</f>
        <v>0.4088294434636604</v>
      </c>
      <c r="CG40" s="9">
        <f>'2'!DG40</f>
        <v>0.55866439966469406</v>
      </c>
      <c r="CH40" s="9">
        <f>'3'!AH40</f>
        <v>0.27951742630665571</v>
      </c>
      <c r="CI40" s="9">
        <f>'8'!BD37</f>
        <v>0.49134483678116497</v>
      </c>
      <c r="CJ40" s="9">
        <f t="shared" ref="CJ40:CJ45" si="42">SUM(CD40,CF40,CH40,CI40)/4</f>
        <v>0.46986702739262526</v>
      </c>
      <c r="CK40" s="9">
        <f t="shared" ref="CK40:CK45" si="43">SUM(CE40,CG40,CH40,CI40)/4</f>
        <v>0.52183270401377146</v>
      </c>
    </row>
    <row r="41" spans="1:89">
      <c r="A41" s="1">
        <v>2003</v>
      </c>
      <c r="B41" s="9">
        <f>'1'!I41</f>
        <v>0.66790011172971175</v>
      </c>
      <c r="C41" s="9">
        <f>'1'!K41</f>
        <v>0.73215777558066708</v>
      </c>
      <c r="D41" s="9">
        <f>'2'!I41</f>
        <v>0.36351439297037474</v>
      </c>
      <c r="E41" s="9">
        <f>'2'!K41</f>
        <v>0.5121244684058377</v>
      </c>
      <c r="F41" s="9">
        <f>'3'!D41</f>
        <v>0.50314279809928009</v>
      </c>
      <c r="G41" s="9">
        <f>'8'!F38</f>
        <v>0.50774013929159489</v>
      </c>
      <c r="H41" s="9">
        <f t="shared" si="22"/>
        <v>0.5105743605227403</v>
      </c>
      <c r="I41" s="9">
        <f t="shared" si="23"/>
        <v>0.56379129534434491</v>
      </c>
      <c r="J41" s="9">
        <f>'1'!S41</f>
        <v>0.53172913282398937</v>
      </c>
      <c r="K41" s="9">
        <f>'1'!U41</f>
        <v>0.61447090905261836</v>
      </c>
      <c r="L41" s="9">
        <f>'2'!S41</f>
        <v>0.43504105123682457</v>
      </c>
      <c r="M41" s="9">
        <f>'2'!U41</f>
        <v>0.58392450395815643</v>
      </c>
      <c r="N41" s="9">
        <f>'3'!G41</f>
        <v>0.33795374537894463</v>
      </c>
      <c r="O41" s="9">
        <f>'8'!K38</f>
        <v>0.45163289883695507</v>
      </c>
      <c r="P41" s="9">
        <f t="shared" si="24"/>
        <v>0.43908920706917842</v>
      </c>
      <c r="Q41" s="9">
        <f t="shared" si="25"/>
        <v>0.49699551430666866</v>
      </c>
      <c r="R41" s="9">
        <f>'1'!AC41</f>
        <v>0.56484597538070591</v>
      </c>
      <c r="S41" s="9">
        <f>'1'!AE41</f>
        <v>0.64440113265761823</v>
      </c>
      <c r="T41" s="9">
        <f>'2'!AC41</f>
        <v>0.22900414900116234</v>
      </c>
      <c r="U41" s="9">
        <f>'2'!AE41</f>
        <v>0.34574090115885681</v>
      </c>
      <c r="V41" s="9">
        <f>'3'!J41</f>
        <v>0.68916827438751882</v>
      </c>
      <c r="W41" s="9">
        <f>'8'!P38</f>
        <v>0.44015235940963948</v>
      </c>
      <c r="X41" s="9">
        <f t="shared" si="26"/>
        <v>0.48079268954475668</v>
      </c>
      <c r="Y41" s="9">
        <f t="shared" si="27"/>
        <v>0.52986566690340831</v>
      </c>
      <c r="Z41" s="9">
        <f>'1'!AM41</f>
        <v>0.66216294347264948</v>
      </c>
      <c r="AA41" s="9">
        <f>'1'!AO41</f>
        <v>0.72747075158400254</v>
      </c>
      <c r="AB41" s="9">
        <f>'2'!AM41</f>
        <v>0.2616420657755083</v>
      </c>
      <c r="AC41" s="9">
        <f>'2'!AO41</f>
        <v>0.3908616405066308</v>
      </c>
      <c r="AD41" s="9">
        <f>'3'!M41</f>
        <v>0.42297176542006165</v>
      </c>
      <c r="AE41" s="9">
        <f>'8'!U38</f>
        <v>0.47815479311819797</v>
      </c>
      <c r="AF41" s="9">
        <f t="shared" si="28"/>
        <v>0.45623289194660438</v>
      </c>
      <c r="AG41" s="9">
        <f t="shared" si="29"/>
        <v>0.50486473765722328</v>
      </c>
      <c r="AH41" s="9">
        <f>'1'!AW41</f>
        <v>0.51812443683337017</v>
      </c>
      <c r="AI41" s="9">
        <f>'1'!AY41</f>
        <v>0.60190914927118433</v>
      </c>
      <c r="AJ41" s="9">
        <f>'2'!AW41</f>
        <v>0.30359612753296683</v>
      </c>
      <c r="AK41" s="9">
        <f>'2'!AY41</f>
        <v>0.44400312984522916</v>
      </c>
      <c r="AL41" s="9">
        <f>'3'!P41</f>
        <v>0.41160953420023483</v>
      </c>
      <c r="AM41" s="9">
        <f>'8'!Z38</f>
        <v>0.44398761411016308</v>
      </c>
      <c r="AN41" s="9">
        <f t="shared" si="30"/>
        <v>0.41932942816918373</v>
      </c>
      <c r="AO41" s="9">
        <f t="shared" si="31"/>
        <v>0.47537735685670285</v>
      </c>
      <c r="AP41" s="9">
        <f>'1'!BG41</f>
        <v>0.59300707319132673</v>
      </c>
      <c r="AQ41" s="9">
        <f>'1'!BI41</f>
        <v>0.66916181013582332</v>
      </c>
      <c r="AR41" s="9">
        <f>'2'!BG41</f>
        <v>0.33198937478293461</v>
      </c>
      <c r="AS41" s="9">
        <f>'2'!BI41</f>
        <v>0.4773139207600619</v>
      </c>
      <c r="AT41" s="9">
        <f>'3'!S41</f>
        <v>0.54527135809527338</v>
      </c>
      <c r="AU41" s="9">
        <f>'8'!AE38</f>
        <v>0.52412010189365599</v>
      </c>
      <c r="AV41" s="9">
        <f t="shared" si="32"/>
        <v>0.49859697699079775</v>
      </c>
      <c r="AW41" s="9">
        <f t="shared" si="33"/>
        <v>0.55396679772120372</v>
      </c>
      <c r="AX41" s="9">
        <f>'1'!BQ41</f>
        <v>0.72814586378270407</v>
      </c>
      <c r="AY41" s="9">
        <f>'1'!BS41</f>
        <v>0.78008528358466378</v>
      </c>
      <c r="AZ41" s="9">
        <f>'2'!BQ41</f>
        <v>0.30341941194699057</v>
      </c>
      <c r="BA41" s="9">
        <f>'2'!BS41</f>
        <v>0.44378950320805027</v>
      </c>
      <c r="BB41" s="9">
        <f>'3'!V41</f>
        <v>0.582872589220094</v>
      </c>
      <c r="BC41" s="9">
        <f>'8'!AJ38</f>
        <v>0.48863746059964691</v>
      </c>
      <c r="BD41" s="9">
        <f t="shared" si="34"/>
        <v>0.52576883138735897</v>
      </c>
      <c r="BE41" s="9">
        <f t="shared" si="35"/>
        <v>0.5738462091531138</v>
      </c>
      <c r="BF41" s="9">
        <f>'1'!CA41</f>
        <v>0.60406633948456723</v>
      </c>
      <c r="BG41" s="9">
        <f>'1'!CC41</f>
        <v>0.67871939582636442</v>
      </c>
      <c r="BH41" s="9">
        <f>'2'!CA41</f>
        <v>0.32238280986879825</v>
      </c>
      <c r="BI41" s="9">
        <f>'2'!CC41</f>
        <v>0.46626301861092806</v>
      </c>
      <c r="BJ41" s="9">
        <f>'3'!Y41</f>
        <v>0.5280502759686404</v>
      </c>
      <c r="BK41" s="9">
        <f>'8'!AO38</f>
        <v>0.54275876846982352</v>
      </c>
      <c r="BL41" s="9">
        <f t="shared" si="36"/>
        <v>0.49931454844795731</v>
      </c>
      <c r="BM41" s="9">
        <f t="shared" si="37"/>
        <v>0.55394786471893909</v>
      </c>
      <c r="BN41" s="9">
        <f>'1'!CK41</f>
        <v>0.53560443588310236</v>
      </c>
      <c r="BO41" s="9">
        <f>'1'!CM41</f>
        <v>0.61802025818743667</v>
      </c>
      <c r="BP41" s="9">
        <f>'2'!CK41</f>
        <v>0.49710904465845734</v>
      </c>
      <c r="BQ41" s="9">
        <f>'2'!CM41</f>
        <v>0.63956910342030737</v>
      </c>
      <c r="BR41" s="9">
        <f>'3'!AB41</f>
        <v>0.49367216324488522</v>
      </c>
      <c r="BS41" s="9">
        <f>'8'!AT38</f>
        <v>0.55049116782559471</v>
      </c>
      <c r="BT41" s="9">
        <f t="shared" si="38"/>
        <v>0.51921920290300994</v>
      </c>
      <c r="BU41" s="9">
        <f t="shared" si="39"/>
        <v>0.57543817316955603</v>
      </c>
      <c r="BV41" s="9">
        <f>'1'!CU41</f>
        <v>0.71339040960749223</v>
      </c>
      <c r="BW41" s="9">
        <f>'1'!CW41</f>
        <v>0.7685588532465637</v>
      </c>
      <c r="BX41" s="9">
        <f>'2'!CU41</f>
        <v>0.62127111995067152</v>
      </c>
      <c r="BY41" s="9">
        <f>'2'!CW41</f>
        <v>0.73666348204483123</v>
      </c>
      <c r="BZ41" s="9">
        <f>'3'!AE41</f>
        <v>0.53860890889353696</v>
      </c>
      <c r="CA41" s="9">
        <f>'8'!AY38</f>
        <v>0.5872506918372582</v>
      </c>
      <c r="CB41" s="9">
        <f t="shared" si="40"/>
        <v>0.61513028257223967</v>
      </c>
      <c r="CC41" s="9">
        <f t="shared" si="41"/>
        <v>0.6577704840055475</v>
      </c>
      <c r="CD41" s="9">
        <f>'1'!DE41</f>
        <v>0.71973601901368522</v>
      </c>
      <c r="CE41" s="9">
        <f>'1'!DG41</f>
        <v>0.77353221225075286</v>
      </c>
      <c r="CF41" s="9">
        <f>'2'!DE41</f>
        <v>0.42497449107229696</v>
      </c>
      <c r="CG41" s="9">
        <f>'2'!DG41</f>
        <v>0.57435711758698982</v>
      </c>
      <c r="CH41" s="9">
        <f>'3'!AH41</f>
        <v>0.30568836782083347</v>
      </c>
      <c r="CI41" s="9">
        <f>'8'!BD38</f>
        <v>0.47764982398540601</v>
      </c>
      <c r="CJ41" s="9">
        <f t="shared" si="42"/>
        <v>0.48201217547305542</v>
      </c>
      <c r="CK41" s="9">
        <f t="shared" si="43"/>
        <v>0.53280688041099555</v>
      </c>
    </row>
    <row r="42" spans="1:89">
      <c r="A42" s="1">
        <v>2004</v>
      </c>
      <c r="B42" s="9">
        <f>'1'!I42</f>
        <v>0.6899340129521192</v>
      </c>
      <c r="C42" s="9">
        <f>'1'!K42</f>
        <v>0.74995577721682849</v>
      </c>
      <c r="D42" s="9">
        <f>'2'!I42</f>
        <v>0.37961828068370757</v>
      </c>
      <c r="E42" s="9">
        <f>'2'!K42</f>
        <v>0.52910831465534658</v>
      </c>
      <c r="F42" s="9">
        <f>'3'!D42</f>
        <v>0.47808133692446614</v>
      </c>
      <c r="G42" s="9">
        <f>'8'!F39</f>
        <v>0.51596623412325804</v>
      </c>
      <c r="H42" s="9">
        <f t="shared" si="22"/>
        <v>0.51589996617088774</v>
      </c>
      <c r="I42" s="9">
        <f t="shared" si="23"/>
        <v>0.56827791572997488</v>
      </c>
      <c r="J42" s="9">
        <f>'1'!S42</f>
        <v>0.54784729185012326</v>
      </c>
      <c r="K42" s="9">
        <f>'1'!U42</f>
        <v>0.62915077446744916</v>
      </c>
      <c r="L42" s="9">
        <f>'2'!S42</f>
        <v>0.48431866550680364</v>
      </c>
      <c r="M42" s="9">
        <f>'2'!U42</f>
        <v>0.6285441479245214</v>
      </c>
      <c r="N42" s="9">
        <f>'3'!G42</f>
        <v>0.31268665690853231</v>
      </c>
      <c r="O42" s="9">
        <f>'8'!K39</f>
        <v>0.43060369246007757</v>
      </c>
      <c r="P42" s="9">
        <f t="shared" si="24"/>
        <v>0.44386407668138417</v>
      </c>
      <c r="Q42" s="9">
        <f t="shared" si="25"/>
        <v>0.50024631794014507</v>
      </c>
      <c r="R42" s="9">
        <f>'1'!AC42</f>
        <v>0.56770374652001532</v>
      </c>
      <c r="S42" s="9">
        <f>'1'!AE42</f>
        <v>0.64694215130376953</v>
      </c>
      <c r="T42" s="9">
        <f>'2'!AC42</f>
        <v>0.23897996945008093</v>
      </c>
      <c r="U42" s="9">
        <f>'2'!AE42</f>
        <v>0.35992027333288035</v>
      </c>
      <c r="V42" s="9">
        <f>'3'!J42</f>
        <v>0.71652592922084468</v>
      </c>
      <c r="W42" s="9">
        <f>'8'!P39</f>
        <v>0.43167904981643213</v>
      </c>
      <c r="X42" s="9">
        <f t="shared" si="26"/>
        <v>0.48872217375184324</v>
      </c>
      <c r="Y42" s="9">
        <f t="shared" si="27"/>
        <v>0.53876685091848164</v>
      </c>
      <c r="Z42" s="9">
        <f>'1'!AM42</f>
        <v>0.67988602680818677</v>
      </c>
      <c r="AA42" s="9">
        <f>'1'!AO42</f>
        <v>0.74187898689348075</v>
      </c>
      <c r="AB42" s="9">
        <f>'2'!AM42</f>
        <v>0.26984703651749492</v>
      </c>
      <c r="AC42" s="9">
        <f>'2'!AO42</f>
        <v>0.40165721446367503</v>
      </c>
      <c r="AD42" s="9">
        <f>'3'!M42</f>
        <v>0.44957251458312769</v>
      </c>
      <c r="AE42" s="9">
        <f>'8'!U39</f>
        <v>0.50070210592867204</v>
      </c>
      <c r="AF42" s="9">
        <f t="shared" si="28"/>
        <v>0.47500192095937038</v>
      </c>
      <c r="AG42" s="9">
        <f t="shared" si="29"/>
        <v>0.52345270546723888</v>
      </c>
      <c r="AH42" s="9">
        <f>'1'!AW42</f>
        <v>0.55061841542550904</v>
      </c>
      <c r="AI42" s="9">
        <f>'1'!AY42</f>
        <v>0.6316529113060152</v>
      </c>
      <c r="AJ42" s="9">
        <f>'2'!AW42</f>
        <v>0.31874962048666344</v>
      </c>
      <c r="AK42" s="9">
        <f>'2'!AY42</f>
        <v>0.46202631876990846</v>
      </c>
      <c r="AL42" s="9">
        <f>'3'!P42</f>
        <v>0.43961543511611179</v>
      </c>
      <c r="AM42" s="9">
        <f>'8'!Z39</f>
        <v>0.45778132091988288</v>
      </c>
      <c r="AN42" s="9">
        <f t="shared" si="30"/>
        <v>0.44169119798704182</v>
      </c>
      <c r="AO42" s="9">
        <f t="shared" si="31"/>
        <v>0.49776899652797957</v>
      </c>
      <c r="AP42" s="9">
        <f>'1'!BG42</f>
        <v>0.61255407428745345</v>
      </c>
      <c r="AQ42" s="9">
        <f>'1'!BI42</f>
        <v>0.68599276792918085</v>
      </c>
      <c r="AR42" s="9">
        <f>'2'!BG42</f>
        <v>0.34386656268445254</v>
      </c>
      <c r="AS42" s="9">
        <f>'2'!BI42</f>
        <v>0.49068322761589422</v>
      </c>
      <c r="AT42" s="9">
        <f>'3'!S42</f>
        <v>0.58104128717154824</v>
      </c>
      <c r="AU42" s="9">
        <f>'8'!AE39</f>
        <v>0.55248116841431039</v>
      </c>
      <c r="AV42" s="9">
        <f t="shared" si="32"/>
        <v>0.52248577313944111</v>
      </c>
      <c r="AW42" s="9">
        <f t="shared" si="33"/>
        <v>0.57754961278273342</v>
      </c>
      <c r="AX42" s="9">
        <f>'1'!BQ42</f>
        <v>0.75127092994033673</v>
      </c>
      <c r="AY42" s="9">
        <f>'1'!BS42</f>
        <v>0.79788496891546279</v>
      </c>
      <c r="AZ42" s="9">
        <f>'2'!BQ42</f>
        <v>0.3138672498996436</v>
      </c>
      <c r="BA42" s="9">
        <f>'2'!BS42</f>
        <v>0.45628219029951711</v>
      </c>
      <c r="BB42" s="9">
        <f>'3'!V42</f>
        <v>0.49364007922877107</v>
      </c>
      <c r="BC42" s="9">
        <f>'8'!AJ39</f>
        <v>0.48246168512621723</v>
      </c>
      <c r="BD42" s="9">
        <f t="shared" si="34"/>
        <v>0.51030998604874223</v>
      </c>
      <c r="BE42" s="9">
        <f t="shared" si="35"/>
        <v>0.55756723089249205</v>
      </c>
      <c r="BF42" s="9">
        <f>'1'!CA42</f>
        <v>0.62366146387753496</v>
      </c>
      <c r="BG42" s="9">
        <f>'1'!CC42</f>
        <v>0.69543126379156506</v>
      </c>
      <c r="BH42" s="9">
        <f>'2'!CA42</f>
        <v>0.33293516459729988</v>
      </c>
      <c r="BI42" s="9">
        <f>'2'!CC42</f>
        <v>0.47839025614465241</v>
      </c>
      <c r="BJ42" s="9">
        <f>'3'!Y42</f>
        <v>0.52659501140425125</v>
      </c>
      <c r="BK42" s="9">
        <f>'8'!AO39</f>
        <v>0.54216681123845067</v>
      </c>
      <c r="BL42" s="9">
        <f t="shared" si="36"/>
        <v>0.50633961277938422</v>
      </c>
      <c r="BM42" s="9">
        <f t="shared" si="37"/>
        <v>0.56064583564472981</v>
      </c>
      <c r="BN42" s="9">
        <f>'1'!CK42</f>
        <v>0.55339212990848174</v>
      </c>
      <c r="BO42" s="9">
        <f>'1'!CM42</f>
        <v>0.63415109313756368</v>
      </c>
      <c r="BP42" s="9">
        <f>'2'!CK42</f>
        <v>0.52583069429502505</v>
      </c>
      <c r="BQ42" s="9">
        <f>'2'!CM42</f>
        <v>0.66356579728393372</v>
      </c>
      <c r="BR42" s="9">
        <f>'3'!AB42</f>
        <v>0.39251773049857858</v>
      </c>
      <c r="BS42" s="9">
        <f>'8'!AT39</f>
        <v>0.56127288956406873</v>
      </c>
      <c r="BT42" s="9">
        <f t="shared" si="38"/>
        <v>0.50825336106653851</v>
      </c>
      <c r="BU42" s="9">
        <f t="shared" si="39"/>
        <v>0.56287687762103611</v>
      </c>
      <c r="BV42" s="9">
        <f>'1'!CU42</f>
        <v>0.73684749328894783</v>
      </c>
      <c r="BW42" s="9">
        <f>'1'!CW42</f>
        <v>0.78682052485356113</v>
      </c>
      <c r="BX42" s="9">
        <f>'2'!CU42</f>
        <v>0.64915590754528329</v>
      </c>
      <c r="BY42" s="9">
        <f>'2'!CW42</f>
        <v>0.75634198166826749</v>
      </c>
      <c r="BZ42" s="9">
        <f>'3'!AE42</f>
        <v>0.53870975031676926</v>
      </c>
      <c r="CA42" s="9">
        <f>'8'!AY39</f>
        <v>0.59647555754004333</v>
      </c>
      <c r="CB42" s="9">
        <f t="shared" si="40"/>
        <v>0.63029717717276101</v>
      </c>
      <c r="CC42" s="9">
        <f t="shared" si="41"/>
        <v>0.66958695359466036</v>
      </c>
      <c r="CD42" s="9">
        <f>'1'!DE42</f>
        <v>0.7440893030786524</v>
      </c>
      <c r="CE42" s="9">
        <f>'1'!DG42</f>
        <v>0.79239123227672281</v>
      </c>
      <c r="CF42" s="9">
        <f>'2'!DE42</f>
        <v>0.43697907497870775</v>
      </c>
      <c r="CG42" s="9">
        <f>'2'!DG42</f>
        <v>0.58574788416938817</v>
      </c>
      <c r="CH42" s="9">
        <f>'3'!AH42</f>
        <v>0.32658628401928419</v>
      </c>
      <c r="CI42" s="9">
        <f>'8'!BD39</f>
        <v>0.49377195146083552</v>
      </c>
      <c r="CJ42" s="9">
        <f t="shared" si="42"/>
        <v>0.50035665338436996</v>
      </c>
      <c r="CK42" s="9">
        <f t="shared" si="43"/>
        <v>0.54962433798155763</v>
      </c>
    </row>
    <row r="43" spans="1:89">
      <c r="A43" s="1">
        <v>2005</v>
      </c>
      <c r="B43" s="9">
        <f>'1'!I43</f>
        <v>0.71372649724491843</v>
      </c>
      <c r="C43" s="9">
        <f>'1'!K43</f>
        <v>0.7688228865667871</v>
      </c>
      <c r="D43" s="9">
        <f>'2'!I43</f>
        <v>0.40536908875496142</v>
      </c>
      <c r="E43" s="9">
        <f>'2'!K43</f>
        <v>0.55524322943660276</v>
      </c>
      <c r="F43" s="9">
        <f>'3'!D43</f>
        <v>0.48807374584042851</v>
      </c>
      <c r="G43" s="9">
        <f>'8'!F40</f>
        <v>0.51756411217884624</v>
      </c>
      <c r="H43" s="9">
        <f t="shared" si="22"/>
        <v>0.53118336100478869</v>
      </c>
      <c r="I43" s="9">
        <f t="shared" si="23"/>
        <v>0.58242599350566615</v>
      </c>
      <c r="J43" s="9">
        <f>'1'!S43</f>
        <v>0.56734103853214679</v>
      </c>
      <c r="K43" s="9">
        <f>'1'!U43</f>
        <v>0.64662000534747111</v>
      </c>
      <c r="L43" s="9">
        <f>'2'!S43</f>
        <v>0.66885863556400604</v>
      </c>
      <c r="M43" s="9">
        <f>'2'!U43</f>
        <v>0.76984245476362967</v>
      </c>
      <c r="N43" s="9">
        <f>'3'!G43</f>
        <v>0.41717623790078512</v>
      </c>
      <c r="O43" s="9">
        <f>'8'!K40</f>
        <v>0.42251369007689143</v>
      </c>
      <c r="P43" s="9">
        <f t="shared" si="24"/>
        <v>0.51897240051845728</v>
      </c>
      <c r="Q43" s="9">
        <f t="shared" si="25"/>
        <v>0.56403809702219432</v>
      </c>
      <c r="R43" s="9">
        <f>'1'!AC43</f>
        <v>0.60345604697787936</v>
      </c>
      <c r="S43" s="9">
        <f>'1'!AE43</f>
        <v>0.67819436182202142</v>
      </c>
      <c r="T43" s="9">
        <f>'2'!AC43</f>
        <v>0.24750011277354897</v>
      </c>
      <c r="U43" s="9">
        <f>'2'!AE43</f>
        <v>0.37175375611182815</v>
      </c>
      <c r="V43" s="9">
        <f>'3'!J43</f>
        <v>0.79981263567032657</v>
      </c>
      <c r="W43" s="9">
        <f>'8'!P40</f>
        <v>0.45814107602301746</v>
      </c>
      <c r="X43" s="9">
        <f t="shared" si="26"/>
        <v>0.52722746786119312</v>
      </c>
      <c r="Y43" s="9">
        <f t="shared" si="27"/>
        <v>0.57697545740679834</v>
      </c>
      <c r="Z43" s="9">
        <f>'1'!AM43</f>
        <v>0.71271455410885742</v>
      </c>
      <c r="AA43" s="9">
        <f>'1'!AO43</f>
        <v>0.76802768286917122</v>
      </c>
      <c r="AB43" s="9">
        <f>'2'!AM43</f>
        <v>0.27722613294341197</v>
      </c>
      <c r="AC43" s="9">
        <f>'2'!AO43</f>
        <v>0.41119223556217116</v>
      </c>
      <c r="AD43" s="9">
        <f>'3'!M43</f>
        <v>0.51561518787071703</v>
      </c>
      <c r="AE43" s="9">
        <f>'8'!U40</f>
        <v>0.49780100951551504</v>
      </c>
      <c r="AF43" s="9">
        <f t="shared" si="28"/>
        <v>0.50083922110962531</v>
      </c>
      <c r="AG43" s="9">
        <f t="shared" si="29"/>
        <v>0.54815902895439361</v>
      </c>
      <c r="AH43" s="9">
        <f>'1'!AW43</f>
        <v>0.57481853634458058</v>
      </c>
      <c r="AI43" s="9">
        <f>'1'!AY43</f>
        <v>0.65324025762074345</v>
      </c>
      <c r="AJ43" s="9">
        <f>'2'!AW43</f>
        <v>0.32378230106263473</v>
      </c>
      <c r="AK43" s="9">
        <f>'2'!AY43</f>
        <v>0.46788650069075677</v>
      </c>
      <c r="AL43" s="9">
        <f>'3'!P43</f>
        <v>0.42016097926032597</v>
      </c>
      <c r="AM43" s="9">
        <f>'8'!Z40</f>
        <v>0.42027655538547404</v>
      </c>
      <c r="AN43" s="9">
        <f t="shared" si="30"/>
        <v>0.43475959301325384</v>
      </c>
      <c r="AO43" s="9">
        <f t="shared" si="31"/>
        <v>0.49039107323932507</v>
      </c>
      <c r="AP43" s="9">
        <f>'1'!BG43</f>
        <v>0.63530967005613881</v>
      </c>
      <c r="AQ43" s="9">
        <f>'1'!BI43</f>
        <v>0.70523393292264258</v>
      </c>
      <c r="AR43" s="9">
        <f>'2'!BG43</f>
        <v>0.35302359087848501</v>
      </c>
      <c r="AS43" s="9">
        <f>'2'!BI43</f>
        <v>0.50077790402465272</v>
      </c>
      <c r="AT43" s="9">
        <f>'3'!S43</f>
        <v>0.51263688744710445</v>
      </c>
      <c r="AU43" s="9">
        <f>'8'!AE40</f>
        <v>0.52681679918809898</v>
      </c>
      <c r="AV43" s="9">
        <f t="shared" si="32"/>
        <v>0.50694673689245684</v>
      </c>
      <c r="AW43" s="9">
        <f t="shared" si="33"/>
        <v>0.56136638089562463</v>
      </c>
      <c r="AX43" s="9">
        <f>'1'!BQ43</f>
        <v>0.7671852223443808</v>
      </c>
      <c r="AY43" s="9">
        <f>'1'!BS43</f>
        <v>0.80995177057621737</v>
      </c>
      <c r="AZ43" s="9">
        <f>'2'!BQ43</f>
        <v>0.3241234001951937</v>
      </c>
      <c r="BA43" s="9">
        <f>'2'!BS43</f>
        <v>0.46828148382615659</v>
      </c>
      <c r="BB43" s="9">
        <f>'3'!V43</f>
        <v>0.52630836895137612</v>
      </c>
      <c r="BC43" s="9">
        <f>'8'!AJ40</f>
        <v>0.47790822092754648</v>
      </c>
      <c r="BD43" s="9">
        <f t="shared" si="34"/>
        <v>0.52388130310462433</v>
      </c>
      <c r="BE43" s="9">
        <f t="shared" si="35"/>
        <v>0.57061246107032415</v>
      </c>
      <c r="BF43" s="9">
        <f>'1'!CA43</f>
        <v>0.64673864136269321</v>
      </c>
      <c r="BG43" s="9">
        <f>'1'!CC43</f>
        <v>0.71475900459265795</v>
      </c>
      <c r="BH43" s="9">
        <f>'2'!CA43</f>
        <v>0.34387012601600742</v>
      </c>
      <c r="BI43" s="9">
        <f>'2'!CC43</f>
        <v>0.49068719128105531</v>
      </c>
      <c r="BJ43" s="9">
        <f>'3'!Y43</f>
        <v>0.48161275480134491</v>
      </c>
      <c r="BK43" s="9">
        <f>'8'!AO40</f>
        <v>0.52631429879034175</v>
      </c>
      <c r="BL43" s="9">
        <f t="shared" si="36"/>
        <v>0.49963395524259685</v>
      </c>
      <c r="BM43" s="9">
        <f t="shared" si="37"/>
        <v>0.55334331236635004</v>
      </c>
      <c r="BN43" s="9">
        <f>'1'!CK43</f>
        <v>0.58230504715343268</v>
      </c>
      <c r="BO43" s="9">
        <f>'1'!CM43</f>
        <v>0.65982458940258237</v>
      </c>
      <c r="BP43" s="9">
        <f>'2'!CK43</f>
        <v>0.57852148042930429</v>
      </c>
      <c r="BQ43" s="9">
        <f>'2'!CM43</f>
        <v>0.70509050201438339</v>
      </c>
      <c r="BR43" s="9">
        <f>'3'!AB43</f>
        <v>0.24171567320173007</v>
      </c>
      <c r="BS43" s="9">
        <f>'8'!AT40</f>
        <v>0.54506159028490564</v>
      </c>
      <c r="BT43" s="9">
        <f t="shared" si="38"/>
        <v>0.48690094776734316</v>
      </c>
      <c r="BU43" s="9">
        <f t="shared" si="39"/>
        <v>0.53792308872590033</v>
      </c>
      <c r="BV43" s="9">
        <f>'1'!CU43</f>
        <v>0.77732575418068017</v>
      </c>
      <c r="BW43" s="9">
        <f>'1'!CW43</f>
        <v>0.81756494731194584</v>
      </c>
      <c r="BX43" s="9">
        <f>'2'!CU43</f>
        <v>0.70766384053771147</v>
      </c>
      <c r="BY43" s="9">
        <f>'2'!CW43</f>
        <v>0.79552007001436353</v>
      </c>
      <c r="BZ43" s="9">
        <f>'3'!AE43</f>
        <v>0.64714629773438359</v>
      </c>
      <c r="CA43" s="9">
        <f>'8'!AY40</f>
        <v>0.63693588629069842</v>
      </c>
      <c r="CB43" s="9">
        <f t="shared" si="40"/>
        <v>0.69226794468586839</v>
      </c>
      <c r="CC43" s="9">
        <f t="shared" si="41"/>
        <v>0.7242918003378479</v>
      </c>
      <c r="CD43" s="9">
        <f>'1'!DE43</f>
        <v>0.77521463590000705</v>
      </c>
      <c r="CE43" s="9">
        <f>'1'!DG43</f>
        <v>0.81598479052293449</v>
      </c>
      <c r="CF43" s="9">
        <f>'2'!DE43</f>
        <v>0.4581115591036915</v>
      </c>
      <c r="CG43" s="9">
        <f>'2'!DG43</f>
        <v>0.60525571454050686</v>
      </c>
      <c r="CH43" s="9">
        <f>'3'!AH43</f>
        <v>0.36152238234555356</v>
      </c>
      <c r="CI43" s="9">
        <f>'8'!BD40</f>
        <v>0.54289205102477045</v>
      </c>
      <c r="CJ43" s="9">
        <f t="shared" si="42"/>
        <v>0.53443515709350564</v>
      </c>
      <c r="CK43" s="9">
        <f t="shared" si="43"/>
        <v>0.58141373460844137</v>
      </c>
    </row>
    <row r="44" spans="1:89">
      <c r="A44" s="1">
        <v>2006</v>
      </c>
      <c r="B44" s="9">
        <f>'1'!I44</f>
        <v>0.74822394374285328</v>
      </c>
      <c r="C44" s="9">
        <f>'1'!K44</f>
        <v>0.79555782174810696</v>
      </c>
      <c r="D44" s="9">
        <f>'2'!I44</f>
        <v>0.42590721115943969</v>
      </c>
      <c r="E44" s="9">
        <f>'2'!K44</f>
        <v>0.57525046146595071</v>
      </c>
      <c r="F44" s="9">
        <f>'3'!D44</f>
        <v>0.52715282225268989</v>
      </c>
      <c r="G44" s="9">
        <f>'8'!F41</f>
        <v>0.52194964780300157</v>
      </c>
      <c r="H44" s="9">
        <f t="shared" si="22"/>
        <v>0.55580840623949612</v>
      </c>
      <c r="I44" s="9">
        <f t="shared" si="23"/>
        <v>0.60497768831743737</v>
      </c>
      <c r="J44" s="9">
        <f>'1'!S44</f>
        <v>0.60711570287657335</v>
      </c>
      <c r="K44" s="9">
        <f>'1'!U44</f>
        <v>0.68133861141298679</v>
      </c>
      <c r="L44" s="9">
        <f>'2'!S44</f>
        <v>0.66147399510555338</v>
      </c>
      <c r="M44" s="9">
        <f>'2'!U44</f>
        <v>0.76482034015051148</v>
      </c>
      <c r="N44" s="9">
        <f>'3'!G44</f>
        <v>0.4691003005776756</v>
      </c>
      <c r="O44" s="9">
        <f>'8'!K41</f>
        <v>0.503064502170112</v>
      </c>
      <c r="P44" s="9">
        <f t="shared" si="24"/>
        <v>0.56018862518247858</v>
      </c>
      <c r="Q44" s="9">
        <f t="shared" si="25"/>
        <v>0.60458093857782147</v>
      </c>
      <c r="R44" s="9">
        <f>'1'!AC44</f>
        <v>0.64175689758933185</v>
      </c>
      <c r="S44" s="9">
        <f>'1'!AE44</f>
        <v>0.71061836891863062</v>
      </c>
      <c r="T44" s="9">
        <f>'2'!AC44</f>
        <v>0.26151208445577279</v>
      </c>
      <c r="U44" s="9">
        <f>'2'!AE44</f>
        <v>0.3906889405339487</v>
      </c>
      <c r="V44" s="9">
        <f>'3'!J44</f>
        <v>0.7375042739021751</v>
      </c>
      <c r="W44" s="9">
        <f>'8'!P41</f>
        <v>0.41895251853988613</v>
      </c>
      <c r="X44" s="9">
        <f t="shared" si="26"/>
        <v>0.51493144362179144</v>
      </c>
      <c r="Y44" s="9">
        <f t="shared" si="27"/>
        <v>0.56444102547366015</v>
      </c>
      <c r="Z44" s="9">
        <f>'1'!AM44</f>
        <v>0.7397523396094019</v>
      </c>
      <c r="AA44" s="9">
        <f>'1'!AO44</f>
        <v>0.78905880895977643</v>
      </c>
      <c r="AB44" s="9">
        <f>'2'!AM44</f>
        <v>0.29129625222689898</v>
      </c>
      <c r="AC44" s="9">
        <f>'2'!AO44</f>
        <v>0.42893690816449853</v>
      </c>
      <c r="AD44" s="9">
        <f>'3'!M44</f>
        <v>0.5268125760675364</v>
      </c>
      <c r="AE44" s="9">
        <f>'8'!U41</f>
        <v>0.47442374385681746</v>
      </c>
      <c r="AF44" s="9">
        <f t="shared" si="28"/>
        <v>0.50807122794016368</v>
      </c>
      <c r="AG44" s="9">
        <f t="shared" si="29"/>
        <v>0.55480800926215723</v>
      </c>
      <c r="AH44" s="9">
        <f>'1'!AW44</f>
        <v>0.61433476782738228</v>
      </c>
      <c r="AI44" s="9">
        <f>'1'!AY44</f>
        <v>0.68751195902798623</v>
      </c>
      <c r="AJ44" s="9">
        <f>'2'!AW44</f>
        <v>0.34199372268447509</v>
      </c>
      <c r="AK44" s="9">
        <f>'2'!AY44</f>
        <v>0.48859610130154052</v>
      </c>
      <c r="AL44" s="9">
        <f>'3'!P44</f>
        <v>0.43131973016319719</v>
      </c>
      <c r="AM44" s="9">
        <f>'8'!Z41</f>
        <v>0.42970624808759206</v>
      </c>
      <c r="AN44" s="9">
        <f t="shared" si="30"/>
        <v>0.45433861719066171</v>
      </c>
      <c r="AO44" s="9">
        <f t="shared" si="31"/>
        <v>0.50928350964507907</v>
      </c>
      <c r="AP44" s="9">
        <f>'1'!BG44</f>
        <v>0.66398235260167537</v>
      </c>
      <c r="AQ44" s="9">
        <f>'1'!BI44</f>
        <v>0.72895952749429382</v>
      </c>
      <c r="AR44" s="162">
        <f>'2'!BG44</f>
        <v>0.36578628677586084</v>
      </c>
      <c r="AS44" s="9">
        <f>'2'!BI44</f>
        <v>0.51455181197407462</v>
      </c>
      <c r="AT44" s="9">
        <f>'3'!S44</f>
        <v>0.57410892197845653</v>
      </c>
      <c r="AU44" s="9">
        <f>'8'!AE41</f>
        <v>0.5344464201294542</v>
      </c>
      <c r="AV44" s="9">
        <f t="shared" si="32"/>
        <v>0.53458099537136172</v>
      </c>
      <c r="AW44" s="9">
        <f t="shared" si="33"/>
        <v>0.5880166703940698</v>
      </c>
      <c r="AX44" s="9">
        <f>'1'!BQ44</f>
        <v>0.80030932253686493</v>
      </c>
      <c r="AY44" s="9">
        <f>'1'!BS44</f>
        <v>0.83460730376539338</v>
      </c>
      <c r="AZ44" s="9">
        <f>'2'!BQ44</f>
        <v>0.340401199053396</v>
      </c>
      <c r="BA44" s="9">
        <f>'2'!BS44</f>
        <v>0.48681524930613257</v>
      </c>
      <c r="BB44" s="9">
        <f>'3'!V44</f>
        <v>0.55441660086093891</v>
      </c>
      <c r="BC44" s="9">
        <f>'8'!AJ41</f>
        <v>0.47943308971779913</v>
      </c>
      <c r="BD44" s="9">
        <f t="shared" si="34"/>
        <v>0.54364005304224972</v>
      </c>
      <c r="BE44" s="9">
        <f t="shared" si="35"/>
        <v>0.58881806091256605</v>
      </c>
      <c r="BF44" s="9">
        <f>'1'!CA44</f>
        <v>0.67944169860101478</v>
      </c>
      <c r="BG44" s="9">
        <f>'1'!CC44</f>
        <v>0.74152030577034622</v>
      </c>
      <c r="BH44" s="9">
        <f>'2'!CA44</f>
        <v>0.36160520935213802</v>
      </c>
      <c r="BI44" s="9">
        <f>'2'!CC44</f>
        <v>0.51007651824868594</v>
      </c>
      <c r="BJ44" s="9">
        <f>'3'!Y44</f>
        <v>0.50298529058663566</v>
      </c>
      <c r="BK44" s="9">
        <f>'8'!AO41</f>
        <v>0.54980411080613856</v>
      </c>
      <c r="BL44" s="9">
        <f t="shared" si="36"/>
        <v>0.52345907733648178</v>
      </c>
      <c r="BM44" s="9">
        <f t="shared" si="37"/>
        <v>0.57609655635295165</v>
      </c>
      <c r="BN44" s="9">
        <f>'1'!CK44</f>
        <v>0.61691535423387922</v>
      </c>
      <c r="BO44" s="9">
        <f>'1'!CM44</f>
        <v>0.68970946093279106</v>
      </c>
      <c r="BP44" s="9">
        <f>'2'!CK44</f>
        <v>0.6055595697044075</v>
      </c>
      <c r="BQ44" s="9">
        <f>'2'!CM44</f>
        <v>0.72526464608287067</v>
      </c>
      <c r="BR44" s="9">
        <f>'3'!AB44</f>
        <v>0.28804552089360047</v>
      </c>
      <c r="BS44" s="9">
        <f>'8'!AT41</f>
        <v>0.53957873098526143</v>
      </c>
      <c r="BT44" s="9">
        <f t="shared" si="38"/>
        <v>0.51252479395428718</v>
      </c>
      <c r="BU44" s="9">
        <f t="shared" si="39"/>
        <v>0.56064958972363088</v>
      </c>
      <c r="BV44" s="9">
        <f>'1'!CU44</f>
        <v>0.82155636121690789</v>
      </c>
      <c r="BW44" s="9">
        <f>'1'!CW44</f>
        <v>0.8501061472123983</v>
      </c>
      <c r="BX44" s="9">
        <f>'2'!CU44</f>
        <v>0.76764795213749204</v>
      </c>
      <c r="BY44" s="9">
        <f>'2'!CW44</f>
        <v>0.83303909176405355</v>
      </c>
      <c r="BZ44" s="9">
        <f>'3'!AE44</f>
        <v>0.71123737991806979</v>
      </c>
      <c r="CA44" s="9">
        <f>'8'!AY41</f>
        <v>0.65962016254038347</v>
      </c>
      <c r="CB44" s="9">
        <f t="shared" si="40"/>
        <v>0.74001546395321327</v>
      </c>
      <c r="CC44" s="9">
        <f t="shared" si="41"/>
        <v>0.76350069535872622</v>
      </c>
      <c r="CD44" s="9">
        <f>'1'!DE44</f>
        <v>0.81287046766392557</v>
      </c>
      <c r="CE44" s="9">
        <f>'1'!DG44</f>
        <v>0.84379933290354203</v>
      </c>
      <c r="CF44" s="9">
        <f>'2'!DE44</f>
        <v>0.46242942920911284</v>
      </c>
      <c r="CG44" s="9">
        <f>'2'!DG44</f>
        <v>0.60915969145804394</v>
      </c>
      <c r="CH44" s="9">
        <f>'3'!AH44</f>
        <v>0.38694136955494662</v>
      </c>
      <c r="CI44" s="9">
        <f>'8'!BD41</f>
        <v>0.5260128679861612</v>
      </c>
      <c r="CJ44" s="9">
        <f t="shared" si="42"/>
        <v>0.54706353360353654</v>
      </c>
      <c r="CK44" s="9">
        <f t="shared" si="43"/>
        <v>0.59147831547567342</v>
      </c>
    </row>
    <row r="45" spans="1:89">
      <c r="A45" s="1">
        <v>2007</v>
      </c>
      <c r="B45" s="9">
        <f>'1'!I45</f>
        <v>0.78274165438300747</v>
      </c>
      <c r="C45" s="9">
        <f>'1'!K45</f>
        <v>0.82160725311650906</v>
      </c>
      <c r="D45" s="9">
        <f>'2'!I45</f>
        <v>0.42768292531287988</v>
      </c>
      <c r="E45" s="9">
        <f>'2'!K45</f>
        <v>0.57694729775435283</v>
      </c>
      <c r="F45" s="9">
        <f>'3'!D45</f>
        <v>0.53518203140115705</v>
      </c>
      <c r="G45" s="9">
        <f>'8'!F42</f>
        <v>0.52971044644617782</v>
      </c>
      <c r="H45" s="9">
        <f t="shared" si="22"/>
        <v>0.56882926438580561</v>
      </c>
      <c r="I45" s="9">
        <f t="shared" si="23"/>
        <v>0.61586175717954916</v>
      </c>
      <c r="J45" s="9">
        <f>'1'!S45</f>
        <v>0.6559587064521144</v>
      </c>
      <c r="K45" s="9">
        <f>'1'!U45</f>
        <v>0.72237714310924961</v>
      </c>
      <c r="L45" s="9">
        <f>'2'!S45</f>
        <v>0.71947291479627407</v>
      </c>
      <c r="M45" s="9">
        <f>'2'!U45</f>
        <v>0.80310703695324015</v>
      </c>
      <c r="N45" s="9">
        <f>'3'!G45</f>
        <v>0.5225744277441462</v>
      </c>
      <c r="O45" s="9">
        <f>'8'!K42</f>
        <v>0.47422061376665747</v>
      </c>
      <c r="P45" s="9">
        <f t="shared" si="24"/>
        <v>0.59305666568979809</v>
      </c>
      <c r="Q45" s="9">
        <f t="shared" si="25"/>
        <v>0.63056980539332341</v>
      </c>
      <c r="R45" s="9">
        <f>'1'!AC45</f>
        <v>0.66853084073780777</v>
      </c>
      <c r="S45" s="9">
        <f>'1'!AE45</f>
        <v>0.73267170806466719</v>
      </c>
      <c r="T45" s="9">
        <f>'2'!AC45</f>
        <v>0.265891661587077</v>
      </c>
      <c r="U45" s="9">
        <f>'2'!AE45</f>
        <v>0.39647885589714488</v>
      </c>
      <c r="V45" s="9">
        <f>'3'!J45</f>
        <v>0.80264168779177147</v>
      </c>
      <c r="W45" s="9">
        <f>'8'!P42</f>
        <v>0.45602704685559181</v>
      </c>
      <c r="X45" s="9">
        <f t="shared" si="26"/>
        <v>0.54827280924306199</v>
      </c>
      <c r="Y45" s="9">
        <f t="shared" si="27"/>
        <v>0.59695482465229377</v>
      </c>
      <c r="Z45" s="9">
        <f>'1'!AM45</f>
        <v>0.77687106671694695</v>
      </c>
      <c r="AA45" s="9">
        <f>'1'!AO45</f>
        <v>0.81722482931297291</v>
      </c>
      <c r="AB45" s="9">
        <f>'2'!AM45</f>
        <v>0.29846217273990971</v>
      </c>
      <c r="AC45" s="9">
        <f>'2'!AO45</f>
        <v>0.43776351756161452</v>
      </c>
      <c r="AD45" s="9">
        <f>'3'!M45</f>
        <v>0.48664826436349179</v>
      </c>
      <c r="AE45" s="9">
        <f>'8'!U42</f>
        <v>0.46240489681755076</v>
      </c>
      <c r="AF45" s="9">
        <f t="shared" si="28"/>
        <v>0.50609660015947477</v>
      </c>
      <c r="AG45" s="9">
        <f t="shared" si="29"/>
        <v>0.55101037701390754</v>
      </c>
      <c r="AH45" s="9">
        <f>'1'!AW45</f>
        <v>0.66373896871061133</v>
      </c>
      <c r="AI45" s="9">
        <f>'1'!AY45</f>
        <v>0.72876050189298491</v>
      </c>
      <c r="AJ45" s="9">
        <f>'2'!AW45</f>
        <v>0.35078395762648368</v>
      </c>
      <c r="AK45" s="9">
        <f>'2'!AY45</f>
        <v>0.49832563144138281</v>
      </c>
      <c r="AL45" s="9">
        <f>'3'!P45</f>
        <v>0.42375287452978916</v>
      </c>
      <c r="AM45" s="9">
        <f>'8'!Z42</f>
        <v>0.46219815595868874</v>
      </c>
      <c r="AN45" s="9">
        <f t="shared" si="30"/>
        <v>0.47511848920639321</v>
      </c>
      <c r="AO45" s="9">
        <f t="shared" si="31"/>
        <v>0.52825929095571134</v>
      </c>
      <c r="AP45" s="9">
        <f>'1'!BG45</f>
        <v>0.6945657394459801</v>
      </c>
      <c r="AQ45" s="9">
        <f>'1'!BI45</f>
        <v>0.75365686555642375</v>
      </c>
      <c r="AR45" s="162">
        <f>'2'!BG45</f>
        <v>0.37177909528293296</v>
      </c>
      <c r="AS45" s="9">
        <f>'2'!BI45</f>
        <v>0.5209048384379017</v>
      </c>
      <c r="AT45" s="9">
        <f>'3'!S45</f>
        <v>0.54629721444866153</v>
      </c>
      <c r="AU45" s="9">
        <f>'8'!AE42</f>
        <v>0.54179939300696378</v>
      </c>
      <c r="AV45" s="9">
        <f t="shared" si="32"/>
        <v>0.53861036054613454</v>
      </c>
      <c r="AW45" s="9">
        <f t="shared" si="33"/>
        <v>0.59066457786248772</v>
      </c>
      <c r="AX45" s="9">
        <f>'1'!BQ45</f>
        <v>0.83102631976755947</v>
      </c>
      <c r="AY45" s="9">
        <f>'1'!BS45</f>
        <v>0.85693695596324293</v>
      </c>
      <c r="AZ45" s="9">
        <f>'2'!BQ45</f>
        <v>0.34695529269353176</v>
      </c>
      <c r="BA45" s="9">
        <f>'2'!BS45</f>
        <v>0.49410852811911538</v>
      </c>
      <c r="BB45" s="9">
        <f>'3'!V45</f>
        <v>0.5745115262429128</v>
      </c>
      <c r="BC45" s="9">
        <f>'8'!AJ42</f>
        <v>0.48379150242867963</v>
      </c>
      <c r="BD45" s="9">
        <f t="shared" si="34"/>
        <v>0.55907116028317083</v>
      </c>
      <c r="BE45" s="9">
        <f t="shared" si="35"/>
        <v>0.60233712818848772</v>
      </c>
      <c r="BF45" s="9">
        <f>'1'!CA45</f>
        <v>0.71962194070955743</v>
      </c>
      <c r="BG45" s="9">
        <f>'1'!CC45</f>
        <v>0.77344302300398171</v>
      </c>
      <c r="BH45" s="9">
        <f>'2'!CA45</f>
        <v>0.36849160125548541</v>
      </c>
      <c r="BI45" s="9">
        <f>'2'!CC45</f>
        <v>0.51742862987364047</v>
      </c>
      <c r="BJ45" s="9">
        <f>'3'!Y45</f>
        <v>0.50809557824988527</v>
      </c>
      <c r="BK45" s="9">
        <f>'8'!AO42</f>
        <v>0.54530907348558999</v>
      </c>
      <c r="BL45" s="9">
        <f t="shared" si="36"/>
        <v>0.53537954842512958</v>
      </c>
      <c r="BM45" s="9">
        <f t="shared" si="37"/>
        <v>0.58606907615327442</v>
      </c>
      <c r="BN45" s="9">
        <f>'1'!CK45</f>
        <v>0.65693432593297085</v>
      </c>
      <c r="BO45" s="9">
        <f>'1'!CM45</f>
        <v>0.72317984803620705</v>
      </c>
      <c r="BP45" s="9">
        <f>'2'!CK45</f>
        <v>0.61600344737637414</v>
      </c>
      <c r="BQ45" s="9">
        <f>'2'!CM45</f>
        <v>0.73286744324366149</v>
      </c>
      <c r="BR45" s="9">
        <f>'3'!AB45</f>
        <v>0.43136279456039345</v>
      </c>
      <c r="BS45" s="9">
        <f>'8'!AT42</f>
        <v>0.5813283221004123</v>
      </c>
      <c r="BT45" s="9">
        <f t="shared" si="38"/>
        <v>0.57140722249253773</v>
      </c>
      <c r="BU45" s="9">
        <f t="shared" si="39"/>
        <v>0.61718460198516856</v>
      </c>
      <c r="BV45" s="9">
        <f>'1'!CU45</f>
        <v>0.86475982217625125</v>
      </c>
      <c r="BW45" s="9">
        <f>'1'!CW45</f>
        <v>0.88089473974849031</v>
      </c>
      <c r="BX45" s="9">
        <f>'2'!CU45</f>
        <v>0.72240354424069397</v>
      </c>
      <c r="BY45" s="9">
        <f>'2'!CW45</f>
        <v>0.80497412662572365</v>
      </c>
      <c r="BZ45" s="9">
        <f>'3'!AE45</f>
        <v>0.69283348731330996</v>
      </c>
      <c r="CA45" s="9">
        <f>'8'!AY42</f>
        <v>0.64713182237130851</v>
      </c>
      <c r="CB45" s="9">
        <f t="shared" si="40"/>
        <v>0.73178216902539095</v>
      </c>
      <c r="CC45" s="9">
        <f t="shared" si="41"/>
        <v>0.75645854401470802</v>
      </c>
      <c r="CD45" s="9">
        <f>'1'!DE45</f>
        <v>0.84963062949886803</v>
      </c>
      <c r="CE45" s="9">
        <f>'1'!DG45</f>
        <v>0.87022126154105894</v>
      </c>
      <c r="CF45" s="9">
        <f>'2'!DE45</f>
        <v>0.46386250113812744</v>
      </c>
      <c r="CG45" s="9">
        <f>'2'!DG45</f>
        <v>0.61044942685065262</v>
      </c>
      <c r="CH45" s="9">
        <f>'3'!AH45</f>
        <v>0.44873461455964792</v>
      </c>
      <c r="CI45" s="9">
        <f>'8'!BD42</f>
        <v>0.5516852389215201</v>
      </c>
      <c r="CJ45" s="9">
        <f t="shared" si="42"/>
        <v>0.57847824602954079</v>
      </c>
      <c r="CK45" s="9">
        <f t="shared" si="43"/>
        <v>0.62027263546821998</v>
      </c>
    </row>
    <row r="46" spans="1:89">
      <c r="A46" s="1">
        <v>2008</v>
      </c>
      <c r="B46" s="9">
        <f>'1'!I46</f>
        <v>0.80583389411014994</v>
      </c>
      <c r="C46" s="9">
        <f>'1'!K46</f>
        <v>0.83866057010893658</v>
      </c>
      <c r="D46" s="9">
        <f>'2'!I46</f>
        <v>0.47911064987499741</v>
      </c>
      <c r="E46" s="9">
        <f>'2'!K46</f>
        <v>0.62399230517300985</v>
      </c>
      <c r="F46" s="9">
        <f>'3'!D46</f>
        <v>0.49344838232948285</v>
      </c>
      <c r="G46" s="9">
        <f>'8'!F43</f>
        <v>0.52098448905782768</v>
      </c>
      <c r="H46" s="9">
        <f t="shared" ref="H46" si="44">SUM(B46,D46,F46,G46)/4</f>
        <v>0.5748443538431145</v>
      </c>
      <c r="I46" s="9">
        <f t="shared" ref="I46" si="45">SUM(C46,E46,F46,G46)/4</f>
        <v>0.61927143666731421</v>
      </c>
      <c r="J46" s="9">
        <f>'1'!S46</f>
        <v>0.71512018986386705</v>
      </c>
      <c r="K46" s="9">
        <f>'1'!U46</f>
        <v>0.76991703522837418</v>
      </c>
      <c r="L46" s="9">
        <f>'2'!S46</f>
        <v>0.78818108483662708</v>
      </c>
      <c r="M46" s="9">
        <f>'2'!U46</f>
        <v>0.84532781098708754</v>
      </c>
      <c r="N46" s="9">
        <f>'3'!G46</f>
        <v>0.4347167122262191</v>
      </c>
      <c r="O46" s="9">
        <f>'8'!K43</f>
        <v>0.47363544773355193</v>
      </c>
      <c r="P46" s="9">
        <f t="shared" ref="P46" si="46">SUM(J46,L46,N46,O46)/4</f>
        <v>0.60291335866506623</v>
      </c>
      <c r="Q46" s="9">
        <f t="shared" ref="Q46" si="47">SUM(K46,M46,N46,O46)/4</f>
        <v>0.63089925154380821</v>
      </c>
      <c r="R46" s="9">
        <f>'1'!AC46</f>
        <v>0.68491238251049869</v>
      </c>
      <c r="S46" s="9">
        <f>'1'!AE46</f>
        <v>0.74592748854801316</v>
      </c>
      <c r="T46" s="9">
        <f>'2'!AC46</f>
        <v>0.27622545623768457</v>
      </c>
      <c r="U46" s="9">
        <f>'2'!AE46</f>
        <v>0.40990863272765399</v>
      </c>
      <c r="V46" s="9">
        <f>'3'!J46</f>
        <v>0.68180358425468834</v>
      </c>
      <c r="W46" s="9">
        <f>'8'!P43</f>
        <v>0.4239921492289318</v>
      </c>
      <c r="X46" s="9">
        <f t="shared" ref="X46" si="48">SUM(R46,T46,V46,W46)/4</f>
        <v>0.51673339305795085</v>
      </c>
      <c r="Y46" s="9">
        <f t="shared" ref="Y46" si="49">SUM(S46,U46,V46,W46)/4</f>
        <v>0.56540796368982182</v>
      </c>
      <c r="Z46" s="9">
        <f>'1'!AM46</f>
        <v>0.80989374454177732</v>
      </c>
      <c r="AA46" s="9">
        <f>'1'!AO46</f>
        <v>0.84162869459795764</v>
      </c>
      <c r="AB46" s="9">
        <f>'2'!AM46</f>
        <v>0.30962992660515748</v>
      </c>
      <c r="AC46" s="9">
        <f>'2'!AO46</f>
        <v>0.45124894991336972</v>
      </c>
      <c r="AD46" s="9">
        <f>'3'!M46</f>
        <v>0.42745334617073449</v>
      </c>
      <c r="AE46" s="9">
        <f>'8'!U43</f>
        <v>0.43828585190456404</v>
      </c>
      <c r="AF46" s="9">
        <f t="shared" ref="AF46" si="50">SUM(Z46,AB46,AD46,AE46)/4</f>
        <v>0.49631571730555829</v>
      </c>
      <c r="AG46" s="9">
        <f t="shared" ref="AG46" si="51">SUM(AA46,AC46,AD46,AE46)/4</f>
        <v>0.53965421064665642</v>
      </c>
      <c r="AH46" s="9">
        <f>'1'!AW46</f>
        <v>0.68107601312331356</v>
      </c>
      <c r="AI46" s="9">
        <f>'1'!AY46</f>
        <v>0.74283895849037906</v>
      </c>
      <c r="AJ46" s="9">
        <f>'2'!AW46</f>
        <v>0.37018756012340487</v>
      </c>
      <c r="AK46" s="9">
        <f>'2'!AY46</f>
        <v>0.51922462673817538</v>
      </c>
      <c r="AL46" s="9">
        <f>'3'!P46</f>
        <v>0.46664458557383881</v>
      </c>
      <c r="AM46" s="9">
        <f>'8'!Z43</f>
        <v>0.44300580529577527</v>
      </c>
      <c r="AN46" s="9">
        <f t="shared" ref="AN46" si="52">SUM(AH46,AJ46,AL46,AM46)/4</f>
        <v>0.49022849102908311</v>
      </c>
      <c r="AO46" s="9">
        <f t="shared" ref="AO46" si="53">SUM(AI46,AK46,AL46,AM46)/4</f>
        <v>0.54292849402454213</v>
      </c>
      <c r="AP46" s="9">
        <f>'1'!BG46</f>
        <v>0.72529580636546875</v>
      </c>
      <c r="AQ46" s="9">
        <f>'1'!BI46</f>
        <v>0.77786931651514157</v>
      </c>
      <c r="AR46" s="162">
        <f>'2'!BG46</f>
        <v>0.38465959997018262</v>
      </c>
      <c r="AS46" s="9">
        <f>'2'!BI46</f>
        <v>0.53432136612352776</v>
      </c>
      <c r="AT46" s="9">
        <f>'3'!S46</f>
        <v>0.48578140509320167</v>
      </c>
      <c r="AU46" s="9">
        <f>'8'!AE43</f>
        <v>0.5309923609365208</v>
      </c>
      <c r="AV46" s="9">
        <f t="shared" ref="AV46" si="54">SUM(AP46,AR46,AT46,AU46)/4</f>
        <v>0.53168229309134341</v>
      </c>
      <c r="AW46" s="9">
        <f t="shared" ref="AW46" si="55">SUM(AQ46,AS46,AT46,AU46)/4</f>
        <v>0.58224111216709795</v>
      </c>
      <c r="AX46" s="9">
        <f>'1'!BQ46</f>
        <v>0.84862489336049207</v>
      </c>
      <c r="AY46" s="9">
        <f>'1'!BS46</f>
        <v>0.86950764465278574</v>
      </c>
      <c r="AZ46" s="9">
        <f>'2'!BQ46</f>
        <v>0.36273031146914259</v>
      </c>
      <c r="BA46" s="9">
        <f>'2'!BS46</f>
        <v>0.51128429942255593</v>
      </c>
      <c r="BB46" s="9">
        <f>'3'!V46</f>
        <v>0.51894797277583138</v>
      </c>
      <c r="BC46" s="9">
        <f>'8'!AJ43</f>
        <v>0.46402463332582</v>
      </c>
      <c r="BD46" s="9">
        <f t="shared" ref="BD46" si="56">SUM(AX46,AZ46,BB46,BC46)/4</f>
        <v>0.54858195273282151</v>
      </c>
      <c r="BE46" s="9">
        <f t="shared" ref="BE46" si="57">SUM(AY46,BA46,BB46,BC46)/4</f>
        <v>0.59094113754424826</v>
      </c>
      <c r="BF46" s="9">
        <f>'1'!CA46</f>
        <v>0.74282601191343089</v>
      </c>
      <c r="BG46" s="9">
        <f>'1'!CC46</f>
        <v>0.79142170147628566</v>
      </c>
      <c r="BH46" s="9">
        <f>'2'!CA46</f>
        <v>0.38952076550397019</v>
      </c>
      <c r="BI46" s="9">
        <f>'2'!CC46</f>
        <v>0.53930276419625633</v>
      </c>
      <c r="BJ46" s="9">
        <f>'3'!Y46</f>
        <v>0.57295653119191481</v>
      </c>
      <c r="BK46" s="9">
        <f>'8'!AO43</f>
        <v>0.55656450916064115</v>
      </c>
      <c r="BL46" s="9">
        <f t="shared" ref="BL46" si="58">SUM(BF46,BH46,BJ46,BK46)/4</f>
        <v>0.56546695444248929</v>
      </c>
      <c r="BM46" s="9">
        <f t="shared" ref="BM46" si="59">SUM(BG46,BI46,BJ46,BK46)/4</f>
        <v>0.61506137650627446</v>
      </c>
      <c r="BN46" s="9">
        <f>'1'!CK46</f>
        <v>0.69936242887256606</v>
      </c>
      <c r="BO46" s="9">
        <f>'1'!CM46</f>
        <v>0.75747529401680791</v>
      </c>
      <c r="BP46" s="9">
        <f>'2'!CK46</f>
        <v>0.6745406667701751</v>
      </c>
      <c r="BQ46" s="9">
        <f>'2'!CM46</f>
        <v>0.77367635915858646</v>
      </c>
      <c r="BR46" s="9">
        <f>'3'!AB46</f>
        <v>0.51635645721202372</v>
      </c>
      <c r="BS46" s="9">
        <f>'8'!AT43</f>
        <v>0.63483534072125725</v>
      </c>
      <c r="BT46" s="9">
        <f t="shared" ref="BT46" si="60">SUM(BN46,BP46,BR46,BS46)/4</f>
        <v>0.63127372339400556</v>
      </c>
      <c r="BU46" s="9">
        <f t="shared" ref="BU46" si="61">SUM(BO46,BQ46,BR46,BS46)/4</f>
        <v>0.67058586277716881</v>
      </c>
      <c r="BV46" s="9">
        <f>'1'!CU46</f>
        <v>0.88906274999430579</v>
      </c>
      <c r="BW46" s="9">
        <f>'1'!CW46</f>
        <v>0.89780371232101941</v>
      </c>
      <c r="BX46" s="9">
        <f>'2'!CU46</f>
        <v>0.91666666666666663</v>
      </c>
      <c r="BY46" s="9">
        <f>'2'!CW46</f>
        <v>0.91666666666666674</v>
      </c>
      <c r="BZ46" s="9">
        <f>'3'!AE46</f>
        <v>0.73403482298833467</v>
      </c>
      <c r="CA46" s="9">
        <f>'8'!AY43</f>
        <v>0.65600527393835106</v>
      </c>
      <c r="CB46" s="9">
        <f t="shared" ref="CB46" si="62">SUM(BV46,BX46,BZ46,CA46)/4</f>
        <v>0.79894237839691451</v>
      </c>
      <c r="CC46" s="9">
        <f t="shared" ref="CC46" si="63">SUM(BW46,BY46,BZ46,CA46)/4</f>
        <v>0.80112761897859297</v>
      </c>
      <c r="CD46" s="9">
        <f>'1'!DE46</f>
        <v>0.86222999470382578</v>
      </c>
      <c r="CE46" s="9">
        <f>'1'!DG46</f>
        <v>0.87911793917696424</v>
      </c>
      <c r="CF46" s="9">
        <f>'2'!DE46</f>
        <v>0.49466415723318619</v>
      </c>
      <c r="CG46" s="9">
        <f>'2'!DG46</f>
        <v>0.63747832208628719</v>
      </c>
      <c r="CH46" s="9">
        <f>'3'!AH46</f>
        <v>0.3433856429534306</v>
      </c>
      <c r="CI46" s="9">
        <f>'8'!BD43</f>
        <v>0.53503075504935782</v>
      </c>
      <c r="CJ46" s="9">
        <f t="shared" ref="CJ46" si="64">SUM(CD46,CF46,CH46,CI46)/4</f>
        <v>0.55882763748495012</v>
      </c>
      <c r="CK46" s="9">
        <f t="shared" ref="CK46" si="65">SUM(CE46,CG46,CH46,CI46)/4</f>
        <v>0.59875316481650986</v>
      </c>
    </row>
    <row r="47" spans="1:89">
      <c r="A47" s="1">
        <v>2009</v>
      </c>
      <c r="B47" s="9">
        <f>'1'!I47</f>
        <v>0.81159519848141226</v>
      </c>
      <c r="C47" s="9">
        <f>'1'!K47</f>
        <v>0.84286998213869713</v>
      </c>
      <c r="D47" s="9">
        <f>'2'!I47</f>
        <v>0.42718276285445739</v>
      </c>
      <c r="E47" s="9">
        <f>'2'!K47</f>
        <v>0.57646987051589094</v>
      </c>
      <c r="F47" s="9">
        <f>'3'!D47</f>
        <v>0.48990011732755612</v>
      </c>
      <c r="G47" s="9">
        <f>'8'!F44</f>
        <v>0.48573658005511883</v>
      </c>
      <c r="H47" s="9">
        <f t="shared" ref="H47" si="66">SUM(B47,D47,F47,G47)/4</f>
        <v>0.55360366467963618</v>
      </c>
      <c r="I47" s="9">
        <f t="shared" ref="I47" si="67">SUM(C47,E47,F47,G47)/4</f>
        <v>0.59874413750931577</v>
      </c>
      <c r="J47" s="9">
        <f>'1'!S47</f>
        <v>0.74530987547333027</v>
      </c>
      <c r="K47" s="9">
        <f>'1'!U47</f>
        <v>0.79332708014483178</v>
      </c>
      <c r="L47" s="9">
        <f>'2'!S47</f>
        <v>0.8126686150603466</v>
      </c>
      <c r="M47" s="9">
        <f>'2'!U47</f>
        <v>0.85964045404846057</v>
      </c>
      <c r="N47" s="9">
        <f>'3'!G47</f>
        <v>0.4904809624274809</v>
      </c>
      <c r="O47" s="9">
        <f>'8'!K44</f>
        <v>0.45899527638509663</v>
      </c>
      <c r="P47" s="9">
        <f t="shared" ref="P47" si="68">SUM(J47,L47,N47,O47)/4</f>
        <v>0.62686368233656364</v>
      </c>
      <c r="Q47" s="9">
        <f t="shared" ref="Q47" si="69">SUM(K47,M47,N47,O47)/4</f>
        <v>0.65061094325146751</v>
      </c>
      <c r="R47" s="9">
        <f>'1'!AC47</f>
        <v>0.71683542809959488</v>
      </c>
      <c r="S47" s="9">
        <f>'1'!AE47</f>
        <v>0.77126196833508209</v>
      </c>
      <c r="T47" s="9">
        <f>'2'!AC47</f>
        <v>0.27521788818408738</v>
      </c>
      <c r="U47" s="9">
        <f>'2'!AE47</f>
        <v>0.4086132226187924</v>
      </c>
      <c r="V47" s="9">
        <f>'3'!J47</f>
        <v>0.7859903746853204</v>
      </c>
      <c r="W47" s="9">
        <f>'8'!P44</f>
        <v>0.42819014567816238</v>
      </c>
      <c r="X47" s="9">
        <f t="shared" ref="X47" si="70">SUM(R47,T47,V47,W47)/4</f>
        <v>0.55155845916179125</v>
      </c>
      <c r="Y47" s="9">
        <f t="shared" ref="Y47" si="71">SUM(S47,U47,V47,W47)/4</f>
        <v>0.59851392782933932</v>
      </c>
      <c r="Z47" s="9">
        <f>'1'!AM47</f>
        <v>0.83727019376457168</v>
      </c>
      <c r="AA47" s="9">
        <f>'1'!AO47</f>
        <v>0.86141519172683745</v>
      </c>
      <c r="AB47" s="9">
        <f>'2'!AM47</f>
        <v>0.29485160884337808</v>
      </c>
      <c r="AC47" s="9">
        <f>'2'!AO47</f>
        <v>0.43333353197821756</v>
      </c>
      <c r="AD47" s="9">
        <f>'3'!M47</f>
        <v>0.43435666890078939</v>
      </c>
      <c r="AE47" s="9">
        <f>'8'!U44</f>
        <v>0.40225455394959675</v>
      </c>
      <c r="AF47" s="9">
        <f t="shared" ref="AF47" si="72">SUM(Z47,AB47,AD47,AE47)/4</f>
        <v>0.49218325636458399</v>
      </c>
      <c r="AG47" s="9">
        <f t="shared" ref="AG47" si="73">SUM(AA47,AC47,AD47,AE47)/4</f>
        <v>0.53283998663886023</v>
      </c>
      <c r="AH47" s="9">
        <f>'1'!AW47</f>
        <v>0.70272834587279165</v>
      </c>
      <c r="AI47" s="9">
        <f>'1'!AY47</f>
        <v>0.76014601381012648</v>
      </c>
      <c r="AJ47" s="9">
        <f>'2'!AW47</f>
        <v>0.34405645382478789</v>
      </c>
      <c r="AK47" s="9">
        <f>'2'!AY47</f>
        <v>0.49089441374804688</v>
      </c>
      <c r="AL47" s="9">
        <f>'3'!P47</f>
        <v>0.51945171804193502</v>
      </c>
      <c r="AM47" s="9">
        <f>'8'!Z44</f>
        <v>0.42334944065335423</v>
      </c>
      <c r="AN47" s="9">
        <f t="shared" ref="AN47" si="74">SUM(AH47,AJ47,AL47,AM47)/4</f>
        <v>0.49739648959821714</v>
      </c>
      <c r="AO47" s="9">
        <f t="shared" ref="AO47" si="75">SUM(AI47,AK47,AL47,AM47)/4</f>
        <v>0.54846039656336565</v>
      </c>
      <c r="AP47" s="9">
        <f>'1'!BG47</f>
        <v>0.74223082043253719</v>
      </c>
      <c r="AQ47" s="9">
        <f>'1'!BI47</f>
        <v>0.79096458520522717</v>
      </c>
      <c r="AR47" s="162">
        <f>'2'!BG47</f>
        <v>0.37003909407371349</v>
      </c>
      <c r="AS47" s="9">
        <f>'2'!BI47</f>
        <v>0.51906763217554075</v>
      </c>
      <c r="AT47" s="9">
        <f>'3'!S47</f>
        <v>0.55743456629889687</v>
      </c>
      <c r="AU47" s="9">
        <f>'8'!AE44</f>
        <v>0.49796487617219848</v>
      </c>
      <c r="AV47" s="9">
        <f t="shared" ref="AV47" si="76">SUM(AP47,AR47,AT47,AU47)/4</f>
        <v>0.54191733924433649</v>
      </c>
      <c r="AW47" s="9">
        <f t="shared" ref="AW47" si="77">SUM(AQ47,AS47,AT47,AU47)/4</f>
        <v>0.59135791496296586</v>
      </c>
      <c r="AX47" s="9">
        <f>'1'!BQ47</f>
        <v>0.85186627990389541</v>
      </c>
      <c r="AY47" s="9">
        <f>'1'!BS47</f>
        <v>0.87180572653822319</v>
      </c>
      <c r="AZ47" s="9">
        <f>'2'!BQ47</f>
        <v>0.3451465160515671</v>
      </c>
      <c r="BA47" s="9">
        <f>'2'!BS47</f>
        <v>0.49210518678505266</v>
      </c>
      <c r="BB47" s="9">
        <f>'3'!V47</f>
        <v>0.50214907569174194</v>
      </c>
      <c r="BC47" s="9">
        <f>'8'!AJ44</f>
        <v>0.43316800828593127</v>
      </c>
      <c r="BD47" s="9">
        <f t="shared" ref="BD47" si="78">SUM(AX47,AZ47,BB47,BC47)/4</f>
        <v>0.5330824699832839</v>
      </c>
      <c r="BE47" s="9">
        <f t="shared" ref="BE47" si="79">SUM(AY47,BA47,BB47,BC47)/4</f>
        <v>0.57480699932523727</v>
      </c>
      <c r="BF47" s="9">
        <f>'1'!CA47</f>
        <v>0.7565639608261242</v>
      </c>
      <c r="BG47" s="9">
        <f>'1'!CC47</f>
        <v>0.80191462742732689</v>
      </c>
      <c r="BH47" s="9">
        <f>'2'!CA47</f>
        <v>0.37044831612751117</v>
      </c>
      <c r="BI47" s="9">
        <f>'2'!CC47</f>
        <v>0.51950025560064539</v>
      </c>
      <c r="BJ47" s="9">
        <f>'3'!Y47</f>
        <v>0.57044824849781883</v>
      </c>
      <c r="BK47" s="9">
        <f>'8'!AO44</f>
        <v>0.52552605567741117</v>
      </c>
      <c r="BL47" s="9">
        <f t="shared" ref="BL47" si="80">SUM(BF47,BH47,BJ47,BK47)/4</f>
        <v>0.55574664528221629</v>
      </c>
      <c r="BM47" s="9">
        <f t="shared" ref="BM47" si="81">SUM(BG47,BI47,BJ47,BK47)/4</f>
        <v>0.60434729680080057</v>
      </c>
      <c r="BN47" s="9">
        <f>'1'!CK47</f>
        <v>0.69374528402758773</v>
      </c>
      <c r="BO47" s="9">
        <f>'1'!CM47</f>
        <v>0.75300226565837691</v>
      </c>
      <c r="BP47" s="9">
        <f>'2'!CK47</f>
        <v>0.63891609895147317</v>
      </c>
      <c r="BQ47" s="9">
        <f>'2'!CM47</f>
        <v>0.74919544101271807</v>
      </c>
      <c r="BR47" s="9">
        <f>'3'!AB47</f>
        <v>0.52324420602529553</v>
      </c>
      <c r="BS47" s="9">
        <f>'8'!AT44</f>
        <v>0.5954554782091106</v>
      </c>
      <c r="BT47" s="9">
        <f t="shared" ref="BT47" si="82">SUM(BN47,BP47,BR47,BS47)/4</f>
        <v>0.61284026680336678</v>
      </c>
      <c r="BU47" s="9">
        <f t="shared" ref="BU47" si="83">SUM(BO47,BQ47,BR47,BS47)/4</f>
        <v>0.65522434772637528</v>
      </c>
      <c r="BV47" s="9">
        <f>'1'!CU47</f>
        <v>0.87700599972243976</v>
      </c>
      <c r="BW47" s="9">
        <f>'1'!CW47</f>
        <v>0.88945109145284962</v>
      </c>
      <c r="BX47" s="9">
        <f>'2'!CU47</f>
        <v>0.84782283136184522</v>
      </c>
      <c r="BY47" s="9">
        <f>'2'!CW47</f>
        <v>0.87957087912203202</v>
      </c>
      <c r="BZ47" s="9">
        <f>'3'!AE47</f>
        <v>0.56330550852340866</v>
      </c>
      <c r="CA47" s="9">
        <f>'8'!AY44</f>
        <v>0.61584323728248902</v>
      </c>
      <c r="CB47" s="9">
        <f t="shared" ref="CB47" si="84">SUM(BV47,BX47,BZ47,CA47)/4</f>
        <v>0.72599439422254564</v>
      </c>
      <c r="CC47" s="9">
        <f t="shared" ref="CC47" si="85">SUM(BW47,BY47,BZ47,CA47)/4</f>
        <v>0.73704267909519483</v>
      </c>
      <c r="CD47" s="9">
        <f>'1'!DE47</f>
        <v>0.85586079389294423</v>
      </c>
      <c r="CE47" s="9">
        <f>'1'!DG47</f>
        <v>0.87463046942512224</v>
      </c>
      <c r="CF47" s="9">
        <f>'2'!DE47</f>
        <v>0.47230914776830207</v>
      </c>
      <c r="CG47" s="9">
        <f>'2'!DG47</f>
        <v>0.61799171047208967</v>
      </c>
      <c r="CH47" s="9">
        <f>'3'!AH47</f>
        <v>0.33362442119702618</v>
      </c>
      <c r="CI47" s="9">
        <f>'8'!BD44</f>
        <v>0.49199350820397819</v>
      </c>
      <c r="CJ47" s="9">
        <f t="shared" ref="CJ47" si="86">SUM(CD47,CF47,CH47,CI47)/4</f>
        <v>0.53844696776556267</v>
      </c>
      <c r="CK47" s="9">
        <f t="shared" ref="CK47" si="87">SUM(CE47,CG47,CH47,CI47)/4</f>
        <v>0.57956002732455414</v>
      </c>
    </row>
    <row r="48" spans="1:89">
      <c r="A48" s="1">
        <v>2010</v>
      </c>
      <c r="B48" s="9">
        <f>'1'!I48</f>
        <v>0.83603513861958567</v>
      </c>
      <c r="C48" s="9">
        <f>'1'!K48</f>
        <v>0.86053098459620181</v>
      </c>
      <c r="D48" s="9">
        <f>'2'!I48</f>
        <v>0.43582687101768375</v>
      </c>
      <c r="E48" s="9">
        <f>'2'!K48</f>
        <v>0.58466455153998442</v>
      </c>
      <c r="F48" s="9">
        <f>'3'!D48</f>
        <v>0.48990011732755612</v>
      </c>
      <c r="G48" s="9">
        <f>'8'!F45</f>
        <v>0.48472340768248307</v>
      </c>
      <c r="H48" s="9">
        <f t="shared" ref="H48" si="88">SUM(B48,D48,F48,G48)/4</f>
        <v>0.56162138366182712</v>
      </c>
      <c r="I48" s="9">
        <f t="shared" ref="I48" si="89">SUM(C48,E48,F48,G48)/4</f>
        <v>0.60495476528655634</v>
      </c>
      <c r="J48" s="9">
        <f>'1'!S48</f>
        <v>0.78807770795431809</v>
      </c>
      <c r="K48" s="9">
        <f>'1'!U48</f>
        <v>0.82557394304033982</v>
      </c>
      <c r="L48" s="9">
        <f>'2'!S48</f>
        <v>0.80272982683000638</v>
      </c>
      <c r="M48" s="9">
        <f>'2'!U48</f>
        <v>0.85387521792337062</v>
      </c>
      <c r="N48" s="9">
        <f>'3'!G48</f>
        <v>0.4904809624274809</v>
      </c>
      <c r="O48" s="9">
        <f>'8'!K45</f>
        <v>0.47297315923293426</v>
      </c>
      <c r="P48" s="9">
        <f t="shared" ref="P48" si="90">SUM(J48,L48,N48,O48)/4</f>
        <v>0.63856541411118495</v>
      </c>
      <c r="Q48" s="9">
        <f t="shared" ref="Q48" si="91">SUM(K48,M48,N48,O48)/4</f>
        <v>0.66072582065603136</v>
      </c>
      <c r="R48" s="9">
        <f>'1'!AC48</f>
        <v>0.74860183445626904</v>
      </c>
      <c r="S48" s="9">
        <f>'1'!AE48</f>
        <v>0.7958467334661814</v>
      </c>
      <c r="T48" s="9">
        <f>'2'!AC48</f>
        <v>0.28464226347746752</v>
      </c>
      <c r="U48" s="9">
        <f>'2'!AE48</f>
        <v>0.42061491634365228</v>
      </c>
      <c r="V48" s="9">
        <f>'3'!J48</f>
        <v>0.7859903746853204</v>
      </c>
      <c r="W48" s="9">
        <f>'8'!P45</f>
        <v>0.45422804823823049</v>
      </c>
      <c r="X48" s="9">
        <f t="shared" ref="X48" si="92">SUM(R48,T48,V48,W48)/4</f>
        <v>0.56836563021432185</v>
      </c>
      <c r="Y48" s="9">
        <f t="shared" ref="Y48" si="93">SUM(S48,U48,V48,W48)/4</f>
        <v>0.61417001818334616</v>
      </c>
      <c r="Z48" s="9">
        <f>'1'!AM48</f>
        <v>0.86656261342980634</v>
      </c>
      <c r="AA48" s="9">
        <f>'1'!AO48</f>
        <v>0.88215897705126389</v>
      </c>
      <c r="AB48" s="9">
        <f>'2'!AM48</f>
        <v>0.30164917372179045</v>
      </c>
      <c r="AC48" s="9">
        <f>'2'!AO48</f>
        <v>0.44164501971860437</v>
      </c>
      <c r="AD48" s="9">
        <f>'3'!M48</f>
        <v>0.43435666890078939</v>
      </c>
      <c r="AE48" s="9">
        <f>'8'!U45</f>
        <v>0.39301948177345436</v>
      </c>
      <c r="AF48" s="9">
        <f t="shared" ref="AF48" si="94">SUM(Z48,AB48,AD48,AE48)/4</f>
        <v>0.49889698445646014</v>
      </c>
      <c r="AG48" s="9">
        <f t="shared" ref="AG48" si="95">SUM(AA48,AC48,AD48,AE48)/4</f>
        <v>0.53779503686102803</v>
      </c>
      <c r="AH48" s="9">
        <f>'1'!AW48</f>
        <v>0.73322971093990053</v>
      </c>
      <c r="AI48" s="9">
        <f>'1'!AY48</f>
        <v>0.78402582967898138</v>
      </c>
      <c r="AJ48" s="9">
        <f>'2'!AW48</f>
        <v>0.34582441076233233</v>
      </c>
      <c r="AK48" s="9">
        <f>'2'!AY48</f>
        <v>0.49285683712402817</v>
      </c>
      <c r="AL48" s="9">
        <f>'3'!P48</f>
        <v>0.51945171804193502</v>
      </c>
      <c r="AM48" s="9">
        <f>'8'!Z45</f>
        <v>0.41103494289026249</v>
      </c>
      <c r="AN48" s="9">
        <f t="shared" ref="AN48" si="96">SUM(AH48,AJ48,AL48,AM48)/4</f>
        <v>0.50238519565860762</v>
      </c>
      <c r="AO48" s="9">
        <f t="shared" ref="AO48" si="97">SUM(AI48,AK48,AL48,AM48)/4</f>
        <v>0.55184233193380183</v>
      </c>
      <c r="AP48" s="9">
        <f>'1'!BG48</f>
        <v>0.76730257696181658</v>
      </c>
      <c r="AQ48" s="9">
        <f>'1'!BI48</f>
        <v>0.8100402110447309</v>
      </c>
      <c r="AR48" s="162">
        <f>'2'!BG48</f>
        <v>0.37458867321138462</v>
      </c>
      <c r="AS48" s="9">
        <f>'2'!BI48</f>
        <v>0.52385875895793443</v>
      </c>
      <c r="AT48" s="9">
        <f>'3'!S48</f>
        <v>0.55743456629889687</v>
      </c>
      <c r="AU48" s="9">
        <f>'8'!AE45</f>
        <v>0.49951556067048475</v>
      </c>
      <c r="AV48" s="9">
        <f t="shared" ref="AV48" si="98">SUM(AP48,AR48,AT48,AU48)/4</f>
        <v>0.54971034428564569</v>
      </c>
      <c r="AW48" s="9">
        <f t="shared" ref="AW48" si="99">SUM(AQ48,AS48,AT48,AU48)/4</f>
        <v>0.59771227424301177</v>
      </c>
      <c r="AX48" s="9">
        <f>'1'!BQ48</f>
        <v>0.87205048722580303</v>
      </c>
      <c r="AY48" s="9">
        <f>'1'!BS48</f>
        <v>0.885997567297651</v>
      </c>
      <c r="AZ48" s="9">
        <f>'2'!BQ48</f>
        <v>0.34987624280597179</v>
      </c>
      <c r="BA48" s="9">
        <f>'2'!BS48</f>
        <v>0.49732868083324477</v>
      </c>
      <c r="BB48" s="9">
        <f>'3'!V48</f>
        <v>0.50214907569174194</v>
      </c>
      <c r="BC48" s="9">
        <f>'8'!AJ45</f>
        <v>0.42629406192423747</v>
      </c>
      <c r="BD48" s="9">
        <f t="shared" ref="BD48" si="100">SUM(AX48,AZ48,BB48,BC48)/4</f>
        <v>0.53759246691193852</v>
      </c>
      <c r="BE48" s="9">
        <f t="shared" ref="BE48" si="101">SUM(AY48,BA48,BB48,BC48)/4</f>
        <v>0.57794234643671882</v>
      </c>
      <c r="BF48" s="9">
        <f>'1'!CA48</f>
        <v>0.78270217470703973</v>
      </c>
      <c r="BG48" s="9">
        <f>'1'!CC48</f>
        <v>0.82157784580449233</v>
      </c>
      <c r="BH48" s="9">
        <f>'2'!CA48</f>
        <v>0.37551026795015141</v>
      </c>
      <c r="BI48" s="9">
        <f>'2'!CC48</f>
        <v>0.52482433047163057</v>
      </c>
      <c r="BJ48" s="9">
        <f>'3'!Y48</f>
        <v>0.57044824849781883</v>
      </c>
      <c r="BK48" s="9">
        <f>'8'!AO45</f>
        <v>0.52085201986743479</v>
      </c>
      <c r="BL48" s="9">
        <f t="shared" ref="BL48" si="102">SUM(BF48,BH48,BJ48,BK48)/4</f>
        <v>0.56237817775561116</v>
      </c>
      <c r="BM48" s="9">
        <f t="shared" ref="BM48" si="103">SUM(BG48,BI48,BJ48,BK48)/4</f>
        <v>0.60942561116034411</v>
      </c>
      <c r="BN48" s="9">
        <f>'1'!CK48</f>
        <v>0.71898537493791903</v>
      </c>
      <c r="BO48" s="9">
        <f>'1'!CM48</f>
        <v>0.77294519305769782</v>
      </c>
      <c r="BP48" s="9">
        <f>'2'!CK48</f>
        <v>0.6326724544753124</v>
      </c>
      <c r="BQ48" s="9">
        <f>'2'!CM48</f>
        <v>0.74479289119766179</v>
      </c>
      <c r="BR48" s="9">
        <f>'3'!AB48</f>
        <v>0.52324420602529553</v>
      </c>
      <c r="BS48" s="9">
        <f>'8'!AT45</f>
        <v>0.59553343581439844</v>
      </c>
      <c r="BT48" s="9">
        <f t="shared" ref="BT48" si="104">SUM(BN48,BP48,BR48,BS48)/4</f>
        <v>0.61760886781323132</v>
      </c>
      <c r="BU48" s="9">
        <f t="shared" ref="BU48" si="105">SUM(BO48,BQ48,BR48,BS48)/4</f>
        <v>0.6591289315237634</v>
      </c>
      <c r="BV48" s="9">
        <f>'1'!CU48</f>
        <v>0.91666666666666674</v>
      </c>
      <c r="BW48" s="9">
        <f>'1'!CW48</f>
        <v>0.91666666666666707</v>
      </c>
      <c r="BX48" s="9">
        <f>'2'!CU48</f>
        <v>0.83053411157346535</v>
      </c>
      <c r="BY48" s="9">
        <f>'2'!CW48</f>
        <v>0.86985742916875586</v>
      </c>
      <c r="BZ48" s="9">
        <f>'3'!AE48</f>
        <v>0.56330550852340866</v>
      </c>
      <c r="CA48" s="9">
        <f>'8'!AY45</f>
        <v>0.62013965685631289</v>
      </c>
      <c r="CB48" s="9">
        <f t="shared" ref="CB48" si="106">SUM(BV48,BX48,BZ48,CA48)/4</f>
        <v>0.73266148590496349</v>
      </c>
      <c r="CC48" s="9">
        <f t="shared" ref="CC48" si="107">SUM(BW48,BY48,BZ48,CA48)/4</f>
        <v>0.74249231530378612</v>
      </c>
      <c r="CD48" s="9">
        <f>'1'!DE48</f>
        <v>0.87741125227275085</v>
      </c>
      <c r="CE48" s="9">
        <f>'1'!DG48</f>
        <v>0.88973298392674738</v>
      </c>
      <c r="CF48" s="9">
        <f>'2'!DE48</f>
        <v>0.47356861023263919</v>
      </c>
      <c r="CG48" s="9">
        <f>'2'!DG48</f>
        <v>0.61910770768938905</v>
      </c>
      <c r="CH48" s="9">
        <f>'3'!AH48</f>
        <v>0.33362442119702618</v>
      </c>
      <c r="CI48" s="9">
        <f>'8'!BD45</f>
        <v>0.49116511425617471</v>
      </c>
      <c r="CJ48" s="9">
        <f t="shared" ref="CJ48" si="108">SUM(CD48,CF48,CH48,CI48)/4</f>
        <v>0.5439423494896477</v>
      </c>
      <c r="CK48" s="9">
        <f t="shared" ref="CK48" si="109">SUM(CE48,CG48,CH48,CI48)/4</f>
        <v>0.58340755676733436</v>
      </c>
    </row>
    <row r="49" spans="1:138">
      <c r="B49" s="267" t="s">
        <v>968</v>
      </c>
      <c r="C49" s="9"/>
      <c r="D49" s="9"/>
      <c r="E49" s="9"/>
      <c r="F49" s="9"/>
      <c r="G49" s="9"/>
      <c r="H49" s="9"/>
      <c r="I49" s="9"/>
      <c r="J49" s="9"/>
      <c r="K49" s="9"/>
      <c r="L49" s="9"/>
      <c r="M49" s="9"/>
      <c r="N49" s="9"/>
      <c r="O49" s="9"/>
      <c r="P49" s="9"/>
      <c r="Q49" s="9"/>
      <c r="R49" s="267" t="s">
        <v>968</v>
      </c>
      <c r="S49" s="9"/>
      <c r="T49" s="9"/>
      <c r="U49" s="9"/>
      <c r="V49" s="9"/>
      <c r="W49" s="9"/>
      <c r="X49" s="9"/>
      <c r="Y49" s="9"/>
      <c r="Z49" s="9"/>
      <c r="AA49" s="9"/>
      <c r="AB49" s="9"/>
      <c r="AC49" s="9"/>
      <c r="AD49" s="9"/>
      <c r="AE49" s="9"/>
      <c r="AF49" s="9"/>
      <c r="AG49" s="9"/>
      <c r="AH49" s="267" t="s">
        <v>968</v>
      </c>
      <c r="AI49" s="9"/>
      <c r="AJ49" s="9"/>
      <c r="AK49" s="9"/>
      <c r="AL49" s="9"/>
      <c r="AM49" s="9"/>
      <c r="AN49" s="9"/>
      <c r="AO49" s="9"/>
      <c r="AP49" s="9"/>
      <c r="AQ49" s="9"/>
      <c r="AR49" s="162"/>
      <c r="AS49" s="9"/>
      <c r="AT49" s="9"/>
      <c r="AU49" s="9"/>
      <c r="AV49" s="9"/>
      <c r="AW49" s="9"/>
      <c r="AX49" s="267" t="s">
        <v>968</v>
      </c>
      <c r="AY49" s="9"/>
      <c r="AZ49" s="9"/>
      <c r="BA49" s="9"/>
      <c r="BB49" s="9"/>
      <c r="BC49" s="9"/>
      <c r="BD49" s="9"/>
      <c r="BE49" s="9"/>
      <c r="BF49" s="9"/>
      <c r="BG49" s="9"/>
      <c r="BH49" s="9"/>
      <c r="BI49" s="9"/>
      <c r="BJ49" s="9"/>
      <c r="BK49" s="9"/>
      <c r="BL49" s="9"/>
      <c r="BM49" s="9"/>
      <c r="BN49" s="267" t="s">
        <v>968</v>
      </c>
      <c r="BO49" s="9"/>
      <c r="BP49" s="9"/>
      <c r="BQ49" s="9"/>
      <c r="BR49" s="9"/>
      <c r="BS49" s="9"/>
      <c r="BT49" s="9"/>
      <c r="BU49" s="9"/>
      <c r="BV49" s="9"/>
      <c r="BW49" s="9"/>
      <c r="BX49" s="9"/>
      <c r="BY49" s="9"/>
      <c r="BZ49" s="9"/>
      <c r="CA49" s="9"/>
      <c r="CB49" s="9"/>
      <c r="CC49" s="9"/>
      <c r="CD49" s="267" t="s">
        <v>968</v>
      </c>
      <c r="CE49" s="9"/>
      <c r="CF49" s="9"/>
      <c r="CG49" s="9"/>
      <c r="CH49" s="9"/>
      <c r="CI49" s="9"/>
      <c r="CJ49" s="9"/>
      <c r="CK49" s="9"/>
    </row>
    <row r="50" spans="1:138" s="252" customFormat="1">
      <c r="A50" s="252" t="s">
        <v>988</v>
      </c>
      <c r="B50" s="253">
        <f t="shared" ref="B50:AG50" si="110">B48-B19</f>
        <v>0.57101489756468671</v>
      </c>
      <c r="C50" s="253">
        <f t="shared" si="110"/>
        <v>0.52699966169184953</v>
      </c>
      <c r="D50" s="253">
        <f t="shared" si="110"/>
        <v>0.18314700393603206</v>
      </c>
      <c r="E50" s="253">
        <f t="shared" si="110"/>
        <v>0.20583658740676353</v>
      </c>
      <c r="F50" s="253">
        <f t="shared" si="110"/>
        <v>-0.15160215218864448</v>
      </c>
      <c r="G50" s="253">
        <f t="shared" si="110"/>
        <v>-0.14729254529242658</v>
      </c>
      <c r="H50" s="253">
        <f t="shared" si="110"/>
        <v>0.11381680100491187</v>
      </c>
      <c r="I50" s="253">
        <f t="shared" si="110"/>
        <v>0.10848538790438544</v>
      </c>
      <c r="J50" s="271">
        <f t="shared" si="110"/>
        <v>0.70474437462098471</v>
      </c>
      <c r="K50" s="271">
        <f t="shared" si="110"/>
        <v>0.74224060970700689</v>
      </c>
      <c r="L50" s="271">
        <f t="shared" si="110"/>
        <v>0.6284986011683662</v>
      </c>
      <c r="M50" s="271">
        <f t="shared" si="110"/>
        <v>0.59308290018035525</v>
      </c>
      <c r="N50" s="271">
        <f t="shared" si="110"/>
        <v>4.7123426753133912E-2</v>
      </c>
      <c r="O50" s="271">
        <f t="shared" si="110"/>
        <v>5.9871084417736919E-2</v>
      </c>
      <c r="P50" s="271">
        <f t="shared" si="110"/>
        <v>0.36005937174005548</v>
      </c>
      <c r="Q50" s="271">
        <f t="shared" si="110"/>
        <v>0.36057950526455818</v>
      </c>
      <c r="R50" s="271">
        <f t="shared" si="110"/>
        <v>0.55343308707350136</v>
      </c>
      <c r="S50" s="271">
        <f t="shared" si="110"/>
        <v>0.55121172964171672</v>
      </c>
      <c r="T50" s="271">
        <f t="shared" si="110"/>
        <v>0.2013089301441342</v>
      </c>
      <c r="U50" s="271">
        <f t="shared" si="110"/>
        <v>0.33728158301031902</v>
      </c>
      <c r="V50" s="271">
        <f t="shared" si="110"/>
        <v>0.34400916466293646</v>
      </c>
      <c r="W50" s="271">
        <f t="shared" si="110"/>
        <v>3.0867184475913412E-3</v>
      </c>
      <c r="X50" s="271">
        <f t="shared" si="110"/>
        <v>0.27545947508204083</v>
      </c>
      <c r="Y50" s="271">
        <f t="shared" si="110"/>
        <v>0.30889729894064089</v>
      </c>
      <c r="Z50" s="271">
        <f t="shared" si="110"/>
        <v>0.63653452906181052</v>
      </c>
      <c r="AA50" s="271">
        <f t="shared" si="110"/>
        <v>0.59216635960636865</v>
      </c>
      <c r="AB50" s="271">
        <f t="shared" si="110"/>
        <v>0.16246078353751528</v>
      </c>
      <c r="AC50" s="271">
        <f t="shared" si="110"/>
        <v>0.24281383787223793</v>
      </c>
      <c r="AD50" s="271">
        <f t="shared" si="110"/>
        <v>-9.0190986166141074E-2</v>
      </c>
      <c r="AE50" s="271">
        <f t="shared" si="110"/>
        <v>-0.23641705718416761</v>
      </c>
      <c r="AF50" s="271">
        <f t="shared" si="110"/>
        <v>0.1180968173122543</v>
      </c>
      <c r="AG50" s="271">
        <f t="shared" si="110"/>
        <v>0.12709303853207449</v>
      </c>
      <c r="AH50" s="271">
        <f t="shared" ref="AH50:BM50" si="111">AH48-AH19</f>
        <v>0.63642062963325829</v>
      </c>
      <c r="AI50" s="271">
        <f t="shared" si="111"/>
        <v>0.67981052566734734</v>
      </c>
      <c r="AJ50" s="271">
        <f t="shared" si="111"/>
        <v>0.18802268955044726</v>
      </c>
      <c r="AK50" s="271">
        <f t="shared" si="111"/>
        <v>0.26026659146139808</v>
      </c>
      <c r="AL50" s="271">
        <f t="shared" si="111"/>
        <v>0.1690179602852091</v>
      </c>
      <c r="AM50" s="271">
        <f t="shared" si="111"/>
        <v>-0.10913641838832439</v>
      </c>
      <c r="AN50" s="271">
        <f t="shared" si="111"/>
        <v>0.22108121527014757</v>
      </c>
      <c r="AO50" s="271">
        <f t="shared" si="111"/>
        <v>0.2499896647564076</v>
      </c>
      <c r="AP50" s="271">
        <f t="shared" si="111"/>
        <v>0.57919077072023861</v>
      </c>
      <c r="AQ50" s="271">
        <f t="shared" si="111"/>
        <v>0.57484495076610687</v>
      </c>
      <c r="AR50" s="271">
        <f t="shared" si="111"/>
        <v>0.17482991316766019</v>
      </c>
      <c r="AS50" s="271">
        <f t="shared" si="111"/>
        <v>0.22187435906936931</v>
      </c>
      <c r="AT50" s="271">
        <f t="shared" si="111"/>
        <v>-4.0065238625625055E-2</v>
      </c>
      <c r="AU50" s="271">
        <f t="shared" si="111"/>
        <v>-6.1617509528376857E-2</v>
      </c>
      <c r="AV50" s="271">
        <f t="shared" si="111"/>
        <v>0.16308448393347419</v>
      </c>
      <c r="AW50" s="271">
        <f t="shared" si="111"/>
        <v>0.17375914042036855</v>
      </c>
      <c r="AX50" s="271">
        <f t="shared" si="111"/>
        <v>0.59451200281631178</v>
      </c>
      <c r="AY50" s="271">
        <f t="shared" si="111"/>
        <v>0.53734256508584677</v>
      </c>
      <c r="AZ50" s="271">
        <f t="shared" si="111"/>
        <v>0.1533931942643777</v>
      </c>
      <c r="BA50" s="271">
        <f t="shared" si="111"/>
        <v>0.20046434141942687</v>
      </c>
      <c r="BB50" s="271">
        <f t="shared" si="111"/>
        <v>-0.26056292854650698</v>
      </c>
      <c r="BC50" s="271">
        <f t="shared" si="111"/>
        <v>-0.25558122083750257</v>
      </c>
      <c r="BD50" s="271">
        <f t="shared" si="111"/>
        <v>5.7940261924169956E-2</v>
      </c>
      <c r="BE50" s="271">
        <f t="shared" si="111"/>
        <v>5.5415689280316038E-2</v>
      </c>
      <c r="BF50" s="271">
        <f t="shared" si="111"/>
        <v>0.56907647094817926</v>
      </c>
      <c r="BG50" s="271">
        <f t="shared" si="111"/>
        <v>0.55266968273139438</v>
      </c>
      <c r="BH50" s="271">
        <f t="shared" si="111"/>
        <v>0.13313518264443336</v>
      </c>
      <c r="BI50" s="271">
        <f t="shared" si="111"/>
        <v>0.16015874847227535</v>
      </c>
      <c r="BJ50" s="271">
        <f t="shared" si="111"/>
        <v>8.6895973106219659E-2</v>
      </c>
      <c r="BK50" s="271">
        <f t="shared" si="111"/>
        <v>-9.3690301318484659E-2</v>
      </c>
      <c r="BL50" s="271">
        <f t="shared" si="111"/>
        <v>0.17385433134508688</v>
      </c>
      <c r="BM50" s="271">
        <f t="shared" si="111"/>
        <v>0.17650852574785114</v>
      </c>
      <c r="BN50" s="271">
        <f t="shared" ref="BN50:CK50" si="112">BN48-BN19</f>
        <v>0.47960473711327534</v>
      </c>
      <c r="BO50" s="271">
        <f t="shared" si="112"/>
        <v>0.47112764582949834</v>
      </c>
      <c r="BP50" s="271">
        <f t="shared" si="112"/>
        <v>0.28894961885146009</v>
      </c>
      <c r="BQ50" s="271">
        <f t="shared" si="112"/>
        <v>0.2542695614050039</v>
      </c>
      <c r="BR50" s="271">
        <f t="shared" si="112"/>
        <v>0.14717759535715802</v>
      </c>
      <c r="BS50" s="271">
        <f t="shared" si="112"/>
        <v>-0.12529830991380131</v>
      </c>
      <c r="BT50" s="271">
        <f t="shared" si="112"/>
        <v>0.19760841035202303</v>
      </c>
      <c r="BU50" s="271">
        <f t="shared" si="112"/>
        <v>0.18681912316946481</v>
      </c>
      <c r="BV50" s="271">
        <f t="shared" si="112"/>
        <v>0.51530856045630746</v>
      </c>
      <c r="BW50" s="271">
        <f t="shared" si="112"/>
        <v>0.42965142359708519</v>
      </c>
      <c r="BX50" s="271">
        <f t="shared" si="112"/>
        <v>0.25113214660062633</v>
      </c>
      <c r="BY50" s="271">
        <f t="shared" si="112"/>
        <v>0.16409843359580667</v>
      </c>
      <c r="BZ50" s="271">
        <f t="shared" si="112"/>
        <v>-0.15086982027006024</v>
      </c>
      <c r="CA50" s="271">
        <f t="shared" si="112"/>
        <v>-9.2749363114025152E-2</v>
      </c>
      <c r="CB50" s="271">
        <f t="shared" si="112"/>
        <v>0.13070538091821216</v>
      </c>
      <c r="CC50" s="271">
        <f t="shared" si="112"/>
        <v>8.7532668452201645E-2</v>
      </c>
      <c r="CD50" s="271">
        <f t="shared" si="112"/>
        <v>0.50976287916817531</v>
      </c>
      <c r="CE50" s="271">
        <f t="shared" si="112"/>
        <v>0.43851823425233838</v>
      </c>
      <c r="CF50" s="271">
        <f t="shared" si="112"/>
        <v>0.16262935857309907</v>
      </c>
      <c r="CG50" s="271">
        <f t="shared" si="112"/>
        <v>0.16629868018097599</v>
      </c>
      <c r="CH50" s="271">
        <f t="shared" si="112"/>
        <v>-0.32684605512047138</v>
      </c>
      <c r="CI50" s="271">
        <f t="shared" si="112"/>
        <v>-0.11836549296246568</v>
      </c>
      <c r="CJ50" s="253">
        <f t="shared" si="112"/>
        <v>5.6795172414584316E-2</v>
      </c>
      <c r="CK50" s="271">
        <f t="shared" si="112"/>
        <v>3.9901341587594286E-2</v>
      </c>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c r="B51" s="1" t="s">
        <v>21</v>
      </c>
      <c r="Z51" s="1" t="s">
        <v>380</v>
      </c>
      <c r="AX51" s="1" t="s">
        <v>380</v>
      </c>
      <c r="BV51" s="1" t="s">
        <v>380</v>
      </c>
    </row>
    <row r="52" spans="1:138">
      <c r="B52" s="1" t="s">
        <v>1137</v>
      </c>
    </row>
    <row r="53" spans="1:138">
      <c r="B53" s="1">
        <f>B50/B19</f>
        <v>2.1546086264648783</v>
      </c>
      <c r="C53" s="1">
        <f t="shared" ref="C53:R53" si="113">C50/C19</f>
        <v>1.5800604785865304</v>
      </c>
      <c r="D53" s="1">
        <f t="shared" si="113"/>
        <v>0.72481834841574222</v>
      </c>
      <c r="E53" s="1">
        <f t="shared" si="113"/>
        <v>0.54335109045534402</v>
      </c>
      <c r="F53" s="1">
        <f t="shared" si="113"/>
        <v>-0.23632364122885757</v>
      </c>
      <c r="G53" s="1">
        <f t="shared" si="113"/>
        <v>-0.23305194212126784</v>
      </c>
      <c r="H53" s="1">
        <f t="shared" si="113"/>
        <v>0.25416622654822724</v>
      </c>
      <c r="I53" s="1">
        <f t="shared" si="113"/>
        <v>0.21851375502033402</v>
      </c>
      <c r="J53" s="1">
        <f t="shared" si="113"/>
        <v>8.4569324954518184</v>
      </c>
      <c r="K53" s="1">
        <f t="shared" si="113"/>
        <v>8.9068873164841289</v>
      </c>
      <c r="L53" s="1">
        <f t="shared" si="113"/>
        <v>3.6072672896701095</v>
      </c>
      <c r="M53" s="1">
        <f t="shared" si="113"/>
        <v>2.274157863671348</v>
      </c>
      <c r="N53" s="1">
        <f t="shared" si="113"/>
        <v>0.1062876413760717</v>
      </c>
      <c r="O53" s="1">
        <f t="shared" si="113"/>
        <v>0.14493048587209459</v>
      </c>
      <c r="P53" s="1">
        <f t="shared" si="113"/>
        <v>1.2928242729479107</v>
      </c>
      <c r="R53" s="1">
        <f t="shared" si="113"/>
        <v>2.8356644928816426</v>
      </c>
      <c r="T53" s="1">
        <f t="shared" ref="T53" si="114">T50/T19</f>
        <v>2.4157071617296104</v>
      </c>
      <c r="Z53" s="1">
        <f t="shared" ref="Z53" si="115">Z50/Z19</f>
        <v>2.7672035386926543</v>
      </c>
      <c r="AB53" s="1">
        <f t="shared" ref="AB53" si="116">AB50/AB19</f>
        <v>1.1672006790396037</v>
      </c>
      <c r="AD53" s="1">
        <f t="shared" ref="AD53:AE53" si="117">AD50/AD19</f>
        <v>-0.1719405001527135</v>
      </c>
      <c r="AE53" s="1">
        <f t="shared" si="117"/>
        <v>-0.37560110122568663</v>
      </c>
      <c r="AH53" s="1">
        <f t="shared" ref="AH53" si="118">AH50/AH19</f>
        <v>6.5739765427315566</v>
      </c>
      <c r="AJ53" s="1">
        <f t="shared" ref="AJ53" si="119">AJ50/AJ19</f>
        <v>1.1915122858386544</v>
      </c>
      <c r="AM53" s="1">
        <f t="shared" ref="AM53" si="120">AM50/AM19</f>
        <v>-0.20980858715494424</v>
      </c>
      <c r="AP53" s="1">
        <f t="shared" ref="AP53" si="121">AP50/AP19</f>
        <v>3.0789708646804814</v>
      </c>
      <c r="AR53" s="1">
        <f t="shared" ref="AR53" si="122">AR50/AR19</f>
        <v>0.87520523820528495</v>
      </c>
      <c r="AT53" s="1">
        <f t="shared" ref="AT53:AU53" si="123">AT50/AT19</f>
        <v>-6.7054814571339022E-2</v>
      </c>
      <c r="AU53" s="1">
        <f t="shared" si="123"/>
        <v>-0.10980908593845672</v>
      </c>
      <c r="AX53" s="1">
        <f t="shared" ref="AX53" si="124">AX50/AX19</f>
        <v>2.1420885254210198</v>
      </c>
      <c r="AZ53" s="1">
        <f t="shared" ref="AZ53" si="125">AZ50/AZ19</f>
        <v>0.78069429094747289</v>
      </c>
      <c r="BB53" s="1">
        <f t="shared" ref="BB53:BC53" si="126">BB50/BB19</f>
        <v>-0.34162688812894931</v>
      </c>
      <c r="BC53" s="1">
        <f t="shared" si="126"/>
        <v>-0.37482106669469556</v>
      </c>
      <c r="BF53" s="1">
        <f t="shared" ref="BF53" si="127">BF50/BF19</f>
        <v>2.6638951256097423</v>
      </c>
      <c r="BH53" s="1">
        <f t="shared" ref="BH53" si="128">BH50/BH19</f>
        <v>0.5492940104652434</v>
      </c>
      <c r="BK53" s="1">
        <f t="shared" ref="BK53" si="129">BK50/BK19</f>
        <v>-0.15245540964157656</v>
      </c>
      <c r="BN53" s="1">
        <f t="shared" ref="BN53" si="130">BN50/BN19</f>
        <v>2.0035235158183755</v>
      </c>
      <c r="BP53" s="1">
        <f t="shared" ref="BP53" si="131">BP50/BP19</f>
        <v>0.84064714038280419</v>
      </c>
      <c r="BS53" s="1">
        <f t="shared" ref="BS53" si="132">BS50/BS19</f>
        <v>-0.17382462780856336</v>
      </c>
      <c r="BV53" s="1">
        <f t="shared" ref="BV53" si="133">BV50/BV19</f>
        <v>1.283912178383223</v>
      </c>
      <c r="BX53" s="1">
        <f t="shared" ref="BX53" si="134">BX50/BX19</f>
        <v>0.43343337058306108</v>
      </c>
      <c r="BZ53" s="1">
        <f t="shared" ref="BZ53:CA53" si="135">BZ50/BZ19</f>
        <v>-0.21125039494845113</v>
      </c>
      <c r="CA53" s="1">
        <f t="shared" si="135"/>
        <v>-0.13010350912388058</v>
      </c>
      <c r="CD53" s="1">
        <f t="shared" ref="CD53" si="136">CD50/CD19</f>
        <v>1.3865500746366042</v>
      </c>
      <c r="CF53" s="1">
        <f t="shared" ref="CF53" si="137">CF50/CF19</f>
        <v>0.52302614644216261</v>
      </c>
      <c r="CH53" s="1">
        <f t="shared" ref="CH53:CI53" si="138">CH50/CH19</f>
        <v>-0.49486853211490384</v>
      </c>
      <c r="CI53" s="1">
        <f t="shared" si="138"/>
        <v>-0.19419122118014925</v>
      </c>
      <c r="CJ53" s="1">
        <f t="shared" ref="CJ53" si="139">CJ50/CJ19</f>
        <v>0.11658729658579726</v>
      </c>
    </row>
    <row r="54" spans="1:138">
      <c r="A54" s="1" t="s">
        <v>988</v>
      </c>
      <c r="B54" s="134">
        <f>100*(POWER(B$48/B$19, 1/29)-1)</f>
        <v>4.0411195354607798</v>
      </c>
      <c r="C54" s="134"/>
      <c r="D54" s="134">
        <f t="shared" ref="D54:H54" si="140">100*(POWER(D48/D19, 1/29)-1)</f>
        <v>1.8975082827485945</v>
      </c>
      <c r="E54" s="134"/>
      <c r="F54" s="134">
        <f t="shared" si="140"/>
        <v>-0.92538548061250614</v>
      </c>
      <c r="G54" s="134">
        <f t="shared" si="140"/>
        <v>-0.9107794643500422</v>
      </c>
      <c r="H54" s="134">
        <f t="shared" si="140"/>
        <v>0.78399169619405296</v>
      </c>
    </row>
    <row r="55" spans="1:138">
      <c r="A55" s="1" t="s">
        <v>1186</v>
      </c>
      <c r="B55" s="134">
        <f>100*(POWER(B$27/B$19, 1/8)-1)</f>
        <v>5.4698453753357246</v>
      </c>
      <c r="C55" s="134"/>
      <c r="D55" s="134">
        <f t="shared" ref="D55:G55" si="141">100*(POWER(D$27/D$19, 1/8)-1)</f>
        <v>0.4029284878319439</v>
      </c>
      <c r="E55" s="134"/>
      <c r="F55" s="134">
        <f t="shared" si="141"/>
        <v>1.2906097772024561</v>
      </c>
      <c r="G55" s="134">
        <f t="shared" si="141"/>
        <v>9.3193986150308383E-2</v>
      </c>
      <c r="CJ55" s="1">
        <f>(CH48-AD48)/AD48</f>
        <v>-0.23191136436026791</v>
      </c>
    </row>
    <row r="56" spans="1:138">
      <c r="A56" s="1" t="s">
        <v>1187</v>
      </c>
      <c r="B56" s="134">
        <f>100*(POWER(B$38/B$27, 1/11)-1)</f>
        <v>3.7394213687980349</v>
      </c>
      <c r="C56" s="134"/>
      <c r="D56" s="134">
        <f t="shared" ref="D56:G56" si="142">100*(POWER(D$38/D$27, 1/11)-1)</f>
        <v>2.7068113323096332</v>
      </c>
      <c r="E56" s="134"/>
      <c r="F56" s="134">
        <f t="shared" si="142"/>
        <v>-3.109770141944157</v>
      </c>
      <c r="G56" s="134">
        <f t="shared" si="142"/>
        <v>-0.86265488883296992</v>
      </c>
    </row>
    <row r="57" spans="1:138">
      <c r="A57" s="1" t="s">
        <v>1188</v>
      </c>
      <c r="B57" s="134">
        <f>100*(POWER(B$46/B$38, 1/8)-1)</f>
        <v>3.5904565502813401</v>
      </c>
      <c r="C57" s="134"/>
      <c r="D57" s="134">
        <f t="shared" ref="D57:G57" si="143">100*(POWER(D$46/D$38, 1/8)-1)</f>
        <v>4.0010692552920224</v>
      </c>
      <c r="E57" s="134"/>
      <c r="F57" s="134">
        <f t="shared" si="143"/>
        <v>-0.21821359755550551</v>
      </c>
      <c r="G57" s="134">
        <f t="shared" si="143"/>
        <v>-1.3081522127618261</v>
      </c>
    </row>
  </sheetData>
  <phoneticPr fontId="0" type="noConversion"/>
  <pageMargins left="0.35433070866141736" right="0.35433070866141736" top="0.39370078740157483" bottom="0.39370078740157483" header="0.51181102362204722" footer="0.51181102362204722"/>
  <pageSetup scale="80" orientation="landscape" r:id="rId1"/>
  <headerFooter alignWithMargins="0"/>
  <colBreaks count="5" manualBreakCount="5">
    <brk id="17" max="1048575" man="1"/>
    <brk id="33" max="1048575" man="1"/>
    <brk id="49" max="1048575" man="1"/>
    <brk id="65" max="1048575" man="1"/>
    <brk id="81" max="1048575" man="1"/>
  </colBreaks>
</worksheet>
</file>

<file path=xl/worksheets/sheet100.xml><?xml version="1.0" encoding="utf-8"?>
<worksheet xmlns="http://schemas.openxmlformats.org/spreadsheetml/2006/main" xmlns:r="http://schemas.openxmlformats.org/officeDocument/2006/relationships">
  <dimension ref="A1:L24"/>
  <sheetViews>
    <sheetView workbookViewId="0">
      <selection activeCell="E9" sqref="E9"/>
    </sheetView>
  </sheetViews>
  <sheetFormatPr defaultRowHeight="12.75"/>
  <sheetData>
    <row r="1" spans="1:1" ht="15.75">
      <c r="A1" s="404" t="s">
        <v>1401</v>
      </c>
    </row>
    <row r="22" spans="1:12">
      <c r="B22" s="76" t="s">
        <v>321</v>
      </c>
      <c r="C22" s="76" t="s">
        <v>370</v>
      </c>
      <c r="D22" s="76" t="s">
        <v>371</v>
      </c>
      <c r="E22" s="76" t="s">
        <v>372</v>
      </c>
      <c r="F22" s="76" t="s">
        <v>373</v>
      </c>
      <c r="G22" s="76" t="s">
        <v>374</v>
      </c>
      <c r="H22" s="76" t="s">
        <v>375</v>
      </c>
      <c r="I22" s="76" t="s">
        <v>376</v>
      </c>
      <c r="J22" s="76" t="s">
        <v>377</v>
      </c>
      <c r="K22" s="76" t="s">
        <v>378</v>
      </c>
      <c r="L22" s="76" t="s">
        <v>379</v>
      </c>
    </row>
    <row r="23" spans="1:12">
      <c r="A23" s="1">
        <v>1981</v>
      </c>
      <c r="B23" s="1">
        <f>'4'!H19</f>
        <v>0.62716341973195355</v>
      </c>
      <c r="C23" s="1">
        <f>'4'!O19</f>
        <v>0.44668153963062018</v>
      </c>
      <c r="D23" s="1">
        <f>'4'!V19</f>
        <v>0.54549666180422118</v>
      </c>
      <c r="E23" s="1">
        <f>'4'!AC19</f>
        <v>0.55266053549630789</v>
      </c>
      <c r="F23" s="1">
        <f>'4'!AJ19</f>
        <v>0.51960699414286116</v>
      </c>
      <c r="G23" s="1">
        <f>'4'!AQ19</f>
        <v>0.51345985139172301</v>
      </c>
      <c r="H23" s="1">
        <f>'4'!AX19</f>
        <v>0.64729698800191615</v>
      </c>
      <c r="I23" s="1">
        <f>'4'!BE19</f>
        <v>0.68022034958819799</v>
      </c>
      <c r="J23" s="1">
        <f>'4'!BL19</f>
        <v>0.73375866153446201</v>
      </c>
      <c r="K23" s="1">
        <f>'4'!BS19</f>
        <v>0.73677405397597096</v>
      </c>
      <c r="L23" s="1">
        <f>'4'!BZ19</f>
        <v>0.6421244412262197</v>
      </c>
    </row>
    <row r="24" spans="1:12">
      <c r="A24" s="1">
        <v>2010</v>
      </c>
      <c r="B24" s="1">
        <f>'4'!H48</f>
        <v>0.59308336362159264</v>
      </c>
      <c r="C24" s="1">
        <f>'4'!O48</f>
        <v>0.40203347395457756</v>
      </c>
      <c r="D24" s="1">
        <f>'4'!V48</f>
        <v>0.54029141266615477</v>
      </c>
      <c r="E24" s="1">
        <f>'4'!AC48</f>
        <v>0.5747708530867226</v>
      </c>
      <c r="F24" s="1">
        <f>'4'!AJ48</f>
        <v>0.60211364808809487</v>
      </c>
      <c r="G24" s="1">
        <f>'4'!AQ48</f>
        <v>0.60765336267648429</v>
      </c>
      <c r="H24" s="1">
        <f>'4'!AX48</f>
        <v>0.55173795960618044</v>
      </c>
      <c r="I24" s="1">
        <f>'4'!BE48</f>
        <v>0.69831876909474788</v>
      </c>
      <c r="J24" s="1">
        <f>'4'!BL48</f>
        <v>0.70462064285122761</v>
      </c>
      <c r="K24" s="1">
        <f>'4'!BS48</f>
        <v>0.63962103540634052</v>
      </c>
      <c r="L24" s="1">
        <f>'4'!BZ48</f>
        <v>0.60888908853265666</v>
      </c>
    </row>
  </sheetData>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dimension ref="A1:A20"/>
  <sheetViews>
    <sheetView workbookViewId="0">
      <selection activeCell="E9" sqref="E9"/>
    </sheetView>
  </sheetViews>
  <sheetFormatPr defaultRowHeight="12.75"/>
  <sheetData>
    <row r="1" spans="1:1" ht="15.75">
      <c r="A1" s="404" t="s">
        <v>1404</v>
      </c>
    </row>
    <row r="20" spans="1:1">
      <c r="A20" s="206"/>
    </row>
  </sheetData>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404" t="s">
        <v>1405</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f>'5'!B17</f>
        <v>2.65462729352992</v>
      </c>
      <c r="C21">
        <f>'5'!D17</f>
        <v>5.4615670978847151</v>
      </c>
      <c r="D21">
        <f>'5'!F17</f>
        <v>5.3820960698689957</v>
      </c>
      <c r="E21">
        <f>'5'!H17</f>
        <v>2.4104046242774571</v>
      </c>
      <c r="F21">
        <f>'5'!J17</f>
        <v>3.3661678348171997</v>
      </c>
      <c r="G21">
        <f>'5'!L17</f>
        <v>2.470600717961414</v>
      </c>
      <c r="H21">
        <f>'5'!N17</f>
        <v>2.6612939332885603</v>
      </c>
      <c r="I21">
        <f>'5'!P17</f>
        <v>3.0096274591879451</v>
      </c>
      <c r="J21">
        <f>'5'!R17</f>
        <v>2.0692341941228851</v>
      </c>
      <c r="K21">
        <f>'5'!T17</f>
        <v>2.2516069077673664</v>
      </c>
      <c r="L21">
        <f>'5'!V17</f>
        <v>2.8843756151978477</v>
      </c>
    </row>
    <row r="22" spans="1:12">
      <c r="A22" s="1">
        <v>2010</v>
      </c>
      <c r="B22">
        <f>'5'!B46</f>
        <v>5.5850573293625381</v>
      </c>
      <c r="C22">
        <f>'5'!D46</f>
        <v>4.9097844378473905</v>
      </c>
      <c r="D22">
        <f>'5'!F46</f>
        <v>5.9298968436545145</v>
      </c>
      <c r="E22">
        <f>'5'!H46</f>
        <v>6.6350964797327689</v>
      </c>
      <c r="F22">
        <f>'5'!J46</f>
        <v>6.4829557348055715</v>
      </c>
      <c r="G22">
        <f>'5'!L46</f>
        <v>5.408916608702417</v>
      </c>
      <c r="H22">
        <f>'5'!N46</f>
        <v>6.2829369889715752</v>
      </c>
      <c r="I22">
        <f>'5'!P46</f>
        <v>5.4798300773271009</v>
      </c>
      <c r="J22">
        <f>'5'!R46</f>
        <v>4.3060879512470649</v>
      </c>
      <c r="K22">
        <f>'5'!T46</f>
        <v>4.2923951219791618</v>
      </c>
      <c r="L22">
        <f>'5'!V46</f>
        <v>5.3779026226450961</v>
      </c>
    </row>
  </sheetData>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dimension ref="A1"/>
  <sheetViews>
    <sheetView workbookViewId="0">
      <selection activeCell="E9" sqref="E9"/>
    </sheetView>
  </sheetViews>
  <sheetFormatPr defaultRowHeight="12.75"/>
  <sheetData>
    <row r="1" spans="1:1" ht="15.75">
      <c r="A1" s="404" t="s">
        <v>1406</v>
      </c>
    </row>
  </sheetData>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dimension ref="A1"/>
  <sheetViews>
    <sheetView workbookViewId="0">
      <selection activeCell="E9" sqref="E9"/>
    </sheetView>
  </sheetViews>
  <sheetFormatPr defaultRowHeight="12.75"/>
  <sheetData>
    <row r="1" spans="1:1" ht="15.75">
      <c r="A1" s="404" t="s">
        <v>1407</v>
      </c>
    </row>
  </sheetData>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404" t="s">
        <v>1392</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s="1">
        <f>'6'!B19</f>
        <v>1.1155668651039621</v>
      </c>
      <c r="C21" s="1">
        <f>'6'!G19</f>
        <v>0.44217700291028628</v>
      </c>
      <c r="D21" s="1">
        <f>'6'!L19</f>
        <v>0.65672794956891256</v>
      </c>
      <c r="E21" s="1">
        <f>'6'!Q19</f>
        <v>1.1271649212464421</v>
      </c>
      <c r="F21" s="1">
        <f>'6'!V19</f>
        <v>0.79920917832429683</v>
      </c>
      <c r="G21" s="1">
        <f>'6'!AA19</f>
        <v>1.2255675106158808</v>
      </c>
      <c r="H21" s="1">
        <f>'6'!AF19</f>
        <v>0.98321616447283533</v>
      </c>
      <c r="I21" s="1">
        <f>'6'!AK19</f>
        <v>0.95434157790573948</v>
      </c>
      <c r="J21" s="1">
        <f>'6'!AP19</f>
        <v>0.81584048038309043</v>
      </c>
      <c r="K21" s="1">
        <f>'6'!AU19</f>
        <v>1.5228109592460837</v>
      </c>
      <c r="L21" s="1">
        <f>'6'!AZ19</f>
        <v>1.3384270218208674</v>
      </c>
    </row>
    <row r="22" spans="1:12">
      <c r="A22" s="1">
        <v>2010</v>
      </c>
      <c r="B22" s="1">
        <f>'6'!B48</f>
        <v>0.87712948275730729</v>
      </c>
      <c r="C22" s="1">
        <f>'6'!G48</f>
        <v>0.50083393538563947</v>
      </c>
      <c r="D22" s="1">
        <f>'6'!L48</f>
        <v>0.81693056485247473</v>
      </c>
      <c r="E22" s="1">
        <f>'6'!Q48</f>
        <v>0.80084262857796007</v>
      </c>
      <c r="F22" s="1">
        <f>'6'!V48</f>
        <v>0.64089392656154065</v>
      </c>
      <c r="G22" s="1">
        <f>'6'!AA48</f>
        <v>0.77699075681616969</v>
      </c>
      <c r="H22" s="1">
        <f>'6'!AF48</f>
        <v>0.97991737354720321</v>
      </c>
      <c r="I22" s="1">
        <f>'6'!AK48</f>
        <v>0.88699488403483817</v>
      </c>
      <c r="J22" s="1">
        <f>'6'!AP48</f>
        <v>0.72522047325332184</v>
      </c>
      <c r="K22" s="1">
        <f>'6'!AU48</f>
        <v>0.90801014671665969</v>
      </c>
      <c r="L22" s="1">
        <f>'6'!AZ48</f>
        <v>0.89326832820297597</v>
      </c>
    </row>
  </sheetData>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404" t="s">
        <v>1393</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s="1">
        <f>'6'!C19</f>
        <v>45.1</v>
      </c>
      <c r="C21" s="1">
        <f>'6'!H19</f>
        <v>52.8</v>
      </c>
      <c r="D21" s="1">
        <f>'6'!M19</f>
        <v>52.1</v>
      </c>
      <c r="E21" s="1">
        <f>'6'!R19</f>
        <v>62</v>
      </c>
      <c r="F21" s="1">
        <f>'6'!W19</f>
        <v>64.599999999999994</v>
      </c>
      <c r="G21" s="1">
        <f>'6'!AB19</f>
        <v>49.2</v>
      </c>
      <c r="H21" s="1">
        <f>'6'!AG19</f>
        <v>39.700000000000003</v>
      </c>
      <c r="I21" s="1">
        <f>'6'!AL19</f>
        <v>49.4</v>
      </c>
      <c r="J21" s="1">
        <f>'6'!AQ19</f>
        <v>56.8</v>
      </c>
      <c r="K21" s="1">
        <f>'6'!AV19</f>
        <v>28.4</v>
      </c>
      <c r="L21" s="1">
        <f>'6'!BA19</f>
        <v>48.3</v>
      </c>
    </row>
    <row r="22" spans="1:12">
      <c r="A22" s="1">
        <v>2010</v>
      </c>
      <c r="B22" s="1">
        <f>'6'!C48</f>
        <v>33.9</v>
      </c>
      <c r="C22" s="1">
        <f>'6'!H48</f>
        <v>51.2</v>
      </c>
      <c r="D22" s="1">
        <f>'6'!M48</f>
        <v>45.5</v>
      </c>
      <c r="E22" s="1">
        <f>'6'!R48</f>
        <v>45</v>
      </c>
      <c r="F22" s="1">
        <f>'6'!W48</f>
        <v>47.9</v>
      </c>
      <c r="G22" s="1">
        <f>'6'!AB48</f>
        <v>32</v>
      </c>
      <c r="H22" s="1">
        <f>'6'!AG48</f>
        <v>32</v>
      </c>
      <c r="I22" s="1">
        <f>'6'!AL48</f>
        <v>53.9</v>
      </c>
      <c r="J22" s="1">
        <f>'6'!AQ48</f>
        <v>47.8</v>
      </c>
      <c r="K22" s="1">
        <f>'6'!AV48</f>
        <v>27.4</v>
      </c>
      <c r="L22" s="1">
        <f>'6'!BA48</f>
        <v>28.5</v>
      </c>
    </row>
  </sheetData>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573" t="s">
        <v>1411</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s="1">
        <f>'6'!D19</f>
        <v>0.3821</v>
      </c>
      <c r="C21" s="1">
        <f>'6'!I19</f>
        <v>0.46869999999999995</v>
      </c>
      <c r="D21" s="1">
        <f>'6'!N19</f>
        <v>0.31709999999999999</v>
      </c>
      <c r="E21" s="1">
        <f>'6'!S19</f>
        <v>0.25246400000000002</v>
      </c>
      <c r="F21" s="1">
        <f>'6'!X19</f>
        <v>0.40279999999999999</v>
      </c>
      <c r="G21" s="1">
        <f>'6'!AC19</f>
        <v>0.42270000000000002</v>
      </c>
      <c r="H21" s="1">
        <f>'6'!AH19</f>
        <v>0.35439999999999999</v>
      </c>
      <c r="I21" s="1">
        <f>'6'!AM19</f>
        <v>0.41049999999999998</v>
      </c>
      <c r="J21" s="1">
        <f>'6'!AR19</f>
        <v>0.30640000000000001</v>
      </c>
      <c r="K21" s="1">
        <f>'6'!AW19</f>
        <v>0.40130000000000005</v>
      </c>
      <c r="L21" s="1">
        <f>'6'!BB19</f>
        <v>0.34250000000000003</v>
      </c>
    </row>
    <row r="22" spans="1:12">
      <c r="A22" s="1">
        <v>2010</v>
      </c>
      <c r="B22" s="1">
        <f>'6'!D48</f>
        <v>0.29530000000000001</v>
      </c>
      <c r="C22" s="1">
        <f>'6'!I48</f>
        <v>0.31</v>
      </c>
      <c r="D22" s="1">
        <f>'6'!N48</f>
        <v>0.2354</v>
      </c>
      <c r="E22" s="1">
        <f>'6'!S48</f>
        <v>0.12523500000000001</v>
      </c>
      <c r="F22" s="1">
        <f>'6'!X48</f>
        <v>0.31719999999999998</v>
      </c>
      <c r="G22" s="1">
        <f>'6'!AC48</f>
        <v>0.27329999999999999</v>
      </c>
      <c r="H22" s="1">
        <f>'6'!AH48</f>
        <v>0.27779999999999999</v>
      </c>
      <c r="I22" s="1">
        <f>'6'!AM48</f>
        <v>0.2167</v>
      </c>
      <c r="J22" s="1">
        <f>'6'!AR48</f>
        <v>0.38350000000000001</v>
      </c>
      <c r="K22" s="1">
        <f>'6'!AW48</f>
        <v>0.39560000000000001</v>
      </c>
      <c r="L22" s="1">
        <f>'6'!BB48</f>
        <v>0.36310000000000003</v>
      </c>
    </row>
  </sheetData>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404" t="s">
        <v>1394</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s="1">
        <f>'6'!F19</f>
        <v>0.3866167011910287</v>
      </c>
      <c r="C21" s="1">
        <f>'6'!K19</f>
        <v>0.6661133539652766</v>
      </c>
      <c r="D21" s="1">
        <f>'6'!P19</f>
        <v>0.66925104095244914</v>
      </c>
      <c r="E21" s="1">
        <f>'6'!U19</f>
        <v>0.43997415780549998</v>
      </c>
      <c r="F21" s="1">
        <f>'6'!Z19</f>
        <v>0.33356647929695593</v>
      </c>
      <c r="G21" s="1">
        <f>'6'!AE19</f>
        <v>0.17522081310748081</v>
      </c>
      <c r="H21" s="1">
        <f>'6'!AJ19</f>
        <v>0.56854976885069175</v>
      </c>
      <c r="I21" s="1">
        <f>'6'!AO19</f>
        <v>0.38227766481544306</v>
      </c>
      <c r="J21" s="1">
        <f>'6'!AT19</f>
        <v>0.5562326069727429</v>
      </c>
      <c r="K21" s="1">
        <f>'6'!AY19</f>
        <v>0.44969048949293716</v>
      </c>
      <c r="L21" s="1">
        <f>'6'!BD19</f>
        <v>0.28816888106361066</v>
      </c>
    </row>
    <row r="22" spans="1:12">
      <c r="A22" s="1">
        <v>2010</v>
      </c>
      <c r="B22" s="1">
        <f>'6'!F48</f>
        <v>0.73908159487334235</v>
      </c>
      <c r="C22" s="1">
        <f>'6'!K48</f>
        <v>0.7671414485017195</v>
      </c>
      <c r="D22" s="1">
        <f>'6'!P48</f>
        <v>0.74011957820157492</v>
      </c>
      <c r="E22" s="1">
        <f>'6'!U48</f>
        <v>0.88310535417324743</v>
      </c>
      <c r="F22" s="1">
        <f>'6'!Z48</f>
        <v>0.70678301645182051</v>
      </c>
      <c r="G22" s="1">
        <f>'6'!AE48</f>
        <v>0.80608779173206757</v>
      </c>
      <c r="H22" s="1">
        <f>'6'!AJ48</f>
        <v>0.74142988954084177</v>
      </c>
      <c r="I22" s="1">
        <f>'6'!AO48</f>
        <v>0.68577231575350761</v>
      </c>
      <c r="J22" s="1">
        <f>'6'!AT48</f>
        <v>0.58675091887562303</v>
      </c>
      <c r="K22" s="1">
        <f>'6'!AY48</f>
        <v>0.70325093498026869</v>
      </c>
      <c r="L22" s="1">
        <f>'6'!BD48</f>
        <v>0.72344888433748467</v>
      </c>
    </row>
  </sheetData>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dimension ref="A1:C50"/>
  <sheetViews>
    <sheetView workbookViewId="0">
      <selection activeCell="E9" sqref="E9"/>
    </sheetView>
  </sheetViews>
  <sheetFormatPr defaultRowHeight="12.75"/>
  <sheetData>
    <row r="1" spans="1:1" ht="15.75">
      <c r="A1" s="404" t="s">
        <v>1395</v>
      </c>
    </row>
    <row r="20" spans="1:3" ht="51">
      <c r="B20" s="4" t="s">
        <v>1153</v>
      </c>
      <c r="C20" s="4" t="s">
        <v>1151</v>
      </c>
    </row>
    <row r="21" spans="1:3">
      <c r="A21" s="1">
        <v>1981</v>
      </c>
      <c r="B21" s="13">
        <f>'7'!B18</f>
        <v>20.399999999999999</v>
      </c>
      <c r="C21" s="13">
        <f>'7'!C18</f>
        <v>0.18989999999999999</v>
      </c>
    </row>
    <row r="22" spans="1:3">
      <c r="A22" s="1">
        <v>1982</v>
      </c>
      <c r="B22" s="13">
        <f>'7'!B19</f>
        <v>15.4</v>
      </c>
      <c r="C22" s="13">
        <f>'7'!C19</f>
        <v>0.1673</v>
      </c>
    </row>
    <row r="23" spans="1:3">
      <c r="A23" s="1">
        <v>1983</v>
      </c>
      <c r="B23" s="13">
        <f>'7'!B20</f>
        <v>15.7</v>
      </c>
      <c r="C23" s="13">
        <f>'7'!C20</f>
        <v>0.17559999999999998</v>
      </c>
    </row>
    <row r="24" spans="1:3">
      <c r="A24" s="1">
        <v>1984</v>
      </c>
      <c r="B24" s="13">
        <f>'7'!B21</f>
        <v>14.3</v>
      </c>
      <c r="C24" s="13">
        <f>'7'!C21</f>
        <v>0.17249999999999999</v>
      </c>
    </row>
    <row r="25" spans="1:3">
      <c r="A25" s="1">
        <v>1985</v>
      </c>
      <c r="B25" s="13">
        <f>'7'!B22</f>
        <v>11.9</v>
      </c>
      <c r="C25" s="13">
        <f>'7'!C22</f>
        <v>0.1918</v>
      </c>
    </row>
    <row r="26" spans="1:3">
      <c r="A26" s="1">
        <v>1986</v>
      </c>
      <c r="B26" s="13">
        <f>'7'!B23</f>
        <v>11.1</v>
      </c>
      <c r="C26" s="13">
        <f>'7'!C23</f>
        <v>0.1804</v>
      </c>
    </row>
    <row r="27" spans="1:3">
      <c r="A27" s="1">
        <v>1987</v>
      </c>
      <c r="B27" s="13">
        <f>'7'!B24</f>
        <v>10.3</v>
      </c>
      <c r="C27" s="13">
        <f>'7'!C24</f>
        <v>0.17960000000000001</v>
      </c>
    </row>
    <row r="28" spans="1:3">
      <c r="A28" s="1">
        <v>1988</v>
      </c>
      <c r="B28" s="13">
        <f>'7'!B25</f>
        <v>13.1</v>
      </c>
      <c r="C28" s="13">
        <f>'7'!C25</f>
        <v>0.16370000000000001</v>
      </c>
    </row>
    <row r="29" spans="1:3">
      <c r="A29" s="1">
        <v>1989</v>
      </c>
      <c r="B29" s="13">
        <f>'7'!B26</f>
        <v>10.7</v>
      </c>
      <c r="C29" s="13">
        <f>'7'!C26</f>
        <v>0.15010000000000001</v>
      </c>
    </row>
    <row r="30" spans="1:3">
      <c r="A30" s="1">
        <v>1990</v>
      </c>
      <c r="B30" s="13">
        <f>'7'!B27</f>
        <v>7.5</v>
      </c>
      <c r="C30" s="13">
        <f>'7'!C27</f>
        <v>0.15570000000000001</v>
      </c>
    </row>
    <row r="31" spans="1:3">
      <c r="A31" s="1">
        <v>1991</v>
      </c>
      <c r="B31" s="13">
        <f>'7'!B28</f>
        <v>5.4</v>
      </c>
      <c r="C31" s="13">
        <f>'7'!C28</f>
        <v>0.13720000000000002</v>
      </c>
    </row>
    <row r="32" spans="1:3">
      <c r="A32" s="1">
        <v>1992</v>
      </c>
      <c r="B32" s="13">
        <f>'7'!B29</f>
        <v>5.2</v>
      </c>
      <c r="C32" s="13">
        <f>'7'!C29</f>
        <v>0.1487</v>
      </c>
    </row>
    <row r="33" spans="1:3">
      <c r="A33" s="1">
        <v>1993</v>
      </c>
      <c r="B33" s="13">
        <f>'7'!B30</f>
        <v>5.5</v>
      </c>
      <c r="C33" s="13">
        <f>'7'!C30</f>
        <v>0.17480000000000001</v>
      </c>
    </row>
    <row r="34" spans="1:3">
      <c r="A34" s="1">
        <v>1994</v>
      </c>
      <c r="B34" s="13">
        <f>'7'!B31</f>
        <v>4.0999999999999996</v>
      </c>
      <c r="C34" s="13">
        <f>'7'!C31</f>
        <v>0.1638</v>
      </c>
    </row>
    <row r="35" spans="1:3">
      <c r="A35" s="1">
        <v>1995</v>
      </c>
      <c r="B35" s="13">
        <f>'7'!B32</f>
        <v>3.9</v>
      </c>
      <c r="C35" s="13">
        <f>'7'!C32</f>
        <v>0.13750000000000001</v>
      </c>
    </row>
    <row r="36" spans="1:3">
      <c r="A36" s="1">
        <v>1996</v>
      </c>
      <c r="B36" s="13">
        <f>'7'!B33</f>
        <v>4.5999999999999996</v>
      </c>
      <c r="C36" s="13">
        <f>'7'!C33</f>
        <v>0.17309999999999998</v>
      </c>
    </row>
    <row r="37" spans="1:3">
      <c r="A37" s="1">
        <v>1997</v>
      </c>
      <c r="B37" s="13">
        <f>'7'!B34</f>
        <v>4.9000000000000004</v>
      </c>
      <c r="C37" s="13">
        <f>'7'!C34</f>
        <v>0.17129999999999998</v>
      </c>
    </row>
    <row r="38" spans="1:3">
      <c r="A38" s="1">
        <v>1998</v>
      </c>
      <c r="B38" s="13">
        <f>'7'!B35</f>
        <v>5.9</v>
      </c>
      <c r="C38" s="13">
        <f>'7'!C35</f>
        <v>0.16140000000000002</v>
      </c>
    </row>
    <row r="39" spans="1:3">
      <c r="A39" s="1">
        <v>1999</v>
      </c>
      <c r="B39" s="13">
        <f>'7'!B36</f>
        <v>6.3</v>
      </c>
      <c r="C39" s="13">
        <f>'7'!C36</f>
        <v>0.13289999999999999</v>
      </c>
    </row>
    <row r="40" spans="1:3">
      <c r="A40" s="1">
        <v>2000</v>
      </c>
      <c r="B40" s="13">
        <f>'7'!B37</f>
        <v>7.6</v>
      </c>
      <c r="C40" s="13">
        <f>'7'!C37</f>
        <v>0.14630000000000001</v>
      </c>
    </row>
    <row r="41" spans="1:3">
      <c r="A41" s="1">
        <v>2001</v>
      </c>
      <c r="B41" s="13">
        <f>'7'!B38</f>
        <v>8</v>
      </c>
      <c r="C41" s="13">
        <f>'7'!C38</f>
        <v>0.15340000000000001</v>
      </c>
    </row>
    <row r="42" spans="1:3">
      <c r="A42" s="1">
        <v>2002</v>
      </c>
      <c r="B42" s="13">
        <f>'7'!B39</f>
        <v>9.6999999999999993</v>
      </c>
      <c r="C42" s="13">
        <f>'7'!C39</f>
        <v>0.14610000000000001</v>
      </c>
    </row>
    <row r="43" spans="1:3">
      <c r="A43" s="1">
        <v>2003</v>
      </c>
      <c r="B43" s="13">
        <f>'7'!B40</f>
        <v>9.1</v>
      </c>
      <c r="C43" s="13">
        <f>'7'!C40</f>
        <v>0.1618</v>
      </c>
    </row>
    <row r="44" spans="1:3">
      <c r="A44" s="1">
        <v>2004</v>
      </c>
      <c r="B44" s="13">
        <f>'7'!B41</f>
        <v>8.6999999999999993</v>
      </c>
      <c r="C44" s="13">
        <f>'7'!C41</f>
        <v>0.14960000000000001</v>
      </c>
    </row>
    <row r="45" spans="1:3">
      <c r="A45" s="1">
        <v>2005</v>
      </c>
      <c r="B45" s="13">
        <f>'7'!B42</f>
        <v>10.199999999999999</v>
      </c>
      <c r="C45" s="13">
        <f>'7'!C42</f>
        <v>0.13730000000000001</v>
      </c>
    </row>
    <row r="46" spans="1:3">
      <c r="A46" s="1">
        <v>2006</v>
      </c>
      <c r="B46" s="13">
        <f>'7'!B43</f>
        <v>9.4</v>
      </c>
      <c r="C46" s="13">
        <f>'7'!C43</f>
        <v>0.1431</v>
      </c>
    </row>
    <row r="47" spans="1:3">
      <c r="A47" s="1">
        <v>2007</v>
      </c>
      <c r="B47" s="13">
        <f>'7'!B44</f>
        <v>10.4</v>
      </c>
      <c r="C47" s="13">
        <f>'7'!C44</f>
        <v>0.13769999999999999</v>
      </c>
    </row>
    <row r="48" spans="1:3">
      <c r="A48" s="1">
        <v>2008</v>
      </c>
      <c r="B48" s="13">
        <f>'7'!B45</f>
        <v>12.3</v>
      </c>
      <c r="C48" s="13">
        <f>'7'!C45</f>
        <v>0.14660000000000001</v>
      </c>
    </row>
    <row r="49" spans="1:3">
      <c r="A49" s="1">
        <v>2009</v>
      </c>
      <c r="B49" s="13">
        <f>'7'!B46</f>
        <v>11.5</v>
      </c>
      <c r="C49" s="13">
        <f>'7'!C46</f>
        <v>0.15909999999999999</v>
      </c>
    </row>
    <row r="50" spans="1:3">
      <c r="A50" s="1">
        <v>2010</v>
      </c>
      <c r="B50" s="13">
        <f>'7'!B47</f>
        <v>11.5</v>
      </c>
      <c r="C50" s="13">
        <f>'7'!C47</f>
        <v>0.15909999999999999</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EH54"/>
  <sheetViews>
    <sheetView view="pageBreakPreview" zoomScaleSheetLayoutView="100" workbookViewId="0">
      <pane xSplit="1" ySplit="6" topLeftCell="B34" activePane="bottomRight" state="frozen"/>
      <selection activeCell="E9" sqref="E9"/>
      <selection pane="topRight" activeCell="E9" sqref="E9"/>
      <selection pane="bottomLeft" activeCell="E9" sqref="E9"/>
      <selection pane="bottomRight" activeCell="E9" sqref="E9"/>
    </sheetView>
  </sheetViews>
  <sheetFormatPr defaultColWidth="8.875" defaultRowHeight="12.75"/>
  <cols>
    <col min="1" max="16384" width="8.875" style="1"/>
  </cols>
  <sheetData>
    <row r="1" spans="1:89" ht="15.75">
      <c r="B1" s="2" t="s">
        <v>515</v>
      </c>
      <c r="C1" s="2"/>
      <c r="R1" s="2" t="s">
        <v>516</v>
      </c>
      <c r="Z1" s="2"/>
      <c r="AA1" s="2"/>
      <c r="AH1" s="2" t="s">
        <v>517</v>
      </c>
      <c r="AX1" s="2" t="s">
        <v>518</v>
      </c>
      <c r="AY1" s="2"/>
      <c r="BN1" s="2" t="s">
        <v>519</v>
      </c>
      <c r="BV1" s="2"/>
      <c r="BW1" s="2"/>
      <c r="CD1" s="2" t="s">
        <v>520</v>
      </c>
    </row>
    <row r="3" spans="1:89" s="3" customFormat="1" ht="15">
      <c r="B3" s="3" t="s">
        <v>321</v>
      </c>
      <c r="J3" s="3" t="s">
        <v>370</v>
      </c>
      <c r="R3" s="3" t="s">
        <v>371</v>
      </c>
      <c r="Z3" s="3" t="s">
        <v>372</v>
      </c>
      <c r="AH3" s="3" t="s">
        <v>373</v>
      </c>
      <c r="AP3" s="3" t="s">
        <v>374</v>
      </c>
      <c r="AX3" s="3" t="s">
        <v>375</v>
      </c>
      <c r="BF3" s="3" t="s">
        <v>376</v>
      </c>
      <c r="BN3" s="3" t="s">
        <v>377</v>
      </c>
      <c r="BV3" s="3" t="s">
        <v>378</v>
      </c>
      <c r="CD3" s="3" t="s">
        <v>379</v>
      </c>
    </row>
    <row r="4" spans="1:89" s="4" customFormat="1" ht="92.25" customHeight="1">
      <c r="B4" s="4" t="s">
        <v>24</v>
      </c>
      <c r="C4" s="4" t="s">
        <v>180</v>
      </c>
      <c r="D4" s="4" t="s">
        <v>25</v>
      </c>
      <c r="E4" s="4" t="s">
        <v>181</v>
      </c>
      <c r="F4" s="4" t="s">
        <v>628</v>
      </c>
      <c r="G4" s="4" t="s">
        <v>22</v>
      </c>
      <c r="H4" s="4" t="s">
        <v>23</v>
      </c>
      <c r="I4" s="4" t="s">
        <v>182</v>
      </c>
      <c r="J4" s="4" t="s">
        <v>24</v>
      </c>
      <c r="K4" s="4" t="s">
        <v>180</v>
      </c>
      <c r="L4" s="4" t="s">
        <v>25</v>
      </c>
      <c r="M4" s="4" t="s">
        <v>181</v>
      </c>
      <c r="N4" s="4" t="s">
        <v>628</v>
      </c>
      <c r="O4" s="4" t="s">
        <v>22</v>
      </c>
      <c r="P4" s="4" t="s">
        <v>23</v>
      </c>
      <c r="Q4" s="4" t="s">
        <v>182</v>
      </c>
      <c r="R4" s="4" t="s">
        <v>24</v>
      </c>
      <c r="S4" s="4" t="s">
        <v>180</v>
      </c>
      <c r="T4" s="4" t="s">
        <v>25</v>
      </c>
      <c r="U4" s="4" t="s">
        <v>181</v>
      </c>
      <c r="V4" s="4" t="s">
        <v>628</v>
      </c>
      <c r="W4" s="4" t="s">
        <v>22</v>
      </c>
      <c r="X4" s="4" t="s">
        <v>23</v>
      </c>
      <c r="Y4" s="4" t="s">
        <v>182</v>
      </c>
      <c r="Z4" s="4" t="s">
        <v>24</v>
      </c>
      <c r="AA4" s="4" t="s">
        <v>180</v>
      </c>
      <c r="AB4" s="4" t="s">
        <v>25</v>
      </c>
      <c r="AC4" s="4" t="s">
        <v>181</v>
      </c>
      <c r="AD4" s="4" t="s">
        <v>628</v>
      </c>
      <c r="AE4" s="4" t="s">
        <v>22</v>
      </c>
      <c r="AF4" s="4" t="s">
        <v>23</v>
      </c>
      <c r="AG4" s="4" t="s">
        <v>182</v>
      </c>
      <c r="AH4" s="4" t="s">
        <v>24</v>
      </c>
      <c r="AI4" s="4" t="s">
        <v>180</v>
      </c>
      <c r="AJ4" s="4" t="s">
        <v>25</v>
      </c>
      <c r="AK4" s="4" t="s">
        <v>181</v>
      </c>
      <c r="AL4" s="4" t="s">
        <v>628</v>
      </c>
      <c r="AM4" s="4" t="s">
        <v>22</v>
      </c>
      <c r="AN4" s="4" t="s">
        <v>23</v>
      </c>
      <c r="AO4" s="4" t="s">
        <v>182</v>
      </c>
      <c r="AP4" s="4" t="s">
        <v>24</v>
      </c>
      <c r="AQ4" s="4" t="s">
        <v>180</v>
      </c>
      <c r="AR4" s="4" t="s">
        <v>25</v>
      </c>
      <c r="AS4" s="4" t="s">
        <v>181</v>
      </c>
      <c r="AT4" s="4" t="s">
        <v>628</v>
      </c>
      <c r="AU4" s="4" t="s">
        <v>22</v>
      </c>
      <c r="AV4" s="4" t="s">
        <v>23</v>
      </c>
      <c r="AW4" s="4" t="s">
        <v>182</v>
      </c>
      <c r="AX4" s="4" t="s">
        <v>24</v>
      </c>
      <c r="AY4" s="4" t="s">
        <v>180</v>
      </c>
      <c r="AZ4" s="4" t="s">
        <v>25</v>
      </c>
      <c r="BA4" s="4" t="s">
        <v>181</v>
      </c>
      <c r="BB4" s="4" t="s">
        <v>628</v>
      </c>
      <c r="BC4" s="4" t="s">
        <v>22</v>
      </c>
      <c r="BD4" s="4" t="s">
        <v>23</v>
      </c>
      <c r="BE4" s="4" t="s">
        <v>182</v>
      </c>
      <c r="BF4" s="4" t="s">
        <v>24</v>
      </c>
      <c r="BG4" s="4" t="s">
        <v>180</v>
      </c>
      <c r="BH4" s="4" t="s">
        <v>25</v>
      </c>
      <c r="BI4" s="4" t="s">
        <v>181</v>
      </c>
      <c r="BJ4" s="4" t="s">
        <v>628</v>
      </c>
      <c r="BK4" s="4" t="s">
        <v>22</v>
      </c>
      <c r="BL4" s="4" t="s">
        <v>23</v>
      </c>
      <c r="BM4" s="4" t="s">
        <v>182</v>
      </c>
      <c r="BN4" s="4" t="s">
        <v>24</v>
      </c>
      <c r="BO4" s="4" t="s">
        <v>180</v>
      </c>
      <c r="BP4" s="4" t="s">
        <v>25</v>
      </c>
      <c r="BQ4" s="4" t="s">
        <v>181</v>
      </c>
      <c r="BR4" s="4" t="s">
        <v>628</v>
      </c>
      <c r="BS4" s="4" t="s">
        <v>22</v>
      </c>
      <c r="BT4" s="4" t="s">
        <v>23</v>
      </c>
      <c r="BU4" s="4" t="s">
        <v>182</v>
      </c>
      <c r="BV4" s="4" t="s">
        <v>24</v>
      </c>
      <c r="BW4" s="4" t="s">
        <v>180</v>
      </c>
      <c r="BX4" s="4" t="s">
        <v>25</v>
      </c>
      <c r="BY4" s="4" t="s">
        <v>181</v>
      </c>
      <c r="BZ4" s="4" t="s">
        <v>628</v>
      </c>
      <c r="CA4" s="4" t="s">
        <v>22</v>
      </c>
      <c r="CB4" s="4" t="s">
        <v>23</v>
      </c>
      <c r="CC4" s="4" t="s">
        <v>182</v>
      </c>
      <c r="CD4" s="4" t="s">
        <v>24</v>
      </c>
      <c r="CE4" s="4" t="s">
        <v>180</v>
      </c>
      <c r="CF4" s="4" t="s">
        <v>25</v>
      </c>
      <c r="CG4" s="4" t="s">
        <v>181</v>
      </c>
      <c r="CH4" s="4" t="s">
        <v>628</v>
      </c>
      <c r="CI4" s="4" t="s">
        <v>22</v>
      </c>
      <c r="CJ4" s="4" t="s">
        <v>23</v>
      </c>
      <c r="CK4" s="4" t="s">
        <v>182</v>
      </c>
    </row>
    <row r="5" spans="1:89" s="4" customFormat="1" hidden="1"/>
    <row r="6" spans="1:89" s="4" customFormat="1" ht="38.25">
      <c r="B6" s="4" t="s">
        <v>105</v>
      </c>
      <c r="C6" s="4" t="s">
        <v>266</v>
      </c>
      <c r="D6" s="4" t="s">
        <v>106</v>
      </c>
      <c r="E6" s="4" t="s">
        <v>184</v>
      </c>
      <c r="F6" s="4" t="s">
        <v>107</v>
      </c>
      <c r="G6" s="4" t="s">
        <v>108</v>
      </c>
      <c r="H6" s="4" t="s">
        <v>189</v>
      </c>
      <c r="I6" s="4" t="s">
        <v>190</v>
      </c>
      <c r="J6" s="4" t="s">
        <v>110</v>
      </c>
      <c r="K6" s="4" t="s">
        <v>186</v>
      </c>
      <c r="L6" s="4" t="s">
        <v>111</v>
      </c>
      <c r="M6" s="4" t="s">
        <v>187</v>
      </c>
      <c r="N6" s="4" t="s">
        <v>112</v>
      </c>
      <c r="O6" s="4" t="s">
        <v>138</v>
      </c>
      <c r="P6" s="4" t="s">
        <v>191</v>
      </c>
      <c r="Q6" s="4" t="s">
        <v>192</v>
      </c>
      <c r="R6" s="4" t="s">
        <v>105</v>
      </c>
      <c r="S6" s="4" t="s">
        <v>266</v>
      </c>
      <c r="T6" s="4" t="s">
        <v>106</v>
      </c>
      <c r="U6" s="4" t="s">
        <v>184</v>
      </c>
      <c r="V6" s="4" t="s">
        <v>107</v>
      </c>
      <c r="W6" s="4" t="s">
        <v>108</v>
      </c>
      <c r="X6" s="4" t="s">
        <v>189</v>
      </c>
      <c r="Y6" s="4" t="s">
        <v>190</v>
      </c>
      <c r="Z6" s="4" t="s">
        <v>110</v>
      </c>
      <c r="AA6" s="4" t="s">
        <v>186</v>
      </c>
      <c r="AB6" s="4" t="s">
        <v>111</v>
      </c>
      <c r="AC6" s="4" t="s">
        <v>187</v>
      </c>
      <c r="AD6" s="4" t="s">
        <v>112</v>
      </c>
      <c r="AE6" s="4" t="s">
        <v>138</v>
      </c>
      <c r="AF6" s="4" t="s">
        <v>191</v>
      </c>
      <c r="AG6" s="4" t="s">
        <v>192</v>
      </c>
      <c r="AH6" s="4" t="s">
        <v>105</v>
      </c>
      <c r="AI6" s="4" t="s">
        <v>266</v>
      </c>
      <c r="AJ6" s="4" t="s">
        <v>106</v>
      </c>
      <c r="AK6" s="4" t="s">
        <v>184</v>
      </c>
      <c r="AL6" s="4" t="s">
        <v>107</v>
      </c>
      <c r="AM6" s="4" t="s">
        <v>108</v>
      </c>
      <c r="AN6" s="4" t="s">
        <v>189</v>
      </c>
      <c r="AO6" s="4" t="s">
        <v>190</v>
      </c>
      <c r="AP6" s="4" t="s">
        <v>110</v>
      </c>
      <c r="AQ6" s="4" t="s">
        <v>186</v>
      </c>
      <c r="AR6" s="4" t="s">
        <v>111</v>
      </c>
      <c r="AS6" s="4" t="s">
        <v>187</v>
      </c>
      <c r="AT6" s="4" t="s">
        <v>112</v>
      </c>
      <c r="AU6" s="4" t="s">
        <v>138</v>
      </c>
      <c r="AV6" s="4" t="s">
        <v>191</v>
      </c>
      <c r="AW6" s="4" t="s">
        <v>192</v>
      </c>
      <c r="AX6" s="4" t="s">
        <v>105</v>
      </c>
      <c r="AY6" s="4" t="s">
        <v>266</v>
      </c>
      <c r="AZ6" s="4" t="s">
        <v>106</v>
      </c>
      <c r="BA6" s="4" t="s">
        <v>184</v>
      </c>
      <c r="BB6" s="4" t="s">
        <v>107</v>
      </c>
      <c r="BC6" s="4" t="s">
        <v>108</v>
      </c>
      <c r="BD6" s="4" t="s">
        <v>189</v>
      </c>
      <c r="BE6" s="4" t="s">
        <v>190</v>
      </c>
      <c r="BF6" s="4" t="s">
        <v>110</v>
      </c>
      <c r="BG6" s="4" t="s">
        <v>186</v>
      </c>
      <c r="BH6" s="4" t="s">
        <v>111</v>
      </c>
      <c r="BI6" s="4" t="s">
        <v>187</v>
      </c>
      <c r="BJ6" s="4" t="s">
        <v>112</v>
      </c>
      <c r="BK6" s="4" t="s">
        <v>138</v>
      </c>
      <c r="BL6" s="4" t="s">
        <v>191</v>
      </c>
      <c r="BM6" s="4" t="s">
        <v>192</v>
      </c>
      <c r="BN6" s="4" t="s">
        <v>105</v>
      </c>
      <c r="BO6" s="4" t="s">
        <v>266</v>
      </c>
      <c r="BP6" s="4" t="s">
        <v>106</v>
      </c>
      <c r="BQ6" s="4" t="s">
        <v>184</v>
      </c>
      <c r="BR6" s="4" t="s">
        <v>107</v>
      </c>
      <c r="BS6" s="4" t="s">
        <v>108</v>
      </c>
      <c r="BT6" s="4" t="s">
        <v>189</v>
      </c>
      <c r="BU6" s="4" t="s">
        <v>190</v>
      </c>
      <c r="BV6" s="4" t="s">
        <v>110</v>
      </c>
      <c r="BW6" s="4" t="s">
        <v>186</v>
      </c>
      <c r="BX6" s="4" t="s">
        <v>111</v>
      </c>
      <c r="BY6" s="4" t="s">
        <v>187</v>
      </c>
      <c r="BZ6" s="4" t="s">
        <v>112</v>
      </c>
      <c r="CA6" s="4" t="s">
        <v>138</v>
      </c>
      <c r="CB6" s="4" t="s">
        <v>191</v>
      </c>
      <c r="CC6" s="4" t="s">
        <v>192</v>
      </c>
      <c r="CD6" s="4" t="s">
        <v>105</v>
      </c>
      <c r="CE6" s="4" t="s">
        <v>266</v>
      </c>
      <c r="CF6" s="4" t="s">
        <v>106</v>
      </c>
      <c r="CG6" s="4" t="s">
        <v>184</v>
      </c>
      <c r="CH6" s="4" t="s">
        <v>107</v>
      </c>
      <c r="CI6" s="4" t="s">
        <v>108</v>
      </c>
      <c r="CJ6" s="4" t="s">
        <v>189</v>
      </c>
      <c r="CK6" s="4" t="s">
        <v>190</v>
      </c>
    </row>
    <row r="7" spans="1:89" s="4" customFormat="1" hidden="1"/>
    <row r="8" spans="1:89" hidden="1">
      <c r="A8" s="1">
        <v>1971</v>
      </c>
      <c r="B8" s="44">
        <f>'1'!I8</f>
        <v>9.286072550406746E-2</v>
      </c>
      <c r="C8" s="44">
        <f>'1'!K8</f>
        <v>9.8142272288917642E-2</v>
      </c>
      <c r="D8" s="44">
        <f>'2'!I8</f>
        <v>0.18222616585167906</v>
      </c>
      <c r="E8" s="44">
        <f>'2'!K8</f>
        <v>0.27402070198874739</v>
      </c>
      <c r="F8" s="44">
        <f>'3'!D8</f>
        <v>-46.459539597108417</v>
      </c>
      <c r="G8" s="44" t="e">
        <f>'8'!F5</f>
        <v>#REF!</v>
      </c>
      <c r="H8" s="44" t="e">
        <f>(0.7)*B8+(0.1)*D8+(0.1)*F8+(0.1)*G8</f>
        <v>#REF!</v>
      </c>
      <c r="I8" s="44" t="e">
        <f>(0.7)*C8+(0.1)*E8+(0.1)*F8+(0.1)*G8</f>
        <v>#REF!</v>
      </c>
      <c r="J8" s="44">
        <f>'1'!S8</f>
        <v>-1.2416360431895312E-2</v>
      </c>
      <c r="K8" s="44">
        <f>'1'!U8</f>
        <v>-7.921006185159718E-2</v>
      </c>
      <c r="L8" s="44">
        <f>'2'!S8</f>
        <v>0.13783193796692461</v>
      </c>
      <c r="M8" s="44">
        <f>'2'!U8</f>
        <v>0.19628988799083394</v>
      </c>
      <c r="N8" s="44">
        <f>'3'!G8</f>
        <v>-87.44282039190017</v>
      </c>
      <c r="O8" s="44" t="e">
        <f>'8'!K5</f>
        <v>#REF!</v>
      </c>
      <c r="P8" s="44" t="e">
        <f>(0.7)*J8+(0.1)*L8+(0.1)*N8+(0.1)*O8</f>
        <v>#REF!</v>
      </c>
      <c r="Q8" s="44" t="e">
        <f>(0.7)*K8+(0.1)*M8+(0.1)*N8+(0.1)*O8</f>
        <v>#REF!</v>
      </c>
      <c r="R8" s="44">
        <f>'1'!AC8</f>
        <v>6.2557182280176912E-2</v>
      </c>
      <c r="S8" s="44">
        <f>'1'!AE8</f>
        <v>5.0253326247256869E-2</v>
      </c>
      <c r="T8" s="44">
        <f>'2'!AC8</f>
        <v>6.5786261073974367E-2</v>
      </c>
      <c r="U8" s="44">
        <f>'2'!AE8</f>
        <v>4.1538166056354214E-2</v>
      </c>
      <c r="V8" s="44">
        <f>'3'!J8</f>
        <v>-73.855883474873721</v>
      </c>
      <c r="W8" s="44" t="e">
        <f>'8'!P5</f>
        <v>#REF!</v>
      </c>
      <c r="X8" s="44" t="e">
        <f>(0.7)*R8+(0.1)*T8+(0.1)*V8+(0.1)*W8</f>
        <v>#REF!</v>
      </c>
      <c r="Y8" s="44" t="e">
        <f>(0.7)*S8+(0.1)*U8+(0.1)*V8+(0.1)*W8</f>
        <v>#REF!</v>
      </c>
      <c r="Z8" s="44">
        <f>'1'!AM8</f>
        <v>0.10115269880784397</v>
      </c>
      <c r="AA8" s="44">
        <f>'1'!AO8</f>
        <v>0.1108536899076922</v>
      </c>
      <c r="AB8" s="44">
        <f>'2'!AM8</f>
        <v>0.10973413383196122</v>
      </c>
      <c r="AC8" s="44">
        <f>'2'!AO8</f>
        <v>0.14088791842055143</v>
      </c>
      <c r="AD8" s="44">
        <f>'3'!M8</f>
        <v>-51.230603824914851</v>
      </c>
      <c r="AE8" s="44" t="e">
        <f>'8'!U5</f>
        <v>#REF!</v>
      </c>
      <c r="AF8" s="44" t="e">
        <f>(0.7)*Z8+(0.1)*AB8+(0.1)*AD8+(0.1)*AE8</f>
        <v>#REF!</v>
      </c>
      <c r="AG8" s="44" t="e">
        <f>(0.7)*AA8+(0.1)*AC8+(0.1)*AD8+(0.1)*AE8</f>
        <v>#REF!</v>
      </c>
      <c r="AH8" s="44">
        <f>'1'!AW8</f>
        <v>3.5682580310753394E-2</v>
      </c>
      <c r="AI8" s="44">
        <f>'1'!AY8</f>
        <v>5.7614758664340038E-3</v>
      </c>
      <c r="AJ8" s="44">
        <f>'2'!AW8</f>
        <v>0.11807951407484041</v>
      </c>
      <c r="AK8" s="44">
        <f>'2'!AY8</f>
        <v>0.15792033913589126</v>
      </c>
      <c r="AL8" s="44">
        <f>'3'!P8</f>
        <v>-61.037687169951042</v>
      </c>
      <c r="AM8" s="44" t="e">
        <f>'8'!Z5</f>
        <v>#REF!</v>
      </c>
      <c r="AN8" s="44" t="e">
        <f>(0.7)*AH8+(0.1)*AJ8+(0.1)*AL8+(0.1)*AM8</f>
        <v>#REF!</v>
      </c>
      <c r="AO8" s="44" t="e">
        <f>(0.7)*AI8+(0.1)*AK8+(0.1)*AL8+(0.1)*AM8</f>
        <v>#REF!</v>
      </c>
      <c r="AP8" s="44">
        <f>'1'!BG8</f>
        <v>5.6224012902191242E-2</v>
      </c>
      <c r="AQ8" s="44">
        <f>'1'!BI8</f>
        <v>3.9946561660017352E-2</v>
      </c>
      <c r="AR8" s="44">
        <f>'2'!BG8</f>
        <v>0.15785953627863655</v>
      </c>
      <c r="AS8" s="44">
        <f>'2'!BI8</f>
        <v>0.23269200996821837</v>
      </c>
      <c r="AT8" s="44">
        <f>'3'!S8</f>
        <v>-41.292861930799653</v>
      </c>
      <c r="AU8" s="44" t="e">
        <f>'8'!AE5</f>
        <v>#REF!</v>
      </c>
      <c r="AV8" s="44" t="e">
        <f>(0.7)*AP8+(0.1)*AR8+(0.1)*AT8+(0.1)*AU8</f>
        <v>#REF!</v>
      </c>
      <c r="AW8" s="44" t="e">
        <f>(0.7)*AQ8+(0.1)*AS8+(0.1)*AT8+(0.1)*AU8</f>
        <v>#REF!</v>
      </c>
      <c r="AX8" s="44">
        <f>'1'!BQ8</f>
        <v>0.17118963708997967</v>
      </c>
      <c r="AY8" s="44">
        <f>'1'!BS8</f>
        <v>0.21218701412252566</v>
      </c>
      <c r="AZ8" s="44">
        <f>'2'!BQ8</f>
        <v>0.15969280418157433</v>
      </c>
      <c r="BA8" s="44">
        <f>'2'!BS8</f>
        <v>0.23590935724775663</v>
      </c>
      <c r="BB8" s="44">
        <f>'3'!V8</f>
        <v>-41.269291869468965</v>
      </c>
      <c r="BC8" s="44" t="e">
        <f>'8'!AJ5</f>
        <v>#REF!</v>
      </c>
      <c r="BD8" s="44" t="e">
        <f>(0.7)*AX8+(0.1)*AZ8+(0.1)*BB8+(0.1)*BC8</f>
        <v>#REF!</v>
      </c>
      <c r="BE8" s="44" t="e">
        <f>(0.7)*AY8+(0.1)*BA8+(0.1)*BB8+(0.1)*BC8</f>
        <v>#REF!</v>
      </c>
      <c r="BF8" s="44">
        <f>'1'!CA8</f>
        <v>0.1266627610322468</v>
      </c>
      <c r="BG8" s="44">
        <f>'1'!CC8</f>
        <v>0.14897035701114769</v>
      </c>
      <c r="BH8" s="44">
        <f>'2'!CA8</f>
        <v>0.21607209009362854</v>
      </c>
      <c r="BI8" s="44">
        <f>'2'!CC8</f>
        <v>0.32681075465456128</v>
      </c>
      <c r="BJ8" s="44">
        <f>'3'!Y8</f>
        <v>-61.228690455242877</v>
      </c>
      <c r="BK8" s="44" t="e">
        <f>'8'!AO5</f>
        <v>#REF!</v>
      </c>
      <c r="BL8" s="44" t="e">
        <f>(0.7)*BF8+(0.1)*BH8+(0.1)*BJ8+(0.1)*BK8</f>
        <v>#REF!</v>
      </c>
      <c r="BM8" s="44" t="e">
        <f>(0.7)*BG8+(0.1)*BI8+(0.1)*BJ8+(0.1)*BK8</f>
        <v>#REF!</v>
      </c>
      <c r="BN8" s="44">
        <f>'1'!CK8</f>
        <v>1.3077925063923111E-2</v>
      </c>
      <c r="BO8" s="44">
        <f>'1'!CM8</f>
        <v>-3.3268589750641814E-2</v>
      </c>
      <c r="BP8" s="44">
        <f>'2'!CK8</f>
        <v>0.30657179370537407</v>
      </c>
      <c r="BQ8" s="44">
        <f>'2'!CM8</f>
        <v>0.44758819428118407</v>
      </c>
      <c r="BR8" s="44">
        <f>'3'!AB8</f>
        <v>-62.175584769885326</v>
      </c>
      <c r="BS8" s="44" t="e">
        <f>'8'!AT5</f>
        <v>#REF!</v>
      </c>
      <c r="BT8" s="44" t="e">
        <f>(0.7)*BN8+(0.1)*BP8+(0.1)*BR8+(0.1)*BS8</f>
        <v>#REF!</v>
      </c>
      <c r="BU8" s="44" t="e">
        <f>(0.7)*BO8+(0.1)*BQ8+(0.1)*BR8+(0.1)*BS8</f>
        <v>#REF!</v>
      </c>
      <c r="BV8" s="44">
        <f>'1'!CU8</f>
        <v>0.12164088674446942</v>
      </c>
      <c r="BW8" s="44">
        <f>'1'!CW8</f>
        <v>0.14158147064749127</v>
      </c>
      <c r="BX8" s="44">
        <f>'2'!CU8</f>
        <v>0.2415980883363375</v>
      </c>
      <c r="BY8" s="44">
        <f>'2'!CW8</f>
        <v>0.36358311211320782</v>
      </c>
      <c r="BZ8" s="44">
        <f>'3'!AE8</f>
        <v>-52.036767110410516</v>
      </c>
      <c r="CA8" s="44" t="e">
        <f>'8'!AY5</f>
        <v>#REF!</v>
      </c>
      <c r="CB8" s="44" t="e">
        <f>(0.7)*BV8+(0.1)*BX8+(0.1)*BZ8+(0.1)*CA8</f>
        <v>#REF!</v>
      </c>
      <c r="CC8" s="44" t="e">
        <f>(0.7)*BW8+(0.1)*BY8+(0.1)*BZ8+(0.1)*CA8</f>
        <v>#REF!</v>
      </c>
      <c r="CD8" s="44">
        <f>'1'!DE8</f>
        <v>0.13780551677973304</v>
      </c>
      <c r="CE8" s="44">
        <f>'1'!DG8</f>
        <v>0.16517151640617717</v>
      </c>
      <c r="CF8" s="44">
        <f>'2'!DE8</f>
        <v>0.26908540722552432</v>
      </c>
      <c r="CG8" s="44">
        <f>'2'!DG8</f>
        <v>0.40066379342618608</v>
      </c>
      <c r="CH8" s="44">
        <f>'3'!AH8</f>
        <v>-46.326652926995003</v>
      </c>
      <c r="CI8" s="44" t="e">
        <f>'8'!BD5</f>
        <v>#REF!</v>
      </c>
      <c r="CJ8" s="44" t="e">
        <f>(0.7)*CD8+(0.1)*CF8+(0.1)*CH8+(0.1)*CI8</f>
        <v>#REF!</v>
      </c>
      <c r="CK8" s="44" t="e">
        <f>(0.7)*CE8+(0.1)*CG8+(0.1)*CH8+(0.1)*CI8</f>
        <v>#REF!</v>
      </c>
    </row>
    <row r="9" spans="1:89" hidden="1">
      <c r="A9" s="1">
        <v>1972</v>
      </c>
      <c r="B9" s="44">
        <f>'1'!I9</f>
        <v>0.11701940637881059</v>
      </c>
      <c r="C9" s="44">
        <f>'1'!K9</f>
        <v>0.13473280170859125</v>
      </c>
      <c r="D9" s="44">
        <f>'2'!I9</f>
        <v>0.18446376732384434</v>
      </c>
      <c r="E9" s="44">
        <f>'2'!K9</f>
        <v>0.27766795749607875</v>
      </c>
      <c r="F9" s="44">
        <f>'3'!D9</f>
        <v>-46.459539597108417</v>
      </c>
      <c r="G9" s="44" t="e">
        <f>'8'!F6</f>
        <v>#REF!</v>
      </c>
      <c r="H9" s="44" t="e">
        <f t="shared" ref="H9:H40" si="0">(0.7)*B9+(0.1)*D9+(0.1)*F9+(0.1)*G9</f>
        <v>#REF!</v>
      </c>
      <c r="I9" s="44" t="e">
        <f t="shared" ref="I9:I40" si="1">(0.7)*C9+(0.1)*E9+(0.1)*F9+(0.1)*G9</f>
        <v>#REF!</v>
      </c>
      <c r="J9" s="44">
        <f>'1'!S9</f>
        <v>2.5894125630057758E-3</v>
      </c>
      <c r="K9" s="44">
        <f>'1'!U9</f>
        <v>-5.1912721225290656E-2</v>
      </c>
      <c r="L9" s="44">
        <f>'2'!S9</f>
        <v>0.13896666149846171</v>
      </c>
      <c r="M9" s="44">
        <f>'2'!U9</f>
        <v>0.198416560835287</v>
      </c>
      <c r="N9" s="44">
        <f>'3'!G9</f>
        <v>-87.44282039190017</v>
      </c>
      <c r="O9" s="44" t="e">
        <f>'8'!K6</f>
        <v>#REF!</v>
      </c>
      <c r="P9" s="44" t="e">
        <f t="shared" ref="P9:P40" si="2">(0.7)*J9+(0.1)*L9+(0.1)*N9+(0.1)*O9</f>
        <v>#REF!</v>
      </c>
      <c r="Q9" s="44" t="e">
        <f t="shared" ref="Q9:Q40" si="3">(0.7)*K9+(0.1)*M9+(0.1)*N9+(0.1)*O9</f>
        <v>#REF!</v>
      </c>
      <c r="R9" s="44">
        <f>'1'!AC9</f>
        <v>8.9395039799158638E-2</v>
      </c>
      <c r="S9" s="44">
        <f>'1'!AE9</f>
        <v>9.2780878493023008E-2</v>
      </c>
      <c r="T9" s="44">
        <f>'2'!AC9</f>
        <v>6.7713291953682697E-2</v>
      </c>
      <c r="U9" s="44">
        <f>'2'!AE9</f>
        <v>4.6282963286511491E-2</v>
      </c>
      <c r="V9" s="44">
        <f>'3'!J9</f>
        <v>-73.855883474873721</v>
      </c>
      <c r="W9" s="44" t="e">
        <f>'8'!P6</f>
        <v>#REF!</v>
      </c>
      <c r="X9" s="44" t="e">
        <f t="shared" ref="X9:X40" si="4">(0.7)*R9+(0.1)*T9+(0.1)*V9+(0.1)*W9</f>
        <v>#REF!</v>
      </c>
      <c r="Y9" s="44" t="e">
        <f t="shared" ref="Y9:Y40" si="5">(0.7)*S9+(0.1)*U9+(0.1)*V9+(0.1)*W9</f>
        <v>#REF!</v>
      </c>
      <c r="Z9" s="44">
        <f>'1'!AM9</f>
        <v>0.11779214078635432</v>
      </c>
      <c r="AA9" s="44">
        <f>'1'!AO9</f>
        <v>0.13588122501184977</v>
      </c>
      <c r="AB9" s="44">
        <f>'2'!AM9</f>
        <v>0.11111257190512831</v>
      </c>
      <c r="AC9" s="44">
        <f>'2'!AO9</f>
        <v>0.14373704175378091</v>
      </c>
      <c r="AD9" s="44">
        <f>'3'!M9</f>
        <v>-51.230603824914851</v>
      </c>
      <c r="AE9" s="44" t="e">
        <f>'8'!U6</f>
        <v>#REF!</v>
      </c>
      <c r="AF9" s="44" t="e">
        <f t="shared" ref="AF9:AF40" si="6">(0.7)*Z9+(0.1)*AB9+(0.1)*AD9+(0.1)*AE9</f>
        <v>#REF!</v>
      </c>
      <c r="AG9" s="44" t="e">
        <f t="shared" ref="AG9:AG40" si="7">(0.7)*AA9+(0.1)*AC9+(0.1)*AD9+(0.1)*AE9</f>
        <v>#REF!</v>
      </c>
      <c r="AH9" s="44">
        <f>'1'!AW9</f>
        <v>4.5322110922740022E-2</v>
      </c>
      <c r="AI9" s="44">
        <f>'1'!AY9</f>
        <v>2.195016764162808E-2</v>
      </c>
      <c r="AJ9" s="44">
        <f>'2'!AW9</f>
        <v>0.11808227942356452</v>
      </c>
      <c r="AK9" s="44">
        <f>'2'!AY9</f>
        <v>0.15792589839189977</v>
      </c>
      <c r="AL9" s="44">
        <f>'3'!P9</f>
        <v>-61.037687169951042</v>
      </c>
      <c r="AM9" s="44" t="e">
        <f>'8'!Z6</f>
        <v>#REF!</v>
      </c>
      <c r="AN9" s="44" t="e">
        <f t="shared" ref="AN9:AN40" si="8">(0.7)*AH9+(0.1)*AJ9+(0.1)*AL9+(0.1)*AM9</f>
        <v>#REF!</v>
      </c>
      <c r="AO9" s="44" t="e">
        <f t="shared" ref="AO9:AO40" si="9">(0.7)*AI9+(0.1)*AK9+(0.1)*AL9+(0.1)*AM9</f>
        <v>#REF!</v>
      </c>
      <c r="AP9" s="44">
        <f>'1'!BG9</f>
        <v>7.9451696223627369E-2</v>
      </c>
      <c r="AQ9" s="44">
        <f>'1'!BI9</f>
        <v>7.7236034910803594E-2</v>
      </c>
      <c r="AR9" s="44">
        <f>'2'!BG9</f>
        <v>0.16060116109357234</v>
      </c>
      <c r="AS9" s="44">
        <f>'2'!BI9</f>
        <v>0.23749670982075108</v>
      </c>
      <c r="AT9" s="44">
        <f>'3'!S9</f>
        <v>-41.292861930799653</v>
      </c>
      <c r="AU9" s="44" t="e">
        <f>'8'!AE6</f>
        <v>#REF!</v>
      </c>
      <c r="AV9" s="44" t="e">
        <f t="shared" ref="AV9:AV40" si="10">(0.7)*AP9+(0.1)*AR9+(0.1)*AT9+(0.1)*AU9</f>
        <v>#REF!</v>
      </c>
      <c r="AW9" s="44" t="e">
        <f t="shared" ref="AW9:AW40" si="11">(0.7)*AQ9+(0.1)*AS9+(0.1)*AT9+(0.1)*AU9</f>
        <v>#REF!</v>
      </c>
      <c r="AX9" s="44">
        <f>'1'!BQ9</f>
        <v>0.19490336844051109</v>
      </c>
      <c r="AY9" s="44">
        <f>'1'!BS9</f>
        <v>0.24428163692473856</v>
      </c>
      <c r="AZ9" s="44">
        <f>'2'!BQ9</f>
        <v>0.16194006716399267</v>
      </c>
      <c r="BA9" s="44">
        <f>'2'!BS9</f>
        <v>0.23982830590446202</v>
      </c>
      <c r="BB9" s="44">
        <f>'3'!V9</f>
        <v>-41.269291869468965</v>
      </c>
      <c r="BC9" s="44" t="e">
        <f>'8'!AJ6</f>
        <v>#REF!</v>
      </c>
      <c r="BD9" s="44" t="e">
        <f t="shared" ref="BD9:BD40" si="12">(0.7)*AX9+(0.1)*AZ9+(0.1)*BB9+(0.1)*BC9</f>
        <v>#REF!</v>
      </c>
      <c r="BE9" s="44" t="e">
        <f t="shared" ref="BE9:BE40" si="13">(0.7)*AY9+(0.1)*BA9+(0.1)*BB9+(0.1)*BC9</f>
        <v>#REF!</v>
      </c>
      <c r="BF9" s="44">
        <f>'1'!CA9</f>
        <v>0.14764483322259325</v>
      </c>
      <c r="BG9" s="44">
        <f>'1'!CC9</f>
        <v>0.179261134221949</v>
      </c>
      <c r="BH9" s="44">
        <f>'2'!CA9</f>
        <v>0.21773206200284898</v>
      </c>
      <c r="BI9" s="44">
        <f>'2'!CC9</f>
        <v>0.32927659941237913</v>
      </c>
      <c r="BJ9" s="44">
        <f>'3'!Y9</f>
        <v>-61.228690455242877</v>
      </c>
      <c r="BK9" s="44" t="e">
        <f>'8'!AO6</f>
        <v>#REF!</v>
      </c>
      <c r="BL9" s="44" t="e">
        <f t="shared" ref="BL9:BL40" si="14">(0.7)*BF9+(0.1)*BH9+(0.1)*BJ9+(0.1)*BK9</f>
        <v>#REF!</v>
      </c>
      <c r="BM9" s="44" t="e">
        <f t="shared" ref="BM9:BM40" si="15">(0.7)*BG9+(0.1)*BI9+(0.1)*BJ9+(0.1)*BK9</f>
        <v>#REF!</v>
      </c>
      <c r="BN9" s="44">
        <f>'1'!CK9</f>
        <v>4.7271215409419448E-2</v>
      </c>
      <c r="BO9" s="44">
        <f>'1'!CM9</f>
        <v>2.5191689245728836E-2</v>
      </c>
      <c r="BP9" s="44">
        <f>'2'!CK9</f>
        <v>0.30311238567460042</v>
      </c>
      <c r="BQ9" s="44">
        <f>'2'!CM9</f>
        <v>0.44341815442797961</v>
      </c>
      <c r="BR9" s="44">
        <f>'3'!AB9</f>
        <v>-62.175584769885326</v>
      </c>
      <c r="BS9" s="44" t="e">
        <f>'8'!AT6</f>
        <v>#REF!</v>
      </c>
      <c r="BT9" s="44" t="e">
        <f t="shared" ref="BT9:BT40" si="16">(0.7)*BN9+(0.1)*BP9+(0.1)*BR9+(0.1)*BS9</f>
        <v>#REF!</v>
      </c>
      <c r="BU9" s="44" t="e">
        <f t="shared" ref="BU9:BU40" si="17">(0.7)*BO9+(0.1)*BQ9+(0.1)*BR9+(0.1)*BS9</f>
        <v>#REF!</v>
      </c>
      <c r="BV9" s="44">
        <f>'1'!CU9</f>
        <v>0.15091165735650389</v>
      </c>
      <c r="BW9" s="44">
        <f>'1'!CW9</f>
        <v>0.18389529401284924</v>
      </c>
      <c r="BX9" s="44">
        <f>'2'!CU9</f>
        <v>0.24106852498669612</v>
      </c>
      <c r="BY9" s="44">
        <f>'2'!CW9</f>
        <v>0.3628441572857159</v>
      </c>
      <c r="BZ9" s="44">
        <f>'3'!AE9</f>
        <v>-52.036767110410516</v>
      </c>
      <c r="CA9" s="44" t="e">
        <f>'8'!AY6</f>
        <v>#REF!</v>
      </c>
      <c r="CB9" s="44" t="e">
        <f t="shared" ref="CB9:CB40" si="18">(0.7)*BV9+(0.1)*BX9+(0.1)*BZ9+(0.1)*CA9</f>
        <v>#REF!</v>
      </c>
      <c r="CC9" s="44" t="e">
        <f t="shared" ref="CC9:CC40" si="19">(0.7)*BW9+(0.1)*BY9+(0.1)*BZ9+(0.1)*CA9</f>
        <v>#REF!</v>
      </c>
      <c r="CD9" s="44">
        <f>'1'!DE9</f>
        <v>0.16746903410538064</v>
      </c>
      <c r="CE9" s="44">
        <f>'1'!DG9</f>
        <v>0.20705603600821712</v>
      </c>
      <c r="CF9" s="44">
        <f>'2'!DE9</f>
        <v>0.26989759491711973</v>
      </c>
      <c r="CG9" s="44">
        <f>'2'!DG9</f>
        <v>0.40172309755741614</v>
      </c>
      <c r="CH9" s="44">
        <f>'3'!AH9</f>
        <v>-46.326652926995003</v>
      </c>
      <c r="CI9" s="44" t="e">
        <f>'8'!BD6</f>
        <v>#REF!</v>
      </c>
      <c r="CJ9" s="44" t="e">
        <f t="shared" ref="CJ9:CJ40" si="20">(0.7)*CD9+(0.1)*CF9+(0.1)*CH9+(0.1)*CI9</f>
        <v>#REF!</v>
      </c>
      <c r="CK9" s="44" t="e">
        <f t="shared" ref="CK9:CK40" si="21">(0.7)*CE9+(0.1)*CG9+(0.1)*CH9+(0.1)*CI9</f>
        <v>#REF!</v>
      </c>
    </row>
    <row r="10" spans="1:89" hidden="1">
      <c r="A10" s="1">
        <v>1973</v>
      </c>
      <c r="B10" s="44">
        <f>'1'!I10</f>
        <v>0.14042456734718101</v>
      </c>
      <c r="C10" s="44">
        <f>'1'!K10</f>
        <v>0.16894147879647725</v>
      </c>
      <c r="D10" s="44">
        <f>'2'!I10</f>
        <v>0.1879740233961798</v>
      </c>
      <c r="E10" s="44">
        <f>'2'!K10</f>
        <v>0.28334237294913689</v>
      </c>
      <c r="F10" s="44">
        <f>'3'!D10</f>
        <v>-46.459539597108417</v>
      </c>
      <c r="G10" s="44" t="e">
        <f>'8'!F7</f>
        <v>#REF!</v>
      </c>
      <c r="H10" s="44" t="e">
        <f t="shared" si="0"/>
        <v>#REF!</v>
      </c>
      <c r="I10" s="44" t="e">
        <f t="shared" si="1"/>
        <v>#REF!</v>
      </c>
      <c r="J10" s="44">
        <f>'1'!S10</f>
        <v>2.5739830537903206E-2</v>
      </c>
      <c r="K10" s="44">
        <f>'1'!U10</f>
        <v>-1.1217482358619154E-2</v>
      </c>
      <c r="L10" s="44">
        <f>'2'!S10</f>
        <v>0.13950414057840363</v>
      </c>
      <c r="M10" s="44">
        <f>'2'!U10</f>
        <v>0.19942109131092231</v>
      </c>
      <c r="N10" s="44">
        <f>'3'!G10</f>
        <v>-87.44282039190017</v>
      </c>
      <c r="O10" s="44" t="e">
        <f>'8'!K7</f>
        <v>#REF!</v>
      </c>
      <c r="P10" s="44" t="e">
        <f t="shared" si="2"/>
        <v>#REF!</v>
      </c>
      <c r="Q10" s="44" t="e">
        <f t="shared" si="3"/>
        <v>#REF!</v>
      </c>
      <c r="R10" s="44">
        <f>'1'!AC10</f>
        <v>0.13012305695109949</v>
      </c>
      <c r="S10" s="44">
        <f>'1'!AE10</f>
        <v>0.15402984068565281</v>
      </c>
      <c r="T10" s="44">
        <f>'2'!AC10</f>
        <v>7.3241703614914236E-2</v>
      </c>
      <c r="U10" s="44">
        <f>'2'!AE10</f>
        <v>5.9677111503833612E-2</v>
      </c>
      <c r="V10" s="44">
        <f>'3'!J10</f>
        <v>-73.855883474873721</v>
      </c>
      <c r="W10" s="44" t="e">
        <f>'8'!P7</f>
        <v>#REF!</v>
      </c>
      <c r="X10" s="44" t="e">
        <f t="shared" si="4"/>
        <v>#REF!</v>
      </c>
      <c r="Y10" s="44" t="e">
        <f t="shared" si="5"/>
        <v>#REF!</v>
      </c>
      <c r="Z10" s="44">
        <f>'1'!AM10</f>
        <v>0.1451847564371459</v>
      </c>
      <c r="AA10" s="44">
        <f>'1'!AO10</f>
        <v>0.17575706418875314</v>
      </c>
      <c r="AB10" s="44">
        <f>'2'!AM10</f>
        <v>0.11460129379679383</v>
      </c>
      <c r="AC10" s="44">
        <f>'2'!AO10</f>
        <v>0.1508841004059048</v>
      </c>
      <c r="AD10" s="44">
        <f>'3'!M10</f>
        <v>-51.230603824914851</v>
      </c>
      <c r="AE10" s="44" t="e">
        <f>'8'!U7</f>
        <v>#REF!</v>
      </c>
      <c r="AF10" s="44" t="e">
        <f t="shared" si="6"/>
        <v>#REF!</v>
      </c>
      <c r="AG10" s="44" t="e">
        <f t="shared" si="7"/>
        <v>#REF!</v>
      </c>
      <c r="AH10" s="44">
        <f>'1'!AW10</f>
        <v>5.2927324606308376E-2</v>
      </c>
      <c r="AI10" s="44">
        <f>'1'!AY10</f>
        <v>3.453883014622422E-2</v>
      </c>
      <c r="AJ10" s="44">
        <f>'2'!AW10</f>
        <v>0.1219471156694063</v>
      </c>
      <c r="AK10" s="44">
        <f>'2'!AY10</f>
        <v>0.1656422542353265</v>
      </c>
      <c r="AL10" s="44">
        <f>'3'!P10</f>
        <v>-61.037687169951042</v>
      </c>
      <c r="AM10" s="44" t="e">
        <f>'8'!Z7</f>
        <v>#REF!</v>
      </c>
      <c r="AN10" s="44" t="e">
        <f t="shared" si="8"/>
        <v>#REF!</v>
      </c>
      <c r="AO10" s="44" t="e">
        <f t="shared" si="9"/>
        <v>#REF!</v>
      </c>
      <c r="AP10" s="44">
        <f>'1'!BG10</f>
        <v>0.11517841301717084</v>
      </c>
      <c r="AQ10" s="44">
        <f>'1'!BI10</f>
        <v>0.13199139154012865</v>
      </c>
      <c r="AR10" s="44">
        <f>'2'!BG10</f>
        <v>0.16505726305514878</v>
      </c>
      <c r="AS10" s="44">
        <f>'2'!BI10</f>
        <v>0.24521948063984525</v>
      </c>
      <c r="AT10" s="44">
        <f>'3'!S10</f>
        <v>-41.292861930799653</v>
      </c>
      <c r="AU10" s="44" t="e">
        <f>'8'!AE7</f>
        <v>#REF!</v>
      </c>
      <c r="AV10" s="44" t="e">
        <f t="shared" si="10"/>
        <v>#REF!</v>
      </c>
      <c r="AW10" s="44" t="e">
        <f t="shared" si="11"/>
        <v>#REF!</v>
      </c>
      <c r="AX10" s="44">
        <f>'1'!BQ10</f>
        <v>0.22066435838334109</v>
      </c>
      <c r="AY10" s="44">
        <f>'1'!BS10</f>
        <v>0.27801086886818199</v>
      </c>
      <c r="AZ10" s="44">
        <f>'2'!BQ10</f>
        <v>0.165522488513411</v>
      </c>
      <c r="BA10" s="44">
        <f>'2'!BS10</f>
        <v>0.24601967097493183</v>
      </c>
      <c r="BB10" s="44">
        <f>'3'!V10</f>
        <v>-41.269291869468965</v>
      </c>
      <c r="BC10" s="44" t="e">
        <f>'8'!AJ7</f>
        <v>#REF!</v>
      </c>
      <c r="BD10" s="44" t="e">
        <f t="shared" si="12"/>
        <v>#REF!</v>
      </c>
      <c r="BE10" s="44" t="e">
        <f t="shared" si="13"/>
        <v>#REF!</v>
      </c>
      <c r="BF10" s="44">
        <f>'1'!CA10</f>
        <v>0.17549003198845856</v>
      </c>
      <c r="BG10" s="44">
        <f>'1'!CC10</f>
        <v>0.21808473988423713</v>
      </c>
      <c r="BH10" s="44">
        <f>'2'!CA10</f>
        <v>0.22000816179587743</v>
      </c>
      <c r="BI10" s="44">
        <f>'2'!CC10</f>
        <v>0.33264020181805054</v>
      </c>
      <c r="BJ10" s="44">
        <f>'3'!Y10</f>
        <v>-61.228690455242877</v>
      </c>
      <c r="BK10" s="44" t="e">
        <f>'8'!AO7</f>
        <v>#REF!</v>
      </c>
      <c r="BL10" s="44" t="e">
        <f t="shared" si="14"/>
        <v>#REF!</v>
      </c>
      <c r="BM10" s="44" t="e">
        <f t="shared" si="15"/>
        <v>#REF!</v>
      </c>
      <c r="BN10" s="44">
        <f>'1'!CK10</f>
        <v>7.6673146900038541E-2</v>
      </c>
      <c r="BO10" s="44">
        <f>'1'!CM10</f>
        <v>7.2848379042191463E-2</v>
      </c>
      <c r="BP10" s="44">
        <f>'2'!CK10</f>
        <v>0.30480393190451716</v>
      </c>
      <c r="BQ10" s="44">
        <f>'2'!CM10</f>
        <v>0.4454610424040274</v>
      </c>
      <c r="BR10" s="44">
        <f>'3'!AB10</f>
        <v>-62.175584769885326</v>
      </c>
      <c r="BS10" s="44" t="e">
        <f>'8'!AT7</f>
        <v>#REF!</v>
      </c>
      <c r="BT10" s="44" t="e">
        <f t="shared" si="16"/>
        <v>#REF!</v>
      </c>
      <c r="BU10" s="44" t="e">
        <f t="shared" si="17"/>
        <v>#REF!</v>
      </c>
      <c r="BV10" s="44">
        <f>'1'!CU10</f>
        <v>0.19048774376849695</v>
      </c>
      <c r="BW10" s="44">
        <f>'1'!CW10</f>
        <v>0.23838346723277301</v>
      </c>
      <c r="BX10" s="44">
        <f>'2'!CU10</f>
        <v>0.26933007881023613</v>
      </c>
      <c r="BY10" s="44">
        <f>'2'!CW10</f>
        <v>0.40098311895205185</v>
      </c>
      <c r="BZ10" s="44">
        <f>'3'!AE10</f>
        <v>-52.036767110410516</v>
      </c>
      <c r="CA10" s="44" t="e">
        <f>'8'!AY7</f>
        <v>#REF!</v>
      </c>
      <c r="CB10" s="44" t="e">
        <f t="shared" si="18"/>
        <v>#REF!</v>
      </c>
      <c r="CC10" s="44" t="e">
        <f t="shared" si="19"/>
        <v>#REF!</v>
      </c>
      <c r="CD10" s="44">
        <f>'1'!DE10</f>
        <v>0.20138348001919087</v>
      </c>
      <c r="CE10" s="44">
        <f>'1'!DG10</f>
        <v>0.25287453583476444</v>
      </c>
      <c r="CF10" s="44">
        <f>'2'!DE10</f>
        <v>0.27626040124614148</v>
      </c>
      <c r="CG10" s="44">
        <f>'2'!DG10</f>
        <v>0.40995350732031161</v>
      </c>
      <c r="CH10" s="44">
        <f>'3'!AH10</f>
        <v>-46.326652926995003</v>
      </c>
      <c r="CI10" s="44" t="e">
        <f>'8'!BD7</f>
        <v>#REF!</v>
      </c>
      <c r="CJ10" s="44" t="e">
        <f t="shared" si="20"/>
        <v>#REF!</v>
      </c>
      <c r="CK10" s="44" t="e">
        <f t="shared" si="21"/>
        <v>#REF!</v>
      </c>
    </row>
    <row r="11" spans="1:89" hidden="1">
      <c r="A11" s="1">
        <v>1974</v>
      </c>
      <c r="B11" s="44">
        <f>'1'!I11</f>
        <v>0.15667009511655916</v>
      </c>
      <c r="C11" s="44">
        <f>'1'!K11</f>
        <v>0.19201167353458995</v>
      </c>
      <c r="D11" s="44">
        <f>'2'!I11</f>
        <v>0.19036063609921283</v>
      </c>
      <c r="E11" s="44">
        <f>'2'!K11</f>
        <v>0.28716794494552289</v>
      </c>
      <c r="F11" s="44">
        <f>'3'!D11</f>
        <v>-46.457663086515652</v>
      </c>
      <c r="G11" s="44" t="e">
        <f>'8'!F8</f>
        <v>#REF!</v>
      </c>
      <c r="H11" s="44" t="e">
        <f t="shared" si="0"/>
        <v>#REF!</v>
      </c>
      <c r="I11" s="44" t="e">
        <f t="shared" si="1"/>
        <v>#REF!</v>
      </c>
      <c r="J11" s="44">
        <f>'1'!S11</f>
        <v>5.7303145352137402E-2</v>
      </c>
      <c r="K11" s="44">
        <f>'1'!U11</f>
        <v>4.1710344266765814E-2</v>
      </c>
      <c r="L11" s="44">
        <f>'2'!S11</f>
        <v>0.14152999978354736</v>
      </c>
      <c r="M11" s="44">
        <f>'2'!U11</f>
        <v>0.20319130568088586</v>
      </c>
      <c r="N11" s="44">
        <f>'3'!G11</f>
        <v>-87.439966198175895</v>
      </c>
      <c r="O11" s="44" t="e">
        <f>'8'!K8</f>
        <v>#REF!</v>
      </c>
      <c r="P11" s="44" t="e">
        <f t="shared" si="2"/>
        <v>#REF!</v>
      </c>
      <c r="Q11" s="44" t="e">
        <f t="shared" si="3"/>
        <v>#REF!</v>
      </c>
      <c r="R11" s="44">
        <f>'1'!AC11</f>
        <v>0.15674721092182259</v>
      </c>
      <c r="S11" s="44">
        <f>'1'!AE11</f>
        <v>0.19211991774968218</v>
      </c>
      <c r="T11" s="44">
        <f>'2'!AC11</f>
        <v>7.6205404211708974E-2</v>
      </c>
      <c r="U11" s="44">
        <f>'2'!AE11</f>
        <v>6.6728270060586209E-2</v>
      </c>
      <c r="V11" s="44">
        <f>'3'!J11</f>
        <v>-73.844297223950846</v>
      </c>
      <c r="W11" s="44" t="e">
        <f>'8'!P8</f>
        <v>#REF!</v>
      </c>
      <c r="X11" s="44" t="e">
        <f t="shared" si="4"/>
        <v>#REF!</v>
      </c>
      <c r="Y11" s="44" t="e">
        <f t="shared" si="5"/>
        <v>#REF!</v>
      </c>
      <c r="Z11" s="44">
        <f>'1'!AM11</f>
        <v>0.18141872196920064</v>
      </c>
      <c r="AA11" s="44">
        <f>'1'!AO11</f>
        <v>0.22615859186423803</v>
      </c>
      <c r="AB11" s="44">
        <f>'2'!AM11</f>
        <v>0.11796817052604915</v>
      </c>
      <c r="AC11" s="44">
        <f>'2'!AO11</f>
        <v>0.15769645648764188</v>
      </c>
      <c r="AD11" s="44">
        <f>'3'!M11</f>
        <v>-51.22519050547529</v>
      </c>
      <c r="AE11" s="44" t="e">
        <f>'8'!U8</f>
        <v>#REF!</v>
      </c>
      <c r="AF11" s="44" t="e">
        <f t="shared" si="6"/>
        <v>#REF!</v>
      </c>
      <c r="AG11" s="44" t="e">
        <f t="shared" si="7"/>
        <v>#REF!</v>
      </c>
      <c r="AH11" s="44">
        <f>'1'!AW11</f>
        <v>7.4120690290924676E-2</v>
      </c>
      <c r="AI11" s="44">
        <f>'1'!AY11</f>
        <v>6.8800602574472153E-2</v>
      </c>
      <c r="AJ11" s="44">
        <f>'2'!AW11</f>
        <v>0.13470367282978349</v>
      </c>
      <c r="AK11" s="44">
        <f>'2'!AY11</f>
        <v>0.19038496481371858</v>
      </c>
      <c r="AL11" s="44">
        <f>'3'!P11</f>
        <v>-61.041362834804609</v>
      </c>
      <c r="AM11" s="44" t="e">
        <f>'8'!Z8</f>
        <v>#REF!</v>
      </c>
      <c r="AN11" s="44" t="e">
        <f t="shared" si="8"/>
        <v>#REF!</v>
      </c>
      <c r="AO11" s="44" t="e">
        <f t="shared" si="9"/>
        <v>#REF!</v>
      </c>
      <c r="AP11" s="44">
        <f>'1'!BG11</f>
        <v>0.1370364837946457</v>
      </c>
      <c r="AQ11" s="44">
        <f>'1'!BI11</f>
        <v>0.16406181830860714</v>
      </c>
      <c r="AR11" s="44">
        <f>'2'!BG11</f>
        <v>0.17021454062564204</v>
      </c>
      <c r="AS11" s="44">
        <f>'2'!BI11</f>
        <v>0.25402699774085374</v>
      </c>
      <c r="AT11" s="44">
        <f>'3'!S11</f>
        <v>-41.28140434669389</v>
      </c>
      <c r="AU11" s="44" t="e">
        <f>'8'!AE8</f>
        <v>#REF!</v>
      </c>
      <c r="AV11" s="44" t="e">
        <f t="shared" si="10"/>
        <v>#REF!</v>
      </c>
      <c r="AW11" s="44" t="e">
        <f t="shared" si="11"/>
        <v>#REF!</v>
      </c>
      <c r="AX11" s="44">
        <f>'1'!BQ11</f>
        <v>0.24697777184003003</v>
      </c>
      <c r="AY11" s="44">
        <f>'1'!BS11</f>
        <v>0.31132047953146885</v>
      </c>
      <c r="AZ11" s="44">
        <f>'2'!BQ11</f>
        <v>0.16936964928392917</v>
      </c>
      <c r="BA11" s="44">
        <f>'2'!BS11</f>
        <v>0.25259352212616382</v>
      </c>
      <c r="BB11" s="44">
        <f>'3'!V11</f>
        <v>-41.266663016901475</v>
      </c>
      <c r="BC11" s="44" t="e">
        <f>'8'!AJ8</f>
        <v>#REF!</v>
      </c>
      <c r="BD11" s="44" t="e">
        <f t="shared" si="12"/>
        <v>#REF!</v>
      </c>
      <c r="BE11" s="44" t="e">
        <f t="shared" si="13"/>
        <v>#REF!</v>
      </c>
      <c r="BF11" s="44">
        <f>'1'!CA11</f>
        <v>0.20600645308420301</v>
      </c>
      <c r="BG11" s="44">
        <f>'1'!CC11</f>
        <v>0.25895968478189596</v>
      </c>
      <c r="BH11" s="44">
        <f>'2'!CA11</f>
        <v>0.22169947193785583</v>
      </c>
      <c r="BI11" s="44">
        <f>'2'!CC11</f>
        <v>0.33512663968444001</v>
      </c>
      <c r="BJ11" s="44">
        <f>'3'!Y11</f>
        <v>-61.219915101696678</v>
      </c>
      <c r="BK11" s="44" t="e">
        <f>'8'!AO8</f>
        <v>#REF!</v>
      </c>
      <c r="BL11" s="44" t="e">
        <f t="shared" si="14"/>
        <v>#REF!</v>
      </c>
      <c r="BM11" s="44" t="e">
        <f t="shared" si="15"/>
        <v>#REF!</v>
      </c>
      <c r="BN11" s="44">
        <f>'1'!CK11</f>
        <v>0.13695212040339574</v>
      </c>
      <c r="BO11" s="44">
        <f>'1'!CM11</f>
        <v>0.16394000826898886</v>
      </c>
      <c r="BP11" s="44">
        <f>'2'!CK11</f>
        <v>0.30798845645659978</v>
      </c>
      <c r="BQ11" s="44">
        <f>'2'!CM11</f>
        <v>0.44928698224322722</v>
      </c>
      <c r="BR11" s="44">
        <f>'3'!AB11</f>
        <v>-62.194542448042029</v>
      </c>
      <c r="BS11" s="44" t="e">
        <f>'8'!AT8</f>
        <v>#REF!</v>
      </c>
      <c r="BT11" s="44" t="e">
        <f t="shared" si="16"/>
        <v>#REF!</v>
      </c>
      <c r="BU11" s="44" t="e">
        <f t="shared" si="17"/>
        <v>#REF!</v>
      </c>
      <c r="BV11" s="44">
        <f>'1'!CU11</f>
        <v>0.23851755972165808</v>
      </c>
      <c r="BW11" s="44">
        <f>'1'!CW11</f>
        <v>0.30073218734784096</v>
      </c>
      <c r="BX11" s="44">
        <f>'2'!CU11</f>
        <v>0.33996310890536313</v>
      </c>
      <c r="BY11" s="44">
        <f>'2'!CW11</f>
        <v>0.48632436070842278</v>
      </c>
      <c r="BZ11" s="44">
        <f>'3'!AE11</f>
        <v>-52.058527021079009</v>
      </c>
      <c r="CA11" s="44" t="e">
        <f>'8'!AY8</f>
        <v>#REF!</v>
      </c>
      <c r="CB11" s="44" t="e">
        <f t="shared" si="18"/>
        <v>#REF!</v>
      </c>
      <c r="CC11" s="44" t="e">
        <f t="shared" si="19"/>
        <v>#REF!</v>
      </c>
      <c r="CD11" s="44">
        <f>'1'!DE11</f>
        <v>0.24645220588302014</v>
      </c>
      <c r="CE11" s="44">
        <f>'1'!DG11</f>
        <v>0.31066598985490684</v>
      </c>
      <c r="CF11" s="44">
        <f>'2'!DE11</f>
        <v>0.27309027700476329</v>
      </c>
      <c r="CG11" s="44">
        <f>'2'!DG11</f>
        <v>0.40586795090083516</v>
      </c>
      <c r="CH11" s="44">
        <f>'3'!AH11</f>
        <v>-46.344817049310002</v>
      </c>
      <c r="CI11" s="44" t="e">
        <f>'8'!BD8</f>
        <v>#REF!</v>
      </c>
      <c r="CJ11" s="44" t="e">
        <f t="shared" si="20"/>
        <v>#REF!</v>
      </c>
      <c r="CK11" s="44" t="e">
        <f t="shared" si="21"/>
        <v>#REF!</v>
      </c>
    </row>
    <row r="12" spans="1:89" hidden="1">
      <c r="A12" s="1">
        <v>1975</v>
      </c>
      <c r="B12" s="44">
        <f>'1'!I12</f>
        <v>0.17627869346084327</v>
      </c>
      <c r="C12" s="44">
        <f>'1'!K12</f>
        <v>0.21916255159999537</v>
      </c>
      <c r="D12" s="44">
        <f>'2'!I12</f>
        <v>0.1915218716260664</v>
      </c>
      <c r="E12" s="44">
        <f>'2'!K12</f>
        <v>0.28901995227485333</v>
      </c>
      <c r="F12" s="44">
        <f>'3'!D12</f>
        <v>-46.455786575922893</v>
      </c>
      <c r="G12" s="44" t="e">
        <f>'8'!F9</f>
        <v>#REF!</v>
      </c>
      <c r="H12" s="44" t="e">
        <f t="shared" si="0"/>
        <v>#REF!</v>
      </c>
      <c r="I12" s="44" t="e">
        <f t="shared" si="1"/>
        <v>#REF!</v>
      </c>
      <c r="J12" s="44">
        <f>'1'!S12</f>
        <v>8.1780805350767524E-2</v>
      </c>
      <c r="K12" s="44">
        <f>'1'!U12</f>
        <v>8.0899101556527603E-2</v>
      </c>
      <c r="L12" s="44">
        <f>'2'!S12</f>
        <v>0.13899596912834475</v>
      </c>
      <c r="M12" s="44">
        <f>'2'!U12</f>
        <v>0.19847138210454693</v>
      </c>
      <c r="N12" s="44">
        <f>'3'!G12</f>
        <v>-87.43711200445162</v>
      </c>
      <c r="O12" s="44" t="e">
        <f>'8'!K9</f>
        <v>#REF!</v>
      </c>
      <c r="P12" s="44" t="e">
        <f t="shared" si="2"/>
        <v>#REF!</v>
      </c>
      <c r="Q12" s="44" t="e">
        <f t="shared" si="3"/>
        <v>#REF!</v>
      </c>
      <c r="R12" s="44">
        <f>'1'!AC12</f>
        <v>0.19233748999705619</v>
      </c>
      <c r="S12" s="44">
        <f>'1'!AE12</f>
        <v>0.2408585284475564</v>
      </c>
      <c r="T12" s="44">
        <f>'2'!AC12</f>
        <v>7.7454191193426461E-2</v>
      </c>
      <c r="U12" s="44">
        <f>'2'!AE12</f>
        <v>6.9673074202520169E-2</v>
      </c>
      <c r="V12" s="44">
        <f>'3'!J12</f>
        <v>-73.832710973027972</v>
      </c>
      <c r="W12" s="44" t="e">
        <f>'8'!P9</f>
        <v>#REF!</v>
      </c>
      <c r="X12" s="44" t="e">
        <f t="shared" si="4"/>
        <v>#REF!</v>
      </c>
      <c r="Y12" s="44" t="e">
        <f t="shared" si="5"/>
        <v>#REF!</v>
      </c>
      <c r="Z12" s="44">
        <f>'1'!AM12</f>
        <v>0.20252667241918984</v>
      </c>
      <c r="AA12" s="44">
        <f>'1'!AO12</f>
        <v>0.25438277477023619</v>
      </c>
      <c r="AB12" s="44">
        <f>'2'!AM12</f>
        <v>0.11906144780304653</v>
      </c>
      <c r="AC12" s="44">
        <f>'2'!AO12</f>
        <v>0.15989089993278777</v>
      </c>
      <c r="AD12" s="44">
        <f>'3'!M12</f>
        <v>-51.219777186035735</v>
      </c>
      <c r="AE12" s="44" t="e">
        <f>'8'!U9</f>
        <v>#REF!</v>
      </c>
      <c r="AF12" s="44" t="e">
        <f t="shared" si="6"/>
        <v>#REF!</v>
      </c>
      <c r="AG12" s="44" t="e">
        <f t="shared" si="7"/>
        <v>#REF!</v>
      </c>
      <c r="AH12" s="44">
        <f>'1'!AW12</f>
        <v>0.10072057943871146</v>
      </c>
      <c r="AI12" s="44">
        <f>'1'!AY12</f>
        <v>0.11019526163607579</v>
      </c>
      <c r="AJ12" s="44">
        <f>'2'!AW12</f>
        <v>0.1408775998370807</v>
      </c>
      <c r="AK12" s="44">
        <f>'2'!AY12</f>
        <v>0.2019799178391212</v>
      </c>
      <c r="AL12" s="44">
        <f>'3'!P12</f>
        <v>-61.045038499658169</v>
      </c>
      <c r="AM12" s="44" t="e">
        <f>'8'!Z9</f>
        <v>#REF!</v>
      </c>
      <c r="AN12" s="44" t="e">
        <f t="shared" si="8"/>
        <v>#REF!</v>
      </c>
      <c r="AO12" s="44" t="e">
        <f t="shared" si="9"/>
        <v>#REF!</v>
      </c>
      <c r="AP12" s="44">
        <f>'1'!BG12</f>
        <v>0.16010866461186965</v>
      </c>
      <c r="AQ12" s="44">
        <f>'1'!BI12</f>
        <v>0.19682682479393981</v>
      </c>
      <c r="AR12" s="44">
        <f>'2'!BG12</f>
        <v>0.17341672314485557</v>
      </c>
      <c r="AS12" s="44">
        <f>'2'!BI12</f>
        <v>0.25942701168013405</v>
      </c>
      <c r="AT12" s="44">
        <f>'3'!S12</f>
        <v>-41.269946762588127</v>
      </c>
      <c r="AU12" s="44" t="e">
        <f>'8'!AE9</f>
        <v>#REF!</v>
      </c>
      <c r="AV12" s="44" t="e">
        <f t="shared" si="10"/>
        <v>#REF!</v>
      </c>
      <c r="AW12" s="44" t="e">
        <f t="shared" si="11"/>
        <v>#REF!</v>
      </c>
      <c r="AX12" s="44">
        <f>'1'!BQ12</f>
        <v>0.27348310403594156</v>
      </c>
      <c r="AY12" s="44">
        <f>'1'!BS12</f>
        <v>0.34378073533594206</v>
      </c>
      <c r="AZ12" s="44">
        <f>'2'!BQ12</f>
        <v>0.17059700118734988</v>
      </c>
      <c r="BA12" s="44">
        <f>'2'!BS12</f>
        <v>0.25467469558411365</v>
      </c>
      <c r="BB12" s="44">
        <f>'3'!V12</f>
        <v>-41.264034164333992</v>
      </c>
      <c r="BC12" s="44" t="e">
        <f>'8'!AJ9</f>
        <v>#REF!</v>
      </c>
      <c r="BD12" s="44" t="e">
        <f t="shared" si="12"/>
        <v>#REF!</v>
      </c>
      <c r="BE12" s="44" t="e">
        <f t="shared" si="13"/>
        <v>#REF!</v>
      </c>
      <c r="BF12" s="44">
        <f>'1'!CA12</f>
        <v>0.22382835048391519</v>
      </c>
      <c r="BG12" s="44">
        <f>'1'!CC12</f>
        <v>0.28207567238815395</v>
      </c>
      <c r="BH12" s="44">
        <f>'2'!CA12</f>
        <v>0.22232355051983427</v>
      </c>
      <c r="BI12" s="44">
        <f>'2'!CC12</f>
        <v>0.33604134334715363</v>
      </c>
      <c r="BJ12" s="44">
        <f>'3'!Y12</f>
        <v>-61.211139748150487</v>
      </c>
      <c r="BK12" s="44" t="e">
        <f>'8'!AO9</f>
        <v>#REF!</v>
      </c>
      <c r="BL12" s="44" t="e">
        <f t="shared" si="14"/>
        <v>#REF!</v>
      </c>
      <c r="BM12" s="44" t="e">
        <f t="shared" si="15"/>
        <v>#REF!</v>
      </c>
      <c r="BN12" s="44">
        <f>'1'!CK12</f>
        <v>0.19026976059198314</v>
      </c>
      <c r="BO12" s="44">
        <f>'1'!CM12</f>
        <v>0.23809138733362956</v>
      </c>
      <c r="BP12" s="44">
        <f>'2'!CK12</f>
        <v>0.30331827630138131</v>
      </c>
      <c r="BQ12" s="44">
        <f>'2'!CM12</f>
        <v>0.44366720656511927</v>
      </c>
      <c r="BR12" s="44">
        <f>'3'!AB12</f>
        <v>-62.213500126198731</v>
      </c>
      <c r="BS12" s="44" t="e">
        <f>'8'!AT9</f>
        <v>#REF!</v>
      </c>
      <c r="BT12" s="44" t="e">
        <f t="shared" si="16"/>
        <v>#REF!</v>
      </c>
      <c r="BU12" s="44" t="e">
        <f t="shared" si="17"/>
        <v>#REF!</v>
      </c>
      <c r="BV12" s="44">
        <f>'1'!CU12</f>
        <v>0.28885023544913124</v>
      </c>
      <c r="BW12" s="44">
        <f>'1'!CW12</f>
        <v>0.36212585637971378</v>
      </c>
      <c r="BX12" s="44">
        <f>'2'!CU12</f>
        <v>0.37861369303241471</v>
      </c>
      <c r="BY12" s="44">
        <f>'2'!CW12</f>
        <v>0.52806370544308889</v>
      </c>
      <c r="BZ12" s="44">
        <f>'3'!AE12</f>
        <v>-52.080286931747509</v>
      </c>
      <c r="CA12" s="44" t="e">
        <f>'8'!AY9</f>
        <v>#REF!</v>
      </c>
      <c r="CB12" s="44" t="e">
        <f t="shared" si="18"/>
        <v>#REF!</v>
      </c>
      <c r="CC12" s="44" t="e">
        <f t="shared" si="19"/>
        <v>#REF!</v>
      </c>
      <c r="CD12" s="44">
        <f>'1'!DE12</f>
        <v>0.27596989850844073</v>
      </c>
      <c r="CE12" s="44">
        <f>'1'!DG12</f>
        <v>0.34677251297489753</v>
      </c>
      <c r="CF12" s="44">
        <f>'2'!DE12</f>
        <v>0.266553346803238</v>
      </c>
      <c r="CG12" s="44">
        <f>'2'!DG12</f>
        <v>0.39734845970050231</v>
      </c>
      <c r="CH12" s="44">
        <f>'3'!AH12</f>
        <v>-46.362981171625002</v>
      </c>
      <c r="CI12" s="44" t="e">
        <f>'8'!BD9</f>
        <v>#REF!</v>
      </c>
      <c r="CJ12" s="44" t="e">
        <f t="shared" si="20"/>
        <v>#REF!</v>
      </c>
      <c r="CK12" s="44" t="e">
        <f t="shared" si="21"/>
        <v>#REF!</v>
      </c>
    </row>
    <row r="13" spans="1:89" hidden="1">
      <c r="A13" s="1">
        <v>1976</v>
      </c>
      <c r="B13" s="44">
        <f>'1'!I13</f>
        <v>0.19630893151526885</v>
      </c>
      <c r="C13" s="44">
        <f>'1'!K13</f>
        <v>0.24615179438609688</v>
      </c>
      <c r="D13" s="44">
        <f>'2'!I13</f>
        <v>0.20342458928402068</v>
      </c>
      <c r="E13" s="44">
        <f>'2'!K13</f>
        <v>0.30765948316408981</v>
      </c>
      <c r="F13" s="44">
        <f>'3'!D13</f>
        <v>-46.452971810033745</v>
      </c>
      <c r="G13" s="44" t="e">
        <f>'8'!F10</f>
        <v>#REF!</v>
      </c>
      <c r="H13" s="44" t="e">
        <f t="shared" si="0"/>
        <v>#REF!</v>
      </c>
      <c r="I13" s="44" t="e">
        <f t="shared" si="1"/>
        <v>#REF!</v>
      </c>
      <c r="J13" s="44">
        <f>'1'!S13</f>
        <v>9.6300027666184035E-2</v>
      </c>
      <c r="K13" s="44">
        <f>'1'!U13</f>
        <v>0.10343440148278413</v>
      </c>
      <c r="L13" s="44">
        <f>'2'!S13</f>
        <v>0.1237257938219465</v>
      </c>
      <c r="M13" s="44">
        <f>'2'!U13</f>
        <v>0.1691582091081231</v>
      </c>
      <c r="N13" s="44">
        <f>'3'!G13</f>
        <v>-87.412185379259611</v>
      </c>
      <c r="O13" s="44" t="e">
        <f>'8'!K10</f>
        <v>#REF!</v>
      </c>
      <c r="P13" s="44" t="e">
        <f t="shared" si="2"/>
        <v>#REF!</v>
      </c>
      <c r="Q13" s="44" t="e">
        <f t="shared" si="3"/>
        <v>#REF!</v>
      </c>
      <c r="R13" s="44">
        <f>'1'!AC13</f>
        <v>0.22587763313615664</v>
      </c>
      <c r="S13" s="44">
        <f>'1'!AE13</f>
        <v>0.28469955453350698</v>
      </c>
      <c r="T13" s="44">
        <f>'2'!AC13</f>
        <v>7.1273227996526037E-2</v>
      </c>
      <c r="U13" s="44">
        <f>'2'!AE13</f>
        <v>5.4944414593473163E-2</v>
      </c>
      <c r="V13" s="44">
        <f>'3'!J13</f>
        <v>-73.835554362143341</v>
      </c>
      <c r="W13" s="44" t="e">
        <f>'8'!P10</f>
        <v>#REF!</v>
      </c>
      <c r="X13" s="44" t="e">
        <f t="shared" si="4"/>
        <v>#REF!</v>
      </c>
      <c r="Y13" s="44" t="e">
        <f t="shared" si="5"/>
        <v>#REF!</v>
      </c>
      <c r="Z13" s="44">
        <f>'1'!AM13</f>
        <v>0.24779738211647265</v>
      </c>
      <c r="AA13" s="44">
        <f>'1'!AO13</f>
        <v>0.31234028426431837</v>
      </c>
      <c r="AB13" s="44">
        <f>'2'!AM13</f>
        <v>0.11896429501176536</v>
      </c>
      <c r="AC13" s="44">
        <f>'2'!AO13</f>
        <v>0.15969623966825883</v>
      </c>
      <c r="AD13" s="44">
        <f>'3'!M13</f>
        <v>-51.224162211171269</v>
      </c>
      <c r="AE13" s="44" t="e">
        <f>'8'!U10</f>
        <v>#REF!</v>
      </c>
      <c r="AF13" s="44" t="e">
        <f t="shared" si="6"/>
        <v>#REF!</v>
      </c>
      <c r="AG13" s="44" t="e">
        <f t="shared" si="7"/>
        <v>#REF!</v>
      </c>
      <c r="AH13" s="44">
        <f>'1'!AW13</f>
        <v>0.1202438167095297</v>
      </c>
      <c r="AI13" s="44">
        <f>'1'!AY13</f>
        <v>0.1395160972441179</v>
      </c>
      <c r="AJ13" s="44">
        <f>'2'!AW13</f>
        <v>0.13537247919063625</v>
      </c>
      <c r="AK13" s="44">
        <f>'2'!AY13</f>
        <v>0.19165262809195238</v>
      </c>
      <c r="AL13" s="44">
        <f>'3'!P13</f>
        <v>-61.056356290488921</v>
      </c>
      <c r="AM13" s="44" t="e">
        <f>'8'!Z10</f>
        <v>#REF!</v>
      </c>
      <c r="AN13" s="44" t="e">
        <f t="shared" si="8"/>
        <v>#REF!</v>
      </c>
      <c r="AO13" s="44" t="e">
        <f t="shared" si="9"/>
        <v>#REF!</v>
      </c>
      <c r="AP13" s="44">
        <f>'1'!BG13</f>
        <v>0.18492236822300859</v>
      </c>
      <c r="AQ13" s="44">
        <f>'1'!BI13</f>
        <v>0.23089929018851513</v>
      </c>
      <c r="AR13" s="44">
        <f>'2'!BG13</f>
        <v>0.16957077529556883</v>
      </c>
      <c r="AS13" s="44">
        <f>'2'!BI13</f>
        <v>0.25293509195127756</v>
      </c>
      <c r="AT13" s="44">
        <f>'3'!S13</f>
        <v>-41.273050104112137</v>
      </c>
      <c r="AU13" s="44" t="e">
        <f>'8'!AE10</f>
        <v>#REF!</v>
      </c>
      <c r="AV13" s="44" t="e">
        <f t="shared" si="10"/>
        <v>#REF!</v>
      </c>
      <c r="AW13" s="44" t="e">
        <f t="shared" si="11"/>
        <v>#REF!</v>
      </c>
      <c r="AX13" s="44">
        <f>'1'!BQ13</f>
        <v>0.29601655225865847</v>
      </c>
      <c r="AY13" s="44">
        <f>'1'!BS13</f>
        <v>0.37056647610921928</v>
      </c>
      <c r="AZ13" s="44">
        <f>'2'!BQ13</f>
        <v>0.17500502750655153</v>
      </c>
      <c r="BA13" s="44">
        <f>'2'!BS13</f>
        <v>0.26208633576989682</v>
      </c>
      <c r="BB13" s="44">
        <f>'3'!V13</f>
        <v>-41.267893030488096</v>
      </c>
      <c r="BC13" s="44" t="e">
        <f>'8'!AJ10</f>
        <v>#REF!</v>
      </c>
      <c r="BD13" s="44" t="e">
        <f t="shared" si="12"/>
        <v>#REF!</v>
      </c>
      <c r="BE13" s="44" t="e">
        <f t="shared" si="13"/>
        <v>#REF!</v>
      </c>
      <c r="BF13" s="44">
        <f>'1'!CA13</f>
        <v>0.25616271397513662</v>
      </c>
      <c r="BG13" s="44">
        <f>'1'!CC13</f>
        <v>0.3226894667523843</v>
      </c>
      <c r="BH13" s="44">
        <f>'2'!CA13</f>
        <v>0.22465988999906616</v>
      </c>
      <c r="BI13" s="44">
        <f>'2'!CC13</f>
        <v>0.33945253253001961</v>
      </c>
      <c r="BJ13" s="44">
        <f>'3'!Y13</f>
        <v>-61.227595008424359</v>
      </c>
      <c r="BK13" s="44" t="e">
        <f>'8'!AO10</f>
        <v>#REF!</v>
      </c>
      <c r="BL13" s="44" t="e">
        <f t="shared" si="14"/>
        <v>#REF!</v>
      </c>
      <c r="BM13" s="44" t="e">
        <f t="shared" si="15"/>
        <v>#REF!</v>
      </c>
      <c r="BN13" s="44">
        <f>'1'!CK13</f>
        <v>0.22156482541592737</v>
      </c>
      <c r="BO13" s="44">
        <f>'1'!CM13</f>
        <v>0.27916939933678142</v>
      </c>
      <c r="BP13" s="44">
        <f>'2'!CK13</f>
        <v>0.28984312411974267</v>
      </c>
      <c r="BQ13" s="44">
        <f>'2'!CM13</f>
        <v>0.42712999711899419</v>
      </c>
      <c r="BR13" s="44">
        <f>'3'!AB13</f>
        <v>-62.181437234922335</v>
      </c>
      <c r="BS13" s="44" t="e">
        <f>'8'!AT10</f>
        <v>#REF!</v>
      </c>
      <c r="BT13" s="44" t="e">
        <f t="shared" si="16"/>
        <v>#REF!</v>
      </c>
      <c r="BU13" s="44" t="e">
        <f t="shared" si="17"/>
        <v>#REF!</v>
      </c>
      <c r="BV13" s="44">
        <f>'1'!CU13</f>
        <v>0.33785196071458812</v>
      </c>
      <c r="BW13" s="44">
        <f>'1'!CW13</f>
        <v>0.41845917988099318</v>
      </c>
      <c r="BX13" s="44">
        <f>'2'!CU13</f>
        <v>0.41806609316154691</v>
      </c>
      <c r="BY13" s="44">
        <f>'2'!CW13</f>
        <v>0.56769580519113483</v>
      </c>
      <c r="BZ13" s="44">
        <f>'3'!AE13</f>
        <v>-52.046497862655492</v>
      </c>
      <c r="CA13" s="44" t="e">
        <f>'8'!AY10</f>
        <v>#REF!</v>
      </c>
      <c r="CB13" s="44" t="e">
        <f t="shared" si="18"/>
        <v>#REF!</v>
      </c>
      <c r="CC13" s="44" t="e">
        <f t="shared" si="19"/>
        <v>#REF!</v>
      </c>
      <c r="CD13" s="44">
        <f>'1'!DE13</f>
        <v>0.32479144607416083</v>
      </c>
      <c r="CE13" s="44">
        <f>'1'!DG13</f>
        <v>0.40375400382981197</v>
      </c>
      <c r="CF13" s="44">
        <f>'2'!DE13</f>
        <v>0.286991795728815</v>
      </c>
      <c r="CG13" s="44">
        <f>'2'!DG13</f>
        <v>0.42356751055896508</v>
      </c>
      <c r="CH13" s="44">
        <f>'3'!AH13</f>
        <v>-46.350665896695432</v>
      </c>
      <c r="CI13" s="44" t="e">
        <f>'8'!BD10</f>
        <v>#REF!</v>
      </c>
      <c r="CJ13" s="44" t="e">
        <f t="shared" si="20"/>
        <v>#REF!</v>
      </c>
      <c r="CK13" s="44" t="e">
        <f t="shared" si="21"/>
        <v>#REF!</v>
      </c>
    </row>
    <row r="14" spans="1:89" hidden="1">
      <c r="A14" s="1">
        <v>1977</v>
      </c>
      <c r="B14" s="44">
        <f>'1'!I14</f>
        <v>0.21573246635837778</v>
      </c>
      <c r="C14" s="44">
        <f>'1'!K14</f>
        <v>0.27164147961976548</v>
      </c>
      <c r="D14" s="44">
        <f>'2'!I14</f>
        <v>0.20836169809978436</v>
      </c>
      <c r="E14" s="44">
        <f>'2'!K14</f>
        <v>0.31521322780513367</v>
      </c>
      <c r="F14" s="44">
        <f>'3'!D14</f>
        <v>-52.990013765375096</v>
      </c>
      <c r="G14" s="44" t="e">
        <f>'8'!F11</f>
        <v>#REF!</v>
      </c>
      <c r="H14" s="44" t="e">
        <f t="shared" si="0"/>
        <v>#REF!</v>
      </c>
      <c r="I14" s="44" t="e">
        <f t="shared" si="1"/>
        <v>#REF!</v>
      </c>
      <c r="J14" s="44">
        <f>'1'!S14</f>
        <v>0.10671715287462524</v>
      </c>
      <c r="K14" s="44">
        <f>'1'!U14</f>
        <v>0.11929359307061004</v>
      </c>
      <c r="L14" s="44">
        <f>'2'!S14</f>
        <v>0.12979057114203205</v>
      </c>
      <c r="M14" s="44">
        <f>'2'!U14</f>
        <v>0.18098395398900693</v>
      </c>
      <c r="N14" s="44">
        <f>'3'!G14</f>
        <v>-71.290685817298581</v>
      </c>
      <c r="O14" s="44" t="e">
        <f>'8'!K11</f>
        <v>#REF!</v>
      </c>
      <c r="P14" s="44" t="e">
        <f t="shared" si="2"/>
        <v>#REF!</v>
      </c>
      <c r="Q14" s="44" t="e">
        <f t="shared" si="3"/>
        <v>#REF!</v>
      </c>
      <c r="R14" s="44">
        <f>'1'!AC14</f>
        <v>0.250816337099728</v>
      </c>
      <c r="S14" s="44">
        <f>'1'!AE14</f>
        <v>0.31608763303012105</v>
      </c>
      <c r="T14" s="44">
        <f>'2'!AC14</f>
        <v>7.3882762195263629E-2</v>
      </c>
      <c r="U14" s="44">
        <f>'2'!AE14</f>
        <v>6.1209813823309492E-2</v>
      </c>
      <c r="V14" s="44">
        <f>'3'!J14</f>
        <v>-69.688068343820603</v>
      </c>
      <c r="W14" s="44" t="e">
        <f>'8'!P11</f>
        <v>#REF!</v>
      </c>
      <c r="X14" s="44" t="e">
        <f t="shared" si="4"/>
        <v>#REF!</v>
      </c>
      <c r="Y14" s="44" t="e">
        <f t="shared" si="5"/>
        <v>#REF!</v>
      </c>
      <c r="Z14" s="44">
        <f>'1'!AM14</f>
        <v>0.25861168891021857</v>
      </c>
      <c r="AA14" s="44">
        <f>'1'!AO14</f>
        <v>0.32569893200632027</v>
      </c>
      <c r="AB14" s="44">
        <f>'2'!AM14</f>
        <v>0.12549083950552753</v>
      </c>
      <c r="AC14" s="44">
        <f>'2'!AO14</f>
        <v>0.17262561681780192</v>
      </c>
      <c r="AD14" s="44">
        <f>'3'!M14</f>
        <v>-59.205556510235986</v>
      </c>
      <c r="AE14" s="44" t="e">
        <f>'8'!U11</f>
        <v>#REF!</v>
      </c>
      <c r="AF14" s="44" t="e">
        <f t="shared" si="6"/>
        <v>#REF!</v>
      </c>
      <c r="AG14" s="44" t="e">
        <f t="shared" si="7"/>
        <v>#REF!</v>
      </c>
      <c r="AH14" s="44">
        <f>'1'!AW14</f>
        <v>0.12865242621116021</v>
      </c>
      <c r="AI14" s="44">
        <f>'1'!AY14</f>
        <v>0.15188270020886652</v>
      </c>
      <c r="AJ14" s="44">
        <f>'2'!AW14</f>
        <v>0.14052380094533734</v>
      </c>
      <c r="AK14" s="44">
        <f>'2'!AY14</f>
        <v>0.20132188465812936</v>
      </c>
      <c r="AL14" s="44">
        <f>'3'!P14</f>
        <v>-68.767816728577884</v>
      </c>
      <c r="AM14" s="44" t="e">
        <f>'8'!Z11</f>
        <v>#REF!</v>
      </c>
      <c r="AN14" s="44" t="e">
        <f t="shared" si="8"/>
        <v>#REF!</v>
      </c>
      <c r="AO14" s="44" t="e">
        <f t="shared" si="9"/>
        <v>#REF!</v>
      </c>
      <c r="AP14" s="44">
        <f>'1'!BG14</f>
        <v>0.20882377782231279</v>
      </c>
      <c r="AQ14" s="44">
        <f>'1'!BI14</f>
        <v>0.26264989136899192</v>
      </c>
      <c r="AR14" s="44">
        <f>'2'!BG14</f>
        <v>0.1763089310631655</v>
      </c>
      <c r="AS14" s="44">
        <f>'2'!BI14</f>
        <v>0.26426012079328259</v>
      </c>
      <c r="AT14" s="44">
        <f>'3'!S14</f>
        <v>-56.097514686815892</v>
      </c>
      <c r="AU14" s="44" t="e">
        <f>'8'!AE11</f>
        <v>#REF!</v>
      </c>
      <c r="AV14" s="44" t="e">
        <f t="shared" si="10"/>
        <v>#REF!</v>
      </c>
      <c r="AW14" s="44" t="e">
        <f t="shared" si="11"/>
        <v>#REF!</v>
      </c>
      <c r="AX14" s="44">
        <f>'1'!BQ14</f>
        <v>0.3143807153620688</v>
      </c>
      <c r="AY14" s="44">
        <f>'1'!BS14</f>
        <v>0.39187437366732492</v>
      </c>
      <c r="AZ14" s="44">
        <f>'2'!BQ14</f>
        <v>0.17997732417787871</v>
      </c>
      <c r="BA14" s="44">
        <f>'2'!BS14</f>
        <v>0.27033113158932842</v>
      </c>
      <c r="BB14" s="44">
        <f>'3'!V14</f>
        <v>-43.994099595619346</v>
      </c>
      <c r="BC14" s="44" t="e">
        <f>'8'!AJ11</f>
        <v>#REF!</v>
      </c>
      <c r="BD14" s="44" t="e">
        <f t="shared" si="12"/>
        <v>#REF!</v>
      </c>
      <c r="BE14" s="44" t="e">
        <f t="shared" si="13"/>
        <v>#REF!</v>
      </c>
      <c r="BF14" s="44">
        <f>'1'!CA14</f>
        <v>0.26311969760328935</v>
      </c>
      <c r="BG14" s="44">
        <f>'1'!CC14</f>
        <v>0.33121495426930952</v>
      </c>
      <c r="BH14" s="44">
        <f>'2'!CA14</f>
        <v>0.22716105701069064</v>
      </c>
      <c r="BI14" s="44">
        <f>'2'!CC14</f>
        <v>0.34308158722608417</v>
      </c>
      <c r="BJ14" s="44">
        <f>'3'!Y14</f>
        <v>-77.209213133604976</v>
      </c>
      <c r="BK14" s="44" t="e">
        <f>'8'!AO11</f>
        <v>#REF!</v>
      </c>
      <c r="BL14" s="44" t="e">
        <f t="shared" si="14"/>
        <v>#REF!</v>
      </c>
      <c r="BM14" s="44" t="e">
        <f t="shared" si="15"/>
        <v>#REF!</v>
      </c>
      <c r="BN14" s="44">
        <f>'1'!CK14</f>
        <v>0.2354209281273146</v>
      </c>
      <c r="BO14" s="44">
        <f>'1'!CM14</f>
        <v>0.29682824483713149</v>
      </c>
      <c r="BP14" s="44">
        <f>'2'!CK14</f>
        <v>0.29433490541595614</v>
      </c>
      <c r="BQ14" s="44">
        <f>'2'!CM14</f>
        <v>0.43269669755487822</v>
      </c>
      <c r="BR14" s="44">
        <f>'3'!AB14</f>
        <v>-71.812658090959701</v>
      </c>
      <c r="BS14" s="44" t="e">
        <f>'8'!AT11</f>
        <v>#REF!</v>
      </c>
      <c r="BT14" s="44" t="e">
        <f t="shared" si="16"/>
        <v>#REF!</v>
      </c>
      <c r="BU14" s="44" t="e">
        <f t="shared" si="17"/>
        <v>#REF!</v>
      </c>
      <c r="BV14" s="44">
        <f>'1'!CU14</f>
        <v>0.36326136022507521</v>
      </c>
      <c r="BW14" s="44">
        <f>'1'!CW14</f>
        <v>0.44645932160866086</v>
      </c>
      <c r="BX14" s="44">
        <f>'2'!CU14</f>
        <v>0.42117290263185325</v>
      </c>
      <c r="BY14" s="44">
        <f>'2'!CW14</f>
        <v>0.57070126547753341</v>
      </c>
      <c r="BZ14" s="44">
        <f>'3'!AE14</f>
        <v>-49.783148864069851</v>
      </c>
      <c r="CA14" s="44" t="e">
        <f>'8'!AY11</f>
        <v>#REF!</v>
      </c>
      <c r="CB14" s="44" t="e">
        <f t="shared" si="18"/>
        <v>#REF!</v>
      </c>
      <c r="CC14" s="44" t="e">
        <f t="shared" si="19"/>
        <v>#REF!</v>
      </c>
      <c r="CD14" s="44">
        <f>'1'!DE14</f>
        <v>0.35339745067387968</v>
      </c>
      <c r="CE14" s="44">
        <f>'1'!DG14</f>
        <v>0.43568319560976976</v>
      </c>
      <c r="CF14" s="44">
        <f>'2'!DE14</f>
        <v>0.29294624257665036</v>
      </c>
      <c r="CG14" s="44">
        <f>'2'!DG14</f>
        <v>0.43098159467021352</v>
      </c>
      <c r="CH14" s="44">
        <f>'3'!AH14</f>
        <v>-49.667134906792931</v>
      </c>
      <c r="CI14" s="44" t="e">
        <f>'8'!BD11</f>
        <v>#REF!</v>
      </c>
      <c r="CJ14" s="44" t="e">
        <f t="shared" si="20"/>
        <v>#REF!</v>
      </c>
      <c r="CK14" s="44" t="e">
        <f t="shared" si="21"/>
        <v>#REF!</v>
      </c>
    </row>
    <row r="15" spans="1:89" hidden="1">
      <c r="A15" s="1">
        <v>1978</v>
      </c>
      <c r="B15" s="44">
        <f>'1'!I15</f>
        <v>0.23022843159693168</v>
      </c>
      <c r="C15" s="44">
        <f>'1'!K15</f>
        <v>0.29024740783902736</v>
      </c>
      <c r="D15" s="44">
        <f>'2'!I15</f>
        <v>0.2147298950211077</v>
      </c>
      <c r="E15" s="44">
        <f>'2'!K15</f>
        <v>0.3248090217240977</v>
      </c>
      <c r="F15" s="44">
        <f>'3'!D15</f>
        <v>-47.343954220727156</v>
      </c>
      <c r="G15" s="44" t="e">
        <f>'8'!F12</f>
        <v>#REF!</v>
      </c>
      <c r="H15" s="44" t="e">
        <f t="shared" si="0"/>
        <v>#REF!</v>
      </c>
      <c r="I15" s="44" t="e">
        <f t="shared" si="1"/>
        <v>#REF!</v>
      </c>
      <c r="J15" s="44">
        <f>'1'!S15</f>
        <v>0.12925271164548124</v>
      </c>
      <c r="K15" s="44">
        <f>'1'!U15</f>
        <v>0.15275968548378399</v>
      </c>
      <c r="L15" s="44">
        <f>'2'!S15</f>
        <v>0.13824399151284511</v>
      </c>
      <c r="M15" s="44">
        <f>'2'!U15</f>
        <v>0.19706307975689449</v>
      </c>
      <c r="N15" s="44">
        <f>'3'!G15</f>
        <v>-87.16824395894038</v>
      </c>
      <c r="O15" s="44" t="e">
        <f>'8'!K12</f>
        <v>#REF!</v>
      </c>
      <c r="P15" s="44" t="e">
        <f t="shared" si="2"/>
        <v>#REF!</v>
      </c>
      <c r="Q15" s="44" t="e">
        <f t="shared" si="3"/>
        <v>#REF!</v>
      </c>
      <c r="R15" s="44">
        <f>'1'!AC15</f>
        <v>0.2626035352568013</v>
      </c>
      <c r="S15" s="44">
        <f>'1'!AE15</f>
        <v>0.33058492569036108</v>
      </c>
      <c r="T15" s="44">
        <f>'2'!AC15</f>
        <v>7.7817521435605955E-2</v>
      </c>
      <c r="U15" s="44">
        <f>'2'!AE15</f>
        <v>7.0526966302625962E-2</v>
      </c>
      <c r="V15" s="44">
        <f>'3'!J15</f>
        <v>-73.563601756623655</v>
      </c>
      <c r="W15" s="44" t="e">
        <f>'8'!P12</f>
        <v>#REF!</v>
      </c>
      <c r="X15" s="44" t="e">
        <f t="shared" si="4"/>
        <v>#REF!</v>
      </c>
      <c r="Y15" s="44" t="e">
        <f t="shared" si="5"/>
        <v>#REF!</v>
      </c>
      <c r="Z15" s="44">
        <f>'1'!AM15</f>
        <v>0.29030065048200349</v>
      </c>
      <c r="AA15" s="44">
        <f>'1'!AO15</f>
        <v>0.36383997954062741</v>
      </c>
      <c r="AB15" s="44">
        <f>'2'!AM15</f>
        <v>0.12594988683736782</v>
      </c>
      <c r="AC15" s="44">
        <f>'2'!AO15</f>
        <v>0.17352391605212328</v>
      </c>
      <c r="AD15" s="44">
        <f>'3'!M15</f>
        <v>-58.115508044358869</v>
      </c>
      <c r="AE15" s="44" t="e">
        <f>'8'!U12</f>
        <v>#REF!</v>
      </c>
      <c r="AF15" s="44" t="e">
        <f t="shared" si="6"/>
        <v>#REF!</v>
      </c>
      <c r="AG15" s="44" t="e">
        <f t="shared" si="7"/>
        <v>#REF!</v>
      </c>
      <c r="AH15" s="44">
        <f>'1'!AW15</f>
        <v>0.13894613311518775</v>
      </c>
      <c r="AI15" s="44">
        <f>'1'!AY15</f>
        <v>0.16681512222436429</v>
      </c>
      <c r="AJ15" s="44">
        <f>'2'!AW15</f>
        <v>0.14227771258617553</v>
      </c>
      <c r="AK15" s="44">
        <f>'2'!AY15</f>
        <v>0.20457646999400733</v>
      </c>
      <c r="AL15" s="44">
        <f>'3'!P15</f>
        <v>-76.988009380491306</v>
      </c>
      <c r="AM15" s="44" t="e">
        <f>'8'!Z12</f>
        <v>#REF!</v>
      </c>
      <c r="AN15" s="44" t="e">
        <f t="shared" si="8"/>
        <v>#REF!</v>
      </c>
      <c r="AO15" s="44" t="e">
        <f t="shared" si="9"/>
        <v>#REF!</v>
      </c>
      <c r="AP15" s="44">
        <f>'1'!BG15</f>
        <v>0.22494830740052849</v>
      </c>
      <c r="AQ15" s="44">
        <f>'1'!BI15</f>
        <v>0.28351051327252563</v>
      </c>
      <c r="AR15" s="44">
        <f>'2'!BG15</f>
        <v>0.18094992913658789</v>
      </c>
      <c r="AS15" s="44">
        <f>'2'!BI15</f>
        <v>0.27192981157084267</v>
      </c>
      <c r="AT15" s="44">
        <f>'3'!S15</f>
        <v>-45.17824782685333</v>
      </c>
      <c r="AU15" s="44" t="e">
        <f>'8'!AE12</f>
        <v>#REF!</v>
      </c>
      <c r="AV15" s="44" t="e">
        <f t="shared" si="10"/>
        <v>#REF!</v>
      </c>
      <c r="AW15" s="44" t="e">
        <f t="shared" si="11"/>
        <v>#REF!</v>
      </c>
      <c r="AX15" s="44">
        <f>'1'!BQ15</f>
        <v>0.32458778871812832</v>
      </c>
      <c r="AY15" s="44">
        <f>'1'!BS15</f>
        <v>0.40352296846101071</v>
      </c>
      <c r="AZ15" s="44">
        <f>'2'!BQ15</f>
        <v>0.18127604050861831</v>
      </c>
      <c r="BA15" s="44">
        <f>'2'!BS15</f>
        <v>0.27246482797164495</v>
      </c>
      <c r="BB15" s="44">
        <f>'3'!V15</f>
        <v>-39.667260646215894</v>
      </c>
      <c r="BC15" s="44" t="e">
        <f>'8'!AJ12</f>
        <v>#REF!</v>
      </c>
      <c r="BD15" s="44" t="e">
        <f t="shared" si="12"/>
        <v>#REF!</v>
      </c>
      <c r="BE15" s="44" t="e">
        <f t="shared" si="13"/>
        <v>#REF!</v>
      </c>
      <c r="BF15" s="44">
        <f>'1'!CA15</f>
        <v>0.26318350227580833</v>
      </c>
      <c r="BG15" s="44">
        <f>'1'!CC15</f>
        <v>0.33129280661569771</v>
      </c>
      <c r="BH15" s="44">
        <f>'2'!CA15</f>
        <v>0.22925775914249699</v>
      </c>
      <c r="BI15" s="44">
        <f>'2'!CC15</f>
        <v>0.34610584130422711</v>
      </c>
      <c r="BJ15" s="44">
        <f>'3'!Y15</f>
        <v>-85.507966291002973</v>
      </c>
      <c r="BK15" s="44" t="e">
        <f>'8'!AO12</f>
        <v>#REF!</v>
      </c>
      <c r="BL15" s="44" t="e">
        <f t="shared" si="14"/>
        <v>#REF!</v>
      </c>
      <c r="BM15" s="44" t="e">
        <f t="shared" si="15"/>
        <v>#REF!</v>
      </c>
      <c r="BN15" s="44">
        <f>'1'!CK15</f>
        <v>0.25882339734967713</v>
      </c>
      <c r="BO15" s="44">
        <f>'1'!CM15</f>
        <v>0.32595866601040263</v>
      </c>
      <c r="BP15" s="44">
        <f>'2'!CK15</f>
        <v>0.30416063691170925</v>
      </c>
      <c r="BQ15" s="44">
        <f>'2'!CM15</f>
        <v>0.44468500653223025</v>
      </c>
      <c r="BR15" s="44">
        <f>'3'!AB15</f>
        <v>-56.538895469618794</v>
      </c>
      <c r="BS15" s="44" t="e">
        <f>'8'!AT12</f>
        <v>#REF!</v>
      </c>
      <c r="BT15" s="44" t="e">
        <f t="shared" si="16"/>
        <v>#REF!</v>
      </c>
      <c r="BU15" s="44" t="e">
        <f t="shared" si="17"/>
        <v>#REF!</v>
      </c>
      <c r="BV15" s="44">
        <f>'1'!CU15</f>
        <v>0.39900995497212355</v>
      </c>
      <c r="BW15" s="44">
        <f>'1'!CW15</f>
        <v>0.48456282463778444</v>
      </c>
      <c r="BX15" s="44">
        <f>'2'!CU15</f>
        <v>0.44629236837394137</v>
      </c>
      <c r="BY15" s="44">
        <f>'2'!CW15</f>
        <v>0.59442870065935305</v>
      </c>
      <c r="BZ15" s="44">
        <f>'3'!AE15</f>
        <v>-39.4807805253918</v>
      </c>
      <c r="CA15" s="44" t="e">
        <f>'8'!AY12</f>
        <v>#REF!</v>
      </c>
      <c r="CB15" s="44" t="e">
        <f t="shared" si="18"/>
        <v>#REF!</v>
      </c>
      <c r="CC15" s="44" t="e">
        <f t="shared" si="19"/>
        <v>#REF!</v>
      </c>
      <c r="CD15" s="44">
        <f>'1'!DE15</f>
        <v>0.38515166697819375</v>
      </c>
      <c r="CE15" s="44">
        <f>'1'!DG15</f>
        <v>0.46996457123642205</v>
      </c>
      <c r="CF15" s="44">
        <f>'2'!DE15</f>
        <v>0.29665959825628496</v>
      </c>
      <c r="CG15" s="44">
        <f>'2'!DG15</f>
        <v>0.43555620954199775</v>
      </c>
      <c r="CH15" s="44">
        <f>'3'!AH15</f>
        <v>-44.562792140288664</v>
      </c>
      <c r="CI15" s="44" t="e">
        <f>'8'!BD12</f>
        <v>#REF!</v>
      </c>
      <c r="CJ15" s="44" t="e">
        <f t="shared" si="20"/>
        <v>#REF!</v>
      </c>
      <c r="CK15" s="44" t="e">
        <f t="shared" si="21"/>
        <v>#REF!</v>
      </c>
    </row>
    <row r="16" spans="1:89" hidden="1">
      <c r="A16" s="1">
        <v>1979</v>
      </c>
      <c r="B16" s="44">
        <f>'1'!I16</f>
        <v>0.23867823350722323</v>
      </c>
      <c r="C16" s="44">
        <f>'1'!K16</f>
        <v>0.30093433176376611</v>
      </c>
      <c r="D16" s="44">
        <f>'2'!I16</f>
        <v>0.23598434718089964</v>
      </c>
      <c r="E16" s="44">
        <f>'2'!K16</f>
        <v>0.35569981345484375</v>
      </c>
      <c r="F16" s="44">
        <f>'3'!D16</f>
        <v>-48.90443694740248</v>
      </c>
      <c r="G16" s="44" t="e">
        <f>'8'!F13</f>
        <v>#REF!</v>
      </c>
      <c r="H16" s="44" t="e">
        <f t="shared" si="0"/>
        <v>#REF!</v>
      </c>
      <c r="I16" s="44" t="e">
        <f t="shared" si="1"/>
        <v>#REF!</v>
      </c>
      <c r="J16" s="44">
        <f>'1'!S16</f>
        <v>0.14030256842829705</v>
      </c>
      <c r="K16" s="44">
        <f>'1'!U16</f>
        <v>0.16876618613995059</v>
      </c>
      <c r="L16" s="44">
        <f>'2'!S16</f>
        <v>0.16972312234618461</v>
      </c>
      <c r="M16" s="44">
        <f>'2'!U16</f>
        <v>0.25319368302344475</v>
      </c>
      <c r="N16" s="44">
        <f>'3'!G16</f>
        <v>-77.828534352792914</v>
      </c>
      <c r="O16" s="44" t="e">
        <f>'8'!K13</f>
        <v>#REF!</v>
      </c>
      <c r="P16" s="44" t="e">
        <f t="shared" si="2"/>
        <v>#REF!</v>
      </c>
      <c r="Q16" s="44" t="e">
        <f t="shared" si="3"/>
        <v>#REF!</v>
      </c>
      <c r="R16" s="44">
        <f>'1'!AC16</f>
        <v>0.26986742557639565</v>
      </c>
      <c r="S16" s="44">
        <f>'1'!AE16</f>
        <v>0.33941470083500974</v>
      </c>
      <c r="T16" s="44">
        <f>'2'!AC16</f>
        <v>8.0259164521288867E-2</v>
      </c>
      <c r="U16" s="44">
        <f>'2'!AE16</f>
        <v>7.6231876216169225E-2</v>
      </c>
      <c r="V16" s="44">
        <f>'3'!J16</f>
        <v>-67.637476152095417</v>
      </c>
      <c r="W16" s="44" t="e">
        <f>'8'!P13</f>
        <v>#REF!</v>
      </c>
      <c r="X16" s="44" t="e">
        <f t="shared" si="4"/>
        <v>#REF!</v>
      </c>
      <c r="Y16" s="44" t="e">
        <f t="shared" si="5"/>
        <v>#REF!</v>
      </c>
      <c r="Z16" s="44">
        <f>'1'!AM16</f>
        <v>0.30541782327969458</v>
      </c>
      <c r="AA16" s="44">
        <f>'1'!AO16</f>
        <v>0.38153182927385565</v>
      </c>
      <c r="AB16" s="44">
        <f>'2'!AM16</f>
        <v>0.14297298533735509</v>
      </c>
      <c r="AC16" s="44">
        <f>'2'!AO16</f>
        <v>0.20586143261986306</v>
      </c>
      <c r="AD16" s="44">
        <f>'3'!M16</f>
        <v>-56.244428692007055</v>
      </c>
      <c r="AE16" s="44" t="e">
        <f>'8'!U13</f>
        <v>#REF!</v>
      </c>
      <c r="AF16" s="44" t="e">
        <f t="shared" si="6"/>
        <v>#REF!</v>
      </c>
      <c r="AG16" s="44" t="e">
        <f t="shared" si="7"/>
        <v>#REF!</v>
      </c>
      <c r="AH16" s="44">
        <f>'1'!AW16</f>
        <v>0.14506558808336645</v>
      </c>
      <c r="AI16" s="44">
        <f>'1'!AY16</f>
        <v>0.17558700962238644</v>
      </c>
      <c r="AJ16" s="44">
        <f>'2'!AW16</f>
        <v>0.16198941198457475</v>
      </c>
      <c r="AK16" s="44">
        <f>'2'!AY16</f>
        <v>0.23991405143898709</v>
      </c>
      <c r="AL16" s="44">
        <f>'3'!P16</f>
        <v>-69.044066673529841</v>
      </c>
      <c r="AM16" s="44" t="e">
        <f>'8'!Z13</f>
        <v>#REF!</v>
      </c>
      <c r="AN16" s="44" t="e">
        <f t="shared" si="8"/>
        <v>#REF!</v>
      </c>
      <c r="AO16" s="44" t="e">
        <f t="shared" si="9"/>
        <v>#REF!</v>
      </c>
      <c r="AP16" s="44">
        <f>'1'!BG16</f>
        <v>0.25030707764932819</v>
      </c>
      <c r="AQ16" s="44">
        <f>'1'!BI16</f>
        <v>0.31545649297391259</v>
      </c>
      <c r="AR16" s="44">
        <f>'2'!BG16</f>
        <v>0.19467483426303003</v>
      </c>
      <c r="AS16" s="44">
        <f>'2'!BI16</f>
        <v>0.2940179321889701</v>
      </c>
      <c r="AT16" s="44">
        <f>'3'!S16</f>
        <v>-49.675518390436139</v>
      </c>
      <c r="AU16" s="44" t="e">
        <f>'8'!AE13</f>
        <v>#REF!</v>
      </c>
      <c r="AV16" s="44" t="e">
        <f t="shared" si="10"/>
        <v>#REF!</v>
      </c>
      <c r="AW16" s="44" t="e">
        <f t="shared" si="11"/>
        <v>#REF!</v>
      </c>
      <c r="AX16" s="44">
        <f>'1'!BQ16</f>
        <v>0.33641670997878365</v>
      </c>
      <c r="AY16" s="44">
        <f>'1'!BS16</f>
        <v>0.41685379734709532</v>
      </c>
      <c r="AZ16" s="44">
        <f>'2'!BQ16</f>
        <v>0.19514435887023393</v>
      </c>
      <c r="BA16" s="44">
        <f>'2'!BS16</f>
        <v>0.29475842225433713</v>
      </c>
      <c r="BB16" s="44">
        <f>'3'!V16</f>
        <v>-42.457693345112652</v>
      </c>
      <c r="BC16" s="44" t="e">
        <f>'8'!AJ13</f>
        <v>#REF!</v>
      </c>
      <c r="BD16" s="44" t="e">
        <f t="shared" si="12"/>
        <v>#REF!</v>
      </c>
      <c r="BE16" s="44" t="e">
        <f t="shared" si="13"/>
        <v>#REF!</v>
      </c>
      <c r="BF16" s="44">
        <f>'1'!CA16</f>
        <v>0.27811350904572102</v>
      </c>
      <c r="BG16" s="44">
        <f>'1'!CC16</f>
        <v>0.34934420754847967</v>
      </c>
      <c r="BH16" s="44">
        <f>'2'!CA16</f>
        <v>0.25083708405764155</v>
      </c>
      <c r="BI16" s="44">
        <f>'2'!CC16</f>
        <v>0.37632138539691556</v>
      </c>
      <c r="BJ16" s="44">
        <f>'3'!Y16</f>
        <v>-67.882716261126262</v>
      </c>
      <c r="BK16" s="44" t="e">
        <f>'8'!AO13</f>
        <v>#REF!</v>
      </c>
      <c r="BL16" s="44" t="e">
        <f t="shared" si="14"/>
        <v>#REF!</v>
      </c>
      <c r="BM16" s="44" t="e">
        <f t="shared" si="15"/>
        <v>#REF!</v>
      </c>
      <c r="BN16" s="44">
        <f>'1'!CK16</f>
        <v>0.28644658365049636</v>
      </c>
      <c r="BO16" s="44">
        <f>'1'!CM16</f>
        <v>0.35927865545292392</v>
      </c>
      <c r="BP16" s="44">
        <f>'2'!CK16</f>
        <v>0.37489455213577616</v>
      </c>
      <c r="BQ16" s="44">
        <f>'2'!CM16</f>
        <v>0.52417941773037824</v>
      </c>
      <c r="BR16" s="44">
        <f>'3'!AB16</f>
        <v>-66.927941104730877</v>
      </c>
      <c r="BS16" s="44" t="e">
        <f>'8'!AT13</f>
        <v>#REF!</v>
      </c>
      <c r="BT16" s="44" t="e">
        <f t="shared" si="16"/>
        <v>#REF!</v>
      </c>
      <c r="BU16" s="44" t="e">
        <f t="shared" si="17"/>
        <v>#REF!</v>
      </c>
      <c r="BV16" s="44">
        <f>'1'!CU16</f>
        <v>0.44318464077202485</v>
      </c>
      <c r="BW16" s="44">
        <f>'1'!CW16</f>
        <v>0.52971434417067353</v>
      </c>
      <c r="BX16" s="44">
        <f>'2'!CU16</f>
        <v>0.46911929908194117</v>
      </c>
      <c r="BY16" s="44">
        <f>'2'!CW16</f>
        <v>0.61515526778984175</v>
      </c>
      <c r="BZ16" s="44">
        <f>'3'!AE16</f>
        <v>-45.066609612005038</v>
      </c>
      <c r="CA16" s="44" t="e">
        <f>'8'!AY13</f>
        <v>#REF!</v>
      </c>
      <c r="CB16" s="44" t="e">
        <f t="shared" si="18"/>
        <v>#REF!</v>
      </c>
      <c r="CC16" s="44" t="e">
        <f t="shared" si="19"/>
        <v>#REF!</v>
      </c>
      <c r="CD16" s="44">
        <f>'1'!DE16</f>
        <v>0.41312828752527125</v>
      </c>
      <c r="CE16" s="44">
        <f>'1'!DG16</f>
        <v>0.49921766586032734</v>
      </c>
      <c r="CF16" s="44">
        <f>'2'!DE16</f>
        <v>0.3358775237305513</v>
      </c>
      <c r="CG16" s="44">
        <f>'2'!DG16</f>
        <v>0.4817256282281514</v>
      </c>
      <c r="CH16" s="44">
        <f>'3'!AH16</f>
        <v>-44.777422945036513</v>
      </c>
      <c r="CI16" s="44" t="e">
        <f>'8'!BD13</f>
        <v>#REF!</v>
      </c>
      <c r="CJ16" s="44" t="e">
        <f t="shared" si="20"/>
        <v>#REF!</v>
      </c>
      <c r="CK16" s="44" t="e">
        <f t="shared" si="21"/>
        <v>#REF!</v>
      </c>
    </row>
    <row r="17" spans="1:89" hidden="1">
      <c r="A17" s="1">
        <v>1980</v>
      </c>
      <c r="B17" s="44">
        <f>'1'!I17</f>
        <v>0.24956313042265793</v>
      </c>
      <c r="C17" s="44">
        <f>'1'!K17</f>
        <v>0.31453377627592888</v>
      </c>
      <c r="D17" s="44">
        <f>'2'!I17</f>
        <v>0.25753477765760036</v>
      </c>
      <c r="E17" s="44">
        <f>'2'!K17</f>
        <v>0.38537867383194491</v>
      </c>
      <c r="F17" s="44">
        <f>'3'!D17</f>
        <v>-45.339100796180233</v>
      </c>
      <c r="G17" s="44" t="e">
        <f>'8'!F14</f>
        <v>#REF!</v>
      </c>
      <c r="H17" s="44" t="e">
        <f t="shared" si="0"/>
        <v>#REF!</v>
      </c>
      <c r="I17" s="44" t="e">
        <f t="shared" si="1"/>
        <v>#REF!</v>
      </c>
      <c r="J17" s="44">
        <f>'1'!S17</f>
        <v>0.13921200840914363</v>
      </c>
      <c r="K17" s="44">
        <f>'1'!U17</f>
        <v>0.16719785286766153</v>
      </c>
      <c r="L17" s="44">
        <f>'2'!S17</f>
        <v>0.18314890620265148</v>
      </c>
      <c r="M17" s="44">
        <f>'2'!U17</f>
        <v>0.27552762197553909</v>
      </c>
      <c r="N17" s="44">
        <f>'3'!G17</f>
        <v>-94.543165043061521</v>
      </c>
      <c r="O17" s="44" t="e">
        <f>'8'!K14</f>
        <v>#REF!</v>
      </c>
      <c r="P17" s="44" t="e">
        <f t="shared" si="2"/>
        <v>#REF!</v>
      </c>
      <c r="Q17" s="44" t="e">
        <f t="shared" si="3"/>
        <v>#REF!</v>
      </c>
      <c r="R17" s="44">
        <f>'1'!AC17</f>
        <v>0.28704086757580499</v>
      </c>
      <c r="S17" s="44">
        <f>'1'!AE17</f>
        <v>0.35998336304343242</v>
      </c>
      <c r="T17" s="44">
        <f>'2'!AC17</f>
        <v>8.5481496406001917E-2</v>
      </c>
      <c r="U17" s="44">
        <f>'2'!AE17</f>
        <v>8.8242975190385584E-2</v>
      </c>
      <c r="V17" s="44">
        <f>'3'!J17</f>
        <v>-54.99250458466485</v>
      </c>
      <c r="W17" s="44" t="e">
        <f>'8'!P14</f>
        <v>#REF!</v>
      </c>
      <c r="X17" s="44" t="e">
        <f t="shared" si="4"/>
        <v>#REF!</v>
      </c>
      <c r="Y17" s="44" t="e">
        <f t="shared" si="5"/>
        <v>#REF!</v>
      </c>
      <c r="Z17" s="44">
        <f>'1'!AM17</f>
        <v>0.31461096359536805</v>
      </c>
      <c r="AA17" s="44">
        <f>'1'!AO17</f>
        <v>0.39213865060078529</v>
      </c>
      <c r="AB17" s="44">
        <f>'2'!AM17</f>
        <v>0.1516760979957773</v>
      </c>
      <c r="AC17" s="44">
        <f>'2'!AO17</f>
        <v>0.22170239547797832</v>
      </c>
      <c r="AD17" s="44">
        <f>'3'!M17</f>
        <v>-49.190557495225946</v>
      </c>
      <c r="AE17" s="44" t="e">
        <f>'8'!U14</f>
        <v>#REF!</v>
      </c>
      <c r="AF17" s="44" t="e">
        <f t="shared" si="6"/>
        <v>#REF!</v>
      </c>
      <c r="AG17" s="44" t="e">
        <f t="shared" si="7"/>
        <v>#REF!</v>
      </c>
      <c r="AH17" s="44">
        <f>'1'!AW17</f>
        <v>0.15764756609148828</v>
      </c>
      <c r="AI17" s="44">
        <f>'1'!AY17</f>
        <v>0.19338283660959807</v>
      </c>
      <c r="AJ17" s="44">
        <f>'2'!AW17</f>
        <v>0.17567252495932173</v>
      </c>
      <c r="AK17" s="44">
        <f>'2'!AY17</f>
        <v>0.26320019492523766</v>
      </c>
      <c r="AL17" s="44">
        <f>'3'!P17</f>
        <v>-60.056884834913873</v>
      </c>
      <c r="AM17" s="44" t="e">
        <f>'8'!Z14</f>
        <v>#REF!</v>
      </c>
      <c r="AN17" s="44" t="e">
        <f t="shared" si="8"/>
        <v>#REF!</v>
      </c>
      <c r="AO17" s="44" t="e">
        <f t="shared" si="9"/>
        <v>#REF!</v>
      </c>
      <c r="AP17" s="44">
        <f>'1'!BG17</f>
        <v>0.26771835401395672</v>
      </c>
      <c r="AQ17" s="44">
        <f>'1'!BI17</f>
        <v>0.3368105155560861</v>
      </c>
      <c r="AR17" s="44">
        <f>'2'!BG17</f>
        <v>0.20484311367519481</v>
      </c>
      <c r="AS17" s="44">
        <f>'2'!BI17</f>
        <v>0.3098402260256683</v>
      </c>
      <c r="AT17" s="44">
        <f>'3'!S17</f>
        <v>-49.211440494915799</v>
      </c>
      <c r="AU17" s="44" t="e">
        <f>'8'!AE14</f>
        <v>#REF!</v>
      </c>
      <c r="AV17" s="44" t="e">
        <f t="shared" si="10"/>
        <v>#REF!</v>
      </c>
      <c r="AW17" s="44" t="e">
        <f t="shared" si="11"/>
        <v>#REF!</v>
      </c>
      <c r="AX17" s="44">
        <f>'1'!BQ17</f>
        <v>0.35615667039285021</v>
      </c>
      <c r="AY17" s="44">
        <f>'1'!BS17</f>
        <v>0.43870938188493103</v>
      </c>
      <c r="AZ17" s="44">
        <f>'2'!BQ17</f>
        <v>0.20494050941541084</v>
      </c>
      <c r="BA17" s="44">
        <f>'2'!BS17</f>
        <v>0.30998964576498461</v>
      </c>
      <c r="BB17" s="44">
        <f>'3'!V17</f>
        <v>-37.508909906445055</v>
      </c>
      <c r="BC17" s="44" t="e">
        <f>'8'!AJ14</f>
        <v>#REF!</v>
      </c>
      <c r="BD17" s="44" t="e">
        <f t="shared" si="12"/>
        <v>#REF!</v>
      </c>
      <c r="BE17" s="44" t="e">
        <f t="shared" si="13"/>
        <v>#REF!</v>
      </c>
      <c r="BF17" s="44">
        <f>'1'!CA17</f>
        <v>0.29318715164736187</v>
      </c>
      <c r="BG17" s="44">
        <f>'1'!CC17</f>
        <v>0.36724251773274502</v>
      </c>
      <c r="BH17" s="44">
        <f>'2'!CA17</f>
        <v>0.25900212020054197</v>
      </c>
      <c r="BI17" s="44">
        <f>'2'!CC17</f>
        <v>0.38734362655971694</v>
      </c>
      <c r="BJ17" s="44">
        <f>'3'!Y17</f>
        <v>-58.183004496758564</v>
      </c>
      <c r="BK17" s="44" t="e">
        <f>'8'!AO14</f>
        <v>#REF!</v>
      </c>
      <c r="BL17" s="44" t="e">
        <f t="shared" si="14"/>
        <v>#REF!</v>
      </c>
      <c r="BM17" s="44" t="e">
        <f t="shared" si="15"/>
        <v>#REF!</v>
      </c>
      <c r="BN17" s="44">
        <f>'1'!CK17</f>
        <v>0.31409896663044168</v>
      </c>
      <c r="BO17" s="44">
        <f>'1'!CM17</f>
        <v>0.39155088923672682</v>
      </c>
      <c r="BP17" s="44">
        <f>'2'!CK17</f>
        <v>0.37819042215859522</v>
      </c>
      <c r="BQ17" s="44">
        <f>'2'!CM17</f>
        <v>0.52762299018568415</v>
      </c>
      <c r="BR17" s="44">
        <f>'3'!AB17</f>
        <v>-46.69755591745961</v>
      </c>
      <c r="BS17" s="44" t="e">
        <f>'8'!AT14</f>
        <v>#REF!</v>
      </c>
      <c r="BT17" s="44" t="e">
        <f t="shared" si="16"/>
        <v>#REF!</v>
      </c>
      <c r="BU17" s="44" t="e">
        <f t="shared" si="17"/>
        <v>#REF!</v>
      </c>
      <c r="BV17" s="44">
        <f>'1'!CU17</f>
        <v>0.47794652011180722</v>
      </c>
      <c r="BW17" s="44">
        <f>'1'!CW17</f>
        <v>0.56385624768401343</v>
      </c>
      <c r="BX17" s="44">
        <f>'2'!CU17</f>
        <v>0.49078262798173633</v>
      </c>
      <c r="BY17" s="44">
        <f>'2'!CW17</f>
        <v>0.63414292288839547</v>
      </c>
      <c r="BZ17" s="44">
        <f>'3'!AE17</f>
        <v>-42.795287769167302</v>
      </c>
      <c r="CA17" s="44" t="e">
        <f>'8'!AY14</f>
        <v>#REF!</v>
      </c>
      <c r="CB17" s="44" t="e">
        <f t="shared" si="18"/>
        <v>#REF!</v>
      </c>
      <c r="CC17" s="44" t="e">
        <f t="shared" si="19"/>
        <v>#REF!</v>
      </c>
      <c r="CD17" s="44">
        <f>'1'!DE17</f>
        <v>0.45949506836533488</v>
      </c>
      <c r="CE17" s="44">
        <f>'1'!DG17</f>
        <v>0.54588007309118203</v>
      </c>
      <c r="CF17" s="44">
        <f>'2'!DE17</f>
        <v>0.33836390207543393</v>
      </c>
      <c r="CG17" s="44">
        <f>'2'!DG17</f>
        <v>0.48452877159872637</v>
      </c>
      <c r="CH17" s="44">
        <f>'3'!AH17</f>
        <v>-42.164777444460185</v>
      </c>
      <c r="CI17" s="44" t="e">
        <f>'8'!BD14</f>
        <v>#REF!</v>
      </c>
      <c r="CJ17" s="44" t="e">
        <f t="shared" si="20"/>
        <v>#REF!</v>
      </c>
      <c r="CK17" s="44" t="e">
        <f t="shared" si="21"/>
        <v>#REF!</v>
      </c>
    </row>
    <row r="18" spans="1:89" hidden="1">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row>
    <row r="19" spans="1:89">
      <c r="A19" s="1">
        <v>1981</v>
      </c>
      <c r="B19" s="9">
        <f>'1'!I19</f>
        <v>0.26502024105489891</v>
      </c>
      <c r="C19" s="9">
        <f>'1'!K19</f>
        <v>0.33353132290435233</v>
      </c>
      <c r="D19" s="9">
        <f>'2'!I19</f>
        <v>0.25267986708165169</v>
      </c>
      <c r="E19" s="9">
        <f>'2'!K19</f>
        <v>0.3788279641332209</v>
      </c>
      <c r="F19" s="9">
        <f>'3'!D19</f>
        <v>0.6415022695162006</v>
      </c>
      <c r="G19" s="9">
        <f>'8'!F16</f>
        <v>0.63201595297490964</v>
      </c>
      <c r="H19" s="9">
        <f t="shared" si="0"/>
        <v>0.33813397769570547</v>
      </c>
      <c r="I19" s="9">
        <f t="shared" si="1"/>
        <v>0.39870654469547978</v>
      </c>
      <c r="J19" s="9">
        <f>'1'!S19</f>
        <v>8.3333333333333315E-2</v>
      </c>
      <c r="K19" s="9">
        <f>'1'!U19</f>
        <v>8.3333333333332898E-2</v>
      </c>
      <c r="L19" s="9">
        <f>'2'!S19</f>
        <v>0.17423122566164023</v>
      </c>
      <c r="M19" s="9">
        <f>'2'!U19</f>
        <v>0.26079231774301537</v>
      </c>
      <c r="N19" s="9">
        <f>'3'!G19</f>
        <v>0.44335753567434699</v>
      </c>
      <c r="O19" s="9">
        <f>'8'!K16</f>
        <v>0.41310207481519734</v>
      </c>
      <c r="P19" s="9">
        <f t="shared" si="2"/>
        <v>0.16140241694845178</v>
      </c>
      <c r="Q19" s="9">
        <f t="shared" si="3"/>
        <v>0.17005852615658898</v>
      </c>
      <c r="R19" s="9">
        <f>'1'!AC19</f>
        <v>0.19516874738276771</v>
      </c>
      <c r="S19" s="9">
        <f>'1'!AE19</f>
        <v>0.24463500382446471</v>
      </c>
      <c r="T19" s="9">
        <f>'2'!AC19</f>
        <v>8.3333333333333329E-2</v>
      </c>
      <c r="U19" s="9">
        <f>'2'!AE19</f>
        <v>8.3333333333333245E-2</v>
      </c>
      <c r="V19" s="9">
        <f>'3'!J19</f>
        <v>0.44198121002238394</v>
      </c>
      <c r="W19" s="9">
        <f>'8'!P16</f>
        <v>0.45114132979063915</v>
      </c>
      <c r="X19" s="9">
        <f t="shared" si="4"/>
        <v>0.23426371048257305</v>
      </c>
      <c r="Y19" s="9">
        <f t="shared" si="5"/>
        <v>0.26889008999176095</v>
      </c>
      <c r="Z19" s="9">
        <f>'1'!AM19</f>
        <v>0.23002808436799582</v>
      </c>
      <c r="AA19" s="9">
        <f>'1'!AO19</f>
        <v>0.28999261744489518</v>
      </c>
      <c r="AB19" s="9">
        <f>'2'!AM19</f>
        <v>0.13918839018427517</v>
      </c>
      <c r="AC19" s="9">
        <f>'2'!AO19</f>
        <v>0.19883118184636644</v>
      </c>
      <c r="AD19" s="9">
        <f>'3'!M19</f>
        <v>0.52454765506693046</v>
      </c>
      <c r="AE19" s="9">
        <f>'8'!U16</f>
        <v>0.62943653895762197</v>
      </c>
      <c r="AF19" s="9">
        <f t="shared" si="6"/>
        <v>0.29033691747847989</v>
      </c>
      <c r="AG19" s="9">
        <f t="shared" si="7"/>
        <v>0.33827636979851849</v>
      </c>
      <c r="AH19" s="9">
        <f>'1'!AW19</f>
        <v>9.6809081306642272E-2</v>
      </c>
      <c r="AI19" s="9">
        <f>'1'!AY19</f>
        <v>0.10421530401163399</v>
      </c>
      <c r="AJ19" s="9">
        <f>'2'!AW19</f>
        <v>0.15780172121188507</v>
      </c>
      <c r="AK19" s="9">
        <f>'2'!AY19</f>
        <v>0.23259024566263012</v>
      </c>
      <c r="AL19" s="9">
        <f>'3'!P19</f>
        <v>0.35043375775672592</v>
      </c>
      <c r="AM19" s="9">
        <f>'8'!Z16</f>
        <v>0.52017136127858687</v>
      </c>
      <c r="AN19" s="9">
        <f t="shared" si="8"/>
        <v>0.17060704093936938</v>
      </c>
      <c r="AO19" s="9">
        <f t="shared" si="9"/>
        <v>0.18327024927793809</v>
      </c>
      <c r="AP19" s="9">
        <f>'1'!BG19</f>
        <v>0.188111806241578</v>
      </c>
      <c r="AQ19" s="9">
        <f>'1'!BI19</f>
        <v>0.23519526027862409</v>
      </c>
      <c r="AR19" s="9">
        <f>'2'!BG19</f>
        <v>0.19975876004372442</v>
      </c>
      <c r="AS19" s="9">
        <f>'2'!BI19</f>
        <v>0.30198439988856512</v>
      </c>
      <c r="AT19" s="9">
        <f>'3'!S19</f>
        <v>0.59749980492452193</v>
      </c>
      <c r="AU19" s="9">
        <f>'8'!AE16</f>
        <v>0.56113307019886161</v>
      </c>
      <c r="AV19" s="9">
        <f t="shared" si="10"/>
        <v>0.2675174278858154</v>
      </c>
      <c r="AW19" s="9">
        <f t="shared" si="11"/>
        <v>0.31069840969623175</v>
      </c>
      <c r="AX19" s="9">
        <f>'1'!BQ19</f>
        <v>0.27753848440949125</v>
      </c>
      <c r="AY19" s="9">
        <f>'1'!BS19</f>
        <v>0.34865500221180429</v>
      </c>
      <c r="AZ19" s="9">
        <f>'2'!BQ19</f>
        <v>0.1964830485415941</v>
      </c>
      <c r="BA19" s="9">
        <f>'2'!BS19</f>
        <v>0.2968643394138179</v>
      </c>
      <c r="BB19" s="9">
        <f>'3'!V19</f>
        <v>0.76271200423824892</v>
      </c>
      <c r="BC19" s="9">
        <f>'8'!AJ16</f>
        <v>0.68187528276174003</v>
      </c>
      <c r="BD19" s="9">
        <f t="shared" si="12"/>
        <v>0.35838397264080224</v>
      </c>
      <c r="BE19" s="9">
        <f t="shared" si="13"/>
        <v>0.41820366418964366</v>
      </c>
      <c r="BF19" s="9">
        <f>'1'!CA19</f>
        <v>0.21362570375886047</v>
      </c>
      <c r="BG19" s="9">
        <f>'1'!CC19</f>
        <v>0.26890816307309789</v>
      </c>
      <c r="BH19" s="9">
        <f>'2'!CA19</f>
        <v>0.24237508530571805</v>
      </c>
      <c r="BI19" s="9">
        <f>'2'!CC19</f>
        <v>0.36466558199935523</v>
      </c>
      <c r="BJ19" s="9">
        <f>'3'!Y19</f>
        <v>0.48355227539159917</v>
      </c>
      <c r="BK19" s="9">
        <f>'8'!AO16</f>
        <v>0.61454232118591945</v>
      </c>
      <c r="BL19" s="9">
        <f t="shared" si="14"/>
        <v>0.283584960819526</v>
      </c>
      <c r="BM19" s="9">
        <f t="shared" si="15"/>
        <v>0.33451173200885592</v>
      </c>
      <c r="BN19" s="9">
        <f>'1'!CK19</f>
        <v>0.23938063782464369</v>
      </c>
      <c r="BO19" s="9">
        <f>'1'!CM19</f>
        <v>0.30181754722819948</v>
      </c>
      <c r="BP19" s="9">
        <f>'2'!CK19</f>
        <v>0.34372283562385231</v>
      </c>
      <c r="BQ19" s="9">
        <f>'2'!CM19</f>
        <v>0.49052332979265789</v>
      </c>
      <c r="BR19" s="9">
        <f>'3'!AB19</f>
        <v>0.37606661066813751</v>
      </c>
      <c r="BS19" s="9">
        <f>'8'!AT16</f>
        <v>0.72083174572819975</v>
      </c>
      <c r="BT19" s="9">
        <f t="shared" si="16"/>
        <v>0.31162856567926955</v>
      </c>
      <c r="BU19" s="9">
        <f t="shared" si="17"/>
        <v>0.37001445167863917</v>
      </c>
      <c r="BV19" s="9">
        <f>'1'!CU19</f>
        <v>0.40135810621035933</v>
      </c>
      <c r="BW19" s="9">
        <f>'1'!CW19</f>
        <v>0.48701524306958188</v>
      </c>
      <c r="BX19" s="9">
        <f>'2'!CU19</f>
        <v>0.57940196497283902</v>
      </c>
      <c r="BY19" s="9">
        <f>'2'!CW19</f>
        <v>0.70575899557294919</v>
      </c>
      <c r="BZ19" s="9">
        <f>'3'!AE19</f>
        <v>0.7141753287934689</v>
      </c>
      <c r="CA19" s="9">
        <f>'8'!AY16</f>
        <v>0.71288901997033804</v>
      </c>
      <c r="CB19" s="9">
        <f t="shared" si="18"/>
        <v>0.48159730572091608</v>
      </c>
      <c r="CC19" s="9">
        <f t="shared" si="19"/>
        <v>0.55419300458238285</v>
      </c>
      <c r="CD19" s="9">
        <f>'1'!DE19</f>
        <v>0.36764837310457554</v>
      </c>
      <c r="CE19" s="9">
        <f>'1'!DG19</f>
        <v>0.451214749674409</v>
      </c>
      <c r="CF19" s="9">
        <f>'2'!DE19</f>
        <v>0.31093925165954012</v>
      </c>
      <c r="CG19" s="9">
        <f>'2'!DG19</f>
        <v>0.45280902750841306</v>
      </c>
      <c r="CH19" s="9">
        <f>'3'!AH19</f>
        <v>0.66047047631749756</v>
      </c>
      <c r="CI19" s="9">
        <f>'8'!BD16</f>
        <v>0.60953060721864039</v>
      </c>
      <c r="CJ19" s="9">
        <f t="shared" si="20"/>
        <v>0.41544789469277066</v>
      </c>
      <c r="CK19" s="9">
        <f t="shared" si="21"/>
        <v>0.48813133587654134</v>
      </c>
    </row>
    <row r="20" spans="1:89">
      <c r="A20" s="1">
        <v>1982</v>
      </c>
      <c r="B20" s="9">
        <f>'1'!I20</f>
        <v>0.24478856353058198</v>
      </c>
      <c r="C20" s="9">
        <f>'1'!K20</f>
        <v>0.30859140147898034</v>
      </c>
      <c r="D20" s="9">
        <f>'2'!I20</f>
        <v>0.25213587905563967</v>
      </c>
      <c r="E20" s="9">
        <f>'2'!K20</f>
        <v>0.3780891859005715</v>
      </c>
      <c r="F20" s="9">
        <f>'3'!D20</f>
        <v>0.63333307819238305</v>
      </c>
      <c r="G20" s="9">
        <f>'8'!F17</f>
        <v>0.60180498696168072</v>
      </c>
      <c r="H20" s="9">
        <f t="shared" si="0"/>
        <v>0.32007938889237775</v>
      </c>
      <c r="I20" s="9">
        <f t="shared" si="1"/>
        <v>0.37733670614074977</v>
      </c>
      <c r="J20" s="9">
        <f>'1'!S20</f>
        <v>8.7466334539934174E-2</v>
      </c>
      <c r="K20" s="9">
        <f>'1'!U20</f>
        <v>8.9784605245577381E-2</v>
      </c>
      <c r="L20" s="9">
        <f>'2'!S20</f>
        <v>0.17192099883548367</v>
      </c>
      <c r="M20" s="9">
        <f>'2'!U20</f>
        <v>0.2569111439913454</v>
      </c>
      <c r="N20" s="9">
        <f>'3'!G20</f>
        <v>0.40885941266959336</v>
      </c>
      <c r="O20" s="9">
        <f>'8'!K17</f>
        <v>0.41157836978659207</v>
      </c>
      <c r="P20" s="9">
        <f t="shared" si="2"/>
        <v>0.16046231230712082</v>
      </c>
      <c r="Q20" s="9">
        <f t="shared" si="3"/>
        <v>0.17058411631665726</v>
      </c>
      <c r="R20" s="9">
        <f>'1'!AC20</f>
        <v>0.17999325186694534</v>
      </c>
      <c r="S20" s="9">
        <f>'1'!AE20</f>
        <v>0.22422333049771684</v>
      </c>
      <c r="T20" s="9">
        <f>'2'!AC20</f>
        <v>8.8554849676685463E-2</v>
      </c>
      <c r="U20" s="9">
        <f>'2'!AE20</f>
        <v>9.5193430959594899E-2</v>
      </c>
      <c r="V20" s="9">
        <f>'3'!J20</f>
        <v>0.5757024128558178</v>
      </c>
      <c r="W20" s="9">
        <f>'8'!P17</f>
        <v>0.50014769336507026</v>
      </c>
      <c r="X20" s="9">
        <f t="shared" si="4"/>
        <v>0.24243577189661908</v>
      </c>
      <c r="Y20" s="9">
        <f t="shared" si="5"/>
        <v>0.27406068506645009</v>
      </c>
      <c r="Z20" s="9">
        <f>'1'!AM20</f>
        <v>0.21691283683106291</v>
      </c>
      <c r="AA20" s="9">
        <f>'1'!AO20</f>
        <v>0.27316961340061485</v>
      </c>
      <c r="AB20" s="9">
        <f>'2'!AM20</f>
        <v>0.14247628863851514</v>
      </c>
      <c r="AC20" s="9">
        <f>'2'!AO20</f>
        <v>0.20494376637572401</v>
      </c>
      <c r="AD20" s="9">
        <f>'3'!M20</f>
        <v>0.51883087090194802</v>
      </c>
      <c r="AE20" s="9">
        <f>'8'!U17</f>
        <v>0.65044368359813687</v>
      </c>
      <c r="AF20" s="9">
        <f t="shared" si="6"/>
        <v>0.28301407009560403</v>
      </c>
      <c r="AG20" s="9">
        <f t="shared" si="7"/>
        <v>0.32864056146801129</v>
      </c>
      <c r="AH20" s="9">
        <f>'1'!AW20</f>
        <v>0.1117113878130612</v>
      </c>
      <c r="AI20" s="9">
        <f>'1'!AY20</f>
        <v>0.12680804217995839</v>
      </c>
      <c r="AJ20" s="9">
        <f>'2'!AW20</f>
        <v>0.15021683481130779</v>
      </c>
      <c r="AK20" s="9">
        <f>'2'!AY20</f>
        <v>0.21907726679148992</v>
      </c>
      <c r="AL20" s="9">
        <f>'3'!P20</f>
        <v>0.35992118980643312</v>
      </c>
      <c r="AM20" s="9">
        <f>'8'!Z17</f>
        <v>0.47666775672041134</v>
      </c>
      <c r="AN20" s="9">
        <f t="shared" si="8"/>
        <v>0.17687854960295807</v>
      </c>
      <c r="AO20" s="9">
        <f t="shared" si="9"/>
        <v>0.19433225085780431</v>
      </c>
      <c r="AP20" s="9">
        <f>'1'!BG20</f>
        <v>0.1688607542450852</v>
      </c>
      <c r="AQ20" s="9">
        <f>'1'!BI20</f>
        <v>0.20897842128269906</v>
      </c>
      <c r="AR20" s="9">
        <f>'2'!BG20</f>
        <v>0.20022856321087612</v>
      </c>
      <c r="AS20" s="9">
        <f>'2'!BI20</f>
        <v>0.30271491189582767</v>
      </c>
      <c r="AT20" s="9">
        <f>'3'!S20</f>
        <v>0.61605476410599769</v>
      </c>
      <c r="AU20" s="9">
        <f>'8'!AE17</f>
        <v>0.55783184340064806</v>
      </c>
      <c r="AV20" s="9">
        <f t="shared" si="10"/>
        <v>0.25561404504331181</v>
      </c>
      <c r="AW20" s="9">
        <f t="shared" si="11"/>
        <v>0.29394504683813666</v>
      </c>
      <c r="AX20" s="9">
        <f>'1'!BQ20</f>
        <v>0.25968459506712777</v>
      </c>
      <c r="AY20" s="9">
        <f>'1'!BS20</f>
        <v>0.32701452507764778</v>
      </c>
      <c r="AZ20" s="9">
        <f>'2'!BQ20</f>
        <v>0.1966969268541173</v>
      </c>
      <c r="BA20" s="9">
        <f>'2'!BS20</f>
        <v>0.29720006574312913</v>
      </c>
      <c r="BB20" s="9">
        <f>'3'!V20</f>
        <v>0.73808586794813802</v>
      </c>
      <c r="BC20" s="9">
        <f>'8'!AJ17</f>
        <v>0.63565983644267643</v>
      </c>
      <c r="BD20" s="9">
        <f t="shared" si="12"/>
        <v>0.33882347967148257</v>
      </c>
      <c r="BE20" s="9">
        <f t="shared" si="13"/>
        <v>0.39600474456774776</v>
      </c>
      <c r="BF20" s="9">
        <f>'1'!CA20</f>
        <v>0.23036416368652973</v>
      </c>
      <c r="BG20" s="9">
        <f>'1'!CC20</f>
        <v>0.29041998719350859</v>
      </c>
      <c r="BH20" s="9">
        <f>'2'!CA20</f>
        <v>0.23655071191279708</v>
      </c>
      <c r="BI20" s="9">
        <f>'2'!CC20</f>
        <v>0.35650018336289574</v>
      </c>
      <c r="BJ20" s="9">
        <f>'3'!Y20</f>
        <v>0.51464060519526611</v>
      </c>
      <c r="BK20" s="9">
        <f>'8'!AO17</f>
        <v>0.63543806260371716</v>
      </c>
      <c r="BL20" s="9">
        <f t="shared" si="14"/>
        <v>0.29991785255174885</v>
      </c>
      <c r="BM20" s="9">
        <f t="shared" si="15"/>
        <v>0.35395187615164392</v>
      </c>
      <c r="BN20" s="9">
        <f>'1'!CK20</f>
        <v>0.21783472983496147</v>
      </c>
      <c r="BO20" s="9">
        <f>'1'!CM20</f>
        <v>0.27436148395204529</v>
      </c>
      <c r="BP20" s="9">
        <f>'2'!CK20</f>
        <v>0.33032409623529557</v>
      </c>
      <c r="BQ20" s="9">
        <f>'2'!CM20</f>
        <v>0.47541376476539071</v>
      </c>
      <c r="BR20" s="9">
        <f>'3'!AB20</f>
        <v>0.51827543171596335</v>
      </c>
      <c r="BS20" s="9">
        <f>'8'!AT17</f>
        <v>0.76371266951126482</v>
      </c>
      <c r="BT20" s="9">
        <f t="shared" si="16"/>
        <v>0.31371553063072538</v>
      </c>
      <c r="BU20" s="9">
        <f t="shared" si="17"/>
        <v>0.36779322536569364</v>
      </c>
      <c r="BV20" s="9">
        <f>'1'!CU20</f>
        <v>0.37475517484536675</v>
      </c>
      <c r="BW20" s="9">
        <f>'1'!CW20</f>
        <v>0.45887039271928132</v>
      </c>
      <c r="BX20" s="9">
        <f>'2'!CU20</f>
        <v>0.58281227586298545</v>
      </c>
      <c r="BY20" s="9">
        <f>'2'!CW20</f>
        <v>0.70834074363672006</v>
      </c>
      <c r="BZ20" s="9">
        <f>'3'!AE20</f>
        <v>0.71213847018311682</v>
      </c>
      <c r="CA20" s="9">
        <f>'8'!AY17</f>
        <v>0.64474961545561871</v>
      </c>
      <c r="CB20" s="9">
        <f t="shared" si="18"/>
        <v>0.4562986585419288</v>
      </c>
      <c r="CC20" s="9">
        <f t="shared" si="19"/>
        <v>0.52773215783104244</v>
      </c>
      <c r="CD20" s="9">
        <f>'1'!DE20</f>
        <v>0.31496722849577508</v>
      </c>
      <c r="CE20" s="9">
        <f>'1'!DG20</f>
        <v>0.39254742989004565</v>
      </c>
      <c r="CF20" s="9">
        <f>'2'!DE20</f>
        <v>0.29677007627738905</v>
      </c>
      <c r="CG20" s="9">
        <f>'2'!DG20</f>
        <v>0.43569174284040724</v>
      </c>
      <c r="CH20" s="9">
        <f>'3'!AH20</f>
        <v>0.57084594300491354</v>
      </c>
      <c r="CI20" s="9">
        <f>'8'!BD17</f>
        <v>0.55295977688516529</v>
      </c>
      <c r="CJ20" s="9">
        <f t="shared" si="20"/>
        <v>0.36253463956378928</v>
      </c>
      <c r="CK20" s="9">
        <f t="shared" si="21"/>
        <v>0.43073294719608052</v>
      </c>
    </row>
    <row r="21" spans="1:89">
      <c r="A21" s="1">
        <v>1983</v>
      </c>
      <c r="B21" s="9">
        <f>'1'!I21</f>
        <v>0.25449385343764758</v>
      </c>
      <c r="C21" s="9">
        <f>'1'!K21</f>
        <v>0.32063342349342272</v>
      </c>
      <c r="D21" s="9">
        <f>'2'!I21</f>
        <v>0.26155044305366026</v>
      </c>
      <c r="E21" s="9">
        <f>'2'!K21</f>
        <v>0.39073991128868363</v>
      </c>
      <c r="F21" s="9">
        <f>'3'!D21</f>
        <v>0.60013558735999839</v>
      </c>
      <c r="G21" s="9">
        <f>'8'!F18</f>
        <v>0.57745844659138112</v>
      </c>
      <c r="H21" s="9">
        <f t="shared" si="0"/>
        <v>0.32206014510685732</v>
      </c>
      <c r="I21" s="9">
        <f t="shared" si="1"/>
        <v>0.3812767909694022</v>
      </c>
      <c r="J21" s="9">
        <f>'1'!S21</f>
        <v>0.1012860766753356</v>
      </c>
      <c r="K21" s="9">
        <f>'1'!U21</f>
        <v>0.11105683213421934</v>
      </c>
      <c r="L21" s="9">
        <f>'2'!S21</f>
        <v>0.17335665356942101</v>
      </c>
      <c r="M21" s="9">
        <f>'2'!U21</f>
        <v>0.25932618894450771</v>
      </c>
      <c r="N21" s="9">
        <f>'3'!G21</f>
        <v>0.24238351254480286</v>
      </c>
      <c r="O21" s="9">
        <f>'8'!K18</f>
        <v>0.33440328678736059</v>
      </c>
      <c r="P21" s="9">
        <f t="shared" si="2"/>
        <v>0.14591459896289335</v>
      </c>
      <c r="Q21" s="9">
        <f t="shared" si="3"/>
        <v>0.16135108132162065</v>
      </c>
      <c r="R21" s="9">
        <f>'1'!AC21</f>
        <v>0.18853152565688744</v>
      </c>
      <c r="S21" s="9">
        <f>'1'!AE21</f>
        <v>0.23575921506326397</v>
      </c>
      <c r="T21" s="9">
        <f>'2'!AC21</f>
        <v>9.3876826678976497E-2</v>
      </c>
      <c r="U21" s="9">
        <f>'2'!AE21</f>
        <v>0.1070296531166328</v>
      </c>
      <c r="V21" s="9">
        <f>'3'!J21</f>
        <v>0.64336692878912549</v>
      </c>
      <c r="W21" s="9">
        <f>'8'!P18</f>
        <v>0.50932292058240758</v>
      </c>
      <c r="X21" s="9">
        <f t="shared" si="4"/>
        <v>0.2566287355648722</v>
      </c>
      <c r="Y21" s="9">
        <f t="shared" si="5"/>
        <v>0.29100340079310139</v>
      </c>
      <c r="Z21" s="9">
        <f>'1'!AM21</f>
        <v>0.21913810381994009</v>
      </c>
      <c r="AA21" s="9">
        <f>'1'!AO21</f>
        <v>0.27604411670912954</v>
      </c>
      <c r="AB21" s="9">
        <f>'2'!AM21</f>
        <v>0.14935443507237858</v>
      </c>
      <c r="AC21" s="9">
        <f>'2'!AO21</f>
        <v>0.21752007875490392</v>
      </c>
      <c r="AD21" s="9">
        <f>'3'!M21</f>
        <v>0.53755030279422311</v>
      </c>
      <c r="AE21" s="9">
        <f>'8'!U18</f>
        <v>0.65093139818486079</v>
      </c>
      <c r="AF21" s="9">
        <f t="shared" si="6"/>
        <v>0.2871802862791043</v>
      </c>
      <c r="AG21" s="9">
        <f t="shared" si="7"/>
        <v>0.33383105966978943</v>
      </c>
      <c r="AH21" s="9">
        <f>'1'!AW21</f>
        <v>0.1322248716609048</v>
      </c>
      <c r="AI21" s="9">
        <f>'1'!AY21</f>
        <v>0.15709048556756963</v>
      </c>
      <c r="AJ21" s="9">
        <f>'2'!AW21</f>
        <v>0.14843292782374889</v>
      </c>
      <c r="AK21" s="9">
        <f>'2'!AY21</f>
        <v>0.21585138355632436</v>
      </c>
      <c r="AL21" s="9">
        <f>'3'!P21</f>
        <v>0.27145798470311339</v>
      </c>
      <c r="AM21" s="9">
        <f>'8'!Z18</f>
        <v>0.41863736341171404</v>
      </c>
      <c r="AN21" s="9">
        <f t="shared" si="8"/>
        <v>0.17641023775649101</v>
      </c>
      <c r="AO21" s="9">
        <f t="shared" si="9"/>
        <v>0.20055801306441393</v>
      </c>
      <c r="AP21" s="9">
        <f>'1'!BG21</f>
        <v>0.18707762604829281</v>
      </c>
      <c r="AQ21" s="9">
        <f>'1'!BI21</f>
        <v>0.23380431938391405</v>
      </c>
      <c r="AR21" s="9">
        <f>'2'!BG21</f>
        <v>0.20409905194775241</v>
      </c>
      <c r="AS21" s="9">
        <f>'2'!BI21</f>
        <v>0.3086974109345062</v>
      </c>
      <c r="AT21" s="9">
        <f>'3'!S21</f>
        <v>0.61597300000268285</v>
      </c>
      <c r="AU21" s="9">
        <f>'8'!AE18</f>
        <v>0.57483691178143614</v>
      </c>
      <c r="AV21" s="9">
        <f t="shared" si="10"/>
        <v>0.2704452346069921</v>
      </c>
      <c r="AW21" s="9">
        <f t="shared" si="11"/>
        <v>0.31361375584060236</v>
      </c>
      <c r="AX21" s="9">
        <f>'1'!BQ21</f>
        <v>0.27078232783297135</v>
      </c>
      <c r="AY21" s="9">
        <f>'1'!BS21</f>
        <v>0.34052128582354252</v>
      </c>
      <c r="AZ21" s="9">
        <f>'2'!BQ21</f>
        <v>0.20118175447870573</v>
      </c>
      <c r="BA21" s="9">
        <f>'2'!BS21</f>
        <v>0.30419414961224439</v>
      </c>
      <c r="BB21" s="9">
        <f>'3'!V21</f>
        <v>0.66969336398326762</v>
      </c>
      <c r="BC21" s="9">
        <f>'8'!AJ18</f>
        <v>0.58831083900365877</v>
      </c>
      <c r="BD21" s="9">
        <f t="shared" si="12"/>
        <v>0.33546622522964314</v>
      </c>
      <c r="BE21" s="9">
        <f t="shared" si="13"/>
        <v>0.39458473533639682</v>
      </c>
      <c r="BF21" s="9">
        <f>'1'!CA21</f>
        <v>0.23832159975295916</v>
      </c>
      <c r="BG21" s="9">
        <f>'1'!CC21</f>
        <v>0.30048559354374438</v>
      </c>
      <c r="BH21" s="9">
        <f>'2'!CA21</f>
        <v>0.23626078627920308</v>
      </c>
      <c r="BI21" s="9">
        <f>'2'!CC21</f>
        <v>0.35609061135636078</v>
      </c>
      <c r="BJ21" s="9">
        <f>'3'!Y21</f>
        <v>0.5652200559241003</v>
      </c>
      <c r="BK21" s="9">
        <f>'8'!AO18</f>
        <v>0.54803029694156802</v>
      </c>
      <c r="BL21" s="9">
        <f t="shared" si="14"/>
        <v>0.30177623374155854</v>
      </c>
      <c r="BM21" s="9">
        <f t="shared" si="15"/>
        <v>0.35727401190282398</v>
      </c>
      <c r="BN21" s="9">
        <f>'1'!CK21</f>
        <v>0.22109435720565673</v>
      </c>
      <c r="BO21" s="9">
        <f>'1'!CM21</f>
        <v>0.27856426890725466</v>
      </c>
      <c r="BP21" s="9">
        <f>'2'!CK21</f>
        <v>0.34264978558856035</v>
      </c>
      <c r="BQ21" s="9">
        <f>'2'!CM21</f>
        <v>0.48932811145500038</v>
      </c>
      <c r="BR21" s="9">
        <f>'3'!AB21</f>
        <v>0.49912954994953801</v>
      </c>
      <c r="BS21" s="9">
        <f>'8'!AT18</f>
        <v>0.75240404066837185</v>
      </c>
      <c r="BT21" s="9">
        <f t="shared" si="16"/>
        <v>0.31418438766460677</v>
      </c>
      <c r="BU21" s="9">
        <f t="shared" si="17"/>
        <v>0.36908115844236927</v>
      </c>
      <c r="BV21" s="9">
        <f>'1'!CU21</f>
        <v>0.37828773270750471</v>
      </c>
      <c r="BW21" s="9">
        <f>'1'!CW21</f>
        <v>0.46265392477864764</v>
      </c>
      <c r="BX21" s="9">
        <f>'2'!CU21</f>
        <v>0.64573445984009481</v>
      </c>
      <c r="BY21" s="9">
        <f>'2'!CW21</f>
        <v>0.75396418429387912</v>
      </c>
      <c r="BZ21" s="9">
        <f>'3'!AE21</f>
        <v>0.57882041668042217</v>
      </c>
      <c r="CA21" s="9">
        <f>'8'!AY18</f>
        <v>0.57542741616684556</v>
      </c>
      <c r="CB21" s="9">
        <f t="shared" si="18"/>
        <v>0.44479964216398954</v>
      </c>
      <c r="CC21" s="9">
        <f t="shared" si="19"/>
        <v>0.51467894905916811</v>
      </c>
      <c r="CD21" s="9">
        <f>'1'!DE21</f>
        <v>0.30962657179109354</v>
      </c>
      <c r="CE21" s="9">
        <f>'1'!DG21</f>
        <v>0.38640183878135526</v>
      </c>
      <c r="CF21" s="9">
        <f>'2'!DE21</f>
        <v>0.29234823858125308</v>
      </c>
      <c r="CG21" s="9">
        <f>'2'!DG21</f>
        <v>0.4302414002206616</v>
      </c>
      <c r="CH21" s="9">
        <f>'3'!AH21</f>
        <v>0.62531379257892206</v>
      </c>
      <c r="CI21" s="9">
        <f>'8'!BD18</f>
        <v>0.57695756152533217</v>
      </c>
      <c r="CJ21" s="9">
        <f t="shared" si="20"/>
        <v>0.36620055952231623</v>
      </c>
      <c r="CK21" s="9">
        <f t="shared" si="21"/>
        <v>0.43373256257944026</v>
      </c>
    </row>
    <row r="22" spans="1:89">
      <c r="A22" s="1">
        <v>1984</v>
      </c>
      <c r="B22" s="9">
        <f>'1'!I22</f>
        <v>0.27404016142312027</v>
      </c>
      <c r="C22" s="9">
        <f>'1'!K22</f>
        <v>0.34445169552363886</v>
      </c>
      <c r="D22" s="9">
        <f>'2'!I22</f>
        <v>0.26197048084309882</v>
      </c>
      <c r="E22" s="9">
        <f>'2'!K22</f>
        <v>0.39129775374248149</v>
      </c>
      <c r="F22" s="9">
        <f>'3'!D22</f>
        <v>0.57898096574614399</v>
      </c>
      <c r="G22" s="9">
        <f>'8'!F19</f>
        <v>0.59876962118468435</v>
      </c>
      <c r="H22" s="9">
        <f t="shared" si="0"/>
        <v>0.33580021977357694</v>
      </c>
      <c r="I22" s="9">
        <f t="shared" si="1"/>
        <v>0.3980210209338782</v>
      </c>
      <c r="J22" s="9">
        <f>'1'!S22</f>
        <v>0.13184549093481235</v>
      </c>
      <c r="K22" s="9">
        <f>'1'!U22</f>
        <v>0.15653873142805841</v>
      </c>
      <c r="L22" s="9">
        <f>'2'!S22</f>
        <v>0.17951969995066791</v>
      </c>
      <c r="M22" s="9">
        <f>'2'!U22</f>
        <v>0.26957735490373602</v>
      </c>
      <c r="N22" s="9">
        <f>'3'!G22</f>
        <v>0.32385081270531235</v>
      </c>
      <c r="O22" s="9">
        <f>'8'!K19</f>
        <v>0.46041952656113777</v>
      </c>
      <c r="P22" s="9">
        <f t="shared" si="2"/>
        <v>0.18867084757608044</v>
      </c>
      <c r="Q22" s="9">
        <f t="shared" si="3"/>
        <v>0.21496188141665951</v>
      </c>
      <c r="R22" s="9">
        <f>'1'!AC22</f>
        <v>0.22211688697315826</v>
      </c>
      <c r="S22" s="9">
        <f>'1'!AE22</f>
        <v>0.27987900792410941</v>
      </c>
      <c r="T22" s="9">
        <f>'2'!AC22</f>
        <v>9.6323565249441898E-2</v>
      </c>
      <c r="U22" s="9">
        <f>'2'!AE22</f>
        <v>0.11238876966805374</v>
      </c>
      <c r="V22" s="9">
        <f>'3'!J22</f>
        <v>0.57243536460880062</v>
      </c>
      <c r="W22" s="9">
        <f>'8'!P19</f>
        <v>0.58618352790458705</v>
      </c>
      <c r="X22" s="9">
        <f t="shared" si="4"/>
        <v>0.28097606665749375</v>
      </c>
      <c r="Y22" s="9">
        <f t="shared" si="5"/>
        <v>0.32301607176502067</v>
      </c>
      <c r="Z22" s="9">
        <f>'1'!AM22</f>
        <v>0.26105707218938345</v>
      </c>
      <c r="AA22" s="9">
        <f>'1'!AO22</f>
        <v>0.32869491523844441</v>
      </c>
      <c r="AB22" s="9">
        <f>'2'!AM22</f>
        <v>0.15865884616511211</v>
      </c>
      <c r="AC22" s="9">
        <f>'2'!AO22</f>
        <v>0.23409704640360723</v>
      </c>
      <c r="AD22" s="9">
        <f>'3'!M22</f>
        <v>0.54081003633493385</v>
      </c>
      <c r="AE22" s="9">
        <f>'8'!U19</f>
        <v>0.60637174218150214</v>
      </c>
      <c r="AF22" s="9">
        <f t="shared" si="6"/>
        <v>0.31332401300072327</v>
      </c>
      <c r="AG22" s="9">
        <f t="shared" si="7"/>
        <v>0.36821432315891539</v>
      </c>
      <c r="AH22" s="9">
        <f>'1'!AW22</f>
        <v>0.1618565386204231</v>
      </c>
      <c r="AI22" s="9">
        <f>'1'!AY22</f>
        <v>0.19926551797303152</v>
      </c>
      <c r="AJ22" s="9">
        <f>'2'!AW22</f>
        <v>0.14857153031966308</v>
      </c>
      <c r="AK22" s="9">
        <f>'2'!AY22</f>
        <v>0.21610268608908992</v>
      </c>
      <c r="AL22" s="9">
        <f>'3'!P22</f>
        <v>0.39077901066278808</v>
      </c>
      <c r="AM22" s="9">
        <f>'8'!Z19</f>
        <v>0.47762912328318485</v>
      </c>
      <c r="AN22" s="9">
        <f t="shared" si="8"/>
        <v>0.21499754346085975</v>
      </c>
      <c r="AO22" s="9">
        <f t="shared" si="9"/>
        <v>0.24793694458462834</v>
      </c>
      <c r="AP22" s="9">
        <f>'1'!BG22</f>
        <v>0.21514370265068819</v>
      </c>
      <c r="AQ22" s="9">
        <f>'1'!BI22</f>
        <v>0.27087837360279349</v>
      </c>
      <c r="AR22" s="9">
        <f>'2'!BG22</f>
        <v>0.20834088472275455</v>
      </c>
      <c r="AS22" s="9">
        <f>'2'!BI22</f>
        <v>0.31518159553428643</v>
      </c>
      <c r="AT22" s="9">
        <f>'3'!S22</f>
        <v>0.5450508350951373</v>
      </c>
      <c r="AU22" s="9">
        <f>'8'!AE19</f>
        <v>0.60178313388351179</v>
      </c>
      <c r="AV22" s="9">
        <f t="shared" si="10"/>
        <v>0.28611807722562205</v>
      </c>
      <c r="AW22" s="9">
        <f t="shared" si="11"/>
        <v>0.33581641797324896</v>
      </c>
      <c r="AX22" s="9">
        <f>'1'!BQ22</f>
        <v>0.29170422250463268</v>
      </c>
      <c r="AY22" s="9">
        <f>'1'!BS22</f>
        <v>0.36549593202564934</v>
      </c>
      <c r="AZ22" s="9">
        <f>'2'!BQ22</f>
        <v>0.20574985146448668</v>
      </c>
      <c r="BA22" s="9">
        <f>'2'!BS22</f>
        <v>0.31122976484219905</v>
      </c>
      <c r="BB22" s="9">
        <f>'3'!V22</f>
        <v>0.69538436423292294</v>
      </c>
      <c r="BC22" s="9">
        <f>'8'!AJ19</f>
        <v>0.62792185924655119</v>
      </c>
      <c r="BD22" s="9">
        <f t="shared" si="12"/>
        <v>0.35709856324763894</v>
      </c>
      <c r="BE22" s="9">
        <f t="shared" si="13"/>
        <v>0.41930075125012184</v>
      </c>
      <c r="BF22" s="9">
        <f>'1'!CA22</f>
        <v>0.28708622703446462</v>
      </c>
      <c r="BG22" s="9">
        <f>'1'!CC22</f>
        <v>0.36003713019944567</v>
      </c>
      <c r="BH22" s="9">
        <f>'2'!CA22</f>
        <v>0.24133118722514368</v>
      </c>
      <c r="BI22" s="9">
        <f>'2'!CC22</f>
        <v>0.3632107986181719</v>
      </c>
      <c r="BJ22" s="9">
        <f>'3'!Y22</f>
        <v>0.53172476750368269</v>
      </c>
      <c r="BK22" s="9">
        <f>'8'!AO19</f>
        <v>0.653035095947196</v>
      </c>
      <c r="BL22" s="9">
        <f t="shared" si="14"/>
        <v>0.34356946399172744</v>
      </c>
      <c r="BM22" s="9">
        <f t="shared" si="15"/>
        <v>0.40682305734651703</v>
      </c>
      <c r="BN22" s="9">
        <f>'1'!CK22</f>
        <v>0.22748730331968453</v>
      </c>
      <c r="BO22" s="9">
        <f>'1'!CM22</f>
        <v>0.28675571278185558</v>
      </c>
      <c r="BP22" s="9">
        <f>'2'!CK22</f>
        <v>0.3590251009599465</v>
      </c>
      <c r="BQ22" s="9">
        <f>'2'!CM22</f>
        <v>0.50729697256822093</v>
      </c>
      <c r="BR22" s="9">
        <f>'3'!AB22</f>
        <v>0.38175936614772821</v>
      </c>
      <c r="BS22" s="9">
        <f>'8'!AT19</f>
        <v>0.69979436344291701</v>
      </c>
      <c r="BT22" s="9">
        <f t="shared" si="16"/>
        <v>0.30329899537883837</v>
      </c>
      <c r="BU22" s="9">
        <f t="shared" si="17"/>
        <v>0.3596140691631855</v>
      </c>
      <c r="BV22" s="9">
        <f>'1'!CU22</f>
        <v>0.37629400613310432</v>
      </c>
      <c r="BW22" s="9">
        <f>'1'!CW22</f>
        <v>0.46052032331412679</v>
      </c>
      <c r="BX22" s="9">
        <f>'2'!CU22</f>
        <v>0.62221602152750144</v>
      </c>
      <c r="BY22" s="9">
        <f>'2'!CW22</f>
        <v>0.73734170311759306</v>
      </c>
      <c r="BZ22" s="9">
        <f>'3'!AE22</f>
        <v>0.52423218651320747</v>
      </c>
      <c r="CA22" s="9">
        <f>'8'!AY19</f>
        <v>0.59173142086563169</v>
      </c>
      <c r="CB22" s="9">
        <f t="shared" si="18"/>
        <v>0.43722376718380707</v>
      </c>
      <c r="CC22" s="9">
        <f t="shared" si="19"/>
        <v>0.50769475736953207</v>
      </c>
      <c r="CD22" s="9">
        <f>'1'!DE22</f>
        <v>0.30552942895581869</v>
      </c>
      <c r="CE22" s="9">
        <f>'1'!DG22</f>
        <v>0.3816612785572141</v>
      </c>
      <c r="CF22" s="9">
        <f>'2'!DE22</f>
        <v>0.28939480861255956</v>
      </c>
      <c r="CG22" s="9">
        <f>'2'!DG22</f>
        <v>0.4265713592440471</v>
      </c>
      <c r="CH22" s="9">
        <f>'3'!AH22</f>
        <v>0.55510391696181638</v>
      </c>
      <c r="CI22" s="9">
        <f>'8'!BD19</f>
        <v>0.51629846634910725</v>
      </c>
      <c r="CJ22" s="9">
        <f t="shared" si="20"/>
        <v>0.34995031946142141</v>
      </c>
      <c r="CK22" s="9">
        <f t="shared" si="21"/>
        <v>0.41696026924554697</v>
      </c>
    </row>
    <row r="23" spans="1:89">
      <c r="A23" s="1">
        <v>1985</v>
      </c>
      <c r="B23" s="9">
        <f>'1'!I23</f>
        <v>0.30292426979507547</v>
      </c>
      <c r="C23" s="9">
        <f>'1'!K23</f>
        <v>0.37863519753986374</v>
      </c>
      <c r="D23" s="9">
        <f>'2'!I23</f>
        <v>0.25766914460604035</v>
      </c>
      <c r="E23" s="9">
        <f>'2'!K23</f>
        <v>0.38555889364555529</v>
      </c>
      <c r="F23" s="9">
        <f>'3'!D23</f>
        <v>0.62312174818864408</v>
      </c>
      <c r="G23" s="9">
        <f>'8'!F20</f>
        <v>0.60452439439058236</v>
      </c>
      <c r="H23" s="9">
        <f t="shared" si="0"/>
        <v>0.36057851757507953</v>
      </c>
      <c r="I23" s="9">
        <f t="shared" si="1"/>
        <v>0.42636514190038283</v>
      </c>
      <c r="J23" s="9">
        <f>'1'!S23</f>
        <v>0.16012008057354765</v>
      </c>
      <c r="K23" s="9">
        <f>'1'!U23</f>
        <v>0.1968427721674961</v>
      </c>
      <c r="L23" s="9">
        <f>'2'!S23</f>
        <v>0.17606800093250471</v>
      </c>
      <c r="M23" s="9">
        <f>'2'!U23</f>
        <v>0.26385908987147633</v>
      </c>
      <c r="N23" s="9">
        <f>'3'!G23</f>
        <v>0.27627680337235294</v>
      </c>
      <c r="O23" s="9">
        <f>'8'!K20</f>
        <v>0.46778924147499279</v>
      </c>
      <c r="P23" s="9">
        <f t="shared" si="2"/>
        <v>0.2040974609794684</v>
      </c>
      <c r="Q23" s="9">
        <f t="shared" si="3"/>
        <v>0.23858245398912947</v>
      </c>
      <c r="R23" s="9">
        <f>'1'!AC23</f>
        <v>0.232458709554414</v>
      </c>
      <c r="S23" s="9">
        <f>'1'!AE23</f>
        <v>0.29307934700177113</v>
      </c>
      <c r="T23" s="9">
        <f>'2'!AC23</f>
        <v>9.9251967392188695E-2</v>
      </c>
      <c r="U23" s="9">
        <f>'2'!AE23</f>
        <v>0.11873644221499288</v>
      </c>
      <c r="V23" s="9">
        <f>'3'!J23</f>
        <v>0.65071956921236351</v>
      </c>
      <c r="W23" s="9">
        <f>'8'!P20</f>
        <v>0.54990750262374466</v>
      </c>
      <c r="X23" s="9">
        <f t="shared" si="4"/>
        <v>0.29270900061091948</v>
      </c>
      <c r="Y23" s="9">
        <f t="shared" si="5"/>
        <v>0.33709189430634989</v>
      </c>
      <c r="Z23" s="9">
        <f>'1'!AM23</f>
        <v>0.2941726649126169</v>
      </c>
      <c r="AA23" s="9">
        <f>'1'!AO23</f>
        <v>0.36840155380581946</v>
      </c>
      <c r="AB23" s="9">
        <f>'2'!AM23</f>
        <v>0.15718713515518212</v>
      </c>
      <c r="AC23" s="9">
        <f>'2'!AO23</f>
        <v>0.23150733008007687</v>
      </c>
      <c r="AD23" s="9">
        <f>'3'!M23</f>
        <v>0.53924779731142203</v>
      </c>
      <c r="AE23" s="9">
        <f>'8'!U20</f>
        <v>0.59106151278813224</v>
      </c>
      <c r="AF23" s="9">
        <f t="shared" si="6"/>
        <v>0.33467050996430547</v>
      </c>
      <c r="AG23" s="9">
        <f t="shared" si="7"/>
        <v>0.39406275168203675</v>
      </c>
      <c r="AH23" s="9">
        <f>'1'!AW23</f>
        <v>0.20490621429382325</v>
      </c>
      <c r="AI23" s="9">
        <f>'1'!AY23</f>
        <v>0.25751483313744844</v>
      </c>
      <c r="AJ23" s="9">
        <f>'2'!AW23</f>
        <v>0.14604121910447213</v>
      </c>
      <c r="AK23" s="9">
        <f>'2'!AY23</f>
        <v>0.21149715038554068</v>
      </c>
      <c r="AL23" s="9">
        <f>'3'!P23</f>
        <v>0.52854800054075879</v>
      </c>
      <c r="AM23" s="9">
        <f>'8'!Z20</f>
        <v>0.49711685107665859</v>
      </c>
      <c r="AN23" s="9">
        <f t="shared" si="8"/>
        <v>0.26060495707786524</v>
      </c>
      <c r="AO23" s="9">
        <f t="shared" si="9"/>
        <v>0.30397658339650974</v>
      </c>
      <c r="AP23" s="9">
        <f>'1'!BG23</f>
        <v>0.24761751876682772</v>
      </c>
      <c r="AQ23" s="9">
        <f>'1'!BI23</f>
        <v>0.31211657790621194</v>
      </c>
      <c r="AR23" s="9">
        <f>'2'!BG23</f>
        <v>0.20903861041290089</v>
      </c>
      <c r="AS23" s="9">
        <f>'2'!BI23</f>
        <v>0.31624103349326149</v>
      </c>
      <c r="AT23" s="9">
        <f>'3'!S23</f>
        <v>0.60980448487394967</v>
      </c>
      <c r="AU23" s="9">
        <f>'8'!AE20</f>
        <v>0.59220165730100516</v>
      </c>
      <c r="AV23" s="9">
        <f t="shared" si="10"/>
        <v>0.31443673839556502</v>
      </c>
      <c r="AW23" s="9">
        <f t="shared" si="11"/>
        <v>0.37030632210116998</v>
      </c>
      <c r="AX23" s="9">
        <f>'1'!BQ23</f>
        <v>0.3204168209382543</v>
      </c>
      <c r="AY23" s="9">
        <f>'1'!BS23</f>
        <v>0.39877943424341405</v>
      </c>
      <c r="AZ23" s="9">
        <f>'2'!BQ23</f>
        <v>0.20635208737036076</v>
      </c>
      <c r="BA23" s="9">
        <f>'2'!BS23</f>
        <v>0.31215077270775021</v>
      </c>
      <c r="BB23" s="9">
        <f>'3'!V23</f>
        <v>0.74410758965338442</v>
      </c>
      <c r="BC23" s="9">
        <f>'8'!AJ20</f>
        <v>0.64410289414045541</v>
      </c>
      <c r="BD23" s="9">
        <f t="shared" si="12"/>
        <v>0.38374803177319805</v>
      </c>
      <c r="BE23" s="9">
        <f t="shared" si="13"/>
        <v>0.44918172962054886</v>
      </c>
      <c r="BF23" s="9">
        <f>'1'!CA23</f>
        <v>0.32226396899777598</v>
      </c>
      <c r="BG23" s="9">
        <f>'1'!CC23</f>
        <v>0.40088294263007235</v>
      </c>
      <c r="BH23" s="9">
        <f>'2'!CA23</f>
        <v>0.23632867842537861</v>
      </c>
      <c r="BI23" s="9">
        <f>'2'!CC23</f>
        <v>0.35618654795654769</v>
      </c>
      <c r="BJ23" s="9">
        <f>'3'!Y23</f>
        <v>0.59439845266683344</v>
      </c>
      <c r="BK23" s="9">
        <f>'8'!AO20</f>
        <v>0.62816502695729171</v>
      </c>
      <c r="BL23" s="9">
        <f t="shared" si="14"/>
        <v>0.37147399410339355</v>
      </c>
      <c r="BM23" s="9">
        <f t="shared" si="15"/>
        <v>0.43849306259911797</v>
      </c>
      <c r="BN23" s="9">
        <f>'1'!CK23</f>
        <v>0.23303855465586082</v>
      </c>
      <c r="BO23" s="9">
        <f>'1'!CM23</f>
        <v>0.2938142964622768</v>
      </c>
      <c r="BP23" s="9">
        <f>'2'!CK23</f>
        <v>0.35100489924667277</v>
      </c>
      <c r="BQ23" s="9">
        <f>'2'!CM23</f>
        <v>0.49856802616830731</v>
      </c>
      <c r="BR23" s="9">
        <f>'3'!AB23</f>
        <v>0.30368179575610416</v>
      </c>
      <c r="BS23" s="9">
        <f>'8'!AT20</f>
        <v>0.66759072841013045</v>
      </c>
      <c r="BT23" s="9">
        <f t="shared" si="16"/>
        <v>0.2953547306003933</v>
      </c>
      <c r="BU23" s="9">
        <f t="shared" si="17"/>
        <v>0.35265406255704795</v>
      </c>
      <c r="BV23" s="9">
        <f>'1'!CU23</f>
        <v>0.41099399635570755</v>
      </c>
      <c r="BW23" s="9">
        <f>'1'!CW23</f>
        <v>0.49701609112956463</v>
      </c>
      <c r="BX23" s="9">
        <f>'2'!CU23</f>
        <v>0.60843397916877917</v>
      </c>
      <c r="BY23" s="9">
        <f>'2'!CW23</f>
        <v>0.7273673951101034</v>
      </c>
      <c r="BZ23" s="9">
        <f>'3'!AE23</f>
        <v>0.67581879391074784</v>
      </c>
      <c r="CA23" s="9">
        <f>'8'!AY20</f>
        <v>0.63762014494069985</v>
      </c>
      <c r="CB23" s="9">
        <f t="shared" si="18"/>
        <v>0.47988308925101797</v>
      </c>
      <c r="CC23" s="9">
        <f t="shared" si="19"/>
        <v>0.55199189718685027</v>
      </c>
      <c r="CD23" s="9">
        <f>'1'!DE23</f>
        <v>0.32123530301798991</v>
      </c>
      <c r="CE23" s="9">
        <f>'1'!DG23</f>
        <v>0.399712060609065</v>
      </c>
      <c r="CF23" s="9">
        <f>'2'!DE23</f>
        <v>0.28318051422973378</v>
      </c>
      <c r="CG23" s="9">
        <f>'2'!DG23</f>
        <v>0.41877012057727975</v>
      </c>
      <c r="CH23" s="9">
        <f>'3'!AH23</f>
        <v>0.51651369843274342</v>
      </c>
      <c r="CI23" s="9">
        <f>'8'!BD20</f>
        <v>0.51610257421341199</v>
      </c>
      <c r="CJ23" s="9">
        <f t="shared" si="20"/>
        <v>0.35644439080018187</v>
      </c>
      <c r="CK23" s="9">
        <f t="shared" si="21"/>
        <v>0.42493708174868905</v>
      </c>
    </row>
    <row r="24" spans="1:89">
      <c r="A24" s="1">
        <v>1986</v>
      </c>
      <c r="B24" s="9">
        <f>'1'!I24</f>
        <v>0.32553926355574225</v>
      </c>
      <c r="C24" s="9">
        <f>'1'!K24</f>
        <v>0.40460189118823231</v>
      </c>
      <c r="D24" s="9">
        <f>'2'!I24</f>
        <v>0.24123711194910621</v>
      </c>
      <c r="E24" s="9">
        <f>'2'!K24</f>
        <v>0.36307950960129681</v>
      </c>
      <c r="F24" s="9">
        <f>'3'!D24</f>
        <v>0.6457171797083503</v>
      </c>
      <c r="G24" s="9">
        <f>'8'!F21</f>
        <v>0.59441335458415334</v>
      </c>
      <c r="H24" s="9">
        <f t="shared" si="0"/>
        <v>0.3760142491131806</v>
      </c>
      <c r="I24" s="9">
        <f t="shared" si="1"/>
        <v>0.44354232822114265</v>
      </c>
      <c r="J24" s="9">
        <f>'1'!S24</f>
        <v>0.19430746991861012</v>
      </c>
      <c r="K24" s="9">
        <f>'1'!U24</f>
        <v>0.24348770647206275</v>
      </c>
      <c r="L24" s="9">
        <f>'2'!S24</f>
        <v>0.17819992730765696</v>
      </c>
      <c r="M24" s="9">
        <f>'2'!U24</f>
        <v>0.26739781198617774</v>
      </c>
      <c r="N24" s="9">
        <f>'3'!G24</f>
        <v>0.3640919163431402</v>
      </c>
      <c r="O24" s="9">
        <f>'8'!K21</f>
        <v>0.52975644179646042</v>
      </c>
      <c r="P24" s="9">
        <f t="shared" si="2"/>
        <v>0.24322005748775283</v>
      </c>
      <c r="Q24" s="9">
        <f t="shared" si="3"/>
        <v>0.28656601154302175</v>
      </c>
      <c r="R24" s="9">
        <f>'1'!AC24</f>
        <v>0.23904445868748284</v>
      </c>
      <c r="S24" s="9">
        <f>'1'!AE24</f>
        <v>0.30139492766838077</v>
      </c>
      <c r="T24" s="9">
        <f>'2'!AC24</f>
        <v>0.10181351197257678</v>
      </c>
      <c r="U24" s="9">
        <f>'2'!AE24</f>
        <v>0.12423074909459024</v>
      </c>
      <c r="V24" s="9">
        <f>'3'!J24</f>
        <v>0.72109728779744076</v>
      </c>
      <c r="W24" s="9">
        <f>'8'!P21</f>
        <v>0.59195155131031219</v>
      </c>
      <c r="X24" s="9">
        <f t="shared" si="4"/>
        <v>0.30881735618927098</v>
      </c>
      <c r="Y24" s="9">
        <f t="shared" si="5"/>
        <v>0.35470440818810084</v>
      </c>
      <c r="Z24" s="9">
        <f>'1'!AM24</f>
        <v>0.32152266660074758</v>
      </c>
      <c r="AA24" s="9">
        <f>'1'!AO24</f>
        <v>0.40003929195758647</v>
      </c>
      <c r="AB24" s="9">
        <f>'2'!AM24</f>
        <v>0.15783692687311154</v>
      </c>
      <c r="AC24" s="9">
        <f>'2'!AO24</f>
        <v>0.23265221577969136</v>
      </c>
      <c r="AD24" s="9">
        <f>'3'!M24</f>
        <v>0.54998120927676664</v>
      </c>
      <c r="AE24" s="9">
        <f>'8'!U21</f>
        <v>0.54350528644540874</v>
      </c>
      <c r="AF24" s="9">
        <f t="shared" si="6"/>
        <v>0.35019820888005199</v>
      </c>
      <c r="AG24" s="9">
        <f t="shared" si="7"/>
        <v>0.41264137552049712</v>
      </c>
      <c r="AH24" s="9">
        <f>'1'!AW24</f>
        <v>0.24181540089177453</v>
      </c>
      <c r="AI24" s="9">
        <f>'1'!AY24</f>
        <v>0.30487299738449775</v>
      </c>
      <c r="AJ24" s="9">
        <f>'2'!AW24</f>
        <v>0.14920101401944477</v>
      </c>
      <c r="AK24" s="9">
        <f>'2'!AY24</f>
        <v>0.21724260233362702</v>
      </c>
      <c r="AL24" s="9">
        <f>'3'!P24</f>
        <v>0.58463015337036794</v>
      </c>
      <c r="AM24" s="9">
        <f>'8'!Z21</f>
        <v>0.50278573333178356</v>
      </c>
      <c r="AN24" s="9">
        <f t="shared" si="8"/>
        <v>0.29293247069640177</v>
      </c>
      <c r="AO24" s="9">
        <f t="shared" si="9"/>
        <v>0.34387694707272626</v>
      </c>
      <c r="AP24" s="9">
        <f>'1'!BG24</f>
        <v>0.27632761952857293</v>
      </c>
      <c r="AQ24" s="9">
        <f>'1'!BI24</f>
        <v>0.34720213472163886</v>
      </c>
      <c r="AR24" s="9">
        <f>'2'!BG24</f>
        <v>0.21363947240771014</v>
      </c>
      <c r="AS24" s="9">
        <f>'2'!BI24</f>
        <v>0.32317751608153289</v>
      </c>
      <c r="AT24" s="9">
        <f>'3'!S24</f>
        <v>0.59827622896069943</v>
      </c>
      <c r="AU24" s="9">
        <f>'8'!AE21</f>
        <v>0.56871123842186944</v>
      </c>
      <c r="AV24" s="9">
        <f t="shared" si="10"/>
        <v>0.33149202764902896</v>
      </c>
      <c r="AW24" s="9">
        <f t="shared" si="11"/>
        <v>0.39205799265155739</v>
      </c>
      <c r="AX24" s="9">
        <f>'1'!BQ24</f>
        <v>0.34453304975147464</v>
      </c>
      <c r="AY24" s="9">
        <f>'1'!BS24</f>
        <v>0.42589827788518791</v>
      </c>
      <c r="AZ24" s="9">
        <f>'2'!BQ24</f>
        <v>0.20881956124984066</v>
      </c>
      <c r="BA24" s="9">
        <f>'2'!BS24</f>
        <v>0.31590864063344959</v>
      </c>
      <c r="BB24" s="9">
        <f>'3'!V24</f>
        <v>0.77408148775221253</v>
      </c>
      <c r="BC24" s="9">
        <f>'8'!AJ21</f>
        <v>0.64972332082582884</v>
      </c>
      <c r="BD24" s="9">
        <f t="shared" si="12"/>
        <v>0.4044355718088205</v>
      </c>
      <c r="BE24" s="9">
        <f t="shared" si="13"/>
        <v>0.47210013944078066</v>
      </c>
      <c r="BF24" s="9">
        <f>'1'!CA24</f>
        <v>0.35378228072788942</v>
      </c>
      <c r="BG24" s="9">
        <f>'1'!CC24</f>
        <v>0.43610581318716368</v>
      </c>
      <c r="BH24" s="9">
        <f>'2'!CA24</f>
        <v>0.23762840977170077</v>
      </c>
      <c r="BI24" s="9">
        <f>'2'!CC24</f>
        <v>0.35802001475609491</v>
      </c>
      <c r="BJ24" s="9">
        <f>'3'!Y24</f>
        <v>0.59885652899434094</v>
      </c>
      <c r="BK24" s="9">
        <f>'8'!AO21</f>
        <v>0.57402380844785461</v>
      </c>
      <c r="BL24" s="9">
        <f t="shared" si="14"/>
        <v>0.38869847123091228</v>
      </c>
      <c r="BM24" s="9">
        <f t="shared" si="15"/>
        <v>0.45836410445084363</v>
      </c>
      <c r="BN24" s="9">
        <f>'1'!CK24</f>
        <v>0.25606133156464017</v>
      </c>
      <c r="BO24" s="9">
        <f>'1'!CM24</f>
        <v>0.32256468450732267</v>
      </c>
      <c r="BP24" s="9">
        <f>'2'!CK24</f>
        <v>0.3184936245095224</v>
      </c>
      <c r="BQ24" s="9">
        <f>'2'!CM24</f>
        <v>0.46172659181932346</v>
      </c>
      <c r="BR24" s="9">
        <f>'3'!AB24</f>
        <v>0.26564202343942789</v>
      </c>
      <c r="BS24" s="9">
        <f>'8'!AT21</f>
        <v>0.63763845638143513</v>
      </c>
      <c r="BT24" s="9">
        <f t="shared" si="16"/>
        <v>0.30142034252828664</v>
      </c>
      <c r="BU24" s="9">
        <f t="shared" si="17"/>
        <v>0.3622959863191445</v>
      </c>
      <c r="BV24" s="9">
        <f>'1'!CU24</f>
        <v>0.41344234509665334</v>
      </c>
      <c r="BW24" s="9">
        <f>'1'!CW24</f>
        <v>0.49954121274834068</v>
      </c>
      <c r="BX24" s="9">
        <f>'2'!CU24</f>
        <v>0.4759015112563188</v>
      </c>
      <c r="BY24" s="9">
        <f>'2'!CW24</f>
        <v>0.62116903491369335</v>
      </c>
      <c r="BZ24" s="9">
        <f>'3'!AE24</f>
        <v>0.66544327829219063</v>
      </c>
      <c r="CA24" s="9">
        <f>'8'!AY21</f>
        <v>0.6261993457939613</v>
      </c>
      <c r="CB24" s="9">
        <f t="shared" si="18"/>
        <v>0.46616405510190434</v>
      </c>
      <c r="CC24" s="9">
        <f t="shared" si="19"/>
        <v>0.54096001482382294</v>
      </c>
      <c r="CD24" s="9">
        <f>'1'!DE24</f>
        <v>0.32883566666357544</v>
      </c>
      <c r="CE24" s="9">
        <f>'1'!DG24</f>
        <v>0.40833080470868538</v>
      </c>
      <c r="CF24" s="9">
        <f>'2'!DE24</f>
        <v>0.28294181154944653</v>
      </c>
      <c r="CG24" s="9">
        <f>'2'!DG24</f>
        <v>0.41846829090783511</v>
      </c>
      <c r="CH24" s="9">
        <f>'3'!AH24</f>
        <v>0.63174365658849596</v>
      </c>
      <c r="CI24" s="9">
        <f>'8'!BD21</f>
        <v>0.5150191965315396</v>
      </c>
      <c r="CJ24" s="9">
        <f t="shared" si="20"/>
        <v>0.37315543313145105</v>
      </c>
      <c r="CK24" s="9">
        <f t="shared" si="21"/>
        <v>0.44235467769886683</v>
      </c>
    </row>
    <row r="25" spans="1:89">
      <c r="A25" s="1">
        <v>1987</v>
      </c>
      <c r="B25" s="9">
        <f>'1'!I25</f>
        <v>0.35170871528965209</v>
      </c>
      <c r="C25" s="9">
        <f>'1'!K25</f>
        <v>0.43382651037508896</v>
      </c>
      <c r="D25" s="9">
        <f>'2'!I25</f>
        <v>0.24846321299635038</v>
      </c>
      <c r="E25" s="9">
        <f>'2'!K25</f>
        <v>0.37307585634880303</v>
      </c>
      <c r="F25" s="9">
        <f>'3'!D25</f>
        <v>0.66683467440276667</v>
      </c>
      <c r="G25" s="9">
        <f>'8'!F22</f>
        <v>0.58230626019551324</v>
      </c>
      <c r="H25" s="9">
        <f t="shared" si="0"/>
        <v>0.39595651546221944</v>
      </c>
      <c r="I25" s="9">
        <f t="shared" si="1"/>
        <v>0.46590023635727051</v>
      </c>
      <c r="J25" s="9">
        <f>'1'!S25</f>
        <v>0.2136348075064117</v>
      </c>
      <c r="K25" s="9">
        <f>'1'!U25</f>
        <v>0.26891999047852444</v>
      </c>
      <c r="L25" s="9">
        <f>'2'!S25</f>
        <v>0.18742049606747793</v>
      </c>
      <c r="M25" s="9">
        <f>'2'!U25</f>
        <v>0.28245137678433568</v>
      </c>
      <c r="N25" s="9">
        <f>'3'!G25</f>
        <v>0.37273323076700415</v>
      </c>
      <c r="O25" s="9">
        <f>'8'!K22</f>
        <v>0.48784348802459798</v>
      </c>
      <c r="P25" s="9">
        <f t="shared" si="2"/>
        <v>0.25434408674039621</v>
      </c>
      <c r="Q25" s="9">
        <f t="shared" si="3"/>
        <v>0.30254680289256086</v>
      </c>
      <c r="R25" s="9">
        <f>'1'!AC25</f>
        <v>0.28725709234027469</v>
      </c>
      <c r="S25" s="9">
        <f>'1'!AE25</f>
        <v>0.36023964048114343</v>
      </c>
      <c r="T25" s="9">
        <f>'2'!AC25</f>
        <v>0.10169859053067337</v>
      </c>
      <c r="U25" s="9">
        <f>'2'!AE25</f>
        <v>0.12398539877200582</v>
      </c>
      <c r="V25" s="9">
        <f>'3'!J25</f>
        <v>0.67854189929346687</v>
      </c>
      <c r="W25" s="9">
        <f>'8'!P22</f>
        <v>0.58087052395097549</v>
      </c>
      <c r="X25" s="9">
        <f t="shared" si="4"/>
        <v>0.33719106601570387</v>
      </c>
      <c r="Y25" s="9">
        <f t="shared" si="5"/>
        <v>0.39050753053844517</v>
      </c>
      <c r="Z25" s="9">
        <f>'1'!AM25</f>
        <v>0.34912294921748643</v>
      </c>
      <c r="AA25" s="9">
        <f>'1'!AO25</f>
        <v>0.43097684115582874</v>
      </c>
      <c r="AB25" s="9">
        <f>'2'!AM25</f>
        <v>0.16797427195003378</v>
      </c>
      <c r="AC25" s="9">
        <f>'2'!AO25</f>
        <v>0.25021803909801288</v>
      </c>
      <c r="AD25" s="9">
        <f>'3'!M25</f>
        <v>0.60245604687014798</v>
      </c>
      <c r="AE25" s="9">
        <f>'8'!U22</f>
        <v>0.56767714019592197</v>
      </c>
      <c r="AF25" s="9">
        <f t="shared" si="6"/>
        <v>0.37819681035385083</v>
      </c>
      <c r="AG25" s="9">
        <f t="shared" si="7"/>
        <v>0.44371891142548836</v>
      </c>
      <c r="AH25" s="9">
        <f>'1'!AW25</f>
        <v>0.2660904988975562</v>
      </c>
      <c r="AI25" s="9">
        <f>'1'!AY25</f>
        <v>0.33483337246370171</v>
      </c>
      <c r="AJ25" s="9">
        <f>'2'!AW25</f>
        <v>0.16581552261934299</v>
      </c>
      <c r="AK25" s="9">
        <f>'2'!AY25</f>
        <v>0.2465231073131906</v>
      </c>
      <c r="AL25" s="9">
        <f>'3'!P25</f>
        <v>0.51600665780407207</v>
      </c>
      <c r="AM25" s="9">
        <f>'8'!Z22</f>
        <v>0.48381983196851525</v>
      </c>
      <c r="AN25" s="9">
        <f t="shared" si="8"/>
        <v>0.30282755046748233</v>
      </c>
      <c r="AO25" s="9">
        <f t="shared" si="9"/>
        <v>0.35901832043316895</v>
      </c>
      <c r="AP25" s="9">
        <f>'1'!BG25</f>
        <v>0.28917651502903846</v>
      </c>
      <c r="AQ25" s="9">
        <f>'1'!BI25</f>
        <v>0.36251171657725806</v>
      </c>
      <c r="AR25" s="9">
        <f>'2'!BG25</f>
        <v>0.22100448017792335</v>
      </c>
      <c r="AS25" s="9">
        <f>'2'!BI25</f>
        <v>0.33410624515766141</v>
      </c>
      <c r="AT25" s="9">
        <f>'3'!S25</f>
        <v>0.59860376802807147</v>
      </c>
      <c r="AU25" s="9">
        <f>'8'!AE22</f>
        <v>0.570071030919722</v>
      </c>
      <c r="AV25" s="9">
        <f t="shared" si="10"/>
        <v>0.34139148843289863</v>
      </c>
      <c r="AW25" s="9">
        <f t="shared" si="11"/>
        <v>0.40403630601462615</v>
      </c>
      <c r="AX25" s="9">
        <f>'1'!BQ25</f>
        <v>0.37817344894894789</v>
      </c>
      <c r="AY25" s="9">
        <f>'1'!BS25</f>
        <v>0.46253174687101772</v>
      </c>
      <c r="AZ25" s="9">
        <f>'2'!BQ25</f>
        <v>0.21828176994961038</v>
      </c>
      <c r="BA25" s="9">
        <f>'2'!BS25</f>
        <v>0.330090798407422</v>
      </c>
      <c r="BB25" s="9">
        <f>'3'!V25</f>
        <v>0.82186408271762157</v>
      </c>
      <c r="BC25" s="9">
        <f>'8'!AJ22</f>
        <v>0.64186571094492151</v>
      </c>
      <c r="BD25" s="9">
        <f t="shared" si="12"/>
        <v>0.43292257062547884</v>
      </c>
      <c r="BE25" s="9">
        <f t="shared" si="13"/>
        <v>0.50315428201670886</v>
      </c>
      <c r="BF25" s="9">
        <f>'1'!CA25</f>
        <v>0.36559993760567655</v>
      </c>
      <c r="BG25" s="9">
        <f>'1'!CC25</f>
        <v>0.44899712185134466</v>
      </c>
      <c r="BH25" s="9">
        <f>'2'!CA25</f>
        <v>0.24475704736966836</v>
      </c>
      <c r="BI25" s="9">
        <f>'2'!CC25</f>
        <v>0.36797107426710995</v>
      </c>
      <c r="BJ25" s="9">
        <f>'3'!Y25</f>
        <v>0.62683505177171051</v>
      </c>
      <c r="BK25" s="9">
        <f>'8'!AO22</f>
        <v>0.60866382829394539</v>
      </c>
      <c r="BL25" s="9">
        <f t="shared" si="14"/>
        <v>0.40394554906750596</v>
      </c>
      <c r="BM25" s="9">
        <f t="shared" si="15"/>
        <v>0.47464498072921785</v>
      </c>
      <c r="BN25" s="9">
        <f>'1'!CK25</f>
        <v>0.27030354203810419</v>
      </c>
      <c r="BO25" s="9">
        <f>'1'!CM25</f>
        <v>0.33994234253046512</v>
      </c>
      <c r="BP25" s="9">
        <f>'2'!CK25</f>
        <v>0.34852765264501168</v>
      </c>
      <c r="BQ25" s="9">
        <f>'2'!CM25</f>
        <v>0.49584424151519846</v>
      </c>
      <c r="BR25" s="9">
        <f>'3'!AB25</f>
        <v>0.5007472026582539</v>
      </c>
      <c r="BS25" s="9">
        <f>'8'!AT22</f>
        <v>0.59294760021909387</v>
      </c>
      <c r="BT25" s="9">
        <f t="shared" si="16"/>
        <v>0.33343472497890891</v>
      </c>
      <c r="BU25" s="9">
        <f t="shared" si="17"/>
        <v>0.39691354421058023</v>
      </c>
      <c r="BV25" s="9">
        <f>'1'!CU25</f>
        <v>0.44034859780562285</v>
      </c>
      <c r="BW25" s="9">
        <f>'1'!CW25</f>
        <v>0.52687641961853071</v>
      </c>
      <c r="BX25" s="9">
        <f>'2'!CU25</f>
        <v>0.45487016154575283</v>
      </c>
      <c r="BY25" s="9">
        <f>'2'!CW25</f>
        <v>0.6023071080501361</v>
      </c>
      <c r="BZ25" s="9">
        <f>'3'!AE25</f>
        <v>0.59797887241866676</v>
      </c>
      <c r="CA25" s="9">
        <f>'8'!AY22</f>
        <v>0.60706867801617315</v>
      </c>
      <c r="CB25" s="9">
        <f t="shared" si="18"/>
        <v>0.47423578966199526</v>
      </c>
      <c r="CC25" s="9">
        <f t="shared" si="19"/>
        <v>0.5495489595814691</v>
      </c>
      <c r="CD25" s="9">
        <f>'1'!DE25</f>
        <v>0.36847119782639448</v>
      </c>
      <c r="CE25" s="9">
        <f>'1'!DG25</f>
        <v>0.45210414471345112</v>
      </c>
      <c r="CF25" s="9">
        <f>'2'!DE25</f>
        <v>0.30120837912337806</v>
      </c>
      <c r="CG25" s="9">
        <f>'2'!DG25</f>
        <v>0.44110976263731555</v>
      </c>
      <c r="CH25" s="9">
        <f>'3'!AH25</f>
        <v>0.62624645091947895</v>
      </c>
      <c r="CI25" s="9">
        <f>'8'!BD22</f>
        <v>0.49961050950751129</v>
      </c>
      <c r="CJ25" s="9">
        <f t="shared" si="20"/>
        <v>0.40063637243351297</v>
      </c>
      <c r="CK25" s="9">
        <f t="shared" si="21"/>
        <v>0.47316957360584638</v>
      </c>
    </row>
    <row r="26" spans="1:89">
      <c r="A26" s="1">
        <v>1988</v>
      </c>
      <c r="B26" s="9">
        <f>'1'!I26</f>
        <v>0.38220464420613254</v>
      </c>
      <c r="C26" s="9">
        <f>'1'!K26</f>
        <v>0.46683234069243978</v>
      </c>
      <c r="D26" s="9">
        <f>'2'!I26</f>
        <v>0.25681141822596482</v>
      </c>
      <c r="E26" s="9">
        <f>'2'!K26</f>
        <v>0.38440747342014048</v>
      </c>
      <c r="F26" s="9">
        <f>'3'!D26</f>
        <v>0.69125665216367604</v>
      </c>
      <c r="G26" s="9">
        <f>'8'!F23</f>
        <v>0.61925908394818063</v>
      </c>
      <c r="H26" s="9">
        <f t="shared" si="0"/>
        <v>0.42427596637807496</v>
      </c>
      <c r="I26" s="9">
        <f t="shared" si="1"/>
        <v>0.49627495943790756</v>
      </c>
      <c r="J26" s="9">
        <f>'1'!S26</f>
        <v>0.25193918788364705</v>
      </c>
      <c r="K26" s="9">
        <f>'1'!U26</f>
        <v>0.3174777997500503</v>
      </c>
      <c r="L26" s="9">
        <f>'2'!S26</f>
        <v>0.20693463651034158</v>
      </c>
      <c r="M26" s="9">
        <f>'2'!U26</f>
        <v>0.31304024014941972</v>
      </c>
      <c r="N26" s="9">
        <f>'3'!G26</f>
        <v>0.51624936208937289</v>
      </c>
      <c r="O26" s="9">
        <f>'8'!K23</f>
        <v>0.54753425335997818</v>
      </c>
      <c r="P26" s="9">
        <f t="shared" si="2"/>
        <v>0.3034292567145222</v>
      </c>
      <c r="Q26" s="9">
        <f t="shared" si="3"/>
        <v>0.35991684538491231</v>
      </c>
      <c r="R26" s="9">
        <f>'1'!AC26</f>
        <v>0.33397498697491473</v>
      </c>
      <c r="S26" s="9">
        <f>'1'!AE26</f>
        <v>0.4141166626907824</v>
      </c>
      <c r="T26" s="9">
        <f>'2'!AC26</f>
        <v>0.11083898552922813</v>
      </c>
      <c r="U26" s="9">
        <f>'2'!AE26</f>
        <v>0.14317270736612667</v>
      </c>
      <c r="V26" s="9">
        <f>'3'!J26</f>
        <v>0.7155403952899908</v>
      </c>
      <c r="W26" s="9">
        <f>'8'!P23</f>
        <v>0.60217298270424291</v>
      </c>
      <c r="X26" s="9">
        <f t="shared" si="4"/>
        <v>0.3766377272347865</v>
      </c>
      <c r="Y26" s="9">
        <f t="shared" si="5"/>
        <v>0.43597027241958364</v>
      </c>
      <c r="Z26" s="9">
        <f>'1'!AM26</f>
        <v>0.37943724858124939</v>
      </c>
      <c r="AA26" s="9">
        <f>'1'!AO26</f>
        <v>0.46388200857076922</v>
      </c>
      <c r="AB26" s="9">
        <f>'2'!AM26</f>
        <v>0.17921775044155613</v>
      </c>
      <c r="AC26" s="9">
        <f>'2'!AO26</f>
        <v>0.2690794442246115</v>
      </c>
      <c r="AD26" s="9">
        <f>'3'!M26</f>
        <v>0.65029999299851959</v>
      </c>
      <c r="AE26" s="9">
        <f>'8'!U23</f>
        <v>0.61297022526581846</v>
      </c>
      <c r="AF26" s="9">
        <f t="shared" si="6"/>
        <v>0.40985487087746397</v>
      </c>
      <c r="AG26" s="9">
        <f t="shared" si="7"/>
        <v>0.4779523722484334</v>
      </c>
      <c r="AH26" s="9">
        <f>'1'!AW26</f>
        <v>0.28621764169728453</v>
      </c>
      <c r="AI26" s="9">
        <f>'1'!AY26</f>
        <v>0.35900704045733089</v>
      </c>
      <c r="AJ26" s="9">
        <f>'2'!AW26</f>
        <v>0.19006527403957815</v>
      </c>
      <c r="AK26" s="9">
        <f>'2'!AY26</f>
        <v>0.28669590926695893</v>
      </c>
      <c r="AL26" s="9">
        <f>'3'!P26</f>
        <v>0.60434979021422308</v>
      </c>
      <c r="AM26" s="9">
        <f>'8'!Z23</f>
        <v>0.53460147185274942</v>
      </c>
      <c r="AN26" s="9">
        <f t="shared" si="8"/>
        <v>0.33325400279875417</v>
      </c>
      <c r="AO26" s="9">
        <f t="shared" si="9"/>
        <v>0.39386964545352476</v>
      </c>
      <c r="AP26" s="9">
        <f>'1'!BG26</f>
        <v>0.31771903418119962</v>
      </c>
      <c r="AQ26" s="9">
        <f>'1'!BI26</f>
        <v>0.39569920509342049</v>
      </c>
      <c r="AR26" s="9">
        <f>'2'!BG26</f>
        <v>0.23453286793879127</v>
      </c>
      <c r="AS26" s="9">
        <f>'2'!BI26</f>
        <v>0.35364340934619526</v>
      </c>
      <c r="AT26" s="9">
        <f>'3'!S26</f>
        <v>0.64034289272744704</v>
      </c>
      <c r="AU26" s="9">
        <f>'8'!AE23</f>
        <v>0.5990670139551445</v>
      </c>
      <c r="AV26" s="9">
        <f t="shared" si="10"/>
        <v>0.36979760138897799</v>
      </c>
      <c r="AW26" s="9">
        <f t="shared" si="11"/>
        <v>0.43629477516827309</v>
      </c>
      <c r="AX26" s="9">
        <f>'1'!BQ26</f>
        <v>0.41123218682154333</v>
      </c>
      <c r="AY26" s="9">
        <f>'1'!BS26</f>
        <v>0.49726203253490137</v>
      </c>
      <c r="AZ26" s="9">
        <f>'2'!BQ26</f>
        <v>0.23234233433806753</v>
      </c>
      <c r="BA26" s="9">
        <f>'2'!BS26</f>
        <v>0.35052562901277851</v>
      </c>
      <c r="BB26" s="9">
        <f>'3'!V26</f>
        <v>0.80790183955726469</v>
      </c>
      <c r="BC26" s="9">
        <f>'8'!AJ23</f>
        <v>0.6638736091746168</v>
      </c>
      <c r="BD26" s="9">
        <f t="shared" si="12"/>
        <v>0.45827430908207523</v>
      </c>
      <c r="BE26" s="9">
        <f t="shared" si="13"/>
        <v>0.53031353054889696</v>
      </c>
      <c r="BF26" s="9">
        <f>'1'!CA26</f>
        <v>0.37378385421783744</v>
      </c>
      <c r="BG26" s="9">
        <f>'1'!CC26</f>
        <v>0.45782753310908764</v>
      </c>
      <c r="BH26" s="9">
        <f>'2'!CA26</f>
        <v>0.25599671444673244</v>
      </c>
      <c r="BI26" s="9">
        <f>'2'!CC26</f>
        <v>0.38331161935274838</v>
      </c>
      <c r="BJ26" s="9">
        <f>'3'!Y26</f>
        <v>0.62706523201492803</v>
      </c>
      <c r="BK26" s="9">
        <f>'8'!AO23</f>
        <v>0.64751783197723223</v>
      </c>
      <c r="BL26" s="9">
        <f t="shared" si="14"/>
        <v>0.41470667579637543</v>
      </c>
      <c r="BM26" s="9">
        <f t="shared" si="15"/>
        <v>0.4862687415108522</v>
      </c>
      <c r="BN26" s="9">
        <f>'1'!CK26</f>
        <v>0.2790427901229216</v>
      </c>
      <c r="BO26" s="9">
        <f>'1'!CM26</f>
        <v>0.35045700318236328</v>
      </c>
      <c r="BP26" s="9">
        <f>'2'!CK26</f>
        <v>0.36607072664653678</v>
      </c>
      <c r="BQ26" s="9">
        <f>'2'!CM26</f>
        <v>0.5148549772826535</v>
      </c>
      <c r="BR26" s="9">
        <f>'3'!AB26</f>
        <v>0.42519769129694535</v>
      </c>
      <c r="BS26" s="9">
        <f>'8'!AT23</f>
        <v>0.62869795976875997</v>
      </c>
      <c r="BT26" s="9">
        <f t="shared" si="16"/>
        <v>0.33732659085726935</v>
      </c>
      <c r="BU26" s="9">
        <f t="shared" si="17"/>
        <v>0.4021949650624902</v>
      </c>
      <c r="BV26" s="9">
        <f>'1'!CU26</f>
        <v>0.46737932974309893</v>
      </c>
      <c r="BW26" s="9">
        <f>'1'!CW26</f>
        <v>0.55360108026895893</v>
      </c>
      <c r="BX26" s="9">
        <f>'2'!CU26</f>
        <v>0.39898019819529273</v>
      </c>
      <c r="BY26" s="9">
        <f>'2'!CW26</f>
        <v>0.54887146221836502</v>
      </c>
      <c r="BZ26" s="9">
        <f>'3'!AE26</f>
        <v>0.68625117117684975</v>
      </c>
      <c r="CA26" s="9">
        <f>'8'!AY23</f>
        <v>0.61035946750140313</v>
      </c>
      <c r="CB26" s="9">
        <f t="shared" si="18"/>
        <v>0.49672461450752381</v>
      </c>
      <c r="CC26" s="9">
        <f t="shared" si="19"/>
        <v>0.57206896627793302</v>
      </c>
      <c r="CD26" s="9">
        <f>'1'!DE26</f>
        <v>0.40485237537592844</v>
      </c>
      <c r="CE26" s="9">
        <f>'1'!DG26</f>
        <v>0.49065350152635639</v>
      </c>
      <c r="CF26" s="9">
        <f>'2'!DE26</f>
        <v>0.32453860795380257</v>
      </c>
      <c r="CG26" s="9">
        <f>'2'!DG26</f>
        <v>0.46876190850731686</v>
      </c>
      <c r="CH26" s="9">
        <f>'3'!AH26</f>
        <v>0.7355727462304732</v>
      </c>
      <c r="CI26" s="9">
        <f>'8'!BD23</f>
        <v>0.57337011107653224</v>
      </c>
      <c r="CJ26" s="9">
        <f t="shared" si="20"/>
        <v>0.44674480928923072</v>
      </c>
      <c r="CK26" s="9">
        <f t="shared" si="21"/>
        <v>0.52122792764988168</v>
      </c>
    </row>
    <row r="27" spans="1:89">
      <c r="A27" s="1">
        <v>1989</v>
      </c>
      <c r="B27" s="9">
        <f>'1'!I27</f>
        <v>0.4057939045173144</v>
      </c>
      <c r="C27" s="9">
        <f>'1'!K27</f>
        <v>0.49163155418790633</v>
      </c>
      <c r="D27" s="9">
        <f>'2'!I27</f>
        <v>0.26094061492035886</v>
      </c>
      <c r="E27" s="9">
        <f>'2'!K27</f>
        <v>0.38992902634217386</v>
      </c>
      <c r="F27" s="9">
        <f>'3'!D27</f>
        <v>0.71080697727316267</v>
      </c>
      <c r="G27" s="9">
        <f>'8'!F24</f>
        <v>0.63674335810743921</v>
      </c>
      <c r="H27" s="9">
        <f t="shared" si="0"/>
        <v>0.44490482819221616</v>
      </c>
      <c r="I27" s="9">
        <f t="shared" si="1"/>
        <v>0.51789002410381202</v>
      </c>
      <c r="J27" s="9">
        <f>'1'!S27</f>
        <v>0.26839700876410905</v>
      </c>
      <c r="K27" s="9">
        <f>'1'!U27</f>
        <v>0.33763362821268933</v>
      </c>
      <c r="L27" s="9">
        <f>'2'!S27</f>
        <v>0.21645169179699814</v>
      </c>
      <c r="M27" s="9">
        <f>'2'!U27</f>
        <v>0.32737559751468881</v>
      </c>
      <c r="N27" s="9">
        <f>'3'!G27</f>
        <v>0.59032159403358042</v>
      </c>
      <c r="O27" s="9">
        <f>'8'!K24</f>
        <v>0.57273553184947601</v>
      </c>
      <c r="P27" s="9">
        <f t="shared" si="2"/>
        <v>0.32582878790288178</v>
      </c>
      <c r="Q27" s="9">
        <f t="shared" si="3"/>
        <v>0.38538681208865699</v>
      </c>
      <c r="R27" s="9">
        <f>'1'!AC27</f>
        <v>0.3652161508303452</v>
      </c>
      <c r="S27" s="9">
        <f>'1'!AE27</f>
        <v>0.44858108473608199</v>
      </c>
      <c r="T27" s="9">
        <f>'2'!AC27</f>
        <v>0.11601203213914742</v>
      </c>
      <c r="U27" s="9">
        <f>'2'!AE27</f>
        <v>0.15374856501357956</v>
      </c>
      <c r="V27" s="9">
        <f>'3'!J27</f>
        <v>0.6808433730215484</v>
      </c>
      <c r="W27" s="9">
        <f>'8'!P24</f>
        <v>0.56756375479130416</v>
      </c>
      <c r="X27" s="9">
        <f t="shared" si="4"/>
        <v>0.39209322157644161</v>
      </c>
      <c r="Y27" s="9">
        <f t="shared" si="5"/>
        <v>0.45422232859790063</v>
      </c>
      <c r="Z27" s="9">
        <f>'1'!AM27</f>
        <v>0.39852032734179016</v>
      </c>
      <c r="AA27" s="9">
        <f>'1'!AO27</f>
        <v>0.4840506919886467</v>
      </c>
      <c r="AB27" s="9">
        <f>'2'!AM27</f>
        <v>0.18621128840200088</v>
      </c>
      <c r="AC27" s="9">
        <f>'2'!AO27</f>
        <v>0.28050002664929236</v>
      </c>
      <c r="AD27" s="9">
        <f>'3'!M27</f>
        <v>0.63142892865918843</v>
      </c>
      <c r="AE27" s="9">
        <f>'8'!U24</f>
        <v>0.60699956353581452</v>
      </c>
      <c r="AF27" s="9">
        <f t="shared" si="6"/>
        <v>0.42142820719895346</v>
      </c>
      <c r="AG27" s="9">
        <f t="shared" si="7"/>
        <v>0.49072833627648221</v>
      </c>
      <c r="AH27" s="9">
        <f>'1'!AW27</f>
        <v>0.29134489863561314</v>
      </c>
      <c r="AI27" s="9">
        <f>'1'!AY27</f>
        <v>0.3650722598385841</v>
      </c>
      <c r="AJ27" s="9">
        <f>'2'!AW27</f>
        <v>0.20377737284441291</v>
      </c>
      <c r="AK27" s="9">
        <f>'2'!AY27</f>
        <v>0.30820261929125192</v>
      </c>
      <c r="AL27" s="9">
        <f>'3'!P27</f>
        <v>0.60799307150352921</v>
      </c>
      <c r="AM27" s="9">
        <f>'8'!Z24</f>
        <v>0.55229531282347089</v>
      </c>
      <c r="AN27" s="9">
        <f t="shared" si="8"/>
        <v>0.3403480047620705</v>
      </c>
      <c r="AO27" s="9">
        <f t="shared" si="9"/>
        <v>0.40239968224883405</v>
      </c>
      <c r="AP27" s="9">
        <f>'1'!BG27</f>
        <v>0.33355672811851089</v>
      </c>
      <c r="AQ27" s="9">
        <f>'1'!BI27</f>
        <v>0.41364704341124175</v>
      </c>
      <c r="AR27" s="9">
        <f>'2'!BG27</f>
        <v>0.23798653734463676</v>
      </c>
      <c r="AS27" s="9">
        <f>'2'!BI27</f>
        <v>0.35852415876078692</v>
      </c>
      <c r="AT27" s="9">
        <f>'3'!S27</f>
        <v>0.67821501763428393</v>
      </c>
      <c r="AU27" s="9">
        <f>'8'!AE24</f>
        <v>0.59789924921031101</v>
      </c>
      <c r="AV27" s="9">
        <f t="shared" si="10"/>
        <v>0.3848997901018808</v>
      </c>
      <c r="AW27" s="9">
        <f t="shared" si="11"/>
        <v>0.45301677294840736</v>
      </c>
      <c r="AX27" s="9">
        <f>'1'!BQ27</f>
        <v>0.43669180336965502</v>
      </c>
      <c r="AY27" s="9">
        <f>'1'!BS27</f>
        <v>0.52320519352616568</v>
      </c>
      <c r="AZ27" s="9">
        <f>'2'!BQ27</f>
        <v>0.23588131510733157</v>
      </c>
      <c r="BA27" s="9">
        <f>'2'!BS27</f>
        <v>0.35555408901032237</v>
      </c>
      <c r="BB27" s="9">
        <f>'3'!V27</f>
        <v>0.83602150537634412</v>
      </c>
      <c r="BC27" s="9">
        <f>'8'!AJ24</f>
        <v>0.69747434279663212</v>
      </c>
      <c r="BD27" s="9">
        <f t="shared" si="12"/>
        <v>0.4826219786867893</v>
      </c>
      <c r="BE27" s="9">
        <f t="shared" si="13"/>
        <v>0.55514862918664587</v>
      </c>
      <c r="BF27" s="9">
        <f>'1'!CA27</f>
        <v>0.39440459595715349</v>
      </c>
      <c r="BG27" s="9">
        <f>'1'!CC27</f>
        <v>0.47973531904171401</v>
      </c>
      <c r="BH27" s="9">
        <f>'2'!CA27</f>
        <v>0.26123046650381937</v>
      </c>
      <c r="BI27" s="9">
        <f>'2'!CC27</f>
        <v>0.39031458614509612</v>
      </c>
      <c r="BJ27" s="9">
        <f>'3'!Y27</f>
        <v>0.65031160166211155</v>
      </c>
      <c r="BK27" s="9">
        <f>'8'!AO24</f>
        <v>0.64093733488351723</v>
      </c>
      <c r="BL27" s="9">
        <f t="shared" si="14"/>
        <v>0.43133115747495226</v>
      </c>
      <c r="BM27" s="9">
        <f t="shared" si="15"/>
        <v>0.50397107559827226</v>
      </c>
      <c r="BN27" s="9">
        <f>'1'!CK27</f>
        <v>0.30907095838751047</v>
      </c>
      <c r="BO27" s="9">
        <f>'1'!CM27</f>
        <v>0.38576029574063031</v>
      </c>
      <c r="BP27" s="9">
        <f>'2'!CK27</f>
        <v>0.3792016768781894</v>
      </c>
      <c r="BQ27" s="9">
        <f>'2'!CM27</f>
        <v>0.52867534936337868</v>
      </c>
      <c r="BR27" s="9">
        <f>'3'!AB27</f>
        <v>0.43346439539493647</v>
      </c>
      <c r="BS27" s="9">
        <f>'8'!AT24</f>
        <v>0.61423236386551539</v>
      </c>
      <c r="BT27" s="9">
        <f t="shared" si="16"/>
        <v>0.35903951448512145</v>
      </c>
      <c r="BU27" s="9">
        <f t="shared" si="17"/>
        <v>0.4276694178808243</v>
      </c>
      <c r="BV27" s="9">
        <f>'1'!CU27</f>
        <v>0.49211481047097233</v>
      </c>
      <c r="BW27" s="9">
        <f>'1'!CW27</f>
        <v>0.57744215027449541</v>
      </c>
      <c r="BX27" s="9">
        <f>'2'!CU27</f>
        <v>0.40554578857723245</v>
      </c>
      <c r="BY27" s="9">
        <f>'2'!CW27</f>
        <v>0.55541843360755616</v>
      </c>
      <c r="BZ27" s="9">
        <f>'3'!AE27</f>
        <v>0.6003624805622706</v>
      </c>
      <c r="CA27" s="9">
        <f>'8'!AY24</f>
        <v>0.63231837364604648</v>
      </c>
      <c r="CB27" s="9">
        <f t="shared" si="18"/>
        <v>0.50830303160823564</v>
      </c>
      <c r="CC27" s="9">
        <f t="shared" si="19"/>
        <v>0.58301943397373412</v>
      </c>
      <c r="CD27" s="9">
        <f>'1'!DE27</f>
        <v>0.44374009541263632</v>
      </c>
      <c r="CE27" s="9">
        <f>'1'!DG27</f>
        <v>0.53026921928578119</v>
      </c>
      <c r="CF27" s="9">
        <f>'2'!DE27</f>
        <v>0.32999030546746566</v>
      </c>
      <c r="CG27" s="9">
        <f>'2'!DG27</f>
        <v>0.47503212104513537</v>
      </c>
      <c r="CH27" s="9">
        <f>'3'!AH27</f>
        <v>0.73103526914048256</v>
      </c>
      <c r="CI27" s="9">
        <f>'8'!BD24</f>
        <v>0.5839612976969929</v>
      </c>
      <c r="CJ27" s="9">
        <f t="shared" si="20"/>
        <v>0.4751167540193395</v>
      </c>
      <c r="CK27" s="9">
        <f t="shared" si="21"/>
        <v>0.55019132228830792</v>
      </c>
    </row>
    <row r="28" spans="1:89">
      <c r="A28" s="1">
        <v>1990</v>
      </c>
      <c r="B28" s="9">
        <f>'1'!I28</f>
        <v>0.41954931627629088</v>
      </c>
      <c r="C28" s="9">
        <f>'1'!K28</f>
        <v>0.50581185292627906</v>
      </c>
      <c r="D28" s="9">
        <f>'2'!I28</f>
        <v>0.27594805873625794</v>
      </c>
      <c r="E28" s="9">
        <f>'2'!K28</f>
        <v>0.40955228593080256</v>
      </c>
      <c r="F28" s="9">
        <f>'3'!D28</f>
        <v>0.64545797780615266</v>
      </c>
      <c r="G28" s="9">
        <f>'8'!F25</f>
        <v>0.62122446788902042</v>
      </c>
      <c r="H28" s="9">
        <f t="shared" si="0"/>
        <v>0.44794757183654671</v>
      </c>
      <c r="I28" s="9">
        <f t="shared" si="1"/>
        <v>0.52169177021099289</v>
      </c>
      <c r="J28" s="9">
        <f>'1'!S28</f>
        <v>0.26595320069704886</v>
      </c>
      <c r="K28" s="9">
        <f>'1'!U28</f>
        <v>0.33466643420425901</v>
      </c>
      <c r="L28" s="9">
        <f>'2'!S28</f>
        <v>0.22284073523676026</v>
      </c>
      <c r="M28" s="9">
        <f>'2'!U28</f>
        <v>0.3367982481503094</v>
      </c>
      <c r="N28" s="9">
        <f>'3'!G28</f>
        <v>0.46110468581983322</v>
      </c>
      <c r="O28" s="9">
        <f>'8'!K25</f>
        <v>0.53893481652752417</v>
      </c>
      <c r="P28" s="9">
        <f t="shared" si="2"/>
        <v>0.30845526424634601</v>
      </c>
      <c r="Q28" s="9">
        <f t="shared" si="3"/>
        <v>0.36795027899274796</v>
      </c>
      <c r="R28" s="9">
        <f>'1'!AC28</f>
        <v>0.38919860665377942</v>
      </c>
      <c r="S28" s="9">
        <f>'1'!AE28</f>
        <v>0.47424981601429822</v>
      </c>
      <c r="T28" s="9">
        <f>'2'!AC28</f>
        <v>0.1346357747444179</v>
      </c>
      <c r="U28" s="9">
        <f>'2'!AE28</f>
        <v>0.19025611005252005</v>
      </c>
      <c r="V28" s="9">
        <f>'3'!J28</f>
        <v>0.75161033134511135</v>
      </c>
      <c r="W28" s="9">
        <f>'8'!P25</f>
        <v>0.56776582622832605</v>
      </c>
      <c r="X28" s="9">
        <f t="shared" si="4"/>
        <v>0.41784021788943104</v>
      </c>
      <c r="Y28" s="9">
        <f t="shared" si="5"/>
        <v>0.48293809797260445</v>
      </c>
      <c r="Z28" s="9">
        <f>'1'!AM28</f>
        <v>0.41151360940395154</v>
      </c>
      <c r="AA28" s="9">
        <f>'1'!AO28</f>
        <v>0.49755253443318143</v>
      </c>
      <c r="AB28" s="9">
        <f>'2'!AM28</f>
        <v>0.20350055441485559</v>
      </c>
      <c r="AC28" s="9">
        <f>'2'!AO28</f>
        <v>0.30777648137840874</v>
      </c>
      <c r="AD28" s="9">
        <f>'3'!M28</f>
        <v>0.66856574250653356</v>
      </c>
      <c r="AE28" s="9">
        <f>'8'!U25</f>
        <v>0.60558532492647854</v>
      </c>
      <c r="AF28" s="9">
        <f t="shared" si="6"/>
        <v>0.43582468876755287</v>
      </c>
      <c r="AG28" s="9">
        <f t="shared" si="7"/>
        <v>0.5064795289843691</v>
      </c>
      <c r="AH28" s="9">
        <f>'1'!AW28</f>
        <v>0.30510195914057053</v>
      </c>
      <c r="AI28" s="9">
        <f>'1'!AY28</f>
        <v>0.38116537307452025</v>
      </c>
      <c r="AJ28" s="9">
        <f>'2'!AW28</f>
        <v>0.22081366862078933</v>
      </c>
      <c r="AK28" s="9">
        <f>'2'!AY28</f>
        <v>0.33382576923001522</v>
      </c>
      <c r="AL28" s="9">
        <f>'3'!P28</f>
        <v>0.60267945747334273</v>
      </c>
      <c r="AM28" s="9">
        <f>'8'!Z25</f>
        <v>0.54099621330364334</v>
      </c>
      <c r="AN28" s="9">
        <f t="shared" si="8"/>
        <v>0.35002030533817691</v>
      </c>
      <c r="AO28" s="9">
        <f t="shared" si="9"/>
        <v>0.41456590515286429</v>
      </c>
      <c r="AP28" s="9">
        <f>'1'!BG28</f>
        <v>0.34301383877430669</v>
      </c>
      <c r="AQ28" s="9">
        <f>'1'!BI28</f>
        <v>0.42421158962379857</v>
      </c>
      <c r="AR28" s="9">
        <f>'2'!BG28</f>
        <v>0.25049604463273756</v>
      </c>
      <c r="AS28" s="9">
        <f>'2'!BI28</f>
        <v>0.37585627103127062</v>
      </c>
      <c r="AT28" s="9">
        <f>'3'!S28</f>
        <v>0.62369589438233819</v>
      </c>
      <c r="AU28" s="9">
        <f>'8'!AE25</f>
        <v>0.58140773740134155</v>
      </c>
      <c r="AV28" s="9">
        <f t="shared" si="10"/>
        <v>0.38566965478365639</v>
      </c>
      <c r="AW28" s="9">
        <f t="shared" si="11"/>
        <v>0.45504410301815407</v>
      </c>
      <c r="AX28" s="9">
        <f>'1'!BQ28</f>
        <v>0.45243011087831597</v>
      </c>
      <c r="AY28" s="9">
        <f>'1'!BS28</f>
        <v>0.53891006027585775</v>
      </c>
      <c r="AZ28" s="9">
        <f>'2'!BQ28</f>
        <v>0.24671554015213698</v>
      </c>
      <c r="BA28" s="9">
        <f>'2'!BS28</f>
        <v>0.37067442793268368</v>
      </c>
      <c r="BB28" s="9">
        <f>'3'!V28</f>
        <v>0.76761546213142751</v>
      </c>
      <c r="BC28" s="9">
        <f>'8'!AJ25</f>
        <v>0.6585343809986316</v>
      </c>
      <c r="BD28" s="9">
        <f t="shared" si="12"/>
        <v>0.48398761594304074</v>
      </c>
      <c r="BE28" s="9">
        <f t="shared" si="13"/>
        <v>0.55691946929937464</v>
      </c>
      <c r="BF28" s="9">
        <f>'1'!CA28</f>
        <v>0.40798327837411341</v>
      </c>
      <c r="BG28" s="9">
        <f>'1'!CC28</f>
        <v>0.49390214198116716</v>
      </c>
      <c r="BH28" s="9">
        <f>'2'!CA28</f>
        <v>0.2734696952953013</v>
      </c>
      <c r="BI28" s="9">
        <f>'2'!CC28</f>
        <v>0.40635850005232971</v>
      </c>
      <c r="BJ28" s="9">
        <f>'3'!Y28</f>
        <v>0.57291631278966348</v>
      </c>
      <c r="BK28" s="9">
        <f>'8'!AO25</f>
        <v>0.62649739935408422</v>
      </c>
      <c r="BL28" s="9">
        <f t="shared" si="14"/>
        <v>0.43287663560578427</v>
      </c>
      <c r="BM28" s="9">
        <f t="shared" si="15"/>
        <v>0.50630872060642473</v>
      </c>
      <c r="BN28" s="9">
        <f>'1'!CK28</f>
        <v>0.32987400633150493</v>
      </c>
      <c r="BO28" s="9">
        <f>'1'!CM28</f>
        <v>0.40950248896455321</v>
      </c>
      <c r="BP28" s="9">
        <f>'2'!CK28</f>
        <v>0.38478753751752898</v>
      </c>
      <c r="BQ28" s="9">
        <f>'2'!CM28</f>
        <v>0.53445303503591934</v>
      </c>
      <c r="BR28" s="9">
        <f>'3'!AB28</f>
        <v>0.29210351024750231</v>
      </c>
      <c r="BS28" s="9">
        <f>'8'!AT25</f>
        <v>0.62364041484483168</v>
      </c>
      <c r="BT28" s="9">
        <f t="shared" si="16"/>
        <v>0.36096495069303974</v>
      </c>
      <c r="BU28" s="9">
        <f t="shared" si="17"/>
        <v>0.43167143828801258</v>
      </c>
      <c r="BV28" s="9">
        <f>'1'!CU28</f>
        <v>0.50040585534866278</v>
      </c>
      <c r="BW28" s="9">
        <f>'1'!CW28</f>
        <v>0.58530706934351107</v>
      </c>
      <c r="BX28" s="9">
        <f>'2'!CU28</f>
        <v>0.43747838995719013</v>
      </c>
      <c r="BY28" s="9">
        <f>'2'!CW28</f>
        <v>0.58621670582649699</v>
      </c>
      <c r="BZ28" s="9">
        <f>'3'!AE28</f>
        <v>0.65083129947882878</v>
      </c>
      <c r="CA28" s="9">
        <f>'8'!AY25</f>
        <v>0.62775261785905634</v>
      </c>
      <c r="CB28" s="9">
        <f t="shared" si="18"/>
        <v>0.5218903294735715</v>
      </c>
      <c r="CC28" s="9">
        <f t="shared" si="19"/>
        <v>0.59619501085689597</v>
      </c>
      <c r="CD28" s="9">
        <f>'1'!DE28</f>
        <v>0.46478946085388284</v>
      </c>
      <c r="CE28" s="9">
        <f>'1'!DG28</f>
        <v>0.55107144990116919</v>
      </c>
      <c r="CF28" s="9">
        <f>'2'!DE28</f>
        <v>0.34741394543150828</v>
      </c>
      <c r="CG28" s="9">
        <f>'2'!DG28</f>
        <v>0.49461538433347574</v>
      </c>
      <c r="CH28" s="9">
        <f>'3'!AH28</f>
        <v>0.55505879712382611</v>
      </c>
      <c r="CI28" s="9">
        <f>'8'!BD25</f>
        <v>0.61511979384135873</v>
      </c>
      <c r="CJ28" s="9">
        <f t="shared" si="20"/>
        <v>0.47711187623738732</v>
      </c>
      <c r="CK28" s="9">
        <f t="shared" si="21"/>
        <v>0.55222941246068447</v>
      </c>
    </row>
    <row r="29" spans="1:89">
      <c r="A29" s="1">
        <v>1991</v>
      </c>
      <c r="B29" s="9">
        <f>'1'!I29</f>
        <v>0.42347896147781944</v>
      </c>
      <c r="C29" s="9">
        <f>'1'!K29</f>
        <v>0.50982598751269381</v>
      </c>
      <c r="D29" s="9">
        <f>'2'!I29</f>
        <v>0.26829177037425173</v>
      </c>
      <c r="E29" s="9">
        <f>'2'!K29</f>
        <v>0.39962675296627276</v>
      </c>
      <c r="F29" s="9">
        <f>'3'!D29</f>
        <v>0.63719491025725805</v>
      </c>
      <c r="G29" s="9">
        <f>'8'!F26</f>
        <v>0.59521184035586427</v>
      </c>
      <c r="H29" s="9">
        <f t="shared" si="0"/>
        <v>0.446505125133211</v>
      </c>
      <c r="I29" s="9">
        <f t="shared" si="1"/>
        <v>0.52008154161682518</v>
      </c>
      <c r="J29" s="9">
        <f>'1'!S29</f>
        <v>0.25729492876995846</v>
      </c>
      <c r="K29" s="9">
        <f>'1'!U29</f>
        <v>0.32408194160194553</v>
      </c>
      <c r="L29" s="9">
        <f>'2'!S29</f>
        <v>0.2210490981914463</v>
      </c>
      <c r="M29" s="9">
        <f>'2'!U29</f>
        <v>0.33417180947013297</v>
      </c>
      <c r="N29" s="9">
        <f>'3'!G29</f>
        <v>0.43431714951484063</v>
      </c>
      <c r="O29" s="9">
        <f>'8'!K26</f>
        <v>0.52949460664476289</v>
      </c>
      <c r="P29" s="9">
        <f t="shared" si="2"/>
        <v>0.29859253557407595</v>
      </c>
      <c r="Q29" s="9">
        <f t="shared" si="3"/>
        <v>0.35665571568433552</v>
      </c>
      <c r="R29" s="9">
        <f>'1'!AC29</f>
        <v>0.38675869167230209</v>
      </c>
      <c r="S29" s="9">
        <f>'1'!AE29</f>
        <v>0.47166843915060136</v>
      </c>
      <c r="T29" s="9">
        <f>'2'!AC29</f>
        <v>0.14111961569670195</v>
      </c>
      <c r="U29" s="9">
        <f>'2'!AE29</f>
        <v>0.20242960176491451</v>
      </c>
      <c r="V29" s="9">
        <f>'3'!J29</f>
        <v>0.67495944490489657</v>
      </c>
      <c r="W29" s="9">
        <f>'8'!P26</f>
        <v>0.52463646016435306</v>
      </c>
      <c r="X29" s="9">
        <f t="shared" si="4"/>
        <v>0.40480263624720664</v>
      </c>
      <c r="Y29" s="9">
        <f t="shared" si="5"/>
        <v>0.47037045808883743</v>
      </c>
      <c r="Z29" s="9">
        <f>'1'!AM29</f>
        <v>0.41201149475507004</v>
      </c>
      <c r="AA29" s="9">
        <f>'1'!AO29</f>
        <v>0.4980662746921381</v>
      </c>
      <c r="AB29" s="9">
        <f>'2'!AM29</f>
        <v>0.20133914249113</v>
      </c>
      <c r="AC29" s="9">
        <f>'2'!AO29</f>
        <v>0.30443802289380789</v>
      </c>
      <c r="AD29" s="9">
        <f>'3'!M29</f>
        <v>0.64761376904737034</v>
      </c>
      <c r="AE29" s="9">
        <f>'8'!U26</f>
        <v>0.59558428011923403</v>
      </c>
      <c r="AF29" s="9">
        <f t="shared" si="6"/>
        <v>0.43286176549432243</v>
      </c>
      <c r="AG29" s="9">
        <f t="shared" si="7"/>
        <v>0.50340999949053788</v>
      </c>
      <c r="AH29" s="9">
        <f>'1'!AW29</f>
        <v>0.30055364812503199</v>
      </c>
      <c r="AI29" s="9">
        <f>'1'!AY29</f>
        <v>0.37587351633102828</v>
      </c>
      <c r="AJ29" s="9">
        <f>'2'!AW29</f>
        <v>0.21579494180731787</v>
      </c>
      <c r="AK29" s="9">
        <f>'2'!AY29</f>
        <v>0.32639800259878127</v>
      </c>
      <c r="AL29" s="9">
        <f>'3'!P29</f>
        <v>0.58682349177296744</v>
      </c>
      <c r="AM29" s="9">
        <f>'8'!Z26</f>
        <v>0.53437452132880192</v>
      </c>
      <c r="AN29" s="9">
        <f t="shared" si="8"/>
        <v>0.34408684917843113</v>
      </c>
      <c r="AO29" s="9">
        <f t="shared" si="9"/>
        <v>0.40787106300177484</v>
      </c>
      <c r="AP29" s="9">
        <f>'1'!BG29</f>
        <v>0.33843250671196068</v>
      </c>
      <c r="AQ29" s="9">
        <f>'1'!BI29</f>
        <v>0.41910780653689617</v>
      </c>
      <c r="AR29" s="9">
        <f>'2'!BG29</f>
        <v>0.24956865636656225</v>
      </c>
      <c r="AS29" s="9">
        <f>'2'!BI29</f>
        <v>0.37458953674711948</v>
      </c>
      <c r="AT29" s="9">
        <f>'3'!S29</f>
        <v>0.59071152030593421</v>
      </c>
      <c r="AU29" s="9">
        <f>'8'!AE26</f>
        <v>0.58289172967857894</v>
      </c>
      <c r="AV29" s="9">
        <f t="shared" si="10"/>
        <v>0.37921994533348002</v>
      </c>
      <c r="AW29" s="9">
        <f t="shared" si="11"/>
        <v>0.44819474324899061</v>
      </c>
      <c r="AX29" s="9">
        <f>'1'!BQ29</f>
        <v>0.46399565381733415</v>
      </c>
      <c r="AY29" s="9">
        <f>'1'!BS29</f>
        <v>0.55029481490306265</v>
      </c>
      <c r="AZ29" s="9">
        <f>'2'!BQ29</f>
        <v>0.24716512928624149</v>
      </c>
      <c r="BA29" s="9">
        <f>'2'!BS29</f>
        <v>0.37129317634061199</v>
      </c>
      <c r="BB29" s="9">
        <f>'3'!V29</f>
        <v>0.73458745778748735</v>
      </c>
      <c r="BC29" s="9">
        <f>'8'!AJ26</f>
        <v>0.60297492938772468</v>
      </c>
      <c r="BD29" s="9">
        <f t="shared" si="12"/>
        <v>0.48326970931827923</v>
      </c>
      <c r="BE29" s="9">
        <f t="shared" si="13"/>
        <v>0.55609192678372621</v>
      </c>
      <c r="BF29" s="9">
        <f>'1'!CA29</f>
        <v>0.40417736884116567</v>
      </c>
      <c r="BG29" s="9">
        <f>'1'!CC29</f>
        <v>0.48995171729640158</v>
      </c>
      <c r="BH29" s="9">
        <f>'2'!CA29</f>
        <v>0.27125868851480334</v>
      </c>
      <c r="BI29" s="9">
        <f>'2'!CC29</f>
        <v>0.4034938553668016</v>
      </c>
      <c r="BJ29" s="9">
        <f>'3'!Y29</f>
        <v>0.58764372083075722</v>
      </c>
      <c r="BK29" s="9">
        <f>'8'!AO26</f>
        <v>0.632029212950592</v>
      </c>
      <c r="BL29" s="9">
        <f t="shared" si="14"/>
        <v>0.43201732041843122</v>
      </c>
      <c r="BM29" s="9">
        <f t="shared" si="15"/>
        <v>0.50528288102229613</v>
      </c>
      <c r="BN29" s="9">
        <f>'1'!CK29</f>
        <v>0.32360921333398046</v>
      </c>
      <c r="BO29" s="9">
        <f>'1'!CM29</f>
        <v>0.4024120915925874</v>
      </c>
      <c r="BP29" s="9">
        <f>'2'!CK29</f>
        <v>0.36045562696262606</v>
      </c>
      <c r="BQ29" s="9">
        <f>'2'!CM29</f>
        <v>0.50883977231619104</v>
      </c>
      <c r="BR29" s="9">
        <f>'3'!AB29</f>
        <v>0.36252118094290631</v>
      </c>
      <c r="BS29" s="9">
        <f>'8'!AT26</f>
        <v>0.60556234615905191</v>
      </c>
      <c r="BT29" s="9">
        <f t="shared" si="16"/>
        <v>0.35938036474024471</v>
      </c>
      <c r="BU29" s="9">
        <f t="shared" si="17"/>
        <v>0.4293807940566261</v>
      </c>
      <c r="BV29" s="9">
        <f>'1'!CU29</f>
        <v>0.48322988937001005</v>
      </c>
      <c r="BW29" s="9">
        <f>'1'!CW29</f>
        <v>0.56894419073197522</v>
      </c>
      <c r="BX29" s="9">
        <f>'2'!CU29</f>
        <v>0.3768181812967567</v>
      </c>
      <c r="BY29" s="9">
        <f>'2'!CW29</f>
        <v>0.5261918147673359</v>
      </c>
      <c r="BZ29" s="9">
        <f>'3'!AE29</f>
        <v>0.63713172001569063</v>
      </c>
      <c r="CA29" s="9">
        <f>'8'!AY26</f>
        <v>0.60591115098469772</v>
      </c>
      <c r="CB29" s="9">
        <f t="shared" si="18"/>
        <v>0.50024702778872154</v>
      </c>
      <c r="CC29" s="9">
        <f t="shared" si="19"/>
        <v>0.57518440208915511</v>
      </c>
      <c r="CD29" s="9">
        <f>'1'!DE29</f>
        <v>0.48688943795566952</v>
      </c>
      <c r="CE29" s="9">
        <f>'1'!DG29</f>
        <v>0.57245316428606252</v>
      </c>
      <c r="CF29" s="9">
        <f>'2'!DE29</f>
        <v>0.33295891415461165</v>
      </c>
      <c r="CG29" s="9">
        <f>'2'!DG29</f>
        <v>0.47841725730705104</v>
      </c>
      <c r="CH29" s="9">
        <f>'3'!AH29</f>
        <v>0.67062420404927625</v>
      </c>
      <c r="CI29" s="9">
        <f>'8'!BD26</f>
        <v>0.60730254761094293</v>
      </c>
      <c r="CJ29" s="9">
        <f t="shared" si="20"/>
        <v>0.50191117315045175</v>
      </c>
      <c r="CK29" s="9">
        <f t="shared" si="21"/>
        <v>0.57635161589697081</v>
      </c>
    </row>
    <row r="30" spans="1:89">
      <c r="A30" s="1">
        <v>1992</v>
      </c>
      <c r="B30" s="9">
        <f>'1'!I30</f>
        <v>0.44639853153233605</v>
      </c>
      <c r="C30" s="9">
        <f>'1'!K30</f>
        <v>0.53292059939094782</v>
      </c>
      <c r="D30" s="9">
        <f>'2'!I30</f>
        <v>0.26547490353597075</v>
      </c>
      <c r="E30" s="9">
        <f>'2'!K30</f>
        <v>0.39593045057602927</v>
      </c>
      <c r="F30" s="9">
        <f>'3'!D30</f>
        <v>0.62715689884919212</v>
      </c>
      <c r="G30" s="9">
        <f>'8'!F27</f>
        <v>0.57962823395007501</v>
      </c>
      <c r="H30" s="9">
        <f t="shared" si="0"/>
        <v>0.45970497570615898</v>
      </c>
      <c r="I30" s="9">
        <f t="shared" si="1"/>
        <v>0.53331597791119312</v>
      </c>
      <c r="J30" s="9">
        <f>'1'!S30</f>
        <v>0.26830211607008103</v>
      </c>
      <c r="K30" s="9">
        <f>'1'!U30</f>
        <v>0.33751857773647254</v>
      </c>
      <c r="L30" s="9">
        <f>'2'!S30</f>
        <v>0.22355036374478418</v>
      </c>
      <c r="M30" s="9">
        <f>'2'!U30</f>
        <v>0.33783514089959171</v>
      </c>
      <c r="N30" s="9">
        <f>'3'!G30</f>
        <v>0.34585350336552034</v>
      </c>
      <c r="O30" s="9">
        <f>'8'!K27</f>
        <v>0.49362253565600994</v>
      </c>
      <c r="P30" s="9">
        <f t="shared" si="2"/>
        <v>0.29411412152568817</v>
      </c>
      <c r="Q30" s="9">
        <f t="shared" si="3"/>
        <v>0.35399412240764294</v>
      </c>
      <c r="R30" s="9">
        <f>'1'!AC30</f>
        <v>0.43687803884460563</v>
      </c>
      <c r="S30" s="9">
        <f>'1'!AE30</f>
        <v>0.52339249219491157</v>
      </c>
      <c r="T30" s="9">
        <f>'2'!AC30</f>
        <v>0.14794380348655806</v>
      </c>
      <c r="U30" s="9">
        <f>'2'!AE30</f>
        <v>0.21496364528294823</v>
      </c>
      <c r="V30" s="9">
        <f>'3'!J30</f>
        <v>0.74553104897601818</v>
      </c>
      <c r="W30" s="9">
        <f>'8'!P27</f>
        <v>0.49858929792596746</v>
      </c>
      <c r="X30" s="9">
        <f t="shared" si="4"/>
        <v>0.44502104223007832</v>
      </c>
      <c r="Y30" s="9">
        <f t="shared" si="5"/>
        <v>0.51228314375493145</v>
      </c>
      <c r="Z30" s="9">
        <f>'1'!AM30</f>
        <v>0.44574648722445809</v>
      </c>
      <c r="AA30" s="9">
        <f>'1'!AO30</f>
        <v>0.53227094033616607</v>
      </c>
      <c r="AB30" s="9">
        <f>'2'!AM30</f>
        <v>0.194832323392721</v>
      </c>
      <c r="AC30" s="9">
        <f>'2'!AO30</f>
        <v>0.29426641794668418</v>
      </c>
      <c r="AD30" s="9">
        <f>'3'!M30</f>
        <v>0.63830888011204023</v>
      </c>
      <c r="AE30" s="9">
        <f>'8'!U27</f>
        <v>0.56965718810900967</v>
      </c>
      <c r="AF30" s="9">
        <f t="shared" si="6"/>
        <v>0.45230238021849772</v>
      </c>
      <c r="AG30" s="9">
        <f t="shared" si="7"/>
        <v>0.52281290685208959</v>
      </c>
      <c r="AH30" s="9">
        <f>'1'!AW30</f>
        <v>0.31204363893246867</v>
      </c>
      <c r="AI30" s="9">
        <f>'1'!AY30</f>
        <v>0.38918791197566505</v>
      </c>
      <c r="AJ30" s="9">
        <f>'2'!AW30</f>
        <v>0.20855263742318508</v>
      </c>
      <c r="AK30" s="9">
        <f>'2'!AY30</f>
        <v>0.31550333529239349</v>
      </c>
      <c r="AL30" s="9">
        <f>'3'!P30</f>
        <v>0.59230475321299347</v>
      </c>
      <c r="AM30" s="9">
        <f>'8'!Z27</f>
        <v>0.4910447342571862</v>
      </c>
      <c r="AN30" s="9">
        <f t="shared" si="8"/>
        <v>0.34762075974206458</v>
      </c>
      <c r="AO30" s="9">
        <f t="shared" si="9"/>
        <v>0.41231682065922287</v>
      </c>
      <c r="AP30" s="9">
        <f>'1'!BG30</f>
        <v>0.36085866877954903</v>
      </c>
      <c r="AQ30" s="9">
        <f>'1'!BI30</f>
        <v>0.44384517646333493</v>
      </c>
      <c r="AR30" s="9">
        <f>'2'!BG30</f>
        <v>0.25004559047027025</v>
      </c>
      <c r="AS30" s="9">
        <f>'2'!BI30</f>
        <v>0.37524134500601219</v>
      </c>
      <c r="AT30" s="9">
        <f>'3'!S30</f>
        <v>0.6354163298489901</v>
      </c>
      <c r="AU30" s="9">
        <f>'8'!AE27</f>
        <v>0.55761749356146095</v>
      </c>
      <c r="AV30" s="9">
        <f t="shared" si="10"/>
        <v>0.39690900953375641</v>
      </c>
      <c r="AW30" s="9">
        <f t="shared" si="11"/>
        <v>0.46751914036598075</v>
      </c>
      <c r="AX30" s="9">
        <f>'1'!BQ30</f>
        <v>0.49398113478618055</v>
      </c>
      <c r="AY30" s="9">
        <f>'1'!BS30</f>
        <v>0.57921799101619342</v>
      </c>
      <c r="AZ30" s="9">
        <f>'2'!BQ30</f>
        <v>0.24566092614168619</v>
      </c>
      <c r="BA30" s="9">
        <f>'2'!BS30</f>
        <v>0.36922033468123983</v>
      </c>
      <c r="BB30" s="9">
        <f>'3'!V30</f>
        <v>0.72365974009415523</v>
      </c>
      <c r="BC30" s="9">
        <f>'8'!AJ27</f>
        <v>0.60046455070826243</v>
      </c>
      <c r="BD30" s="9">
        <f t="shared" si="12"/>
        <v>0.50276531604473684</v>
      </c>
      <c r="BE30" s="9">
        <f t="shared" si="13"/>
        <v>0.57478705625970117</v>
      </c>
      <c r="BF30" s="9">
        <f>'1'!CA30</f>
        <v>0.41966602307329459</v>
      </c>
      <c r="BG30" s="9">
        <f>'1'!CC30</f>
        <v>0.50593130295506805</v>
      </c>
      <c r="BH30" s="9">
        <f>'2'!CA30</f>
        <v>0.26959247663949737</v>
      </c>
      <c r="BI30" s="9">
        <f>'2'!CC30</f>
        <v>0.401325377917851</v>
      </c>
      <c r="BJ30" s="9">
        <f>'3'!Y30</f>
        <v>0.53989358851529268</v>
      </c>
      <c r="BK30" s="9">
        <f>'8'!AO27</f>
        <v>0.59987441853187051</v>
      </c>
      <c r="BL30" s="9">
        <f t="shared" si="14"/>
        <v>0.43470226451997229</v>
      </c>
      <c r="BM30" s="9">
        <f t="shared" si="15"/>
        <v>0.50826125056504901</v>
      </c>
      <c r="BN30" s="9">
        <f>'1'!CK30</f>
        <v>0.33253479081719994</v>
      </c>
      <c r="BO30" s="9">
        <f>'1'!CM30</f>
        <v>0.4124986818938004</v>
      </c>
      <c r="BP30" s="9">
        <f>'2'!CK30</f>
        <v>0.36150648813285241</v>
      </c>
      <c r="BQ30" s="9">
        <f>'2'!CM30</f>
        <v>0.50997041850630109</v>
      </c>
      <c r="BR30" s="9">
        <f>'3'!AB30</f>
        <v>0.3630023954156939</v>
      </c>
      <c r="BS30" s="9">
        <f>'8'!AT27</f>
        <v>0.59526614259891708</v>
      </c>
      <c r="BT30" s="9">
        <f t="shared" si="16"/>
        <v>0.36475185618678629</v>
      </c>
      <c r="BU30" s="9">
        <f t="shared" si="17"/>
        <v>0.43557297297775149</v>
      </c>
      <c r="BV30" s="9">
        <f>'1'!CU30</f>
        <v>0.49304559250598951</v>
      </c>
      <c r="BW30" s="9">
        <f>'1'!CW30</f>
        <v>0.57832820268152496</v>
      </c>
      <c r="BX30" s="9">
        <f>'2'!CU30</f>
        <v>0.37524340184243815</v>
      </c>
      <c r="BY30" s="9">
        <f>'2'!CW30</f>
        <v>0.52454490053017433</v>
      </c>
      <c r="BZ30" s="9">
        <f>'3'!AE30</f>
        <v>0.50524267219712382</v>
      </c>
      <c r="CA30" s="9">
        <f>'8'!AY27</f>
        <v>0.59325404162897366</v>
      </c>
      <c r="CB30" s="9">
        <f t="shared" si="18"/>
        <v>0.49250592632104623</v>
      </c>
      <c r="CC30" s="9">
        <f t="shared" si="19"/>
        <v>0.56713390331269464</v>
      </c>
      <c r="CD30" s="9">
        <f>'1'!DE30</f>
        <v>0.51299539769274249</v>
      </c>
      <c r="CE30" s="9">
        <f>'1'!DG30</f>
        <v>0.59713176930746903</v>
      </c>
      <c r="CF30" s="9">
        <f>'2'!DE30</f>
        <v>0.31680111586390736</v>
      </c>
      <c r="CG30" s="9">
        <f>'2'!DG30</f>
        <v>0.45974092695928764</v>
      </c>
      <c r="CH30" s="9">
        <f>'3'!AH30</f>
        <v>0.61668801046372801</v>
      </c>
      <c r="CI30" s="9">
        <f>'8'!BD27</f>
        <v>0.5902072315786091</v>
      </c>
      <c r="CJ30" s="9">
        <f t="shared" si="20"/>
        <v>0.51146641417554417</v>
      </c>
      <c r="CK30" s="9">
        <f t="shared" si="21"/>
        <v>0.58465585541539078</v>
      </c>
    </row>
    <row r="31" spans="1:89">
      <c r="A31" s="1">
        <v>1993</v>
      </c>
      <c r="B31" s="9">
        <f>'1'!I31</f>
        <v>0.45409767595013772</v>
      </c>
      <c r="C31" s="9">
        <f>'1'!K31</f>
        <v>0.54055962930496426</v>
      </c>
      <c r="D31" s="9">
        <f>'2'!I31</f>
        <v>0.26425017342839102</v>
      </c>
      <c r="E31" s="9">
        <f>'2'!K31</f>
        <v>0.39431574509612249</v>
      </c>
      <c r="F31" s="9">
        <f>'3'!D31</f>
        <v>0.63523635395519973</v>
      </c>
      <c r="G31" s="9">
        <f>'8'!F28</f>
        <v>0.56590126225754278</v>
      </c>
      <c r="H31" s="9">
        <f t="shared" si="0"/>
        <v>0.46440715212920969</v>
      </c>
      <c r="I31" s="9">
        <f t="shared" si="1"/>
        <v>0.53793707664436152</v>
      </c>
      <c r="J31" s="9">
        <f>'1'!S31</f>
        <v>0.26815036630862493</v>
      </c>
      <c r="K31" s="9">
        <f>'1'!U31</f>
        <v>0.33733456451675609</v>
      </c>
      <c r="L31" s="9">
        <f>'2'!S31</f>
        <v>0.22244543142849407</v>
      </c>
      <c r="M31" s="9">
        <f>'2'!U31</f>
        <v>0.33621980901703125</v>
      </c>
      <c r="N31" s="9">
        <f>'3'!G31</f>
        <v>0.45028668456028575</v>
      </c>
      <c r="O31" s="9">
        <f>'8'!K28</f>
        <v>0.49308792931566037</v>
      </c>
      <c r="P31" s="9">
        <f t="shared" si="2"/>
        <v>0.30428726094648145</v>
      </c>
      <c r="Q31" s="9">
        <f t="shared" si="3"/>
        <v>0.36409363745102702</v>
      </c>
      <c r="R31" s="9">
        <f>'1'!AC31</f>
        <v>0.30279743633291778</v>
      </c>
      <c r="S31" s="9">
        <f>'1'!AE31</f>
        <v>0.37848763574191696</v>
      </c>
      <c r="T31" s="9">
        <f>'2'!AC31</f>
        <v>0.15662747461210255</v>
      </c>
      <c r="U31" s="9">
        <f>'2'!AE31</f>
        <v>0.23051937688026572</v>
      </c>
      <c r="V31" s="9">
        <f>'3'!J31</f>
        <v>0.8339066440361137</v>
      </c>
      <c r="W31" s="9">
        <f>'8'!P28</f>
        <v>0.52230814874021436</v>
      </c>
      <c r="X31" s="9">
        <f t="shared" si="4"/>
        <v>0.36324243217188551</v>
      </c>
      <c r="Y31" s="9">
        <f t="shared" si="5"/>
        <v>0.42361476198500125</v>
      </c>
      <c r="Z31" s="9">
        <f>'1'!AM31</f>
        <v>0.46562080291503388</v>
      </c>
      <c r="AA31" s="9">
        <f>'1'!AO31</f>
        <v>0.55188415764578735</v>
      </c>
      <c r="AB31" s="9">
        <f>'2'!AM31</f>
        <v>0.19201023935816144</v>
      </c>
      <c r="AC31" s="9">
        <f>'2'!AO31</f>
        <v>0.28979701157361537</v>
      </c>
      <c r="AD31" s="9">
        <f>'3'!M31</f>
        <v>0.6299583065402049</v>
      </c>
      <c r="AE31" s="9">
        <f>'8'!U28</f>
        <v>0.53524784643989676</v>
      </c>
      <c r="AF31" s="9">
        <f t="shared" si="6"/>
        <v>0.46165620127434998</v>
      </c>
      <c r="AG31" s="9">
        <f t="shared" si="7"/>
        <v>0.53181922680742277</v>
      </c>
      <c r="AH31" s="9">
        <f>'1'!AW31</f>
        <v>0.32731999924413729</v>
      </c>
      <c r="AI31" s="9">
        <f>'1'!AY31</f>
        <v>0.40661800938417841</v>
      </c>
      <c r="AJ31" s="9">
        <f>'2'!AW31</f>
        <v>0.20001778841048812</v>
      </c>
      <c r="AK31" s="9">
        <f>'2'!AY31</f>
        <v>0.30238728878210164</v>
      </c>
      <c r="AL31" s="9">
        <f>'3'!P31</f>
        <v>0.57621448806619058</v>
      </c>
      <c r="AM31" s="9">
        <f>'8'!Z28</f>
        <v>0.50104280956289671</v>
      </c>
      <c r="AN31" s="9">
        <f t="shared" si="8"/>
        <v>0.35685150807485361</v>
      </c>
      <c r="AO31" s="9">
        <f t="shared" si="9"/>
        <v>0.42259706521004375</v>
      </c>
      <c r="AP31" s="9">
        <f>'1'!BG31</f>
        <v>0.36818067300640384</v>
      </c>
      <c r="AQ31" s="9">
        <f>'1'!BI31</f>
        <v>0.45179020601573178</v>
      </c>
      <c r="AR31" s="9">
        <f>'2'!BG31</f>
        <v>0.2491520854682657</v>
      </c>
      <c r="AS31" s="9">
        <f>'2'!BI31</f>
        <v>0.37401960578641658</v>
      </c>
      <c r="AT31" s="9">
        <f>'3'!S31</f>
        <v>0.58534402376911077</v>
      </c>
      <c r="AU31" s="9">
        <f>'8'!AE28</f>
        <v>0.53153495894987612</v>
      </c>
      <c r="AV31" s="9">
        <f t="shared" si="10"/>
        <v>0.39432957792320794</v>
      </c>
      <c r="AW31" s="9">
        <f t="shared" si="11"/>
        <v>0.46534300306155263</v>
      </c>
      <c r="AX31" s="9">
        <f>'1'!BQ31</f>
        <v>0.5005129155213297</v>
      </c>
      <c r="AY31" s="9">
        <f>'1'!BS31</f>
        <v>0.58540822099919088</v>
      </c>
      <c r="AZ31" s="9">
        <f>'2'!BQ31</f>
        <v>0.243171096495473</v>
      </c>
      <c r="BA31" s="9">
        <f>'2'!BS31</f>
        <v>0.36577238459546418</v>
      </c>
      <c r="BB31" s="9">
        <f>'3'!V31</f>
        <v>0.74324817823536315</v>
      </c>
      <c r="BC31" s="9">
        <f>'8'!AJ28</f>
        <v>0.5772941800331689</v>
      </c>
      <c r="BD31" s="9">
        <f t="shared" si="12"/>
        <v>0.50673038634133127</v>
      </c>
      <c r="BE31" s="9">
        <f t="shared" si="13"/>
        <v>0.57841722898583314</v>
      </c>
      <c r="BF31" s="9">
        <f>'1'!CA31</f>
        <v>0.42460178446498964</v>
      </c>
      <c r="BG31" s="9">
        <f>'1'!CC31</f>
        <v>0.51096997899795027</v>
      </c>
      <c r="BH31" s="9">
        <f>'2'!CA31</f>
        <v>0.26590867524211659</v>
      </c>
      <c r="BI31" s="9">
        <f>'2'!CC31</f>
        <v>0.39650123253664799</v>
      </c>
      <c r="BJ31" s="9">
        <f>'3'!Y31</f>
        <v>0.54619709284578843</v>
      </c>
      <c r="BK31" s="9">
        <f>'8'!AO28</f>
        <v>0.60608164859423674</v>
      </c>
      <c r="BL31" s="9">
        <f t="shared" si="14"/>
        <v>0.43903999079370692</v>
      </c>
      <c r="BM31" s="9">
        <f t="shared" si="15"/>
        <v>0.51255698269623251</v>
      </c>
      <c r="BN31" s="9">
        <f>'1'!CK31</f>
        <v>0.34608927812798596</v>
      </c>
      <c r="BO31" s="9">
        <f>'1'!CM31</f>
        <v>0.42762310050225699</v>
      </c>
      <c r="BP31" s="9">
        <f>'2'!CK31</f>
        <v>0.35023220259348753</v>
      </c>
      <c r="BQ31" s="9">
        <f>'2'!CM31</f>
        <v>0.49771984508541045</v>
      </c>
      <c r="BR31" s="9">
        <f>'3'!AB31</f>
        <v>0.4641391072665747</v>
      </c>
      <c r="BS31" s="9">
        <f>'8'!AT28</f>
        <v>0.57729079215344181</v>
      </c>
      <c r="BT31" s="9">
        <f t="shared" si="16"/>
        <v>0.38142870489094055</v>
      </c>
      <c r="BU31" s="9">
        <f t="shared" si="17"/>
        <v>0.45325114480212259</v>
      </c>
      <c r="BV31" s="9">
        <f>'1'!CU31</f>
        <v>0.50344067261904746</v>
      </c>
      <c r="BW31" s="9">
        <f>'1'!CW31</f>
        <v>0.58817041478917642</v>
      </c>
      <c r="BX31" s="9">
        <f>'2'!CU31</f>
        <v>0.38468220772343198</v>
      </c>
      <c r="BY31" s="9">
        <f>'2'!CW31</f>
        <v>0.53434463548665134</v>
      </c>
      <c r="BZ31" s="9">
        <f>'3'!AE31</f>
        <v>0.59819387818298819</v>
      </c>
      <c r="CA31" s="9">
        <f>'8'!AY28</f>
        <v>0.60999278863482242</v>
      </c>
      <c r="CB31" s="9">
        <f t="shared" si="18"/>
        <v>0.51169535828745749</v>
      </c>
      <c r="CC31" s="9">
        <f t="shared" si="19"/>
        <v>0.58597242058286969</v>
      </c>
      <c r="CD31" s="9">
        <f>'1'!DE31</f>
        <v>0.51830455403552589</v>
      </c>
      <c r="CE31" s="9">
        <f>'1'!DG31</f>
        <v>0.60207650040421556</v>
      </c>
      <c r="CF31" s="9">
        <f>'2'!DE31</f>
        <v>0.31277812030136992</v>
      </c>
      <c r="CG31" s="9">
        <f>'2'!DG31</f>
        <v>0.45499278005316973</v>
      </c>
      <c r="CH31" s="9">
        <f>'3'!AH31</f>
        <v>0.62813183103279413</v>
      </c>
      <c r="CI31" s="9">
        <f>'8'!BD28</f>
        <v>0.59283549408205594</v>
      </c>
      <c r="CJ31" s="9">
        <f t="shared" si="20"/>
        <v>0.51618773236649007</v>
      </c>
      <c r="CK31" s="9">
        <f t="shared" si="21"/>
        <v>0.5890495607997529</v>
      </c>
    </row>
    <row r="32" spans="1:89">
      <c r="A32" s="1">
        <v>1994</v>
      </c>
      <c r="B32" s="9">
        <f>'1'!I32</f>
        <v>0.4707879554041452</v>
      </c>
      <c r="C32" s="9">
        <f>'1'!K32</f>
        <v>0.55692063711279405</v>
      </c>
      <c r="D32" s="9">
        <f>'2'!I32</f>
        <v>0.27042889032161399</v>
      </c>
      <c r="E32" s="9">
        <f>'2'!K32</f>
        <v>0.40241496684723144</v>
      </c>
      <c r="F32" s="9">
        <f>'3'!D32</f>
        <v>0.63273304343063508</v>
      </c>
      <c r="G32" s="9">
        <f>'8'!F29</f>
        <v>0.57065555282292912</v>
      </c>
      <c r="H32" s="9">
        <f t="shared" si="0"/>
        <v>0.47693331744041939</v>
      </c>
      <c r="I32" s="9">
        <f t="shared" si="1"/>
        <v>0.55042480228903534</v>
      </c>
      <c r="J32" s="9">
        <f>'1'!S32</f>
        <v>0.27757566852670645</v>
      </c>
      <c r="K32" s="9">
        <f>'1'!U32</f>
        <v>0.34869958431502579</v>
      </c>
      <c r="L32" s="9">
        <f>'2'!S32</f>
        <v>0.23795497044475625</v>
      </c>
      <c r="M32" s="9">
        <f>'2'!U32</f>
        <v>0.35847973950800688</v>
      </c>
      <c r="N32" s="9">
        <f>'3'!G32</f>
        <v>0.44964490021771963</v>
      </c>
      <c r="O32" s="9">
        <f>'8'!K29</f>
        <v>0.4896761657912887</v>
      </c>
      <c r="P32" s="9">
        <f t="shared" si="2"/>
        <v>0.312030571614071</v>
      </c>
      <c r="Q32" s="9">
        <f t="shared" si="3"/>
        <v>0.3738697895722195</v>
      </c>
      <c r="R32" s="9">
        <f>'1'!AC32</f>
        <v>0.31711266141564254</v>
      </c>
      <c r="S32" s="9">
        <f>'1'!AE32</f>
        <v>0.3950055555866237</v>
      </c>
      <c r="T32" s="9">
        <f>'2'!AC32</f>
        <v>0.159852292631428</v>
      </c>
      <c r="U32" s="9">
        <f>'2'!AE32</f>
        <v>0.2361883876511662</v>
      </c>
      <c r="V32" s="9">
        <f>'3'!J32</f>
        <v>0.87321690760793291</v>
      </c>
      <c r="W32" s="9">
        <f>'8'!P29</f>
        <v>0.49830843866634822</v>
      </c>
      <c r="X32" s="9">
        <f t="shared" si="4"/>
        <v>0.3751166268815207</v>
      </c>
      <c r="Y32" s="9">
        <f t="shared" si="5"/>
        <v>0.43727526230318137</v>
      </c>
      <c r="Z32" s="9">
        <f>'1'!AM32</f>
        <v>0.4650720912873213</v>
      </c>
      <c r="AA32" s="9">
        <f>'1'!AO32</f>
        <v>0.55134781983976899</v>
      </c>
      <c r="AB32" s="9">
        <f>'2'!AM32</f>
        <v>0.193130370726005</v>
      </c>
      <c r="AC32" s="9">
        <f>'2'!AO32</f>
        <v>0.29157524658436618</v>
      </c>
      <c r="AD32" s="9">
        <f>'3'!M32</f>
        <v>0.54544220100820917</v>
      </c>
      <c r="AE32" s="9">
        <f>'8'!U29</f>
        <v>0.53913920021720529</v>
      </c>
      <c r="AF32" s="9">
        <f t="shared" si="6"/>
        <v>0.45332164109626688</v>
      </c>
      <c r="AG32" s="9">
        <f t="shared" si="7"/>
        <v>0.52355913866881643</v>
      </c>
      <c r="AH32" s="9">
        <f>'1'!AW32</f>
        <v>0.33489440688660105</v>
      </c>
      <c r="AI32" s="9">
        <f>'1'!AY32</f>
        <v>0.41514820386383555</v>
      </c>
      <c r="AJ32" s="9">
        <f>'2'!AW32</f>
        <v>0.20508401775922594</v>
      </c>
      <c r="AK32" s="9">
        <f>'2'!AY32</f>
        <v>0.31020973685296338</v>
      </c>
      <c r="AL32" s="9">
        <f>'3'!P32</f>
        <v>0.50823481147919769</v>
      </c>
      <c r="AM32" s="9">
        <f>'8'!Z29</f>
        <v>0.49459121718787813</v>
      </c>
      <c r="AN32" s="9">
        <f t="shared" si="8"/>
        <v>0.35521708946325092</v>
      </c>
      <c r="AO32" s="9">
        <f t="shared" si="9"/>
        <v>0.42190731925668878</v>
      </c>
      <c r="AP32" s="9">
        <f>'1'!BG32</f>
        <v>0.38804205042598833</v>
      </c>
      <c r="AQ32" s="9">
        <f>'1'!BI32</f>
        <v>0.47302704079429336</v>
      </c>
      <c r="AR32" s="9">
        <f>'2'!BG32</f>
        <v>0.25435065921878725</v>
      </c>
      <c r="AS32" s="9">
        <f>'2'!BI32</f>
        <v>0.38109098008790504</v>
      </c>
      <c r="AT32" s="9">
        <f>'3'!S32</f>
        <v>0.58162708363694771</v>
      </c>
      <c r="AU32" s="9">
        <f>'8'!AE29</f>
        <v>0.54493310600669875</v>
      </c>
      <c r="AV32" s="9">
        <f t="shared" si="10"/>
        <v>0.40972052018443517</v>
      </c>
      <c r="AW32" s="9">
        <f t="shared" si="11"/>
        <v>0.48188404552916042</v>
      </c>
      <c r="AX32" s="9">
        <f>'1'!BQ32</f>
        <v>0.52297506604949962</v>
      </c>
      <c r="AY32" s="9">
        <f>'1'!BS32</f>
        <v>0.60640616987633811</v>
      </c>
      <c r="AZ32" s="9">
        <f>'2'!BQ32</f>
        <v>0.24746453953453088</v>
      </c>
      <c r="BA32" s="9">
        <f>'2'!BS32</f>
        <v>0.37170486320153934</v>
      </c>
      <c r="BB32" s="9">
        <f>'3'!V32</f>
        <v>0.72691778850627997</v>
      </c>
      <c r="BC32" s="9">
        <f>'8'!AJ29</f>
        <v>0.58469736231893121</v>
      </c>
      <c r="BD32" s="9">
        <f t="shared" si="12"/>
        <v>0.5219905152706239</v>
      </c>
      <c r="BE32" s="9">
        <f t="shared" si="13"/>
        <v>0.59281632031611164</v>
      </c>
      <c r="BF32" s="9">
        <f>'1'!CA32</f>
        <v>0.43994270390035312</v>
      </c>
      <c r="BG32" s="9">
        <f>'1'!CC32</f>
        <v>0.52646959250537551</v>
      </c>
      <c r="BH32" s="9">
        <f>'2'!CA32</f>
        <v>0.27010946210724635</v>
      </c>
      <c r="BI32" s="9">
        <f>'2'!CC32</f>
        <v>0.40199909962318942</v>
      </c>
      <c r="BJ32" s="9">
        <f>'3'!Y32</f>
        <v>0.57094678442814573</v>
      </c>
      <c r="BK32" s="9">
        <f>'8'!AO29</f>
        <v>0.57696097822295522</v>
      </c>
      <c r="BL32" s="9">
        <f t="shared" si="14"/>
        <v>0.44976161520608188</v>
      </c>
      <c r="BM32" s="9">
        <f t="shared" si="15"/>
        <v>0.52351940098119187</v>
      </c>
      <c r="BN32" s="9">
        <f>'1'!CK32</f>
        <v>0.35565706530771451</v>
      </c>
      <c r="BO32" s="9">
        <f>'1'!CM32</f>
        <v>0.43816212077215844</v>
      </c>
      <c r="BP32" s="9">
        <f>'2'!CK32</f>
        <v>0.37509014852380773</v>
      </c>
      <c r="BQ32" s="9">
        <f>'2'!CM32</f>
        <v>0.52438436937811017</v>
      </c>
      <c r="BR32" s="9">
        <f>'3'!AB32</f>
        <v>0.47567945449753046</v>
      </c>
      <c r="BS32" s="9">
        <f>'8'!AT29</f>
        <v>0.56447507635919492</v>
      </c>
      <c r="BT32" s="9">
        <f t="shared" si="16"/>
        <v>0.39048441365345349</v>
      </c>
      <c r="BU32" s="9">
        <f t="shared" si="17"/>
        <v>0.46316737456399448</v>
      </c>
      <c r="BV32" s="9">
        <f>'1'!CU32</f>
        <v>0.51245994212043267</v>
      </c>
      <c r="BW32" s="9">
        <f>'1'!CW32</f>
        <v>0.59663169899833968</v>
      </c>
      <c r="BX32" s="9">
        <f>'2'!CU32</f>
        <v>0.39162633030657706</v>
      </c>
      <c r="BY32" s="9">
        <f>'2'!CW32</f>
        <v>0.54144678386396772</v>
      </c>
      <c r="BZ32" s="9">
        <f>'3'!AE32</f>
        <v>0.64712447843980414</v>
      </c>
      <c r="CA32" s="9">
        <f>'8'!AY29</f>
        <v>0.59275983333368854</v>
      </c>
      <c r="CB32" s="9">
        <f t="shared" si="18"/>
        <v>0.52187302369230981</v>
      </c>
      <c r="CC32" s="9">
        <f t="shared" si="19"/>
        <v>0.59577529886258374</v>
      </c>
      <c r="CD32" s="9">
        <f>'1'!DE32</f>
        <v>0.53677516123955482</v>
      </c>
      <c r="CE32" s="9">
        <f>'1'!DG32</f>
        <v>0.6190900240328312</v>
      </c>
      <c r="CF32" s="9">
        <f>'2'!DE32</f>
        <v>0.32091156878904892</v>
      </c>
      <c r="CG32" s="9">
        <f>'2'!DG32</f>
        <v>0.46455123352515948</v>
      </c>
      <c r="CH32" s="9">
        <f>'3'!AH32</f>
        <v>0.61995105184944088</v>
      </c>
      <c r="CI32" s="9">
        <f>'8'!BD29</f>
        <v>0.60947598398953118</v>
      </c>
      <c r="CJ32" s="9">
        <f t="shared" si="20"/>
        <v>0.53077647333049049</v>
      </c>
      <c r="CK32" s="9">
        <f t="shared" si="21"/>
        <v>0.60276084375939498</v>
      </c>
    </row>
    <row r="33" spans="1:89">
      <c r="A33" s="1">
        <v>1995</v>
      </c>
      <c r="B33" s="9">
        <f>'1'!I33</f>
        <v>0.48340105029325475</v>
      </c>
      <c r="C33" s="9">
        <f>'1'!K33</f>
        <v>0.569108585660834</v>
      </c>
      <c r="D33" s="9">
        <f>'2'!I33</f>
        <v>0.27966740692347536</v>
      </c>
      <c r="E33" s="9">
        <f>'2'!K33</f>
        <v>0.41431150251897209</v>
      </c>
      <c r="F33" s="9">
        <f>'3'!D33</f>
        <v>0.61180974212230088</v>
      </c>
      <c r="G33" s="9">
        <f>'8'!F30</f>
        <v>0.57648328337656674</v>
      </c>
      <c r="H33" s="9">
        <f t="shared" si="0"/>
        <v>0.48517677844751261</v>
      </c>
      <c r="I33" s="9">
        <f t="shared" si="1"/>
        <v>0.55863646276436774</v>
      </c>
      <c r="J33" s="9">
        <f>'1'!S33</f>
        <v>0.2894416490761122</v>
      </c>
      <c r="K33" s="9">
        <f>'1'!U33</f>
        <v>0.36282515537337584</v>
      </c>
      <c r="L33" s="9">
        <f>'2'!S33</f>
        <v>0.26199034358642942</v>
      </c>
      <c r="M33" s="9">
        <f>'2'!U33</f>
        <v>0.39132411929185407</v>
      </c>
      <c r="N33" s="9">
        <f>'3'!G33</f>
        <v>0.38154979440299513</v>
      </c>
      <c r="O33" s="9">
        <f>'8'!K30</f>
        <v>0.50241019118959662</v>
      </c>
      <c r="P33" s="9">
        <f t="shared" si="2"/>
        <v>0.31720418727118066</v>
      </c>
      <c r="Q33" s="9">
        <f t="shared" si="3"/>
        <v>0.38150601924980765</v>
      </c>
      <c r="R33" s="9">
        <f>'1'!AC33</f>
        <v>0.32331548031576229</v>
      </c>
      <c r="S33" s="9">
        <f>'1'!AE33</f>
        <v>0.40207840392982003</v>
      </c>
      <c r="T33" s="9">
        <f>'2'!AC33</f>
        <v>0.1673345311087519</v>
      </c>
      <c r="U33" s="9">
        <f>'2'!AE33</f>
        <v>0.24912558318234432</v>
      </c>
      <c r="V33" s="9">
        <f>'3'!J33</f>
        <v>0.7597872992252922</v>
      </c>
      <c r="W33" s="9">
        <f>'8'!P30</f>
        <v>0.48897618508319179</v>
      </c>
      <c r="X33" s="9">
        <f t="shared" si="4"/>
        <v>0.3679306377627572</v>
      </c>
      <c r="Y33" s="9">
        <f t="shared" si="5"/>
        <v>0.43124378949995684</v>
      </c>
      <c r="Z33" s="9">
        <f>'1'!AM33</f>
        <v>0.48317739461380826</v>
      </c>
      <c r="AA33" s="9">
        <f>'1'!AO33</f>
        <v>0.56889376564326399</v>
      </c>
      <c r="AB33" s="9">
        <f>'2'!AM33</f>
        <v>0.2034849870365717</v>
      </c>
      <c r="AC33" s="9">
        <f>'2'!AO33</f>
        <v>0.30775250715782881</v>
      </c>
      <c r="AD33" s="9">
        <f>'3'!M33</f>
        <v>0.56626617126782153</v>
      </c>
      <c r="AE33" s="9">
        <f>'8'!U30</f>
        <v>0.55250687169514012</v>
      </c>
      <c r="AF33" s="9">
        <f t="shared" si="6"/>
        <v>0.47044997922961912</v>
      </c>
      <c r="AG33" s="9">
        <f t="shared" si="7"/>
        <v>0.54087819096236378</v>
      </c>
      <c r="AH33" s="9">
        <f>'1'!AW33</f>
        <v>0.34730560175309128</v>
      </c>
      <c r="AI33" s="9">
        <f>'1'!AY33</f>
        <v>0.4289691130490545</v>
      </c>
      <c r="AJ33" s="9">
        <f>'2'!AW33</f>
        <v>0.22997667222976872</v>
      </c>
      <c r="AK33" s="9">
        <f>'2'!AY33</f>
        <v>0.34713905794311578</v>
      </c>
      <c r="AL33" s="9">
        <f>'3'!P33</f>
        <v>0.54404786736483879</v>
      </c>
      <c r="AM33" s="9">
        <f>'8'!Z30</f>
        <v>0.5521510346434777</v>
      </c>
      <c r="AN33" s="9">
        <f t="shared" si="8"/>
        <v>0.37573147865097245</v>
      </c>
      <c r="AO33" s="9">
        <f t="shared" si="9"/>
        <v>0.44461217512948137</v>
      </c>
      <c r="AP33" s="9">
        <f>'1'!BG33</f>
        <v>0.39794716737729335</v>
      </c>
      <c r="AQ33" s="9">
        <f>'1'!BI33</f>
        <v>0.48345085198639953</v>
      </c>
      <c r="AR33" s="9">
        <f>'2'!BG33</f>
        <v>0.26904836663429765</v>
      </c>
      <c r="AS33" s="9">
        <f>'2'!BI33</f>
        <v>0.4006154352384701</v>
      </c>
      <c r="AT33" s="9">
        <f>'3'!S33</f>
        <v>0.52285638512347121</v>
      </c>
      <c r="AU33" s="9">
        <f>'8'!AE30</f>
        <v>0.55292205112947079</v>
      </c>
      <c r="AV33" s="9">
        <f t="shared" si="10"/>
        <v>0.41304569745282926</v>
      </c>
      <c r="AW33" s="9">
        <f t="shared" si="11"/>
        <v>0.48605498353962084</v>
      </c>
      <c r="AX33" s="9">
        <f>'1'!BQ33</f>
        <v>0.54030514795659623</v>
      </c>
      <c r="AY33" s="9">
        <f>'1'!BS33</f>
        <v>0.62230864127688046</v>
      </c>
      <c r="AZ33" s="9">
        <f>'2'!BQ33</f>
        <v>0.25363037668895105</v>
      </c>
      <c r="BA33" s="9">
        <f>'2'!BS33</f>
        <v>0.38011650514278272</v>
      </c>
      <c r="BB33" s="9">
        <f>'3'!V33</f>
        <v>0.72105009171460044</v>
      </c>
      <c r="BC33" s="9">
        <f>'8'!AJ30</f>
        <v>0.57225957579920972</v>
      </c>
      <c r="BD33" s="9">
        <f t="shared" si="12"/>
        <v>0.53290760798989345</v>
      </c>
      <c r="BE33" s="9">
        <f t="shared" si="13"/>
        <v>0.60295866615947558</v>
      </c>
      <c r="BF33" s="9">
        <f>'1'!CA33</f>
        <v>0.44973709011830881</v>
      </c>
      <c r="BG33" s="9">
        <f>'1'!CC33</f>
        <v>0.53624030558155589</v>
      </c>
      <c r="BH33" s="9">
        <f>'2'!CA33</f>
        <v>0.27912860320331073</v>
      </c>
      <c r="BI33" s="9">
        <f>'2'!CC33</f>
        <v>0.41362454832942447</v>
      </c>
      <c r="BJ33" s="9">
        <f>'3'!Y33</f>
        <v>0.66890068781806122</v>
      </c>
      <c r="BK33" s="9">
        <f>'8'!AO30</f>
        <v>0.61776678300884746</v>
      </c>
      <c r="BL33" s="9">
        <f t="shared" si="14"/>
        <v>0.47139557048583813</v>
      </c>
      <c r="BM33" s="9">
        <f t="shared" si="15"/>
        <v>0.54539741582272239</v>
      </c>
      <c r="BN33" s="9">
        <f>'1'!CK33</f>
        <v>0.36306438150549847</v>
      </c>
      <c r="BO33" s="9">
        <f>'1'!CM33</f>
        <v>0.44624526602323328</v>
      </c>
      <c r="BP33" s="9">
        <f>'2'!CK33</f>
        <v>0.39553219627414382</v>
      </c>
      <c r="BQ33" s="9">
        <f>'2'!CM33</f>
        <v>0.54540246382124913</v>
      </c>
      <c r="BR33" s="9">
        <f>'3'!AB33</f>
        <v>0.41795982269324999</v>
      </c>
      <c r="BS33" s="9">
        <f>'8'!AT30</f>
        <v>0.57402368115939839</v>
      </c>
      <c r="BT33" s="9">
        <f t="shared" si="16"/>
        <v>0.39289663706652816</v>
      </c>
      <c r="BU33" s="9">
        <f t="shared" si="17"/>
        <v>0.46611028298365303</v>
      </c>
      <c r="BV33" s="9">
        <f>'1'!CU33</f>
        <v>0.52296322516338223</v>
      </c>
      <c r="BW33" s="9">
        <f>'1'!CW33</f>
        <v>0.60639521693160514</v>
      </c>
      <c r="BX33" s="9">
        <f>'2'!CU33</f>
        <v>0.38173085177549065</v>
      </c>
      <c r="BY33" s="9">
        <f>'2'!CW33</f>
        <v>0.53129873651375392</v>
      </c>
      <c r="BZ33" s="9">
        <f>'3'!AE33</f>
        <v>0.64330489941391744</v>
      </c>
      <c r="CA33" s="9">
        <f>'8'!AY30</f>
        <v>0.6062359103649001</v>
      </c>
      <c r="CB33" s="9">
        <f t="shared" si="18"/>
        <v>0.5292014237697984</v>
      </c>
      <c r="CC33" s="9">
        <f t="shared" si="19"/>
        <v>0.60256060648138066</v>
      </c>
      <c r="CD33" s="9">
        <f>'1'!DE33</f>
        <v>0.5397287013939136</v>
      </c>
      <c r="CE33" s="9">
        <f>'1'!DG33</f>
        <v>0.62178375313904111</v>
      </c>
      <c r="CF33" s="9">
        <f>'2'!DE33</f>
        <v>0.33306173062269906</v>
      </c>
      <c r="CG33" s="9">
        <f>'2'!DG33</f>
        <v>0.47853413565276404</v>
      </c>
      <c r="CH33" s="9">
        <f>'3'!AH33</f>
        <v>0.60381251296966498</v>
      </c>
      <c r="CI33" s="9">
        <f>'8'!BD30</f>
        <v>0.6316327898228431</v>
      </c>
      <c r="CJ33" s="9">
        <f t="shared" si="20"/>
        <v>0.53466079431726021</v>
      </c>
      <c r="CK33" s="9">
        <f t="shared" si="21"/>
        <v>0.60664657104185604</v>
      </c>
    </row>
    <row r="34" spans="1:89">
      <c r="A34" s="1">
        <v>1996</v>
      </c>
      <c r="B34" s="9">
        <f>'1'!I34</f>
        <v>0.49807269871500515</v>
      </c>
      <c r="C34" s="9">
        <f>'1'!K34</f>
        <v>0.58310011512600657</v>
      </c>
      <c r="D34" s="9">
        <f>'2'!I34</f>
        <v>0.29092897677022855</v>
      </c>
      <c r="E34" s="9">
        <f>'2'!K34</f>
        <v>0.42848076277984837</v>
      </c>
      <c r="F34" s="9">
        <f>'3'!D34</f>
        <v>0.55444102066259571</v>
      </c>
      <c r="G34" s="9">
        <f>'8'!F31</f>
        <v>0.56373686210282115</v>
      </c>
      <c r="H34" s="9">
        <f t="shared" si="0"/>
        <v>0.48956157505406811</v>
      </c>
      <c r="I34" s="9">
        <f t="shared" si="1"/>
        <v>0.56283594514273116</v>
      </c>
      <c r="J34" s="9">
        <f>'1'!S34</f>
        <v>0.29832970321722241</v>
      </c>
      <c r="K34" s="9">
        <f>'1'!U34</f>
        <v>0.37327571037274943</v>
      </c>
      <c r="L34" s="9">
        <f>'2'!S34</f>
        <v>0.27306820372706886</v>
      </c>
      <c r="M34" s="9">
        <f>'2'!U34</f>
        <v>0.40583939922634049</v>
      </c>
      <c r="N34" s="9">
        <f>'3'!G34</f>
        <v>0.3630737741339457</v>
      </c>
      <c r="O34" s="9">
        <f>'8'!K31</f>
        <v>0.49818143832306133</v>
      </c>
      <c r="P34" s="9">
        <f t="shared" si="2"/>
        <v>0.32226313387046329</v>
      </c>
      <c r="Q34" s="9">
        <f t="shared" si="3"/>
        <v>0.38800245842925934</v>
      </c>
      <c r="R34" s="9">
        <f>'1'!AC34</f>
        <v>0.34776052329327711</v>
      </c>
      <c r="S34" s="9">
        <f>'1'!AE34</f>
        <v>0.42947207181633518</v>
      </c>
      <c r="T34" s="9">
        <f>'2'!AC34</f>
        <v>0.17325125730859611</v>
      </c>
      <c r="U34" s="9">
        <f>'2'!AE34</f>
        <v>0.25914924472040052</v>
      </c>
      <c r="V34" s="9">
        <f>'3'!J34</f>
        <v>0.7285334273823153</v>
      </c>
      <c r="W34" s="9">
        <f>'8'!P31</f>
        <v>0.4779630287941774</v>
      </c>
      <c r="X34" s="9">
        <f t="shared" si="4"/>
        <v>0.38140713765380285</v>
      </c>
      <c r="Y34" s="9">
        <f t="shared" si="5"/>
        <v>0.44719502036112391</v>
      </c>
      <c r="Z34" s="9">
        <f>'1'!AM34</f>
        <v>0.47756329188992874</v>
      </c>
      <c r="AA34" s="9">
        <f>'1'!AO34</f>
        <v>0.563486179167483</v>
      </c>
      <c r="AB34" s="9">
        <f>'2'!AM34</f>
        <v>0.2076882057813666</v>
      </c>
      <c r="AC34" s="9">
        <f>'2'!AO34</f>
        <v>0.3141887469551024</v>
      </c>
      <c r="AD34" s="9">
        <f>'3'!M34</f>
        <v>0.49720139253500784</v>
      </c>
      <c r="AE34" s="9">
        <f>'8'!U31</f>
        <v>0.53104065709669301</v>
      </c>
      <c r="AF34" s="9">
        <f t="shared" si="6"/>
        <v>0.45788732986425684</v>
      </c>
      <c r="AG34" s="9">
        <f t="shared" si="7"/>
        <v>0.52868340507591838</v>
      </c>
      <c r="AH34" s="9">
        <f>'1'!AW34</f>
        <v>0.35902531597675047</v>
      </c>
      <c r="AI34" s="9">
        <f>'1'!AY34</f>
        <v>0.44184583892681822</v>
      </c>
      <c r="AJ34" s="9">
        <f>'2'!AW34</f>
        <v>0.24507566642408657</v>
      </c>
      <c r="AK34" s="9">
        <f>'2'!AY34</f>
        <v>0.36841175786582819</v>
      </c>
      <c r="AL34" s="9">
        <f>'3'!P34</f>
        <v>0.56109865164481953</v>
      </c>
      <c r="AM34" s="9">
        <f>'8'!Z31</f>
        <v>0.5520371486035125</v>
      </c>
      <c r="AN34" s="9">
        <f t="shared" si="8"/>
        <v>0.38713886785096718</v>
      </c>
      <c r="AO34" s="9">
        <f t="shared" si="9"/>
        <v>0.45744684306018873</v>
      </c>
      <c r="AP34" s="9">
        <f>'1'!BG34</f>
        <v>0.42021762001627372</v>
      </c>
      <c r="AQ34" s="9">
        <f>'1'!BI34</f>
        <v>0.50649567110699223</v>
      </c>
      <c r="AR34" s="9">
        <f>'2'!BG34</f>
        <v>0.27957372057277452</v>
      </c>
      <c r="AS34" s="9">
        <f>'2'!BI34</f>
        <v>0.4141921162597928</v>
      </c>
      <c r="AT34" s="9">
        <f>'3'!S34</f>
        <v>0.54786011088036246</v>
      </c>
      <c r="AU34" s="9">
        <f>'8'!AE31</f>
        <v>0.5498272395477658</v>
      </c>
      <c r="AV34" s="9">
        <f t="shared" si="10"/>
        <v>0.43187844111148188</v>
      </c>
      <c r="AW34" s="9">
        <f t="shared" si="11"/>
        <v>0.50573491644368662</v>
      </c>
      <c r="AX34" s="9">
        <f>'1'!BQ34</f>
        <v>0.55118973271723748</v>
      </c>
      <c r="AY34" s="9">
        <f>'1'!BS34</f>
        <v>0.63216798954013642</v>
      </c>
      <c r="AZ34" s="9">
        <f>'2'!BQ34</f>
        <v>0.25952948205783533</v>
      </c>
      <c r="BA34" s="9">
        <f>'2'!BS34</f>
        <v>0.38804815503215284</v>
      </c>
      <c r="BB34" s="9">
        <f>'3'!V34</f>
        <v>0.61022297095522682</v>
      </c>
      <c r="BC34" s="9">
        <f>'8'!AJ31</f>
        <v>0.54762996686903498</v>
      </c>
      <c r="BD34" s="9">
        <f t="shared" si="12"/>
        <v>0.527571054890276</v>
      </c>
      <c r="BE34" s="9">
        <f t="shared" si="13"/>
        <v>0.59710770196373697</v>
      </c>
      <c r="BF34" s="9">
        <f>'1'!CA34</f>
        <v>0.46273097696448295</v>
      </c>
      <c r="BG34" s="9">
        <f>'1'!CC34</f>
        <v>0.54905624075376624</v>
      </c>
      <c r="BH34" s="9">
        <f>'2'!CA34</f>
        <v>0.2833063571434738</v>
      </c>
      <c r="BI34" s="9">
        <f>'2'!CC34</f>
        <v>0.41892917853665568</v>
      </c>
      <c r="BJ34" s="9">
        <f>'3'!Y34</f>
        <v>0.59241350433855122</v>
      </c>
      <c r="BK34" s="9">
        <f>'8'!AO31</f>
        <v>0.58486053795548831</v>
      </c>
      <c r="BL34" s="9">
        <f t="shared" si="14"/>
        <v>0.46996972381888935</v>
      </c>
      <c r="BM34" s="9">
        <f t="shared" si="15"/>
        <v>0.54395969061070581</v>
      </c>
      <c r="BN34" s="9">
        <f>'1'!CK34</f>
        <v>0.37772546104340987</v>
      </c>
      <c r="BO34" s="9">
        <f>'1'!CM34</f>
        <v>0.46205266927177635</v>
      </c>
      <c r="BP34" s="9">
        <f>'2'!CK34</f>
        <v>0.39726459152482069</v>
      </c>
      <c r="BQ34" s="9">
        <f>'2'!CM34</f>
        <v>0.54714808366108758</v>
      </c>
      <c r="BR34" s="9">
        <f>'3'!AB34</f>
        <v>0.46234355490891876</v>
      </c>
      <c r="BS34" s="9">
        <f>'8'!AT31</f>
        <v>0.59153306605404543</v>
      </c>
      <c r="BT34" s="9">
        <f t="shared" si="16"/>
        <v>0.40952194397916541</v>
      </c>
      <c r="BU34" s="9">
        <f t="shared" si="17"/>
        <v>0.48353933895264867</v>
      </c>
      <c r="BV34" s="9">
        <f>'1'!CU34</f>
        <v>0.53599961616756442</v>
      </c>
      <c r="BW34" s="9">
        <f>'1'!CW34</f>
        <v>0.6183814882192753</v>
      </c>
      <c r="BX34" s="9">
        <f>'2'!CU34</f>
        <v>0.42315713441968528</v>
      </c>
      <c r="BY34" s="9">
        <f>'2'!CW34</f>
        <v>0.57261239575265821</v>
      </c>
      <c r="BZ34" s="9">
        <f>'3'!AE34</f>
        <v>0.57518452083121474</v>
      </c>
      <c r="CA34" s="9">
        <f>'8'!AY31</f>
        <v>0.61972737869565075</v>
      </c>
      <c r="CB34" s="9">
        <f t="shared" si="18"/>
        <v>0.53700663471195009</v>
      </c>
      <c r="CC34" s="9">
        <f t="shared" si="19"/>
        <v>0.609619471281445</v>
      </c>
      <c r="CD34" s="9">
        <f>'1'!DE34</f>
        <v>0.56183546143676799</v>
      </c>
      <c r="CE34" s="9">
        <f>'1'!DG34</f>
        <v>0.64171725328522589</v>
      </c>
      <c r="CF34" s="9">
        <f>'2'!DE34</f>
        <v>0.34720763513546604</v>
      </c>
      <c r="CG34" s="9">
        <f>'2'!DG34</f>
        <v>0.49438744777848498</v>
      </c>
      <c r="CH34" s="9">
        <f>'3'!AH34</f>
        <v>0.51395296039029437</v>
      </c>
      <c r="CI34" s="9">
        <f>'8'!BD31</f>
        <v>0.60974369887350299</v>
      </c>
      <c r="CJ34" s="9">
        <f t="shared" si="20"/>
        <v>0.54037525244566387</v>
      </c>
      <c r="CK34" s="9">
        <f t="shared" si="21"/>
        <v>0.61101048800388635</v>
      </c>
    </row>
    <row r="35" spans="1:89">
      <c r="A35" s="1">
        <v>1997</v>
      </c>
      <c r="B35" s="9">
        <f>'1'!I35</f>
        <v>0.52409770210052486</v>
      </c>
      <c r="C35" s="9">
        <f>'1'!K35</f>
        <v>0.6074440720427291</v>
      </c>
      <c r="D35" s="9">
        <f>'2'!I35</f>
        <v>0.30185091473476916</v>
      </c>
      <c r="E35" s="9">
        <f>'2'!K35</f>
        <v>0.44188982405547639</v>
      </c>
      <c r="F35" s="9">
        <f>'3'!D35</f>
        <v>0.52192430097487674</v>
      </c>
      <c r="G35" s="9">
        <f>'8'!F32</f>
        <v>0.56279919499675102</v>
      </c>
      <c r="H35" s="9">
        <f t="shared" si="0"/>
        <v>0.50552583254100714</v>
      </c>
      <c r="I35" s="9">
        <f t="shared" si="1"/>
        <v>0.57787218243262084</v>
      </c>
      <c r="J35" s="9">
        <f>'1'!S35</f>
        <v>0.31298798306272024</v>
      </c>
      <c r="K35" s="9">
        <f>'1'!U35</f>
        <v>0.39027430719058248</v>
      </c>
      <c r="L35" s="9">
        <f>'2'!S35</f>
        <v>0.28937920209203533</v>
      </c>
      <c r="M35" s="9">
        <f>'2'!U35</f>
        <v>0.42655190223942346</v>
      </c>
      <c r="N35" s="9">
        <f>'3'!G35</f>
        <v>0.41654095690631732</v>
      </c>
      <c r="O35" s="9">
        <f>'8'!K32</f>
        <v>0.52646947167375102</v>
      </c>
      <c r="P35" s="9">
        <f t="shared" si="2"/>
        <v>0.3423305512111145</v>
      </c>
      <c r="Q35" s="9">
        <f t="shared" si="3"/>
        <v>0.41014824811535694</v>
      </c>
      <c r="R35" s="9">
        <f>'1'!AC35</f>
        <v>0.39906276422322268</v>
      </c>
      <c r="S35" s="9">
        <f>'1'!AE35</f>
        <v>0.48461804542051062</v>
      </c>
      <c r="T35" s="9">
        <f>'2'!AC35</f>
        <v>0.18192223587520631</v>
      </c>
      <c r="U35" s="9">
        <f>'2'!AE35</f>
        <v>0.27352347082747241</v>
      </c>
      <c r="V35" s="9">
        <f>'3'!J35</f>
        <v>0.70131937046937987</v>
      </c>
      <c r="W35" s="9">
        <f>'8'!P32</f>
        <v>0.45044417570070183</v>
      </c>
      <c r="X35" s="9">
        <f t="shared" si="4"/>
        <v>0.41271251316078472</v>
      </c>
      <c r="Y35" s="9">
        <f t="shared" si="5"/>
        <v>0.48176133349411288</v>
      </c>
      <c r="Z35" s="9">
        <f>'1'!AM35</f>
        <v>0.49540636560141593</v>
      </c>
      <c r="AA35" s="9">
        <f>'1'!AO35</f>
        <v>0.58057198916173713</v>
      </c>
      <c r="AB35" s="9">
        <f>'2'!AM35</f>
        <v>0.21656613232070399</v>
      </c>
      <c r="AC35" s="9">
        <f>'2'!AO35</f>
        <v>0.32754577240507782</v>
      </c>
      <c r="AD35" s="9">
        <f>'3'!M35</f>
        <v>0.45299691639277045</v>
      </c>
      <c r="AE35" s="9">
        <f>'8'!U32</f>
        <v>0.50837444691641598</v>
      </c>
      <c r="AF35" s="9">
        <f t="shared" si="6"/>
        <v>0.46457820548398016</v>
      </c>
      <c r="AG35" s="9">
        <f t="shared" si="7"/>
        <v>0.53529210598464239</v>
      </c>
      <c r="AH35" s="9">
        <f>'1'!AW35</f>
        <v>0.3776320805114618</v>
      </c>
      <c r="AI35" s="9">
        <f>'1'!AY35</f>
        <v>0.46195277916845578</v>
      </c>
      <c r="AJ35" s="9">
        <f>'2'!AW35</f>
        <v>0.25870349116934471</v>
      </c>
      <c r="AK35" s="9">
        <f>'2'!AY35</f>
        <v>0.38694428161096811</v>
      </c>
      <c r="AL35" s="9">
        <f>'3'!P35</f>
        <v>0.50505863951229335</v>
      </c>
      <c r="AM35" s="9">
        <f>'8'!Z32</f>
        <v>0.51249717927068839</v>
      </c>
      <c r="AN35" s="9">
        <f t="shared" si="8"/>
        <v>0.3919683873532559</v>
      </c>
      <c r="AO35" s="9">
        <f t="shared" si="9"/>
        <v>0.46381695545731405</v>
      </c>
      <c r="AP35" s="9">
        <f>'1'!BG35</f>
        <v>0.43637490854377176</v>
      </c>
      <c r="AQ35" s="9">
        <f>'1'!BI35</f>
        <v>0.52288640840965583</v>
      </c>
      <c r="AR35" s="9">
        <f>'2'!BG35</f>
        <v>0.29276113138129567</v>
      </c>
      <c r="AS35" s="9">
        <f>'2'!BI35</f>
        <v>0.43075257275779033</v>
      </c>
      <c r="AT35" s="9">
        <f>'3'!S35</f>
        <v>0.47277954792006055</v>
      </c>
      <c r="AU35" s="9">
        <f>'8'!AE32</f>
        <v>0.54261499745484643</v>
      </c>
      <c r="AV35" s="9">
        <f t="shared" si="10"/>
        <v>0.43627800365626046</v>
      </c>
      <c r="AW35" s="9">
        <f t="shared" si="11"/>
        <v>0.51063519770002885</v>
      </c>
      <c r="AX35" s="9">
        <f>'1'!BQ35</f>
        <v>0.58419461992966959</v>
      </c>
      <c r="AY35" s="9">
        <f>'1'!BS35</f>
        <v>0.6614795811277695</v>
      </c>
      <c r="AZ35" s="9">
        <f>'2'!BQ35</f>
        <v>0.2675791276542438</v>
      </c>
      <c r="BA35" s="9">
        <f>'2'!BS35</f>
        <v>0.39869391436511104</v>
      </c>
      <c r="BB35" s="9">
        <f>'3'!V35</f>
        <v>0.59175290896799237</v>
      </c>
      <c r="BC35" s="9">
        <f>'8'!AJ32</f>
        <v>0.55339924682750474</v>
      </c>
      <c r="BD35" s="9">
        <f t="shared" si="12"/>
        <v>0.5502093622957428</v>
      </c>
      <c r="BE35" s="9">
        <f t="shared" si="13"/>
        <v>0.61742031380549955</v>
      </c>
      <c r="BF35" s="9">
        <f>'1'!CA35</f>
        <v>0.48694301949763352</v>
      </c>
      <c r="BG35" s="9">
        <f>'1'!CC35</f>
        <v>0.57250444922922139</v>
      </c>
      <c r="BH35" s="9">
        <f>'2'!CA35</f>
        <v>0.29222782408990738</v>
      </c>
      <c r="BI35" s="9">
        <f>'2'!CC35</f>
        <v>0.43009223622952647</v>
      </c>
      <c r="BJ35" s="9">
        <f>'3'!Y35</f>
        <v>0.56982569542518924</v>
      </c>
      <c r="BK35" s="9">
        <f>'8'!AO32</f>
        <v>0.57279832219417537</v>
      </c>
      <c r="BL35" s="9">
        <f t="shared" si="14"/>
        <v>0.48434529781927071</v>
      </c>
      <c r="BM35" s="9">
        <f t="shared" si="15"/>
        <v>0.55802473984534406</v>
      </c>
      <c r="BN35" s="9">
        <f>'1'!CK35</f>
        <v>0.40754346280351528</v>
      </c>
      <c r="BO35" s="9">
        <f>'1'!CM35</f>
        <v>0.49344642794837229</v>
      </c>
      <c r="BP35" s="9">
        <f>'2'!CK35</f>
        <v>0.40802956252027583</v>
      </c>
      <c r="BQ35" s="9">
        <f>'2'!CM35</f>
        <v>0.55787542420808411</v>
      </c>
      <c r="BR35" s="9">
        <f>'3'!AB35</f>
        <v>0.58067232722745243</v>
      </c>
      <c r="BS35" s="9">
        <f>'8'!AT32</f>
        <v>0.58770582509077951</v>
      </c>
      <c r="BT35" s="9">
        <f t="shared" si="16"/>
        <v>0.44292119544631148</v>
      </c>
      <c r="BU35" s="9">
        <f t="shared" si="17"/>
        <v>0.5180378572164922</v>
      </c>
      <c r="BV35" s="9">
        <f>'1'!CU35</f>
        <v>0.57368774764415209</v>
      </c>
      <c r="BW35" s="9">
        <f>'1'!CW35</f>
        <v>0.6522419330557907</v>
      </c>
      <c r="BX35" s="9">
        <f>'2'!CU35</f>
        <v>0.43353368510349943</v>
      </c>
      <c r="BY35" s="9">
        <f>'2'!CW35</f>
        <v>0.58250220642813555</v>
      </c>
      <c r="BZ35" s="9">
        <f>'3'!AE35</f>
        <v>0.55229385894406235</v>
      </c>
      <c r="CA35" s="9">
        <f>'8'!AY32</f>
        <v>0.61944656978451196</v>
      </c>
      <c r="CB35" s="9">
        <f t="shared" si="18"/>
        <v>0.56210883473411388</v>
      </c>
      <c r="CC35" s="9">
        <f t="shared" si="19"/>
        <v>0.63199361665472442</v>
      </c>
      <c r="CD35" s="9">
        <f>'1'!DE35</f>
        <v>0.58400882809251697</v>
      </c>
      <c r="CE35" s="9">
        <f>'1'!DG35</f>
        <v>0.66131697657352795</v>
      </c>
      <c r="CF35" s="9">
        <f>'2'!DE35</f>
        <v>0.36129966195937352</v>
      </c>
      <c r="CG35" s="9">
        <f>'2'!DG35</f>
        <v>0.50974806900429293</v>
      </c>
      <c r="CH35" s="9">
        <f>'3'!AH35</f>
        <v>0.47343257061401095</v>
      </c>
      <c r="CI35" s="9">
        <f>'8'!BD32</f>
        <v>0.60848724958557066</v>
      </c>
      <c r="CJ35" s="9">
        <f t="shared" si="20"/>
        <v>0.55312812788065735</v>
      </c>
      <c r="CK35" s="9">
        <f t="shared" si="21"/>
        <v>0.62208867252185696</v>
      </c>
    </row>
    <row r="36" spans="1:89">
      <c r="A36" s="1">
        <v>1998</v>
      </c>
      <c r="B36" s="9">
        <f>'1'!I36</f>
        <v>0.55382919037071332</v>
      </c>
      <c r="C36" s="9">
        <f>'1'!K36</f>
        <v>0.63454416504784661</v>
      </c>
      <c r="D36" s="9">
        <f>'2'!I36</f>
        <v>0.30286039128744413</v>
      </c>
      <c r="E36" s="9">
        <f>'2'!K36</f>
        <v>0.44311318343970818</v>
      </c>
      <c r="F36" s="9">
        <f>'3'!D36</f>
        <v>0.51388214754238271</v>
      </c>
      <c r="G36" s="9">
        <f>'8'!F33</f>
        <v>0.56631444600833059</v>
      </c>
      <c r="H36" s="9">
        <f t="shared" si="0"/>
        <v>0.52598613174331499</v>
      </c>
      <c r="I36" s="9">
        <f t="shared" si="1"/>
        <v>0.59651189323253473</v>
      </c>
      <c r="J36" s="9">
        <f>'1'!S36</f>
        <v>0.3676298882097111</v>
      </c>
      <c r="K36" s="9">
        <f>'1'!U36</f>
        <v>0.45119476011941406</v>
      </c>
      <c r="L36" s="9">
        <f>'2'!S36</f>
        <v>0.3075984438103615</v>
      </c>
      <c r="M36" s="9">
        <f>'2'!U36</f>
        <v>0.4488198112276327</v>
      </c>
      <c r="N36" s="9">
        <f>'3'!G36</f>
        <v>0.35710490721493937</v>
      </c>
      <c r="O36" s="9">
        <f>'8'!K33</f>
        <v>0.49442751104606053</v>
      </c>
      <c r="P36" s="9">
        <f t="shared" si="2"/>
        <v>0.37325400795393388</v>
      </c>
      <c r="Q36" s="9">
        <f t="shared" si="3"/>
        <v>0.44587155503245307</v>
      </c>
      <c r="R36" s="9">
        <f>'1'!AC36</f>
        <v>0.41535381927562864</v>
      </c>
      <c r="S36" s="9">
        <f>'1'!AE36</f>
        <v>0.50150817357588329</v>
      </c>
      <c r="T36" s="9">
        <f>'2'!AC36</f>
        <v>0.18587969157102738</v>
      </c>
      <c r="U36" s="9">
        <f>'2'!AE36</f>
        <v>0.27996372934278435</v>
      </c>
      <c r="V36" s="9">
        <f>'3'!J36</f>
        <v>0.74429299956676298</v>
      </c>
      <c r="W36" s="9">
        <f>'8'!P33</f>
        <v>0.45776943603870024</v>
      </c>
      <c r="X36" s="9">
        <f t="shared" si="4"/>
        <v>0.42954188621058909</v>
      </c>
      <c r="Y36" s="9">
        <f t="shared" si="5"/>
        <v>0.499258337997943</v>
      </c>
      <c r="Z36" s="9">
        <f>'1'!AM36</f>
        <v>0.52222617770002555</v>
      </c>
      <c r="AA36" s="9">
        <f>'1'!AO36</f>
        <v>0.605713202452412</v>
      </c>
      <c r="AB36" s="9">
        <f>'2'!AM36</f>
        <v>0.22278556129178911</v>
      </c>
      <c r="AC36" s="9">
        <f>'2'!AO36</f>
        <v>0.33671754908641482</v>
      </c>
      <c r="AD36" s="9">
        <f>'3'!M36</f>
        <v>0.41713841196504475</v>
      </c>
      <c r="AE36" s="9">
        <f>'8'!U33</f>
        <v>0.51107584277856177</v>
      </c>
      <c r="AF36" s="9">
        <f t="shared" si="6"/>
        <v>0.48065830599355736</v>
      </c>
      <c r="AG36" s="9">
        <f t="shared" si="7"/>
        <v>0.55049242209969063</v>
      </c>
      <c r="AH36" s="9">
        <f>'1'!AW36</f>
        <v>0.41105147910938672</v>
      </c>
      <c r="AI36" s="9">
        <f>'1'!AY36</f>
        <v>0.49707544999915182</v>
      </c>
      <c r="AJ36" s="9">
        <f>'2'!AW36</f>
        <v>0.26684587271975196</v>
      </c>
      <c r="AK36" s="9">
        <f>'2'!AY36</f>
        <v>0.39773247650837679</v>
      </c>
      <c r="AL36" s="9">
        <f>'3'!P36</f>
        <v>0.52108755349613367</v>
      </c>
      <c r="AM36" s="9">
        <f>'8'!Z33</f>
        <v>0.52628654345046377</v>
      </c>
      <c r="AN36" s="9">
        <f t="shared" si="8"/>
        <v>0.41915803234320559</v>
      </c>
      <c r="AO36" s="9">
        <f t="shared" si="9"/>
        <v>0.49246347234490373</v>
      </c>
      <c r="AP36" s="9">
        <f>'1'!BG36</f>
        <v>0.46405455932897854</v>
      </c>
      <c r="AQ36" s="9">
        <f>'1'!BI36</f>
        <v>0.55035246699867446</v>
      </c>
      <c r="AR36" s="9">
        <f>'2'!BG36</f>
        <v>0.29778306670670068</v>
      </c>
      <c r="AS36" s="9">
        <f>'2'!BI36</f>
        <v>0.43693294830357904</v>
      </c>
      <c r="AT36" s="9">
        <f>'3'!S36</f>
        <v>0.51405399737165869</v>
      </c>
      <c r="AU36" s="9">
        <f>'8'!AE33</f>
        <v>0.56627056965767741</v>
      </c>
      <c r="AV36" s="9">
        <f t="shared" si="10"/>
        <v>0.46264895490388869</v>
      </c>
      <c r="AW36" s="9">
        <f t="shared" si="11"/>
        <v>0.53697247843236362</v>
      </c>
      <c r="AX36" s="9">
        <f>'1'!BQ36</f>
        <v>0.61761527515092574</v>
      </c>
      <c r="AY36" s="9">
        <f>'1'!BS36</f>
        <v>0.69030464259066793</v>
      </c>
      <c r="AZ36" s="9">
        <f>'2'!BQ36</f>
        <v>0.26934092976383051</v>
      </c>
      <c r="BA36" s="9">
        <f>'2'!BS36</f>
        <v>0.40099727653848394</v>
      </c>
      <c r="BB36" s="9">
        <f>'3'!V36</f>
        <v>0.59687182615392664</v>
      </c>
      <c r="BC36" s="9">
        <f>'8'!AJ33</f>
        <v>0.554258491625782</v>
      </c>
      <c r="BD36" s="9">
        <f t="shared" si="12"/>
        <v>0.57437781736000193</v>
      </c>
      <c r="BE36" s="9">
        <f t="shared" si="13"/>
        <v>0.63842600924528681</v>
      </c>
      <c r="BF36" s="9">
        <f>'1'!CA36</f>
        <v>0.50160515315104226</v>
      </c>
      <c r="BG36" s="9">
        <f>'1'!CC36</f>
        <v>0.5864395913609658</v>
      </c>
      <c r="BH36" s="9">
        <f>'2'!CA36</f>
        <v>0.29460233054373774</v>
      </c>
      <c r="BI36" s="9">
        <f>'2'!CC36</f>
        <v>0.43302638775387681</v>
      </c>
      <c r="BJ36" s="9">
        <f>'3'!Y36</f>
        <v>0.51948056494683947</v>
      </c>
      <c r="BK36" s="9">
        <f>'8'!AO33</f>
        <v>0.60376125618948739</v>
      </c>
      <c r="BL36" s="9">
        <f t="shared" si="14"/>
        <v>0.49290802237373604</v>
      </c>
      <c r="BM36" s="9">
        <f t="shared" si="15"/>
        <v>0.56613453484169651</v>
      </c>
      <c r="BN36" s="9">
        <f>'1'!CK36</f>
        <v>0.43038322958225916</v>
      </c>
      <c r="BO36" s="9">
        <f>'1'!CM36</f>
        <v>0.51683965844058699</v>
      </c>
      <c r="BP36" s="9">
        <f>'2'!CK36</f>
        <v>0.3964654452790094</v>
      </c>
      <c r="BQ36" s="9">
        <f>'2'!CM36</f>
        <v>0.54634351029353634</v>
      </c>
      <c r="BR36" s="9">
        <f>'3'!AB36</f>
        <v>0.48472140096128324</v>
      </c>
      <c r="BS36" s="9">
        <f>'8'!AT33</f>
        <v>0.63910218981792299</v>
      </c>
      <c r="BT36" s="9">
        <f t="shared" si="16"/>
        <v>0.45329716431340294</v>
      </c>
      <c r="BU36" s="9">
        <f t="shared" si="17"/>
        <v>0.52880447101568517</v>
      </c>
      <c r="BV36" s="9">
        <f>'1'!CU36</f>
        <v>0.60505800788423514</v>
      </c>
      <c r="BW36" s="9">
        <f>'1'!CW36</f>
        <v>0.67957193585016906</v>
      </c>
      <c r="BX36" s="9">
        <f>'2'!CU36</f>
        <v>0.40115014012401523</v>
      </c>
      <c r="BY36" s="9">
        <f>'2'!CW36</f>
        <v>0.55104369559046251</v>
      </c>
      <c r="BZ36" s="9">
        <f>'3'!AE36</f>
        <v>0.51925792409373972</v>
      </c>
      <c r="CA36" s="9">
        <f>'8'!AY33</f>
        <v>0.64091865863076258</v>
      </c>
      <c r="CB36" s="9">
        <f t="shared" si="18"/>
        <v>0.57967327780381628</v>
      </c>
      <c r="CC36" s="9">
        <f t="shared" si="19"/>
        <v>0.64682238292661487</v>
      </c>
      <c r="CD36" s="9">
        <f>'1'!DE36</f>
        <v>0.61579884007801267</v>
      </c>
      <c r="CE36" s="9">
        <f>'1'!DG36</f>
        <v>0.68875928824316535</v>
      </c>
      <c r="CF36" s="9">
        <f>'2'!DE36</f>
        <v>0.36934787131137803</v>
      </c>
      <c r="CG36" s="9">
        <f>'2'!DG36</f>
        <v>0.51833612498364889</v>
      </c>
      <c r="CH36" s="9">
        <f>'3'!AH36</f>
        <v>0.41092854669338014</v>
      </c>
      <c r="CI36" s="9">
        <f>'8'!BD33</f>
        <v>0.55879161033963654</v>
      </c>
      <c r="CJ36" s="9">
        <f t="shared" si="20"/>
        <v>0.56496599088904831</v>
      </c>
      <c r="CK36" s="9">
        <f t="shared" si="21"/>
        <v>0.63093712997188223</v>
      </c>
    </row>
    <row r="37" spans="1:89">
      <c r="A37" s="1">
        <v>1999</v>
      </c>
      <c r="B37" s="9">
        <f>'1'!I37</f>
        <v>0.57870379700417096</v>
      </c>
      <c r="C37" s="9">
        <f>'1'!K37</f>
        <v>0.65666276223548392</v>
      </c>
      <c r="D37" s="9">
        <f>'2'!I37</f>
        <v>0.32161106042480536</v>
      </c>
      <c r="E37" s="9">
        <f>'2'!K37</f>
        <v>0.46536574007449821</v>
      </c>
      <c r="F37" s="9">
        <f>'3'!D37</f>
        <v>0.50846554511032127</v>
      </c>
      <c r="G37" s="9">
        <f>'8'!F34</f>
        <v>0.57033085877621292</v>
      </c>
      <c r="H37" s="9">
        <f t="shared" si="0"/>
        <v>0.54513340433405366</v>
      </c>
      <c r="I37" s="9">
        <f t="shared" si="1"/>
        <v>0.6140801479609419</v>
      </c>
      <c r="J37" s="9">
        <f>'1'!S37</f>
        <v>0.4133066520219208</v>
      </c>
      <c r="K37" s="9">
        <f>'1'!U37</f>
        <v>0.49940143260552117</v>
      </c>
      <c r="L37" s="9">
        <f>'2'!S37</f>
        <v>0.35546528639434349</v>
      </c>
      <c r="M37" s="9">
        <f>'2'!U37</f>
        <v>0.50343929315893721</v>
      </c>
      <c r="N37" s="9">
        <f>'3'!G37</f>
        <v>0.29417997146002983</v>
      </c>
      <c r="O37" s="9">
        <f>'8'!K34</f>
        <v>0.50486892942479578</v>
      </c>
      <c r="P37" s="9">
        <f t="shared" si="2"/>
        <v>0.40476607514326146</v>
      </c>
      <c r="Q37" s="9">
        <f t="shared" si="3"/>
        <v>0.47982982222824105</v>
      </c>
      <c r="R37" s="9">
        <f>'1'!AC37</f>
        <v>0.46549630466318914</v>
      </c>
      <c r="S37" s="9">
        <f>'1'!AE37</f>
        <v>0.55176249230556451</v>
      </c>
      <c r="T37" s="9">
        <f>'2'!AC37</f>
        <v>0.19462809022624322</v>
      </c>
      <c r="U37" s="9">
        <f>'2'!AE37</f>
        <v>0.29394415848413524</v>
      </c>
      <c r="V37" s="9">
        <f>'3'!J37</f>
        <v>0.55400788436464887</v>
      </c>
      <c r="W37" s="9">
        <f>'8'!P34</f>
        <v>0.45007923326342253</v>
      </c>
      <c r="X37" s="9">
        <f t="shared" si="4"/>
        <v>0.44571893404966384</v>
      </c>
      <c r="Y37" s="9">
        <f t="shared" si="5"/>
        <v>0.51603687222511585</v>
      </c>
      <c r="Z37" s="9">
        <f>'1'!AM37</f>
        <v>0.56241420575957657</v>
      </c>
      <c r="AA37" s="9">
        <f>'1'!AO37</f>
        <v>0.64223376826457823</v>
      </c>
      <c r="AB37" s="9">
        <f>'2'!AM37</f>
        <v>0.22970007146667343</v>
      </c>
      <c r="AC37" s="9">
        <f>'2'!AO37</f>
        <v>0.34674175403445234</v>
      </c>
      <c r="AD37" s="9">
        <f>'3'!M37</f>
        <v>0.46894472368148532</v>
      </c>
      <c r="AE37" s="9">
        <f>'8'!U34</f>
        <v>0.57628755763399309</v>
      </c>
      <c r="AF37" s="9">
        <f t="shared" si="6"/>
        <v>0.52118317930991875</v>
      </c>
      <c r="AG37" s="9">
        <f t="shared" si="7"/>
        <v>0.58876104132019791</v>
      </c>
      <c r="AH37" s="9">
        <f>'1'!AW37</f>
        <v>0.45169032682381477</v>
      </c>
      <c r="AI37" s="9">
        <f>'1'!AY37</f>
        <v>0.53817738189694364</v>
      </c>
      <c r="AJ37" s="9">
        <f>'2'!AW37</f>
        <v>0.28011198509709245</v>
      </c>
      <c r="AK37" s="9">
        <f>'2'!AY37</f>
        <v>0.41487769144639858</v>
      </c>
      <c r="AL37" s="9">
        <f>'3'!P37</f>
        <v>0.51328009062633184</v>
      </c>
      <c r="AM37" s="9">
        <f>'8'!Z34</f>
        <v>0.51798825550025662</v>
      </c>
      <c r="AN37" s="9">
        <f t="shared" si="8"/>
        <v>0.44732126189903842</v>
      </c>
      <c r="AO37" s="9">
        <f t="shared" si="9"/>
        <v>0.52133877108515925</v>
      </c>
      <c r="AP37" s="9">
        <f>'1'!BG37</f>
        <v>0.48723200500675606</v>
      </c>
      <c r="AQ37" s="9">
        <f>'1'!BI37</f>
        <v>0.57278100268078125</v>
      </c>
      <c r="AR37" s="9">
        <f>'2'!BG37</f>
        <v>0.30800298892170802</v>
      </c>
      <c r="AS37" s="9">
        <f>'2'!BI37</f>
        <v>0.4493043822477249</v>
      </c>
      <c r="AT37" s="9">
        <f>'3'!S37</f>
        <v>0.54764451844164452</v>
      </c>
      <c r="AU37" s="9">
        <f>'8'!AE34</f>
        <v>0.56863694137594634</v>
      </c>
      <c r="AV37" s="9">
        <f t="shared" si="10"/>
        <v>0.48349084837865908</v>
      </c>
      <c r="AW37" s="9">
        <f t="shared" si="11"/>
        <v>0.55750528608307848</v>
      </c>
      <c r="AX37" s="9">
        <f>'1'!BQ37</f>
        <v>0.64566743464818133</v>
      </c>
      <c r="AY37" s="9">
        <f>'1'!BS37</f>
        <v>0.71387011357934815</v>
      </c>
      <c r="AZ37" s="9">
        <f>'2'!BQ37</f>
        <v>0.28106565278443429</v>
      </c>
      <c r="BA37" s="9">
        <f>'2'!BS37</f>
        <v>0.41609030735225883</v>
      </c>
      <c r="BB37" s="9">
        <f>'3'!V37</f>
        <v>0.56094066979968427</v>
      </c>
      <c r="BC37" s="9">
        <f>'8'!AJ34</f>
        <v>0.56267555644556888</v>
      </c>
      <c r="BD37" s="9">
        <f t="shared" si="12"/>
        <v>0.59243539215669561</v>
      </c>
      <c r="BE37" s="9">
        <f t="shared" si="13"/>
        <v>0.6536797328652949</v>
      </c>
      <c r="BF37" s="9">
        <f>'1'!CA37</f>
        <v>0.5268606498470787</v>
      </c>
      <c r="BG37" s="9">
        <f>'1'!CC37</f>
        <v>0.60999387062791222</v>
      </c>
      <c r="BH37" s="9">
        <f>'2'!CA37</f>
        <v>0.30426274544837378</v>
      </c>
      <c r="BI37" s="9">
        <f>'2'!CC37</f>
        <v>0.44480825621729708</v>
      </c>
      <c r="BJ37" s="9">
        <f>'3'!Y37</f>
        <v>0.47704794118096033</v>
      </c>
      <c r="BK37" s="9">
        <f>'8'!AO34</f>
        <v>0.55423718859588789</v>
      </c>
      <c r="BL37" s="9">
        <f t="shared" si="14"/>
        <v>0.50235724241547719</v>
      </c>
      <c r="BM37" s="9">
        <f t="shared" si="15"/>
        <v>0.57460504803895307</v>
      </c>
      <c r="BN37" s="9">
        <f>'1'!CK37</f>
        <v>0.44570382870967756</v>
      </c>
      <c r="BO37" s="9">
        <f>'1'!CM37</f>
        <v>0.53222842306246443</v>
      </c>
      <c r="BP37" s="9">
        <f>'2'!CK37</f>
        <v>0.43376404841294114</v>
      </c>
      <c r="BQ37" s="9">
        <f>'2'!CM37</f>
        <v>0.58271980216446551</v>
      </c>
      <c r="BR37" s="9">
        <f>'3'!AB37</f>
        <v>0.54691185781896579</v>
      </c>
      <c r="BS37" s="9">
        <f>'8'!AT34</f>
        <v>0.61130209045433137</v>
      </c>
      <c r="BT37" s="9">
        <f t="shared" si="16"/>
        <v>0.47119047976539813</v>
      </c>
      <c r="BU37" s="9">
        <f t="shared" si="17"/>
        <v>0.54665327118750129</v>
      </c>
      <c r="BV37" s="9">
        <f>'1'!CU37</f>
        <v>0.62148496077463289</v>
      </c>
      <c r="BW37" s="9">
        <f>'1'!CW37</f>
        <v>0.69358883188620124</v>
      </c>
      <c r="BX37" s="9">
        <f>'2'!CU37</f>
        <v>0.48247866513571297</v>
      </c>
      <c r="BY37" s="9">
        <f>'2'!CW37</f>
        <v>0.62694018085242942</v>
      </c>
      <c r="BZ37" s="9">
        <f>'3'!AE37</f>
        <v>0.56297404581095867</v>
      </c>
      <c r="CA37" s="9">
        <f>'8'!AY34</f>
        <v>0.64008680591641787</v>
      </c>
      <c r="CB37" s="9">
        <f t="shared" si="18"/>
        <v>0.603593424228552</v>
      </c>
      <c r="CC37" s="9">
        <f t="shared" si="19"/>
        <v>0.66851228557832143</v>
      </c>
      <c r="CD37" s="9">
        <f>'1'!DE37</f>
        <v>0.63710844007810286</v>
      </c>
      <c r="CE37" s="9">
        <f>'1'!DG37</f>
        <v>0.7067391225024624</v>
      </c>
      <c r="CF37" s="9">
        <f>'2'!DE37</f>
        <v>0.38172764205768306</v>
      </c>
      <c r="CG37" s="9">
        <f>'2'!DG37</f>
        <v>0.53129541497825494</v>
      </c>
      <c r="CH37" s="9">
        <f>'3'!AH37</f>
        <v>0.37930919750538505</v>
      </c>
      <c r="CI37" s="9">
        <f>'8'!BD34</f>
        <v>0.57089648141486704</v>
      </c>
      <c r="CJ37" s="9">
        <f t="shared" si="20"/>
        <v>0.57916924015246551</v>
      </c>
      <c r="CK37" s="9">
        <f t="shared" si="21"/>
        <v>0.64286749514157426</v>
      </c>
    </row>
    <row r="38" spans="1:89">
      <c r="A38" s="1">
        <v>2000</v>
      </c>
      <c r="B38" s="9">
        <f>'1'!I38</f>
        <v>0.60769764491524347</v>
      </c>
      <c r="C38" s="9">
        <f>'1'!K38</f>
        <v>0.6818376801695516</v>
      </c>
      <c r="D38" s="9">
        <f>'2'!I38</f>
        <v>0.35005266596543333</v>
      </c>
      <c r="E38" s="9">
        <f>'2'!K38</f>
        <v>0.49752258627761098</v>
      </c>
      <c r="F38" s="9">
        <f>'3'!D38</f>
        <v>0.50214776087536384</v>
      </c>
      <c r="G38" s="9">
        <f>'8'!F35</f>
        <v>0.57886134779821263</v>
      </c>
      <c r="H38" s="9">
        <f t="shared" si="0"/>
        <v>0.56849452890457142</v>
      </c>
      <c r="I38" s="9">
        <f t="shared" si="1"/>
        <v>0.63513954561380481</v>
      </c>
      <c r="J38" s="9">
        <f>'1'!S38</f>
        <v>0.44040329454067229</v>
      </c>
      <c r="K38" s="9">
        <f>'1'!U38</f>
        <v>0.52693122937461123</v>
      </c>
      <c r="L38" s="9">
        <f>'2'!S38</f>
        <v>0.43606835142159517</v>
      </c>
      <c r="M38" s="9">
        <f>'2'!U38</f>
        <v>0.58489177075219223</v>
      </c>
      <c r="N38" s="9">
        <f>'3'!G38</f>
        <v>0.31700490501070799</v>
      </c>
      <c r="O38" s="9">
        <f>'8'!K35</f>
        <v>0.47377308533973922</v>
      </c>
      <c r="P38" s="9">
        <f t="shared" si="2"/>
        <v>0.43096694035567484</v>
      </c>
      <c r="Q38" s="9">
        <f t="shared" si="3"/>
        <v>0.50641883667249177</v>
      </c>
      <c r="R38" s="9">
        <f>'1'!AC38</f>
        <v>0.4783148072775002</v>
      </c>
      <c r="S38" s="9">
        <f>'1'!AE38</f>
        <v>0.56421175836789161</v>
      </c>
      <c r="T38" s="9">
        <f>'2'!AC38</f>
        <v>0.20264730453669488</v>
      </c>
      <c r="U38" s="9">
        <f>'2'!AE38</f>
        <v>0.30646094168125831</v>
      </c>
      <c r="V38" s="9">
        <f>'3'!J38</f>
        <v>0.53867965100765636</v>
      </c>
      <c r="W38" s="9">
        <f>'8'!P35</f>
        <v>0.49744249684194863</v>
      </c>
      <c r="X38" s="9">
        <f t="shared" si="4"/>
        <v>0.45869731033288014</v>
      </c>
      <c r="Y38" s="9">
        <f t="shared" si="5"/>
        <v>0.5292065398106105</v>
      </c>
      <c r="Z38" s="9">
        <f>'1'!AM38</f>
        <v>0.58290400183654201</v>
      </c>
      <c r="AA38" s="9">
        <f>'1'!AO38</f>
        <v>0.66034948533580207</v>
      </c>
      <c r="AB38" s="9">
        <f>'2'!AM38</f>
        <v>0.26186311179892163</v>
      </c>
      <c r="AC38" s="9">
        <f>'2'!AO38</f>
        <v>0.39115521204958803</v>
      </c>
      <c r="AD38" s="9">
        <f>'3'!M38</f>
        <v>0.4826130928988871</v>
      </c>
      <c r="AE38" s="9">
        <f>'8'!U35</f>
        <v>0.54337917554704263</v>
      </c>
      <c r="AF38" s="9">
        <f t="shared" si="6"/>
        <v>0.53681833931006451</v>
      </c>
      <c r="AG38" s="9">
        <f t="shared" si="7"/>
        <v>0.60395938778461322</v>
      </c>
      <c r="AH38" s="9">
        <f>'1'!AW38</f>
        <v>0.46761771480012659</v>
      </c>
      <c r="AI38" s="9">
        <f>'1'!AY38</f>
        <v>0.55383359728220838</v>
      </c>
      <c r="AJ38" s="9">
        <f>'2'!AW38</f>
        <v>0.28951855379795449</v>
      </c>
      <c r="AK38" s="9">
        <f>'2'!AY38</f>
        <v>0.42672561135530873</v>
      </c>
      <c r="AL38" s="9">
        <f>'3'!P38</f>
        <v>0.53234695026410461</v>
      </c>
      <c r="AM38" s="9">
        <f>'8'!Z35</f>
        <v>0.53454163211248873</v>
      </c>
      <c r="AN38" s="9">
        <f t="shared" si="8"/>
        <v>0.46297311397754337</v>
      </c>
      <c r="AO38" s="9">
        <f t="shared" si="9"/>
        <v>0.53704493747073612</v>
      </c>
      <c r="AP38" s="9">
        <f>'1'!BG38</f>
        <v>0.51893058272233095</v>
      </c>
      <c r="AQ38" s="9">
        <f>'1'!BI38</f>
        <v>0.60265793924214173</v>
      </c>
      <c r="AR38" s="9">
        <f>'2'!BG38</f>
        <v>0.31609377067851258</v>
      </c>
      <c r="AS38" s="9">
        <f>'2'!BI38</f>
        <v>0.45890898159538296</v>
      </c>
      <c r="AT38" s="9">
        <f>'3'!S38</f>
        <v>0.49279288395279519</v>
      </c>
      <c r="AU38" s="9">
        <f>'8'!AE35</f>
        <v>0.57332468600192721</v>
      </c>
      <c r="AV38" s="9">
        <f t="shared" si="10"/>
        <v>0.50147254196895519</v>
      </c>
      <c r="AW38" s="9">
        <f t="shared" si="11"/>
        <v>0.57436321262450973</v>
      </c>
      <c r="AX38" s="9">
        <f>'1'!BQ38</f>
        <v>0.67084626602538422</v>
      </c>
      <c r="AY38" s="9">
        <f>'1'!BS38</f>
        <v>0.73455609375436293</v>
      </c>
      <c r="AZ38" s="9">
        <f>'2'!BQ38</f>
        <v>0.29166660330602429</v>
      </c>
      <c r="BA38" s="9">
        <f>'2'!BS38</f>
        <v>0.42939649897209059</v>
      </c>
      <c r="BB38" s="9">
        <f>'3'!V38</f>
        <v>0.58537622844875314</v>
      </c>
      <c r="BC38" s="9">
        <f>'8'!AJ35</f>
        <v>0.57131808333860501</v>
      </c>
      <c r="BD38" s="9">
        <f t="shared" si="12"/>
        <v>0.61442847772710718</v>
      </c>
      <c r="BE38" s="9">
        <f t="shared" si="13"/>
        <v>0.67279834670399885</v>
      </c>
      <c r="BF38" s="9">
        <f>'1'!CA38</f>
        <v>0.54173693135950862</v>
      </c>
      <c r="BG38" s="9">
        <f>'1'!CC38</f>
        <v>0.62361116487932555</v>
      </c>
      <c r="BH38" s="9">
        <f>'2'!CA38</f>
        <v>0.31516512868186242</v>
      </c>
      <c r="BI38" s="9">
        <f>'2'!CC38</f>
        <v>0.45781488533294334</v>
      </c>
      <c r="BJ38" s="9">
        <f>'3'!Y38</f>
        <v>0.4876973796521773</v>
      </c>
      <c r="BK38" s="9">
        <f>'8'!AO35</f>
        <v>0.56775842075651128</v>
      </c>
      <c r="BL38" s="9">
        <f t="shared" si="14"/>
        <v>0.5162779448607111</v>
      </c>
      <c r="BM38" s="9">
        <f t="shared" si="15"/>
        <v>0.5878548839896911</v>
      </c>
      <c r="BN38" s="9">
        <f>'1'!CK38</f>
        <v>0.46776011599062156</v>
      </c>
      <c r="BO38" s="9">
        <f>'1'!CM38</f>
        <v>0.55397246719325099</v>
      </c>
      <c r="BP38" s="9">
        <f>'2'!CK38</f>
        <v>0.49016243808522564</v>
      </c>
      <c r="BQ38" s="9">
        <f>'2'!CM38</f>
        <v>0.63360815548666161</v>
      </c>
      <c r="BR38" s="9">
        <f>'3'!AB38</f>
        <v>0.4202178617119271</v>
      </c>
      <c r="BS38" s="9">
        <f>'8'!AT35</f>
        <v>0.59259162850887204</v>
      </c>
      <c r="BT38" s="9">
        <f t="shared" si="16"/>
        <v>0.47772927402403764</v>
      </c>
      <c r="BU38" s="9">
        <f t="shared" si="17"/>
        <v>0.55242249160602175</v>
      </c>
      <c r="BV38" s="9">
        <f>'1'!CU38</f>
        <v>0.65856412862737246</v>
      </c>
      <c r="BW38" s="9">
        <f>'1'!CW38</f>
        <v>0.72451934666710782</v>
      </c>
      <c r="BX38" s="9">
        <f>'2'!CU38</f>
        <v>0.60823375030767857</v>
      </c>
      <c r="BY38" s="9">
        <f>'2'!CW38</f>
        <v>0.72722117398452579</v>
      </c>
      <c r="BZ38" s="9">
        <f>'3'!AE38</f>
        <v>0.58082201657562027</v>
      </c>
      <c r="CA38" s="9">
        <f>'8'!AY35</f>
        <v>0.63609782744343235</v>
      </c>
      <c r="CB38" s="9">
        <f t="shared" si="18"/>
        <v>0.64351024947183388</v>
      </c>
      <c r="CC38" s="9">
        <f t="shared" si="19"/>
        <v>0.70157764446733339</v>
      </c>
      <c r="CD38" s="9">
        <f>'1'!DE38</f>
        <v>0.66790133193502976</v>
      </c>
      <c r="CE38" s="9">
        <f>'1'!DG38</f>
        <v>0.73215877008868846</v>
      </c>
      <c r="CF38" s="9">
        <f>'2'!DE38</f>
        <v>0.40643735320748853</v>
      </c>
      <c r="CG38" s="9">
        <f>'2'!DG38</f>
        <v>0.55630161999149141</v>
      </c>
      <c r="CH38" s="9">
        <f>'3'!AH38</f>
        <v>0.37611648631347033</v>
      </c>
      <c r="CI38" s="9">
        <f>'8'!BD35</f>
        <v>0.60704245861753581</v>
      </c>
      <c r="CJ38" s="9">
        <f t="shared" si="20"/>
        <v>0.60649056216837027</v>
      </c>
      <c r="CK38" s="9">
        <f t="shared" si="21"/>
        <v>0.66645719555433169</v>
      </c>
    </row>
    <row r="39" spans="1:89">
      <c r="A39" s="1">
        <v>2001</v>
      </c>
      <c r="B39" s="9">
        <f>'1'!I39</f>
        <v>0.62648184541481788</v>
      </c>
      <c r="C39" s="9">
        <f>'1'!K39</f>
        <v>0.69781367427793883</v>
      </c>
      <c r="D39" s="9">
        <f>'2'!I39</f>
        <v>0.34979103379749987</v>
      </c>
      <c r="E39" s="9">
        <f>'2'!K39</f>
        <v>0.49723500426215467</v>
      </c>
      <c r="F39" s="9">
        <f>'3'!D39</f>
        <v>0.51107598404402743</v>
      </c>
      <c r="G39" s="9">
        <f>'8'!F36</f>
        <v>0.55139674317838749</v>
      </c>
      <c r="H39" s="9">
        <f t="shared" si="0"/>
        <v>0.57976366789236389</v>
      </c>
      <c r="I39" s="9">
        <f t="shared" si="1"/>
        <v>0.64444034514301407</v>
      </c>
      <c r="J39" s="9">
        <f>'1'!S39</f>
        <v>0.4825548466815337</v>
      </c>
      <c r="K39" s="9">
        <f>'1'!U39</f>
        <v>0.56829556717051466</v>
      </c>
      <c r="L39" s="9">
        <f>'2'!S39</f>
        <v>0.42286743197028021</v>
      </c>
      <c r="M39" s="9">
        <f>'2'!U39</f>
        <v>0.57233377094208504</v>
      </c>
      <c r="N39" s="9">
        <f>'3'!G39</f>
        <v>0.41124604988384045</v>
      </c>
      <c r="O39" s="9">
        <f>'8'!K36</f>
        <v>0.49950470879844366</v>
      </c>
      <c r="P39" s="9">
        <f t="shared" si="2"/>
        <v>0.47115021174233002</v>
      </c>
      <c r="Q39" s="9">
        <f t="shared" si="3"/>
        <v>0.54611534998179712</v>
      </c>
      <c r="R39" s="9">
        <f>'1'!AC39</f>
        <v>0.51415455480124672</v>
      </c>
      <c r="S39" s="9">
        <f>'1'!AE39</f>
        <v>0.59821346276257581</v>
      </c>
      <c r="T39" s="9">
        <f>'2'!AC39</f>
        <v>0.21425197494443562</v>
      </c>
      <c r="U39" s="9">
        <f>'2'!AE39</f>
        <v>0.32409453366376284</v>
      </c>
      <c r="V39" s="9">
        <f>'3'!J39</f>
        <v>0.57684878294837461</v>
      </c>
      <c r="W39" s="9">
        <f>'8'!P36</f>
        <v>0.43163235365441127</v>
      </c>
      <c r="X39" s="9">
        <f t="shared" si="4"/>
        <v>0.48218149951559486</v>
      </c>
      <c r="Y39" s="9">
        <f t="shared" si="5"/>
        <v>0.55200699096045791</v>
      </c>
      <c r="Z39" s="9">
        <f>'1'!AM39</f>
        <v>0.60626015081086526</v>
      </c>
      <c r="AA39" s="9">
        <f>'1'!AO39</f>
        <v>0.68060444142412546</v>
      </c>
      <c r="AB39" s="9">
        <f>'2'!AM39</f>
        <v>0.26322769278266067</v>
      </c>
      <c r="AC39" s="9">
        <f>'2'!AO39</f>
        <v>0.39296412804427089</v>
      </c>
      <c r="AD39" s="9">
        <f>'3'!M39</f>
        <v>0.4669450335986845</v>
      </c>
      <c r="AE39" s="9">
        <f>'8'!U36</f>
        <v>0.51603940494434264</v>
      </c>
      <c r="AF39" s="9">
        <f t="shared" si="6"/>
        <v>0.54900331870017438</v>
      </c>
      <c r="AG39" s="9">
        <f t="shared" si="7"/>
        <v>0.61401796565561761</v>
      </c>
      <c r="AH39" s="9">
        <f>'1'!AW39</f>
        <v>0.47658532289306299</v>
      </c>
      <c r="AI39" s="9">
        <f>'1'!AY39</f>
        <v>0.56254116753769612</v>
      </c>
      <c r="AJ39" s="9">
        <f>'2'!AW39</f>
        <v>0.294099573542283</v>
      </c>
      <c r="AK39" s="9">
        <f>'2'!AY39</f>
        <v>0.43240641294352056</v>
      </c>
      <c r="AL39" s="9">
        <f>'3'!P39</f>
        <v>0.52521390914088895</v>
      </c>
      <c r="AM39" s="9">
        <f>'8'!Z36</f>
        <v>0.47329947601938116</v>
      </c>
      <c r="AN39" s="9">
        <f t="shared" si="8"/>
        <v>0.46287102189539941</v>
      </c>
      <c r="AO39" s="9">
        <f t="shared" si="9"/>
        <v>0.53687079708676633</v>
      </c>
      <c r="AP39" s="9">
        <f>'1'!BG39</f>
        <v>0.54265827780181919</v>
      </c>
      <c r="AQ39" s="9">
        <f>'1'!BI39</f>
        <v>0.62444843112975701</v>
      </c>
      <c r="AR39" s="9">
        <f>'2'!BG39</f>
        <v>0.32139137955585945</v>
      </c>
      <c r="AS39" s="9">
        <f>'2'!BI39</f>
        <v>0.46511006493250978</v>
      </c>
      <c r="AT39" s="9">
        <f>'3'!S39</f>
        <v>0.51484303698776857</v>
      </c>
      <c r="AU39" s="9">
        <f>'8'!AE36</f>
        <v>0.55909850511304449</v>
      </c>
      <c r="AV39" s="9">
        <f t="shared" si="10"/>
        <v>0.51939408662694064</v>
      </c>
      <c r="AW39" s="9">
        <f t="shared" si="11"/>
        <v>0.59101906249416214</v>
      </c>
      <c r="AX39" s="9">
        <f>'1'!BQ39</f>
        <v>0.68598462591857168</v>
      </c>
      <c r="AY39" s="9">
        <f>'1'!BS39</f>
        <v>0.7467890011563646</v>
      </c>
      <c r="AZ39" s="9">
        <f>'2'!BQ39</f>
        <v>0.29470094381073564</v>
      </c>
      <c r="BA39" s="9">
        <f>'2'!BS39</f>
        <v>0.43314791255453744</v>
      </c>
      <c r="BB39" s="9">
        <f>'3'!V39</f>
        <v>0.59613962738130466</v>
      </c>
      <c r="BC39" s="9">
        <f>'8'!AJ36</f>
        <v>0.53995233333456505</v>
      </c>
      <c r="BD39" s="9">
        <f t="shared" si="12"/>
        <v>0.62326852859566062</v>
      </c>
      <c r="BE39" s="9">
        <f t="shared" si="13"/>
        <v>0.67967628813649594</v>
      </c>
      <c r="BF39" s="9">
        <f>'1'!CA39</f>
        <v>0.56740661016170135</v>
      </c>
      <c r="BG39" s="9">
        <f>'1'!CC39</f>
        <v>0.64667825176523031</v>
      </c>
      <c r="BH39" s="9">
        <f>'2'!CA39</f>
        <v>0.31561857671371757</v>
      </c>
      <c r="BI39" s="9">
        <f>'2'!CC39</f>
        <v>0.45834938926288138</v>
      </c>
      <c r="BJ39" s="9">
        <f>'3'!Y39</f>
        <v>0.54659327697837279</v>
      </c>
      <c r="BK39" s="9">
        <f>'8'!AO36</f>
        <v>0.52786819158789489</v>
      </c>
      <c r="BL39" s="9">
        <f t="shared" si="14"/>
        <v>0.53619263164118947</v>
      </c>
      <c r="BM39" s="9">
        <f t="shared" si="15"/>
        <v>0.6059558620185761</v>
      </c>
      <c r="BN39" s="9">
        <f>'1'!CK39</f>
        <v>0.50243188642159942</v>
      </c>
      <c r="BO39" s="9">
        <f>'1'!CM39</f>
        <v>0.58721954188220093</v>
      </c>
      <c r="BP39" s="9">
        <f>'2'!CK39</f>
        <v>0.46786132598999519</v>
      </c>
      <c r="BQ39" s="9">
        <f>'2'!CM39</f>
        <v>0.61403272052735769</v>
      </c>
      <c r="BR39" s="9">
        <f>'3'!AB39</f>
        <v>0.50956411580239591</v>
      </c>
      <c r="BS39" s="9">
        <f>'8'!AT36</f>
        <v>0.56803531723160205</v>
      </c>
      <c r="BT39" s="9">
        <f t="shared" si="16"/>
        <v>0.50624839639751884</v>
      </c>
      <c r="BU39" s="9">
        <f t="shared" si="17"/>
        <v>0.58021689467367621</v>
      </c>
      <c r="BV39" s="9">
        <f>'1'!CU39</f>
        <v>0.68439814576899927</v>
      </c>
      <c r="BW39" s="9">
        <f>'1'!CW39</f>
        <v>0.74551405090090772</v>
      </c>
      <c r="BX39" s="9">
        <f>'2'!CU39</f>
        <v>0.5773731881112002</v>
      </c>
      <c r="BY39" s="9">
        <f>'2'!CW39</f>
        <v>0.70421748388006</v>
      </c>
      <c r="BZ39" s="9">
        <f>'3'!AE39</f>
        <v>0.59874778619040558</v>
      </c>
      <c r="CA39" s="9">
        <f>'8'!AY36</f>
        <v>0.62609709007118308</v>
      </c>
      <c r="CB39" s="9">
        <f t="shared" si="18"/>
        <v>0.65930050847557831</v>
      </c>
      <c r="CC39" s="9">
        <f t="shared" si="19"/>
        <v>0.71476607164480022</v>
      </c>
      <c r="CD39" s="9">
        <f>'1'!DE39</f>
        <v>0.68251591287710278</v>
      </c>
      <c r="CE39" s="9">
        <f>'1'!DG39</f>
        <v>0.74399929845232138</v>
      </c>
      <c r="CF39" s="9">
        <f>'2'!DE39</f>
        <v>0.41220797351981675</v>
      </c>
      <c r="CG39" s="9">
        <f>'2'!DG39</f>
        <v>0.561984707313536</v>
      </c>
      <c r="CH39" s="9">
        <f>'3'!AH39</f>
        <v>0.31449866527497178</v>
      </c>
      <c r="CI39" s="9">
        <f>'8'!BD36</f>
        <v>0.55002331892054901</v>
      </c>
      <c r="CJ39" s="9">
        <f t="shared" si="20"/>
        <v>0.60543413478550567</v>
      </c>
      <c r="CK39" s="9">
        <f t="shared" si="21"/>
        <v>0.6634501780675307</v>
      </c>
    </row>
    <row r="40" spans="1:89">
      <c r="A40" s="1">
        <v>2002</v>
      </c>
      <c r="B40" s="9">
        <f>'1'!I40</f>
        <v>0.64603724803837104</v>
      </c>
      <c r="C40" s="9">
        <f>'1'!K40</f>
        <v>0.71417707589382318</v>
      </c>
      <c r="D40" s="9">
        <f>'2'!I40</f>
        <v>0.35157732960737681</v>
      </c>
      <c r="E40" s="9">
        <f>'2'!K40</f>
        <v>0.49919555301401564</v>
      </c>
      <c r="F40" s="9">
        <f>'3'!D40</f>
        <v>0.4993868919690741</v>
      </c>
      <c r="G40" s="9">
        <f>'8'!F37</f>
        <v>0.51205581417800172</v>
      </c>
      <c r="H40" s="9">
        <f t="shared" si="0"/>
        <v>0.58852807720230504</v>
      </c>
      <c r="I40" s="9">
        <f t="shared" si="1"/>
        <v>0.6509877790417854</v>
      </c>
      <c r="J40" s="9">
        <f>'1'!S40</f>
        <v>0.51817309037159864</v>
      </c>
      <c r="K40" s="9">
        <f>'1'!U40</f>
        <v>0.60195435719786172</v>
      </c>
      <c r="L40" s="9">
        <f>'2'!S40</f>
        <v>0.43528803154789669</v>
      </c>
      <c r="M40" s="9">
        <f>'2'!U40</f>
        <v>0.58415720321001086</v>
      </c>
      <c r="N40" s="9">
        <f>'3'!G40</f>
        <v>0.32051670050138581</v>
      </c>
      <c r="O40" s="9">
        <f>'8'!K37</f>
        <v>0.47734990143508094</v>
      </c>
      <c r="P40" s="9">
        <f t="shared" si="2"/>
        <v>0.4860366266085554</v>
      </c>
      <c r="Q40" s="9">
        <f t="shared" si="3"/>
        <v>0.55957043055315092</v>
      </c>
      <c r="R40" s="9">
        <f>'1'!AC40</f>
        <v>0.53624046823867666</v>
      </c>
      <c r="S40" s="9">
        <f>'1'!AE40</f>
        <v>0.6186015840985698</v>
      </c>
      <c r="T40" s="9">
        <f>'2'!AC40</f>
        <v>0.22170022458170222</v>
      </c>
      <c r="U40" s="9">
        <f>'2'!AE40</f>
        <v>0.33512774372120513</v>
      </c>
      <c r="V40" s="9">
        <f>'3'!J40</f>
        <v>0.63100468817585098</v>
      </c>
      <c r="W40" s="9">
        <f>'8'!P37</f>
        <v>0.47401391023156625</v>
      </c>
      <c r="X40" s="9">
        <f t="shared" si="4"/>
        <v>0.50804021006598565</v>
      </c>
      <c r="Y40" s="9">
        <f t="shared" si="5"/>
        <v>0.57703574308186112</v>
      </c>
      <c r="Z40" s="9">
        <f>'1'!AM40</f>
        <v>0.64146109227636638</v>
      </c>
      <c r="AA40" s="9">
        <f>'1'!AO40</f>
        <v>0.71037196321818752</v>
      </c>
      <c r="AB40" s="9">
        <f>'2'!AM40</f>
        <v>0.26048139799075898</v>
      </c>
      <c r="AC40" s="9">
        <f>'2'!AO40</f>
        <v>0.38931763543815245</v>
      </c>
      <c r="AD40" s="9">
        <f>'3'!M40</f>
        <v>0.45948878897349577</v>
      </c>
      <c r="AE40" s="9">
        <f>'8'!U37</f>
        <v>0.47198552345040967</v>
      </c>
      <c r="AF40" s="9">
        <f t="shared" si="6"/>
        <v>0.56821833563492286</v>
      </c>
      <c r="AG40" s="9">
        <f t="shared" si="7"/>
        <v>0.62933956903893706</v>
      </c>
      <c r="AH40" s="9">
        <f>'1'!AW40</f>
        <v>0.4999476600642816</v>
      </c>
      <c r="AI40" s="9">
        <f>'1'!AY40</f>
        <v>0.58487404489405415</v>
      </c>
      <c r="AJ40" s="9">
        <f>'2'!AW40</f>
        <v>0.29950969283697348</v>
      </c>
      <c r="AK40" s="9">
        <f>'2'!AY40</f>
        <v>0.43904226846063688</v>
      </c>
      <c r="AL40" s="9">
        <f>'3'!P40</f>
        <v>0.45548182780966318</v>
      </c>
      <c r="AM40" s="9">
        <f>'8'!Z37</f>
        <v>0.47031596384641045</v>
      </c>
      <c r="AN40" s="9">
        <f t="shared" si="8"/>
        <v>0.47249411049430184</v>
      </c>
      <c r="AO40" s="9">
        <f t="shared" si="9"/>
        <v>0.54589583743750891</v>
      </c>
      <c r="AP40" s="9">
        <f>'1'!BG40</f>
        <v>0.56300589110130783</v>
      </c>
      <c r="AQ40" s="9">
        <f>'1'!BI40</f>
        <v>0.6427615553314312</v>
      </c>
      <c r="AR40" s="9">
        <f>'2'!BG40</f>
        <v>0.32574163288715241</v>
      </c>
      <c r="AS40" s="9">
        <f>'2'!BI40</f>
        <v>0.47015158000015134</v>
      </c>
      <c r="AT40" s="9">
        <f>'3'!S40</f>
        <v>0.52167806416076257</v>
      </c>
      <c r="AU40" s="9">
        <f>'8'!AE37</f>
        <v>0.53433378650175545</v>
      </c>
      <c r="AV40" s="9">
        <f t="shared" si="10"/>
        <v>0.53227947212588256</v>
      </c>
      <c r="AW40" s="9">
        <f t="shared" si="11"/>
        <v>0.6025494317982687</v>
      </c>
      <c r="AX40" s="9">
        <f>'1'!BQ40</f>
        <v>0.70615839029193861</v>
      </c>
      <c r="AY40" s="9">
        <f>'1'!BS40</f>
        <v>0.76286025053788065</v>
      </c>
      <c r="AZ40" s="9">
        <f>'2'!BQ40</f>
        <v>0.29758483743233022</v>
      </c>
      <c r="BA40" s="9">
        <f>'2'!BS40</f>
        <v>0.43669027579590569</v>
      </c>
      <c r="BB40" s="9">
        <f>'3'!V40</f>
        <v>0.56244896390438914</v>
      </c>
      <c r="BC40" s="9">
        <f>'8'!AJ37</f>
        <v>0.48731835015735403</v>
      </c>
      <c r="BD40" s="9">
        <f t="shared" si="12"/>
        <v>0.62904608835376441</v>
      </c>
      <c r="BE40" s="9">
        <f t="shared" si="13"/>
        <v>0.68264793436228133</v>
      </c>
      <c r="BF40" s="9">
        <f>'1'!CA40</f>
        <v>0.58768660768432635</v>
      </c>
      <c r="BG40" s="9">
        <f>'1'!CC40</f>
        <v>0.66453081992756835</v>
      </c>
      <c r="BH40" s="9">
        <f>'2'!CA40</f>
        <v>0.31784881029076906</v>
      </c>
      <c r="BI40" s="9">
        <f>'2'!CC40</f>
        <v>0.46097091721101546</v>
      </c>
      <c r="BJ40" s="9">
        <f>'3'!Y40</f>
        <v>0.49264812516604545</v>
      </c>
      <c r="BK40" s="9">
        <f>'8'!AO37</f>
        <v>0.53490233870051695</v>
      </c>
      <c r="BL40" s="9">
        <f t="shared" si="14"/>
        <v>0.54592055279476148</v>
      </c>
      <c r="BM40" s="9">
        <f t="shared" si="15"/>
        <v>0.61402371205705553</v>
      </c>
      <c r="BN40" s="9">
        <f>'1'!CK40</f>
        <v>0.52290842253150849</v>
      </c>
      <c r="BO40" s="9">
        <f>'1'!CM40</f>
        <v>0.60634452234550229</v>
      </c>
      <c r="BP40" s="9">
        <f>'2'!CK40</f>
        <v>0.47033701053853599</v>
      </c>
      <c r="BQ40" s="9">
        <f>'2'!CM40</f>
        <v>0.61623975721290891</v>
      </c>
      <c r="BR40" s="9">
        <f>'3'!AB40</f>
        <v>0.50039360026875235</v>
      </c>
      <c r="BS40" s="9">
        <f>'8'!AT37</f>
        <v>0.53730076682248606</v>
      </c>
      <c r="BT40" s="9">
        <f t="shared" si="16"/>
        <v>0.51683903353503335</v>
      </c>
      <c r="BU40" s="9">
        <f t="shared" si="17"/>
        <v>0.58983457807226636</v>
      </c>
      <c r="BV40" s="9">
        <f>'1'!CU40</f>
        <v>0.69899179728158278</v>
      </c>
      <c r="BW40" s="9">
        <f>'1'!CW40</f>
        <v>0.7571807734887801</v>
      </c>
      <c r="BX40" s="9">
        <f>'2'!CU40</f>
        <v>0.58103322241899913</v>
      </c>
      <c r="BY40" s="9">
        <f>'2'!CW40</f>
        <v>0.70699540486502366</v>
      </c>
      <c r="BZ40" s="9">
        <f>'3'!AE40</f>
        <v>0.66093077439176251</v>
      </c>
      <c r="CA40" s="9">
        <f>'8'!AY37</f>
        <v>0.60255218635365027</v>
      </c>
      <c r="CB40" s="9">
        <f t="shared" si="18"/>
        <v>0.67374587641354911</v>
      </c>
      <c r="CC40" s="9">
        <f t="shared" si="19"/>
        <v>0.72707437800318964</v>
      </c>
      <c r="CD40" s="9">
        <f>'1'!DE40</f>
        <v>0.69977640301901978</v>
      </c>
      <c r="CE40" s="9">
        <f>'1'!DG40</f>
        <v>0.75780415330257112</v>
      </c>
      <c r="CF40" s="9">
        <f>'2'!DE40</f>
        <v>0.4088294434636604</v>
      </c>
      <c r="CG40" s="9">
        <f>'2'!DG40</f>
        <v>0.55866439966469406</v>
      </c>
      <c r="CH40" s="9">
        <f>'3'!AH40</f>
        <v>0.27951742630665571</v>
      </c>
      <c r="CI40" s="9">
        <f>'8'!BD37</f>
        <v>0.49134483678116497</v>
      </c>
      <c r="CJ40" s="9">
        <f t="shared" si="20"/>
        <v>0.60781265276846186</v>
      </c>
      <c r="CK40" s="9">
        <f t="shared" si="21"/>
        <v>0.66341557358705128</v>
      </c>
    </row>
    <row r="41" spans="1:89">
      <c r="A41" s="1">
        <v>2003</v>
      </c>
      <c r="B41" s="9">
        <f>'1'!I41</f>
        <v>0.66790011172971175</v>
      </c>
      <c r="C41" s="9">
        <f>'1'!K41</f>
        <v>0.73215777558066708</v>
      </c>
      <c r="D41" s="9">
        <f>'2'!I41</f>
        <v>0.36351439297037474</v>
      </c>
      <c r="E41" s="9">
        <f>'2'!K41</f>
        <v>0.5121244684058377</v>
      </c>
      <c r="F41" s="9">
        <f>'3'!D41</f>
        <v>0.50314279809928009</v>
      </c>
      <c r="G41" s="9">
        <f>'8'!F38</f>
        <v>0.50774013929159489</v>
      </c>
      <c r="H41" s="9">
        <f t="shared" ref="H41:H46" si="22">(0.7)*B41+(0.1)*D41+(0.1)*F41+(0.1)*G41</f>
        <v>0.60496981124692306</v>
      </c>
      <c r="I41" s="9">
        <f t="shared" ref="I41:I46" si="23">(0.7)*C41+(0.1)*E41+(0.1)*F41+(0.1)*G41</f>
        <v>0.66481118348613821</v>
      </c>
      <c r="J41" s="9">
        <f>'1'!S41</f>
        <v>0.53172913282398937</v>
      </c>
      <c r="K41" s="9">
        <f>'1'!U41</f>
        <v>0.61447090905261836</v>
      </c>
      <c r="L41" s="9">
        <f>'2'!S41</f>
        <v>0.43504105123682457</v>
      </c>
      <c r="M41" s="9">
        <f>'2'!U41</f>
        <v>0.58392450395815643</v>
      </c>
      <c r="N41" s="9">
        <f>'3'!G41</f>
        <v>0.33795374537894463</v>
      </c>
      <c r="O41" s="9">
        <f>'8'!K38</f>
        <v>0.45163289883695507</v>
      </c>
      <c r="P41" s="9">
        <f t="shared" ref="P41:P46" si="24">(0.7)*J41+(0.1)*L41+(0.1)*N41+(0.1)*O41</f>
        <v>0.49467316252206495</v>
      </c>
      <c r="Q41" s="9">
        <f t="shared" ref="Q41:Q46" si="25">(0.7)*K41+(0.1)*M41+(0.1)*N41+(0.1)*O41</f>
        <v>0.56748075115423846</v>
      </c>
      <c r="R41" s="9">
        <f>'1'!AC41</f>
        <v>0.56484597538070591</v>
      </c>
      <c r="S41" s="9">
        <f>'1'!AE41</f>
        <v>0.64440113265761823</v>
      </c>
      <c r="T41" s="9">
        <f>'2'!AC41</f>
        <v>0.22900414900116234</v>
      </c>
      <c r="U41" s="9">
        <f>'2'!AE41</f>
        <v>0.34574090115885681</v>
      </c>
      <c r="V41" s="9">
        <f>'3'!J41</f>
        <v>0.68916827438751882</v>
      </c>
      <c r="W41" s="9">
        <f>'8'!P38</f>
        <v>0.44015235940963948</v>
      </c>
      <c r="X41" s="9">
        <f t="shared" ref="X41:X46" si="26">(0.7)*R41+(0.1)*T41+(0.1)*V41+(0.1)*W41</f>
        <v>0.53122466104632615</v>
      </c>
      <c r="Y41" s="9">
        <f t="shared" ref="Y41:Y46" si="27">(0.7)*S41+(0.1)*U41+(0.1)*V41+(0.1)*W41</f>
        <v>0.59858694635593424</v>
      </c>
      <c r="Z41" s="9">
        <f>'1'!AM41</f>
        <v>0.66216294347264948</v>
      </c>
      <c r="AA41" s="9">
        <f>'1'!AO41</f>
        <v>0.72747075158400254</v>
      </c>
      <c r="AB41" s="9">
        <f>'2'!AM41</f>
        <v>0.2616420657755083</v>
      </c>
      <c r="AC41" s="9">
        <f>'2'!AO41</f>
        <v>0.3908616405066308</v>
      </c>
      <c r="AD41" s="9">
        <f>'3'!M41</f>
        <v>0.42297176542006165</v>
      </c>
      <c r="AE41" s="9">
        <f>'8'!U38</f>
        <v>0.47815479311819797</v>
      </c>
      <c r="AF41" s="9">
        <f t="shared" ref="AF41:AF46" si="28">(0.7)*Z41+(0.1)*AB41+(0.1)*AD41+(0.1)*AE41</f>
        <v>0.57979092286223144</v>
      </c>
      <c r="AG41" s="9">
        <f t="shared" ref="AG41:AG46" si="29">(0.7)*AA41+(0.1)*AC41+(0.1)*AD41+(0.1)*AE41</f>
        <v>0.6384283460132909</v>
      </c>
      <c r="AH41" s="9">
        <f>'1'!AW41</f>
        <v>0.51812443683337017</v>
      </c>
      <c r="AI41" s="9">
        <f>'1'!AY41</f>
        <v>0.60190914927118433</v>
      </c>
      <c r="AJ41" s="9">
        <f>'2'!AW41</f>
        <v>0.30359612753296683</v>
      </c>
      <c r="AK41" s="9">
        <f>'2'!AY41</f>
        <v>0.44400312984522916</v>
      </c>
      <c r="AL41" s="9">
        <f>'3'!P41</f>
        <v>0.41160953420023483</v>
      </c>
      <c r="AM41" s="9">
        <f>'8'!Z38</f>
        <v>0.44398761411016308</v>
      </c>
      <c r="AN41" s="9">
        <f t="shared" ref="AN41:AN46" si="30">(0.7)*AH41+(0.1)*AJ41+(0.1)*AL41+(0.1)*AM41</f>
        <v>0.47860643336769559</v>
      </c>
      <c r="AO41" s="9">
        <f t="shared" ref="AO41:AO46" si="31">(0.7)*AI41+(0.1)*AK41+(0.1)*AL41+(0.1)*AM41</f>
        <v>0.55129643230539171</v>
      </c>
      <c r="AP41" s="9">
        <f>'1'!BG41</f>
        <v>0.59300707319132673</v>
      </c>
      <c r="AQ41" s="9">
        <f>'1'!BI41</f>
        <v>0.66916181013582332</v>
      </c>
      <c r="AR41" s="9">
        <f>'2'!BG41</f>
        <v>0.33198937478293461</v>
      </c>
      <c r="AS41" s="9">
        <f>'2'!BI41</f>
        <v>0.4773139207600619</v>
      </c>
      <c r="AT41" s="9">
        <f>'3'!S41</f>
        <v>0.54527135809527338</v>
      </c>
      <c r="AU41" s="9">
        <f>'8'!AE38</f>
        <v>0.52412010189365599</v>
      </c>
      <c r="AV41" s="9">
        <f t="shared" ref="AV41:AV46" si="32">(0.7)*AP41+(0.1)*AR41+(0.1)*AT41+(0.1)*AU41</f>
        <v>0.55524303471111514</v>
      </c>
      <c r="AW41" s="9">
        <f t="shared" ref="AW41:AW46" si="33">(0.7)*AQ41+(0.1)*AS41+(0.1)*AT41+(0.1)*AU41</f>
        <v>0.62308380516997552</v>
      </c>
      <c r="AX41" s="9">
        <f>'1'!BQ41</f>
        <v>0.72814586378270407</v>
      </c>
      <c r="AY41" s="9">
        <f>'1'!BS41</f>
        <v>0.78008528358466378</v>
      </c>
      <c r="AZ41" s="9">
        <f>'2'!BQ41</f>
        <v>0.30341941194699057</v>
      </c>
      <c r="BA41" s="9">
        <f>'2'!BS41</f>
        <v>0.44378950320805027</v>
      </c>
      <c r="BB41" s="9">
        <f>'3'!V41</f>
        <v>0.582872589220094</v>
      </c>
      <c r="BC41" s="9">
        <f>'8'!AJ38</f>
        <v>0.48863746059964691</v>
      </c>
      <c r="BD41" s="9">
        <f t="shared" ref="BD41:BD46" si="34">(0.7)*AX41+(0.1)*AZ41+(0.1)*BB41+(0.1)*BC41</f>
        <v>0.64719505082456585</v>
      </c>
      <c r="BE41" s="9">
        <f t="shared" ref="BE41:BE46" si="35">(0.7)*AY41+(0.1)*BA41+(0.1)*BB41+(0.1)*BC41</f>
        <v>0.69758965381204374</v>
      </c>
      <c r="BF41" s="9">
        <f>'1'!CA41</f>
        <v>0.60406633948456723</v>
      </c>
      <c r="BG41" s="9">
        <f>'1'!CC41</f>
        <v>0.67871939582636442</v>
      </c>
      <c r="BH41" s="9">
        <f>'2'!CA41</f>
        <v>0.32238280986879825</v>
      </c>
      <c r="BI41" s="9">
        <f>'2'!CC41</f>
        <v>0.46626301861092806</v>
      </c>
      <c r="BJ41" s="9">
        <f>'3'!Y41</f>
        <v>0.5280502759686404</v>
      </c>
      <c r="BK41" s="9">
        <f>'8'!AO38</f>
        <v>0.54275876846982352</v>
      </c>
      <c r="BL41" s="9">
        <f t="shared" ref="BL41:BL46" si="36">(0.7)*BF41+(0.1)*BH41+(0.1)*BJ41+(0.1)*BK41</f>
        <v>0.56216562306992324</v>
      </c>
      <c r="BM41" s="9">
        <f t="shared" ref="BM41:BM46" si="37">(0.7)*BG41+(0.1)*BI41+(0.1)*BJ41+(0.1)*BK41</f>
        <v>0.62881078338339425</v>
      </c>
      <c r="BN41" s="9">
        <f>'1'!CK41</f>
        <v>0.53560443588310236</v>
      </c>
      <c r="BO41" s="9">
        <f>'1'!CM41</f>
        <v>0.61802025818743667</v>
      </c>
      <c r="BP41" s="9">
        <f>'2'!CK41</f>
        <v>0.49710904465845734</v>
      </c>
      <c r="BQ41" s="9">
        <f>'2'!CM41</f>
        <v>0.63956910342030737</v>
      </c>
      <c r="BR41" s="9">
        <f>'3'!AB41</f>
        <v>0.49367216324488522</v>
      </c>
      <c r="BS41" s="9">
        <f>'8'!AT38</f>
        <v>0.55049116782559471</v>
      </c>
      <c r="BT41" s="9">
        <f t="shared" ref="BT41:BT46" si="38">(0.7)*BN41+(0.1)*BP41+(0.1)*BR41+(0.1)*BS41</f>
        <v>0.52905034269106532</v>
      </c>
      <c r="BU41" s="9">
        <f t="shared" ref="BU41:BU46" si="39">(0.7)*BO41+(0.1)*BQ41+(0.1)*BR41+(0.1)*BS41</f>
        <v>0.60098742418028439</v>
      </c>
      <c r="BV41" s="9">
        <f>'1'!CU41</f>
        <v>0.71339040960749223</v>
      </c>
      <c r="BW41" s="9">
        <f>'1'!CW41</f>
        <v>0.7685588532465637</v>
      </c>
      <c r="BX41" s="9">
        <f>'2'!CU41</f>
        <v>0.62127111995067152</v>
      </c>
      <c r="BY41" s="9">
        <f>'2'!CW41</f>
        <v>0.73666348204483123</v>
      </c>
      <c r="BZ41" s="9">
        <f>'3'!AE41</f>
        <v>0.53860890889353696</v>
      </c>
      <c r="CA41" s="9">
        <f>'8'!AY38</f>
        <v>0.5872506918372582</v>
      </c>
      <c r="CB41" s="9">
        <f t="shared" ref="CB41:CB46" si="40">(0.7)*BV41+(0.1)*BX41+(0.1)*BZ41+(0.1)*CA41</f>
        <v>0.67408635879339118</v>
      </c>
      <c r="CC41" s="9">
        <f t="shared" ref="CC41:CC46" si="41">(0.7)*BW41+(0.1)*BY41+(0.1)*BZ41+(0.1)*CA41</f>
        <v>0.72424350555015726</v>
      </c>
      <c r="CD41" s="9">
        <f>'1'!DE41</f>
        <v>0.71973601901368522</v>
      </c>
      <c r="CE41" s="9">
        <f>'1'!DG41</f>
        <v>0.77353221225075286</v>
      </c>
      <c r="CF41" s="9">
        <f>'2'!DE41</f>
        <v>0.42497449107229696</v>
      </c>
      <c r="CG41" s="9">
        <f>'2'!DG41</f>
        <v>0.57435711758698982</v>
      </c>
      <c r="CH41" s="9">
        <f>'3'!AH41</f>
        <v>0.30568836782083347</v>
      </c>
      <c r="CI41" s="9">
        <f>'8'!BD38</f>
        <v>0.47764982398540601</v>
      </c>
      <c r="CJ41" s="9">
        <f t="shared" ref="CJ41:CJ46" si="42">(0.7)*CD41+(0.1)*CF41+(0.1)*CH41+(0.1)*CI41</f>
        <v>0.6246464815974333</v>
      </c>
      <c r="CK41" s="9">
        <f t="shared" ref="CK41:CK46" si="43">(0.7)*CE41+(0.1)*CG41+(0.1)*CH41+(0.1)*CI41</f>
        <v>0.67724207951484994</v>
      </c>
    </row>
    <row r="42" spans="1:89">
      <c r="A42" s="1">
        <v>2004</v>
      </c>
      <c r="B42" s="9">
        <f>'1'!I42</f>
        <v>0.6899340129521192</v>
      </c>
      <c r="C42" s="9">
        <f>'1'!K42</f>
        <v>0.74995577721682849</v>
      </c>
      <c r="D42" s="9">
        <f>'2'!I42</f>
        <v>0.37961828068370757</v>
      </c>
      <c r="E42" s="9">
        <f>'2'!K42</f>
        <v>0.52910831465534658</v>
      </c>
      <c r="F42" s="9">
        <f>'3'!D42</f>
        <v>0.47808133692446614</v>
      </c>
      <c r="G42" s="9">
        <f>'8'!F39</f>
        <v>0.51596623412325804</v>
      </c>
      <c r="H42" s="9">
        <f t="shared" si="22"/>
        <v>0.62032039423962659</v>
      </c>
      <c r="I42" s="9">
        <f t="shared" si="23"/>
        <v>0.67728463262208705</v>
      </c>
      <c r="J42" s="9">
        <f>'1'!S42</f>
        <v>0.54784729185012326</v>
      </c>
      <c r="K42" s="9">
        <f>'1'!U42</f>
        <v>0.62915077446744916</v>
      </c>
      <c r="L42" s="9">
        <f>'2'!S42</f>
        <v>0.48431866550680364</v>
      </c>
      <c r="M42" s="9">
        <f>'2'!U42</f>
        <v>0.6285441479245214</v>
      </c>
      <c r="N42" s="9">
        <f>'3'!G42</f>
        <v>0.31268665690853231</v>
      </c>
      <c r="O42" s="9">
        <f>'8'!K39</f>
        <v>0.43060369246007757</v>
      </c>
      <c r="P42" s="9">
        <f t="shared" si="24"/>
        <v>0.50625400578262769</v>
      </c>
      <c r="Q42" s="9">
        <f t="shared" si="25"/>
        <v>0.57758899185652746</v>
      </c>
      <c r="R42" s="9">
        <f>'1'!AC42</f>
        <v>0.56770374652001532</v>
      </c>
      <c r="S42" s="9">
        <f>'1'!AE42</f>
        <v>0.64694215130376953</v>
      </c>
      <c r="T42" s="9">
        <f>'2'!AC42</f>
        <v>0.23897996945008093</v>
      </c>
      <c r="U42" s="9">
        <f>'2'!AE42</f>
        <v>0.35992027333288035</v>
      </c>
      <c r="V42" s="9">
        <f>'3'!J42</f>
        <v>0.71652592922084468</v>
      </c>
      <c r="W42" s="9">
        <f>'8'!P39</f>
        <v>0.43167904981643213</v>
      </c>
      <c r="X42" s="9">
        <f t="shared" si="26"/>
        <v>0.53611111741274653</v>
      </c>
      <c r="Y42" s="9">
        <f t="shared" si="27"/>
        <v>0.6036720311496544</v>
      </c>
      <c r="Z42" s="9">
        <f>'1'!AM42</f>
        <v>0.67988602680818677</v>
      </c>
      <c r="AA42" s="9">
        <f>'1'!AO42</f>
        <v>0.74187898689348075</v>
      </c>
      <c r="AB42" s="9">
        <f>'2'!AM42</f>
        <v>0.26984703651749492</v>
      </c>
      <c r="AC42" s="9">
        <f>'2'!AO42</f>
        <v>0.40165721446367503</v>
      </c>
      <c r="AD42" s="9">
        <f>'3'!M42</f>
        <v>0.44957251458312769</v>
      </c>
      <c r="AE42" s="9">
        <f>'8'!U39</f>
        <v>0.50070210592867204</v>
      </c>
      <c r="AF42" s="9">
        <f t="shared" si="28"/>
        <v>0.59793238446866015</v>
      </c>
      <c r="AG42" s="9">
        <f t="shared" si="29"/>
        <v>0.65450847432298398</v>
      </c>
      <c r="AH42" s="9">
        <f>'1'!AW42</f>
        <v>0.55061841542550904</v>
      </c>
      <c r="AI42" s="9">
        <f>'1'!AY42</f>
        <v>0.6316529113060152</v>
      </c>
      <c r="AJ42" s="9">
        <f>'2'!AW42</f>
        <v>0.31874962048666344</v>
      </c>
      <c r="AK42" s="9">
        <f>'2'!AY42</f>
        <v>0.46202631876990846</v>
      </c>
      <c r="AL42" s="9">
        <f>'3'!P42</f>
        <v>0.43961543511611179</v>
      </c>
      <c r="AM42" s="9">
        <f>'8'!Z39</f>
        <v>0.45778132091988288</v>
      </c>
      <c r="AN42" s="9">
        <f t="shared" si="30"/>
        <v>0.50704752845012213</v>
      </c>
      <c r="AO42" s="9">
        <f t="shared" si="31"/>
        <v>0.57809934539480101</v>
      </c>
      <c r="AP42" s="9">
        <f>'1'!BG42</f>
        <v>0.61255407428745345</v>
      </c>
      <c r="AQ42" s="9">
        <f>'1'!BI42</f>
        <v>0.68599276792918085</v>
      </c>
      <c r="AR42" s="9">
        <f>'2'!BG42</f>
        <v>0.34386656268445254</v>
      </c>
      <c r="AS42" s="9">
        <f>'2'!BI42</f>
        <v>0.49068322761589422</v>
      </c>
      <c r="AT42" s="9">
        <f>'3'!S42</f>
        <v>0.58104128717154824</v>
      </c>
      <c r="AU42" s="9">
        <f>'8'!AE39</f>
        <v>0.55248116841431039</v>
      </c>
      <c r="AV42" s="9">
        <f t="shared" si="32"/>
        <v>0.57652675382824858</v>
      </c>
      <c r="AW42" s="9">
        <f t="shared" si="33"/>
        <v>0.6426155058706019</v>
      </c>
      <c r="AX42" s="9">
        <f>'1'!BQ42</f>
        <v>0.75127092994033673</v>
      </c>
      <c r="AY42" s="9">
        <f>'1'!BS42</f>
        <v>0.79788496891546279</v>
      </c>
      <c r="AZ42" s="9">
        <f>'2'!BQ42</f>
        <v>0.3138672498996436</v>
      </c>
      <c r="BA42" s="9">
        <f>'2'!BS42</f>
        <v>0.45628219029951711</v>
      </c>
      <c r="BB42" s="9">
        <f>'3'!V42</f>
        <v>0.49364007922877107</v>
      </c>
      <c r="BC42" s="9">
        <f>'8'!AJ39</f>
        <v>0.48246168512621723</v>
      </c>
      <c r="BD42" s="9">
        <f t="shared" si="34"/>
        <v>0.65488655238369886</v>
      </c>
      <c r="BE42" s="9">
        <f t="shared" si="35"/>
        <v>0.70175787370627452</v>
      </c>
      <c r="BF42" s="9">
        <f>'1'!CA42</f>
        <v>0.62366146387753496</v>
      </c>
      <c r="BG42" s="9">
        <f>'1'!CC42</f>
        <v>0.69543126379156506</v>
      </c>
      <c r="BH42" s="9">
        <f>'2'!CA42</f>
        <v>0.33293516459729988</v>
      </c>
      <c r="BI42" s="9">
        <f>'2'!CC42</f>
        <v>0.47839025614465241</v>
      </c>
      <c r="BJ42" s="9">
        <f>'3'!Y42</f>
        <v>0.52659501140425125</v>
      </c>
      <c r="BK42" s="9">
        <f>'8'!AO39</f>
        <v>0.54216681123845067</v>
      </c>
      <c r="BL42" s="9">
        <f t="shared" si="36"/>
        <v>0.57673272343827464</v>
      </c>
      <c r="BM42" s="9">
        <f t="shared" si="37"/>
        <v>0.64151709253283096</v>
      </c>
      <c r="BN42" s="9">
        <f>'1'!CK42</f>
        <v>0.55339212990848174</v>
      </c>
      <c r="BO42" s="9">
        <f>'1'!CM42</f>
        <v>0.63415109313756368</v>
      </c>
      <c r="BP42" s="9">
        <f>'2'!CK42</f>
        <v>0.52583069429502505</v>
      </c>
      <c r="BQ42" s="9">
        <f>'2'!CM42</f>
        <v>0.66356579728393372</v>
      </c>
      <c r="BR42" s="9">
        <f>'3'!AB42</f>
        <v>0.39251773049857858</v>
      </c>
      <c r="BS42" s="9">
        <f>'8'!AT39</f>
        <v>0.56127288956406873</v>
      </c>
      <c r="BT42" s="9">
        <f t="shared" si="38"/>
        <v>0.53533662237170443</v>
      </c>
      <c r="BU42" s="9">
        <f t="shared" si="39"/>
        <v>0.60564140693095259</v>
      </c>
      <c r="BV42" s="9">
        <f>'1'!CU42</f>
        <v>0.73684749328894783</v>
      </c>
      <c r="BW42" s="9">
        <f>'1'!CW42</f>
        <v>0.78682052485356113</v>
      </c>
      <c r="BX42" s="9">
        <f>'2'!CU42</f>
        <v>0.64915590754528329</v>
      </c>
      <c r="BY42" s="9">
        <f>'2'!CW42</f>
        <v>0.75634198166826749</v>
      </c>
      <c r="BZ42" s="9">
        <f>'3'!AE42</f>
        <v>0.53870975031676926</v>
      </c>
      <c r="CA42" s="9">
        <f>'8'!AY39</f>
        <v>0.59647555754004333</v>
      </c>
      <c r="CB42" s="9">
        <f t="shared" si="40"/>
        <v>0.6942273668424731</v>
      </c>
      <c r="CC42" s="9">
        <f t="shared" si="41"/>
        <v>0.73992709635000076</v>
      </c>
      <c r="CD42" s="9">
        <f>'1'!DE42</f>
        <v>0.7440893030786524</v>
      </c>
      <c r="CE42" s="9">
        <f>'1'!DG42</f>
        <v>0.79239123227672281</v>
      </c>
      <c r="CF42" s="9">
        <f>'2'!DE42</f>
        <v>0.43697907497870775</v>
      </c>
      <c r="CG42" s="9">
        <f>'2'!DG42</f>
        <v>0.58574788416938817</v>
      </c>
      <c r="CH42" s="9">
        <f>'3'!AH42</f>
        <v>0.32658628401928419</v>
      </c>
      <c r="CI42" s="9">
        <f>'8'!BD39</f>
        <v>0.49377195146083552</v>
      </c>
      <c r="CJ42" s="9">
        <f t="shared" si="42"/>
        <v>0.64659624320093945</v>
      </c>
      <c r="CK42" s="9">
        <f t="shared" si="43"/>
        <v>0.69528447455865672</v>
      </c>
    </row>
    <row r="43" spans="1:89">
      <c r="A43" s="1">
        <v>2005</v>
      </c>
      <c r="B43" s="9">
        <f>'1'!I43</f>
        <v>0.71372649724491843</v>
      </c>
      <c r="C43" s="9">
        <f>'1'!K43</f>
        <v>0.7688228865667871</v>
      </c>
      <c r="D43" s="9">
        <f>'2'!I43</f>
        <v>0.40536908875496142</v>
      </c>
      <c r="E43" s="9">
        <f>'2'!K43</f>
        <v>0.55524322943660276</v>
      </c>
      <c r="F43" s="9">
        <f>'3'!D43</f>
        <v>0.48807374584042851</v>
      </c>
      <c r="G43" s="9">
        <f>'8'!F40</f>
        <v>0.51756411217884624</v>
      </c>
      <c r="H43" s="9">
        <f t="shared" si="22"/>
        <v>0.64070924274886654</v>
      </c>
      <c r="I43" s="9">
        <f t="shared" si="23"/>
        <v>0.69426412934233872</v>
      </c>
      <c r="J43" s="9">
        <f>'1'!S43</f>
        <v>0.56734103853214679</v>
      </c>
      <c r="K43" s="9">
        <f>'1'!U43</f>
        <v>0.64662000534747111</v>
      </c>
      <c r="L43" s="9">
        <f>'2'!S43</f>
        <v>0.66885863556400604</v>
      </c>
      <c r="M43" s="9">
        <f>'2'!U43</f>
        <v>0.76984245476362967</v>
      </c>
      <c r="N43" s="9">
        <f>'3'!G43</f>
        <v>0.41717623790078512</v>
      </c>
      <c r="O43" s="9">
        <f>'8'!K40</f>
        <v>0.42251369007689143</v>
      </c>
      <c r="P43" s="9">
        <f t="shared" si="24"/>
        <v>0.54799358332667092</v>
      </c>
      <c r="Q43" s="9">
        <f t="shared" si="25"/>
        <v>0.61358724201736037</v>
      </c>
      <c r="R43" s="9">
        <f>'1'!AC43</f>
        <v>0.60345604697787936</v>
      </c>
      <c r="S43" s="9">
        <f>'1'!AE43</f>
        <v>0.67819436182202142</v>
      </c>
      <c r="T43" s="9">
        <f>'2'!AC43</f>
        <v>0.24750011277354897</v>
      </c>
      <c r="U43" s="9">
        <f>'2'!AE43</f>
        <v>0.37175375611182815</v>
      </c>
      <c r="V43" s="9">
        <f>'3'!J43</f>
        <v>0.79981263567032657</v>
      </c>
      <c r="W43" s="9">
        <f>'8'!P40</f>
        <v>0.45814107602301746</v>
      </c>
      <c r="X43" s="9">
        <f t="shared" si="26"/>
        <v>0.57296461533120491</v>
      </c>
      <c r="Y43" s="9">
        <f t="shared" si="27"/>
        <v>0.63770680005593228</v>
      </c>
      <c r="Z43" s="9">
        <f>'1'!AM43</f>
        <v>0.71271455410885742</v>
      </c>
      <c r="AA43" s="9">
        <f>'1'!AO43</f>
        <v>0.76802768286917122</v>
      </c>
      <c r="AB43" s="9">
        <f>'2'!AM43</f>
        <v>0.27722613294341197</v>
      </c>
      <c r="AC43" s="9">
        <f>'2'!AO43</f>
        <v>0.41119223556217116</v>
      </c>
      <c r="AD43" s="9">
        <f>'3'!M43</f>
        <v>0.51561518787071703</v>
      </c>
      <c r="AE43" s="9">
        <f>'8'!U40</f>
        <v>0.49780100951551504</v>
      </c>
      <c r="AF43" s="9">
        <f t="shared" si="28"/>
        <v>0.6279644209091646</v>
      </c>
      <c r="AG43" s="9">
        <f t="shared" si="29"/>
        <v>0.68008022130326018</v>
      </c>
      <c r="AH43" s="9">
        <f>'1'!AW43</f>
        <v>0.57481853634458058</v>
      </c>
      <c r="AI43" s="9">
        <f>'1'!AY43</f>
        <v>0.65324025762074345</v>
      </c>
      <c r="AJ43" s="9">
        <f>'2'!AW43</f>
        <v>0.32378230106263473</v>
      </c>
      <c r="AK43" s="9">
        <f>'2'!AY43</f>
        <v>0.46788650069075677</v>
      </c>
      <c r="AL43" s="9">
        <f>'3'!P43</f>
        <v>0.42016097926032597</v>
      </c>
      <c r="AM43" s="9">
        <f>'8'!Z40</f>
        <v>0.42027655538547404</v>
      </c>
      <c r="AN43" s="9">
        <f t="shared" si="30"/>
        <v>0.51879495901204986</v>
      </c>
      <c r="AO43" s="9">
        <f t="shared" si="31"/>
        <v>0.58810058386817599</v>
      </c>
      <c r="AP43" s="9">
        <f>'1'!BG43</f>
        <v>0.63530967005613881</v>
      </c>
      <c r="AQ43" s="9">
        <f>'1'!BI43</f>
        <v>0.70523393292264258</v>
      </c>
      <c r="AR43" s="9">
        <f>'2'!BG43</f>
        <v>0.35302359087848501</v>
      </c>
      <c r="AS43" s="9">
        <f>'2'!BI43</f>
        <v>0.50077790402465272</v>
      </c>
      <c r="AT43" s="9">
        <f>'3'!S43</f>
        <v>0.51263688744710445</v>
      </c>
      <c r="AU43" s="9">
        <f>'8'!AE40</f>
        <v>0.52681679918809898</v>
      </c>
      <c r="AV43" s="9">
        <f t="shared" si="32"/>
        <v>0.58396449679066598</v>
      </c>
      <c r="AW43" s="9">
        <f t="shared" si="33"/>
        <v>0.64768691211183538</v>
      </c>
      <c r="AX43" s="9">
        <f>'1'!BQ43</f>
        <v>0.7671852223443808</v>
      </c>
      <c r="AY43" s="9">
        <f>'1'!BS43</f>
        <v>0.80995177057621737</v>
      </c>
      <c r="AZ43" s="9">
        <f>'2'!BQ43</f>
        <v>0.3241234001951937</v>
      </c>
      <c r="BA43" s="9">
        <f>'2'!BS43</f>
        <v>0.46828148382615659</v>
      </c>
      <c r="BB43" s="9">
        <f>'3'!V43</f>
        <v>0.52630836895137612</v>
      </c>
      <c r="BC43" s="9">
        <f>'8'!AJ40</f>
        <v>0.47790822092754648</v>
      </c>
      <c r="BD43" s="9">
        <f t="shared" si="34"/>
        <v>0.66986365464847808</v>
      </c>
      <c r="BE43" s="9">
        <f t="shared" si="35"/>
        <v>0.71421604677385997</v>
      </c>
      <c r="BF43" s="9">
        <f>'1'!CA43</f>
        <v>0.64673864136269321</v>
      </c>
      <c r="BG43" s="9">
        <f>'1'!CC43</f>
        <v>0.71475900459265795</v>
      </c>
      <c r="BH43" s="9">
        <f>'2'!CA43</f>
        <v>0.34387012601600742</v>
      </c>
      <c r="BI43" s="9">
        <f>'2'!CC43</f>
        <v>0.49068719128105531</v>
      </c>
      <c r="BJ43" s="9">
        <f>'3'!Y43</f>
        <v>0.48161275480134491</v>
      </c>
      <c r="BK43" s="9">
        <f>'8'!AO40</f>
        <v>0.52631429879034175</v>
      </c>
      <c r="BL43" s="9">
        <f t="shared" si="36"/>
        <v>0.58789676691465453</v>
      </c>
      <c r="BM43" s="9">
        <f t="shared" si="37"/>
        <v>0.65019272770213465</v>
      </c>
      <c r="BN43" s="9">
        <f>'1'!CK43</f>
        <v>0.58230504715343268</v>
      </c>
      <c r="BO43" s="9">
        <f>'1'!CM43</f>
        <v>0.65982458940258237</v>
      </c>
      <c r="BP43" s="9">
        <f>'2'!CK43</f>
        <v>0.57852148042930429</v>
      </c>
      <c r="BQ43" s="9">
        <f>'2'!CM43</f>
        <v>0.70509050201438339</v>
      </c>
      <c r="BR43" s="9">
        <f>'3'!AB43</f>
        <v>0.24171567320173007</v>
      </c>
      <c r="BS43" s="9">
        <f>'8'!AT40</f>
        <v>0.54506159028490564</v>
      </c>
      <c r="BT43" s="9">
        <f t="shared" si="38"/>
        <v>0.5441434073989968</v>
      </c>
      <c r="BU43" s="9">
        <f t="shared" si="39"/>
        <v>0.61106398913190951</v>
      </c>
      <c r="BV43" s="9">
        <f>'1'!CU43</f>
        <v>0.77732575418068017</v>
      </c>
      <c r="BW43" s="9">
        <f>'1'!CW43</f>
        <v>0.81756494731194584</v>
      </c>
      <c r="BX43" s="9">
        <f>'2'!CU43</f>
        <v>0.70766384053771147</v>
      </c>
      <c r="BY43" s="9">
        <f>'2'!CW43</f>
        <v>0.79552007001436353</v>
      </c>
      <c r="BZ43" s="9">
        <f>'3'!AE43</f>
        <v>0.64714629773438359</v>
      </c>
      <c r="CA43" s="9">
        <f>'8'!AY40</f>
        <v>0.63693588629069842</v>
      </c>
      <c r="CB43" s="9">
        <f t="shared" si="40"/>
        <v>0.74330263038275535</v>
      </c>
      <c r="CC43" s="9">
        <f t="shared" si="41"/>
        <v>0.78025568852230665</v>
      </c>
      <c r="CD43" s="9">
        <f>'1'!DE43</f>
        <v>0.77521463590000705</v>
      </c>
      <c r="CE43" s="9">
        <f>'1'!DG43</f>
        <v>0.81598479052293449</v>
      </c>
      <c r="CF43" s="9">
        <f>'2'!DE43</f>
        <v>0.4581115591036915</v>
      </c>
      <c r="CG43" s="9">
        <f>'2'!DG43</f>
        <v>0.60525571454050686</v>
      </c>
      <c r="CH43" s="9">
        <f>'3'!AH43</f>
        <v>0.36152238234555356</v>
      </c>
      <c r="CI43" s="9">
        <f>'8'!BD40</f>
        <v>0.54289205102477045</v>
      </c>
      <c r="CJ43" s="9">
        <f t="shared" si="42"/>
        <v>0.67890284437740644</v>
      </c>
      <c r="CK43" s="9">
        <f t="shared" si="43"/>
        <v>0.72215636815713724</v>
      </c>
    </row>
    <row r="44" spans="1:89">
      <c r="A44" s="1">
        <v>2006</v>
      </c>
      <c r="B44" s="9">
        <f>'1'!I44</f>
        <v>0.74822394374285328</v>
      </c>
      <c r="C44" s="9">
        <f>'1'!K44</f>
        <v>0.79555782174810696</v>
      </c>
      <c r="D44" s="9">
        <f>'2'!I44</f>
        <v>0.42590721115943969</v>
      </c>
      <c r="E44" s="9">
        <f>'2'!K44</f>
        <v>0.57525046146595071</v>
      </c>
      <c r="F44" s="9">
        <f>'3'!D44</f>
        <v>0.52715282225268989</v>
      </c>
      <c r="G44" s="9">
        <f>'8'!F41</f>
        <v>0.52194964780300157</v>
      </c>
      <c r="H44" s="9">
        <f t="shared" si="22"/>
        <v>0.67125772874151046</v>
      </c>
      <c r="I44" s="9">
        <f t="shared" si="23"/>
        <v>0.71932576837583906</v>
      </c>
      <c r="J44" s="9">
        <f>'1'!S44</f>
        <v>0.60711570287657335</v>
      </c>
      <c r="K44" s="9">
        <f>'1'!U44</f>
        <v>0.68133861141298679</v>
      </c>
      <c r="L44" s="9">
        <f>'2'!S44</f>
        <v>0.66147399510555338</v>
      </c>
      <c r="M44" s="9">
        <f>'2'!U44</f>
        <v>0.76482034015051148</v>
      </c>
      <c r="N44" s="9">
        <f>'3'!G44</f>
        <v>0.4691003005776756</v>
      </c>
      <c r="O44" s="9">
        <f>'8'!K41</f>
        <v>0.503064502170112</v>
      </c>
      <c r="P44" s="9">
        <f t="shared" si="24"/>
        <v>0.58834487179893546</v>
      </c>
      <c r="Q44" s="9">
        <f t="shared" si="25"/>
        <v>0.65063554227892073</v>
      </c>
      <c r="R44" s="9">
        <f>'1'!AC44</f>
        <v>0.64175689758933185</v>
      </c>
      <c r="S44" s="9">
        <f>'1'!AE44</f>
        <v>0.71061836891863062</v>
      </c>
      <c r="T44" s="9">
        <f>'2'!AC44</f>
        <v>0.26151208445577279</v>
      </c>
      <c r="U44" s="9">
        <f>'2'!AE44</f>
        <v>0.3906889405339487</v>
      </c>
      <c r="V44" s="9">
        <f>'3'!J44</f>
        <v>0.7375042739021751</v>
      </c>
      <c r="W44" s="9">
        <f>'8'!P41</f>
        <v>0.41895251853988613</v>
      </c>
      <c r="X44" s="9">
        <f t="shared" si="26"/>
        <v>0.5910267160023156</v>
      </c>
      <c r="Y44" s="9">
        <f t="shared" si="27"/>
        <v>0.65214743154064236</v>
      </c>
      <c r="Z44" s="9">
        <f>'1'!AM44</f>
        <v>0.7397523396094019</v>
      </c>
      <c r="AA44" s="9">
        <f>'1'!AO44</f>
        <v>0.78905880895977643</v>
      </c>
      <c r="AB44" s="9">
        <f>'2'!AM44</f>
        <v>0.29129625222689898</v>
      </c>
      <c r="AC44" s="9">
        <f>'2'!AO44</f>
        <v>0.42893690816449853</v>
      </c>
      <c r="AD44" s="9">
        <f>'3'!M44</f>
        <v>0.5268125760675364</v>
      </c>
      <c r="AE44" s="9">
        <f>'8'!U41</f>
        <v>0.47442374385681746</v>
      </c>
      <c r="AF44" s="9">
        <f t="shared" si="28"/>
        <v>0.6470798949417067</v>
      </c>
      <c r="AG44" s="9">
        <f t="shared" si="29"/>
        <v>0.69535848908072884</v>
      </c>
      <c r="AH44" s="9">
        <f>'1'!AW44</f>
        <v>0.61433476782738228</v>
      </c>
      <c r="AI44" s="9">
        <f>'1'!AY44</f>
        <v>0.68751195902798623</v>
      </c>
      <c r="AJ44" s="9">
        <f>'2'!AW44</f>
        <v>0.34199372268447509</v>
      </c>
      <c r="AK44" s="9">
        <f>'2'!AY44</f>
        <v>0.48859610130154052</v>
      </c>
      <c r="AL44" s="9">
        <f>'3'!P44</f>
        <v>0.43131973016319719</v>
      </c>
      <c r="AM44" s="9">
        <f>'8'!Z41</f>
        <v>0.42970624808759206</v>
      </c>
      <c r="AN44" s="9">
        <f t="shared" si="30"/>
        <v>0.55033630757269403</v>
      </c>
      <c r="AO44" s="9">
        <f t="shared" si="31"/>
        <v>0.61622057927482332</v>
      </c>
      <c r="AP44" s="9">
        <f>'1'!BG44</f>
        <v>0.66398235260167537</v>
      </c>
      <c r="AQ44" s="9">
        <f>'1'!BI44</f>
        <v>0.72895952749429382</v>
      </c>
      <c r="AR44" s="162">
        <f>'2'!BG44</f>
        <v>0.36578628677586084</v>
      </c>
      <c r="AS44" s="9">
        <f>'2'!BI44</f>
        <v>0.51455181197407462</v>
      </c>
      <c r="AT44" s="9">
        <f>'3'!S44</f>
        <v>0.57410892197845653</v>
      </c>
      <c r="AU44" s="9">
        <f>'8'!AE41</f>
        <v>0.5344464201294542</v>
      </c>
      <c r="AV44" s="9">
        <f t="shared" si="32"/>
        <v>0.61222180970954987</v>
      </c>
      <c r="AW44" s="9">
        <f t="shared" si="33"/>
        <v>0.67258238465420417</v>
      </c>
      <c r="AX44" s="9">
        <f>'1'!BQ44</f>
        <v>0.80030932253686493</v>
      </c>
      <c r="AY44" s="9">
        <f>'1'!BS44</f>
        <v>0.83460730376539338</v>
      </c>
      <c r="AZ44" s="9">
        <f>'2'!BQ44</f>
        <v>0.340401199053396</v>
      </c>
      <c r="BA44" s="9">
        <f>'2'!BS44</f>
        <v>0.48681524930613257</v>
      </c>
      <c r="BB44" s="9">
        <f>'3'!V44</f>
        <v>0.55441660086093891</v>
      </c>
      <c r="BC44" s="9">
        <f>'8'!AJ41</f>
        <v>0.47943308971779913</v>
      </c>
      <c r="BD44" s="9">
        <f t="shared" si="34"/>
        <v>0.69764161473901876</v>
      </c>
      <c r="BE44" s="9">
        <f t="shared" si="35"/>
        <v>0.73629160662426241</v>
      </c>
      <c r="BF44" s="9">
        <f>'1'!CA44</f>
        <v>0.67944169860101478</v>
      </c>
      <c r="BG44" s="9">
        <f>'1'!CC44</f>
        <v>0.74152030577034622</v>
      </c>
      <c r="BH44" s="9">
        <f>'2'!CA44</f>
        <v>0.36160520935213802</v>
      </c>
      <c r="BI44" s="9">
        <f>'2'!CC44</f>
        <v>0.51007651824868594</v>
      </c>
      <c r="BJ44" s="9">
        <f>'3'!Y44</f>
        <v>0.50298529058663566</v>
      </c>
      <c r="BK44" s="9">
        <f>'8'!AO41</f>
        <v>0.54980411080613856</v>
      </c>
      <c r="BL44" s="9">
        <f t="shared" si="36"/>
        <v>0.61704865009520149</v>
      </c>
      <c r="BM44" s="9">
        <f t="shared" si="37"/>
        <v>0.67535080600338837</v>
      </c>
      <c r="BN44" s="9">
        <f>'1'!CK44</f>
        <v>0.61691535423387922</v>
      </c>
      <c r="BO44" s="9">
        <f>'1'!CM44</f>
        <v>0.68970946093279106</v>
      </c>
      <c r="BP44" s="9">
        <f>'2'!CK44</f>
        <v>0.6055595697044075</v>
      </c>
      <c r="BQ44" s="9">
        <f>'2'!CM44</f>
        <v>0.72526464608287067</v>
      </c>
      <c r="BR44" s="9">
        <f>'3'!AB44</f>
        <v>0.28804552089360047</v>
      </c>
      <c r="BS44" s="9">
        <f>'8'!AT41</f>
        <v>0.53957873098526143</v>
      </c>
      <c r="BT44" s="9">
        <f t="shared" si="38"/>
        <v>0.57515913012204234</v>
      </c>
      <c r="BU44" s="9">
        <f t="shared" si="39"/>
        <v>0.63808551244912703</v>
      </c>
      <c r="BV44" s="9">
        <f>'1'!CU44</f>
        <v>0.82155636121690789</v>
      </c>
      <c r="BW44" s="9">
        <f>'1'!CW44</f>
        <v>0.8501061472123983</v>
      </c>
      <c r="BX44" s="9">
        <f>'2'!CU44</f>
        <v>0.76764795213749204</v>
      </c>
      <c r="BY44" s="9">
        <f>'2'!CW44</f>
        <v>0.83303909176405355</v>
      </c>
      <c r="BZ44" s="9">
        <f>'3'!AE44</f>
        <v>0.71123737991806979</v>
      </c>
      <c r="CA44" s="9">
        <f>'8'!AY41</f>
        <v>0.65962016254038347</v>
      </c>
      <c r="CB44" s="9">
        <f t="shared" si="40"/>
        <v>0.78894000231142991</v>
      </c>
      <c r="CC44" s="9">
        <f t="shared" si="41"/>
        <v>0.81546396647092945</v>
      </c>
      <c r="CD44" s="9">
        <f>'1'!DE44</f>
        <v>0.81287046766392557</v>
      </c>
      <c r="CE44" s="9">
        <f>'1'!DG44</f>
        <v>0.84379933290354203</v>
      </c>
      <c r="CF44" s="9">
        <f>'2'!DE44</f>
        <v>0.46242942920911284</v>
      </c>
      <c r="CG44" s="9">
        <f>'2'!DG44</f>
        <v>0.60915969145804394</v>
      </c>
      <c r="CH44" s="9">
        <f>'3'!AH44</f>
        <v>0.38694136955494662</v>
      </c>
      <c r="CI44" s="9">
        <f>'8'!BD41</f>
        <v>0.5260128679861612</v>
      </c>
      <c r="CJ44" s="9">
        <f t="shared" si="42"/>
        <v>0.7065476940397698</v>
      </c>
      <c r="CK44" s="9">
        <f t="shared" si="43"/>
        <v>0.74287092593239457</v>
      </c>
    </row>
    <row r="45" spans="1:89">
      <c r="A45" s="1">
        <v>2007</v>
      </c>
      <c r="B45" s="9">
        <f>'1'!I45</f>
        <v>0.78274165438300747</v>
      </c>
      <c r="C45" s="9">
        <f>'1'!K45</f>
        <v>0.82160725311650906</v>
      </c>
      <c r="D45" s="9">
        <f>'2'!I45</f>
        <v>0.42768292531287988</v>
      </c>
      <c r="E45" s="9">
        <f>'2'!K45</f>
        <v>0.57694729775435283</v>
      </c>
      <c r="F45" s="9">
        <f>'3'!D45</f>
        <v>0.53518203140115705</v>
      </c>
      <c r="G45" s="9">
        <f>'8'!F42</f>
        <v>0.52971044644617782</v>
      </c>
      <c r="H45" s="9">
        <f t="shared" si="22"/>
        <v>0.69717669838412666</v>
      </c>
      <c r="I45" s="9">
        <f t="shared" si="23"/>
        <v>0.73930905474172504</v>
      </c>
      <c r="J45" s="9">
        <f>'1'!S45</f>
        <v>0.6559587064521144</v>
      </c>
      <c r="K45" s="9">
        <f>'1'!U45</f>
        <v>0.72237714310924961</v>
      </c>
      <c r="L45" s="9">
        <f>'2'!S45</f>
        <v>0.71947291479627407</v>
      </c>
      <c r="M45" s="9">
        <f>'2'!U45</f>
        <v>0.80310703695324015</v>
      </c>
      <c r="N45" s="9">
        <f>'3'!G45</f>
        <v>0.5225744277441462</v>
      </c>
      <c r="O45" s="9">
        <f>'8'!K42</f>
        <v>0.47422061376665747</v>
      </c>
      <c r="P45" s="9">
        <f t="shared" si="24"/>
        <v>0.63079789014718768</v>
      </c>
      <c r="Q45" s="9">
        <f t="shared" si="25"/>
        <v>0.68565420802287902</v>
      </c>
      <c r="R45" s="9">
        <f>'1'!AC45</f>
        <v>0.66853084073780777</v>
      </c>
      <c r="S45" s="9">
        <f>'1'!AE45</f>
        <v>0.73267170806466719</v>
      </c>
      <c r="T45" s="9">
        <f>'2'!AC45</f>
        <v>0.265891661587077</v>
      </c>
      <c r="U45" s="9">
        <f>'2'!AE45</f>
        <v>0.39647885589714488</v>
      </c>
      <c r="V45" s="9">
        <f>'3'!J45</f>
        <v>0.80264168779177147</v>
      </c>
      <c r="W45" s="9">
        <f>'8'!P42</f>
        <v>0.45602704685559181</v>
      </c>
      <c r="X45" s="9">
        <f t="shared" si="26"/>
        <v>0.62042762813990948</v>
      </c>
      <c r="Y45" s="9">
        <f t="shared" si="27"/>
        <v>0.67838495469971782</v>
      </c>
      <c r="Z45" s="9">
        <f>'1'!AM45</f>
        <v>0.77687106671694695</v>
      </c>
      <c r="AA45" s="9">
        <f>'1'!AO45</f>
        <v>0.81722482931297291</v>
      </c>
      <c r="AB45" s="9">
        <f>'2'!AM45</f>
        <v>0.29846217273990971</v>
      </c>
      <c r="AC45" s="9">
        <f>'2'!AO45</f>
        <v>0.43776351756161452</v>
      </c>
      <c r="AD45" s="9">
        <f>'3'!M45</f>
        <v>0.48664826436349179</v>
      </c>
      <c r="AE45" s="9">
        <f>'8'!U42</f>
        <v>0.46240489681755076</v>
      </c>
      <c r="AF45" s="9">
        <f t="shared" si="28"/>
        <v>0.66856128009395799</v>
      </c>
      <c r="AG45" s="9">
        <f t="shared" si="29"/>
        <v>0.71073904839334667</v>
      </c>
      <c r="AH45" s="9">
        <f>'1'!AW45</f>
        <v>0.66373896871061133</v>
      </c>
      <c r="AI45" s="9">
        <f>'1'!AY45</f>
        <v>0.72876050189298491</v>
      </c>
      <c r="AJ45" s="9">
        <f>'2'!AW45</f>
        <v>0.35078395762648368</v>
      </c>
      <c r="AK45" s="9">
        <f>'2'!AY45</f>
        <v>0.49832563144138281</v>
      </c>
      <c r="AL45" s="9">
        <f>'3'!P45</f>
        <v>0.42375287452978916</v>
      </c>
      <c r="AM45" s="9">
        <f>'8'!Z42</f>
        <v>0.46219815595868874</v>
      </c>
      <c r="AN45" s="9">
        <f t="shared" si="30"/>
        <v>0.58829077690892406</v>
      </c>
      <c r="AO45" s="9">
        <f t="shared" si="31"/>
        <v>0.64856001751807546</v>
      </c>
      <c r="AP45" s="9">
        <f>'1'!BG45</f>
        <v>0.6945657394459801</v>
      </c>
      <c r="AQ45" s="9">
        <f>'1'!BI45</f>
        <v>0.75365686555642375</v>
      </c>
      <c r="AR45" s="162">
        <f>'2'!BG45</f>
        <v>0.37177909528293296</v>
      </c>
      <c r="AS45" s="9">
        <f>'2'!BI45</f>
        <v>0.5209048384379017</v>
      </c>
      <c r="AT45" s="9">
        <f>'3'!S45</f>
        <v>0.54629721444866153</v>
      </c>
      <c r="AU45" s="9">
        <f>'8'!AE42</f>
        <v>0.54179939300696378</v>
      </c>
      <c r="AV45" s="9">
        <f t="shared" si="32"/>
        <v>0.6321835878860419</v>
      </c>
      <c r="AW45" s="9">
        <f t="shared" si="33"/>
        <v>0.68845995047884923</v>
      </c>
      <c r="AX45" s="9">
        <f>'1'!BQ45</f>
        <v>0.83102631976755947</v>
      </c>
      <c r="AY45" s="9">
        <f>'1'!BS45</f>
        <v>0.85693695596324293</v>
      </c>
      <c r="AZ45" s="9">
        <f>'2'!BQ45</f>
        <v>0.34695529269353176</v>
      </c>
      <c r="BA45" s="9">
        <f>'2'!BS45</f>
        <v>0.49410852811911538</v>
      </c>
      <c r="BB45" s="9">
        <f>'3'!V45</f>
        <v>0.5745115262429128</v>
      </c>
      <c r="BC45" s="9">
        <f>'8'!AJ42</f>
        <v>0.48379150242867963</v>
      </c>
      <c r="BD45" s="9">
        <f t="shared" si="34"/>
        <v>0.72224425597380393</v>
      </c>
      <c r="BE45" s="9">
        <f t="shared" si="35"/>
        <v>0.75509702485334085</v>
      </c>
      <c r="BF45" s="9">
        <f>'1'!CA45</f>
        <v>0.71962194070955743</v>
      </c>
      <c r="BG45" s="9">
        <f>'1'!CC45</f>
        <v>0.77344302300398171</v>
      </c>
      <c r="BH45" s="9">
        <f>'2'!CA45</f>
        <v>0.36849160125548541</v>
      </c>
      <c r="BI45" s="9">
        <f>'2'!CC45</f>
        <v>0.51742862987364047</v>
      </c>
      <c r="BJ45" s="9">
        <f>'3'!Y45</f>
        <v>0.50809557824988527</v>
      </c>
      <c r="BK45" s="9">
        <f>'8'!AO42</f>
        <v>0.54530907348558999</v>
      </c>
      <c r="BL45" s="9">
        <f t="shared" si="36"/>
        <v>0.64592498379578622</v>
      </c>
      <c r="BM45" s="9">
        <f t="shared" si="37"/>
        <v>0.69849344426369875</v>
      </c>
      <c r="BN45" s="9">
        <f>'1'!CK45</f>
        <v>0.65693432593297085</v>
      </c>
      <c r="BO45" s="9">
        <f>'1'!CM45</f>
        <v>0.72317984803620705</v>
      </c>
      <c r="BP45" s="9">
        <f>'2'!CK45</f>
        <v>0.61600344737637414</v>
      </c>
      <c r="BQ45" s="9">
        <f>'2'!CM45</f>
        <v>0.73286744324366149</v>
      </c>
      <c r="BR45" s="9">
        <f>'3'!AB45</f>
        <v>0.43136279456039345</v>
      </c>
      <c r="BS45" s="9">
        <f>'8'!AT42</f>
        <v>0.5813283221004123</v>
      </c>
      <c r="BT45" s="9">
        <f t="shared" si="38"/>
        <v>0.62272348455679749</v>
      </c>
      <c r="BU45" s="9">
        <f t="shared" si="39"/>
        <v>0.68078174961579152</v>
      </c>
      <c r="BV45" s="9">
        <f>'1'!CU45</f>
        <v>0.86475982217625125</v>
      </c>
      <c r="BW45" s="9">
        <f>'1'!CW45</f>
        <v>0.88089473974849031</v>
      </c>
      <c r="BX45" s="9">
        <f>'2'!CU45</f>
        <v>0.72240354424069397</v>
      </c>
      <c r="BY45" s="9">
        <f>'2'!CW45</f>
        <v>0.80497412662572365</v>
      </c>
      <c r="BZ45" s="9">
        <f>'3'!AE45</f>
        <v>0.69283348731330996</v>
      </c>
      <c r="CA45" s="9">
        <f>'8'!AY42</f>
        <v>0.64713182237130851</v>
      </c>
      <c r="CB45" s="9">
        <f t="shared" si="40"/>
        <v>0.81156876091590713</v>
      </c>
      <c r="CC45" s="9">
        <f t="shared" si="41"/>
        <v>0.83112026145497742</v>
      </c>
      <c r="CD45" s="9">
        <f>'1'!DE45</f>
        <v>0.84963062949886803</v>
      </c>
      <c r="CE45" s="9">
        <f>'1'!DG45</f>
        <v>0.87022126154105894</v>
      </c>
      <c r="CF45" s="9">
        <f>'2'!DE45</f>
        <v>0.46386250113812744</v>
      </c>
      <c r="CG45" s="9">
        <f>'2'!DG45</f>
        <v>0.61044942685065262</v>
      </c>
      <c r="CH45" s="9">
        <f>'3'!AH45</f>
        <v>0.44873461455964792</v>
      </c>
      <c r="CI45" s="9">
        <f>'8'!BD42</f>
        <v>0.5516852389215201</v>
      </c>
      <c r="CJ45" s="9">
        <f t="shared" si="42"/>
        <v>0.74116967611113704</v>
      </c>
      <c r="CK45" s="9">
        <f t="shared" si="43"/>
        <v>0.77024181111192325</v>
      </c>
    </row>
    <row r="46" spans="1:89">
      <c r="A46" s="1">
        <v>2008</v>
      </c>
      <c r="B46" s="9">
        <f>'1'!I46</f>
        <v>0.80583389411014994</v>
      </c>
      <c r="C46" s="9">
        <f>'1'!K46</f>
        <v>0.83866057010893658</v>
      </c>
      <c r="D46" s="9">
        <f>'2'!I46</f>
        <v>0.47911064987499741</v>
      </c>
      <c r="E46" s="9">
        <f>'2'!K46</f>
        <v>0.62399230517300985</v>
      </c>
      <c r="F46" s="9">
        <f>'3'!D46</f>
        <v>0.49344838232948285</v>
      </c>
      <c r="G46" s="9">
        <f>'8'!F43</f>
        <v>0.52098448905782768</v>
      </c>
      <c r="H46" s="9">
        <f t="shared" si="22"/>
        <v>0.7134380780033357</v>
      </c>
      <c r="I46" s="9">
        <f t="shared" si="23"/>
        <v>0.75090491673228765</v>
      </c>
      <c r="J46" s="9">
        <f>'1'!S46</f>
        <v>0.71512018986386705</v>
      </c>
      <c r="K46" s="9">
        <f>'1'!U46</f>
        <v>0.76991703522837418</v>
      </c>
      <c r="L46" s="9">
        <f>'2'!S46</f>
        <v>0.78818108483662708</v>
      </c>
      <c r="M46" s="9">
        <f>'2'!U46</f>
        <v>0.84532781098708754</v>
      </c>
      <c r="N46" s="9">
        <f>'3'!G46</f>
        <v>0.4347167122262191</v>
      </c>
      <c r="O46" s="9">
        <f>'8'!K43</f>
        <v>0.47363544773355193</v>
      </c>
      <c r="P46" s="9">
        <f t="shared" si="24"/>
        <v>0.67023745738434681</v>
      </c>
      <c r="Q46" s="9">
        <f t="shared" si="25"/>
        <v>0.71430992175454766</v>
      </c>
      <c r="R46" s="9">
        <f>'1'!AC46</f>
        <v>0.68491238251049869</v>
      </c>
      <c r="S46" s="9">
        <f>'1'!AE46</f>
        <v>0.74592748854801316</v>
      </c>
      <c r="T46" s="9">
        <f>'2'!AC46</f>
        <v>0.27622545623768457</v>
      </c>
      <c r="U46" s="9">
        <f>'2'!AE46</f>
        <v>0.40990863272765399</v>
      </c>
      <c r="V46" s="9">
        <f>'3'!J46</f>
        <v>0.68180358425468834</v>
      </c>
      <c r="W46" s="9">
        <f>'8'!P43</f>
        <v>0.4239921492289318</v>
      </c>
      <c r="X46" s="9">
        <f t="shared" si="26"/>
        <v>0.61764078672947964</v>
      </c>
      <c r="Y46" s="9">
        <f t="shared" si="27"/>
        <v>0.67371967860473669</v>
      </c>
      <c r="Z46" s="9">
        <f>'1'!AM46</f>
        <v>0.80989374454177732</v>
      </c>
      <c r="AA46" s="9">
        <f>'1'!AO46</f>
        <v>0.84162869459795764</v>
      </c>
      <c r="AB46" s="9">
        <f>'2'!AM46</f>
        <v>0.30962992660515748</v>
      </c>
      <c r="AC46" s="9">
        <f>'2'!AO46</f>
        <v>0.45124894991336972</v>
      </c>
      <c r="AD46" s="9">
        <f>'3'!M46</f>
        <v>0.42745334617073449</v>
      </c>
      <c r="AE46" s="9">
        <f>'8'!U43</f>
        <v>0.43828585190456404</v>
      </c>
      <c r="AF46" s="9">
        <f t="shared" si="28"/>
        <v>0.68446253364728959</v>
      </c>
      <c r="AG46" s="9">
        <f t="shared" si="29"/>
        <v>0.72083890101743708</v>
      </c>
      <c r="AH46" s="9">
        <f>'1'!AW46</f>
        <v>0.68107601312331356</v>
      </c>
      <c r="AI46" s="9">
        <f>'1'!AY46</f>
        <v>0.74283895849037906</v>
      </c>
      <c r="AJ46" s="9">
        <f>'2'!AW46</f>
        <v>0.37018756012340487</v>
      </c>
      <c r="AK46" s="9">
        <f>'2'!AY46</f>
        <v>0.51922462673817538</v>
      </c>
      <c r="AL46" s="9">
        <f>'3'!P46</f>
        <v>0.46664458557383881</v>
      </c>
      <c r="AM46" s="9">
        <f>'8'!Z43</f>
        <v>0.44300580529577527</v>
      </c>
      <c r="AN46" s="9">
        <f t="shared" si="30"/>
        <v>0.60473700428562138</v>
      </c>
      <c r="AO46" s="9">
        <f t="shared" si="31"/>
        <v>0.66287477270404427</v>
      </c>
      <c r="AP46" s="9">
        <f>'1'!BG46</f>
        <v>0.72529580636546875</v>
      </c>
      <c r="AQ46" s="9">
        <f>'1'!BI46</f>
        <v>0.77786931651514157</v>
      </c>
      <c r="AR46" s="162">
        <f>'2'!BG46</f>
        <v>0.38465959997018262</v>
      </c>
      <c r="AS46" s="9">
        <f>'2'!BI46</f>
        <v>0.53432136612352776</v>
      </c>
      <c r="AT46" s="9">
        <f>'3'!S46</f>
        <v>0.48578140509320167</v>
      </c>
      <c r="AU46" s="9">
        <f>'8'!AE43</f>
        <v>0.5309923609365208</v>
      </c>
      <c r="AV46" s="9">
        <f t="shared" si="32"/>
        <v>0.6478504010558187</v>
      </c>
      <c r="AW46" s="9">
        <f t="shared" si="33"/>
        <v>0.6996180347759241</v>
      </c>
      <c r="AX46" s="9">
        <f>'1'!BQ46</f>
        <v>0.84862489336049207</v>
      </c>
      <c r="AY46" s="9">
        <f>'1'!BS46</f>
        <v>0.86950764465278574</v>
      </c>
      <c r="AZ46" s="9">
        <f>'2'!BQ46</f>
        <v>0.36273031146914259</v>
      </c>
      <c r="BA46" s="9">
        <f>'2'!BS46</f>
        <v>0.51128429942255593</v>
      </c>
      <c r="BB46" s="9">
        <f>'3'!V46</f>
        <v>0.51894797277583138</v>
      </c>
      <c r="BC46" s="9">
        <f>'8'!AJ43</f>
        <v>0.46402463332582</v>
      </c>
      <c r="BD46" s="9">
        <f t="shared" si="34"/>
        <v>0.72860771710942385</v>
      </c>
      <c r="BE46" s="9">
        <f t="shared" si="35"/>
        <v>0.75808104180937086</v>
      </c>
      <c r="BF46" s="9">
        <f>'1'!CA46</f>
        <v>0.74282601191343089</v>
      </c>
      <c r="BG46" s="9">
        <f>'1'!CC46</f>
        <v>0.79142170147628566</v>
      </c>
      <c r="BH46" s="9">
        <f>'2'!CA46</f>
        <v>0.38952076550397019</v>
      </c>
      <c r="BI46" s="9">
        <f>'2'!CC46</f>
        <v>0.53930276419625633</v>
      </c>
      <c r="BJ46" s="9">
        <f>'3'!Y46</f>
        <v>0.57295653119191481</v>
      </c>
      <c r="BK46" s="9">
        <f>'8'!AO43</f>
        <v>0.55656450916064115</v>
      </c>
      <c r="BL46" s="9">
        <f t="shared" si="36"/>
        <v>0.67188238892505414</v>
      </c>
      <c r="BM46" s="9">
        <f t="shared" si="37"/>
        <v>0.72087757148828113</v>
      </c>
      <c r="BN46" s="9">
        <f>'1'!CK46</f>
        <v>0.69936242887256606</v>
      </c>
      <c r="BO46" s="9">
        <f>'1'!CM46</f>
        <v>0.75747529401680791</v>
      </c>
      <c r="BP46" s="9">
        <f>'2'!CK46</f>
        <v>0.6745406667701751</v>
      </c>
      <c r="BQ46" s="9">
        <f>'2'!CM46</f>
        <v>0.77367635915858646</v>
      </c>
      <c r="BR46" s="9">
        <f>'3'!AB46</f>
        <v>0.51635645721202372</v>
      </c>
      <c r="BS46" s="9">
        <f>'8'!AT43</f>
        <v>0.63483534072125725</v>
      </c>
      <c r="BT46" s="9">
        <f t="shared" si="38"/>
        <v>0.67212694668114181</v>
      </c>
      <c r="BU46" s="9">
        <f t="shared" si="39"/>
        <v>0.7227195215209522</v>
      </c>
      <c r="BV46" s="9">
        <f>'1'!CU46</f>
        <v>0.88906274999430579</v>
      </c>
      <c r="BW46" s="9">
        <f>'1'!CW46</f>
        <v>0.89780371232101941</v>
      </c>
      <c r="BX46" s="9">
        <f>'2'!CU46</f>
        <v>0.91666666666666663</v>
      </c>
      <c r="BY46" s="9">
        <f>'2'!CW46</f>
        <v>0.91666666666666674</v>
      </c>
      <c r="BZ46" s="9">
        <f>'3'!AE46</f>
        <v>0.73403482298833467</v>
      </c>
      <c r="CA46" s="9">
        <f>'8'!AY43</f>
        <v>0.65600527393835106</v>
      </c>
      <c r="CB46" s="9">
        <f t="shared" si="40"/>
        <v>0.85301460135534923</v>
      </c>
      <c r="CC46" s="9">
        <f t="shared" si="41"/>
        <v>0.85913327498404879</v>
      </c>
      <c r="CD46" s="9">
        <f>'1'!DE46</f>
        <v>0.86222999470382578</v>
      </c>
      <c r="CE46" s="9">
        <f>'1'!DG46</f>
        <v>0.87911793917696424</v>
      </c>
      <c r="CF46" s="9">
        <f>'2'!DE46</f>
        <v>0.49466415723318619</v>
      </c>
      <c r="CG46" s="9">
        <f>'2'!DG46</f>
        <v>0.63747832208628719</v>
      </c>
      <c r="CH46" s="9">
        <f>'3'!AH46</f>
        <v>0.3433856429534306</v>
      </c>
      <c r="CI46" s="9">
        <f>'8'!BD43</f>
        <v>0.53503075504935782</v>
      </c>
      <c r="CJ46" s="9">
        <f t="shared" si="42"/>
        <v>0.7408690518162756</v>
      </c>
      <c r="CK46" s="9">
        <f t="shared" si="43"/>
        <v>0.76697202943278253</v>
      </c>
    </row>
    <row r="47" spans="1:89">
      <c r="A47" s="1">
        <v>2009</v>
      </c>
      <c r="B47" s="9">
        <f>'1'!I47</f>
        <v>0.81159519848141226</v>
      </c>
      <c r="C47" s="9">
        <f>'1'!K47</f>
        <v>0.84286998213869713</v>
      </c>
      <c r="D47" s="9">
        <f>'2'!I47</f>
        <v>0.42718276285445739</v>
      </c>
      <c r="E47" s="9">
        <f>'2'!K47</f>
        <v>0.57646987051589094</v>
      </c>
      <c r="F47" s="9">
        <f>'3'!D47</f>
        <v>0.48990011732755612</v>
      </c>
      <c r="G47" s="9">
        <f>'8'!F44</f>
        <v>0.48573658005511883</v>
      </c>
      <c r="H47" s="9">
        <f t="shared" ref="H47" si="44">(0.7)*B47+(0.1)*D47+(0.1)*F47+(0.1)*G47</f>
        <v>0.70839858496070174</v>
      </c>
      <c r="I47" s="9">
        <f t="shared" ref="I47" si="45">(0.7)*C47+(0.1)*E47+(0.1)*F47+(0.1)*G47</f>
        <v>0.74521964428694454</v>
      </c>
      <c r="J47" s="9">
        <f>'1'!S47</f>
        <v>0.74530987547333027</v>
      </c>
      <c r="K47" s="9">
        <f>'1'!U47</f>
        <v>0.79332708014483178</v>
      </c>
      <c r="L47" s="9">
        <f>'2'!S47</f>
        <v>0.8126686150603466</v>
      </c>
      <c r="M47" s="9">
        <f>'2'!U47</f>
        <v>0.85964045404846057</v>
      </c>
      <c r="N47" s="9">
        <f>'3'!G47</f>
        <v>0.4904809624274809</v>
      </c>
      <c r="O47" s="9">
        <f>'8'!K44</f>
        <v>0.45899527638509663</v>
      </c>
      <c r="P47" s="9">
        <f t="shared" ref="P47" si="46">(0.7)*J47+(0.1)*L47+(0.1)*N47+(0.1)*O47</f>
        <v>0.6979313982186236</v>
      </c>
      <c r="Q47" s="9">
        <f t="shared" ref="Q47" si="47">(0.7)*K47+(0.1)*M47+(0.1)*N47+(0.1)*O47</f>
        <v>0.73624062538748603</v>
      </c>
      <c r="R47" s="9">
        <f>'1'!AC47</f>
        <v>0.71683542809959488</v>
      </c>
      <c r="S47" s="9">
        <f>'1'!AE47</f>
        <v>0.77126196833508209</v>
      </c>
      <c r="T47" s="9">
        <f>'2'!AC47</f>
        <v>0.27521788818408738</v>
      </c>
      <c r="U47" s="9">
        <f>'2'!AE47</f>
        <v>0.4086132226187924</v>
      </c>
      <c r="V47" s="9">
        <f>'3'!J47</f>
        <v>0.7859903746853204</v>
      </c>
      <c r="W47" s="9">
        <f>'8'!P44</f>
        <v>0.42819014567816238</v>
      </c>
      <c r="X47" s="9">
        <f t="shared" ref="X47" si="48">(0.7)*R47+(0.1)*T47+(0.1)*V47+(0.1)*W47</f>
        <v>0.65072464052447332</v>
      </c>
      <c r="Y47" s="9">
        <f t="shared" ref="Y47" si="49">(0.7)*S47+(0.1)*U47+(0.1)*V47+(0.1)*W47</f>
        <v>0.7021627521327849</v>
      </c>
      <c r="Z47" s="9">
        <f>'1'!AM47</f>
        <v>0.83727019376457168</v>
      </c>
      <c r="AA47" s="9">
        <f>'1'!AO47</f>
        <v>0.86141519172683745</v>
      </c>
      <c r="AB47" s="9">
        <f>'2'!AM47</f>
        <v>0.29485160884337808</v>
      </c>
      <c r="AC47" s="9">
        <f>'2'!AO47</f>
        <v>0.43333353197821756</v>
      </c>
      <c r="AD47" s="9">
        <f>'3'!M47</f>
        <v>0.43435666890078939</v>
      </c>
      <c r="AE47" s="9">
        <f>'8'!U44</f>
        <v>0.40225455394959675</v>
      </c>
      <c r="AF47" s="9">
        <f t="shared" ref="AF47" si="50">(0.7)*Z47+(0.1)*AB47+(0.1)*AD47+(0.1)*AE47</f>
        <v>0.69923541880457663</v>
      </c>
      <c r="AG47" s="9">
        <f t="shared" ref="AG47" si="51">(0.7)*AA47+(0.1)*AC47+(0.1)*AD47+(0.1)*AE47</f>
        <v>0.72998510969164654</v>
      </c>
      <c r="AH47" s="9">
        <f>'1'!AW47</f>
        <v>0.70272834587279165</v>
      </c>
      <c r="AI47" s="9">
        <f>'1'!AY47</f>
        <v>0.76014601381012648</v>
      </c>
      <c r="AJ47" s="9">
        <f>'2'!AW47</f>
        <v>0.34405645382478789</v>
      </c>
      <c r="AK47" s="9">
        <f>'2'!AY47</f>
        <v>0.49089441374804688</v>
      </c>
      <c r="AL47" s="9">
        <f>'3'!P47</f>
        <v>0.51945171804193502</v>
      </c>
      <c r="AM47" s="9">
        <f>'8'!Z44</f>
        <v>0.42334944065335423</v>
      </c>
      <c r="AN47" s="9">
        <f t="shared" ref="AN47" si="52">(0.7)*AH47+(0.1)*AJ47+(0.1)*AL47+(0.1)*AM47</f>
        <v>0.62059560336296193</v>
      </c>
      <c r="AO47" s="9">
        <f t="shared" ref="AO47" si="53">(0.7)*AI47+(0.1)*AK47+(0.1)*AL47+(0.1)*AM47</f>
        <v>0.67547176691142219</v>
      </c>
      <c r="AP47" s="9">
        <f>'1'!BG47</f>
        <v>0.74223082043253719</v>
      </c>
      <c r="AQ47" s="9">
        <f>'1'!BI47</f>
        <v>0.79096458520522717</v>
      </c>
      <c r="AR47" s="162">
        <f>'2'!BG47</f>
        <v>0.37003909407371349</v>
      </c>
      <c r="AS47" s="9">
        <f>'2'!BI47</f>
        <v>0.51906763217554075</v>
      </c>
      <c r="AT47" s="9">
        <f>'3'!S47</f>
        <v>0.55743456629889687</v>
      </c>
      <c r="AU47" s="9">
        <f>'8'!AE44</f>
        <v>0.49796487617219848</v>
      </c>
      <c r="AV47" s="9">
        <f t="shared" ref="AV47" si="54">(0.7)*AP47+(0.1)*AR47+(0.1)*AT47+(0.1)*AU47</f>
        <v>0.66210542795725691</v>
      </c>
      <c r="AW47" s="9">
        <f t="shared" ref="AW47" si="55">(0.7)*AQ47+(0.1)*AS47+(0.1)*AT47+(0.1)*AU47</f>
        <v>0.71112191710832262</v>
      </c>
      <c r="AX47" s="9">
        <f>'1'!BQ47</f>
        <v>0.85186627990389541</v>
      </c>
      <c r="AY47" s="9">
        <f>'1'!BS47</f>
        <v>0.87180572653822319</v>
      </c>
      <c r="AZ47" s="9">
        <f>'2'!BQ47</f>
        <v>0.3451465160515671</v>
      </c>
      <c r="BA47" s="9">
        <f>'2'!BS47</f>
        <v>0.49210518678505266</v>
      </c>
      <c r="BB47" s="9">
        <f>'3'!V47</f>
        <v>0.50214907569174194</v>
      </c>
      <c r="BC47" s="9">
        <f>'8'!AJ44</f>
        <v>0.43316800828593127</v>
      </c>
      <c r="BD47" s="9">
        <f t="shared" ref="BD47" si="56">(0.7)*AX47+(0.1)*AZ47+(0.1)*BB47+(0.1)*BC47</f>
        <v>0.72435275593565085</v>
      </c>
      <c r="BE47" s="9">
        <f t="shared" ref="BE47" si="57">(0.7)*AY47+(0.1)*BA47+(0.1)*BB47+(0.1)*BC47</f>
        <v>0.75300623565302882</v>
      </c>
      <c r="BF47" s="9">
        <f>'1'!CA47</f>
        <v>0.7565639608261242</v>
      </c>
      <c r="BG47" s="9">
        <f>'1'!CC47</f>
        <v>0.80191462742732689</v>
      </c>
      <c r="BH47" s="9">
        <f>'2'!CA47</f>
        <v>0.37044831612751117</v>
      </c>
      <c r="BI47" s="9">
        <f>'2'!CC47</f>
        <v>0.51950025560064539</v>
      </c>
      <c r="BJ47" s="9">
        <f>'3'!Y47</f>
        <v>0.57044824849781883</v>
      </c>
      <c r="BK47" s="9">
        <f>'8'!AO44</f>
        <v>0.52552605567741117</v>
      </c>
      <c r="BL47" s="9">
        <f t="shared" ref="BL47" si="58">(0.7)*BF47+(0.1)*BH47+(0.1)*BJ47+(0.1)*BK47</f>
        <v>0.67623703460856099</v>
      </c>
      <c r="BM47" s="9">
        <f t="shared" ref="BM47" si="59">(0.7)*BG47+(0.1)*BI47+(0.1)*BJ47+(0.1)*BK47</f>
        <v>0.72288769517671636</v>
      </c>
      <c r="BN47" s="9">
        <f>'1'!CK47</f>
        <v>0.69374528402758773</v>
      </c>
      <c r="BO47" s="9">
        <f>'1'!CM47</f>
        <v>0.75300226565837691</v>
      </c>
      <c r="BP47" s="9">
        <f>'2'!CK47</f>
        <v>0.63891609895147317</v>
      </c>
      <c r="BQ47" s="9">
        <f>'2'!CM47</f>
        <v>0.74919544101271807</v>
      </c>
      <c r="BR47" s="9">
        <f>'3'!AB47</f>
        <v>0.52324420602529553</v>
      </c>
      <c r="BS47" s="9">
        <f>'8'!AT44</f>
        <v>0.5954554782091106</v>
      </c>
      <c r="BT47" s="9">
        <f t="shared" ref="BT47" si="60">(0.7)*BN47+(0.1)*BP47+(0.1)*BR47+(0.1)*BS47</f>
        <v>0.66138327713789924</v>
      </c>
      <c r="BU47" s="9">
        <f t="shared" ref="BU47" si="61">(0.7)*BO47+(0.1)*BQ47+(0.1)*BR47+(0.1)*BS47</f>
        <v>0.71389109848557608</v>
      </c>
      <c r="BV47" s="9">
        <f>'1'!CU47</f>
        <v>0.87700599972243976</v>
      </c>
      <c r="BW47" s="9">
        <f>'1'!CW47</f>
        <v>0.88945109145284962</v>
      </c>
      <c r="BX47" s="9">
        <f>'2'!CU47</f>
        <v>0.84782283136184522</v>
      </c>
      <c r="BY47" s="9">
        <f>'2'!CW47</f>
        <v>0.87957087912203202</v>
      </c>
      <c r="BZ47" s="9">
        <f>'3'!AE47</f>
        <v>0.56330550852340866</v>
      </c>
      <c r="CA47" s="9">
        <f>'8'!AY44</f>
        <v>0.61584323728248902</v>
      </c>
      <c r="CB47" s="9">
        <f t="shared" ref="CB47" si="62">(0.7)*BV47+(0.1)*BX47+(0.1)*BZ47+(0.1)*CA47</f>
        <v>0.81660135752248197</v>
      </c>
      <c r="CC47" s="9">
        <f t="shared" ref="CC47" si="63">(0.7)*BW47+(0.1)*BY47+(0.1)*BZ47+(0.1)*CA47</f>
        <v>0.82848772650978764</v>
      </c>
      <c r="CD47" s="9">
        <f>'1'!DE47</f>
        <v>0.85586079389294423</v>
      </c>
      <c r="CE47" s="9">
        <f>'1'!DG47</f>
        <v>0.87463046942512224</v>
      </c>
      <c r="CF47" s="9">
        <f>'2'!DE47</f>
        <v>0.47230914776830207</v>
      </c>
      <c r="CG47" s="9">
        <f>'2'!DG47</f>
        <v>0.61799171047208967</v>
      </c>
      <c r="CH47" s="9">
        <f>'3'!AH47</f>
        <v>0.33362442119702618</v>
      </c>
      <c r="CI47" s="9">
        <f>'8'!BD44</f>
        <v>0.49199350820397819</v>
      </c>
      <c r="CJ47" s="9">
        <f t="shared" ref="CJ47" si="64">(0.7)*CD47+(0.1)*CF47+(0.1)*CH47+(0.1)*CI47</f>
        <v>0.72889526344199151</v>
      </c>
      <c r="CK47" s="9">
        <f t="shared" ref="CK47" si="65">(0.7)*CE47+(0.1)*CG47+(0.1)*CH47+(0.1)*CI47</f>
        <v>0.75660229258489498</v>
      </c>
    </row>
    <row r="48" spans="1:89">
      <c r="A48" s="1">
        <v>2010</v>
      </c>
      <c r="B48" s="9">
        <f>'1'!I48</f>
        <v>0.83603513861958567</v>
      </c>
      <c r="C48" s="9">
        <f>'1'!K48</f>
        <v>0.86053098459620181</v>
      </c>
      <c r="D48" s="9">
        <f>'2'!I48</f>
        <v>0.43582687101768375</v>
      </c>
      <c r="E48" s="9">
        <f>'2'!K48</f>
        <v>0.58466455153998442</v>
      </c>
      <c r="F48" s="9">
        <f>'3'!D48</f>
        <v>0.48990011732755612</v>
      </c>
      <c r="G48" s="9">
        <f>'8'!F45</f>
        <v>0.48472340768248307</v>
      </c>
      <c r="H48" s="9">
        <f t="shared" ref="H48" si="66">(0.7)*B48+(0.1)*D48+(0.1)*F48+(0.1)*G48</f>
        <v>0.72626963663648225</v>
      </c>
      <c r="I48" s="9">
        <f t="shared" ref="I48" si="67">(0.7)*C48+(0.1)*E48+(0.1)*F48+(0.1)*G48</f>
        <v>0.75830049687234358</v>
      </c>
      <c r="J48" s="9">
        <f>'1'!S48</f>
        <v>0.78807770795431809</v>
      </c>
      <c r="K48" s="9">
        <f>'1'!U48</f>
        <v>0.82557394304033982</v>
      </c>
      <c r="L48" s="9">
        <f>'2'!S48</f>
        <v>0.80272982683000638</v>
      </c>
      <c r="M48" s="9">
        <f>'2'!U48</f>
        <v>0.85387521792337062</v>
      </c>
      <c r="N48" s="9">
        <f>'3'!G48</f>
        <v>0.4904809624274809</v>
      </c>
      <c r="O48" s="9">
        <f>'8'!K45</f>
        <v>0.47297315923293426</v>
      </c>
      <c r="P48" s="9">
        <f t="shared" ref="P48" si="68">(0.7)*J48+(0.1)*L48+(0.1)*N48+(0.1)*O48</f>
        <v>0.72827279041706483</v>
      </c>
      <c r="Q48" s="9">
        <f t="shared" ref="Q48" si="69">(0.7)*K48+(0.1)*M48+(0.1)*N48+(0.1)*O48</f>
        <v>0.75963469408661644</v>
      </c>
      <c r="R48" s="9">
        <f>'1'!AC48</f>
        <v>0.74860183445626904</v>
      </c>
      <c r="S48" s="9">
        <f>'1'!AE48</f>
        <v>0.7958467334661814</v>
      </c>
      <c r="T48" s="9">
        <f>'2'!AC48</f>
        <v>0.28464226347746752</v>
      </c>
      <c r="U48" s="9">
        <f>'2'!AE48</f>
        <v>0.42061491634365228</v>
      </c>
      <c r="V48" s="9">
        <f>'3'!J48</f>
        <v>0.7859903746853204</v>
      </c>
      <c r="W48" s="9">
        <f>'8'!P45</f>
        <v>0.45422804823823049</v>
      </c>
      <c r="X48" s="9">
        <f t="shared" ref="X48" si="70">(0.7)*R48+(0.1)*T48+(0.1)*V48+(0.1)*W48</f>
        <v>0.67650735275949003</v>
      </c>
      <c r="Y48" s="9">
        <f t="shared" ref="Y48" si="71">(0.7)*S48+(0.1)*U48+(0.1)*V48+(0.1)*W48</f>
        <v>0.7231760473530473</v>
      </c>
      <c r="Z48" s="9">
        <f>'1'!AM48</f>
        <v>0.86656261342980634</v>
      </c>
      <c r="AA48" s="9">
        <f>'1'!AO48</f>
        <v>0.88215897705126389</v>
      </c>
      <c r="AB48" s="9">
        <f>'2'!AM48</f>
        <v>0.30164917372179045</v>
      </c>
      <c r="AC48" s="9">
        <f>'2'!AO48</f>
        <v>0.44164501971860437</v>
      </c>
      <c r="AD48" s="9">
        <f>'3'!M48</f>
        <v>0.43435666890078939</v>
      </c>
      <c r="AE48" s="9">
        <f>'8'!U45</f>
        <v>0.39301948177345436</v>
      </c>
      <c r="AF48" s="9">
        <f t="shared" ref="AF48" si="72">(0.7)*Z48+(0.1)*AB48+(0.1)*AD48+(0.1)*AE48</f>
        <v>0.71949636184046784</v>
      </c>
      <c r="AG48" s="9">
        <f t="shared" ref="AG48" si="73">(0.7)*AA48+(0.1)*AC48+(0.1)*AD48+(0.1)*AE48</f>
        <v>0.7444134009751695</v>
      </c>
      <c r="AH48" s="9">
        <f>'1'!AW48</f>
        <v>0.73322971093990053</v>
      </c>
      <c r="AI48" s="9">
        <f>'1'!AY48</f>
        <v>0.78402582967898138</v>
      </c>
      <c r="AJ48" s="9">
        <f>'2'!AW48</f>
        <v>0.34582441076233233</v>
      </c>
      <c r="AK48" s="9">
        <f>'2'!AY48</f>
        <v>0.49285683712402817</v>
      </c>
      <c r="AL48" s="9">
        <f>'3'!P48</f>
        <v>0.51945171804193502</v>
      </c>
      <c r="AM48" s="9">
        <f>'8'!Z45</f>
        <v>0.41103494289026249</v>
      </c>
      <c r="AN48" s="9">
        <f t="shared" ref="AN48" si="74">(0.7)*AH48+(0.1)*AJ48+(0.1)*AL48+(0.1)*AM48</f>
        <v>0.64089190482738334</v>
      </c>
      <c r="AO48" s="9">
        <f t="shared" ref="AO48" si="75">(0.7)*AI48+(0.1)*AK48+(0.1)*AL48+(0.1)*AM48</f>
        <v>0.69115243058090958</v>
      </c>
      <c r="AP48" s="9">
        <f>'1'!BG48</f>
        <v>0.76730257696181658</v>
      </c>
      <c r="AQ48" s="9">
        <f>'1'!BI48</f>
        <v>0.8100402110447309</v>
      </c>
      <c r="AR48" s="162">
        <f>'2'!BG48</f>
        <v>0.37458867321138462</v>
      </c>
      <c r="AS48" s="9">
        <f>'2'!BI48</f>
        <v>0.52385875895793443</v>
      </c>
      <c r="AT48" s="9">
        <f>'3'!S48</f>
        <v>0.55743456629889687</v>
      </c>
      <c r="AU48" s="9">
        <f>'8'!AE45</f>
        <v>0.49951556067048475</v>
      </c>
      <c r="AV48" s="9">
        <f t="shared" ref="AV48" si="76">(0.7)*AP48+(0.1)*AR48+(0.1)*AT48+(0.1)*AU48</f>
        <v>0.68026568389134823</v>
      </c>
      <c r="AW48" s="9">
        <f t="shared" ref="AW48" si="77">(0.7)*AQ48+(0.1)*AS48+(0.1)*AT48+(0.1)*AU48</f>
        <v>0.72510903632404322</v>
      </c>
      <c r="AX48" s="9">
        <f>'1'!BQ48</f>
        <v>0.87205048722580303</v>
      </c>
      <c r="AY48" s="9">
        <f>'1'!BS48</f>
        <v>0.885997567297651</v>
      </c>
      <c r="AZ48" s="9">
        <f>'2'!BQ48</f>
        <v>0.34987624280597179</v>
      </c>
      <c r="BA48" s="9">
        <f>'2'!BS48</f>
        <v>0.49732868083324477</v>
      </c>
      <c r="BB48" s="9">
        <f>'3'!V48</f>
        <v>0.50214907569174194</v>
      </c>
      <c r="BC48" s="9">
        <f>'8'!AJ45</f>
        <v>0.42629406192423747</v>
      </c>
      <c r="BD48" s="9">
        <f t="shared" ref="BD48" si="78">(0.7)*AX48+(0.1)*AZ48+(0.1)*BB48+(0.1)*BC48</f>
        <v>0.73826727910025725</v>
      </c>
      <c r="BE48" s="9">
        <f t="shared" ref="BE48" si="79">(0.7)*AY48+(0.1)*BA48+(0.1)*BB48+(0.1)*BC48</f>
        <v>0.76277547895327802</v>
      </c>
      <c r="BF48" s="9">
        <f>'1'!CA48</f>
        <v>0.78270217470703973</v>
      </c>
      <c r="BG48" s="9">
        <f>'1'!CC48</f>
        <v>0.82157784580449233</v>
      </c>
      <c r="BH48" s="9">
        <f>'2'!CA48</f>
        <v>0.37551026795015141</v>
      </c>
      <c r="BI48" s="9">
        <f>'2'!CC48</f>
        <v>0.52482433047163057</v>
      </c>
      <c r="BJ48" s="9">
        <f>'3'!Y48</f>
        <v>0.57044824849781883</v>
      </c>
      <c r="BK48" s="9">
        <f>'8'!AO45</f>
        <v>0.52085201986743479</v>
      </c>
      <c r="BL48" s="9">
        <f t="shared" ref="BL48" si="80">(0.7)*BF48+(0.1)*BH48+(0.1)*BJ48+(0.1)*BK48</f>
        <v>0.69457257592646826</v>
      </c>
      <c r="BM48" s="9">
        <f t="shared" ref="BM48" si="81">(0.7)*BG48+(0.1)*BI48+(0.1)*BJ48+(0.1)*BK48</f>
        <v>0.73671695194683307</v>
      </c>
      <c r="BN48" s="9">
        <f>'1'!CK48</f>
        <v>0.71898537493791903</v>
      </c>
      <c r="BO48" s="9">
        <f>'1'!CM48</f>
        <v>0.77294519305769782</v>
      </c>
      <c r="BP48" s="9">
        <f>'2'!CK48</f>
        <v>0.6326724544753124</v>
      </c>
      <c r="BQ48" s="9">
        <f>'2'!CM48</f>
        <v>0.74479289119766179</v>
      </c>
      <c r="BR48" s="9">
        <f>'3'!AB48</f>
        <v>0.52324420602529553</v>
      </c>
      <c r="BS48" s="9">
        <f>'8'!AT45</f>
        <v>0.59553343581439844</v>
      </c>
      <c r="BT48" s="9">
        <f t="shared" ref="BT48" si="82">(0.7)*BN48+(0.1)*BP48+(0.1)*BR48+(0.1)*BS48</f>
        <v>0.67843477208804392</v>
      </c>
      <c r="BU48" s="9">
        <f t="shared" ref="BU48" si="83">(0.7)*BO48+(0.1)*BQ48+(0.1)*BR48+(0.1)*BS48</f>
        <v>0.72741868844412394</v>
      </c>
      <c r="BV48" s="9">
        <f>'1'!CU48</f>
        <v>0.91666666666666674</v>
      </c>
      <c r="BW48" s="9">
        <f>'1'!CW48</f>
        <v>0.91666666666666707</v>
      </c>
      <c r="BX48" s="9">
        <f>'2'!CU48</f>
        <v>0.83053411157346535</v>
      </c>
      <c r="BY48" s="9">
        <f>'2'!CW48</f>
        <v>0.86985742916875586</v>
      </c>
      <c r="BZ48" s="9">
        <f>'3'!AE48</f>
        <v>0.56330550852340866</v>
      </c>
      <c r="CA48" s="9">
        <f>'8'!AY45</f>
        <v>0.62013965685631289</v>
      </c>
      <c r="CB48" s="9">
        <f t="shared" ref="CB48" si="84">(0.7)*BV48+(0.1)*BX48+(0.1)*BZ48+(0.1)*CA48</f>
        <v>0.84306459436198544</v>
      </c>
      <c r="CC48" s="9">
        <f t="shared" ref="CC48" si="85">(0.7)*BW48+(0.1)*BY48+(0.1)*BZ48+(0.1)*CA48</f>
        <v>0.84699692612151467</v>
      </c>
      <c r="CD48" s="9">
        <f>'1'!DE48</f>
        <v>0.87741125227275085</v>
      </c>
      <c r="CE48" s="9">
        <f>'1'!DG48</f>
        <v>0.88973298392674738</v>
      </c>
      <c r="CF48" s="9">
        <f>'2'!DE48</f>
        <v>0.47356861023263919</v>
      </c>
      <c r="CG48" s="9">
        <f>'2'!DG48</f>
        <v>0.61910770768938905</v>
      </c>
      <c r="CH48" s="9">
        <f>'3'!AH48</f>
        <v>0.33362442119702618</v>
      </c>
      <c r="CI48" s="9">
        <f>'8'!BD45</f>
        <v>0.49116511425617471</v>
      </c>
      <c r="CJ48" s="9">
        <f t="shared" ref="CJ48" si="86">(0.7)*CD48+(0.1)*CF48+(0.1)*CH48+(0.1)*CI48</f>
        <v>0.7440236911595095</v>
      </c>
      <c r="CK48" s="9">
        <f t="shared" ref="CK48" si="87">(0.7)*CE48+(0.1)*CG48+(0.1)*CH48+(0.1)*CI48</f>
        <v>0.7672028130629821</v>
      </c>
    </row>
    <row r="49" spans="1:138">
      <c r="B49" s="267" t="s">
        <v>968</v>
      </c>
      <c r="C49" s="9"/>
      <c r="D49" s="9"/>
      <c r="E49" s="9"/>
      <c r="F49" s="9"/>
      <c r="G49" s="9"/>
      <c r="H49" s="9"/>
      <c r="I49" s="9"/>
      <c r="J49" s="9"/>
      <c r="K49" s="9"/>
      <c r="L49" s="9"/>
      <c r="M49" s="9"/>
      <c r="N49" s="9"/>
      <c r="O49" s="9"/>
      <c r="P49" s="9"/>
      <c r="Q49" s="9"/>
      <c r="R49" s="267" t="s">
        <v>968</v>
      </c>
      <c r="S49" s="9"/>
      <c r="T49" s="9"/>
      <c r="U49" s="9"/>
      <c r="V49" s="9"/>
      <c r="W49" s="9"/>
      <c r="X49" s="9"/>
      <c r="Y49" s="9"/>
      <c r="Z49" s="9"/>
      <c r="AA49" s="9"/>
      <c r="AB49" s="9"/>
      <c r="AC49" s="9"/>
      <c r="AD49" s="9"/>
      <c r="AE49" s="9"/>
      <c r="AF49" s="9"/>
      <c r="AG49" s="9"/>
      <c r="AH49" s="267" t="s">
        <v>968</v>
      </c>
      <c r="AI49" s="9"/>
      <c r="AJ49" s="9"/>
      <c r="AK49" s="9"/>
      <c r="AL49" s="9"/>
      <c r="AM49" s="9"/>
      <c r="AN49" s="9"/>
      <c r="AO49" s="9"/>
      <c r="AP49" s="9"/>
      <c r="AQ49" s="9"/>
      <c r="AR49" s="162"/>
      <c r="AS49" s="9"/>
      <c r="AT49" s="9"/>
      <c r="AU49" s="9"/>
      <c r="AV49" s="9"/>
      <c r="AW49" s="9"/>
      <c r="AX49" s="267" t="s">
        <v>968</v>
      </c>
      <c r="AY49" s="9"/>
      <c r="AZ49" s="9"/>
      <c r="BA49" s="9"/>
      <c r="BB49" s="9"/>
      <c r="BC49" s="9"/>
      <c r="BD49" s="9"/>
      <c r="BE49" s="9"/>
      <c r="BF49" s="9"/>
      <c r="BG49" s="9"/>
      <c r="BH49" s="9"/>
      <c r="BI49" s="9"/>
      <c r="BJ49" s="9"/>
      <c r="BK49" s="9"/>
      <c r="BL49" s="9"/>
      <c r="BM49" s="9"/>
      <c r="BN49" s="267" t="s">
        <v>968</v>
      </c>
      <c r="BO49" s="9"/>
      <c r="BP49" s="9"/>
      <c r="BQ49" s="9"/>
      <c r="BR49" s="9"/>
      <c r="BS49" s="9"/>
      <c r="BT49" s="9"/>
      <c r="BU49" s="9"/>
      <c r="BV49" s="9"/>
      <c r="BW49" s="9"/>
      <c r="BX49" s="9"/>
      <c r="BY49" s="9"/>
      <c r="BZ49" s="9"/>
      <c r="CA49" s="9"/>
      <c r="CB49" s="9"/>
      <c r="CC49" s="9"/>
      <c r="CD49" s="267" t="s">
        <v>968</v>
      </c>
      <c r="CE49" s="9"/>
      <c r="CF49" s="9"/>
      <c r="CG49" s="9"/>
      <c r="CH49" s="9"/>
      <c r="CI49" s="9"/>
      <c r="CJ49" s="9"/>
      <c r="CK49" s="9"/>
    </row>
    <row r="50" spans="1:138" s="252" customFormat="1">
      <c r="A50" s="252" t="s">
        <v>988</v>
      </c>
      <c r="B50" s="271">
        <f t="shared" ref="B50:AG50" si="88">B48-B19</f>
        <v>0.57101489756468671</v>
      </c>
      <c r="C50" s="271">
        <f t="shared" si="88"/>
        <v>0.52699966169184953</v>
      </c>
      <c r="D50" s="271">
        <f t="shared" si="88"/>
        <v>0.18314700393603206</v>
      </c>
      <c r="E50" s="271">
        <f t="shared" si="88"/>
        <v>0.20583658740676353</v>
      </c>
      <c r="F50" s="271">
        <f t="shared" si="88"/>
        <v>-0.15160215218864448</v>
      </c>
      <c r="G50" s="271">
        <f t="shared" si="88"/>
        <v>-0.14729254529242658</v>
      </c>
      <c r="H50" s="271">
        <f t="shared" si="88"/>
        <v>0.38813565894077678</v>
      </c>
      <c r="I50" s="271">
        <f t="shared" si="88"/>
        <v>0.3595939521768638</v>
      </c>
      <c r="J50" s="271">
        <f t="shared" si="88"/>
        <v>0.70474437462098471</v>
      </c>
      <c r="K50" s="271">
        <f t="shared" si="88"/>
        <v>0.74224060970700689</v>
      </c>
      <c r="L50" s="271">
        <f t="shared" si="88"/>
        <v>0.6284986011683662</v>
      </c>
      <c r="M50" s="271">
        <f t="shared" si="88"/>
        <v>0.59308290018035525</v>
      </c>
      <c r="N50" s="271">
        <f t="shared" si="88"/>
        <v>4.7123426753133912E-2</v>
      </c>
      <c r="O50" s="271">
        <f t="shared" si="88"/>
        <v>5.9871084417736919E-2</v>
      </c>
      <c r="P50" s="271">
        <f t="shared" si="88"/>
        <v>0.56687037346861302</v>
      </c>
      <c r="Q50" s="271">
        <f t="shared" si="88"/>
        <v>0.58957616793002743</v>
      </c>
      <c r="R50" s="271">
        <f t="shared" si="88"/>
        <v>0.55343308707350136</v>
      </c>
      <c r="S50" s="271">
        <f t="shared" si="88"/>
        <v>0.55121172964171672</v>
      </c>
      <c r="T50" s="271">
        <f t="shared" si="88"/>
        <v>0.2013089301441342</v>
      </c>
      <c r="U50" s="271">
        <f t="shared" si="88"/>
        <v>0.33728158301031902</v>
      </c>
      <c r="V50" s="271">
        <f t="shared" si="88"/>
        <v>0.34400916466293646</v>
      </c>
      <c r="W50" s="271">
        <f t="shared" si="88"/>
        <v>3.0867184475913412E-3</v>
      </c>
      <c r="X50" s="271">
        <f t="shared" si="88"/>
        <v>0.44224364227691698</v>
      </c>
      <c r="Y50" s="271">
        <f t="shared" si="88"/>
        <v>0.45428595736128635</v>
      </c>
      <c r="Z50" s="271">
        <f t="shared" si="88"/>
        <v>0.63653452906181052</v>
      </c>
      <c r="AA50" s="271">
        <f t="shared" si="88"/>
        <v>0.59216635960636865</v>
      </c>
      <c r="AB50" s="271">
        <f t="shared" si="88"/>
        <v>0.16246078353751528</v>
      </c>
      <c r="AC50" s="271">
        <f t="shared" si="88"/>
        <v>0.24281383787223793</v>
      </c>
      <c r="AD50" s="271">
        <f t="shared" si="88"/>
        <v>-9.0190986166141074E-2</v>
      </c>
      <c r="AE50" s="271">
        <f t="shared" si="88"/>
        <v>-0.23641705718416761</v>
      </c>
      <c r="AF50" s="271">
        <f t="shared" si="88"/>
        <v>0.42915944436198794</v>
      </c>
      <c r="AG50" s="271">
        <f t="shared" si="88"/>
        <v>0.40613703117665101</v>
      </c>
      <c r="AH50" s="271">
        <f t="shared" ref="AH50:BM50" si="89">AH48-AH19</f>
        <v>0.63642062963325829</v>
      </c>
      <c r="AI50" s="271">
        <f t="shared" si="89"/>
        <v>0.67981052566734734</v>
      </c>
      <c r="AJ50" s="271">
        <f t="shared" si="89"/>
        <v>0.18802268955044726</v>
      </c>
      <c r="AK50" s="271">
        <f t="shared" si="89"/>
        <v>0.26026659146139808</v>
      </c>
      <c r="AL50" s="271">
        <f t="shared" si="89"/>
        <v>0.1690179602852091</v>
      </c>
      <c r="AM50" s="271">
        <f t="shared" si="89"/>
        <v>-0.10913641838832439</v>
      </c>
      <c r="AN50" s="271">
        <f t="shared" si="89"/>
        <v>0.47028486388801394</v>
      </c>
      <c r="AO50" s="271">
        <f t="shared" si="89"/>
        <v>0.50788218130297147</v>
      </c>
      <c r="AP50" s="271">
        <f t="shared" si="89"/>
        <v>0.57919077072023861</v>
      </c>
      <c r="AQ50" s="271">
        <f t="shared" si="89"/>
        <v>0.57484495076610687</v>
      </c>
      <c r="AR50" s="271">
        <f t="shared" si="89"/>
        <v>0.17482991316766019</v>
      </c>
      <c r="AS50" s="271">
        <f t="shared" si="89"/>
        <v>0.22187435906936931</v>
      </c>
      <c r="AT50" s="271">
        <f t="shared" si="89"/>
        <v>-4.0065238625625055E-2</v>
      </c>
      <c r="AU50" s="271">
        <f t="shared" si="89"/>
        <v>-6.1617509528376857E-2</v>
      </c>
      <c r="AV50" s="271">
        <f t="shared" si="89"/>
        <v>0.41274825600553283</v>
      </c>
      <c r="AW50" s="271">
        <f t="shared" si="89"/>
        <v>0.41441062662781147</v>
      </c>
      <c r="AX50" s="271">
        <f t="shared" si="89"/>
        <v>0.59451200281631178</v>
      </c>
      <c r="AY50" s="271">
        <f t="shared" si="89"/>
        <v>0.53734256508584677</v>
      </c>
      <c r="AZ50" s="271">
        <f t="shared" si="89"/>
        <v>0.1533931942643777</v>
      </c>
      <c r="BA50" s="271">
        <f t="shared" si="89"/>
        <v>0.20046434141942687</v>
      </c>
      <c r="BB50" s="271">
        <f t="shared" si="89"/>
        <v>-0.26056292854650698</v>
      </c>
      <c r="BC50" s="271">
        <f t="shared" si="89"/>
        <v>-0.25558122083750257</v>
      </c>
      <c r="BD50" s="271">
        <f t="shared" si="89"/>
        <v>0.37988330645945501</v>
      </c>
      <c r="BE50" s="271">
        <f t="shared" si="89"/>
        <v>0.34457181476363435</v>
      </c>
      <c r="BF50" s="271">
        <f t="shared" si="89"/>
        <v>0.56907647094817926</v>
      </c>
      <c r="BG50" s="271">
        <f t="shared" si="89"/>
        <v>0.55266968273139438</v>
      </c>
      <c r="BH50" s="271">
        <f t="shared" si="89"/>
        <v>0.13313518264443336</v>
      </c>
      <c r="BI50" s="271">
        <f t="shared" si="89"/>
        <v>0.16015874847227535</v>
      </c>
      <c r="BJ50" s="271">
        <f t="shared" si="89"/>
        <v>8.6895973106219659E-2</v>
      </c>
      <c r="BK50" s="271">
        <f t="shared" si="89"/>
        <v>-9.3690301318484659E-2</v>
      </c>
      <c r="BL50" s="271">
        <f t="shared" si="89"/>
        <v>0.41098761510694226</v>
      </c>
      <c r="BM50" s="271">
        <f t="shared" si="89"/>
        <v>0.40220521993797714</v>
      </c>
      <c r="BN50" s="271">
        <f t="shared" ref="BN50:CK50" si="90">BN48-BN19</f>
        <v>0.47960473711327534</v>
      </c>
      <c r="BO50" s="271">
        <f t="shared" si="90"/>
        <v>0.47112764582949834</v>
      </c>
      <c r="BP50" s="271">
        <f t="shared" si="90"/>
        <v>0.28894961885146009</v>
      </c>
      <c r="BQ50" s="271">
        <f t="shared" si="90"/>
        <v>0.2542695614050039</v>
      </c>
      <c r="BR50" s="271">
        <f t="shared" si="90"/>
        <v>0.14717759535715802</v>
      </c>
      <c r="BS50" s="271">
        <f t="shared" si="90"/>
        <v>-0.12529830991380131</v>
      </c>
      <c r="BT50" s="271">
        <f t="shared" si="90"/>
        <v>0.36680620640877437</v>
      </c>
      <c r="BU50" s="271">
        <f t="shared" si="90"/>
        <v>0.35740423676548477</v>
      </c>
      <c r="BV50" s="271">
        <f t="shared" si="90"/>
        <v>0.51530856045630746</v>
      </c>
      <c r="BW50" s="271">
        <f t="shared" si="90"/>
        <v>0.42965142359708519</v>
      </c>
      <c r="BX50" s="271">
        <f t="shared" si="90"/>
        <v>0.25113214660062633</v>
      </c>
      <c r="BY50" s="271">
        <f t="shared" si="90"/>
        <v>0.16409843359580667</v>
      </c>
      <c r="BZ50" s="271">
        <f t="shared" si="90"/>
        <v>-0.15086982027006024</v>
      </c>
      <c r="CA50" s="271">
        <f t="shared" si="90"/>
        <v>-9.2749363114025152E-2</v>
      </c>
      <c r="CB50" s="271">
        <f t="shared" si="90"/>
        <v>0.36146728864106936</v>
      </c>
      <c r="CC50" s="271">
        <f t="shared" si="90"/>
        <v>0.29280392153913182</v>
      </c>
      <c r="CD50" s="271">
        <f t="shared" si="90"/>
        <v>0.50976287916817531</v>
      </c>
      <c r="CE50" s="271">
        <f t="shared" si="90"/>
        <v>0.43851823425233838</v>
      </c>
      <c r="CF50" s="271">
        <f t="shared" si="90"/>
        <v>0.16262935857309907</v>
      </c>
      <c r="CG50" s="271">
        <f t="shared" si="90"/>
        <v>0.16629868018097599</v>
      </c>
      <c r="CH50" s="271">
        <f t="shared" si="90"/>
        <v>-0.32684605512047138</v>
      </c>
      <c r="CI50" s="271">
        <f t="shared" si="90"/>
        <v>-0.11836549296246568</v>
      </c>
      <c r="CJ50" s="271">
        <f t="shared" si="90"/>
        <v>0.32857579646673885</v>
      </c>
      <c r="CK50" s="271">
        <f t="shared" si="90"/>
        <v>0.27907147718644076</v>
      </c>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c r="B51" s="1" t="s">
        <v>21</v>
      </c>
      <c r="R51" s="1" t="s">
        <v>380</v>
      </c>
      <c r="AH51" s="1" t="s">
        <v>380</v>
      </c>
      <c r="AX51" s="1" t="s">
        <v>380</v>
      </c>
      <c r="BN51" s="1" t="s">
        <v>380</v>
      </c>
      <c r="CD51" s="1" t="s">
        <v>380</v>
      </c>
    </row>
    <row r="52" spans="1:138">
      <c r="B52" s="1" t="s">
        <v>1138</v>
      </c>
    </row>
    <row r="54" spans="1:138">
      <c r="CB54" s="44"/>
      <c r="CC54" s="44"/>
      <c r="CD54" s="44"/>
      <c r="CE54" s="44"/>
      <c r="CF54" s="44"/>
      <c r="CG54" s="44"/>
      <c r="CH54" s="44"/>
      <c r="CI54" s="44"/>
      <c r="CJ54" s="44"/>
      <c r="CK54" s="44"/>
      <c r="CL54" s="44"/>
    </row>
  </sheetData>
  <phoneticPr fontId="0" type="noConversion"/>
  <pageMargins left="0.35433070866141736" right="0.35433070866141736" top="0.39370078740157483" bottom="0.39370078740157483" header="0.51181102362204722" footer="0.51181102362204722"/>
  <pageSetup scale="80" orientation="landscape" horizontalDpi="360" verticalDpi="360" r:id="rId1"/>
  <headerFooter alignWithMargins="0"/>
  <colBreaks count="5" manualBreakCount="5">
    <brk id="17" max="51" man="1"/>
    <brk id="33" max="1048575" man="1"/>
    <brk id="49" max="1048575" man="1"/>
    <brk id="65" max="51" man="1"/>
    <brk id="81" max="1048575" man="1"/>
  </colBreaks>
</worksheet>
</file>

<file path=xl/worksheets/sheet110.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404" t="s">
        <v>1396</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s="134">
        <f>'7'!B18</f>
        <v>20.399999999999999</v>
      </c>
      <c r="C21" s="134">
        <f>'7'!F18</f>
        <v>28</v>
      </c>
      <c r="D21" s="134">
        <f>'7'!J18</f>
        <v>24.1</v>
      </c>
      <c r="E21" s="134">
        <f>'7'!N18</f>
        <v>22.8</v>
      </c>
      <c r="F21" s="134">
        <f>'7'!R18</f>
        <v>26.6</v>
      </c>
      <c r="G21" s="134">
        <f>'7'!V18</f>
        <v>23.3</v>
      </c>
      <c r="H21" s="134">
        <f>'7'!Z18</f>
        <v>17.5</v>
      </c>
      <c r="I21" s="134">
        <f>'7'!AD18</f>
        <v>21.8</v>
      </c>
      <c r="J21" s="134">
        <f>'7'!AH18</f>
        <v>27.2</v>
      </c>
      <c r="K21" s="134">
        <f>'7'!AL18</f>
        <v>19.3</v>
      </c>
      <c r="L21" s="134">
        <f>'7'!AP18</f>
        <v>17.5</v>
      </c>
    </row>
    <row r="22" spans="1:12">
      <c r="A22" s="1">
        <v>2010</v>
      </c>
      <c r="B22" s="134">
        <f>'7'!B47</f>
        <v>11.5</v>
      </c>
      <c r="C22" s="134">
        <f>'7'!F47</f>
        <v>21.1</v>
      </c>
      <c r="D22" s="134">
        <f>'7'!J47</f>
        <v>10.8</v>
      </c>
      <c r="E22" s="134">
        <f>'7'!N47</f>
        <v>19.3</v>
      </c>
      <c r="F22" s="134">
        <f>'7'!R47</f>
        <v>15.5</v>
      </c>
      <c r="G22" s="134">
        <f>'7'!V47</f>
        <v>16.3</v>
      </c>
      <c r="H22" s="134">
        <f>'7'!Z47</f>
        <v>8.8000000000000007</v>
      </c>
      <c r="I22" s="134">
        <f>'7'!AD47</f>
        <v>11.1</v>
      </c>
      <c r="J22" s="134">
        <f>'7'!AH47</f>
        <v>13.4</v>
      </c>
      <c r="K22" s="134">
        <f>'7'!AL47</f>
        <v>2.5</v>
      </c>
      <c r="L22" s="134">
        <f>'7'!AP47</f>
        <v>12.2</v>
      </c>
    </row>
  </sheetData>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404" t="s">
        <v>1412</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s="134">
        <f>'7'!C18</f>
        <v>0.18989999999999999</v>
      </c>
      <c r="C21" s="134">
        <f>'7'!G18</f>
        <v>0.16539999999999999</v>
      </c>
      <c r="D21" s="134">
        <f>'7'!K18</f>
        <v>0.16539999999999999</v>
      </c>
      <c r="E21" s="134">
        <f>'7'!O18</f>
        <v>0.2039</v>
      </c>
      <c r="F21" s="134">
        <f>'7'!S18</f>
        <v>0.191</v>
      </c>
      <c r="G21" s="134">
        <f>'7'!W18</f>
        <v>0.1898</v>
      </c>
      <c r="H21" s="134">
        <f>'7'!AA18</f>
        <v>0.17670000000000002</v>
      </c>
      <c r="I21" s="134">
        <f>'7'!AE18</f>
        <v>0.19539999999999999</v>
      </c>
      <c r="J21" s="134">
        <f>'7'!AI18</f>
        <v>0.2024</v>
      </c>
      <c r="K21" s="134">
        <f>'7'!AM18</f>
        <v>0.20949999999999999</v>
      </c>
      <c r="L21" s="134">
        <f>'7'!AQ18</f>
        <v>0.20829999999999999</v>
      </c>
    </row>
    <row r="22" spans="1:12">
      <c r="A22" s="1">
        <v>2010</v>
      </c>
      <c r="B22" s="134">
        <f>'7'!C47</f>
        <v>0.15909999999999999</v>
      </c>
      <c r="C22" s="134">
        <f>'7'!G47</f>
        <v>0.1115</v>
      </c>
      <c r="D22" s="134">
        <f>'7'!K47</f>
        <v>0.12539999999999998</v>
      </c>
      <c r="E22" s="134">
        <f>'7'!O47</f>
        <v>0.1517</v>
      </c>
      <c r="F22" s="134">
        <f>'7'!S47</f>
        <v>0.1232</v>
      </c>
      <c r="G22" s="134">
        <f>'7'!W47</f>
        <v>0.14630000000000001</v>
      </c>
      <c r="H22" s="134">
        <f>'7'!AA47</f>
        <v>0.1678</v>
      </c>
      <c r="I22" s="134">
        <f>'7'!AE47</f>
        <v>0.1431</v>
      </c>
      <c r="J22" s="134">
        <f>'7'!AI47</f>
        <v>0.13170000000000001</v>
      </c>
      <c r="K22" s="134">
        <f>'7'!AM47</f>
        <v>0.17460000000000001</v>
      </c>
      <c r="L22" s="134">
        <f>'7'!AQ47</f>
        <v>0.1928</v>
      </c>
    </row>
  </sheetData>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404" t="s">
        <v>1397</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s="134">
        <f>'7'!E18</f>
        <v>0.34472713020593992</v>
      </c>
      <c r="C21" s="134">
        <f>'7'!I18</f>
        <v>0.22339113313374512</v>
      </c>
      <c r="D21" s="134">
        <f>'7'!M18</f>
        <v>0.32675202039721485</v>
      </c>
      <c r="E21" s="134">
        <f>'7'!Q18</f>
        <v>0.22055177722528907</v>
      </c>
      <c r="F21" s="134">
        <f>'7'!U18</f>
        <v>0.15138173441703143</v>
      </c>
      <c r="G21" s="134">
        <f>'7'!Y18</f>
        <v>0.25685771750395614</v>
      </c>
      <c r="H21" s="134">
        <f>'7'!AC18</f>
        <v>0.46998406627812983</v>
      </c>
      <c r="I21" s="134">
        <f>'7'!AG18</f>
        <v>0.28291505711079196</v>
      </c>
      <c r="J21" s="134">
        <f>'7'!AK18</f>
        <v>8.3333333333333315E-2</v>
      </c>
      <c r="K21" s="134">
        <f>'7'!AO18</f>
        <v>0.31758500281692298</v>
      </c>
      <c r="L21" s="134">
        <f>'7'!AS18</f>
        <v>0.38137437003793712</v>
      </c>
    </row>
    <row r="22" spans="1:12">
      <c r="A22" s="1">
        <v>2010</v>
      </c>
      <c r="B22" s="134">
        <f>'7'!E47</f>
        <v>0.67229618648223033</v>
      </c>
      <c r="C22" s="134">
        <f>'7'!I47</f>
        <v>0.58849352620443485</v>
      </c>
      <c r="D22" s="134">
        <f>'7'!M47</f>
        <v>0.74846046661577614</v>
      </c>
      <c r="E22" s="134">
        <f>'7'!Q47</f>
        <v>0.49633303273335105</v>
      </c>
      <c r="F22" s="134">
        <f>'7'!U47</f>
        <v>0.65948543564244111</v>
      </c>
      <c r="G22" s="134">
        <f>'7'!Y47</f>
        <v>0.58335961179659435</v>
      </c>
      <c r="H22" s="134">
        <f>'7'!AC47</f>
        <v>0.7288605786517609</v>
      </c>
      <c r="I22" s="134">
        <f>'7'!AG47</f>
        <v>0.71095116500118882</v>
      </c>
      <c r="J22" s="134">
        <f>'7'!AK47</f>
        <v>0.68269060057825426</v>
      </c>
      <c r="K22" s="134">
        <f>'7'!AO47</f>
        <v>0.89552692484936347</v>
      </c>
      <c r="L22" s="134">
        <f>'7'!AS47</f>
        <v>0.58857204112515393</v>
      </c>
    </row>
  </sheetData>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dimension ref="A1:L24"/>
  <sheetViews>
    <sheetView workbookViewId="0">
      <selection activeCell="E9" sqref="E9"/>
    </sheetView>
  </sheetViews>
  <sheetFormatPr defaultRowHeight="12.75"/>
  <sheetData>
    <row r="1" spans="1:1" ht="15.75">
      <c r="A1" s="404" t="s">
        <v>1398</v>
      </c>
    </row>
    <row r="22" spans="1:12">
      <c r="A22" s="1"/>
      <c r="B22" s="76" t="s">
        <v>321</v>
      </c>
      <c r="C22" s="76" t="s">
        <v>370</v>
      </c>
      <c r="D22" s="76" t="s">
        <v>371</v>
      </c>
      <c r="E22" s="76" t="s">
        <v>372</v>
      </c>
      <c r="F22" s="76" t="s">
        <v>373</v>
      </c>
      <c r="G22" s="76" t="s">
        <v>374</v>
      </c>
      <c r="H22" s="76" t="s">
        <v>375</v>
      </c>
      <c r="I22" s="76" t="s">
        <v>376</v>
      </c>
      <c r="J22" s="76" t="s">
        <v>377</v>
      </c>
      <c r="K22" s="76" t="s">
        <v>378</v>
      </c>
      <c r="L22" s="76" t="s">
        <v>379</v>
      </c>
    </row>
    <row r="23" spans="1:12">
      <c r="A23" s="1">
        <v>1981</v>
      </c>
      <c r="B23" s="1">
        <f>'8'!F16</f>
        <v>0.63201595297490964</v>
      </c>
      <c r="C23" s="1">
        <f>'8'!K16</f>
        <v>0.41310207481519734</v>
      </c>
      <c r="D23" s="1">
        <f>'8'!P16</f>
        <v>0.45114132979063915</v>
      </c>
      <c r="E23" s="1">
        <f>'8'!U16</f>
        <v>0.62943653895762197</v>
      </c>
      <c r="F23" s="1">
        <f>'8'!Z16</f>
        <v>0.52017136127858687</v>
      </c>
      <c r="G23" s="1">
        <f>'8'!AE16</f>
        <v>0.56113307019886161</v>
      </c>
      <c r="H23" s="1">
        <f>'8'!AJ16</f>
        <v>0.68187528276174003</v>
      </c>
      <c r="I23" s="1">
        <f>'8'!AO16</f>
        <v>0.61454232118591945</v>
      </c>
      <c r="J23" s="1">
        <f>'8'!AT16</f>
        <v>0.72083174572819975</v>
      </c>
      <c r="K23" s="1">
        <f>'8'!AY16</f>
        <v>0.71288901997033804</v>
      </c>
      <c r="L23" s="1">
        <f>'8'!BD16</f>
        <v>0.60953060721864039</v>
      </c>
    </row>
    <row r="24" spans="1:12">
      <c r="A24" s="1">
        <v>2010</v>
      </c>
      <c r="B24" s="1">
        <f>'8'!F45</f>
        <v>0.48472340768248307</v>
      </c>
      <c r="C24" s="1">
        <f>'8'!K45</f>
        <v>0.47297315923293426</v>
      </c>
      <c r="D24" s="1">
        <f>'8'!P45</f>
        <v>0.45422804823823049</v>
      </c>
      <c r="E24" s="1">
        <f>'8'!U45</f>
        <v>0.39301948177345436</v>
      </c>
      <c r="F24" s="1">
        <f>'8'!Z45</f>
        <v>0.41103494289026249</v>
      </c>
      <c r="G24" s="1">
        <f>'8'!AE45</f>
        <v>0.49951556067048475</v>
      </c>
      <c r="H24" s="1">
        <f>'8'!AJ45</f>
        <v>0.42629406192423747</v>
      </c>
      <c r="I24" s="1">
        <f>'8'!AO45</f>
        <v>0.52085201986743479</v>
      </c>
      <c r="J24" s="1">
        <f>'8'!AT45</f>
        <v>0.59553343581439844</v>
      </c>
      <c r="K24" s="1">
        <f>'8'!AY45</f>
        <v>0.62013965685631289</v>
      </c>
      <c r="L24" s="1">
        <f>'8'!BD45</f>
        <v>0.49116511425617471</v>
      </c>
    </row>
  </sheetData>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dimension ref="A1:R34"/>
  <sheetViews>
    <sheetView topLeftCell="A4" workbookViewId="0">
      <selection activeCell="E9" sqref="E9"/>
    </sheetView>
  </sheetViews>
  <sheetFormatPr defaultRowHeight="12.75"/>
  <cols>
    <col min="11" max="11" width="11.875" bestFit="1" customWidth="1"/>
    <col min="12" max="12" width="5.75" customWidth="1"/>
    <col min="13" max="13" width="7.25" customWidth="1"/>
    <col min="14" max="14" width="5.5" customWidth="1"/>
    <col min="16" max="16" width="7.75" customWidth="1"/>
    <col min="17" max="17" width="6.75" customWidth="1"/>
    <col min="18" max="18" width="6" customWidth="1"/>
  </cols>
  <sheetData>
    <row r="1" spans="1:18" ht="15.75">
      <c r="A1" s="404" t="s">
        <v>1454</v>
      </c>
      <c r="K1" t="s">
        <v>1250</v>
      </c>
      <c r="L1" s="206" t="s">
        <v>1437</v>
      </c>
      <c r="M1" s="206" t="s">
        <v>1436</v>
      </c>
      <c r="N1" s="206" t="s">
        <v>1438</v>
      </c>
      <c r="O1" t="s">
        <v>1250</v>
      </c>
      <c r="P1" s="206" t="s">
        <v>1437</v>
      </c>
      <c r="Q1" s="206" t="s">
        <v>1436</v>
      </c>
      <c r="R1" s="206" t="s">
        <v>1438</v>
      </c>
    </row>
    <row r="2" spans="1:18">
      <c r="J2" s="1">
        <v>1981</v>
      </c>
      <c r="K2">
        <f>100*O2/O$2</f>
        <v>99.999999999999986</v>
      </c>
      <c r="L2">
        <f t="shared" ref="L2:N2" si="0">100*P2/P$2</f>
        <v>100</v>
      </c>
      <c r="M2">
        <f t="shared" si="0"/>
        <v>100</v>
      </c>
      <c r="N2">
        <f t="shared" si="0"/>
        <v>100</v>
      </c>
      <c r="O2" s="610">
        <f>'9'!H19</f>
        <v>0.44780458265691525</v>
      </c>
      <c r="P2" s="610">
        <f>'a31'!H19</f>
        <v>0.44965563875290226</v>
      </c>
      <c r="Q2" s="610">
        <f>'a32'!H19</f>
        <v>0.38323868703715341</v>
      </c>
      <c r="R2" s="610">
        <f>'a33'!H19</f>
        <v>0.52447772861809816</v>
      </c>
    </row>
    <row r="3" spans="1:18">
      <c r="J3" s="1">
        <v>1982</v>
      </c>
      <c r="K3">
        <f t="shared" ref="K3:K31" si="1">100*O3/O$2</f>
        <v>96.697453243086969</v>
      </c>
      <c r="L3">
        <f t="shared" ref="L3:L31" si="2">100*P3/P$2</f>
        <v>96.054289634664329</v>
      </c>
      <c r="M3">
        <f t="shared" ref="M3:M31" si="3">100*Q3/Q$2</f>
        <v>95.5652849178894</v>
      </c>
      <c r="N3">
        <f t="shared" ref="N3:N31" si="4">100*R3/R$2</f>
        <v>96.867035577610736</v>
      </c>
      <c r="O3" s="610">
        <f>'9'!H20</f>
        <v>0.43301562693507134</v>
      </c>
      <c r="P3" s="610">
        <f>'a31'!H20</f>
        <v>0.43191352960631268</v>
      </c>
      <c r="Q3" s="610">
        <f>'a32'!H20</f>
        <v>0.36624314318263412</v>
      </c>
      <c r="R3" s="610">
        <f>'a33'!H20</f>
        <v>0.50804602797713783</v>
      </c>
    </row>
    <row r="4" spans="1:18">
      <c r="J4" s="1">
        <v>1983</v>
      </c>
      <c r="K4">
        <f t="shared" si="1"/>
        <v>94.552311210952126</v>
      </c>
      <c r="L4">
        <f t="shared" si="2"/>
        <v>93.9276765970599</v>
      </c>
      <c r="M4">
        <f t="shared" si="3"/>
        <v>95.110678198717324</v>
      </c>
      <c r="N4">
        <f t="shared" si="4"/>
        <v>93.492165092744585</v>
      </c>
      <c r="O4" s="610">
        <f>'9'!H21</f>
        <v>0.42340958261067185</v>
      </c>
      <c r="P4" s="610">
        <f>'a31'!H21</f>
        <v>0.42235109416826999</v>
      </c>
      <c r="Q4" s="610">
        <f>'a32'!H21</f>
        <v>0.36450091436089638</v>
      </c>
      <c r="R4" s="610">
        <f>'a33'!H21</f>
        <v>0.49034558391430927</v>
      </c>
    </row>
    <row r="5" spans="1:18">
      <c r="J5" s="1">
        <v>1984</v>
      </c>
      <c r="K5">
        <f t="shared" si="1"/>
        <v>95.675730863949354</v>
      </c>
      <c r="L5">
        <f t="shared" si="2"/>
        <v>95.684502162486922</v>
      </c>
      <c r="M5">
        <f t="shared" si="3"/>
        <v>98.700914237371094</v>
      </c>
      <c r="N5">
        <f t="shared" si="4"/>
        <v>93.851144894126875</v>
      </c>
      <c r="O5" s="610">
        <f>'9'!H22</f>
        <v>0.42844030729926186</v>
      </c>
      <c r="P5" s="610">
        <f>'a31'!H22</f>
        <v>0.43025075938626511</v>
      </c>
      <c r="Q5" s="610">
        <f>'a32'!H22</f>
        <v>0.37826008781696779</v>
      </c>
      <c r="R5" s="610">
        <f>'a33'!H22</f>
        <v>0.49222835302279683</v>
      </c>
    </row>
    <row r="6" spans="1:18">
      <c r="J6" s="1">
        <v>1985</v>
      </c>
      <c r="K6">
        <f t="shared" si="1"/>
        <v>99.833701252584035</v>
      </c>
      <c r="L6">
        <f t="shared" si="2"/>
        <v>100.93238445361573</v>
      </c>
      <c r="M6">
        <f t="shared" si="3"/>
        <v>101.33961316199658</v>
      </c>
      <c r="N6">
        <f t="shared" si="4"/>
        <v>98.566203635441241</v>
      </c>
      <c r="O6" s="610">
        <f>'9'!H23</f>
        <v>0.44705988924508555</v>
      </c>
      <c r="P6" s="610">
        <f>'a31'!H23</f>
        <v>0.45384815802344081</v>
      </c>
      <c r="Q6" s="610">
        <f>'a32'!H23</f>
        <v>0.38837260293056602</v>
      </c>
      <c r="R6" s="610">
        <f>'a33'!H23</f>
        <v>0.51695778601225151</v>
      </c>
    </row>
    <row r="7" spans="1:18">
      <c r="J7" s="1">
        <v>1986</v>
      </c>
      <c r="K7">
        <f t="shared" si="1"/>
        <v>100.8758607982866</v>
      </c>
      <c r="L7">
        <f t="shared" si="2"/>
        <v>103.27281816775309</v>
      </c>
      <c r="M7">
        <f t="shared" si="3"/>
        <v>100.9979567447679</v>
      </c>
      <c r="N7">
        <f t="shared" si="4"/>
        <v>100.2602042893495</v>
      </c>
      <c r="O7" s="610">
        <f>'9'!H24</f>
        <v>0.45172672744933806</v>
      </c>
      <c r="P7" s="610">
        <f>'a31'!H24</f>
        <v>0.46437205019033345</v>
      </c>
      <c r="Q7" s="610">
        <f>'a32'!H24</f>
        <v>0.38706324336300063</v>
      </c>
      <c r="R7" s="610">
        <f>'a33'!H24</f>
        <v>0.52584244216464526</v>
      </c>
    </row>
    <row r="8" spans="1:18">
      <c r="J8" s="1">
        <v>1987</v>
      </c>
      <c r="K8">
        <f t="shared" si="1"/>
        <v>103.24329710472897</v>
      </c>
      <c r="L8">
        <f t="shared" si="2"/>
        <v>106.26243727094412</v>
      </c>
      <c r="M8">
        <f t="shared" si="3"/>
        <v>102.84958421285197</v>
      </c>
      <c r="N8">
        <f t="shared" si="4"/>
        <v>102.31393687415559</v>
      </c>
      <c r="O8" s="610">
        <f>'9'!H25</f>
        <v>0.46232821572107063</v>
      </c>
      <c r="P8" s="610">
        <f>'a31'!H25</f>
        <v>0.47781504106506589</v>
      </c>
      <c r="Q8" s="610">
        <f>'a32'!H25</f>
        <v>0.39415939616050527</v>
      </c>
      <c r="R8" s="610">
        <f>'a33'!H25</f>
        <v>0.53661381217732607</v>
      </c>
    </row>
    <row r="9" spans="1:18">
      <c r="J9" s="1">
        <v>1988</v>
      </c>
      <c r="K9">
        <f t="shared" si="1"/>
        <v>108.83831218167683</v>
      </c>
      <c r="L9">
        <f t="shared" si="2"/>
        <v>112.57324270121731</v>
      </c>
      <c r="M9">
        <f t="shared" si="3"/>
        <v>109.44225178205049</v>
      </c>
      <c r="N9">
        <f t="shared" si="4"/>
        <v>107.61228283245576</v>
      </c>
      <c r="O9" s="610">
        <f>'9'!H26</f>
        <v>0.48738294963598849</v>
      </c>
      <c r="P9" s="610">
        <f>'a31'!H26</f>
        <v>0.50619193353301362</v>
      </c>
      <c r="Q9" s="610">
        <f>'a32'!H26</f>
        <v>0.41942504879342596</v>
      </c>
      <c r="R9" s="610">
        <f>'a33'!H26</f>
        <v>0.56440245671374756</v>
      </c>
    </row>
    <row r="10" spans="1:18">
      <c r="J10" s="1">
        <v>1989</v>
      </c>
      <c r="K10">
        <f t="shared" si="1"/>
        <v>112.45334085613391</v>
      </c>
      <c r="L10">
        <f t="shared" si="2"/>
        <v>116.82255527830222</v>
      </c>
      <c r="M10">
        <f t="shared" si="3"/>
        <v>113.37389479320719</v>
      </c>
      <c r="N10">
        <f t="shared" si="4"/>
        <v>111.08167400587921</v>
      </c>
      <c r="O10" s="610">
        <f>'9'!H27</f>
        <v>0.50357121370456881</v>
      </c>
      <c r="P10" s="610">
        <f>'a31'!H27</f>
        <v>0.52529920714411216</v>
      </c>
      <c r="Q10" s="610">
        <f>'a32'!H27</f>
        <v>0.43449262584837084</v>
      </c>
      <c r="R10" s="610">
        <f>'a33'!H27</f>
        <v>0.58259864073699563</v>
      </c>
    </row>
    <row r="11" spans="1:18">
      <c r="J11" s="1">
        <v>1990</v>
      </c>
      <c r="K11">
        <f t="shared" si="1"/>
        <v>109.54442499592746</v>
      </c>
      <c r="L11">
        <f t="shared" si="2"/>
        <v>113.8838479215291</v>
      </c>
      <c r="M11">
        <f t="shared" si="3"/>
        <v>114.52582837093361</v>
      </c>
      <c r="N11">
        <f t="shared" si="4"/>
        <v>106.02074602541347</v>
      </c>
      <c r="O11" s="610">
        <f>'9'!H28</f>
        <v>0.49054495517693048</v>
      </c>
      <c r="P11" s="610">
        <f>'a31'!H28</f>
        <v>0.51208514380793546</v>
      </c>
      <c r="Q11" s="610">
        <f>'a32'!H28</f>
        <v>0.43890728096718973</v>
      </c>
      <c r="R11" s="610">
        <f>'a33'!H28</f>
        <v>0.55605520061805114</v>
      </c>
    </row>
    <row r="12" spans="1:18">
      <c r="J12" s="1">
        <v>1991</v>
      </c>
      <c r="K12">
        <f t="shared" si="1"/>
        <v>107.42283336230388</v>
      </c>
      <c r="L12">
        <f t="shared" si="2"/>
        <v>112.15748359801448</v>
      </c>
      <c r="M12">
        <f t="shared" si="3"/>
        <v>111.93916617671461</v>
      </c>
      <c r="N12">
        <f t="shared" si="4"/>
        <v>103.90650656959973</v>
      </c>
      <c r="O12" s="610">
        <f>'9'!H29</f>
        <v>0.48104437061629834</v>
      </c>
      <c r="P12" s="610">
        <f>'a31'!H29</f>
        <v>0.50432244928183356</v>
      </c>
      <c r="Q12" s="610">
        <f>'a32'!H29</f>
        <v>0.42899419073597844</v>
      </c>
      <c r="R12" s="610">
        <f>'a33'!H29</f>
        <v>0.54496648554265159</v>
      </c>
    </row>
    <row r="13" spans="1:18">
      <c r="J13" s="1">
        <v>1992</v>
      </c>
      <c r="K13">
        <f t="shared" si="1"/>
        <v>107.11472382014183</v>
      </c>
      <c r="L13">
        <f t="shared" si="2"/>
        <v>112.70918064586976</v>
      </c>
      <c r="M13">
        <f t="shared" si="3"/>
        <v>112.33222816508744</v>
      </c>
      <c r="N13">
        <f t="shared" si="4"/>
        <v>103.06985347291825</v>
      </c>
      <c r="O13" s="610">
        <f>'9'!H30</f>
        <v>0.47966464196689351</v>
      </c>
      <c r="P13" s="610">
        <f>'a31'!H30</f>
        <v>0.50680318616634823</v>
      </c>
      <c r="Q13" s="610">
        <f>'a32'!H30</f>
        <v>0.4305005563394606</v>
      </c>
      <c r="R13" s="610">
        <f>'a33'!H30</f>
        <v>0.54057842638476361</v>
      </c>
    </row>
    <row r="14" spans="1:18">
      <c r="J14" s="1">
        <v>1993</v>
      </c>
      <c r="K14">
        <f t="shared" si="1"/>
        <v>107.16088780303315</v>
      </c>
      <c r="L14">
        <f t="shared" si="2"/>
        <v>113.05284488057558</v>
      </c>
      <c r="M14">
        <f t="shared" si="3"/>
        <v>111.70141525156696</v>
      </c>
      <c r="N14">
        <f t="shared" si="4"/>
        <v>103.17110589575132</v>
      </c>
      <c r="O14" s="610">
        <f>'9'!H31</f>
        <v>0.4798713663978178</v>
      </c>
      <c r="P14" s="610">
        <f>'a31'!H31</f>
        <v>0.50834849177607988</v>
      </c>
      <c r="Q14" s="610">
        <f>'a32'!H31</f>
        <v>0.42808303721202384</v>
      </c>
      <c r="R14" s="610">
        <f>'a33'!H31</f>
        <v>0.54110947279220933</v>
      </c>
    </row>
    <row r="15" spans="1:18">
      <c r="J15" s="1">
        <v>1994</v>
      </c>
      <c r="K15">
        <f t="shared" si="1"/>
        <v>108.56328392407161</v>
      </c>
      <c r="L15">
        <f t="shared" si="2"/>
        <v>114.80012164172571</v>
      </c>
      <c r="M15">
        <f t="shared" si="3"/>
        <v>114.10403341503878</v>
      </c>
      <c r="N15">
        <f t="shared" si="4"/>
        <v>104.00639218168318</v>
      </c>
      <c r="O15" s="610">
        <f>'9'!H32</f>
        <v>0.48615136049483088</v>
      </c>
      <c r="P15" s="610">
        <f>'a31'!H32</f>
        <v>0.5162052202572105</v>
      </c>
      <c r="Q15" s="610">
        <f>'a32'!H32</f>
        <v>0.43729079951622946</v>
      </c>
      <c r="R15" s="610">
        <f>'a33'!H32</f>
        <v>0.5454903633321232</v>
      </c>
    </row>
    <row r="16" spans="1:18">
      <c r="J16" s="1">
        <v>1995</v>
      </c>
      <c r="K16">
        <f t="shared" si="1"/>
        <v>108.94045964970785</v>
      </c>
      <c r="L16">
        <f t="shared" si="2"/>
        <v>115.28831677105715</v>
      </c>
      <c r="M16">
        <f t="shared" si="3"/>
        <v>116.51152714160726</v>
      </c>
      <c r="N16">
        <f t="shared" si="4"/>
        <v>103.40111753492201</v>
      </c>
      <c r="O16" s="610">
        <f>'9'!H33</f>
        <v>0.4878403706788994</v>
      </c>
      <c r="P16" s="610">
        <f>'a31'!H33</f>
        <v>0.51840041718436636</v>
      </c>
      <c r="Q16" s="610">
        <f>'a32'!H33</f>
        <v>0.44651724686443228</v>
      </c>
      <c r="R16" s="610">
        <f>'a33'!H33</f>
        <v>0.54231583261288896</v>
      </c>
    </row>
    <row r="17" spans="10:18">
      <c r="J17" s="1">
        <v>1996</v>
      </c>
      <c r="K17">
        <f t="shared" si="1"/>
        <v>106.47387454897</v>
      </c>
      <c r="L17">
        <f t="shared" si="2"/>
        <v>112.9456419723595</v>
      </c>
      <c r="M17">
        <f t="shared" si="3"/>
        <v>117.65848832974706</v>
      </c>
      <c r="N17">
        <f t="shared" si="4"/>
        <v>99.070918737573734</v>
      </c>
      <c r="O17" s="610">
        <f>'9'!H34</f>
        <v>0.47679488956266264</v>
      </c>
      <c r="P17" s="610">
        <f>'a31'!H34</f>
        <v>0.50786644785437918</v>
      </c>
      <c r="Q17" s="610">
        <f>'a32'!H34</f>
        <v>0.45091284586268499</v>
      </c>
      <c r="R17" s="610">
        <f>'a33'!H34</f>
        <v>0.51960490431590856</v>
      </c>
    </row>
    <row r="18" spans="10:18">
      <c r="J18" s="1">
        <v>1997</v>
      </c>
      <c r="K18">
        <f t="shared" si="1"/>
        <v>106.66885661768562</v>
      </c>
      <c r="L18">
        <f t="shared" si="2"/>
        <v>113.64364243798678</v>
      </c>
      <c r="M18">
        <f t="shared" si="3"/>
        <v>120.79050287333611</v>
      </c>
      <c r="N18">
        <f t="shared" si="4"/>
        <v>97.738013038837948</v>
      </c>
      <c r="O18" s="610">
        <f>'9'!H35</f>
        <v>0.47766802820173043</v>
      </c>
      <c r="P18" s="610">
        <f>'a31'!H35</f>
        <v>0.51100504630659382</v>
      </c>
      <c r="Q18" s="610">
        <f>'a32'!H35</f>
        <v>0.46291593727734837</v>
      </c>
      <c r="R18" s="610">
        <f>'a33'!H35</f>
        <v>0.51261411078255792</v>
      </c>
    </row>
    <row r="19" spans="10:18">
      <c r="J19" s="1">
        <v>1998</v>
      </c>
      <c r="K19">
        <f t="shared" si="1"/>
        <v>108.13233328905061</v>
      </c>
      <c r="L19">
        <f t="shared" si="2"/>
        <v>116.05922814891859</v>
      </c>
      <c r="M19">
        <f t="shared" si="3"/>
        <v>123.77003990801288</v>
      </c>
      <c r="N19">
        <f t="shared" si="4"/>
        <v>98.478742154260559</v>
      </c>
      <c r="O19" s="610">
        <f>'9'!H36</f>
        <v>0.48422154380221771</v>
      </c>
      <c r="P19" s="610">
        <f>'a31'!H36</f>
        <v>0.52186686366470803</v>
      </c>
      <c r="Q19" s="610">
        <f>'a32'!H36</f>
        <v>0.47433467588882933</v>
      </c>
      <c r="R19" s="610">
        <f>'a33'!H36</f>
        <v>0.5164990700223393</v>
      </c>
    </row>
    <row r="20" spans="10:18">
      <c r="J20" s="1">
        <v>1999</v>
      </c>
      <c r="K20">
        <f t="shared" si="1"/>
        <v>110.489672167547</v>
      </c>
      <c r="L20">
        <f t="shared" si="2"/>
        <v>118.61115036719642</v>
      </c>
      <c r="M20">
        <f t="shared" si="3"/>
        <v>127.91381854607458</v>
      </c>
      <c r="N20">
        <f t="shared" si="4"/>
        <v>99.601434458752166</v>
      </c>
      <c r="O20" s="610">
        <f>'9'!H37</f>
        <v>0.49477781532887766</v>
      </c>
      <c r="P20" s="610">
        <f>'a31'!H37</f>
        <v>0.53334172581578243</v>
      </c>
      <c r="Q20" s="610">
        <f>'a32'!H37</f>
        <v>0.49021523873506306</v>
      </c>
      <c r="R20" s="610">
        <f>'a33'!H37</f>
        <v>0.52238734112030705</v>
      </c>
    </row>
    <row r="21" spans="10:18">
      <c r="J21" s="1">
        <v>2000</v>
      </c>
      <c r="K21">
        <f t="shared" si="1"/>
        <v>113.81970498481061</v>
      </c>
      <c r="L21">
        <f t="shared" si="2"/>
        <v>121.94589692054556</v>
      </c>
      <c r="M21">
        <f t="shared" si="3"/>
        <v>133.65140408610165</v>
      </c>
      <c r="N21">
        <f t="shared" si="4"/>
        <v>101.25545381468386</v>
      </c>
      <c r="O21" s="610">
        <f>'9'!H38</f>
        <v>0.50968985488856333</v>
      </c>
      <c r="P21" s="610">
        <f>'a31'!H38</f>
        <v>0.54833660173103493</v>
      </c>
      <c r="Q21" s="610">
        <f>'a32'!H38</f>
        <v>0.51220388622629642</v>
      </c>
      <c r="R21" s="610">
        <f>'a33'!H38</f>
        <v>0.53106230426920131</v>
      </c>
    </row>
    <row r="22" spans="10:18">
      <c r="J22" s="1">
        <v>2001</v>
      </c>
      <c r="K22">
        <f t="shared" si="1"/>
        <v>113.81893382703021</v>
      </c>
      <c r="L22">
        <f t="shared" si="2"/>
        <v>122.58047622397866</v>
      </c>
      <c r="M22">
        <f t="shared" si="3"/>
        <v>132.87364368154232</v>
      </c>
      <c r="N22">
        <f t="shared" si="4"/>
        <v>101.07672072761257</v>
      </c>
      <c r="O22" s="610">
        <f>'9'!H39</f>
        <v>0.50968640160868317</v>
      </c>
      <c r="P22" s="610">
        <f>'a31'!H39</f>
        <v>0.55119002335128076</v>
      </c>
      <c r="Q22" s="610">
        <f>'a32'!H39</f>
        <v>0.50922320746356842</v>
      </c>
      <c r="R22" s="610">
        <f>'a33'!H39</f>
        <v>0.53012488903384081</v>
      </c>
    </row>
    <row r="23" spans="10:18">
      <c r="J23" s="1">
        <v>2002</v>
      </c>
      <c r="K23">
        <f t="shared" si="1"/>
        <v>112.1614964206418</v>
      </c>
      <c r="L23">
        <f t="shared" si="2"/>
        <v>121.52261900425864</v>
      </c>
      <c r="M23">
        <f t="shared" si="3"/>
        <v>131.3081066610753</v>
      </c>
      <c r="N23">
        <f t="shared" si="4"/>
        <v>98.714712819852721</v>
      </c>
      <c r="O23" s="610">
        <f>'9'!H40</f>
        <v>0.50226432094820594</v>
      </c>
      <c r="P23" s="610">
        <f>'a31'!H40</f>
        <v>0.546433308712855</v>
      </c>
      <c r="Q23" s="610">
        <f>'a32'!H40</f>
        <v>0.50322346394124995</v>
      </c>
      <c r="R23" s="610">
        <f>'a33'!H40</f>
        <v>0.51773668360944214</v>
      </c>
    </row>
    <row r="24" spans="10:18">
      <c r="J24" s="1">
        <v>2003</v>
      </c>
      <c r="K24">
        <f t="shared" si="1"/>
        <v>114.01722543646142</v>
      </c>
      <c r="L24">
        <f t="shared" si="2"/>
        <v>123.70182210531677</v>
      </c>
      <c r="M24">
        <f t="shared" si="3"/>
        <v>133.87258785475612</v>
      </c>
      <c r="N24">
        <f t="shared" si="4"/>
        <v>99.815605907523292</v>
      </c>
      <c r="O24" s="610">
        <f>'9'!H41</f>
        <v>0.5105743605227403</v>
      </c>
      <c r="P24" s="610">
        <f>'a31'!H41</f>
        <v>0.55623221833664094</v>
      </c>
      <c r="Q24" s="610">
        <f>'a32'!H41</f>
        <v>0.51305154799722708</v>
      </c>
      <c r="R24" s="610">
        <f>'a33'!H41</f>
        <v>0.52351062267017034</v>
      </c>
    </row>
    <row r="25" spans="10:18">
      <c r="J25" s="1">
        <v>2004</v>
      </c>
      <c r="K25">
        <f t="shared" si="1"/>
        <v>115.20649545610918</v>
      </c>
      <c r="L25">
        <f t="shared" si="2"/>
        <v>125.08401486325613</v>
      </c>
      <c r="M25">
        <f t="shared" si="3"/>
        <v>137.90522559338027</v>
      </c>
      <c r="N25">
        <f t="shared" si="4"/>
        <v>99.522059218959711</v>
      </c>
      <c r="O25" s="610">
        <f>'9'!H42</f>
        <v>0.51589996617088774</v>
      </c>
      <c r="P25" s="610">
        <f>'a31'!H42</f>
        <v>0.56244732601114955</v>
      </c>
      <c r="Q25" s="610">
        <f>'a32'!H42</f>
        <v>0.52850617591969495</v>
      </c>
      <c r="R25" s="610">
        <f>'a33'!H42</f>
        <v>0.52197103566555847</v>
      </c>
    </row>
    <row r="26" spans="10:18">
      <c r="J26" s="1">
        <v>2005</v>
      </c>
      <c r="K26">
        <f t="shared" si="1"/>
        <v>118.61945624878832</v>
      </c>
      <c r="L26">
        <f t="shared" si="2"/>
        <v>128.41759838257011</v>
      </c>
      <c r="M26">
        <f t="shared" si="3"/>
        <v>142.35338215563633</v>
      </c>
      <c r="N26">
        <f t="shared" si="4"/>
        <v>101.7738049088794</v>
      </c>
      <c r="O26" s="610">
        <f>'9'!H43</f>
        <v>0.53118336100478869</v>
      </c>
      <c r="P26" s="610">
        <f>'a31'!H43</f>
        <v>0.57743697227828228</v>
      </c>
      <c r="Q26" s="610">
        <f>'a32'!H43</f>
        <v>0.54555323272624212</v>
      </c>
      <c r="R26" s="610">
        <f>'a33'!H43</f>
        <v>0.53378094031430512</v>
      </c>
    </row>
    <row r="27" spans="10:18">
      <c r="J27" s="1">
        <v>2006</v>
      </c>
      <c r="K27">
        <f t="shared" si="1"/>
        <v>124.1185168186025</v>
      </c>
      <c r="L27">
        <f t="shared" si="2"/>
        <v>134.35968862808099</v>
      </c>
      <c r="M27">
        <f t="shared" si="3"/>
        <v>147.52171080098239</v>
      </c>
      <c r="N27">
        <f t="shared" si="4"/>
        <v>106.71216384748089</v>
      </c>
      <c r="O27" s="610">
        <f>'9'!H44</f>
        <v>0.55580840623949612</v>
      </c>
      <c r="P27" s="610">
        <f>'a31'!H44</f>
        <v>0.60415591612700814</v>
      </c>
      <c r="Q27" s="610">
        <f>'a32'!H44</f>
        <v>0.5653602675684315</v>
      </c>
      <c r="R27" s="610">
        <f>'a33'!H44</f>
        <v>0.55968153310649105</v>
      </c>
    </row>
    <row r="28" spans="10:18">
      <c r="J28" s="1">
        <v>2007</v>
      </c>
      <c r="K28">
        <f t="shared" si="1"/>
        <v>127.02622671050538</v>
      </c>
      <c r="L28">
        <f t="shared" si="2"/>
        <v>138.34766433078772</v>
      </c>
      <c r="M28">
        <f t="shared" si="3"/>
        <v>151.35345891052717</v>
      </c>
      <c r="N28">
        <f t="shared" si="4"/>
        <v>109.11856475014049</v>
      </c>
      <c r="O28" s="610">
        <f>'9'!H45</f>
        <v>0.56882926438580561</v>
      </c>
      <c r="P28" s="610">
        <f>'a31'!H45</f>
        <v>0.62208807374632469</v>
      </c>
      <c r="Q28" s="610">
        <f>'a32'!H45</f>
        <v>0.58004500871402176</v>
      </c>
      <c r="R28" s="610">
        <f>'a33'!H45</f>
        <v>0.57230256990220563</v>
      </c>
    </row>
    <row r="29" spans="10:18">
      <c r="J29" s="1">
        <v>2008</v>
      </c>
      <c r="K29">
        <f t="shared" si="1"/>
        <v>128.36946652766406</v>
      </c>
      <c r="L29">
        <f t="shared" si="2"/>
        <v>138.74013505281786</v>
      </c>
      <c r="M29">
        <f t="shared" si="3"/>
        <v>157.07608983883696</v>
      </c>
      <c r="N29">
        <f t="shared" si="4"/>
        <v>107.29770069387314</v>
      </c>
      <c r="O29" s="610">
        <f>'9'!H46</f>
        <v>0.5748443538431145</v>
      </c>
      <c r="P29" s="610">
        <f>'a31'!H46</f>
        <v>0.6238528404783874</v>
      </c>
      <c r="Q29" s="610">
        <f>'a32'!H46</f>
        <v>0.60197634434765834</v>
      </c>
      <c r="R29" s="610">
        <f>'a33'!H46</f>
        <v>0.56275254345867121</v>
      </c>
    </row>
    <row r="30" spans="10:18">
      <c r="J30" s="1">
        <v>2009</v>
      </c>
      <c r="K30">
        <f t="shared" si="1"/>
        <v>123.62617224571342</v>
      </c>
      <c r="L30">
        <f t="shared" si="2"/>
        <v>135.94081277819492</v>
      </c>
      <c r="M30">
        <f t="shared" si="3"/>
        <v>149.99482043626105</v>
      </c>
      <c r="N30">
        <f t="shared" si="4"/>
        <v>104.24052483025123</v>
      </c>
      <c r="O30" s="610">
        <f>'9'!H47</f>
        <v>0.55360366467963618</v>
      </c>
      <c r="P30" s="610">
        <f>'a31'!H47</f>
        <v>0.61126553002367945</v>
      </c>
      <c r="Q30" s="610">
        <f>'a32'!H47</f>
        <v>0.57483818046366275</v>
      </c>
      <c r="R30" s="610">
        <f>'a33'!H47</f>
        <v>0.54671833692928629</v>
      </c>
    </row>
    <row r="31" spans="10:18">
      <c r="J31" s="1">
        <v>2010</v>
      </c>
      <c r="K31">
        <f t="shared" si="1"/>
        <v>125.41662265482272</v>
      </c>
      <c r="L31">
        <f t="shared" si="2"/>
        <v>138.25082356939532</v>
      </c>
      <c r="M31">
        <f t="shared" si="3"/>
        <v>152.78428098339481</v>
      </c>
      <c r="N31">
        <f t="shared" si="4"/>
        <v>105.27935771768806</v>
      </c>
      <c r="O31" s="610">
        <f>'9'!H48</f>
        <v>0.56162138366182712</v>
      </c>
      <c r="P31" s="610">
        <f>'a31'!H48</f>
        <v>0.6216526238021125</v>
      </c>
      <c r="Q31" s="610">
        <f>'a32'!H48</f>
        <v>0.58552847243991757</v>
      </c>
      <c r="R31" s="610">
        <f>'a33'!H48</f>
        <v>0.55216678406145281</v>
      </c>
    </row>
    <row r="33" spans="15:18">
      <c r="O33" s="609">
        <f>O31-O2</f>
        <v>0.11381680100491187</v>
      </c>
      <c r="P33" s="609">
        <f>P31-P2</f>
        <v>0.17199698504921024</v>
      </c>
      <c r="Q33" s="609">
        <f t="shared" ref="Q33:R33" si="5">Q31-Q2</f>
        <v>0.20228978540276416</v>
      </c>
      <c r="R33" s="609">
        <f t="shared" si="5"/>
        <v>2.7689055443354649E-2</v>
      </c>
    </row>
    <row r="34" spans="15:18">
      <c r="P34" s="609">
        <f>P33-O33</f>
        <v>5.8180184044298366E-2</v>
      </c>
    </row>
  </sheetData>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dimension ref="A3:L25"/>
  <sheetViews>
    <sheetView topLeftCell="A16" workbookViewId="0">
      <selection activeCell="E9" sqref="E9"/>
    </sheetView>
  </sheetViews>
  <sheetFormatPr defaultColWidth="8.875" defaultRowHeight="12.75"/>
  <cols>
    <col min="1" max="1" width="8.875" style="1"/>
    <col min="2" max="12" width="9.75" style="1" customWidth="1"/>
    <col min="13" max="16384" width="8.875" style="1"/>
  </cols>
  <sheetData>
    <row r="3" spans="1:12" s="3" customFormat="1" ht="15">
      <c r="B3" s="3" t="s">
        <v>321</v>
      </c>
      <c r="C3" s="3" t="s">
        <v>370</v>
      </c>
      <c r="D3" s="3" t="s">
        <v>371</v>
      </c>
      <c r="E3" s="3" t="s">
        <v>372</v>
      </c>
      <c r="F3" s="3" t="s">
        <v>373</v>
      </c>
      <c r="G3" s="3" t="s">
        <v>374</v>
      </c>
      <c r="H3" s="3" t="s">
        <v>375</v>
      </c>
      <c r="I3" s="3" t="s">
        <v>376</v>
      </c>
      <c r="J3" s="3" t="s">
        <v>377</v>
      </c>
      <c r="K3" s="3" t="s">
        <v>378</v>
      </c>
      <c r="L3" s="3" t="s">
        <v>379</v>
      </c>
    </row>
    <row r="4" spans="1:12" s="4" customFormat="1" ht="38.25">
      <c r="B4" s="4" t="s">
        <v>23</v>
      </c>
      <c r="C4" s="4" t="s">
        <v>23</v>
      </c>
      <c r="D4" s="4" t="s">
        <v>23</v>
      </c>
      <c r="E4" s="4" t="s">
        <v>23</v>
      </c>
      <c r="F4" s="4" t="s">
        <v>23</v>
      </c>
      <c r="G4" s="4" t="s">
        <v>23</v>
      </c>
      <c r="H4" s="4" t="s">
        <v>23</v>
      </c>
      <c r="I4" s="4" t="s">
        <v>23</v>
      </c>
      <c r="J4" s="4" t="s">
        <v>23</v>
      </c>
      <c r="K4" s="4" t="s">
        <v>23</v>
      </c>
      <c r="L4" s="4" t="s">
        <v>23</v>
      </c>
    </row>
    <row r="5" spans="1:12">
      <c r="A5" s="1">
        <v>2008</v>
      </c>
      <c r="B5" s="9">
        <v>0.5748443538431145</v>
      </c>
      <c r="C5" s="9">
        <v>0.60291335866506623</v>
      </c>
      <c r="D5" s="9">
        <v>0.51673339305795085</v>
      </c>
      <c r="E5" s="9">
        <v>0.49631571730555829</v>
      </c>
      <c r="F5" s="9">
        <v>0.49022849102908311</v>
      </c>
      <c r="G5" s="9">
        <v>0.53168229309134341</v>
      </c>
      <c r="H5" s="9">
        <v>0.54858195273282151</v>
      </c>
      <c r="I5" s="9">
        <v>0.56546695444248929</v>
      </c>
      <c r="J5" s="9">
        <v>0.63127372339400556</v>
      </c>
      <c r="K5" s="9">
        <v>0.79894237839691451</v>
      </c>
      <c r="L5" s="9">
        <v>0.55882763748495012</v>
      </c>
    </row>
    <row r="6" spans="1:12">
      <c r="A6" s="1">
        <v>2009</v>
      </c>
      <c r="B6" s="9">
        <v>0.55360366467963618</v>
      </c>
      <c r="C6" s="9">
        <v>0.62686368233656364</v>
      </c>
      <c r="D6" s="9">
        <v>0.55155845916179125</v>
      </c>
      <c r="E6" s="9">
        <v>0.49218325636458399</v>
      </c>
      <c r="F6" s="9">
        <v>0.49739648959821714</v>
      </c>
      <c r="G6" s="9">
        <v>0.54191733924433649</v>
      </c>
      <c r="H6" s="9">
        <v>0.5330824699832839</v>
      </c>
      <c r="I6" s="9">
        <v>0.55574664528221629</v>
      </c>
      <c r="J6" s="9">
        <v>0.61284026680336678</v>
      </c>
      <c r="K6" s="9">
        <v>0.72599439422254564</v>
      </c>
      <c r="L6" s="9">
        <v>0.53844696776556267</v>
      </c>
    </row>
    <row r="7" spans="1:12">
      <c r="A7" s="1">
        <v>2010</v>
      </c>
      <c r="B7" s="9">
        <v>0.56162138366182712</v>
      </c>
      <c r="C7" s="9">
        <v>0.63856541411118495</v>
      </c>
      <c r="D7" s="9">
        <v>0.56836563021432185</v>
      </c>
      <c r="E7" s="9">
        <v>0.49889698445646014</v>
      </c>
      <c r="F7" s="9">
        <v>0.50238519565860762</v>
      </c>
      <c r="G7" s="9">
        <v>0.54971034428564569</v>
      </c>
      <c r="H7" s="9">
        <v>0.53759246691193852</v>
      </c>
      <c r="I7" s="9">
        <v>0.56237817775561116</v>
      </c>
      <c r="J7" s="9">
        <v>0.61760886781323132</v>
      </c>
      <c r="K7" s="9">
        <v>0.73266148590496349</v>
      </c>
      <c r="L7" s="9">
        <v>0.5439423494896477</v>
      </c>
    </row>
    <row r="9" spans="1:12" ht="15">
      <c r="A9" s="3"/>
      <c r="B9" s="3" t="s">
        <v>321</v>
      </c>
      <c r="C9" s="3" t="s">
        <v>370</v>
      </c>
      <c r="D9" s="3" t="s">
        <v>371</v>
      </c>
      <c r="E9" s="3" t="s">
        <v>372</v>
      </c>
      <c r="F9" s="3" t="s">
        <v>373</v>
      </c>
      <c r="G9" s="3" t="s">
        <v>374</v>
      </c>
      <c r="H9" s="3" t="s">
        <v>375</v>
      </c>
      <c r="I9" s="3" t="s">
        <v>376</v>
      </c>
      <c r="J9" s="3" t="s">
        <v>377</v>
      </c>
      <c r="K9" s="3" t="s">
        <v>378</v>
      </c>
      <c r="L9" s="3" t="s">
        <v>379</v>
      </c>
    </row>
    <row r="10" spans="1:12">
      <c r="A10" s="1">
        <v>2008</v>
      </c>
      <c r="B10" s="9">
        <f>B5/B$5</f>
        <v>1</v>
      </c>
      <c r="C10" s="9">
        <f t="shared" ref="C10:L10" si="0">C5/C$5</f>
        <v>1</v>
      </c>
      <c r="D10" s="9">
        <f t="shared" si="0"/>
        <v>1</v>
      </c>
      <c r="E10" s="9">
        <f t="shared" si="0"/>
        <v>1</v>
      </c>
      <c r="F10" s="9">
        <f t="shared" si="0"/>
        <v>1</v>
      </c>
      <c r="G10" s="9">
        <f t="shared" si="0"/>
        <v>1</v>
      </c>
      <c r="H10" s="9">
        <f t="shared" si="0"/>
        <v>1</v>
      </c>
      <c r="I10" s="9">
        <f t="shared" si="0"/>
        <v>1</v>
      </c>
      <c r="J10" s="9">
        <f t="shared" si="0"/>
        <v>1</v>
      </c>
      <c r="K10" s="9">
        <f t="shared" si="0"/>
        <v>1</v>
      </c>
      <c r="L10" s="9">
        <f t="shared" si="0"/>
        <v>1</v>
      </c>
    </row>
    <row r="11" spans="1:12">
      <c r="A11" s="1">
        <v>2009</v>
      </c>
      <c r="B11" s="9">
        <f t="shared" ref="B11:L11" si="1">B6/B$5</f>
        <v>0.96304966897304645</v>
      </c>
      <c r="C11" s="9">
        <f t="shared" si="1"/>
        <v>1.03972432079549</v>
      </c>
      <c r="D11" s="9">
        <f t="shared" si="1"/>
        <v>1.0673946498749594</v>
      </c>
      <c r="E11" s="9">
        <f t="shared" si="1"/>
        <v>0.99167372541935817</v>
      </c>
      <c r="F11" s="9">
        <f t="shared" si="1"/>
        <v>1.0146217502660586</v>
      </c>
      <c r="G11" s="9">
        <f t="shared" si="1"/>
        <v>1.0192503047138992</v>
      </c>
      <c r="H11" s="9">
        <f t="shared" si="1"/>
        <v>0.97174627660949253</v>
      </c>
      <c r="I11" s="9">
        <f t="shared" si="1"/>
        <v>0.9828101198771968</v>
      </c>
      <c r="J11" s="9">
        <f t="shared" si="1"/>
        <v>0.97079958200773442</v>
      </c>
      <c r="K11" s="9">
        <f t="shared" si="1"/>
        <v>0.9086943111958341</v>
      </c>
      <c r="L11" s="9">
        <f t="shared" si="1"/>
        <v>0.96352959597504462</v>
      </c>
    </row>
    <row r="12" spans="1:12">
      <c r="A12" s="1">
        <v>2010</v>
      </c>
      <c r="B12" s="9">
        <f t="shared" ref="B12:L12" si="2">B7/B$5</f>
        <v>0.9769973035433237</v>
      </c>
      <c r="C12" s="9">
        <f t="shared" si="2"/>
        <v>1.0591329665095783</v>
      </c>
      <c r="D12" s="9">
        <f t="shared" si="2"/>
        <v>1.0999204577254416</v>
      </c>
      <c r="E12" s="9">
        <f t="shared" si="2"/>
        <v>1.0052008571578495</v>
      </c>
      <c r="F12" s="9">
        <f t="shared" si="2"/>
        <v>1.0247980377558334</v>
      </c>
      <c r="G12" s="9">
        <f t="shared" si="2"/>
        <v>1.0339075636494914</v>
      </c>
      <c r="H12" s="9">
        <f t="shared" si="2"/>
        <v>0.97996746745652563</v>
      </c>
      <c r="I12" s="9">
        <f t="shared" si="2"/>
        <v>0.99453765306246156</v>
      </c>
      <c r="J12" s="9">
        <f t="shared" si="2"/>
        <v>0.97835351754021072</v>
      </c>
      <c r="K12" s="9">
        <f t="shared" si="2"/>
        <v>0.91703920797774641</v>
      </c>
      <c r="L12" s="9">
        <f t="shared" si="2"/>
        <v>0.973363364664112</v>
      </c>
    </row>
    <row r="14" spans="1:12">
      <c r="B14" s="1">
        <v>2008</v>
      </c>
      <c r="C14" s="1">
        <v>2009</v>
      </c>
      <c r="D14" s="1">
        <v>2010</v>
      </c>
    </row>
    <row r="15" spans="1:12">
      <c r="A15" s="1" t="s">
        <v>321</v>
      </c>
      <c r="B15" s="142">
        <v>1</v>
      </c>
      <c r="C15" s="142">
        <v>0.96304966897304645</v>
      </c>
      <c r="D15" s="142">
        <v>0.9769973035433237</v>
      </c>
    </row>
    <row r="16" spans="1:12">
      <c r="A16" s="1" t="s">
        <v>370</v>
      </c>
      <c r="B16" s="142">
        <v>1</v>
      </c>
      <c r="C16" s="142">
        <v>1.03972432079549</v>
      </c>
      <c r="D16" s="142">
        <v>1.0591329665095783</v>
      </c>
    </row>
    <row r="17" spans="1:4">
      <c r="A17" s="1" t="s">
        <v>371</v>
      </c>
      <c r="B17" s="142">
        <v>1</v>
      </c>
      <c r="C17" s="142">
        <v>1.0673946498749594</v>
      </c>
      <c r="D17" s="142">
        <v>1.0999204577254416</v>
      </c>
    </row>
    <row r="18" spans="1:4">
      <c r="A18" s="1" t="s">
        <v>372</v>
      </c>
      <c r="B18" s="142">
        <v>1</v>
      </c>
      <c r="C18" s="142">
        <v>0.99167372541935817</v>
      </c>
      <c r="D18" s="142">
        <v>1.0052008571578495</v>
      </c>
    </row>
    <row r="19" spans="1:4">
      <c r="A19" s="1" t="s">
        <v>373</v>
      </c>
      <c r="B19" s="142">
        <v>1</v>
      </c>
      <c r="C19" s="142">
        <v>1.0146217502660586</v>
      </c>
      <c r="D19" s="142">
        <v>1.0247980377558334</v>
      </c>
    </row>
    <row r="20" spans="1:4">
      <c r="A20" s="1" t="s">
        <v>374</v>
      </c>
      <c r="B20" s="142">
        <v>1</v>
      </c>
      <c r="C20" s="142">
        <v>1.0192503047138992</v>
      </c>
      <c r="D20" s="142">
        <v>1.0339075636494914</v>
      </c>
    </row>
    <row r="21" spans="1:4">
      <c r="A21" s="1" t="s">
        <v>375</v>
      </c>
      <c r="B21" s="142">
        <v>1</v>
      </c>
      <c r="C21" s="142">
        <v>0.97174627660949253</v>
      </c>
      <c r="D21" s="142">
        <v>0.97996746745652563</v>
      </c>
    </row>
    <row r="22" spans="1:4">
      <c r="A22" s="1" t="s">
        <v>376</v>
      </c>
      <c r="B22" s="142">
        <v>1</v>
      </c>
      <c r="C22" s="142">
        <v>0.9828101198771968</v>
      </c>
      <c r="D22" s="142">
        <v>0.99453765306246156</v>
      </c>
    </row>
    <row r="23" spans="1:4">
      <c r="A23" s="1" t="s">
        <v>377</v>
      </c>
      <c r="B23" s="142">
        <v>1</v>
      </c>
      <c r="C23" s="142">
        <v>0.97079958200773442</v>
      </c>
      <c r="D23" s="142">
        <v>0.97835351754021072</v>
      </c>
    </row>
    <row r="24" spans="1:4">
      <c r="A24" s="1" t="s">
        <v>378</v>
      </c>
      <c r="B24" s="142">
        <v>1</v>
      </c>
      <c r="C24" s="142">
        <v>0.9086943111958341</v>
      </c>
      <c r="D24" s="142">
        <v>0.91703920797774641</v>
      </c>
    </row>
    <row r="25" spans="1:4">
      <c r="A25" s="1" t="s">
        <v>379</v>
      </c>
      <c r="B25" s="142">
        <v>1</v>
      </c>
      <c r="C25" s="142">
        <v>0.96352959597504462</v>
      </c>
      <c r="D25" s="142">
        <v>0.973363364664112</v>
      </c>
    </row>
  </sheetData>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dimension ref="A1:L24"/>
  <sheetViews>
    <sheetView workbookViewId="0">
      <selection activeCell="E9" sqref="E9"/>
    </sheetView>
  </sheetViews>
  <sheetFormatPr defaultRowHeight="12.75"/>
  <cols>
    <col min="1" max="16384" width="9" style="1"/>
  </cols>
  <sheetData>
    <row r="1" spans="1:12">
      <c r="A1" s="1" t="s">
        <v>1432</v>
      </c>
    </row>
    <row r="3" spans="1:12">
      <c r="A3" s="5"/>
      <c r="B3" s="5" t="s">
        <v>321</v>
      </c>
      <c r="C3" s="5" t="s">
        <v>370</v>
      </c>
      <c r="D3" s="5" t="s">
        <v>450</v>
      </c>
      <c r="E3" s="5" t="s">
        <v>372</v>
      </c>
      <c r="F3" s="5" t="s">
        <v>373</v>
      </c>
      <c r="G3" s="5" t="s">
        <v>374</v>
      </c>
      <c r="H3" s="5" t="s">
        <v>375</v>
      </c>
      <c r="I3" s="5" t="s">
        <v>376</v>
      </c>
      <c r="J3" s="5" t="s">
        <v>377</v>
      </c>
      <c r="K3" s="5" t="s">
        <v>378</v>
      </c>
      <c r="L3" s="5" t="s">
        <v>379</v>
      </c>
    </row>
    <row r="4" spans="1:12">
      <c r="A4" s="5">
        <v>2008</v>
      </c>
      <c r="B4" s="7">
        <v>39562.250855265353</v>
      </c>
      <c r="C4" s="7">
        <v>39878.070222227492</v>
      </c>
      <c r="D4" s="7">
        <v>29861.335053208641</v>
      </c>
      <c r="E4" s="7">
        <v>30925.435848055538</v>
      </c>
      <c r="F4" s="7">
        <v>31318.700445306076</v>
      </c>
      <c r="G4" s="7">
        <v>34627.080868165627</v>
      </c>
      <c r="H4" s="7">
        <v>40877.115643106554</v>
      </c>
      <c r="I4" s="7">
        <v>34887.106527738724</v>
      </c>
      <c r="J4" s="7">
        <v>40870.316593541873</v>
      </c>
      <c r="K4" s="7">
        <v>51937.536180271098</v>
      </c>
      <c r="L4" s="7">
        <v>37608.180918186255</v>
      </c>
    </row>
    <row r="5" spans="1:12">
      <c r="A5" s="5">
        <v>2009</v>
      </c>
      <c r="B5" s="7">
        <v>38125.651983393684</v>
      </c>
      <c r="C5" s="7">
        <v>35657.285449174742</v>
      </c>
      <c r="D5" s="7">
        <v>29511.612578580694</v>
      </c>
      <c r="E5" s="7">
        <v>30806.368488080381</v>
      </c>
      <c r="F5" s="7">
        <v>31113.376857007115</v>
      </c>
      <c r="G5" s="7">
        <v>34167.705943916459</v>
      </c>
      <c r="H5" s="7">
        <v>38991.572840205437</v>
      </c>
      <c r="I5" s="7">
        <v>34501.730949308032</v>
      </c>
      <c r="J5" s="7">
        <v>38683.38509256416</v>
      </c>
      <c r="K5" s="7">
        <v>48552.853891665502</v>
      </c>
      <c r="L5" s="7">
        <v>36287.086136961436</v>
      </c>
    </row>
    <row r="6" spans="1:12">
      <c r="A6" s="5">
        <v>2010</v>
      </c>
      <c r="B6" s="7">
        <v>38166.60995020315</v>
      </c>
      <c r="C6" s="7">
        <v>36157.63205672655</v>
      </c>
      <c r="D6" s="7">
        <v>29789.468527637211</v>
      </c>
      <c r="E6" s="7">
        <v>31074.860948380618</v>
      </c>
      <c r="F6" s="7">
        <v>31373.14521877225</v>
      </c>
      <c r="G6" s="7">
        <v>34341.70959527338</v>
      </c>
      <c r="H6" s="7">
        <v>38774.88734329251</v>
      </c>
      <c r="I6" s="7">
        <v>34968.109112462422</v>
      </c>
      <c r="J6" s="7">
        <v>38854.797550517134</v>
      </c>
      <c r="K6" s="7">
        <v>48174.25305752267</v>
      </c>
      <c r="L6" s="7">
        <v>36494.586220324229</v>
      </c>
    </row>
    <row r="8" spans="1:12">
      <c r="A8" s="9"/>
      <c r="B8" s="9" t="s">
        <v>321</v>
      </c>
      <c r="C8" s="9" t="s">
        <v>370</v>
      </c>
      <c r="D8" s="9" t="s">
        <v>450</v>
      </c>
      <c r="E8" s="9" t="s">
        <v>372</v>
      </c>
      <c r="F8" s="9" t="s">
        <v>373</v>
      </c>
      <c r="G8" s="9" t="s">
        <v>374</v>
      </c>
      <c r="H8" s="9" t="s">
        <v>375</v>
      </c>
      <c r="I8" s="9" t="s">
        <v>376</v>
      </c>
      <c r="J8" s="9" t="s">
        <v>377</v>
      </c>
      <c r="K8" s="9" t="s">
        <v>378</v>
      </c>
      <c r="L8" s="9" t="s">
        <v>379</v>
      </c>
    </row>
    <row r="9" spans="1:12">
      <c r="A9" s="366">
        <v>2008</v>
      </c>
      <c r="B9" s="9">
        <f>B4/B$4</f>
        <v>1</v>
      </c>
      <c r="C9" s="9">
        <f t="shared" ref="C9:L9" si="0">C4/C$4</f>
        <v>1</v>
      </c>
      <c r="D9" s="9">
        <f t="shared" si="0"/>
        <v>1</v>
      </c>
      <c r="E9" s="9">
        <f t="shared" si="0"/>
        <v>1</v>
      </c>
      <c r="F9" s="9">
        <f t="shared" si="0"/>
        <v>1</v>
      </c>
      <c r="G9" s="9">
        <f t="shared" si="0"/>
        <v>1</v>
      </c>
      <c r="H9" s="9">
        <f t="shared" si="0"/>
        <v>1</v>
      </c>
      <c r="I9" s="9">
        <f t="shared" si="0"/>
        <v>1</v>
      </c>
      <c r="J9" s="9">
        <f t="shared" si="0"/>
        <v>1</v>
      </c>
      <c r="K9" s="9">
        <f t="shared" si="0"/>
        <v>1</v>
      </c>
      <c r="L9" s="9">
        <f t="shared" si="0"/>
        <v>1</v>
      </c>
    </row>
    <row r="10" spans="1:12">
      <c r="A10" s="366">
        <v>2009</v>
      </c>
      <c r="B10" s="9">
        <f t="shared" ref="B10:L10" si="1">B5/B$4</f>
        <v>0.96368763554107861</v>
      </c>
      <c r="C10" s="9">
        <f t="shared" si="1"/>
        <v>0.89415774761587785</v>
      </c>
      <c r="D10" s="9">
        <f t="shared" si="1"/>
        <v>0.98828845147061273</v>
      </c>
      <c r="E10" s="9">
        <f t="shared" si="1"/>
        <v>0.99614985668883815</v>
      </c>
      <c r="F10" s="9">
        <f t="shared" si="1"/>
        <v>0.99344405785107426</v>
      </c>
      <c r="G10" s="9">
        <f t="shared" si="1"/>
        <v>0.98673365144471381</v>
      </c>
      <c r="H10" s="9">
        <f t="shared" si="1"/>
        <v>0.9538728999530306</v>
      </c>
      <c r="I10" s="9">
        <f t="shared" si="1"/>
        <v>0.98895363884292664</v>
      </c>
      <c r="J10" s="9">
        <f t="shared" si="1"/>
        <v>0.94649095766184299</v>
      </c>
      <c r="K10" s="9">
        <f t="shared" si="1"/>
        <v>0.93483167401592504</v>
      </c>
      <c r="L10" s="9">
        <f t="shared" si="1"/>
        <v>0.96487214353444106</v>
      </c>
    </row>
    <row r="11" spans="1:12">
      <c r="A11" s="366">
        <v>2010</v>
      </c>
      <c r="B11" s="9">
        <f t="shared" ref="B11:L11" si="2">B6/B$4</f>
        <v>0.96472291452354375</v>
      </c>
      <c r="C11" s="9">
        <f t="shared" si="2"/>
        <v>0.90670465885715756</v>
      </c>
      <c r="D11" s="9">
        <f t="shared" si="2"/>
        <v>0.99759332509938436</v>
      </c>
      <c r="E11" s="9">
        <f t="shared" si="2"/>
        <v>1.0048317863993652</v>
      </c>
      <c r="F11" s="9">
        <f t="shared" si="2"/>
        <v>1.0017384110033958</v>
      </c>
      <c r="G11" s="9">
        <f t="shared" si="2"/>
        <v>0.99175872566391809</v>
      </c>
      <c r="H11" s="9">
        <f t="shared" si="2"/>
        <v>0.94857200008512443</v>
      </c>
      <c r="I11" s="9">
        <f t="shared" si="2"/>
        <v>1.0023218487511796</v>
      </c>
      <c r="J11" s="9">
        <f t="shared" si="2"/>
        <v>0.95068501516469239</v>
      </c>
      <c r="K11" s="9">
        <f t="shared" si="2"/>
        <v>0.92754213234747274</v>
      </c>
      <c r="L11" s="9">
        <f t="shared" si="2"/>
        <v>0.97038956230601614</v>
      </c>
    </row>
    <row r="13" spans="1:12">
      <c r="B13" s="1">
        <v>2008</v>
      </c>
      <c r="C13" s="1">
        <v>2009</v>
      </c>
      <c r="D13" s="1">
        <v>2010</v>
      </c>
    </row>
    <row r="14" spans="1:12">
      <c r="A14" s="1" t="s">
        <v>321</v>
      </c>
      <c r="B14" s="142">
        <v>1</v>
      </c>
      <c r="C14" s="142">
        <v>0.96368763554107861</v>
      </c>
      <c r="D14" s="142">
        <v>0.96472291452354375</v>
      </c>
    </row>
    <row r="15" spans="1:12">
      <c r="A15" s="1" t="s">
        <v>370</v>
      </c>
      <c r="B15" s="142">
        <v>1</v>
      </c>
      <c r="C15" s="142">
        <v>0.89415774761587785</v>
      </c>
      <c r="D15" s="142">
        <v>0.90670465885715756</v>
      </c>
    </row>
    <row r="16" spans="1:12">
      <c r="A16" s="1" t="s">
        <v>450</v>
      </c>
      <c r="B16" s="142">
        <v>1</v>
      </c>
      <c r="C16" s="142">
        <v>0.98828845147061273</v>
      </c>
      <c r="D16" s="142">
        <v>0.99759332509938436</v>
      </c>
    </row>
    <row r="17" spans="1:4">
      <c r="A17" s="1" t="s">
        <v>372</v>
      </c>
      <c r="B17" s="142">
        <v>1</v>
      </c>
      <c r="C17" s="142">
        <v>0.99614985668883815</v>
      </c>
      <c r="D17" s="142">
        <v>1.0048317863993652</v>
      </c>
    </row>
    <row r="18" spans="1:4">
      <c r="A18" s="1" t="s">
        <v>373</v>
      </c>
      <c r="B18" s="142">
        <v>1</v>
      </c>
      <c r="C18" s="142">
        <v>0.99344405785107426</v>
      </c>
      <c r="D18" s="142">
        <v>1.0017384110033958</v>
      </c>
    </row>
    <row r="19" spans="1:4">
      <c r="A19" s="1" t="s">
        <v>374</v>
      </c>
      <c r="B19" s="142">
        <v>1</v>
      </c>
      <c r="C19" s="142">
        <v>0.98673365144471381</v>
      </c>
      <c r="D19" s="142">
        <v>0.99175872566391809</v>
      </c>
    </row>
    <row r="20" spans="1:4">
      <c r="A20" s="1" t="s">
        <v>375</v>
      </c>
      <c r="B20" s="142">
        <v>1</v>
      </c>
      <c r="C20" s="142">
        <v>0.9538728999530306</v>
      </c>
      <c r="D20" s="142">
        <v>0.94857200008512443</v>
      </c>
    </row>
    <row r="21" spans="1:4">
      <c r="A21" s="1" t="s">
        <v>376</v>
      </c>
      <c r="B21" s="142">
        <v>1</v>
      </c>
      <c r="C21" s="142">
        <v>0.98895363884292664</v>
      </c>
      <c r="D21" s="142">
        <v>1.0023218487511796</v>
      </c>
    </row>
    <row r="22" spans="1:4">
      <c r="A22" s="1" t="s">
        <v>377</v>
      </c>
      <c r="B22" s="142">
        <v>1</v>
      </c>
      <c r="C22" s="142">
        <v>0.94649095766184299</v>
      </c>
      <c r="D22" s="142">
        <v>0.95068501516469239</v>
      </c>
    </row>
    <row r="23" spans="1:4">
      <c r="A23" s="1" t="s">
        <v>378</v>
      </c>
      <c r="B23" s="142">
        <v>1</v>
      </c>
      <c r="C23" s="142">
        <v>0.93483167401592504</v>
      </c>
      <c r="D23" s="142">
        <v>0.92754213234747274</v>
      </c>
    </row>
    <row r="24" spans="1:4">
      <c r="A24" s="1" t="s">
        <v>379</v>
      </c>
      <c r="B24" s="142">
        <v>1</v>
      </c>
      <c r="C24" s="142">
        <v>0.96487214353444106</v>
      </c>
      <c r="D24" s="142">
        <v>0.97038956230601614</v>
      </c>
    </row>
  </sheetData>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dimension ref="A1:E42"/>
  <sheetViews>
    <sheetView workbookViewId="0">
      <selection activeCell="E9" sqref="E9"/>
    </sheetView>
  </sheetViews>
  <sheetFormatPr defaultRowHeight="12.75"/>
  <cols>
    <col min="1" max="1" width="13.375" customWidth="1"/>
    <col min="2" max="2" width="13.625" customWidth="1"/>
    <col min="3" max="3" width="13.125" bestFit="1" customWidth="1"/>
    <col min="4" max="4" width="11.875" bestFit="1" customWidth="1"/>
    <col min="5" max="5" width="13.125" bestFit="1" customWidth="1"/>
    <col min="9" max="9" width="10.625" bestFit="1" customWidth="1"/>
    <col min="11" max="11" width="12.75" bestFit="1" customWidth="1"/>
  </cols>
  <sheetData>
    <row r="1" spans="1:5" ht="15.75">
      <c r="A1" s="404" t="s">
        <v>1464</v>
      </c>
    </row>
    <row r="2" spans="1:5" ht="31.5" customHeight="1" thickBot="1">
      <c r="A2" s="588"/>
      <c r="B2" s="662" t="s">
        <v>1468</v>
      </c>
      <c r="C2" s="662"/>
      <c r="D2" s="662" t="s">
        <v>1467</v>
      </c>
      <c r="E2" s="662"/>
    </row>
    <row r="3" spans="1:5" ht="43.5" thickTop="1">
      <c r="A3" s="590" t="s">
        <v>1465</v>
      </c>
      <c r="B3" s="598" t="s">
        <v>1190</v>
      </c>
      <c r="C3" s="598" t="s">
        <v>1466</v>
      </c>
      <c r="D3" s="598" t="s">
        <v>1190</v>
      </c>
      <c r="E3" s="599" t="s">
        <v>1466</v>
      </c>
    </row>
    <row r="4" spans="1:5" ht="15">
      <c r="A4" s="590">
        <v>1</v>
      </c>
      <c r="B4" s="600" t="str">
        <f>'Ex. 5'!B5</f>
        <v>Alberta</v>
      </c>
      <c r="C4" s="600" t="str">
        <f t="shared" ref="C4:C14" si="0">A19</f>
        <v>Alberta</v>
      </c>
      <c r="D4" s="600" t="str">
        <f>'Ex. 5'!B19</f>
        <v>Newfoundland</v>
      </c>
      <c r="E4" s="601" t="str">
        <f t="shared" ref="E4:E14" si="1">A32</f>
        <v>Newfoundland</v>
      </c>
    </row>
    <row r="5" spans="1:5" ht="30">
      <c r="A5" s="590">
        <v>2</v>
      </c>
      <c r="B5" s="602" t="str">
        <f>'Ex. 5'!B6</f>
        <v>Newfoundland</v>
      </c>
      <c r="C5" s="602" t="str">
        <f t="shared" si="0"/>
        <v>Saskatchewan</v>
      </c>
      <c r="D5" s="602" t="str">
        <f>'Ex. 5'!B20</f>
        <v>Prince Edward Island</v>
      </c>
      <c r="E5" s="603" t="str">
        <f t="shared" si="1"/>
        <v>New Brunswick</v>
      </c>
    </row>
    <row r="6" spans="1:5" ht="30">
      <c r="A6" s="590">
        <v>3</v>
      </c>
      <c r="B6" s="600" t="str">
        <f>'Ex. 5'!B7</f>
        <v>Saskatchewan</v>
      </c>
      <c r="C6" s="600" t="str">
        <f t="shared" si="0"/>
        <v>Ontario</v>
      </c>
      <c r="D6" s="600" t="str">
        <f>'Ex. 5'!B21</f>
        <v>New Brunswick</v>
      </c>
      <c r="E6" s="601" t="str">
        <f t="shared" si="1"/>
        <v>Prince Edward Island</v>
      </c>
    </row>
    <row r="7" spans="1:5" ht="30">
      <c r="A7" s="590">
        <v>4</v>
      </c>
      <c r="B7" s="602" t="str">
        <f>'Ex. 5'!B8</f>
        <v>Prince Edward Island</v>
      </c>
      <c r="C7" s="602" t="str">
        <f t="shared" si="0"/>
        <v>Canada</v>
      </c>
      <c r="D7" s="602" t="str">
        <f>'Ex. 5'!B22</f>
        <v>Saskatchewan</v>
      </c>
      <c r="E7" s="603" t="str">
        <f t="shared" si="1"/>
        <v>Nova Scotia</v>
      </c>
    </row>
    <row r="8" spans="1:5" ht="15">
      <c r="A8" s="590">
        <v>5</v>
      </c>
      <c r="B8" s="600" t="str">
        <f>'Ex. 5'!B9</f>
        <v>Manitoba</v>
      </c>
      <c r="C8" s="600" t="str">
        <f t="shared" si="0"/>
        <v>British Columbia</v>
      </c>
      <c r="D8" s="600" t="str">
        <f>'Ex. 5'!B23</f>
        <v>Manitoba</v>
      </c>
      <c r="E8" s="601" t="str">
        <f t="shared" si="1"/>
        <v>Saskatchewan</v>
      </c>
    </row>
    <row r="9" spans="1:5" ht="15">
      <c r="A9" s="590">
        <v>6</v>
      </c>
      <c r="B9" s="602" t="str">
        <f>'Ex. 5'!B10</f>
        <v>Canada</v>
      </c>
      <c r="C9" s="602" t="str">
        <f t="shared" si="0"/>
        <v>Newfoundland</v>
      </c>
      <c r="D9" s="602" t="str">
        <f>'Ex. 5'!B24</f>
        <v>Quebec</v>
      </c>
      <c r="E9" s="603" t="str">
        <f t="shared" si="1"/>
        <v>Manitoba</v>
      </c>
    </row>
    <row r="10" spans="1:5" ht="15">
      <c r="A10" s="590">
        <v>7</v>
      </c>
      <c r="B10" s="600" t="str">
        <f>'Ex. 5'!B11</f>
        <v>Quebec</v>
      </c>
      <c r="C10" s="600" t="str">
        <f t="shared" si="0"/>
        <v>Manitoba</v>
      </c>
      <c r="D10" s="600" t="str">
        <f>'Ex. 5'!B25</f>
        <v>Nova Scotia</v>
      </c>
      <c r="E10" s="601" t="str">
        <f t="shared" si="1"/>
        <v>Canada</v>
      </c>
    </row>
    <row r="11" spans="1:5" ht="15">
      <c r="A11" s="590">
        <v>8</v>
      </c>
      <c r="B11" s="602" t="str">
        <f>'Ex. 5'!B12</f>
        <v>British Columbia</v>
      </c>
      <c r="C11" s="602" t="str">
        <f t="shared" si="0"/>
        <v>Quebec</v>
      </c>
      <c r="D11" s="602" t="str">
        <f>'Ex. 5'!B26</f>
        <v>Canada</v>
      </c>
      <c r="E11" s="603" t="str">
        <f t="shared" si="1"/>
        <v>Quebec</v>
      </c>
    </row>
    <row r="12" spans="1:5" ht="15">
      <c r="A12" s="590">
        <v>9</v>
      </c>
      <c r="B12" s="600" t="str">
        <f>'Ex. 5'!B13</f>
        <v>Ontario</v>
      </c>
      <c r="C12" s="600" t="str">
        <f t="shared" si="0"/>
        <v>New Brunswick</v>
      </c>
      <c r="D12" s="600" t="str">
        <f>'Ex. 5'!B27</f>
        <v>Alberta</v>
      </c>
      <c r="E12" s="601" t="str">
        <f t="shared" si="1"/>
        <v>Ontario</v>
      </c>
    </row>
    <row r="13" spans="1:5" ht="15">
      <c r="A13" s="590">
        <v>10</v>
      </c>
      <c r="B13" s="602" t="str">
        <f>'Ex. 5'!B14</f>
        <v>New Brunswick</v>
      </c>
      <c r="C13" s="602" t="str">
        <f t="shared" si="0"/>
        <v>Nova Scotia</v>
      </c>
      <c r="D13" s="602" t="str">
        <f>'Ex. 5'!B28</f>
        <v>Ontario</v>
      </c>
      <c r="E13" s="603" t="str">
        <f t="shared" si="1"/>
        <v>Alberta</v>
      </c>
    </row>
    <row r="14" spans="1:5" ht="30.75" thickBot="1">
      <c r="A14" s="590">
        <v>11</v>
      </c>
      <c r="B14" s="604" t="str">
        <f>'Ex. 5'!B15</f>
        <v>Nova Scotia</v>
      </c>
      <c r="C14" s="604" t="str">
        <f t="shared" si="0"/>
        <v>Prince Edward Island</v>
      </c>
      <c r="D14" s="604" t="str">
        <f>'Ex. 5'!B29</f>
        <v>British Columbia</v>
      </c>
      <c r="E14" s="605" t="str">
        <f t="shared" si="1"/>
        <v>British Columbia</v>
      </c>
    </row>
    <row r="15" spans="1:5" ht="15.75">
      <c r="A15" s="2"/>
    </row>
    <row r="17" spans="1:2">
      <c r="A17" s="206" t="s">
        <v>1469</v>
      </c>
    </row>
    <row r="19" spans="1:2">
      <c r="A19" s="269" t="s">
        <v>378</v>
      </c>
      <c r="B19" s="5">
        <v>48174.25305752267</v>
      </c>
    </row>
    <row r="20" spans="1:2">
      <c r="A20" s="269" t="s">
        <v>377</v>
      </c>
      <c r="B20" s="5">
        <v>38854.797550517134</v>
      </c>
    </row>
    <row r="21" spans="1:2">
      <c r="A21" s="269" t="s">
        <v>375</v>
      </c>
      <c r="B21" s="5">
        <v>38774.88734329251</v>
      </c>
    </row>
    <row r="22" spans="1:2">
      <c r="A22" s="269" t="s">
        <v>321</v>
      </c>
      <c r="B22" s="5">
        <v>38166.60995020315</v>
      </c>
    </row>
    <row r="23" spans="1:2">
      <c r="A23" s="269" t="s">
        <v>379</v>
      </c>
      <c r="B23" s="5">
        <v>36494.586220324229</v>
      </c>
    </row>
    <row r="24" spans="1:2">
      <c r="A24" s="269" t="s">
        <v>370</v>
      </c>
      <c r="B24" s="5">
        <v>36157.63205672655</v>
      </c>
    </row>
    <row r="25" spans="1:2">
      <c r="A25" s="269" t="s">
        <v>376</v>
      </c>
      <c r="B25" s="5">
        <v>34968.109112462422</v>
      </c>
    </row>
    <row r="26" spans="1:2">
      <c r="A26" s="269" t="s">
        <v>374</v>
      </c>
      <c r="B26" s="5">
        <v>34341.70959527338</v>
      </c>
    </row>
    <row r="27" spans="1:2">
      <c r="A27" s="269" t="s">
        <v>373</v>
      </c>
      <c r="B27" s="5">
        <v>31373.14521877225</v>
      </c>
    </row>
    <row r="28" spans="1:2">
      <c r="A28" s="269" t="s">
        <v>372</v>
      </c>
      <c r="B28" s="5">
        <v>31074.860948380618</v>
      </c>
    </row>
    <row r="29" spans="1:2">
      <c r="A29" s="269" t="s">
        <v>371</v>
      </c>
      <c r="B29" s="5">
        <v>29789.468527637211</v>
      </c>
    </row>
    <row r="31" spans="1:2">
      <c r="B31" s="206" t="s">
        <v>1191</v>
      </c>
    </row>
    <row r="32" spans="1:2">
      <c r="A32" t="s">
        <v>370</v>
      </c>
      <c r="B32" s="584">
        <v>2.790105833310097</v>
      </c>
    </row>
    <row r="33" spans="1:2">
      <c r="A33" t="s">
        <v>373</v>
      </c>
      <c r="B33" s="584">
        <v>2.1083376060971437</v>
      </c>
    </row>
    <row r="34" spans="1:2">
      <c r="A34" t="s">
        <v>371</v>
      </c>
      <c r="B34" s="584">
        <v>1.9336938302620288</v>
      </c>
    </row>
    <row r="35" spans="1:2">
      <c r="A35" t="s">
        <v>372</v>
      </c>
      <c r="B35" s="584">
        <v>1.7691551950665962</v>
      </c>
    </row>
    <row r="36" spans="1:2">
      <c r="A36" t="s">
        <v>377</v>
      </c>
      <c r="B36" s="584">
        <v>1.6795557530022931</v>
      </c>
    </row>
    <row r="37" spans="1:2">
      <c r="A37" t="s">
        <v>376</v>
      </c>
      <c r="B37" s="584">
        <v>1.3379743312771808</v>
      </c>
    </row>
    <row r="38" spans="1:2">
      <c r="A38" t="s">
        <v>321</v>
      </c>
      <c r="B38" s="584">
        <v>1.3216297665156418</v>
      </c>
    </row>
    <row r="39" spans="1:2">
      <c r="A39" t="s">
        <v>374</v>
      </c>
      <c r="B39" s="584">
        <v>1.2862243344832436</v>
      </c>
    </row>
    <row r="40" spans="1:2">
      <c r="A40" t="s">
        <v>375</v>
      </c>
      <c r="B40" s="584">
        <v>1.0631824213967134</v>
      </c>
    </row>
    <row r="41" spans="1:2">
      <c r="A41" t="s">
        <v>378</v>
      </c>
      <c r="B41" s="584">
        <v>1.0303526923468587</v>
      </c>
    </row>
    <row r="42" spans="1:2">
      <c r="A42" t="s">
        <v>379</v>
      </c>
      <c r="B42" s="584">
        <v>0.69094557274957946</v>
      </c>
    </row>
  </sheetData>
  <sortState ref="A32:B42">
    <sortCondition descending="1" ref="B32:B42"/>
  </sortState>
  <mergeCells count="2">
    <mergeCell ref="B2:C2"/>
    <mergeCell ref="D2:E2"/>
  </mergeCells>
  <pageMargins left="0.7" right="0.7" top="0.75" bottom="0.75" header="0.3" footer="0.3"/>
</worksheet>
</file>

<file path=xl/worksheets/sheet118.xml><?xml version="1.0" encoding="utf-8"?>
<worksheet xmlns="http://schemas.openxmlformats.org/spreadsheetml/2006/main" xmlns:r="http://schemas.openxmlformats.org/officeDocument/2006/relationships">
  <sheetPr>
    <pageSetUpPr fitToPage="1"/>
  </sheetPr>
  <dimension ref="A1:P41"/>
  <sheetViews>
    <sheetView workbookViewId="0">
      <selection activeCell="E9" sqref="E9"/>
    </sheetView>
  </sheetViews>
  <sheetFormatPr defaultRowHeight="12.75"/>
  <cols>
    <col min="1" max="1" width="18.25" customWidth="1"/>
    <col min="2" max="5" width="16.875" bestFit="1" customWidth="1"/>
    <col min="9" max="9" width="15.375" bestFit="1" customWidth="1"/>
    <col min="10" max="10" width="15.375" customWidth="1"/>
    <col min="13" max="13" width="11" bestFit="1" customWidth="1"/>
    <col min="14" max="14" width="11" customWidth="1"/>
    <col min="15" max="15" width="14.5" bestFit="1" customWidth="1"/>
    <col min="16" max="16" width="14.5" customWidth="1"/>
    <col min="17" max="17" width="11" bestFit="1" customWidth="1"/>
  </cols>
  <sheetData>
    <row r="1" spans="1:13" ht="15.75">
      <c r="A1" s="404" t="s">
        <v>1455</v>
      </c>
      <c r="K1" s="206"/>
      <c r="L1" s="206"/>
    </row>
    <row r="2" spans="1:13" ht="15.75">
      <c r="A2" s="2"/>
      <c r="H2" s="206"/>
      <c r="I2" s="206"/>
      <c r="J2" s="206"/>
    </row>
    <row r="3" spans="1:13" ht="15.75">
      <c r="A3" s="587" t="s">
        <v>1468</v>
      </c>
      <c r="H3" s="206" t="s">
        <v>1463</v>
      </c>
      <c r="I3" s="206"/>
      <c r="J3" s="206"/>
    </row>
    <row r="4" spans="1:13" ht="16.5" thickBot="1">
      <c r="A4" s="588"/>
      <c r="B4" s="589" t="s">
        <v>1250</v>
      </c>
      <c r="C4" s="589" t="s">
        <v>1251</v>
      </c>
      <c r="D4" s="589" t="s">
        <v>1252</v>
      </c>
      <c r="E4" s="589" t="s">
        <v>1253</v>
      </c>
      <c r="H4" s="206" t="s">
        <v>1250</v>
      </c>
      <c r="I4" s="206"/>
      <c r="J4" s="206"/>
      <c r="K4" s="206" t="s">
        <v>1252</v>
      </c>
      <c r="L4" s="206"/>
    </row>
    <row r="5" spans="1:13" ht="15.75" thickTop="1">
      <c r="A5" s="590" t="s">
        <v>1456</v>
      </c>
      <c r="B5" s="591" t="str">
        <f>G14</f>
        <v>Alberta</v>
      </c>
      <c r="C5" s="591" t="str">
        <f>G27</f>
        <v>Alberta</v>
      </c>
      <c r="D5" s="591" t="str">
        <f>G14</f>
        <v>Alberta</v>
      </c>
      <c r="E5" s="592" t="str">
        <f>G27</f>
        <v>Alberta</v>
      </c>
      <c r="G5" s="76" t="s">
        <v>321</v>
      </c>
      <c r="H5" s="206">
        <f>'9'!$H$48</f>
        <v>0.56162138366182712</v>
      </c>
      <c r="I5" s="206">
        <f t="shared" ref="I5:I15" si="0">RANK(H5,$H$5:$H$15,0)</f>
        <v>6</v>
      </c>
      <c r="J5" s="206"/>
      <c r="K5" s="206">
        <f>'a32'!$H$48</f>
        <v>0.58552847243991757</v>
      </c>
      <c r="L5" s="206">
        <f t="shared" ref="L5:L15" si="1">RANK(K5,$K$5:$K$15,0)</f>
        <v>5</v>
      </c>
    </row>
    <row r="6" spans="1:13" ht="15">
      <c r="A6" s="593"/>
      <c r="B6" s="594" t="str">
        <f>G6</f>
        <v>Newfoundland</v>
      </c>
      <c r="C6" s="594" t="str">
        <f>G20</f>
        <v>Prince Edward Island</v>
      </c>
      <c r="D6" s="594" t="str">
        <f>G6</f>
        <v>Newfoundland</v>
      </c>
      <c r="E6" s="595" t="str">
        <f>G20</f>
        <v>Prince Edward Island</v>
      </c>
      <c r="G6" s="76" t="s">
        <v>370</v>
      </c>
      <c r="H6" s="206">
        <f>'9'!$P$48</f>
        <v>0.63856541411118495</v>
      </c>
      <c r="I6" s="206">
        <f t="shared" si="0"/>
        <v>2</v>
      </c>
      <c r="J6" s="206"/>
      <c r="K6" s="206">
        <f>'a32'!$P$48</f>
        <v>0.68792689800575291</v>
      </c>
      <c r="L6" s="206">
        <f t="shared" si="1"/>
        <v>2</v>
      </c>
    </row>
    <row r="7" spans="1:13" ht="15">
      <c r="A7" s="593"/>
      <c r="B7" s="591" t="str">
        <f>G13</f>
        <v>Saskatchewan</v>
      </c>
      <c r="C7" s="591" t="str">
        <f>G19</f>
        <v>Newfoundland</v>
      </c>
      <c r="D7" s="591" t="str">
        <f>G13</f>
        <v>Saskatchewan</v>
      </c>
      <c r="E7" s="592" t="str">
        <f>G26</f>
        <v>Saskatchewan</v>
      </c>
      <c r="G7" s="76" t="s">
        <v>371</v>
      </c>
      <c r="H7" s="206">
        <f>'9'!$X$48</f>
        <v>0.56836563021432185</v>
      </c>
      <c r="I7" s="206">
        <f t="shared" si="0"/>
        <v>4</v>
      </c>
      <c r="J7" s="206"/>
      <c r="K7" s="206">
        <f>'a32'!$X$48</f>
        <v>0.49582404872398894</v>
      </c>
      <c r="L7" s="206">
        <f t="shared" si="1"/>
        <v>11</v>
      </c>
    </row>
    <row r="8" spans="1:13" ht="15">
      <c r="A8" s="593"/>
      <c r="B8" s="594" t="str">
        <f>G7</f>
        <v>Prince Edward Island</v>
      </c>
      <c r="C8" s="594" t="str">
        <f>G26</f>
        <v>Saskatchewan</v>
      </c>
      <c r="D8" s="594" t="str">
        <f>G15</f>
        <v>British Columbia</v>
      </c>
      <c r="E8" s="595" t="str">
        <f>G25</f>
        <v>Manitoba</v>
      </c>
      <c r="G8" s="76" t="s">
        <v>372</v>
      </c>
      <c r="H8" s="206">
        <f>'9'!$AF$48</f>
        <v>0.49889698445646014</v>
      </c>
      <c r="I8" s="206">
        <f t="shared" si="0"/>
        <v>11</v>
      </c>
      <c r="J8" s="206"/>
      <c r="K8" s="206">
        <f>'a32'!$AF$48</f>
        <v>0.52041042297501694</v>
      </c>
      <c r="L8" s="206">
        <f t="shared" si="1"/>
        <v>9</v>
      </c>
    </row>
    <row r="9" spans="1:13" ht="15">
      <c r="A9" s="593"/>
      <c r="B9" s="591" t="str">
        <f>G12</f>
        <v>Manitoba</v>
      </c>
      <c r="C9" s="591" t="str">
        <f>G25</f>
        <v>Manitoba</v>
      </c>
      <c r="D9" s="591" t="str">
        <f>G5</f>
        <v>Canada</v>
      </c>
      <c r="E9" s="592" t="str">
        <f>G19</f>
        <v>Newfoundland</v>
      </c>
      <c r="G9" s="76" t="s">
        <v>373</v>
      </c>
      <c r="H9" s="206">
        <f>'9'!$AN$48</f>
        <v>0.50238519565860762</v>
      </c>
      <c r="I9" s="206">
        <f t="shared" si="0"/>
        <v>10</v>
      </c>
      <c r="J9" s="206"/>
      <c r="K9" s="206">
        <f>'a32'!$AN$48</f>
        <v>0.49669635486416513</v>
      </c>
      <c r="L9" s="206">
        <f t="shared" si="1"/>
        <v>10</v>
      </c>
    </row>
    <row r="10" spans="1:13" ht="15">
      <c r="A10" s="593"/>
      <c r="B10" s="594" t="str">
        <f>G5</f>
        <v>Canada</v>
      </c>
      <c r="C10" s="594" t="str">
        <f>G18</f>
        <v>Canada</v>
      </c>
      <c r="D10" s="594" t="str">
        <f>G12</f>
        <v>Manitoba</v>
      </c>
      <c r="E10" s="595" t="str">
        <f>G23</f>
        <v>Quebec</v>
      </c>
      <c r="G10" s="76" t="s">
        <v>374</v>
      </c>
      <c r="H10" s="206">
        <f>'9'!$AV$48</f>
        <v>0.54971034428564569</v>
      </c>
      <c r="I10" s="206">
        <f t="shared" si="0"/>
        <v>7</v>
      </c>
      <c r="J10" s="206"/>
      <c r="K10" s="206">
        <f>'a32'!$AV$48</f>
        <v>0.54713560361456193</v>
      </c>
      <c r="L10" s="206">
        <f t="shared" si="1"/>
        <v>8</v>
      </c>
    </row>
    <row r="11" spans="1:13" ht="15">
      <c r="A11" s="593"/>
      <c r="B11" s="591" t="str">
        <f>G10</f>
        <v>Quebec</v>
      </c>
      <c r="C11" s="591" t="str">
        <f>G24</f>
        <v>Ontario</v>
      </c>
      <c r="D11" s="591" t="str">
        <f>G11</f>
        <v>Ontario</v>
      </c>
      <c r="E11" s="592" t="str">
        <f>G18</f>
        <v>Canada</v>
      </c>
      <c r="G11" s="76" t="s">
        <v>375</v>
      </c>
      <c r="H11" s="206">
        <f>'9'!$BD$48</f>
        <v>0.53759246691193852</v>
      </c>
      <c r="I11" s="206">
        <f t="shared" si="0"/>
        <v>9</v>
      </c>
      <c r="J11" s="206"/>
      <c r="K11" s="206">
        <f>'a32'!$BD$48</f>
        <v>0.54940693065200408</v>
      </c>
      <c r="L11" s="206">
        <f t="shared" si="1"/>
        <v>7</v>
      </c>
    </row>
    <row r="12" spans="1:13" ht="15">
      <c r="A12" s="593"/>
      <c r="B12" s="594" t="str">
        <f>G15</f>
        <v>British Columbia</v>
      </c>
      <c r="C12" s="594" t="str">
        <f>G23</f>
        <v>Quebec</v>
      </c>
      <c r="D12" s="594" t="str">
        <f>G10</f>
        <v>Quebec</v>
      </c>
      <c r="E12" s="595" t="str">
        <f>G24</f>
        <v>Ontario</v>
      </c>
      <c r="G12" s="76" t="s">
        <v>376</v>
      </c>
      <c r="H12" s="206">
        <f>'9'!$BL$48</f>
        <v>0.56237817775561116</v>
      </c>
      <c r="I12" s="206">
        <f t="shared" si="0"/>
        <v>5</v>
      </c>
      <c r="J12" s="206"/>
      <c r="K12" s="206">
        <f>'a32'!$BL$48</f>
        <v>0.55968815417487539</v>
      </c>
      <c r="L12" s="206">
        <f t="shared" si="1"/>
        <v>6</v>
      </c>
    </row>
    <row r="13" spans="1:13" ht="15">
      <c r="A13" s="593"/>
      <c r="B13" s="591" t="str">
        <f>G11</f>
        <v>Ontario</v>
      </c>
      <c r="C13" s="591" t="str">
        <f>G28</f>
        <v>British Columbia</v>
      </c>
      <c r="D13" s="591" t="str">
        <f>G8</f>
        <v>Nova Scotia</v>
      </c>
      <c r="E13" s="592" t="str">
        <f>G22</f>
        <v>New Brunswick</v>
      </c>
      <c r="G13" s="76" t="s">
        <v>377</v>
      </c>
      <c r="H13" s="206">
        <f>'9'!$BT$48</f>
        <v>0.61760886781323132</v>
      </c>
      <c r="I13" s="206">
        <f t="shared" si="0"/>
        <v>3</v>
      </c>
      <c r="J13" s="206"/>
      <c r="K13" s="206">
        <f>'a32'!$BT$48</f>
        <v>0.64906375507587655</v>
      </c>
      <c r="L13" s="206">
        <f t="shared" si="1"/>
        <v>3</v>
      </c>
    </row>
    <row r="14" spans="1:13" ht="15">
      <c r="A14" s="593"/>
      <c r="B14" s="594" t="str">
        <f>G9</f>
        <v>New Brunswick</v>
      </c>
      <c r="C14" s="594" t="str">
        <f>G21</f>
        <v>Nova Scotia</v>
      </c>
      <c r="D14" s="594" t="str">
        <f>G9</f>
        <v>New Brunswick</v>
      </c>
      <c r="E14" s="595" t="str">
        <f>G28</f>
        <v>British Columbia</v>
      </c>
      <c r="G14" s="76" t="s">
        <v>378</v>
      </c>
      <c r="H14" s="206">
        <f>'9'!$CB$48</f>
        <v>0.73266148590496349</v>
      </c>
      <c r="I14" s="206">
        <f t="shared" si="0"/>
        <v>1</v>
      </c>
      <c r="J14" s="206">
        <f>H14/H6</f>
        <v>1.1473554153018923</v>
      </c>
      <c r="K14" s="206">
        <f>'a32'!$CB$48</f>
        <v>0.78911347836548174</v>
      </c>
      <c r="L14" s="206">
        <f t="shared" si="1"/>
        <v>1</v>
      </c>
      <c r="M14" s="206">
        <f>K14/K6</f>
        <v>1.1470891466129045</v>
      </c>
    </row>
    <row r="15" spans="1:13" ht="15">
      <c r="A15" s="590" t="s">
        <v>1457</v>
      </c>
      <c r="B15" s="591" t="str">
        <f>G8</f>
        <v>Nova Scotia</v>
      </c>
      <c r="C15" s="591" t="str">
        <f>G22</f>
        <v>New Brunswick</v>
      </c>
      <c r="D15" s="591" t="str">
        <f>G7</f>
        <v>Prince Edward Island</v>
      </c>
      <c r="E15" s="592" t="str">
        <f>G21</f>
        <v>Nova Scotia</v>
      </c>
      <c r="G15" s="76" t="s">
        <v>379</v>
      </c>
      <c r="H15" s="206">
        <f>'9'!$CJ$48</f>
        <v>0.5439423494896477</v>
      </c>
      <c r="I15" s="206">
        <f t="shared" si="0"/>
        <v>8</v>
      </c>
      <c r="J15" s="206"/>
      <c r="K15" s="206">
        <f>'a32'!$CJ$48</f>
        <v>0.61404832558718825</v>
      </c>
      <c r="L15" s="206">
        <f t="shared" si="1"/>
        <v>4</v>
      </c>
    </row>
    <row r="16" spans="1:13" ht="15.75">
      <c r="A16" s="404"/>
    </row>
    <row r="17" spans="1:12" ht="15.75">
      <c r="A17" s="587" t="s">
        <v>1467</v>
      </c>
      <c r="H17" s="206" t="s">
        <v>1251</v>
      </c>
      <c r="I17" s="206"/>
      <c r="J17" s="206"/>
      <c r="K17" s="206" t="s">
        <v>1253</v>
      </c>
    </row>
    <row r="18" spans="1:12" ht="16.5" thickBot="1">
      <c r="A18" s="588"/>
      <c r="B18" s="589" t="s">
        <v>1250</v>
      </c>
      <c r="C18" s="589" t="s">
        <v>1251</v>
      </c>
      <c r="D18" s="589" t="s">
        <v>1252</v>
      </c>
      <c r="E18" s="589" t="s">
        <v>1253</v>
      </c>
      <c r="G18" s="76" t="s">
        <v>321</v>
      </c>
      <c r="H18" s="206">
        <f>'a31'!$H$48</f>
        <v>0.6216526238021125</v>
      </c>
      <c r="I18" s="206">
        <f t="shared" ref="I18:I28" si="2">RANK(H18,$H$18:$H$28,0)</f>
        <v>6</v>
      </c>
      <c r="J18" s="206"/>
      <c r="K18" s="206">
        <f>'a33'!$H$48</f>
        <v>0.55216678406145281</v>
      </c>
      <c r="L18" s="206">
        <f t="shared" ref="L18:L28" si="3">RANK(K18,$K$18:$K$28,0)</f>
        <v>7</v>
      </c>
    </row>
    <row r="19" spans="1:12" ht="15.75" thickTop="1">
      <c r="A19" s="590" t="s">
        <v>1458</v>
      </c>
      <c r="B19" s="591" t="str">
        <f>C33</f>
        <v>Newfoundland</v>
      </c>
      <c r="C19" s="591" t="str">
        <f>C33</f>
        <v>Newfoundland</v>
      </c>
      <c r="D19" s="591" t="str">
        <f>C33</f>
        <v>Newfoundland</v>
      </c>
      <c r="E19" s="592" t="str">
        <f>D33</f>
        <v>Prince Edward Island</v>
      </c>
      <c r="F19">
        <f>100*(H19-H6)/H6</f>
        <v>-0.34418053073112936</v>
      </c>
      <c r="G19" s="76" t="s">
        <v>370</v>
      </c>
      <c r="H19" s="206">
        <f>'a31'!$P$48</f>
        <v>0.63636759627983164</v>
      </c>
      <c r="I19" s="206">
        <f t="shared" si="2"/>
        <v>3</v>
      </c>
      <c r="J19" s="206"/>
      <c r="K19" s="206">
        <f>'a33'!$P$48</f>
        <v>0.57597285701473688</v>
      </c>
      <c r="L19" s="206">
        <f t="shared" si="3"/>
        <v>5</v>
      </c>
    </row>
    <row r="20" spans="1:12" ht="15">
      <c r="A20" s="593"/>
      <c r="B20" s="594" t="str">
        <f>D33</f>
        <v>Prince Edward Island</v>
      </c>
      <c r="C20" s="594" t="str">
        <f>D33</f>
        <v>Prince Edward Island</v>
      </c>
      <c r="D20" s="594" t="str">
        <f>D33</f>
        <v>Prince Edward Island</v>
      </c>
      <c r="E20" s="595" t="str">
        <f>C33</f>
        <v>Newfoundland</v>
      </c>
      <c r="F20">
        <f t="shared" ref="F20:F28" si="4">100*(H20-H7)/H7</f>
        <v>12.244571442607722</v>
      </c>
      <c r="G20" s="76" t="s">
        <v>371</v>
      </c>
      <c r="H20" s="206">
        <f>'a31'!$X$48</f>
        <v>0.63795956586114211</v>
      </c>
      <c r="I20" s="206">
        <f t="shared" si="2"/>
        <v>2</v>
      </c>
      <c r="J20" s="206"/>
      <c r="K20" s="206">
        <f>'a33'!$X$48</f>
        <v>0.62884915758459781</v>
      </c>
      <c r="L20" s="206">
        <f t="shared" si="3"/>
        <v>2</v>
      </c>
    </row>
    <row r="21" spans="1:12" ht="15">
      <c r="A21" s="593"/>
      <c r="B21" s="591" t="str">
        <f>F33</f>
        <v>New Brunswick</v>
      </c>
      <c r="C21" s="591" t="str">
        <f>F33</f>
        <v>New Brunswick</v>
      </c>
      <c r="D21" s="591" t="str">
        <f>F33</f>
        <v>New Brunswick</v>
      </c>
      <c r="E21" s="592" t="str">
        <f>F33</f>
        <v>New Brunswick</v>
      </c>
      <c r="F21">
        <f t="shared" si="4"/>
        <v>16.984872347649478</v>
      </c>
      <c r="G21" s="76" t="s">
        <v>372</v>
      </c>
      <c r="H21" s="206">
        <f>'a31'!$AF$48</f>
        <v>0.58363400041266256</v>
      </c>
      <c r="I21" s="206">
        <f t="shared" si="2"/>
        <v>10</v>
      </c>
      <c r="J21" s="206"/>
      <c r="K21" s="206">
        <f>'a33'!$AF$48</f>
        <v>0.49512595215049238</v>
      </c>
      <c r="L21" s="206">
        <f t="shared" si="3"/>
        <v>11</v>
      </c>
    </row>
    <row r="22" spans="1:12" ht="15">
      <c r="A22" s="593"/>
      <c r="B22" s="594" t="str">
        <f>J33</f>
        <v>Saskatchewan</v>
      </c>
      <c r="C22" s="594" t="str">
        <f>I33</f>
        <v>Manitoba</v>
      </c>
      <c r="D22" s="594" t="str">
        <f>G33</f>
        <v>Quebec</v>
      </c>
      <c r="E22" s="595" t="str">
        <f>J33</f>
        <v>Saskatchewan</v>
      </c>
      <c r="F22">
        <f t="shared" si="4"/>
        <v>11.566979984442849</v>
      </c>
      <c r="G22" s="76" t="s">
        <v>373</v>
      </c>
      <c r="H22" s="206">
        <f>'a31'!$AN$48</f>
        <v>0.56049599068524281</v>
      </c>
      <c r="I22" s="206">
        <f t="shared" si="2"/>
        <v>11</v>
      </c>
      <c r="J22" s="206"/>
      <c r="K22" s="206">
        <f>'a33'!$AN$48</f>
        <v>0.512319553348066</v>
      </c>
      <c r="L22" s="206">
        <f t="shared" si="3"/>
        <v>9</v>
      </c>
    </row>
    <row r="23" spans="1:12" ht="15">
      <c r="A23" s="593"/>
      <c r="B23" s="591" t="str">
        <f>I33</f>
        <v>Manitoba</v>
      </c>
      <c r="C23" s="591" t="str">
        <f>G33</f>
        <v>Quebec</v>
      </c>
      <c r="D23" s="591" t="str">
        <f>I33</f>
        <v>Manitoba</v>
      </c>
      <c r="E23" s="592" t="str">
        <f>I33</f>
        <v>Manitoba</v>
      </c>
      <c r="F23">
        <f t="shared" si="4"/>
        <v>10.716022751784893</v>
      </c>
      <c r="G23" s="76" t="s">
        <v>374</v>
      </c>
      <c r="H23" s="206">
        <f>'a31'!$AV$48</f>
        <v>0.60861742984821054</v>
      </c>
      <c r="I23" s="206">
        <f t="shared" si="2"/>
        <v>8</v>
      </c>
      <c r="J23" s="206"/>
      <c r="K23" s="206">
        <f>'a33'!$AV$48</f>
        <v>0.56374787743420596</v>
      </c>
      <c r="L23" s="206">
        <f t="shared" si="3"/>
        <v>6</v>
      </c>
    </row>
    <row r="24" spans="1:12" ht="15">
      <c r="A24" s="593"/>
      <c r="B24" s="594" t="str">
        <f>G33</f>
        <v>Quebec</v>
      </c>
      <c r="C24" s="594" t="str">
        <f>J33</f>
        <v>Saskatchewan</v>
      </c>
      <c r="D24" s="594" t="str">
        <f>E33</f>
        <v>Nova Scotia</v>
      </c>
      <c r="E24" s="595" t="str">
        <f>G33</f>
        <v>Quebec</v>
      </c>
      <c r="F24">
        <f t="shared" si="4"/>
        <v>14.569798031750548</v>
      </c>
      <c r="G24" s="76" t="s">
        <v>375</v>
      </c>
      <c r="H24" s="206">
        <f>'a31'!$BD$48</f>
        <v>0.61591860357491335</v>
      </c>
      <c r="I24" s="206">
        <f t="shared" si="2"/>
        <v>7</v>
      </c>
      <c r="J24" s="206"/>
      <c r="K24" s="206">
        <f>'a33'!$BD$48</f>
        <v>0.53814557057972578</v>
      </c>
      <c r="L24" s="206">
        <f t="shared" si="3"/>
        <v>8</v>
      </c>
    </row>
    <row r="25" spans="1:12" ht="15">
      <c r="A25" s="593"/>
      <c r="B25" s="591" t="str">
        <f>E33</f>
        <v>Nova Scotia</v>
      </c>
      <c r="C25" s="591" t="str">
        <f>E33</f>
        <v>Nova Scotia</v>
      </c>
      <c r="D25" s="591" t="str">
        <f>B33</f>
        <v>Canada</v>
      </c>
      <c r="E25" s="592" t="str">
        <f>E33</f>
        <v>Nova Scotia</v>
      </c>
      <c r="F25">
        <f t="shared" si="4"/>
        <v>10.860803002223875</v>
      </c>
      <c r="G25" s="76" t="s">
        <v>376</v>
      </c>
      <c r="H25" s="206">
        <f>'a31'!$BL$48</f>
        <v>0.6234569637691445</v>
      </c>
      <c r="I25" s="206">
        <f t="shared" si="2"/>
        <v>5</v>
      </c>
      <c r="J25" s="206"/>
      <c r="K25" s="206">
        <f>'a33'!$BL$48</f>
        <v>0.57852636709578109</v>
      </c>
      <c r="L25" s="206">
        <f t="shared" si="3"/>
        <v>4</v>
      </c>
    </row>
    <row r="26" spans="1:12" ht="15">
      <c r="A26" s="593"/>
      <c r="B26" s="594" t="str">
        <f>B33</f>
        <v>Canada</v>
      </c>
      <c r="C26" s="594" t="str">
        <f>B33</f>
        <v>Canada</v>
      </c>
      <c r="D26" s="594" t="str">
        <f>J33</f>
        <v>Saskatchewan</v>
      </c>
      <c r="E26" s="595" t="str">
        <f>K33</f>
        <v>Alberta</v>
      </c>
      <c r="F26">
        <f t="shared" si="4"/>
        <v>2.096300546206908</v>
      </c>
      <c r="G26" s="76" t="s">
        <v>377</v>
      </c>
      <c r="H26" s="206">
        <f>'a31'!$BT$48</f>
        <v>0.63055580588262239</v>
      </c>
      <c r="I26" s="206">
        <f t="shared" si="2"/>
        <v>4</v>
      </c>
      <c r="J26" s="206"/>
      <c r="K26" s="206">
        <f>'a33'!$BT$48</f>
        <v>0.59502203358955286</v>
      </c>
      <c r="L26" s="206">
        <f t="shared" si="3"/>
        <v>3</v>
      </c>
    </row>
    <row r="27" spans="1:12" ht="15">
      <c r="A27" s="593"/>
      <c r="B27" s="591" t="str">
        <f>K33</f>
        <v>Alberta</v>
      </c>
      <c r="C27" s="591" t="str">
        <f>K33</f>
        <v>Alberta</v>
      </c>
      <c r="D27" s="591" t="str">
        <f>L33</f>
        <v>British Columbia</v>
      </c>
      <c r="E27" s="592" t="str">
        <f>B33</f>
        <v>Canada</v>
      </c>
      <c r="F27">
        <f t="shared" si="4"/>
        <v>1.763417828360637</v>
      </c>
      <c r="G27" s="76" t="s">
        <v>378</v>
      </c>
      <c r="H27" s="206">
        <f>'a31'!$CB$48</f>
        <v>0.74558136916894358</v>
      </c>
      <c r="I27" s="206">
        <f t="shared" si="2"/>
        <v>1</v>
      </c>
      <c r="J27" s="206"/>
      <c r="K27" s="206">
        <f>'a33'!$CB$48</f>
        <v>0.67775084495693727</v>
      </c>
      <c r="L27" s="206">
        <f t="shared" si="3"/>
        <v>1</v>
      </c>
    </row>
    <row r="28" spans="1:12" ht="15">
      <c r="A28" s="593"/>
      <c r="B28" s="594" t="str">
        <f>H33</f>
        <v>Ontario</v>
      </c>
      <c r="C28" s="594" t="str">
        <f>H33</f>
        <v>Ontario</v>
      </c>
      <c r="D28" s="594" t="str">
        <f>H33</f>
        <v>Ontario</v>
      </c>
      <c r="E28" s="595" t="str">
        <f>H33</f>
        <v>Ontario</v>
      </c>
      <c r="F28">
        <f t="shared" si="4"/>
        <v>11.136547165862794</v>
      </c>
      <c r="G28" s="76" t="s">
        <v>379</v>
      </c>
      <c r="H28" s="206">
        <f>'a31'!$CJ$48</f>
        <v>0.60451874579566456</v>
      </c>
      <c r="I28" s="206">
        <f t="shared" si="2"/>
        <v>9</v>
      </c>
      <c r="J28" s="206"/>
      <c r="K28" s="206">
        <f>'a33'!$CJ$48</f>
        <v>0.50363841423347699</v>
      </c>
      <c r="L28" s="206">
        <f t="shared" si="3"/>
        <v>10</v>
      </c>
    </row>
    <row r="29" spans="1:12" ht="15">
      <c r="A29" s="590" t="s">
        <v>1459</v>
      </c>
      <c r="B29" s="591" t="str">
        <f>L33</f>
        <v>British Columbia</v>
      </c>
      <c r="C29" s="591" t="str">
        <f>L33</f>
        <v>British Columbia</v>
      </c>
      <c r="D29" s="591" t="str">
        <f>K33</f>
        <v>Alberta</v>
      </c>
      <c r="E29" s="592" t="str">
        <f>L33</f>
        <v>British Columbia</v>
      </c>
    </row>
    <row r="30" spans="1:12" ht="15.75">
      <c r="A30" s="2"/>
    </row>
    <row r="31" spans="1:12" ht="15">
      <c r="A31" s="3" t="s">
        <v>1460</v>
      </c>
    </row>
    <row r="32" spans="1:12">
      <c r="A32" s="206" t="s">
        <v>1461</v>
      </c>
    </row>
    <row r="33" spans="1:16">
      <c r="B33" t="s">
        <v>321</v>
      </c>
      <c r="C33" t="s">
        <v>370</v>
      </c>
      <c r="D33" t="s">
        <v>371</v>
      </c>
      <c r="E33" t="s">
        <v>372</v>
      </c>
      <c r="F33" t="s">
        <v>373</v>
      </c>
      <c r="G33" t="s">
        <v>374</v>
      </c>
      <c r="H33" t="s">
        <v>375</v>
      </c>
      <c r="I33" t="s">
        <v>376</v>
      </c>
      <c r="J33" t="s">
        <v>377</v>
      </c>
      <c r="K33" t="s">
        <v>378</v>
      </c>
      <c r="L33" t="s">
        <v>379</v>
      </c>
    </row>
    <row r="34" spans="1:16">
      <c r="A34" s="206" t="s">
        <v>1250</v>
      </c>
      <c r="B34" s="585">
        <f>100*(POWER('9'!H48/'9'!H19, 1/29)-1)</f>
        <v>0.78399169619405296</v>
      </c>
      <c r="C34" s="585">
        <f>100*(POWER('9'!P48/'9'!P19, 1/29)-1)</f>
        <v>2.9026545559239114</v>
      </c>
      <c r="D34" s="585">
        <f>100*(POWER('9'!X48/'9'!X19, 1/29)-1)</f>
        <v>2.3122327656535102</v>
      </c>
      <c r="E34" s="585">
        <f>100*(POWER('9'!AF48/'9'!AF19, 1/29)-1)</f>
        <v>0.93581677047003264</v>
      </c>
      <c r="F34" s="585">
        <f>100*(POWER('9'!AN48/'9'!AN19, 1/29)-1)</f>
        <v>2.0198922578372525</v>
      </c>
      <c r="G34" s="585">
        <f>100*(POWER('9'!AV48/'9'!AV19, 1/29)-1)</f>
        <v>1.2209592291991145</v>
      </c>
      <c r="H34" s="585">
        <f>100*(POWER('9'!BD48/'9'!BD19, 1/29)-1)</f>
        <v>0.39401388566711049</v>
      </c>
      <c r="I34" s="585">
        <f>100*(POWER('9'!BL48/'9'!BL19, 1/29)-1)</f>
        <v>1.2834072187437151</v>
      </c>
      <c r="J34" s="585">
        <f>100*(POWER('9'!BT48/'9'!BT19, 1/29)-1)</f>
        <v>1.3385328482346859</v>
      </c>
      <c r="K34" s="585">
        <f>100*(POWER('9'!CB48/'9'!CB19, 1/29)-1)</f>
        <v>0.67988440460025057</v>
      </c>
      <c r="L34" s="585">
        <f>100*(POWER('9'!CJ48/'9'!CJ19, 1/29)-1)</f>
        <v>0.38098936412638285</v>
      </c>
      <c r="P34" s="585"/>
    </row>
    <row r="35" spans="1:16">
      <c r="A35" s="206" t="s">
        <v>1462</v>
      </c>
      <c r="B35" s="597">
        <f t="shared" ref="B35:L35" si="5">RANK(B34,$B$34:$L$34,0)</f>
        <v>8</v>
      </c>
      <c r="C35" s="597">
        <f t="shared" si="5"/>
        <v>1</v>
      </c>
      <c r="D35" s="597">
        <f t="shared" si="5"/>
        <v>2</v>
      </c>
      <c r="E35" s="597">
        <f t="shared" si="5"/>
        <v>7</v>
      </c>
      <c r="F35" s="597">
        <f t="shared" si="5"/>
        <v>3</v>
      </c>
      <c r="G35" s="597">
        <f t="shared" si="5"/>
        <v>6</v>
      </c>
      <c r="H35" s="597">
        <f t="shared" si="5"/>
        <v>10</v>
      </c>
      <c r="I35" s="597">
        <f t="shared" si="5"/>
        <v>5</v>
      </c>
      <c r="J35" s="597">
        <f t="shared" si="5"/>
        <v>4</v>
      </c>
      <c r="K35" s="597">
        <f t="shared" si="5"/>
        <v>9</v>
      </c>
      <c r="L35" s="597">
        <f t="shared" si="5"/>
        <v>11</v>
      </c>
      <c r="P35" s="597"/>
    </row>
    <row r="36" spans="1:16">
      <c r="A36" s="206" t="s">
        <v>1251</v>
      </c>
      <c r="B36" s="585">
        <f>100*(POWER('a31'!H48/'a31'!H19, 1/29)-1)</f>
        <v>1.1231550754959851</v>
      </c>
      <c r="C36" s="585">
        <f>100*(POWER('a31'!P48/'a31'!P19, 1/29)-1)</f>
        <v>3.0686664982257472</v>
      </c>
      <c r="D36" s="585">
        <f>100*(POWER('a31'!X48/'a31'!X19, 1/29)-1)</f>
        <v>2.5234889600411758</v>
      </c>
      <c r="E36" s="585">
        <f>100*(POWER('a31'!AF48/'a31'!AF19, 1/29)-1)</f>
        <v>1.3603497732750602</v>
      </c>
      <c r="F36" s="585">
        <f>100*(POWER('a31'!AN48/'a31'!AN19, 1/29)-1)</f>
        <v>2.5224968258065639</v>
      </c>
      <c r="G36" s="585">
        <f>100*(POWER('a31'!AV48/'a31'!AV19, 1/29)-1)</f>
        <v>1.592762926589808</v>
      </c>
      <c r="H36" s="585">
        <f>100*(POWER('a31'!BD48/'a31'!BD19, 1/29)-1)</f>
        <v>0.77895368652227681</v>
      </c>
      <c r="I36" s="585">
        <f>100*(POWER('a31'!BL48/'a31'!BL19, 1/29)-1)</f>
        <v>1.6832746020821299</v>
      </c>
      <c r="J36" s="585">
        <f>100*(POWER('a31'!BT48/'a31'!BT19, 1/29)-1)</f>
        <v>1.5439457709529592</v>
      </c>
      <c r="K36" s="585">
        <f>100*(POWER('a31'!CB48/'a31'!CB19, 1/29)-1)</f>
        <v>0.89835732782650446</v>
      </c>
      <c r="L36" s="585">
        <f>100*(POWER('a31'!CJ48/'a31'!CJ19, 1/29)-1)</f>
        <v>0.68702337149553205</v>
      </c>
      <c r="P36" s="585"/>
    </row>
    <row r="37" spans="1:16">
      <c r="A37" s="206" t="s">
        <v>1462</v>
      </c>
      <c r="B37" s="597">
        <f t="shared" ref="B37:L37" si="6">RANK(B36,$B$36:$L$36,0)</f>
        <v>8</v>
      </c>
      <c r="C37" s="597">
        <f t="shared" si="6"/>
        <v>1</v>
      </c>
      <c r="D37" s="597">
        <f t="shared" si="6"/>
        <v>2</v>
      </c>
      <c r="E37" s="597">
        <f t="shared" si="6"/>
        <v>7</v>
      </c>
      <c r="F37" s="597">
        <f t="shared" si="6"/>
        <v>3</v>
      </c>
      <c r="G37" s="597">
        <f t="shared" si="6"/>
        <v>5</v>
      </c>
      <c r="H37" s="597">
        <f t="shared" si="6"/>
        <v>10</v>
      </c>
      <c r="I37" s="597">
        <f t="shared" si="6"/>
        <v>4</v>
      </c>
      <c r="J37" s="597">
        <f t="shared" si="6"/>
        <v>6</v>
      </c>
      <c r="K37" s="597">
        <f t="shared" si="6"/>
        <v>9</v>
      </c>
      <c r="L37" s="597">
        <f t="shared" si="6"/>
        <v>11</v>
      </c>
      <c r="P37" s="597"/>
    </row>
    <row r="38" spans="1:16">
      <c r="A38" s="206" t="s">
        <v>1252</v>
      </c>
      <c r="B38" s="585">
        <f>100*(POWER('a32'!H48/'a32'!H19, 1/29)-1)</f>
        <v>1.4723084530938513</v>
      </c>
      <c r="C38" s="585">
        <f>100*(POWER('a32'!P48/'a32'!P19, 1/29)-1)</f>
        <v>3.9520347635062292</v>
      </c>
      <c r="D38" s="585">
        <f>100*(POWER('a32'!X48/'a32'!X19, 1/29)-1)</f>
        <v>2.4865405513266214</v>
      </c>
      <c r="E38" s="585">
        <f>100*(POWER('a32'!AF48/'a32'!AF19, 1/29)-1)</f>
        <v>1.5526988856743751</v>
      </c>
      <c r="F38" s="585">
        <f>100*(POWER('a32'!AN48/'a32'!AN19, 1/29)-1)</f>
        <v>2.2808263289727071</v>
      </c>
      <c r="G38" s="585">
        <f>100*(POWER('a32'!AV48/'a32'!AV19, 1/29)-1)</f>
        <v>1.907257861452738</v>
      </c>
      <c r="H38" s="585">
        <f>100*(POWER('a32'!BD48/'a32'!BD19, 1/29)-1)</f>
        <v>1.2310324558225894</v>
      </c>
      <c r="I38" s="585">
        <f>100*(POWER('a32'!BL48/'a32'!BL19, 1/29)-1)</f>
        <v>1.5640733968878884</v>
      </c>
      <c r="J38" s="585">
        <f>100*(POWER('a32'!BT48/'a32'!BT19, 1/29)-1)</f>
        <v>1.3923670484641715</v>
      </c>
      <c r="K38" s="585">
        <f>100*(POWER('a32'!CB48/'a32'!CB19, 1/29)-1)</f>
        <v>1.1614576928219655</v>
      </c>
      <c r="L38" s="585">
        <f>100*(POWER('a32'!CJ48/'a32'!CJ19, 1/29)-1)</f>
        <v>1.2412549698845199</v>
      </c>
      <c r="P38" s="585"/>
    </row>
    <row r="39" spans="1:16">
      <c r="A39" s="206" t="s">
        <v>1462</v>
      </c>
      <c r="B39" s="597">
        <f t="shared" ref="B39:L39" si="7">RANK(B38,$B$38:$L$38,0)</f>
        <v>7</v>
      </c>
      <c r="C39" s="597">
        <f t="shared" si="7"/>
        <v>1</v>
      </c>
      <c r="D39" s="597">
        <f t="shared" si="7"/>
        <v>2</v>
      </c>
      <c r="E39" s="597">
        <f t="shared" si="7"/>
        <v>6</v>
      </c>
      <c r="F39" s="597">
        <f t="shared" si="7"/>
        <v>3</v>
      </c>
      <c r="G39" s="597">
        <f t="shared" si="7"/>
        <v>4</v>
      </c>
      <c r="H39" s="597">
        <f t="shared" si="7"/>
        <v>10</v>
      </c>
      <c r="I39" s="597">
        <f t="shared" si="7"/>
        <v>5</v>
      </c>
      <c r="J39" s="597">
        <f t="shared" si="7"/>
        <v>8</v>
      </c>
      <c r="K39" s="597">
        <f t="shared" si="7"/>
        <v>11</v>
      </c>
      <c r="L39" s="597">
        <f t="shared" si="7"/>
        <v>9</v>
      </c>
      <c r="P39" s="597"/>
    </row>
    <row r="40" spans="1:16">
      <c r="A40" s="206" t="s">
        <v>1253</v>
      </c>
      <c r="B40" s="585">
        <f>100*(POWER('a33'!H48/'a33'!H19, 1/29)-1)</f>
        <v>0.177561526066361</v>
      </c>
      <c r="C40" s="585">
        <f>100*(POWER('a33'!P48/'a33'!P19, 1/29)-1)</f>
        <v>1.8824847760179786</v>
      </c>
      <c r="D40" s="585">
        <f>100*(POWER('a33'!X48/'a33'!X19, 1/29)-1)</f>
        <v>1.9468879350416302</v>
      </c>
      <c r="E40" s="585">
        <f>100*(POWER('a33'!AF48/'a33'!AF19, 1/29)-1)</f>
        <v>0.26479637689833524</v>
      </c>
      <c r="F40" s="585">
        <f>100*(POWER('a33'!AN48/'a33'!AN19, 1/29)-1)</f>
        <v>1.5138349565568143</v>
      </c>
      <c r="G40" s="585">
        <f>100*(POWER('a33'!AV48/'a33'!AV19, 1/29)-1)</f>
        <v>0.66670537421480436</v>
      </c>
      <c r="H40" s="585">
        <f>100*(POWER('a33'!BD48/'a33'!BD19, 1/29)-1)</f>
        <v>-0.28630179126709621</v>
      </c>
      <c r="I40" s="585">
        <f>100*(POWER('a33'!BL48/'a33'!BL19, 1/29)-1)</f>
        <v>0.9109524765227528</v>
      </c>
      <c r="J40" s="585">
        <f>100*(POWER('a33'!BT48/'a33'!BT19, 1/29)-1)</f>
        <v>0.97626410815527809</v>
      </c>
      <c r="K40" s="585">
        <f>100*(POWER('a33'!CB48/'a33'!CB19, 1/29)-1)</f>
        <v>0.20999772721366217</v>
      </c>
      <c r="L40" s="585">
        <f>100*(POWER('a33'!CJ48/'a33'!CJ19, 1/29)-1)</f>
        <v>-0.31362174768404527</v>
      </c>
      <c r="P40" s="585"/>
    </row>
    <row r="41" spans="1:16" s="332" customFormat="1">
      <c r="A41" s="596" t="s">
        <v>1462</v>
      </c>
      <c r="B41" s="597">
        <f t="shared" ref="B41:L41" si="8">RANK(B40,$B$40:$L$40,0)</f>
        <v>9</v>
      </c>
      <c r="C41" s="597">
        <f t="shared" si="8"/>
        <v>2</v>
      </c>
      <c r="D41" s="597">
        <f t="shared" si="8"/>
        <v>1</v>
      </c>
      <c r="E41" s="597">
        <f t="shared" si="8"/>
        <v>7</v>
      </c>
      <c r="F41" s="597">
        <f t="shared" si="8"/>
        <v>3</v>
      </c>
      <c r="G41" s="597">
        <f t="shared" si="8"/>
        <v>6</v>
      </c>
      <c r="H41" s="597">
        <f t="shared" si="8"/>
        <v>10</v>
      </c>
      <c r="I41" s="597">
        <f t="shared" si="8"/>
        <v>5</v>
      </c>
      <c r="J41" s="597">
        <f t="shared" si="8"/>
        <v>4</v>
      </c>
      <c r="K41" s="597">
        <f t="shared" si="8"/>
        <v>8</v>
      </c>
      <c r="L41" s="597">
        <f t="shared" si="8"/>
        <v>11</v>
      </c>
      <c r="P41" s="597"/>
    </row>
  </sheetData>
  <pageMargins left="0.70866141732283472" right="0.70866141732283472" top="0.74803149606299213" bottom="0.74803149606299213" header="0.31496062992125984" footer="0.31496062992125984"/>
  <pageSetup orientation="landscape" horizontalDpi="0" verticalDpi="0" r:id="rId1"/>
  <colBreaks count="2" manualBreakCount="2">
    <brk id="5" max="1048575" man="1"/>
    <brk id="11" max="1048575" man="1"/>
  </colBreaks>
</worksheet>
</file>

<file path=xl/worksheets/sheet119.xml><?xml version="1.0" encoding="utf-8"?>
<worksheet xmlns="http://schemas.openxmlformats.org/spreadsheetml/2006/main" xmlns:r="http://schemas.openxmlformats.org/officeDocument/2006/relationships">
  <dimension ref="A2:AD143"/>
  <sheetViews>
    <sheetView topLeftCell="A16" zoomScale="85" zoomScaleNormal="85" workbookViewId="0">
      <selection activeCell="I24" sqref="I24"/>
    </sheetView>
  </sheetViews>
  <sheetFormatPr defaultRowHeight="12.75"/>
  <sheetData>
    <row r="2" spans="1:29">
      <c r="A2" t="s">
        <v>1227</v>
      </c>
      <c r="L2" t="s">
        <v>1228</v>
      </c>
    </row>
    <row r="3" spans="1:29" ht="15.75">
      <c r="T3" s="2" t="s">
        <v>1229</v>
      </c>
      <c r="AC3" s="2" t="s">
        <v>1224</v>
      </c>
    </row>
    <row r="5" spans="1:29">
      <c r="B5" t="s">
        <v>1230</v>
      </c>
      <c r="C5" t="s">
        <v>1193</v>
      </c>
      <c r="D5" t="s">
        <v>1194</v>
      </c>
      <c r="G5" t="s">
        <v>1231</v>
      </c>
      <c r="H5" t="s">
        <v>1232</v>
      </c>
      <c r="I5" t="s">
        <v>1233</v>
      </c>
    </row>
    <row r="6" spans="1:29">
      <c r="A6" s="35">
        <v>1981</v>
      </c>
      <c r="B6" s="43">
        <v>0.34799999999999998</v>
      </c>
      <c r="C6" s="394">
        <v>11.6</v>
      </c>
      <c r="D6" s="395">
        <v>3505.6577086280058</v>
      </c>
      <c r="F6" s="35">
        <v>1981</v>
      </c>
      <c r="G6">
        <f t="shared" ref="G6:I33" si="0">100*B6/B$6</f>
        <v>100</v>
      </c>
      <c r="H6">
        <f t="shared" si="0"/>
        <v>100</v>
      </c>
      <c r="I6">
        <f t="shared" si="0"/>
        <v>100</v>
      </c>
    </row>
    <row r="7" spans="1:29">
      <c r="A7" s="35">
        <v>1982</v>
      </c>
      <c r="B7" s="43">
        <v>0.35099999999999998</v>
      </c>
      <c r="C7" s="394">
        <v>12.4</v>
      </c>
      <c r="D7" s="395">
        <v>3428.4779050736497</v>
      </c>
      <c r="F7" s="35">
        <v>1982</v>
      </c>
      <c r="G7">
        <f t="shared" si="0"/>
        <v>100.86206896551724</v>
      </c>
      <c r="H7">
        <f t="shared" si="0"/>
        <v>106.89655172413794</v>
      </c>
      <c r="I7">
        <f t="shared" si="0"/>
        <v>97.798421581080092</v>
      </c>
    </row>
    <row r="8" spans="1:29">
      <c r="A8" s="35">
        <v>1983</v>
      </c>
      <c r="B8" s="43">
        <v>0.36099999999999999</v>
      </c>
      <c r="C8" s="397">
        <v>14</v>
      </c>
      <c r="D8" s="395">
        <v>3492.1180854112927</v>
      </c>
      <c r="F8" s="35">
        <v>1983</v>
      </c>
      <c r="G8">
        <f t="shared" si="0"/>
        <v>103.73563218390805</v>
      </c>
      <c r="H8">
        <f t="shared" si="0"/>
        <v>120.68965517241379</v>
      </c>
      <c r="I8">
        <f t="shared" si="0"/>
        <v>99.613777945764937</v>
      </c>
    </row>
    <row r="9" spans="1:29">
      <c r="A9" s="35">
        <v>1984</v>
      </c>
      <c r="B9" s="43">
        <v>0.35699999999999998</v>
      </c>
      <c r="C9" s="394">
        <v>13.7</v>
      </c>
      <c r="D9" s="395">
        <v>3518.539976825029</v>
      </c>
      <c r="F9" s="35">
        <v>1984</v>
      </c>
      <c r="G9">
        <f t="shared" si="0"/>
        <v>102.58620689655172</v>
      </c>
      <c r="H9">
        <f t="shared" si="0"/>
        <v>118.10344827586208</v>
      </c>
      <c r="I9">
        <f t="shared" si="0"/>
        <v>100.36747079343536</v>
      </c>
    </row>
    <row r="10" spans="1:29">
      <c r="A10" s="35">
        <v>1985</v>
      </c>
      <c r="B10" s="43">
        <v>0.35699999999999998</v>
      </c>
      <c r="C10" s="398">
        <v>13</v>
      </c>
      <c r="D10" s="395">
        <v>3413.0699088145898</v>
      </c>
      <c r="F10" s="35">
        <v>1985</v>
      </c>
      <c r="G10">
        <f t="shared" si="0"/>
        <v>102.58620689655172</v>
      </c>
      <c r="H10">
        <f t="shared" si="0"/>
        <v>112.06896551724138</v>
      </c>
      <c r="I10">
        <f t="shared" si="0"/>
        <v>97.358903592169241</v>
      </c>
    </row>
    <row r="11" spans="1:29">
      <c r="A11" s="35">
        <v>1986</v>
      </c>
      <c r="B11" s="43">
        <v>0.35799999999999998</v>
      </c>
      <c r="C11" s="398">
        <v>12.1</v>
      </c>
      <c r="D11" s="395">
        <v>3449.7901194704555</v>
      </c>
      <c r="F11" s="35">
        <v>1986</v>
      </c>
      <c r="G11">
        <f t="shared" si="0"/>
        <v>102.8735632183908</v>
      </c>
      <c r="H11">
        <f t="shared" si="0"/>
        <v>104.31034482758621</v>
      </c>
      <c r="I11">
        <f t="shared" si="0"/>
        <v>98.406359268332139</v>
      </c>
    </row>
    <row r="12" spans="1:29">
      <c r="A12" s="35">
        <v>1987</v>
      </c>
      <c r="B12" s="43">
        <v>0.35499999999999998</v>
      </c>
      <c r="C12" s="398">
        <v>11.9</v>
      </c>
      <c r="D12" s="395">
        <v>3514.7775251705098</v>
      </c>
      <c r="F12" s="35">
        <v>1987</v>
      </c>
      <c r="G12">
        <f t="shared" si="0"/>
        <v>102.01149425287358</v>
      </c>
      <c r="H12">
        <f t="shared" si="0"/>
        <v>102.58620689655173</v>
      </c>
      <c r="I12">
        <f t="shared" si="0"/>
        <v>100.26014566453702</v>
      </c>
    </row>
    <row r="13" spans="1:29">
      <c r="A13" s="35">
        <v>1988</v>
      </c>
      <c r="B13" s="43">
        <v>0.35399999999999998</v>
      </c>
      <c r="C13" s="398">
        <v>10.8</v>
      </c>
      <c r="D13" s="395">
        <v>3516.8776371308018</v>
      </c>
      <c r="F13" s="35">
        <v>1988</v>
      </c>
      <c r="G13">
        <f t="shared" si="0"/>
        <v>101.72413793103449</v>
      </c>
      <c r="H13">
        <f t="shared" si="0"/>
        <v>93.103448275862078</v>
      </c>
      <c r="I13">
        <f t="shared" si="0"/>
        <v>100.32005202547819</v>
      </c>
    </row>
    <row r="14" spans="1:29">
      <c r="A14" s="35">
        <v>1989</v>
      </c>
      <c r="B14" s="43">
        <v>0.35099999999999998</v>
      </c>
      <c r="C14" s="398">
        <v>10.199999999999999</v>
      </c>
      <c r="D14" s="395">
        <v>3417.1280915466964</v>
      </c>
      <c r="F14" s="35">
        <v>1989</v>
      </c>
      <c r="G14">
        <f t="shared" si="0"/>
        <v>100.86206896551724</v>
      </c>
      <c r="H14">
        <f t="shared" si="0"/>
        <v>87.931034482758619</v>
      </c>
      <c r="I14">
        <f t="shared" si="0"/>
        <v>97.474664544019134</v>
      </c>
    </row>
    <row r="15" spans="1:29">
      <c r="A15" s="35">
        <v>1990</v>
      </c>
      <c r="B15" s="43">
        <v>0.35699999999999998</v>
      </c>
      <c r="C15" s="398">
        <v>11.8</v>
      </c>
      <c r="D15" s="395">
        <v>3553.8847117794485</v>
      </c>
      <c r="F15" s="35">
        <v>1990</v>
      </c>
      <c r="G15">
        <f t="shared" si="0"/>
        <v>102.58620689655172</v>
      </c>
      <c r="H15">
        <f t="shared" si="0"/>
        <v>101.72413793103449</v>
      </c>
      <c r="I15">
        <f t="shared" si="0"/>
        <v>101.37569058818116</v>
      </c>
    </row>
    <row r="16" spans="1:29">
      <c r="A16" s="35">
        <v>1991</v>
      </c>
      <c r="B16" s="43">
        <v>0.36399999999999999</v>
      </c>
      <c r="C16" s="398">
        <v>13.2</v>
      </c>
      <c r="D16" s="395">
        <v>3620.1829775436649</v>
      </c>
      <c r="F16" s="35">
        <v>1991</v>
      </c>
      <c r="G16">
        <f t="shared" si="0"/>
        <v>104.59770114942529</v>
      </c>
      <c r="H16">
        <f t="shared" si="0"/>
        <v>113.79310344827587</v>
      </c>
      <c r="I16">
        <f t="shared" si="0"/>
        <v>103.26686968421912</v>
      </c>
    </row>
    <row r="17" spans="1:30">
      <c r="A17" s="35">
        <v>1992</v>
      </c>
      <c r="B17" s="43">
        <v>0.36399999999999999</v>
      </c>
      <c r="C17" s="398">
        <v>13.3</v>
      </c>
      <c r="D17" s="395">
        <v>3558.3355996736468</v>
      </c>
      <c r="F17" s="35">
        <v>1992</v>
      </c>
      <c r="G17">
        <f t="shared" si="0"/>
        <v>104.59770114942529</v>
      </c>
      <c r="H17">
        <f t="shared" si="0"/>
        <v>114.65517241379311</v>
      </c>
      <c r="I17">
        <f t="shared" si="0"/>
        <v>101.5026535795549</v>
      </c>
    </row>
    <row r="18" spans="1:30">
      <c r="A18" s="35">
        <v>1993</v>
      </c>
      <c r="B18" s="43">
        <v>0.36699999999999999</v>
      </c>
      <c r="C18" s="398">
        <v>14.1</v>
      </c>
      <c r="D18" s="395">
        <v>3555.2185999494568</v>
      </c>
      <c r="F18" s="35">
        <v>1993</v>
      </c>
      <c r="G18">
        <f t="shared" si="0"/>
        <v>105.45977011494254</v>
      </c>
      <c r="H18">
        <f t="shared" si="0"/>
        <v>121.55172413793103</v>
      </c>
      <c r="I18">
        <f t="shared" si="0"/>
        <v>101.41374017205027</v>
      </c>
    </row>
    <row r="19" spans="1:30">
      <c r="A19" s="35">
        <v>1994</v>
      </c>
      <c r="B19" s="43">
        <v>0.36199999999999999</v>
      </c>
      <c r="C19" s="398">
        <v>14</v>
      </c>
      <c r="D19" s="395">
        <v>3560.4423221915054</v>
      </c>
      <c r="F19" s="35">
        <v>1994</v>
      </c>
      <c r="G19">
        <f t="shared" si="0"/>
        <v>104.02298850574712</v>
      </c>
      <c r="H19">
        <f t="shared" si="0"/>
        <v>120.68965517241379</v>
      </c>
      <c r="I19">
        <f t="shared" si="0"/>
        <v>101.56274850875103</v>
      </c>
    </row>
    <row r="20" spans="1:30">
      <c r="A20" s="35">
        <v>1995</v>
      </c>
      <c r="B20" s="43">
        <v>0.36599999999999999</v>
      </c>
      <c r="C20" s="398">
        <v>14.5</v>
      </c>
      <c r="D20" s="395">
        <v>3548.6512524084778</v>
      </c>
      <c r="F20" s="35">
        <v>1995</v>
      </c>
      <c r="G20">
        <f t="shared" si="0"/>
        <v>105.17241379310346</v>
      </c>
      <c r="H20">
        <f t="shared" si="0"/>
        <v>125</v>
      </c>
      <c r="I20">
        <f t="shared" si="0"/>
        <v>101.22640449678408</v>
      </c>
    </row>
    <row r="21" spans="1:30">
      <c r="A21" s="35">
        <v>1996</v>
      </c>
      <c r="B21" s="43">
        <v>0.377</v>
      </c>
      <c r="C21" s="398">
        <v>15.2</v>
      </c>
      <c r="D21" s="395">
        <v>3648.1692062770071</v>
      </c>
      <c r="F21" s="35">
        <v>1996</v>
      </c>
      <c r="G21">
        <f t="shared" si="0"/>
        <v>108.33333333333334</v>
      </c>
      <c r="H21">
        <f t="shared" si="0"/>
        <v>131.0344827586207</v>
      </c>
      <c r="I21">
        <f t="shared" si="0"/>
        <v>104.06518575097211</v>
      </c>
    </row>
    <row r="22" spans="1:30">
      <c r="A22" s="35">
        <v>1997</v>
      </c>
      <c r="B22" s="43">
        <v>0.38500000000000001</v>
      </c>
      <c r="C22" s="398">
        <v>15</v>
      </c>
      <c r="D22" s="395">
        <v>3772.7791733272438</v>
      </c>
      <c r="F22" s="35">
        <v>1997</v>
      </c>
      <c r="G22">
        <f t="shared" si="0"/>
        <v>110.63218390804599</v>
      </c>
      <c r="H22">
        <f t="shared" si="0"/>
        <v>129.31034482758622</v>
      </c>
      <c r="I22">
        <f t="shared" si="0"/>
        <v>107.6197246537164</v>
      </c>
    </row>
    <row r="23" spans="1:30">
      <c r="A23" s="35">
        <v>1998</v>
      </c>
      <c r="B23" s="43">
        <v>0.38600000000000001</v>
      </c>
      <c r="C23" s="394">
        <v>13.7</v>
      </c>
      <c r="D23" s="395">
        <v>3934.5075663607045</v>
      </c>
      <c r="F23" s="35">
        <v>1998</v>
      </c>
      <c r="G23">
        <f t="shared" si="0"/>
        <v>110.91954022988507</v>
      </c>
      <c r="H23">
        <f t="shared" si="0"/>
        <v>118.10344827586208</v>
      </c>
      <c r="I23">
        <f t="shared" si="0"/>
        <v>112.23307845136243</v>
      </c>
    </row>
    <row r="24" spans="1:30">
      <c r="A24" s="35">
        <v>1999</v>
      </c>
      <c r="B24" s="43">
        <v>0.38600000000000001</v>
      </c>
      <c r="C24" s="394">
        <v>13</v>
      </c>
      <c r="D24" s="395">
        <v>4007.5110075110074</v>
      </c>
      <c r="F24" s="35">
        <v>1999</v>
      </c>
      <c r="G24">
        <f t="shared" si="0"/>
        <v>110.91954022988507</v>
      </c>
      <c r="H24">
        <f t="shared" si="0"/>
        <v>112.06896551724138</v>
      </c>
      <c r="I24">
        <f t="shared" si="0"/>
        <v>114.31552480574065</v>
      </c>
    </row>
    <row r="25" spans="1:30">
      <c r="A25" s="35">
        <v>2000</v>
      </c>
      <c r="B25" s="43">
        <v>0.39200000000000002</v>
      </c>
      <c r="C25" s="394">
        <v>12.5</v>
      </c>
      <c r="D25" s="395">
        <v>3954.8490515629173</v>
      </c>
      <c r="F25" s="35">
        <v>2000</v>
      </c>
      <c r="G25">
        <f t="shared" si="0"/>
        <v>112.64367816091955</v>
      </c>
      <c r="H25">
        <f t="shared" si="0"/>
        <v>107.75862068965517</v>
      </c>
      <c r="I25">
        <f t="shared" si="0"/>
        <v>112.81332577990649</v>
      </c>
    </row>
    <row r="26" spans="1:30">
      <c r="A26" s="35">
        <v>2001</v>
      </c>
      <c r="B26" s="43">
        <v>0.39200000000000002</v>
      </c>
      <c r="C26" s="394">
        <v>11.2</v>
      </c>
      <c r="D26" s="395">
        <v>4005.8892815076561</v>
      </c>
      <c r="F26" s="35">
        <v>2001</v>
      </c>
      <c r="G26">
        <f t="shared" si="0"/>
        <v>112.64367816091955</v>
      </c>
      <c r="H26">
        <f t="shared" si="0"/>
        <v>96.551724137931032</v>
      </c>
      <c r="I26">
        <f t="shared" si="0"/>
        <v>114.26926455621999</v>
      </c>
      <c r="AD26" s="399" t="s">
        <v>1237</v>
      </c>
    </row>
    <row r="27" spans="1:30">
      <c r="A27" s="35">
        <v>2002</v>
      </c>
      <c r="B27" s="43">
        <v>0.39100000000000001</v>
      </c>
      <c r="C27" s="394">
        <v>11.6</v>
      </c>
      <c r="D27" s="395">
        <v>3873.4463276836159</v>
      </c>
      <c r="F27" s="35">
        <v>2002</v>
      </c>
      <c r="G27">
        <f t="shared" si="0"/>
        <v>112.35632183908046</v>
      </c>
      <c r="H27">
        <f t="shared" si="0"/>
        <v>100</v>
      </c>
      <c r="I27">
        <f t="shared" si="0"/>
        <v>110.4912872169585</v>
      </c>
    </row>
    <row r="28" spans="1:30">
      <c r="A28" s="35">
        <v>2003</v>
      </c>
      <c r="B28" s="43">
        <v>0.38900000000000001</v>
      </c>
      <c r="C28" s="394">
        <v>11.6</v>
      </c>
      <c r="D28" s="395">
        <v>3893.1552587646079</v>
      </c>
      <c r="F28" s="35">
        <v>2003</v>
      </c>
      <c r="G28">
        <f t="shared" si="0"/>
        <v>111.7816091954023</v>
      </c>
      <c r="H28">
        <f t="shared" si="0"/>
        <v>100</v>
      </c>
      <c r="I28">
        <f t="shared" si="0"/>
        <v>111.05349073821172</v>
      </c>
    </row>
    <row r="29" spans="1:30">
      <c r="A29" s="35">
        <v>2004</v>
      </c>
      <c r="B29" s="43">
        <v>0.39400000000000002</v>
      </c>
      <c r="C29" s="394">
        <v>11.4</v>
      </c>
      <c r="D29" s="395">
        <v>3983.9210155148094</v>
      </c>
      <c r="F29" s="35">
        <v>2004</v>
      </c>
      <c r="G29">
        <f t="shared" si="0"/>
        <v>113.2183908045977</v>
      </c>
      <c r="H29">
        <f t="shared" si="0"/>
        <v>98.275862068965523</v>
      </c>
      <c r="I29">
        <f t="shared" si="0"/>
        <v>113.64261278874199</v>
      </c>
    </row>
    <row r="30" spans="1:30">
      <c r="A30" s="35">
        <v>2005</v>
      </c>
      <c r="B30" s="43">
        <v>0.39300000000000002</v>
      </c>
      <c r="C30" s="394">
        <v>10.8</v>
      </c>
      <c r="D30" s="395">
        <v>4198.5337243401764</v>
      </c>
      <c r="F30" s="35">
        <v>2005</v>
      </c>
      <c r="G30">
        <f t="shared" si="0"/>
        <v>112.93103448275865</v>
      </c>
      <c r="H30">
        <f t="shared" si="0"/>
        <v>93.103448275862078</v>
      </c>
      <c r="I30">
        <f t="shared" si="0"/>
        <v>119.76450849741798</v>
      </c>
    </row>
    <row r="31" spans="1:30">
      <c r="A31" s="35">
        <v>2006</v>
      </c>
      <c r="B31" s="43">
        <v>0.39200000000000002</v>
      </c>
      <c r="C31" s="394">
        <v>10.5</v>
      </c>
      <c r="D31" s="395">
        <v>4036.0763267740012</v>
      </c>
      <c r="F31" s="35">
        <v>2006</v>
      </c>
      <c r="G31">
        <f t="shared" si="0"/>
        <v>112.64367816091955</v>
      </c>
      <c r="H31">
        <f t="shared" si="0"/>
        <v>90.517241379310349</v>
      </c>
      <c r="I31">
        <f t="shared" si="0"/>
        <v>115.13035961384784</v>
      </c>
    </row>
    <row r="32" spans="1:30">
      <c r="A32" s="35">
        <v>2007</v>
      </c>
      <c r="B32" s="400">
        <v>0.39300000000000002</v>
      </c>
      <c r="C32" s="394">
        <v>9.1999999999999993</v>
      </c>
      <c r="D32" s="395">
        <v>4181.5718157181573</v>
      </c>
      <c r="F32" s="35">
        <v>2007</v>
      </c>
      <c r="G32">
        <f t="shared" si="0"/>
        <v>112.93103448275865</v>
      </c>
      <c r="H32">
        <f t="shared" si="0"/>
        <v>79.310344827586206</v>
      </c>
      <c r="I32">
        <f t="shared" si="0"/>
        <v>119.28066466462526</v>
      </c>
    </row>
    <row r="33" spans="1:28">
      <c r="A33" s="35">
        <v>2008</v>
      </c>
      <c r="B33" s="401">
        <f>B32</f>
        <v>0.39300000000000002</v>
      </c>
      <c r="C33" s="394">
        <f>C32</f>
        <v>9.1999999999999993</v>
      </c>
      <c r="D33" s="402">
        <f>D32</f>
        <v>4181.5718157181573</v>
      </c>
      <c r="F33" s="35">
        <v>2008</v>
      </c>
      <c r="G33">
        <f t="shared" si="0"/>
        <v>112.93103448275865</v>
      </c>
      <c r="H33">
        <f t="shared" si="0"/>
        <v>79.310344827586206</v>
      </c>
      <c r="I33">
        <f t="shared" si="0"/>
        <v>119.28066466462526</v>
      </c>
    </row>
    <row r="34" spans="1:28">
      <c r="Z34" s="206" t="s">
        <v>1238</v>
      </c>
    </row>
    <row r="35" spans="1:28">
      <c r="A35" s="206" t="s">
        <v>1239</v>
      </c>
    </row>
    <row r="37" spans="1:28" ht="15.75">
      <c r="AB37" s="2" t="s">
        <v>1240</v>
      </c>
    </row>
    <row r="40" spans="1:28">
      <c r="S40" t="s">
        <v>1241</v>
      </c>
    </row>
    <row r="42" spans="1:28">
      <c r="I42" t="s">
        <v>1242</v>
      </c>
    </row>
    <row r="55" spans="1:21">
      <c r="A55" t="s">
        <v>1243</v>
      </c>
    </row>
    <row r="63" spans="1:21">
      <c r="T63" s="396"/>
      <c r="U63" s="396"/>
    </row>
    <row r="64" spans="1:21">
      <c r="J64" t="s">
        <v>1244</v>
      </c>
      <c r="U64" s="396"/>
    </row>
    <row r="65" spans="1:27">
      <c r="T65" s="403"/>
      <c r="U65" s="403"/>
    </row>
    <row r="66" spans="1:27">
      <c r="U66" s="403"/>
    </row>
    <row r="67" spans="1:27">
      <c r="T67" s="396"/>
      <c r="AA67" s="403"/>
    </row>
    <row r="68" spans="1:27">
      <c r="T68" s="396"/>
      <c r="AA68" s="403"/>
    </row>
    <row r="70" spans="1:27">
      <c r="T70" s="396"/>
      <c r="U70" s="403"/>
    </row>
    <row r="72" spans="1:27">
      <c r="T72" s="396"/>
      <c r="U72" s="403"/>
    </row>
    <row r="73" spans="1:27">
      <c r="S73" s="403"/>
    </row>
    <row r="75" spans="1:27">
      <c r="T75" s="403"/>
      <c r="U75" s="403"/>
    </row>
    <row r="80" spans="1:27">
      <c r="A80" t="s">
        <v>1254</v>
      </c>
      <c r="H80" s="206" t="s">
        <v>321</v>
      </c>
    </row>
    <row r="81" spans="8:8">
      <c r="H81" s="206" t="s">
        <v>370</v>
      </c>
    </row>
    <row r="82" spans="8:8">
      <c r="H82" s="206" t="s">
        <v>371</v>
      </c>
    </row>
    <row r="83" spans="8:8">
      <c r="H83" s="206" t="s">
        <v>372</v>
      </c>
    </row>
    <row r="84" spans="8:8">
      <c r="H84" s="206" t="s">
        <v>373</v>
      </c>
    </row>
    <row r="85" spans="8:8">
      <c r="H85" s="206" t="s">
        <v>374</v>
      </c>
    </row>
    <row r="86" spans="8:8">
      <c r="H86" s="206" t="s">
        <v>375</v>
      </c>
    </row>
    <row r="87" spans="8:8">
      <c r="H87" s="206" t="s">
        <v>376</v>
      </c>
    </row>
    <row r="88" spans="8:8">
      <c r="H88" s="206" t="s">
        <v>377</v>
      </c>
    </row>
    <row r="89" spans="8:8">
      <c r="H89" s="206" t="s">
        <v>378</v>
      </c>
    </row>
    <row r="90" spans="8:8">
      <c r="H90" s="206" t="s">
        <v>379</v>
      </c>
    </row>
    <row r="103" spans="1:1" ht="15.75">
      <c r="A103" s="2" t="s">
        <v>1255</v>
      </c>
    </row>
    <row r="115" spans="2:11" ht="15.75">
      <c r="K115" s="2" t="s">
        <v>1256</v>
      </c>
    </row>
    <row r="124" spans="2:11" ht="15.75">
      <c r="B124" s="2" t="s">
        <v>1257</v>
      </c>
    </row>
    <row r="137" spans="11:11">
      <c r="K137" t="s">
        <v>1258</v>
      </c>
    </row>
    <row r="142" spans="11:11">
      <c r="K142" s="206" t="s">
        <v>1259</v>
      </c>
    </row>
    <row r="143" spans="11:11">
      <c r="K143">
        <f>'[1]7'!C9</f>
        <v>0.35326081214970839</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EH49"/>
  <sheetViews>
    <sheetView view="pageBreakPreview" zoomScaleSheetLayoutView="100" workbookViewId="0">
      <pane xSplit="1" ySplit="4" topLeftCell="BB25" activePane="bottomRight" state="frozen"/>
      <selection activeCell="E9" sqref="E9"/>
      <selection pane="topRight" activeCell="E9" sqref="E9"/>
      <selection pane="bottomLeft" activeCell="E9" sqref="E9"/>
      <selection pane="bottomRight" activeCell="E9" sqref="E9"/>
    </sheetView>
  </sheetViews>
  <sheetFormatPr defaultColWidth="8.875" defaultRowHeight="12.75"/>
  <cols>
    <col min="1" max="16384" width="8.875" style="1"/>
  </cols>
  <sheetData>
    <row r="1" spans="1:67" ht="15.75">
      <c r="B1" s="2" t="s">
        <v>142</v>
      </c>
      <c r="M1" s="2" t="s">
        <v>143</v>
      </c>
      <c r="X1" s="2" t="s">
        <v>144</v>
      </c>
      <c r="AI1" s="2" t="s">
        <v>145</v>
      </c>
      <c r="AT1" s="2" t="s">
        <v>146</v>
      </c>
      <c r="BE1" s="2" t="s">
        <v>147</v>
      </c>
    </row>
    <row r="3" spans="1:67" s="3" customFormat="1" ht="15">
      <c r="B3" s="3" t="s">
        <v>28</v>
      </c>
      <c r="M3" s="3" t="s">
        <v>32</v>
      </c>
      <c r="X3" s="3" t="s">
        <v>31</v>
      </c>
      <c r="AI3" s="3" t="s">
        <v>30</v>
      </c>
      <c r="AT3" s="3" t="s">
        <v>29</v>
      </c>
      <c r="BE3" s="3" t="s">
        <v>183</v>
      </c>
    </row>
    <row r="4" spans="1:67" s="5" customFormat="1">
      <c r="B4" s="5" t="s">
        <v>321</v>
      </c>
      <c r="C4" s="5" t="s">
        <v>449</v>
      </c>
      <c r="D4" s="5" t="s">
        <v>450</v>
      </c>
      <c r="E4" s="5" t="s">
        <v>451</v>
      </c>
      <c r="F4" s="5" t="s">
        <v>452</v>
      </c>
      <c r="G4" s="5" t="s">
        <v>453</v>
      </c>
      <c r="H4" s="5" t="s">
        <v>454</v>
      </c>
      <c r="I4" s="5" t="s">
        <v>455</v>
      </c>
      <c r="J4" s="5" t="s">
        <v>456</v>
      </c>
      <c r="K4" s="5" t="s">
        <v>457</v>
      </c>
      <c r="L4" s="5" t="s">
        <v>458</v>
      </c>
      <c r="M4" s="5" t="s">
        <v>321</v>
      </c>
      <c r="N4" s="5" t="s">
        <v>449</v>
      </c>
      <c r="O4" s="5" t="s">
        <v>450</v>
      </c>
      <c r="P4" s="5" t="s">
        <v>451</v>
      </c>
      <c r="Q4" s="5" t="s">
        <v>452</v>
      </c>
      <c r="R4" s="5" t="s">
        <v>453</v>
      </c>
      <c r="S4" s="5" t="s">
        <v>454</v>
      </c>
      <c r="T4" s="5" t="s">
        <v>455</v>
      </c>
      <c r="U4" s="5" t="s">
        <v>456</v>
      </c>
      <c r="V4" s="5" t="s">
        <v>457</v>
      </c>
      <c r="W4" s="5" t="s">
        <v>458</v>
      </c>
      <c r="X4" s="5" t="s">
        <v>321</v>
      </c>
      <c r="Y4" s="5" t="s">
        <v>449</v>
      </c>
      <c r="Z4" s="5" t="s">
        <v>450</v>
      </c>
      <c r="AA4" s="5" t="s">
        <v>451</v>
      </c>
      <c r="AB4" s="5" t="s">
        <v>452</v>
      </c>
      <c r="AC4" s="5" t="s">
        <v>453</v>
      </c>
      <c r="AD4" s="5" t="s">
        <v>454</v>
      </c>
      <c r="AE4" s="5" t="s">
        <v>455</v>
      </c>
      <c r="AF4" s="5" t="s">
        <v>456</v>
      </c>
      <c r="AG4" s="5" t="s">
        <v>457</v>
      </c>
      <c r="AH4" s="5" t="s">
        <v>458</v>
      </c>
      <c r="AI4" s="5" t="s">
        <v>321</v>
      </c>
      <c r="AJ4" s="5" t="s">
        <v>449</v>
      </c>
      <c r="AK4" s="5" t="s">
        <v>450</v>
      </c>
      <c r="AL4" s="5" t="s">
        <v>451</v>
      </c>
      <c r="AM4" s="5" t="s">
        <v>452</v>
      </c>
      <c r="AN4" s="5" t="s">
        <v>453</v>
      </c>
      <c r="AO4" s="5" t="s">
        <v>454</v>
      </c>
      <c r="AP4" s="5" t="s">
        <v>455</v>
      </c>
      <c r="AQ4" s="5" t="s">
        <v>456</v>
      </c>
      <c r="AR4" s="5" t="s">
        <v>457</v>
      </c>
      <c r="AS4" s="5" t="s">
        <v>458</v>
      </c>
      <c r="AT4" s="5" t="s">
        <v>321</v>
      </c>
      <c r="AU4" s="5" t="s">
        <v>449</v>
      </c>
      <c r="AV4" s="5" t="s">
        <v>450</v>
      </c>
      <c r="AW4" s="5" t="s">
        <v>451</v>
      </c>
      <c r="AX4" s="5" t="s">
        <v>452</v>
      </c>
      <c r="AY4" s="5" t="s">
        <v>453</v>
      </c>
      <c r="AZ4" s="5" t="s">
        <v>454</v>
      </c>
      <c r="BA4" s="5" t="s">
        <v>455</v>
      </c>
      <c r="BB4" s="5" t="s">
        <v>456</v>
      </c>
      <c r="BC4" s="5" t="s">
        <v>457</v>
      </c>
      <c r="BD4" s="5" t="s">
        <v>458</v>
      </c>
      <c r="BE4" s="5" t="s">
        <v>321</v>
      </c>
      <c r="BF4" s="5" t="s">
        <v>449</v>
      </c>
      <c r="BG4" s="5" t="s">
        <v>450</v>
      </c>
      <c r="BH4" s="5" t="s">
        <v>451</v>
      </c>
      <c r="BI4" s="5" t="s">
        <v>452</v>
      </c>
      <c r="BJ4" s="5" t="s">
        <v>453</v>
      </c>
      <c r="BK4" s="5" t="s">
        <v>454</v>
      </c>
      <c r="BL4" s="5" t="s">
        <v>455</v>
      </c>
      <c r="BM4" s="5" t="s">
        <v>456</v>
      </c>
      <c r="BN4" s="5" t="s">
        <v>457</v>
      </c>
      <c r="BO4" s="5" t="s">
        <v>458</v>
      </c>
    </row>
    <row r="5" spans="1:67" hidden="1">
      <c r="A5" s="1">
        <v>1971</v>
      </c>
      <c r="B5" s="9">
        <f>'9'!B8</f>
        <v>9.286072550406746E-2</v>
      </c>
      <c r="C5" s="9">
        <f>'9'!J8</f>
        <v>-1.2416360431895312E-2</v>
      </c>
      <c r="D5" s="9">
        <f>'9'!R8</f>
        <v>6.2557182280176912E-2</v>
      </c>
      <c r="E5" s="9">
        <f>'9'!Z8</f>
        <v>0.10115269880784397</v>
      </c>
      <c r="F5" s="9">
        <f>'9'!AH8</f>
        <v>3.5682580310753394E-2</v>
      </c>
      <c r="G5" s="9">
        <f>'9'!AP8</f>
        <v>5.6224012902191242E-2</v>
      </c>
      <c r="H5" s="9">
        <f>'9'!AX8</f>
        <v>0.17118963708997967</v>
      </c>
      <c r="I5" s="9">
        <f>'9'!BF8</f>
        <v>0.1266627610322468</v>
      </c>
      <c r="J5" s="9">
        <f>'9'!BN8</f>
        <v>1.3077925063923111E-2</v>
      </c>
      <c r="K5" s="9">
        <f>'9'!BV8</f>
        <v>0.12164088674446942</v>
      </c>
      <c r="L5" s="9">
        <f>'9'!CD8</f>
        <v>0.13780551677973304</v>
      </c>
      <c r="M5" s="9">
        <f>'9'!D8</f>
        <v>0.18222616585167906</v>
      </c>
      <c r="N5" s="9">
        <f>'9'!L8</f>
        <v>0.13783193796692461</v>
      </c>
      <c r="O5" s="9">
        <f>'9'!T8</f>
        <v>6.5786261073974367E-2</v>
      </c>
      <c r="P5" s="9">
        <f>'9'!AB8</f>
        <v>0.10973413383196122</v>
      </c>
      <c r="Q5" s="9">
        <f>'9'!AJ8</f>
        <v>0.11807951407484041</v>
      </c>
      <c r="R5" s="9">
        <f>'9'!AR8</f>
        <v>0.15785953627863655</v>
      </c>
      <c r="S5" s="9">
        <f>'9'!AZ8</f>
        <v>0.15969280418157433</v>
      </c>
      <c r="T5" s="9">
        <f>'9'!BH8</f>
        <v>0.21607209009362854</v>
      </c>
      <c r="U5" s="9">
        <f>'9'!BP8</f>
        <v>0.30657179370537407</v>
      </c>
      <c r="V5" s="9">
        <f>'9'!BX8</f>
        <v>0.2415980883363375</v>
      </c>
      <c r="W5" s="9">
        <f>'9'!CF8</f>
        <v>0.26908540722552432</v>
      </c>
      <c r="X5" s="9">
        <f>'9'!F8</f>
        <v>-46.459539597108417</v>
      </c>
      <c r="Y5" s="9">
        <f>'9'!N8</f>
        <v>-87.44282039190017</v>
      </c>
      <c r="Z5" s="9">
        <f>'9'!V8</f>
        <v>-73.855883474873721</v>
      </c>
      <c r="AA5" s="9">
        <f>'9'!AD8</f>
        <v>-51.230603824914851</v>
      </c>
      <c r="AB5" s="9">
        <f>'9'!AL8</f>
        <v>-61.037687169951042</v>
      </c>
      <c r="AC5" s="9">
        <f>'9'!AT8</f>
        <v>-41.292861930799653</v>
      </c>
      <c r="AD5" s="9">
        <f>'9'!BB8</f>
        <v>-41.269291869468965</v>
      </c>
      <c r="AE5" s="9">
        <f>'9'!BJ8</f>
        <v>-61.228690455242877</v>
      </c>
      <c r="AF5" s="9">
        <f>'9'!BR8</f>
        <v>-62.175584769885326</v>
      </c>
      <c r="AG5" s="9">
        <f>'9'!BZ8</f>
        <v>-52.036767110410516</v>
      </c>
      <c r="AH5" s="9">
        <f>'9'!CH8</f>
        <v>-46.326652926995003</v>
      </c>
      <c r="AI5" s="9" t="e">
        <f>'9'!G8</f>
        <v>#REF!</v>
      </c>
      <c r="AJ5" s="9" t="e">
        <f>'9'!O8</f>
        <v>#REF!</v>
      </c>
      <c r="AK5" s="9" t="e">
        <f>'9'!W8</f>
        <v>#REF!</v>
      </c>
      <c r="AL5" s="9" t="e">
        <f>'9'!AE8</f>
        <v>#REF!</v>
      </c>
      <c r="AM5" s="9" t="e">
        <f>'9'!AM8</f>
        <v>#REF!</v>
      </c>
      <c r="AN5" s="9" t="e">
        <f>'9'!AU8</f>
        <v>#REF!</v>
      </c>
      <c r="AO5" s="9" t="e">
        <f>'9'!BC8</f>
        <v>#REF!</v>
      </c>
      <c r="AP5" s="9" t="e">
        <f>'9'!BK8</f>
        <v>#REF!</v>
      </c>
      <c r="AQ5" s="9" t="e">
        <f>'9'!BS8</f>
        <v>#REF!</v>
      </c>
      <c r="AR5" s="9" t="e">
        <f>'9'!CA8</f>
        <v>#REF!</v>
      </c>
      <c r="AS5" s="9" t="e">
        <f>'9'!CI8</f>
        <v>#REF!</v>
      </c>
      <c r="AT5" s="9" t="e">
        <f>'9'!H8</f>
        <v>#REF!</v>
      </c>
      <c r="AU5" s="9" t="e">
        <f>'9'!P8</f>
        <v>#REF!</v>
      </c>
      <c r="AV5" s="9" t="e">
        <f>'9'!X8</f>
        <v>#REF!</v>
      </c>
      <c r="AW5" s="9" t="e">
        <f>'9'!AF8</f>
        <v>#REF!</v>
      </c>
      <c r="AX5" s="9" t="e">
        <f>'9'!AN8</f>
        <v>#REF!</v>
      </c>
      <c r="AY5" s="9" t="e">
        <f>'9'!AV8</f>
        <v>#REF!</v>
      </c>
      <c r="AZ5" s="9" t="e">
        <f>'9'!BD8</f>
        <v>#REF!</v>
      </c>
      <c r="BA5" s="9" t="e">
        <f>'9'!BL8</f>
        <v>#REF!</v>
      </c>
      <c r="BB5" s="9" t="e">
        <f>'9'!BT8</f>
        <v>#REF!</v>
      </c>
      <c r="BC5" s="9" t="e">
        <f>'9'!CB8</f>
        <v>#REF!</v>
      </c>
      <c r="BD5" s="9" t="e">
        <f>'9'!CJ8</f>
        <v>#REF!</v>
      </c>
      <c r="BE5" s="9" t="e">
        <f>'10'!H8</f>
        <v>#REF!</v>
      </c>
      <c r="BF5" s="9" t="e">
        <f>'10'!P8</f>
        <v>#REF!</v>
      </c>
      <c r="BG5" s="9" t="e">
        <f>'10'!X8</f>
        <v>#REF!</v>
      </c>
      <c r="BH5" s="9" t="e">
        <f>'10'!AF8</f>
        <v>#REF!</v>
      </c>
      <c r="BI5" s="9" t="e">
        <f>'10'!AN8</f>
        <v>#REF!</v>
      </c>
      <c r="BJ5" s="9" t="e">
        <f>'10'!AV8</f>
        <v>#REF!</v>
      </c>
      <c r="BK5" s="9" t="e">
        <f>'10'!BD8</f>
        <v>#REF!</v>
      </c>
      <c r="BL5" s="9" t="e">
        <f>'10'!BL8</f>
        <v>#REF!</v>
      </c>
      <c r="BM5" s="9" t="e">
        <f>'10'!BT8</f>
        <v>#REF!</v>
      </c>
      <c r="BN5" s="9" t="e">
        <f>'10'!CB8</f>
        <v>#REF!</v>
      </c>
      <c r="BO5" s="9" t="e">
        <f>'10'!CJ8</f>
        <v>#REF!</v>
      </c>
    </row>
    <row r="6" spans="1:67" hidden="1">
      <c r="A6" s="1">
        <v>1972</v>
      </c>
      <c r="B6" s="9">
        <f>'9'!B9</f>
        <v>0.11701940637881059</v>
      </c>
      <c r="C6" s="9">
        <f>'9'!J9</f>
        <v>2.5894125630057758E-3</v>
      </c>
      <c r="D6" s="9">
        <f>'9'!R9</f>
        <v>8.9395039799158638E-2</v>
      </c>
      <c r="E6" s="9">
        <f>'9'!Z9</f>
        <v>0.11779214078635432</v>
      </c>
      <c r="F6" s="9">
        <f>'9'!AH9</f>
        <v>4.5322110922740022E-2</v>
      </c>
      <c r="G6" s="9">
        <f>'9'!AP9</f>
        <v>7.9451696223627369E-2</v>
      </c>
      <c r="H6" s="9">
        <f>'9'!AX9</f>
        <v>0.19490336844051109</v>
      </c>
      <c r="I6" s="9">
        <f>'9'!BF9</f>
        <v>0.14764483322259325</v>
      </c>
      <c r="J6" s="9">
        <f>'9'!BN9</f>
        <v>4.7271215409419448E-2</v>
      </c>
      <c r="K6" s="9">
        <f>'9'!BV9</f>
        <v>0.15091165735650389</v>
      </c>
      <c r="L6" s="9">
        <f>'9'!CD9</f>
        <v>0.16746903410538064</v>
      </c>
      <c r="M6" s="9">
        <f>'9'!D9</f>
        <v>0.18446376732384434</v>
      </c>
      <c r="N6" s="9">
        <f>'9'!L9</f>
        <v>0.13896666149846171</v>
      </c>
      <c r="O6" s="9">
        <f>'9'!T9</f>
        <v>6.7713291953682697E-2</v>
      </c>
      <c r="P6" s="9">
        <f>'9'!AB9</f>
        <v>0.11111257190512831</v>
      </c>
      <c r="Q6" s="9">
        <f>'9'!AJ9</f>
        <v>0.11808227942356452</v>
      </c>
      <c r="R6" s="9">
        <f>'9'!AR9</f>
        <v>0.16060116109357234</v>
      </c>
      <c r="S6" s="9">
        <f>'9'!AZ9</f>
        <v>0.16194006716399267</v>
      </c>
      <c r="T6" s="9">
        <f>'9'!BH9</f>
        <v>0.21773206200284898</v>
      </c>
      <c r="U6" s="9">
        <f>'9'!BP9</f>
        <v>0.30311238567460042</v>
      </c>
      <c r="V6" s="9">
        <f>'9'!BX9</f>
        <v>0.24106852498669612</v>
      </c>
      <c r="W6" s="9">
        <f>'9'!CF9</f>
        <v>0.26989759491711973</v>
      </c>
      <c r="X6" s="9">
        <f>'9'!F9</f>
        <v>-46.459539597108417</v>
      </c>
      <c r="Y6" s="9">
        <f>'9'!N9</f>
        <v>-87.44282039190017</v>
      </c>
      <c r="Z6" s="9">
        <f>'9'!V9</f>
        <v>-73.855883474873721</v>
      </c>
      <c r="AA6" s="9">
        <f>'9'!AD9</f>
        <v>-51.230603824914851</v>
      </c>
      <c r="AB6" s="9">
        <f>'9'!AL9</f>
        <v>-61.037687169951042</v>
      </c>
      <c r="AC6" s="9">
        <f>'9'!AT9</f>
        <v>-41.292861930799653</v>
      </c>
      <c r="AD6" s="9">
        <f>'9'!BB9</f>
        <v>-41.269291869468965</v>
      </c>
      <c r="AE6" s="9">
        <f>'9'!BJ9</f>
        <v>-61.228690455242877</v>
      </c>
      <c r="AF6" s="9">
        <f>'9'!BR9</f>
        <v>-62.175584769885326</v>
      </c>
      <c r="AG6" s="9">
        <f>'9'!BZ9</f>
        <v>-52.036767110410516</v>
      </c>
      <c r="AH6" s="9">
        <f>'9'!CH9</f>
        <v>-46.326652926995003</v>
      </c>
      <c r="AI6" s="9" t="e">
        <f>'9'!G9</f>
        <v>#REF!</v>
      </c>
      <c r="AJ6" s="9" t="e">
        <f>'9'!O9</f>
        <v>#REF!</v>
      </c>
      <c r="AK6" s="9" t="e">
        <f>'9'!W9</f>
        <v>#REF!</v>
      </c>
      <c r="AL6" s="9" t="e">
        <f>'9'!AE9</f>
        <v>#REF!</v>
      </c>
      <c r="AM6" s="9" t="e">
        <f>'9'!AM9</f>
        <v>#REF!</v>
      </c>
      <c r="AN6" s="9" t="e">
        <f>'9'!AU9</f>
        <v>#REF!</v>
      </c>
      <c r="AO6" s="9" t="e">
        <f>'9'!BC9</f>
        <v>#REF!</v>
      </c>
      <c r="AP6" s="9" t="e">
        <f>'9'!BK9</f>
        <v>#REF!</v>
      </c>
      <c r="AQ6" s="9" t="e">
        <f>'9'!BS9</f>
        <v>#REF!</v>
      </c>
      <c r="AR6" s="9" t="e">
        <f>'9'!CA9</f>
        <v>#REF!</v>
      </c>
      <c r="AS6" s="9" t="e">
        <f>'9'!CI9</f>
        <v>#REF!</v>
      </c>
      <c r="AT6" s="9" t="e">
        <f>'9'!H9</f>
        <v>#REF!</v>
      </c>
      <c r="AU6" s="9" t="e">
        <f>'9'!P9</f>
        <v>#REF!</v>
      </c>
      <c r="AV6" s="9" t="e">
        <f>'9'!X9</f>
        <v>#REF!</v>
      </c>
      <c r="AW6" s="9" t="e">
        <f>'9'!AF9</f>
        <v>#REF!</v>
      </c>
      <c r="AX6" s="9" t="e">
        <f>'9'!AN9</f>
        <v>#REF!</v>
      </c>
      <c r="AY6" s="9" t="e">
        <f>'9'!AV9</f>
        <v>#REF!</v>
      </c>
      <c r="AZ6" s="9" t="e">
        <f>'9'!BD9</f>
        <v>#REF!</v>
      </c>
      <c r="BA6" s="9" t="e">
        <f>'9'!BL9</f>
        <v>#REF!</v>
      </c>
      <c r="BB6" s="9" t="e">
        <f>'9'!BT9</f>
        <v>#REF!</v>
      </c>
      <c r="BC6" s="9" t="e">
        <f>'9'!CB9</f>
        <v>#REF!</v>
      </c>
      <c r="BD6" s="9" t="e">
        <f>'9'!CJ9</f>
        <v>#REF!</v>
      </c>
      <c r="BE6" s="9" t="e">
        <f>'10'!H9</f>
        <v>#REF!</v>
      </c>
      <c r="BF6" s="9" t="e">
        <f>'10'!P9</f>
        <v>#REF!</v>
      </c>
      <c r="BG6" s="9" t="e">
        <f>'10'!X9</f>
        <v>#REF!</v>
      </c>
      <c r="BH6" s="9" t="e">
        <f>'10'!AF9</f>
        <v>#REF!</v>
      </c>
      <c r="BI6" s="9" t="e">
        <f>'10'!AN9</f>
        <v>#REF!</v>
      </c>
      <c r="BJ6" s="9" t="e">
        <f>'10'!AV9</f>
        <v>#REF!</v>
      </c>
      <c r="BK6" s="9" t="e">
        <f>'10'!BD9</f>
        <v>#REF!</v>
      </c>
      <c r="BL6" s="9" t="e">
        <f>'10'!BL9</f>
        <v>#REF!</v>
      </c>
      <c r="BM6" s="9" t="e">
        <f>'10'!BT9</f>
        <v>#REF!</v>
      </c>
      <c r="BN6" s="9" t="e">
        <f>'10'!CB9</f>
        <v>#REF!</v>
      </c>
      <c r="BO6" s="9" t="e">
        <f>'10'!CJ9</f>
        <v>#REF!</v>
      </c>
    </row>
    <row r="7" spans="1:67" hidden="1">
      <c r="A7" s="1">
        <v>1973</v>
      </c>
      <c r="B7" s="9">
        <f>'9'!B10</f>
        <v>0.14042456734718101</v>
      </c>
      <c r="C7" s="9">
        <f>'9'!J10</f>
        <v>2.5739830537903206E-2</v>
      </c>
      <c r="D7" s="9">
        <f>'9'!R10</f>
        <v>0.13012305695109949</v>
      </c>
      <c r="E7" s="9">
        <f>'9'!Z10</f>
        <v>0.1451847564371459</v>
      </c>
      <c r="F7" s="9">
        <f>'9'!AH10</f>
        <v>5.2927324606308376E-2</v>
      </c>
      <c r="G7" s="9">
        <f>'9'!AP10</f>
        <v>0.11517841301717084</v>
      </c>
      <c r="H7" s="9">
        <f>'9'!AX10</f>
        <v>0.22066435838334109</v>
      </c>
      <c r="I7" s="9">
        <f>'9'!BF10</f>
        <v>0.17549003198845856</v>
      </c>
      <c r="J7" s="9">
        <f>'9'!BN10</f>
        <v>7.6673146900038541E-2</v>
      </c>
      <c r="K7" s="9">
        <f>'9'!BV10</f>
        <v>0.19048774376849695</v>
      </c>
      <c r="L7" s="9">
        <f>'9'!CD10</f>
        <v>0.20138348001919087</v>
      </c>
      <c r="M7" s="9">
        <f>'9'!D10</f>
        <v>0.1879740233961798</v>
      </c>
      <c r="N7" s="9">
        <f>'9'!L10</f>
        <v>0.13950414057840363</v>
      </c>
      <c r="O7" s="9">
        <f>'9'!T10</f>
        <v>7.3241703614914236E-2</v>
      </c>
      <c r="P7" s="9">
        <f>'9'!AB10</f>
        <v>0.11460129379679383</v>
      </c>
      <c r="Q7" s="9">
        <f>'9'!AJ10</f>
        <v>0.1219471156694063</v>
      </c>
      <c r="R7" s="9">
        <f>'9'!AR10</f>
        <v>0.16505726305514878</v>
      </c>
      <c r="S7" s="9">
        <f>'9'!AZ10</f>
        <v>0.165522488513411</v>
      </c>
      <c r="T7" s="9">
        <f>'9'!BH10</f>
        <v>0.22000816179587743</v>
      </c>
      <c r="U7" s="9">
        <f>'9'!BP10</f>
        <v>0.30480393190451716</v>
      </c>
      <c r="V7" s="9">
        <f>'9'!BX10</f>
        <v>0.26933007881023613</v>
      </c>
      <c r="W7" s="9">
        <f>'9'!CF10</f>
        <v>0.27626040124614148</v>
      </c>
      <c r="X7" s="9">
        <f>'9'!F10</f>
        <v>-46.459539597108417</v>
      </c>
      <c r="Y7" s="9">
        <f>'9'!N10</f>
        <v>-87.44282039190017</v>
      </c>
      <c r="Z7" s="9">
        <f>'9'!V10</f>
        <v>-73.855883474873721</v>
      </c>
      <c r="AA7" s="9">
        <f>'9'!AD10</f>
        <v>-51.230603824914851</v>
      </c>
      <c r="AB7" s="9">
        <f>'9'!AL10</f>
        <v>-61.037687169951042</v>
      </c>
      <c r="AC7" s="9">
        <f>'9'!AT10</f>
        <v>-41.292861930799653</v>
      </c>
      <c r="AD7" s="9">
        <f>'9'!BB10</f>
        <v>-41.269291869468965</v>
      </c>
      <c r="AE7" s="9">
        <f>'9'!BJ10</f>
        <v>-61.228690455242877</v>
      </c>
      <c r="AF7" s="9">
        <f>'9'!BR10</f>
        <v>-62.175584769885326</v>
      </c>
      <c r="AG7" s="9">
        <f>'9'!BZ10</f>
        <v>-52.036767110410516</v>
      </c>
      <c r="AH7" s="9">
        <f>'9'!CH10</f>
        <v>-46.326652926995003</v>
      </c>
      <c r="AI7" s="9" t="e">
        <f>'9'!G10</f>
        <v>#REF!</v>
      </c>
      <c r="AJ7" s="9" t="e">
        <f>'9'!O10</f>
        <v>#REF!</v>
      </c>
      <c r="AK7" s="9" t="e">
        <f>'9'!W10</f>
        <v>#REF!</v>
      </c>
      <c r="AL7" s="9" t="e">
        <f>'9'!AE10</f>
        <v>#REF!</v>
      </c>
      <c r="AM7" s="9" t="e">
        <f>'9'!AM10</f>
        <v>#REF!</v>
      </c>
      <c r="AN7" s="9" t="e">
        <f>'9'!AU10</f>
        <v>#REF!</v>
      </c>
      <c r="AO7" s="9" t="e">
        <f>'9'!BC10</f>
        <v>#REF!</v>
      </c>
      <c r="AP7" s="9" t="e">
        <f>'9'!BK10</f>
        <v>#REF!</v>
      </c>
      <c r="AQ7" s="9" t="e">
        <f>'9'!BS10</f>
        <v>#REF!</v>
      </c>
      <c r="AR7" s="9" t="e">
        <f>'9'!CA10</f>
        <v>#REF!</v>
      </c>
      <c r="AS7" s="9" t="e">
        <f>'9'!CI10</f>
        <v>#REF!</v>
      </c>
      <c r="AT7" s="9" t="e">
        <f>'9'!H10</f>
        <v>#REF!</v>
      </c>
      <c r="AU7" s="9" t="e">
        <f>'9'!P10</f>
        <v>#REF!</v>
      </c>
      <c r="AV7" s="9" t="e">
        <f>'9'!X10</f>
        <v>#REF!</v>
      </c>
      <c r="AW7" s="9" t="e">
        <f>'9'!AF10</f>
        <v>#REF!</v>
      </c>
      <c r="AX7" s="9" t="e">
        <f>'9'!AN10</f>
        <v>#REF!</v>
      </c>
      <c r="AY7" s="9" t="e">
        <f>'9'!AV10</f>
        <v>#REF!</v>
      </c>
      <c r="AZ7" s="9" t="e">
        <f>'9'!BD10</f>
        <v>#REF!</v>
      </c>
      <c r="BA7" s="9" t="e">
        <f>'9'!BL10</f>
        <v>#REF!</v>
      </c>
      <c r="BB7" s="9" t="e">
        <f>'9'!BT10</f>
        <v>#REF!</v>
      </c>
      <c r="BC7" s="9" t="e">
        <f>'9'!CB10</f>
        <v>#REF!</v>
      </c>
      <c r="BD7" s="9" t="e">
        <f>'9'!CJ10</f>
        <v>#REF!</v>
      </c>
      <c r="BE7" s="9" t="e">
        <f>'10'!H10</f>
        <v>#REF!</v>
      </c>
      <c r="BF7" s="9" t="e">
        <f>'10'!P10</f>
        <v>#REF!</v>
      </c>
      <c r="BG7" s="9" t="e">
        <f>'10'!X10</f>
        <v>#REF!</v>
      </c>
      <c r="BH7" s="9" t="e">
        <f>'10'!AF10</f>
        <v>#REF!</v>
      </c>
      <c r="BI7" s="9" t="e">
        <f>'10'!AN10</f>
        <v>#REF!</v>
      </c>
      <c r="BJ7" s="9" t="e">
        <f>'10'!AV10</f>
        <v>#REF!</v>
      </c>
      <c r="BK7" s="9" t="e">
        <f>'10'!BD10</f>
        <v>#REF!</v>
      </c>
      <c r="BL7" s="9" t="e">
        <f>'10'!BL10</f>
        <v>#REF!</v>
      </c>
      <c r="BM7" s="9" t="e">
        <f>'10'!BT10</f>
        <v>#REF!</v>
      </c>
      <c r="BN7" s="9" t="e">
        <f>'10'!CB10</f>
        <v>#REF!</v>
      </c>
      <c r="BO7" s="9" t="e">
        <f>'10'!CJ10</f>
        <v>#REF!</v>
      </c>
    </row>
    <row r="8" spans="1:67" hidden="1">
      <c r="A8" s="1">
        <v>1974</v>
      </c>
      <c r="B8" s="9">
        <f>'9'!B11</f>
        <v>0.15667009511655916</v>
      </c>
      <c r="C8" s="9">
        <f>'9'!J11</f>
        <v>5.7303145352137402E-2</v>
      </c>
      <c r="D8" s="9">
        <f>'9'!R11</f>
        <v>0.15674721092182259</v>
      </c>
      <c r="E8" s="9">
        <f>'9'!Z11</f>
        <v>0.18141872196920064</v>
      </c>
      <c r="F8" s="9">
        <f>'9'!AH11</f>
        <v>7.4120690290924676E-2</v>
      </c>
      <c r="G8" s="9">
        <f>'9'!AP11</f>
        <v>0.1370364837946457</v>
      </c>
      <c r="H8" s="9">
        <f>'9'!AX11</f>
        <v>0.24697777184003003</v>
      </c>
      <c r="I8" s="9">
        <f>'9'!BF11</f>
        <v>0.20600645308420301</v>
      </c>
      <c r="J8" s="9">
        <f>'9'!BN11</f>
        <v>0.13695212040339574</v>
      </c>
      <c r="K8" s="9">
        <f>'9'!BV11</f>
        <v>0.23851755972165808</v>
      </c>
      <c r="L8" s="9">
        <f>'9'!CD11</f>
        <v>0.24645220588302014</v>
      </c>
      <c r="M8" s="9">
        <f>'9'!D11</f>
        <v>0.19036063609921283</v>
      </c>
      <c r="N8" s="9">
        <f>'9'!L11</f>
        <v>0.14152999978354736</v>
      </c>
      <c r="O8" s="9">
        <f>'9'!T11</f>
        <v>7.6205404211708974E-2</v>
      </c>
      <c r="P8" s="9">
        <f>'9'!AB11</f>
        <v>0.11796817052604915</v>
      </c>
      <c r="Q8" s="9">
        <f>'9'!AJ11</f>
        <v>0.13470367282978349</v>
      </c>
      <c r="R8" s="9">
        <f>'9'!AR11</f>
        <v>0.17021454062564204</v>
      </c>
      <c r="S8" s="9">
        <f>'9'!AZ11</f>
        <v>0.16936964928392917</v>
      </c>
      <c r="T8" s="9">
        <f>'9'!BH11</f>
        <v>0.22169947193785583</v>
      </c>
      <c r="U8" s="9">
        <f>'9'!BP11</f>
        <v>0.30798845645659978</v>
      </c>
      <c r="V8" s="9">
        <f>'9'!BX11</f>
        <v>0.33996310890536313</v>
      </c>
      <c r="W8" s="9">
        <f>'9'!CF11</f>
        <v>0.27309027700476329</v>
      </c>
      <c r="X8" s="9">
        <f>'9'!F11</f>
        <v>-46.457663086515652</v>
      </c>
      <c r="Y8" s="9">
        <f>'9'!N11</f>
        <v>-87.439966198175895</v>
      </c>
      <c r="Z8" s="9">
        <f>'9'!V11</f>
        <v>-73.844297223950846</v>
      </c>
      <c r="AA8" s="9">
        <f>'9'!AD11</f>
        <v>-51.22519050547529</v>
      </c>
      <c r="AB8" s="9">
        <f>'9'!AL11</f>
        <v>-61.041362834804609</v>
      </c>
      <c r="AC8" s="9">
        <f>'9'!AT11</f>
        <v>-41.28140434669389</v>
      </c>
      <c r="AD8" s="9">
        <f>'9'!BB11</f>
        <v>-41.266663016901475</v>
      </c>
      <c r="AE8" s="9">
        <f>'9'!BJ11</f>
        <v>-61.219915101696678</v>
      </c>
      <c r="AF8" s="9">
        <f>'9'!BR11</f>
        <v>-62.194542448042029</v>
      </c>
      <c r="AG8" s="9">
        <f>'9'!BZ11</f>
        <v>-52.058527021079009</v>
      </c>
      <c r="AH8" s="9">
        <f>'9'!CH11</f>
        <v>-46.344817049310002</v>
      </c>
      <c r="AI8" s="9" t="e">
        <f>'9'!G11</f>
        <v>#REF!</v>
      </c>
      <c r="AJ8" s="9" t="e">
        <f>'9'!O11</f>
        <v>#REF!</v>
      </c>
      <c r="AK8" s="9" t="e">
        <f>'9'!W11</f>
        <v>#REF!</v>
      </c>
      <c r="AL8" s="9" t="e">
        <f>'9'!AE11</f>
        <v>#REF!</v>
      </c>
      <c r="AM8" s="9" t="e">
        <f>'9'!AM11</f>
        <v>#REF!</v>
      </c>
      <c r="AN8" s="9" t="e">
        <f>'9'!AU11</f>
        <v>#REF!</v>
      </c>
      <c r="AO8" s="9" t="e">
        <f>'9'!BC11</f>
        <v>#REF!</v>
      </c>
      <c r="AP8" s="9" t="e">
        <f>'9'!BK11</f>
        <v>#REF!</v>
      </c>
      <c r="AQ8" s="9" t="e">
        <f>'9'!BS11</f>
        <v>#REF!</v>
      </c>
      <c r="AR8" s="9" t="e">
        <f>'9'!CA11</f>
        <v>#REF!</v>
      </c>
      <c r="AS8" s="9" t="e">
        <f>'9'!CI11</f>
        <v>#REF!</v>
      </c>
      <c r="AT8" s="9" t="e">
        <f>'9'!H11</f>
        <v>#REF!</v>
      </c>
      <c r="AU8" s="9" t="e">
        <f>'9'!P11</f>
        <v>#REF!</v>
      </c>
      <c r="AV8" s="9" t="e">
        <f>'9'!X11</f>
        <v>#REF!</v>
      </c>
      <c r="AW8" s="9" t="e">
        <f>'9'!AF11</f>
        <v>#REF!</v>
      </c>
      <c r="AX8" s="9" t="e">
        <f>'9'!AN11</f>
        <v>#REF!</v>
      </c>
      <c r="AY8" s="9" t="e">
        <f>'9'!AV11</f>
        <v>#REF!</v>
      </c>
      <c r="AZ8" s="9" t="e">
        <f>'9'!BD11</f>
        <v>#REF!</v>
      </c>
      <c r="BA8" s="9" t="e">
        <f>'9'!BL11</f>
        <v>#REF!</v>
      </c>
      <c r="BB8" s="9" t="e">
        <f>'9'!BT11</f>
        <v>#REF!</v>
      </c>
      <c r="BC8" s="9" t="e">
        <f>'9'!CB11</f>
        <v>#REF!</v>
      </c>
      <c r="BD8" s="9" t="e">
        <f>'9'!CJ11</f>
        <v>#REF!</v>
      </c>
      <c r="BE8" s="9" t="e">
        <f>'10'!H11</f>
        <v>#REF!</v>
      </c>
      <c r="BF8" s="9" t="e">
        <f>'10'!P11</f>
        <v>#REF!</v>
      </c>
      <c r="BG8" s="9" t="e">
        <f>'10'!X11</f>
        <v>#REF!</v>
      </c>
      <c r="BH8" s="9" t="e">
        <f>'10'!AF11</f>
        <v>#REF!</v>
      </c>
      <c r="BI8" s="9" t="e">
        <f>'10'!AN11</f>
        <v>#REF!</v>
      </c>
      <c r="BJ8" s="9" t="e">
        <f>'10'!AV11</f>
        <v>#REF!</v>
      </c>
      <c r="BK8" s="9" t="e">
        <f>'10'!BD11</f>
        <v>#REF!</v>
      </c>
      <c r="BL8" s="9" t="e">
        <f>'10'!BL11</f>
        <v>#REF!</v>
      </c>
      <c r="BM8" s="9" t="e">
        <f>'10'!BT11</f>
        <v>#REF!</v>
      </c>
      <c r="BN8" s="9" t="e">
        <f>'10'!CB11</f>
        <v>#REF!</v>
      </c>
      <c r="BO8" s="9" t="e">
        <f>'10'!CJ11</f>
        <v>#REF!</v>
      </c>
    </row>
    <row r="9" spans="1:67" hidden="1">
      <c r="A9" s="1">
        <v>1975</v>
      </c>
      <c r="B9" s="9">
        <f>'9'!B12</f>
        <v>0.17627869346084327</v>
      </c>
      <c r="C9" s="9">
        <f>'9'!J12</f>
        <v>8.1780805350767524E-2</v>
      </c>
      <c r="D9" s="9">
        <f>'9'!R12</f>
        <v>0.19233748999705619</v>
      </c>
      <c r="E9" s="9">
        <f>'9'!Z12</f>
        <v>0.20252667241918984</v>
      </c>
      <c r="F9" s="9">
        <f>'9'!AH12</f>
        <v>0.10072057943871146</v>
      </c>
      <c r="G9" s="9">
        <f>'9'!AP12</f>
        <v>0.16010866461186965</v>
      </c>
      <c r="H9" s="9">
        <f>'9'!AX12</f>
        <v>0.27348310403594156</v>
      </c>
      <c r="I9" s="9">
        <f>'9'!BF12</f>
        <v>0.22382835048391519</v>
      </c>
      <c r="J9" s="9">
        <f>'9'!BN12</f>
        <v>0.19026976059198314</v>
      </c>
      <c r="K9" s="9">
        <f>'9'!BV12</f>
        <v>0.28885023544913124</v>
      </c>
      <c r="L9" s="9">
        <f>'9'!CD12</f>
        <v>0.27596989850844073</v>
      </c>
      <c r="M9" s="9">
        <f>'9'!D12</f>
        <v>0.1915218716260664</v>
      </c>
      <c r="N9" s="9">
        <f>'9'!L12</f>
        <v>0.13899596912834475</v>
      </c>
      <c r="O9" s="9">
        <f>'9'!T12</f>
        <v>7.7454191193426461E-2</v>
      </c>
      <c r="P9" s="9">
        <f>'9'!AB12</f>
        <v>0.11906144780304653</v>
      </c>
      <c r="Q9" s="9">
        <f>'9'!AJ12</f>
        <v>0.1408775998370807</v>
      </c>
      <c r="R9" s="9">
        <f>'9'!AR12</f>
        <v>0.17341672314485557</v>
      </c>
      <c r="S9" s="9">
        <f>'9'!AZ12</f>
        <v>0.17059700118734988</v>
      </c>
      <c r="T9" s="9">
        <f>'9'!BH12</f>
        <v>0.22232355051983427</v>
      </c>
      <c r="U9" s="9">
        <f>'9'!BP12</f>
        <v>0.30331827630138131</v>
      </c>
      <c r="V9" s="9">
        <f>'9'!BX12</f>
        <v>0.37861369303241471</v>
      </c>
      <c r="W9" s="9">
        <f>'9'!CF12</f>
        <v>0.266553346803238</v>
      </c>
      <c r="X9" s="9">
        <f>'9'!F12</f>
        <v>-46.455786575922893</v>
      </c>
      <c r="Y9" s="9">
        <f>'9'!N12</f>
        <v>-87.43711200445162</v>
      </c>
      <c r="Z9" s="9">
        <f>'9'!V12</f>
        <v>-73.832710973027972</v>
      </c>
      <c r="AA9" s="9">
        <f>'9'!AD12</f>
        <v>-51.219777186035735</v>
      </c>
      <c r="AB9" s="9">
        <f>'9'!AL12</f>
        <v>-61.045038499658169</v>
      </c>
      <c r="AC9" s="9">
        <f>'9'!AT12</f>
        <v>-41.269946762588127</v>
      </c>
      <c r="AD9" s="9">
        <f>'9'!BB12</f>
        <v>-41.264034164333992</v>
      </c>
      <c r="AE9" s="9">
        <f>'9'!BJ12</f>
        <v>-61.211139748150487</v>
      </c>
      <c r="AF9" s="9">
        <f>'9'!BR12</f>
        <v>-62.213500126198731</v>
      </c>
      <c r="AG9" s="9">
        <f>'9'!BZ12</f>
        <v>-52.080286931747509</v>
      </c>
      <c r="AH9" s="9">
        <f>'9'!CH12</f>
        <v>-46.362981171625002</v>
      </c>
      <c r="AI9" s="9" t="e">
        <f>'9'!G12</f>
        <v>#REF!</v>
      </c>
      <c r="AJ9" s="9" t="e">
        <f>'9'!O12</f>
        <v>#REF!</v>
      </c>
      <c r="AK9" s="9" t="e">
        <f>'9'!W12</f>
        <v>#REF!</v>
      </c>
      <c r="AL9" s="9" t="e">
        <f>'9'!AE12</f>
        <v>#REF!</v>
      </c>
      <c r="AM9" s="9" t="e">
        <f>'9'!AM12</f>
        <v>#REF!</v>
      </c>
      <c r="AN9" s="9" t="e">
        <f>'9'!AU12</f>
        <v>#REF!</v>
      </c>
      <c r="AO9" s="9" t="e">
        <f>'9'!BC12</f>
        <v>#REF!</v>
      </c>
      <c r="AP9" s="9" t="e">
        <f>'9'!BK12</f>
        <v>#REF!</v>
      </c>
      <c r="AQ9" s="9" t="e">
        <f>'9'!BS12</f>
        <v>#REF!</v>
      </c>
      <c r="AR9" s="9" t="e">
        <f>'9'!CA12</f>
        <v>#REF!</v>
      </c>
      <c r="AS9" s="9" t="e">
        <f>'9'!CI12</f>
        <v>#REF!</v>
      </c>
      <c r="AT9" s="9" t="e">
        <f>'9'!H12</f>
        <v>#REF!</v>
      </c>
      <c r="AU9" s="9" t="e">
        <f>'9'!P12</f>
        <v>#REF!</v>
      </c>
      <c r="AV9" s="9" t="e">
        <f>'9'!X12</f>
        <v>#REF!</v>
      </c>
      <c r="AW9" s="9" t="e">
        <f>'9'!AF12</f>
        <v>#REF!</v>
      </c>
      <c r="AX9" s="9" t="e">
        <f>'9'!AN12</f>
        <v>#REF!</v>
      </c>
      <c r="AY9" s="9" t="e">
        <f>'9'!AV12</f>
        <v>#REF!</v>
      </c>
      <c r="AZ9" s="9" t="e">
        <f>'9'!BD12</f>
        <v>#REF!</v>
      </c>
      <c r="BA9" s="9" t="e">
        <f>'9'!BL12</f>
        <v>#REF!</v>
      </c>
      <c r="BB9" s="9" t="e">
        <f>'9'!BT12</f>
        <v>#REF!</v>
      </c>
      <c r="BC9" s="9" t="e">
        <f>'9'!CB12</f>
        <v>#REF!</v>
      </c>
      <c r="BD9" s="9" t="e">
        <f>'9'!CJ12</f>
        <v>#REF!</v>
      </c>
      <c r="BE9" s="9" t="e">
        <f>'10'!H12</f>
        <v>#REF!</v>
      </c>
      <c r="BF9" s="9" t="e">
        <f>'10'!P12</f>
        <v>#REF!</v>
      </c>
      <c r="BG9" s="9" t="e">
        <f>'10'!X12</f>
        <v>#REF!</v>
      </c>
      <c r="BH9" s="9" t="e">
        <f>'10'!AF12</f>
        <v>#REF!</v>
      </c>
      <c r="BI9" s="9" t="e">
        <f>'10'!AN12</f>
        <v>#REF!</v>
      </c>
      <c r="BJ9" s="9" t="e">
        <f>'10'!AV12</f>
        <v>#REF!</v>
      </c>
      <c r="BK9" s="9" t="e">
        <f>'10'!BD12</f>
        <v>#REF!</v>
      </c>
      <c r="BL9" s="9" t="e">
        <f>'10'!BL12</f>
        <v>#REF!</v>
      </c>
      <c r="BM9" s="9" t="e">
        <f>'10'!BT12</f>
        <v>#REF!</v>
      </c>
      <c r="BN9" s="9" t="e">
        <f>'10'!CB12</f>
        <v>#REF!</v>
      </c>
      <c r="BO9" s="9" t="e">
        <f>'10'!CJ12</f>
        <v>#REF!</v>
      </c>
    </row>
    <row r="10" spans="1:67" hidden="1">
      <c r="A10" s="1">
        <v>1976</v>
      </c>
      <c r="B10" s="9">
        <f>'9'!B13</f>
        <v>0.19630893151526885</v>
      </c>
      <c r="C10" s="9">
        <f>'9'!J13</f>
        <v>9.6300027666184035E-2</v>
      </c>
      <c r="D10" s="9">
        <f>'9'!R13</f>
        <v>0.22587763313615664</v>
      </c>
      <c r="E10" s="9">
        <f>'9'!Z13</f>
        <v>0.24779738211647265</v>
      </c>
      <c r="F10" s="9">
        <f>'9'!AH13</f>
        <v>0.1202438167095297</v>
      </c>
      <c r="G10" s="9">
        <f>'9'!AP13</f>
        <v>0.18492236822300859</v>
      </c>
      <c r="H10" s="9">
        <f>'9'!AX13</f>
        <v>0.29601655225865847</v>
      </c>
      <c r="I10" s="9">
        <f>'9'!BF13</f>
        <v>0.25616271397513662</v>
      </c>
      <c r="J10" s="9">
        <f>'9'!BN13</f>
        <v>0.22156482541592737</v>
      </c>
      <c r="K10" s="9">
        <f>'9'!BV13</f>
        <v>0.33785196071458812</v>
      </c>
      <c r="L10" s="9">
        <f>'9'!CD13</f>
        <v>0.32479144607416083</v>
      </c>
      <c r="M10" s="9">
        <f>'9'!D13</f>
        <v>0.20342458928402068</v>
      </c>
      <c r="N10" s="9">
        <f>'9'!L13</f>
        <v>0.1237257938219465</v>
      </c>
      <c r="O10" s="9">
        <f>'9'!T13</f>
        <v>7.1273227996526037E-2</v>
      </c>
      <c r="P10" s="9">
        <f>'9'!AB13</f>
        <v>0.11896429501176536</v>
      </c>
      <c r="Q10" s="9">
        <f>'9'!AJ13</f>
        <v>0.13537247919063625</v>
      </c>
      <c r="R10" s="9">
        <f>'9'!AR13</f>
        <v>0.16957077529556883</v>
      </c>
      <c r="S10" s="9">
        <f>'9'!AZ13</f>
        <v>0.17500502750655153</v>
      </c>
      <c r="T10" s="9">
        <f>'9'!BH13</f>
        <v>0.22465988999906616</v>
      </c>
      <c r="U10" s="9">
        <f>'9'!BP13</f>
        <v>0.28984312411974267</v>
      </c>
      <c r="V10" s="9">
        <f>'9'!BX13</f>
        <v>0.41806609316154691</v>
      </c>
      <c r="W10" s="9">
        <f>'9'!CF13</f>
        <v>0.286991795728815</v>
      </c>
      <c r="X10" s="9">
        <f>'9'!F13</f>
        <v>-46.452971810033745</v>
      </c>
      <c r="Y10" s="9">
        <f>'9'!N13</f>
        <v>-87.412185379259611</v>
      </c>
      <c r="Z10" s="9">
        <f>'9'!V13</f>
        <v>-73.835554362143341</v>
      </c>
      <c r="AA10" s="9">
        <f>'9'!AD13</f>
        <v>-51.224162211171269</v>
      </c>
      <c r="AB10" s="9">
        <f>'9'!AL13</f>
        <v>-61.056356290488921</v>
      </c>
      <c r="AC10" s="9">
        <f>'9'!AT13</f>
        <v>-41.273050104112137</v>
      </c>
      <c r="AD10" s="9">
        <f>'9'!BB13</f>
        <v>-41.267893030488096</v>
      </c>
      <c r="AE10" s="9">
        <f>'9'!BJ13</f>
        <v>-61.227595008424359</v>
      </c>
      <c r="AF10" s="9">
        <f>'9'!BR13</f>
        <v>-62.181437234922335</v>
      </c>
      <c r="AG10" s="9">
        <f>'9'!BZ13</f>
        <v>-52.046497862655492</v>
      </c>
      <c r="AH10" s="9">
        <f>'9'!CH13</f>
        <v>-46.350665896695432</v>
      </c>
      <c r="AI10" s="9" t="e">
        <f>'9'!G13</f>
        <v>#REF!</v>
      </c>
      <c r="AJ10" s="9" t="e">
        <f>'9'!O13</f>
        <v>#REF!</v>
      </c>
      <c r="AK10" s="9" t="e">
        <f>'9'!W13</f>
        <v>#REF!</v>
      </c>
      <c r="AL10" s="9" t="e">
        <f>'9'!AE13</f>
        <v>#REF!</v>
      </c>
      <c r="AM10" s="9" t="e">
        <f>'9'!AM13</f>
        <v>#REF!</v>
      </c>
      <c r="AN10" s="9" t="e">
        <f>'9'!AU13</f>
        <v>#REF!</v>
      </c>
      <c r="AO10" s="9" t="e">
        <f>'9'!BC13</f>
        <v>#REF!</v>
      </c>
      <c r="AP10" s="9" t="e">
        <f>'9'!BK13</f>
        <v>#REF!</v>
      </c>
      <c r="AQ10" s="9" t="e">
        <f>'9'!BS13</f>
        <v>#REF!</v>
      </c>
      <c r="AR10" s="9" t="e">
        <f>'9'!CA13</f>
        <v>#REF!</v>
      </c>
      <c r="AS10" s="9" t="e">
        <f>'9'!CI13</f>
        <v>#REF!</v>
      </c>
      <c r="AT10" s="9" t="e">
        <f>'9'!H13</f>
        <v>#REF!</v>
      </c>
      <c r="AU10" s="9" t="e">
        <f>'9'!P13</f>
        <v>#REF!</v>
      </c>
      <c r="AV10" s="9" t="e">
        <f>'9'!X13</f>
        <v>#REF!</v>
      </c>
      <c r="AW10" s="9" t="e">
        <f>'9'!AF13</f>
        <v>#REF!</v>
      </c>
      <c r="AX10" s="9" t="e">
        <f>'9'!AN13</f>
        <v>#REF!</v>
      </c>
      <c r="AY10" s="9" t="e">
        <f>'9'!AV13</f>
        <v>#REF!</v>
      </c>
      <c r="AZ10" s="9" t="e">
        <f>'9'!BD13</f>
        <v>#REF!</v>
      </c>
      <c r="BA10" s="9" t="e">
        <f>'9'!BL13</f>
        <v>#REF!</v>
      </c>
      <c r="BB10" s="9" t="e">
        <f>'9'!BT13</f>
        <v>#REF!</v>
      </c>
      <c r="BC10" s="9" t="e">
        <f>'9'!CB13</f>
        <v>#REF!</v>
      </c>
      <c r="BD10" s="9" t="e">
        <f>'9'!CJ13</f>
        <v>#REF!</v>
      </c>
      <c r="BE10" s="9" t="e">
        <f>'10'!H13</f>
        <v>#REF!</v>
      </c>
      <c r="BF10" s="9" t="e">
        <f>'10'!P13</f>
        <v>#REF!</v>
      </c>
      <c r="BG10" s="9" t="e">
        <f>'10'!X13</f>
        <v>#REF!</v>
      </c>
      <c r="BH10" s="9" t="e">
        <f>'10'!AF13</f>
        <v>#REF!</v>
      </c>
      <c r="BI10" s="9" t="e">
        <f>'10'!AN13</f>
        <v>#REF!</v>
      </c>
      <c r="BJ10" s="9" t="e">
        <f>'10'!AV13</f>
        <v>#REF!</v>
      </c>
      <c r="BK10" s="9" t="e">
        <f>'10'!BD13</f>
        <v>#REF!</v>
      </c>
      <c r="BL10" s="9" t="e">
        <f>'10'!BL13</f>
        <v>#REF!</v>
      </c>
      <c r="BM10" s="9" t="e">
        <f>'10'!BT13</f>
        <v>#REF!</v>
      </c>
      <c r="BN10" s="9" t="e">
        <f>'10'!CB13</f>
        <v>#REF!</v>
      </c>
      <c r="BO10" s="9" t="e">
        <f>'10'!CJ13</f>
        <v>#REF!</v>
      </c>
    </row>
    <row r="11" spans="1:67" hidden="1">
      <c r="A11" s="1">
        <v>1977</v>
      </c>
      <c r="B11" s="9">
        <f>'9'!B14</f>
        <v>0.21573246635837778</v>
      </c>
      <c r="C11" s="9">
        <f>'9'!J14</f>
        <v>0.10671715287462524</v>
      </c>
      <c r="D11" s="9">
        <f>'9'!R14</f>
        <v>0.250816337099728</v>
      </c>
      <c r="E11" s="9">
        <f>'9'!Z14</f>
        <v>0.25861168891021857</v>
      </c>
      <c r="F11" s="9">
        <f>'9'!AH14</f>
        <v>0.12865242621116021</v>
      </c>
      <c r="G11" s="9">
        <f>'9'!AP14</f>
        <v>0.20882377782231279</v>
      </c>
      <c r="H11" s="9">
        <f>'9'!AX14</f>
        <v>0.3143807153620688</v>
      </c>
      <c r="I11" s="9">
        <f>'9'!BF14</f>
        <v>0.26311969760328935</v>
      </c>
      <c r="J11" s="9">
        <f>'9'!BN14</f>
        <v>0.2354209281273146</v>
      </c>
      <c r="K11" s="9">
        <f>'9'!BV14</f>
        <v>0.36326136022507521</v>
      </c>
      <c r="L11" s="9">
        <f>'9'!CD14</f>
        <v>0.35339745067387968</v>
      </c>
      <c r="M11" s="9">
        <f>'9'!D14</f>
        <v>0.20836169809978436</v>
      </c>
      <c r="N11" s="9">
        <f>'9'!L14</f>
        <v>0.12979057114203205</v>
      </c>
      <c r="O11" s="9">
        <f>'9'!T14</f>
        <v>7.3882762195263629E-2</v>
      </c>
      <c r="P11" s="9">
        <f>'9'!AB14</f>
        <v>0.12549083950552753</v>
      </c>
      <c r="Q11" s="9">
        <f>'9'!AJ14</f>
        <v>0.14052380094533734</v>
      </c>
      <c r="R11" s="9">
        <f>'9'!AR14</f>
        <v>0.1763089310631655</v>
      </c>
      <c r="S11" s="9">
        <f>'9'!AZ14</f>
        <v>0.17997732417787871</v>
      </c>
      <c r="T11" s="9">
        <f>'9'!BH14</f>
        <v>0.22716105701069064</v>
      </c>
      <c r="U11" s="9">
        <f>'9'!BP14</f>
        <v>0.29433490541595614</v>
      </c>
      <c r="V11" s="9">
        <f>'9'!BX14</f>
        <v>0.42117290263185325</v>
      </c>
      <c r="W11" s="9">
        <f>'9'!CF14</f>
        <v>0.29294624257665036</v>
      </c>
      <c r="X11" s="9">
        <f>'9'!F14</f>
        <v>-52.990013765375096</v>
      </c>
      <c r="Y11" s="9">
        <f>'9'!N14</f>
        <v>-71.290685817298581</v>
      </c>
      <c r="Z11" s="9">
        <f>'9'!V14</f>
        <v>-69.688068343820603</v>
      </c>
      <c r="AA11" s="9">
        <f>'9'!AD14</f>
        <v>-59.205556510235986</v>
      </c>
      <c r="AB11" s="9">
        <f>'9'!AL14</f>
        <v>-68.767816728577884</v>
      </c>
      <c r="AC11" s="9">
        <f>'9'!AT14</f>
        <v>-56.097514686815892</v>
      </c>
      <c r="AD11" s="9">
        <f>'9'!BB14</f>
        <v>-43.994099595619346</v>
      </c>
      <c r="AE11" s="9">
        <f>'9'!BJ14</f>
        <v>-77.209213133604976</v>
      </c>
      <c r="AF11" s="9">
        <f>'9'!BR14</f>
        <v>-71.812658090959701</v>
      </c>
      <c r="AG11" s="9">
        <f>'9'!BZ14</f>
        <v>-49.783148864069851</v>
      </c>
      <c r="AH11" s="9">
        <f>'9'!CH14</f>
        <v>-49.667134906792931</v>
      </c>
      <c r="AI11" s="9" t="e">
        <f>'9'!G14</f>
        <v>#REF!</v>
      </c>
      <c r="AJ11" s="9" t="e">
        <f>'9'!O14</f>
        <v>#REF!</v>
      </c>
      <c r="AK11" s="9" t="e">
        <f>'9'!W14</f>
        <v>#REF!</v>
      </c>
      <c r="AL11" s="9" t="e">
        <f>'9'!AE14</f>
        <v>#REF!</v>
      </c>
      <c r="AM11" s="9" t="e">
        <f>'9'!AM14</f>
        <v>#REF!</v>
      </c>
      <c r="AN11" s="9" t="e">
        <f>'9'!AU14</f>
        <v>#REF!</v>
      </c>
      <c r="AO11" s="9" t="e">
        <f>'9'!BC14</f>
        <v>#REF!</v>
      </c>
      <c r="AP11" s="9" t="e">
        <f>'9'!BK14</f>
        <v>#REF!</v>
      </c>
      <c r="AQ11" s="9" t="e">
        <f>'9'!BS14</f>
        <v>#REF!</v>
      </c>
      <c r="AR11" s="9" t="e">
        <f>'9'!CA14</f>
        <v>#REF!</v>
      </c>
      <c r="AS11" s="9" t="e">
        <f>'9'!CI14</f>
        <v>#REF!</v>
      </c>
      <c r="AT11" s="9" t="e">
        <f>'9'!H14</f>
        <v>#REF!</v>
      </c>
      <c r="AU11" s="9" t="e">
        <f>'9'!P14</f>
        <v>#REF!</v>
      </c>
      <c r="AV11" s="9" t="e">
        <f>'9'!X14</f>
        <v>#REF!</v>
      </c>
      <c r="AW11" s="9" t="e">
        <f>'9'!AF14</f>
        <v>#REF!</v>
      </c>
      <c r="AX11" s="9" t="e">
        <f>'9'!AN14</f>
        <v>#REF!</v>
      </c>
      <c r="AY11" s="9" t="e">
        <f>'9'!AV14</f>
        <v>#REF!</v>
      </c>
      <c r="AZ11" s="9" t="e">
        <f>'9'!BD14</f>
        <v>#REF!</v>
      </c>
      <c r="BA11" s="9" t="e">
        <f>'9'!BL14</f>
        <v>#REF!</v>
      </c>
      <c r="BB11" s="9" t="e">
        <f>'9'!BT14</f>
        <v>#REF!</v>
      </c>
      <c r="BC11" s="9" t="e">
        <f>'9'!CB14</f>
        <v>#REF!</v>
      </c>
      <c r="BD11" s="9" t="e">
        <f>'9'!CJ14</f>
        <v>#REF!</v>
      </c>
      <c r="BE11" s="9" t="e">
        <f>'10'!H14</f>
        <v>#REF!</v>
      </c>
      <c r="BF11" s="9" t="e">
        <f>'10'!P14</f>
        <v>#REF!</v>
      </c>
      <c r="BG11" s="9" t="e">
        <f>'10'!X14</f>
        <v>#REF!</v>
      </c>
      <c r="BH11" s="9" t="e">
        <f>'10'!AF14</f>
        <v>#REF!</v>
      </c>
      <c r="BI11" s="9" t="e">
        <f>'10'!AN14</f>
        <v>#REF!</v>
      </c>
      <c r="BJ11" s="9" t="e">
        <f>'10'!AV14</f>
        <v>#REF!</v>
      </c>
      <c r="BK11" s="9" t="e">
        <f>'10'!BD14</f>
        <v>#REF!</v>
      </c>
      <c r="BL11" s="9" t="e">
        <f>'10'!BL14</f>
        <v>#REF!</v>
      </c>
      <c r="BM11" s="9" t="e">
        <f>'10'!BT14</f>
        <v>#REF!</v>
      </c>
      <c r="BN11" s="9" t="e">
        <f>'10'!CB14</f>
        <v>#REF!</v>
      </c>
      <c r="BO11" s="9" t="e">
        <f>'10'!CJ14</f>
        <v>#REF!</v>
      </c>
    </row>
    <row r="12" spans="1:67" hidden="1">
      <c r="A12" s="1">
        <v>1978</v>
      </c>
      <c r="B12" s="9">
        <f>'9'!B15</f>
        <v>0.23022843159693168</v>
      </c>
      <c r="C12" s="9">
        <f>'9'!J15</f>
        <v>0.12925271164548124</v>
      </c>
      <c r="D12" s="9">
        <f>'9'!R15</f>
        <v>0.2626035352568013</v>
      </c>
      <c r="E12" s="9">
        <f>'9'!Z15</f>
        <v>0.29030065048200349</v>
      </c>
      <c r="F12" s="9">
        <f>'9'!AH15</f>
        <v>0.13894613311518775</v>
      </c>
      <c r="G12" s="9">
        <f>'9'!AP15</f>
        <v>0.22494830740052849</v>
      </c>
      <c r="H12" s="9">
        <f>'9'!AX15</f>
        <v>0.32458778871812832</v>
      </c>
      <c r="I12" s="9">
        <f>'9'!BF15</f>
        <v>0.26318350227580833</v>
      </c>
      <c r="J12" s="9">
        <f>'9'!BN15</f>
        <v>0.25882339734967713</v>
      </c>
      <c r="K12" s="9">
        <f>'9'!BV15</f>
        <v>0.39900995497212355</v>
      </c>
      <c r="L12" s="9">
        <f>'9'!CD15</f>
        <v>0.38515166697819375</v>
      </c>
      <c r="M12" s="9">
        <f>'9'!D15</f>
        <v>0.2147298950211077</v>
      </c>
      <c r="N12" s="9">
        <f>'9'!L15</f>
        <v>0.13824399151284511</v>
      </c>
      <c r="O12" s="9">
        <f>'9'!T15</f>
        <v>7.7817521435605955E-2</v>
      </c>
      <c r="P12" s="9">
        <f>'9'!AB15</f>
        <v>0.12594988683736782</v>
      </c>
      <c r="Q12" s="9">
        <f>'9'!AJ15</f>
        <v>0.14227771258617553</v>
      </c>
      <c r="R12" s="9">
        <f>'9'!AR15</f>
        <v>0.18094992913658789</v>
      </c>
      <c r="S12" s="9">
        <f>'9'!AZ15</f>
        <v>0.18127604050861831</v>
      </c>
      <c r="T12" s="9">
        <f>'9'!BH15</f>
        <v>0.22925775914249699</v>
      </c>
      <c r="U12" s="9">
        <f>'9'!BP15</f>
        <v>0.30416063691170925</v>
      </c>
      <c r="V12" s="9">
        <f>'9'!BX15</f>
        <v>0.44629236837394137</v>
      </c>
      <c r="W12" s="9">
        <f>'9'!CF15</f>
        <v>0.29665959825628496</v>
      </c>
      <c r="X12" s="9">
        <f>'9'!F15</f>
        <v>-47.343954220727156</v>
      </c>
      <c r="Y12" s="9">
        <f>'9'!N15</f>
        <v>-87.16824395894038</v>
      </c>
      <c r="Z12" s="9">
        <f>'9'!V15</f>
        <v>-73.563601756623655</v>
      </c>
      <c r="AA12" s="9">
        <f>'9'!AD15</f>
        <v>-58.115508044358869</v>
      </c>
      <c r="AB12" s="9">
        <f>'9'!AL15</f>
        <v>-76.988009380491306</v>
      </c>
      <c r="AC12" s="9">
        <f>'9'!AT15</f>
        <v>-45.17824782685333</v>
      </c>
      <c r="AD12" s="9">
        <f>'9'!BB15</f>
        <v>-39.667260646215894</v>
      </c>
      <c r="AE12" s="9">
        <f>'9'!BJ15</f>
        <v>-85.507966291002973</v>
      </c>
      <c r="AF12" s="9">
        <f>'9'!BR15</f>
        <v>-56.538895469618794</v>
      </c>
      <c r="AG12" s="9">
        <f>'9'!BZ15</f>
        <v>-39.4807805253918</v>
      </c>
      <c r="AH12" s="9">
        <f>'9'!CH15</f>
        <v>-44.562792140288664</v>
      </c>
      <c r="AI12" s="9" t="e">
        <f>'9'!G15</f>
        <v>#REF!</v>
      </c>
      <c r="AJ12" s="9" t="e">
        <f>'9'!O15</f>
        <v>#REF!</v>
      </c>
      <c r="AK12" s="9" t="e">
        <f>'9'!W15</f>
        <v>#REF!</v>
      </c>
      <c r="AL12" s="9" t="e">
        <f>'9'!AE15</f>
        <v>#REF!</v>
      </c>
      <c r="AM12" s="9" t="e">
        <f>'9'!AM15</f>
        <v>#REF!</v>
      </c>
      <c r="AN12" s="9" t="e">
        <f>'9'!AU15</f>
        <v>#REF!</v>
      </c>
      <c r="AO12" s="9" t="e">
        <f>'9'!BC15</f>
        <v>#REF!</v>
      </c>
      <c r="AP12" s="9" t="e">
        <f>'9'!BK15</f>
        <v>#REF!</v>
      </c>
      <c r="AQ12" s="9" t="e">
        <f>'9'!BS15</f>
        <v>#REF!</v>
      </c>
      <c r="AR12" s="9" t="e">
        <f>'9'!CA15</f>
        <v>#REF!</v>
      </c>
      <c r="AS12" s="9" t="e">
        <f>'9'!CI15</f>
        <v>#REF!</v>
      </c>
      <c r="AT12" s="9" t="e">
        <f>'9'!H15</f>
        <v>#REF!</v>
      </c>
      <c r="AU12" s="9" t="e">
        <f>'9'!P15</f>
        <v>#REF!</v>
      </c>
      <c r="AV12" s="9" t="e">
        <f>'9'!X15</f>
        <v>#REF!</v>
      </c>
      <c r="AW12" s="9" t="e">
        <f>'9'!AF15</f>
        <v>#REF!</v>
      </c>
      <c r="AX12" s="9" t="e">
        <f>'9'!AN15</f>
        <v>#REF!</v>
      </c>
      <c r="AY12" s="9" t="e">
        <f>'9'!AV15</f>
        <v>#REF!</v>
      </c>
      <c r="AZ12" s="9" t="e">
        <f>'9'!BD15</f>
        <v>#REF!</v>
      </c>
      <c r="BA12" s="9" t="e">
        <f>'9'!BL15</f>
        <v>#REF!</v>
      </c>
      <c r="BB12" s="9" t="e">
        <f>'9'!BT15</f>
        <v>#REF!</v>
      </c>
      <c r="BC12" s="9" t="e">
        <f>'9'!CB15</f>
        <v>#REF!</v>
      </c>
      <c r="BD12" s="9" t="e">
        <f>'9'!CJ15</f>
        <v>#REF!</v>
      </c>
      <c r="BE12" s="9" t="e">
        <f>'10'!H15</f>
        <v>#REF!</v>
      </c>
      <c r="BF12" s="9" t="e">
        <f>'10'!P15</f>
        <v>#REF!</v>
      </c>
      <c r="BG12" s="9" t="e">
        <f>'10'!X15</f>
        <v>#REF!</v>
      </c>
      <c r="BH12" s="9" t="e">
        <f>'10'!AF15</f>
        <v>#REF!</v>
      </c>
      <c r="BI12" s="9" t="e">
        <f>'10'!AN15</f>
        <v>#REF!</v>
      </c>
      <c r="BJ12" s="9" t="e">
        <f>'10'!AV15</f>
        <v>#REF!</v>
      </c>
      <c r="BK12" s="9" t="e">
        <f>'10'!BD15</f>
        <v>#REF!</v>
      </c>
      <c r="BL12" s="9" t="e">
        <f>'10'!BL15</f>
        <v>#REF!</v>
      </c>
      <c r="BM12" s="9" t="e">
        <f>'10'!BT15</f>
        <v>#REF!</v>
      </c>
      <c r="BN12" s="9" t="e">
        <f>'10'!CB15</f>
        <v>#REF!</v>
      </c>
      <c r="BO12" s="9" t="e">
        <f>'10'!CJ15</f>
        <v>#REF!</v>
      </c>
    </row>
    <row r="13" spans="1:67" hidden="1">
      <c r="A13" s="1">
        <v>1979</v>
      </c>
      <c r="B13" s="9">
        <f>'9'!B16</f>
        <v>0.23867823350722323</v>
      </c>
      <c r="C13" s="9">
        <f>'9'!J16</f>
        <v>0.14030256842829705</v>
      </c>
      <c r="D13" s="9">
        <f>'9'!R16</f>
        <v>0.26986742557639565</v>
      </c>
      <c r="E13" s="9">
        <f>'9'!Z16</f>
        <v>0.30541782327969458</v>
      </c>
      <c r="F13" s="9">
        <f>'9'!AH16</f>
        <v>0.14506558808336645</v>
      </c>
      <c r="G13" s="9">
        <f>'9'!AP16</f>
        <v>0.25030707764932819</v>
      </c>
      <c r="H13" s="9">
        <f>'9'!AX16</f>
        <v>0.33641670997878365</v>
      </c>
      <c r="I13" s="9">
        <f>'9'!BF16</f>
        <v>0.27811350904572102</v>
      </c>
      <c r="J13" s="9">
        <f>'9'!BN16</f>
        <v>0.28644658365049636</v>
      </c>
      <c r="K13" s="9">
        <f>'9'!BV16</f>
        <v>0.44318464077202485</v>
      </c>
      <c r="L13" s="9">
        <f>'9'!CD16</f>
        <v>0.41312828752527125</v>
      </c>
      <c r="M13" s="9">
        <f>'9'!D16</f>
        <v>0.23598434718089964</v>
      </c>
      <c r="N13" s="9">
        <f>'9'!L16</f>
        <v>0.16972312234618461</v>
      </c>
      <c r="O13" s="9">
        <f>'9'!T16</f>
        <v>8.0259164521288867E-2</v>
      </c>
      <c r="P13" s="9">
        <f>'9'!AB16</f>
        <v>0.14297298533735509</v>
      </c>
      <c r="Q13" s="9">
        <f>'9'!AJ16</f>
        <v>0.16198941198457475</v>
      </c>
      <c r="R13" s="9">
        <f>'9'!AR16</f>
        <v>0.19467483426303003</v>
      </c>
      <c r="S13" s="9">
        <f>'9'!AZ16</f>
        <v>0.19514435887023393</v>
      </c>
      <c r="T13" s="9">
        <f>'9'!BH16</f>
        <v>0.25083708405764155</v>
      </c>
      <c r="U13" s="9">
        <f>'9'!BP16</f>
        <v>0.37489455213577616</v>
      </c>
      <c r="V13" s="9">
        <f>'9'!BX16</f>
        <v>0.46911929908194117</v>
      </c>
      <c r="W13" s="9">
        <f>'9'!CF16</f>
        <v>0.3358775237305513</v>
      </c>
      <c r="X13" s="9">
        <f>'9'!F16</f>
        <v>-48.90443694740248</v>
      </c>
      <c r="Y13" s="9">
        <f>'9'!N16</f>
        <v>-77.828534352792914</v>
      </c>
      <c r="Z13" s="9">
        <f>'9'!V16</f>
        <v>-67.637476152095417</v>
      </c>
      <c r="AA13" s="9">
        <f>'9'!AD16</f>
        <v>-56.244428692007055</v>
      </c>
      <c r="AB13" s="9">
        <f>'9'!AL16</f>
        <v>-69.044066673529841</v>
      </c>
      <c r="AC13" s="9">
        <f>'9'!AT16</f>
        <v>-49.675518390436139</v>
      </c>
      <c r="AD13" s="9">
        <f>'9'!BB16</f>
        <v>-42.457693345112652</v>
      </c>
      <c r="AE13" s="9">
        <f>'9'!BJ16</f>
        <v>-67.882716261126262</v>
      </c>
      <c r="AF13" s="9">
        <f>'9'!BR16</f>
        <v>-66.927941104730877</v>
      </c>
      <c r="AG13" s="9">
        <f>'9'!BZ16</f>
        <v>-45.066609612005038</v>
      </c>
      <c r="AH13" s="9">
        <f>'9'!CH16</f>
        <v>-44.777422945036513</v>
      </c>
      <c r="AI13" s="9" t="e">
        <f>'9'!G16</f>
        <v>#REF!</v>
      </c>
      <c r="AJ13" s="9" t="e">
        <f>'9'!O16</f>
        <v>#REF!</v>
      </c>
      <c r="AK13" s="9" t="e">
        <f>'9'!W16</f>
        <v>#REF!</v>
      </c>
      <c r="AL13" s="9" t="e">
        <f>'9'!AE16</f>
        <v>#REF!</v>
      </c>
      <c r="AM13" s="9" t="e">
        <f>'9'!AM16</f>
        <v>#REF!</v>
      </c>
      <c r="AN13" s="9" t="e">
        <f>'9'!AU16</f>
        <v>#REF!</v>
      </c>
      <c r="AO13" s="9" t="e">
        <f>'9'!BC16</f>
        <v>#REF!</v>
      </c>
      <c r="AP13" s="9" t="e">
        <f>'9'!BK16</f>
        <v>#REF!</v>
      </c>
      <c r="AQ13" s="9" t="e">
        <f>'9'!BS16</f>
        <v>#REF!</v>
      </c>
      <c r="AR13" s="9" t="e">
        <f>'9'!CA16</f>
        <v>#REF!</v>
      </c>
      <c r="AS13" s="9" t="e">
        <f>'9'!CI16</f>
        <v>#REF!</v>
      </c>
      <c r="AT13" s="9" t="e">
        <f>'9'!H16</f>
        <v>#REF!</v>
      </c>
      <c r="AU13" s="9" t="e">
        <f>'9'!P16</f>
        <v>#REF!</v>
      </c>
      <c r="AV13" s="9" t="e">
        <f>'9'!X16</f>
        <v>#REF!</v>
      </c>
      <c r="AW13" s="9" t="e">
        <f>'9'!AF16</f>
        <v>#REF!</v>
      </c>
      <c r="AX13" s="9" t="e">
        <f>'9'!AN16</f>
        <v>#REF!</v>
      </c>
      <c r="AY13" s="9" t="e">
        <f>'9'!AV16</f>
        <v>#REF!</v>
      </c>
      <c r="AZ13" s="9" t="e">
        <f>'9'!BD16</f>
        <v>#REF!</v>
      </c>
      <c r="BA13" s="9" t="e">
        <f>'9'!BL16</f>
        <v>#REF!</v>
      </c>
      <c r="BB13" s="9" t="e">
        <f>'9'!BT16</f>
        <v>#REF!</v>
      </c>
      <c r="BC13" s="9" t="e">
        <f>'9'!CB16</f>
        <v>#REF!</v>
      </c>
      <c r="BD13" s="9" t="e">
        <f>'9'!CJ16</f>
        <v>#REF!</v>
      </c>
      <c r="BE13" s="9" t="e">
        <f>'10'!H16</f>
        <v>#REF!</v>
      </c>
      <c r="BF13" s="9" t="e">
        <f>'10'!P16</f>
        <v>#REF!</v>
      </c>
      <c r="BG13" s="9" t="e">
        <f>'10'!X16</f>
        <v>#REF!</v>
      </c>
      <c r="BH13" s="9" t="e">
        <f>'10'!AF16</f>
        <v>#REF!</v>
      </c>
      <c r="BI13" s="9" t="e">
        <f>'10'!AN16</f>
        <v>#REF!</v>
      </c>
      <c r="BJ13" s="9" t="e">
        <f>'10'!AV16</f>
        <v>#REF!</v>
      </c>
      <c r="BK13" s="9" t="e">
        <f>'10'!BD16</f>
        <v>#REF!</v>
      </c>
      <c r="BL13" s="9" t="e">
        <f>'10'!BL16</f>
        <v>#REF!</v>
      </c>
      <c r="BM13" s="9" t="e">
        <f>'10'!BT16</f>
        <v>#REF!</v>
      </c>
      <c r="BN13" s="9" t="e">
        <f>'10'!CB16</f>
        <v>#REF!</v>
      </c>
      <c r="BO13" s="9" t="e">
        <f>'10'!CJ16</f>
        <v>#REF!</v>
      </c>
    </row>
    <row r="14" spans="1:67" hidden="1">
      <c r="A14" s="1">
        <v>1980</v>
      </c>
      <c r="B14" s="9">
        <f>'9'!B17</f>
        <v>0.24956313042265793</v>
      </c>
      <c r="C14" s="9">
        <f>'9'!J17</f>
        <v>0.13921200840914363</v>
      </c>
      <c r="D14" s="9">
        <f>'9'!R17</f>
        <v>0.28704086757580499</v>
      </c>
      <c r="E14" s="9">
        <f>'9'!Z17</f>
        <v>0.31461096359536805</v>
      </c>
      <c r="F14" s="9">
        <f>'9'!AH17</f>
        <v>0.15764756609148828</v>
      </c>
      <c r="G14" s="9">
        <f>'9'!AP17</f>
        <v>0.26771835401395672</v>
      </c>
      <c r="H14" s="9">
        <f>'9'!AX17</f>
        <v>0.35615667039285021</v>
      </c>
      <c r="I14" s="9">
        <f>'9'!BF17</f>
        <v>0.29318715164736187</v>
      </c>
      <c r="J14" s="9">
        <f>'9'!BN17</f>
        <v>0.31409896663044168</v>
      </c>
      <c r="K14" s="9">
        <f>'9'!BV17</f>
        <v>0.47794652011180722</v>
      </c>
      <c r="L14" s="9">
        <f>'9'!CD17</f>
        <v>0.45949506836533488</v>
      </c>
      <c r="M14" s="9">
        <f>'9'!D17</f>
        <v>0.25753477765760036</v>
      </c>
      <c r="N14" s="9">
        <f>'9'!L17</f>
        <v>0.18314890620265148</v>
      </c>
      <c r="O14" s="9">
        <f>'9'!T17</f>
        <v>8.5481496406001917E-2</v>
      </c>
      <c r="P14" s="9">
        <f>'9'!AB17</f>
        <v>0.1516760979957773</v>
      </c>
      <c r="Q14" s="9">
        <f>'9'!AJ17</f>
        <v>0.17567252495932173</v>
      </c>
      <c r="R14" s="9">
        <f>'9'!AR17</f>
        <v>0.20484311367519481</v>
      </c>
      <c r="S14" s="9">
        <f>'9'!AZ17</f>
        <v>0.20494050941541084</v>
      </c>
      <c r="T14" s="9">
        <f>'9'!BH17</f>
        <v>0.25900212020054197</v>
      </c>
      <c r="U14" s="9">
        <f>'9'!BP17</f>
        <v>0.37819042215859522</v>
      </c>
      <c r="V14" s="9">
        <f>'9'!BX17</f>
        <v>0.49078262798173633</v>
      </c>
      <c r="W14" s="9">
        <f>'9'!CF17</f>
        <v>0.33836390207543393</v>
      </c>
      <c r="X14" s="9">
        <f>'9'!F17</f>
        <v>-45.339100796180233</v>
      </c>
      <c r="Y14" s="9">
        <f>'9'!N17</f>
        <v>-94.543165043061521</v>
      </c>
      <c r="Z14" s="9">
        <f>'9'!V17</f>
        <v>-54.99250458466485</v>
      </c>
      <c r="AA14" s="9">
        <f>'9'!AD17</f>
        <v>-49.190557495225946</v>
      </c>
      <c r="AB14" s="9">
        <f>'9'!AL17</f>
        <v>-60.056884834913873</v>
      </c>
      <c r="AC14" s="9">
        <f>'9'!AT17</f>
        <v>-49.211440494915799</v>
      </c>
      <c r="AD14" s="9">
        <f>'9'!BB17</f>
        <v>-37.508909906445055</v>
      </c>
      <c r="AE14" s="9">
        <f>'9'!BJ17</f>
        <v>-58.183004496758564</v>
      </c>
      <c r="AF14" s="9">
        <f>'9'!BR17</f>
        <v>-46.69755591745961</v>
      </c>
      <c r="AG14" s="9">
        <f>'9'!BZ17</f>
        <v>-42.795287769167302</v>
      </c>
      <c r="AH14" s="9">
        <f>'9'!CH17</f>
        <v>-42.164777444460185</v>
      </c>
      <c r="AI14" s="9" t="e">
        <f>'9'!G17</f>
        <v>#REF!</v>
      </c>
      <c r="AJ14" s="9" t="e">
        <f>'9'!O17</f>
        <v>#REF!</v>
      </c>
      <c r="AK14" s="9" t="e">
        <f>'9'!W17</f>
        <v>#REF!</v>
      </c>
      <c r="AL14" s="9" t="e">
        <f>'9'!AE17</f>
        <v>#REF!</v>
      </c>
      <c r="AM14" s="9" t="e">
        <f>'9'!AM17</f>
        <v>#REF!</v>
      </c>
      <c r="AN14" s="9" t="e">
        <f>'9'!AU17</f>
        <v>#REF!</v>
      </c>
      <c r="AO14" s="9" t="e">
        <f>'9'!BC17</f>
        <v>#REF!</v>
      </c>
      <c r="AP14" s="9" t="e">
        <f>'9'!BK17</f>
        <v>#REF!</v>
      </c>
      <c r="AQ14" s="9" t="e">
        <f>'9'!BS17</f>
        <v>#REF!</v>
      </c>
      <c r="AR14" s="9" t="e">
        <f>'9'!CA17</f>
        <v>#REF!</v>
      </c>
      <c r="AS14" s="9" t="e">
        <f>'9'!CI17</f>
        <v>#REF!</v>
      </c>
      <c r="AT14" s="9" t="e">
        <f>'9'!H17</f>
        <v>#REF!</v>
      </c>
      <c r="AU14" s="9" t="e">
        <f>'9'!P17</f>
        <v>#REF!</v>
      </c>
      <c r="AV14" s="9" t="e">
        <f>'9'!X17</f>
        <v>#REF!</v>
      </c>
      <c r="AW14" s="9" t="e">
        <f>'9'!AF17</f>
        <v>#REF!</v>
      </c>
      <c r="AX14" s="9" t="e">
        <f>'9'!AN17</f>
        <v>#REF!</v>
      </c>
      <c r="AY14" s="9" t="e">
        <f>'9'!AV17</f>
        <v>#REF!</v>
      </c>
      <c r="AZ14" s="9" t="e">
        <f>'9'!BD17</f>
        <v>#REF!</v>
      </c>
      <c r="BA14" s="9" t="e">
        <f>'9'!BL17</f>
        <v>#REF!</v>
      </c>
      <c r="BB14" s="9" t="e">
        <f>'9'!BT17</f>
        <v>#REF!</v>
      </c>
      <c r="BC14" s="9" t="e">
        <f>'9'!CB17</f>
        <v>#REF!</v>
      </c>
      <c r="BD14" s="9" t="e">
        <f>'9'!CJ17</f>
        <v>#REF!</v>
      </c>
      <c r="BE14" s="9" t="e">
        <f>'10'!H17</f>
        <v>#REF!</v>
      </c>
      <c r="BF14" s="9" t="e">
        <f>'10'!P17</f>
        <v>#REF!</v>
      </c>
      <c r="BG14" s="9" t="e">
        <f>'10'!X17</f>
        <v>#REF!</v>
      </c>
      <c r="BH14" s="9" t="e">
        <f>'10'!AF17</f>
        <v>#REF!</v>
      </c>
      <c r="BI14" s="9" t="e">
        <f>'10'!AN17</f>
        <v>#REF!</v>
      </c>
      <c r="BJ14" s="9" t="e">
        <f>'10'!AV17</f>
        <v>#REF!</v>
      </c>
      <c r="BK14" s="9" t="e">
        <f>'10'!BD17</f>
        <v>#REF!</v>
      </c>
      <c r="BL14" s="9" t="e">
        <f>'10'!BL17</f>
        <v>#REF!</v>
      </c>
      <c r="BM14" s="9" t="e">
        <f>'10'!BT17</f>
        <v>#REF!</v>
      </c>
      <c r="BN14" s="9" t="e">
        <f>'10'!CB17</f>
        <v>#REF!</v>
      </c>
      <c r="BO14" s="9" t="e">
        <f>'10'!CJ17</f>
        <v>#REF!</v>
      </c>
    </row>
    <row r="15" spans="1:67" hidden="1">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row>
    <row r="16" spans="1:67">
      <c r="A16" s="1">
        <v>1981</v>
      </c>
      <c r="B16" s="9">
        <f>'9'!B19</f>
        <v>0.26502024105489891</v>
      </c>
      <c r="C16" s="9">
        <f>'9'!J19</f>
        <v>8.3333333333333315E-2</v>
      </c>
      <c r="D16" s="9">
        <f>'9'!R19</f>
        <v>0.19516874738276771</v>
      </c>
      <c r="E16" s="9">
        <f>'9'!Z19</f>
        <v>0.23002808436799582</v>
      </c>
      <c r="F16" s="9">
        <f>'9'!AH19</f>
        <v>9.6809081306642272E-2</v>
      </c>
      <c r="G16" s="9">
        <f>'9'!AP19</f>
        <v>0.188111806241578</v>
      </c>
      <c r="H16" s="9">
        <f>'9'!AX19</f>
        <v>0.27753848440949125</v>
      </c>
      <c r="I16" s="9">
        <f>'9'!BF19</f>
        <v>0.21362570375886047</v>
      </c>
      <c r="J16" s="9">
        <f>'9'!BN19</f>
        <v>0.23938063782464369</v>
      </c>
      <c r="K16" s="9">
        <f>'9'!BV19</f>
        <v>0.40135810621035933</v>
      </c>
      <c r="L16" s="9">
        <f>'9'!CD19</f>
        <v>0.36764837310457554</v>
      </c>
      <c r="M16" s="9">
        <f>'9'!D19</f>
        <v>0.25267986708165169</v>
      </c>
      <c r="N16" s="9">
        <f>'9'!L19</f>
        <v>0.17423122566164023</v>
      </c>
      <c r="O16" s="9">
        <f>'9'!T19</f>
        <v>8.3333333333333329E-2</v>
      </c>
      <c r="P16" s="9">
        <f>'9'!AB19</f>
        <v>0.13918839018427517</v>
      </c>
      <c r="Q16" s="9">
        <f>'9'!AJ19</f>
        <v>0.15780172121188507</v>
      </c>
      <c r="R16" s="9">
        <f>'9'!AR19</f>
        <v>0.19975876004372442</v>
      </c>
      <c r="S16" s="9">
        <f>'9'!AZ19</f>
        <v>0.1964830485415941</v>
      </c>
      <c r="T16" s="9">
        <f>'9'!BH19</f>
        <v>0.24237508530571805</v>
      </c>
      <c r="U16" s="9">
        <f>'9'!BP19</f>
        <v>0.34372283562385231</v>
      </c>
      <c r="V16" s="9">
        <f>'9'!BX19</f>
        <v>0.57940196497283902</v>
      </c>
      <c r="W16" s="9">
        <f>'9'!CF19</f>
        <v>0.31093925165954012</v>
      </c>
      <c r="X16" s="9">
        <f>'9'!F19</f>
        <v>0.6415022695162006</v>
      </c>
      <c r="Y16" s="9">
        <f>'9'!N19</f>
        <v>0.44335753567434699</v>
      </c>
      <c r="Z16" s="9">
        <f>'9'!V19</f>
        <v>0.44198121002238394</v>
      </c>
      <c r="AA16" s="9">
        <f>'9'!AD19</f>
        <v>0.52454765506693046</v>
      </c>
      <c r="AB16" s="9">
        <f>'9'!AL19</f>
        <v>0.35043375775672592</v>
      </c>
      <c r="AC16" s="9">
        <f>'9'!AT19</f>
        <v>0.59749980492452193</v>
      </c>
      <c r="AD16" s="9">
        <f>'9'!BB19</f>
        <v>0.76271200423824892</v>
      </c>
      <c r="AE16" s="9">
        <f>'9'!BJ19</f>
        <v>0.48355227539159917</v>
      </c>
      <c r="AF16" s="9">
        <f>'9'!BR19</f>
        <v>0.37606661066813751</v>
      </c>
      <c r="AG16" s="9">
        <f>'9'!BZ19</f>
        <v>0.7141753287934689</v>
      </c>
      <c r="AH16" s="9">
        <f>'9'!CH19</f>
        <v>0.66047047631749756</v>
      </c>
      <c r="AI16" s="9">
        <f>'9'!G19</f>
        <v>0.63201595297490964</v>
      </c>
      <c r="AJ16" s="9">
        <f>'9'!O19</f>
        <v>0.41310207481519734</v>
      </c>
      <c r="AK16" s="9">
        <f>'9'!W19</f>
        <v>0.45114132979063915</v>
      </c>
      <c r="AL16" s="9">
        <f>'9'!AE19</f>
        <v>0.62943653895762197</v>
      </c>
      <c r="AM16" s="9">
        <f>'9'!AM19</f>
        <v>0.52017136127858687</v>
      </c>
      <c r="AN16" s="9">
        <f>'9'!AU19</f>
        <v>0.56113307019886161</v>
      </c>
      <c r="AO16" s="9">
        <f>'9'!BC19</f>
        <v>0.68187528276174003</v>
      </c>
      <c r="AP16" s="9">
        <f>'9'!BK19</f>
        <v>0.61454232118591945</v>
      </c>
      <c r="AQ16" s="9">
        <f>'9'!BS19</f>
        <v>0.72083174572819975</v>
      </c>
      <c r="AR16" s="9">
        <f>'9'!CA19</f>
        <v>0.71288901997033804</v>
      </c>
      <c r="AS16" s="9">
        <f>'9'!CI19</f>
        <v>0.60953060721864039</v>
      </c>
      <c r="AT16" s="9">
        <f>'9'!H19</f>
        <v>0.44780458265691525</v>
      </c>
      <c r="AU16" s="9">
        <f>'9'!P19</f>
        <v>0.27850604237112947</v>
      </c>
      <c r="AV16" s="9">
        <f>'9'!X19</f>
        <v>0.29290615513228102</v>
      </c>
      <c r="AW16" s="9">
        <f>'9'!AF19</f>
        <v>0.38080016714420584</v>
      </c>
      <c r="AX16" s="9">
        <f>'9'!AN19</f>
        <v>0.28130398038846005</v>
      </c>
      <c r="AY16" s="9">
        <f>'9'!AV19</f>
        <v>0.3866258603521715</v>
      </c>
      <c r="AZ16" s="9">
        <f>'9'!BD19</f>
        <v>0.47965220498776856</v>
      </c>
      <c r="BA16" s="9">
        <f>'9'!BL19</f>
        <v>0.38852384641052429</v>
      </c>
      <c r="BB16" s="9">
        <f>'9'!BT19</f>
        <v>0.42000045746120829</v>
      </c>
      <c r="BC16" s="9">
        <f>'9'!CB19</f>
        <v>0.60195610498675134</v>
      </c>
      <c r="BD16" s="9">
        <f>'9'!CJ19</f>
        <v>0.48714717707506339</v>
      </c>
      <c r="BE16" s="9">
        <f>'10'!H19</f>
        <v>0.33813397769570547</v>
      </c>
      <c r="BF16" s="9">
        <f>'10'!P19</f>
        <v>0.16140241694845178</v>
      </c>
      <c r="BG16" s="9">
        <f>'10'!X19</f>
        <v>0.23426371048257305</v>
      </c>
      <c r="BH16" s="9">
        <f>'10'!AF19</f>
        <v>0.29033691747847989</v>
      </c>
      <c r="BI16" s="9">
        <f>'10'!AN19</f>
        <v>0.17060704093936938</v>
      </c>
      <c r="BJ16" s="9">
        <f>'10'!AV19</f>
        <v>0.2675174278858154</v>
      </c>
      <c r="BK16" s="9">
        <f>'10'!BD19</f>
        <v>0.35838397264080224</v>
      </c>
      <c r="BL16" s="9">
        <f>'10'!BL19</f>
        <v>0.283584960819526</v>
      </c>
      <c r="BM16" s="9">
        <f>'10'!BT19</f>
        <v>0.31162856567926955</v>
      </c>
      <c r="BN16" s="9">
        <f>'10'!CB19</f>
        <v>0.48159730572091608</v>
      </c>
      <c r="BO16" s="9">
        <f>'10'!CJ19</f>
        <v>0.41544789469277066</v>
      </c>
    </row>
    <row r="17" spans="1:67">
      <c r="A17" s="1">
        <v>1982</v>
      </c>
      <c r="B17" s="9">
        <f>'9'!B20</f>
        <v>0.24478856353058198</v>
      </c>
      <c r="C17" s="9">
        <f>'9'!J20</f>
        <v>8.7466334539934174E-2</v>
      </c>
      <c r="D17" s="9">
        <f>'9'!R20</f>
        <v>0.17999325186694534</v>
      </c>
      <c r="E17" s="9">
        <f>'9'!Z20</f>
        <v>0.21691283683106291</v>
      </c>
      <c r="F17" s="9">
        <f>'9'!AH20</f>
        <v>0.1117113878130612</v>
      </c>
      <c r="G17" s="9">
        <f>'9'!AP20</f>
        <v>0.1688607542450852</v>
      </c>
      <c r="H17" s="9">
        <f>'9'!AX20</f>
        <v>0.25968459506712777</v>
      </c>
      <c r="I17" s="9">
        <f>'9'!BF20</f>
        <v>0.23036416368652973</v>
      </c>
      <c r="J17" s="9">
        <f>'9'!BN20</f>
        <v>0.21783472983496147</v>
      </c>
      <c r="K17" s="9">
        <f>'9'!BV20</f>
        <v>0.37475517484536675</v>
      </c>
      <c r="L17" s="9">
        <f>'9'!CD20</f>
        <v>0.31496722849577508</v>
      </c>
      <c r="M17" s="9">
        <f>'9'!D20</f>
        <v>0.25213587905563967</v>
      </c>
      <c r="N17" s="9">
        <f>'9'!L20</f>
        <v>0.17192099883548367</v>
      </c>
      <c r="O17" s="9">
        <f>'9'!T20</f>
        <v>8.8554849676685463E-2</v>
      </c>
      <c r="P17" s="9">
        <f>'9'!AB20</f>
        <v>0.14247628863851514</v>
      </c>
      <c r="Q17" s="9">
        <f>'9'!AJ20</f>
        <v>0.15021683481130779</v>
      </c>
      <c r="R17" s="9">
        <f>'9'!AR20</f>
        <v>0.20022856321087612</v>
      </c>
      <c r="S17" s="9">
        <f>'9'!AZ20</f>
        <v>0.1966969268541173</v>
      </c>
      <c r="T17" s="9">
        <f>'9'!BH20</f>
        <v>0.23655071191279708</v>
      </c>
      <c r="U17" s="9">
        <f>'9'!BP20</f>
        <v>0.33032409623529557</v>
      </c>
      <c r="V17" s="9">
        <f>'9'!BX20</f>
        <v>0.58281227586298545</v>
      </c>
      <c r="W17" s="9">
        <f>'9'!CF20</f>
        <v>0.29677007627738905</v>
      </c>
      <c r="X17" s="9">
        <f>'9'!F20</f>
        <v>0.63333307819238305</v>
      </c>
      <c r="Y17" s="9">
        <f>'9'!N20</f>
        <v>0.40885941266959336</v>
      </c>
      <c r="Z17" s="9">
        <f>'9'!V20</f>
        <v>0.5757024128558178</v>
      </c>
      <c r="AA17" s="9">
        <f>'9'!AD20</f>
        <v>0.51883087090194802</v>
      </c>
      <c r="AB17" s="9">
        <f>'9'!AL20</f>
        <v>0.35992118980643312</v>
      </c>
      <c r="AC17" s="9">
        <f>'9'!AT20</f>
        <v>0.61605476410599769</v>
      </c>
      <c r="AD17" s="9">
        <f>'9'!BB20</f>
        <v>0.73808586794813802</v>
      </c>
      <c r="AE17" s="9">
        <f>'9'!BJ20</f>
        <v>0.51464060519526611</v>
      </c>
      <c r="AF17" s="9">
        <f>'9'!BR20</f>
        <v>0.51827543171596335</v>
      </c>
      <c r="AG17" s="9">
        <f>'9'!BZ20</f>
        <v>0.71213847018311682</v>
      </c>
      <c r="AH17" s="9">
        <f>'9'!CH20</f>
        <v>0.57084594300491354</v>
      </c>
      <c r="AI17" s="9">
        <f>'9'!G20</f>
        <v>0.60180498696168072</v>
      </c>
      <c r="AJ17" s="9">
        <f>'9'!O20</f>
        <v>0.41157836978659207</v>
      </c>
      <c r="AK17" s="9">
        <f>'9'!W20</f>
        <v>0.50014769336507026</v>
      </c>
      <c r="AL17" s="9">
        <f>'9'!AE20</f>
        <v>0.65044368359813687</v>
      </c>
      <c r="AM17" s="9">
        <f>'9'!AM20</f>
        <v>0.47666775672041134</v>
      </c>
      <c r="AN17" s="9">
        <f>'9'!AU20</f>
        <v>0.55783184340064806</v>
      </c>
      <c r="AO17" s="9">
        <f>'9'!BC20</f>
        <v>0.63565983644267643</v>
      </c>
      <c r="AP17" s="9">
        <f>'9'!BK20</f>
        <v>0.63543806260371716</v>
      </c>
      <c r="AQ17" s="9">
        <f>'9'!BS20</f>
        <v>0.76371266951126482</v>
      </c>
      <c r="AR17" s="9">
        <f>'9'!CA20</f>
        <v>0.64474961545561871</v>
      </c>
      <c r="AS17" s="9">
        <f>'9'!CI20</f>
        <v>0.55295977688516529</v>
      </c>
      <c r="AT17" s="9">
        <f>'9'!H20</f>
        <v>0.43301562693507134</v>
      </c>
      <c r="AU17" s="9">
        <f>'9'!P20</f>
        <v>0.26995627895790081</v>
      </c>
      <c r="AV17" s="9">
        <f>'9'!X20</f>
        <v>0.33609955194112973</v>
      </c>
      <c r="AW17" s="9">
        <f>'9'!AF20</f>
        <v>0.38216591999241573</v>
      </c>
      <c r="AX17" s="9">
        <f>'9'!AN20</f>
        <v>0.27462929228780336</v>
      </c>
      <c r="AY17" s="9">
        <f>'9'!AV20</f>
        <v>0.38574398124065179</v>
      </c>
      <c r="AZ17" s="9">
        <f>'9'!BD20</f>
        <v>0.45753180657801484</v>
      </c>
      <c r="BA17" s="9">
        <f>'9'!BL20</f>
        <v>0.40424838584957756</v>
      </c>
      <c r="BB17" s="9">
        <f>'9'!BT20</f>
        <v>0.45753673182437132</v>
      </c>
      <c r="BC17" s="9">
        <f>'9'!CB20</f>
        <v>0.57861388408677195</v>
      </c>
      <c r="BD17" s="9">
        <f>'9'!CJ20</f>
        <v>0.43388575616581077</v>
      </c>
      <c r="BE17" s="9">
        <f>'10'!H20</f>
        <v>0.32007938889237775</v>
      </c>
      <c r="BF17" s="9">
        <f>'10'!P20</f>
        <v>0.16046231230712082</v>
      </c>
      <c r="BG17" s="9">
        <f>'10'!X20</f>
        <v>0.24243577189661908</v>
      </c>
      <c r="BH17" s="9">
        <f>'10'!AF20</f>
        <v>0.28301407009560403</v>
      </c>
      <c r="BI17" s="9">
        <f>'10'!AN20</f>
        <v>0.17687854960295807</v>
      </c>
      <c r="BJ17" s="9">
        <f>'10'!AV20</f>
        <v>0.25561404504331181</v>
      </c>
      <c r="BK17" s="9">
        <f>'10'!BD20</f>
        <v>0.33882347967148257</v>
      </c>
      <c r="BL17" s="9">
        <f>'10'!BL20</f>
        <v>0.29991785255174885</v>
      </c>
      <c r="BM17" s="9">
        <f>'10'!BT20</f>
        <v>0.31371553063072538</v>
      </c>
      <c r="BN17" s="9">
        <f>'10'!CB20</f>
        <v>0.4562986585419288</v>
      </c>
      <c r="BO17" s="9">
        <f>'10'!CJ20</f>
        <v>0.36253463956378928</v>
      </c>
    </row>
    <row r="18" spans="1:67">
      <c r="A18" s="1">
        <v>1983</v>
      </c>
      <c r="B18" s="9">
        <f>'9'!B21</f>
        <v>0.25449385343764758</v>
      </c>
      <c r="C18" s="9">
        <f>'9'!J21</f>
        <v>0.1012860766753356</v>
      </c>
      <c r="D18" s="9">
        <f>'9'!R21</f>
        <v>0.18853152565688744</v>
      </c>
      <c r="E18" s="9">
        <f>'9'!Z21</f>
        <v>0.21913810381994009</v>
      </c>
      <c r="F18" s="9">
        <f>'9'!AH21</f>
        <v>0.1322248716609048</v>
      </c>
      <c r="G18" s="9">
        <f>'9'!AP21</f>
        <v>0.18707762604829281</v>
      </c>
      <c r="H18" s="9">
        <f>'9'!AX21</f>
        <v>0.27078232783297135</v>
      </c>
      <c r="I18" s="9">
        <f>'9'!BF21</f>
        <v>0.23832159975295916</v>
      </c>
      <c r="J18" s="9">
        <f>'9'!BN21</f>
        <v>0.22109435720565673</v>
      </c>
      <c r="K18" s="9">
        <f>'9'!BV21</f>
        <v>0.37828773270750471</v>
      </c>
      <c r="L18" s="9">
        <f>'9'!CD21</f>
        <v>0.30962657179109354</v>
      </c>
      <c r="M18" s="9">
        <f>'9'!D21</f>
        <v>0.26155044305366026</v>
      </c>
      <c r="N18" s="9">
        <f>'9'!L21</f>
        <v>0.17335665356942101</v>
      </c>
      <c r="O18" s="9">
        <f>'9'!T21</f>
        <v>9.3876826678976497E-2</v>
      </c>
      <c r="P18" s="9">
        <f>'9'!AB21</f>
        <v>0.14935443507237858</v>
      </c>
      <c r="Q18" s="9">
        <f>'9'!AJ21</f>
        <v>0.14843292782374889</v>
      </c>
      <c r="R18" s="9">
        <f>'9'!AR21</f>
        <v>0.20409905194775241</v>
      </c>
      <c r="S18" s="9">
        <f>'9'!AZ21</f>
        <v>0.20118175447870573</v>
      </c>
      <c r="T18" s="9">
        <f>'9'!BH21</f>
        <v>0.23626078627920308</v>
      </c>
      <c r="U18" s="9">
        <f>'9'!BP21</f>
        <v>0.34264978558856035</v>
      </c>
      <c r="V18" s="9">
        <f>'9'!BX21</f>
        <v>0.64573445984009481</v>
      </c>
      <c r="W18" s="9">
        <f>'9'!CF21</f>
        <v>0.29234823858125308</v>
      </c>
      <c r="X18" s="9">
        <f>'9'!F21</f>
        <v>0.60013558735999839</v>
      </c>
      <c r="Y18" s="9">
        <f>'9'!N21</f>
        <v>0.24238351254480286</v>
      </c>
      <c r="Z18" s="9">
        <f>'9'!V21</f>
        <v>0.64336692878912549</v>
      </c>
      <c r="AA18" s="9">
        <f>'9'!AD21</f>
        <v>0.53755030279422311</v>
      </c>
      <c r="AB18" s="9">
        <f>'9'!AL21</f>
        <v>0.27145798470311339</v>
      </c>
      <c r="AC18" s="9">
        <f>'9'!AT21</f>
        <v>0.61597300000268285</v>
      </c>
      <c r="AD18" s="9">
        <f>'9'!BB21</f>
        <v>0.66969336398326762</v>
      </c>
      <c r="AE18" s="9">
        <f>'9'!BJ21</f>
        <v>0.5652200559241003</v>
      </c>
      <c r="AF18" s="9">
        <f>'9'!BR21</f>
        <v>0.49912954994953801</v>
      </c>
      <c r="AG18" s="9">
        <f>'9'!BZ21</f>
        <v>0.57882041668042217</v>
      </c>
      <c r="AH18" s="9">
        <f>'9'!CH21</f>
        <v>0.62531379257892206</v>
      </c>
      <c r="AI18" s="9">
        <f>'9'!G21</f>
        <v>0.57745844659138112</v>
      </c>
      <c r="AJ18" s="9">
        <f>'9'!O21</f>
        <v>0.33440328678736059</v>
      </c>
      <c r="AK18" s="9">
        <f>'9'!W21</f>
        <v>0.50932292058240758</v>
      </c>
      <c r="AL18" s="9">
        <f>'9'!AE21</f>
        <v>0.65093139818486079</v>
      </c>
      <c r="AM18" s="9">
        <f>'9'!AM21</f>
        <v>0.41863736341171404</v>
      </c>
      <c r="AN18" s="9">
        <f>'9'!AU21</f>
        <v>0.57483691178143614</v>
      </c>
      <c r="AO18" s="9">
        <f>'9'!BC21</f>
        <v>0.58831083900365877</v>
      </c>
      <c r="AP18" s="9">
        <f>'9'!BK21</f>
        <v>0.54803029694156802</v>
      </c>
      <c r="AQ18" s="9">
        <f>'9'!BS21</f>
        <v>0.75240404066837185</v>
      </c>
      <c r="AR18" s="9">
        <f>'9'!CA21</f>
        <v>0.57542741616684556</v>
      </c>
      <c r="AS18" s="9">
        <f>'9'!CI21</f>
        <v>0.57695756152533217</v>
      </c>
      <c r="AT18" s="9">
        <f>'9'!H21</f>
        <v>0.42340958261067185</v>
      </c>
      <c r="AU18" s="9">
        <f>'9'!P21</f>
        <v>0.21285738239423002</v>
      </c>
      <c r="AV18" s="9">
        <f>'9'!X21</f>
        <v>0.35877455042684925</v>
      </c>
      <c r="AW18" s="9">
        <f>'9'!AF21</f>
        <v>0.38924355996785065</v>
      </c>
      <c r="AX18" s="9">
        <f>'9'!AN21</f>
        <v>0.24268828689987026</v>
      </c>
      <c r="AY18" s="9">
        <f>'9'!AV21</f>
        <v>0.39549664744504109</v>
      </c>
      <c r="AZ18" s="9">
        <f>'9'!BD21</f>
        <v>0.43249207132465084</v>
      </c>
      <c r="BA18" s="9">
        <f>'9'!BL21</f>
        <v>0.39695818472445765</v>
      </c>
      <c r="BB18" s="9">
        <f>'9'!BT21</f>
        <v>0.45381943335303176</v>
      </c>
      <c r="BC18" s="9">
        <f>'9'!CB21</f>
        <v>0.54456750634871676</v>
      </c>
      <c r="BD18" s="9">
        <f>'9'!CJ21</f>
        <v>0.4510615411191502</v>
      </c>
      <c r="BE18" s="9">
        <f>'10'!H21</f>
        <v>0.32206014510685732</v>
      </c>
      <c r="BF18" s="9">
        <f>'10'!P21</f>
        <v>0.14591459896289335</v>
      </c>
      <c r="BG18" s="9">
        <f>'10'!X21</f>
        <v>0.2566287355648722</v>
      </c>
      <c r="BH18" s="9">
        <f>'10'!AF21</f>
        <v>0.2871802862791043</v>
      </c>
      <c r="BI18" s="9">
        <f>'10'!AN21</f>
        <v>0.17641023775649101</v>
      </c>
      <c r="BJ18" s="9">
        <f>'10'!AV21</f>
        <v>0.2704452346069921</v>
      </c>
      <c r="BK18" s="9">
        <f>'10'!BD21</f>
        <v>0.33546622522964314</v>
      </c>
      <c r="BL18" s="9">
        <f>'10'!BL21</f>
        <v>0.30177623374155854</v>
      </c>
      <c r="BM18" s="9">
        <f>'10'!BT21</f>
        <v>0.31418438766460677</v>
      </c>
      <c r="BN18" s="9">
        <f>'10'!CB21</f>
        <v>0.44479964216398954</v>
      </c>
      <c r="BO18" s="9">
        <f>'10'!CJ21</f>
        <v>0.36620055952231623</v>
      </c>
    </row>
    <row r="19" spans="1:67">
      <c r="A19" s="1">
        <v>1984</v>
      </c>
      <c r="B19" s="9">
        <f>'9'!B22</f>
        <v>0.27404016142312027</v>
      </c>
      <c r="C19" s="9">
        <f>'9'!J22</f>
        <v>0.13184549093481235</v>
      </c>
      <c r="D19" s="9">
        <f>'9'!R22</f>
        <v>0.22211688697315826</v>
      </c>
      <c r="E19" s="9">
        <f>'9'!Z22</f>
        <v>0.26105707218938345</v>
      </c>
      <c r="F19" s="9">
        <f>'9'!AH22</f>
        <v>0.1618565386204231</v>
      </c>
      <c r="G19" s="9">
        <f>'9'!AP22</f>
        <v>0.21514370265068819</v>
      </c>
      <c r="H19" s="9">
        <f>'9'!AX22</f>
        <v>0.29170422250463268</v>
      </c>
      <c r="I19" s="9">
        <f>'9'!BF22</f>
        <v>0.28708622703446462</v>
      </c>
      <c r="J19" s="9">
        <f>'9'!BN22</f>
        <v>0.22748730331968453</v>
      </c>
      <c r="K19" s="9">
        <f>'9'!BV22</f>
        <v>0.37629400613310432</v>
      </c>
      <c r="L19" s="9">
        <f>'9'!CD22</f>
        <v>0.30552942895581869</v>
      </c>
      <c r="M19" s="9">
        <f>'9'!D22</f>
        <v>0.26197048084309882</v>
      </c>
      <c r="N19" s="9">
        <f>'9'!L22</f>
        <v>0.17951969995066791</v>
      </c>
      <c r="O19" s="9">
        <f>'9'!T22</f>
        <v>9.6323565249441898E-2</v>
      </c>
      <c r="P19" s="9">
        <f>'9'!AB22</f>
        <v>0.15865884616511211</v>
      </c>
      <c r="Q19" s="9">
        <f>'9'!AJ22</f>
        <v>0.14857153031966308</v>
      </c>
      <c r="R19" s="9">
        <f>'9'!AR22</f>
        <v>0.20834088472275455</v>
      </c>
      <c r="S19" s="9">
        <f>'9'!AZ22</f>
        <v>0.20574985146448668</v>
      </c>
      <c r="T19" s="9">
        <f>'9'!BH22</f>
        <v>0.24133118722514368</v>
      </c>
      <c r="U19" s="9">
        <f>'9'!BP22</f>
        <v>0.3590251009599465</v>
      </c>
      <c r="V19" s="9">
        <f>'9'!BX22</f>
        <v>0.62221602152750144</v>
      </c>
      <c r="W19" s="9">
        <f>'9'!CF22</f>
        <v>0.28939480861255956</v>
      </c>
      <c r="X19" s="9">
        <f>'9'!F22</f>
        <v>0.57898096574614399</v>
      </c>
      <c r="Y19" s="9">
        <f>'9'!N22</f>
        <v>0.32385081270531235</v>
      </c>
      <c r="Z19" s="9">
        <f>'9'!V22</f>
        <v>0.57243536460880062</v>
      </c>
      <c r="AA19" s="9">
        <f>'9'!AD22</f>
        <v>0.54081003633493385</v>
      </c>
      <c r="AB19" s="9">
        <f>'9'!AL22</f>
        <v>0.39077901066278808</v>
      </c>
      <c r="AC19" s="9">
        <f>'9'!AT22</f>
        <v>0.5450508350951373</v>
      </c>
      <c r="AD19" s="9">
        <f>'9'!BB22</f>
        <v>0.69538436423292294</v>
      </c>
      <c r="AE19" s="9">
        <f>'9'!BJ22</f>
        <v>0.53172476750368269</v>
      </c>
      <c r="AF19" s="9">
        <f>'9'!BR22</f>
        <v>0.38175936614772821</v>
      </c>
      <c r="AG19" s="9">
        <f>'9'!BZ22</f>
        <v>0.52423218651320747</v>
      </c>
      <c r="AH19" s="9">
        <f>'9'!CH22</f>
        <v>0.55510391696181638</v>
      </c>
      <c r="AI19" s="9">
        <f>'9'!G22</f>
        <v>0.59876962118468435</v>
      </c>
      <c r="AJ19" s="9">
        <f>'9'!O22</f>
        <v>0.46041952656113777</v>
      </c>
      <c r="AK19" s="9">
        <f>'9'!W22</f>
        <v>0.58618352790458705</v>
      </c>
      <c r="AL19" s="9">
        <f>'9'!AE22</f>
        <v>0.60637174218150214</v>
      </c>
      <c r="AM19" s="9">
        <f>'9'!AM22</f>
        <v>0.47762912328318485</v>
      </c>
      <c r="AN19" s="9">
        <f>'9'!AU22</f>
        <v>0.60178313388351179</v>
      </c>
      <c r="AO19" s="9">
        <f>'9'!BC22</f>
        <v>0.62792185924655119</v>
      </c>
      <c r="AP19" s="9">
        <f>'9'!BK22</f>
        <v>0.653035095947196</v>
      </c>
      <c r="AQ19" s="9">
        <f>'9'!BS22</f>
        <v>0.69979436344291701</v>
      </c>
      <c r="AR19" s="9">
        <f>'9'!CA22</f>
        <v>0.59173142086563169</v>
      </c>
      <c r="AS19" s="9">
        <f>'9'!CI22</f>
        <v>0.51629846634910725</v>
      </c>
      <c r="AT19" s="9">
        <f>'9'!H22</f>
        <v>0.42844030729926186</v>
      </c>
      <c r="AU19" s="9">
        <f>'9'!P22</f>
        <v>0.27390888253798257</v>
      </c>
      <c r="AV19" s="9">
        <f>'9'!X22</f>
        <v>0.36926483618399697</v>
      </c>
      <c r="AW19" s="9">
        <f>'9'!AF22</f>
        <v>0.3917244242177329</v>
      </c>
      <c r="AX19" s="9">
        <f>'9'!AN22</f>
        <v>0.29470905072151476</v>
      </c>
      <c r="AY19" s="9">
        <f>'9'!AV22</f>
        <v>0.39257963908802296</v>
      </c>
      <c r="AZ19" s="9">
        <f>'9'!BD22</f>
        <v>0.45519007436214837</v>
      </c>
      <c r="BA19" s="9">
        <f>'9'!BL22</f>
        <v>0.42829431942762175</v>
      </c>
      <c r="BB19" s="9">
        <f>'9'!BT22</f>
        <v>0.41701653346756906</v>
      </c>
      <c r="BC19" s="9">
        <f>'9'!CB22</f>
        <v>0.52861840875986132</v>
      </c>
      <c r="BD19" s="9">
        <f>'9'!CJ22</f>
        <v>0.41658165521982549</v>
      </c>
      <c r="BE19" s="9">
        <f>'10'!H22</f>
        <v>0.33580021977357694</v>
      </c>
      <c r="BF19" s="9">
        <f>'10'!P22</f>
        <v>0.18867084757608044</v>
      </c>
      <c r="BG19" s="9">
        <f>'10'!X22</f>
        <v>0.28097606665749375</v>
      </c>
      <c r="BH19" s="9">
        <f>'10'!AF22</f>
        <v>0.31332401300072327</v>
      </c>
      <c r="BI19" s="9">
        <f>'10'!AN22</f>
        <v>0.21499754346085975</v>
      </c>
      <c r="BJ19" s="9">
        <f>'10'!AV22</f>
        <v>0.28611807722562205</v>
      </c>
      <c r="BK19" s="9">
        <f>'10'!BD22</f>
        <v>0.35709856324763894</v>
      </c>
      <c r="BL19" s="9">
        <f>'10'!BL22</f>
        <v>0.34356946399172744</v>
      </c>
      <c r="BM19" s="9">
        <f>'10'!BT22</f>
        <v>0.30329899537883837</v>
      </c>
      <c r="BN19" s="9">
        <f>'10'!CB22</f>
        <v>0.43722376718380707</v>
      </c>
      <c r="BO19" s="9">
        <f>'10'!CJ22</f>
        <v>0.34995031946142141</v>
      </c>
    </row>
    <row r="20" spans="1:67">
      <c r="A20" s="1">
        <v>1985</v>
      </c>
      <c r="B20" s="9">
        <f>'9'!B23</f>
        <v>0.30292426979507547</v>
      </c>
      <c r="C20" s="9">
        <f>'9'!J23</f>
        <v>0.16012008057354765</v>
      </c>
      <c r="D20" s="9">
        <f>'9'!R23</f>
        <v>0.232458709554414</v>
      </c>
      <c r="E20" s="9">
        <f>'9'!Z23</f>
        <v>0.2941726649126169</v>
      </c>
      <c r="F20" s="9">
        <f>'9'!AH23</f>
        <v>0.20490621429382325</v>
      </c>
      <c r="G20" s="9">
        <f>'9'!AP23</f>
        <v>0.24761751876682772</v>
      </c>
      <c r="H20" s="9">
        <f>'9'!AX23</f>
        <v>0.3204168209382543</v>
      </c>
      <c r="I20" s="9">
        <f>'9'!BF23</f>
        <v>0.32226396899777598</v>
      </c>
      <c r="J20" s="9">
        <f>'9'!BN23</f>
        <v>0.23303855465586082</v>
      </c>
      <c r="K20" s="9">
        <f>'9'!BV23</f>
        <v>0.41099399635570755</v>
      </c>
      <c r="L20" s="9">
        <f>'9'!CD23</f>
        <v>0.32123530301798991</v>
      </c>
      <c r="M20" s="9">
        <f>'9'!D23</f>
        <v>0.25766914460604035</v>
      </c>
      <c r="N20" s="9">
        <f>'9'!L23</f>
        <v>0.17606800093250471</v>
      </c>
      <c r="O20" s="9">
        <f>'9'!T23</f>
        <v>9.9251967392188695E-2</v>
      </c>
      <c r="P20" s="9">
        <f>'9'!AB23</f>
        <v>0.15718713515518212</v>
      </c>
      <c r="Q20" s="9">
        <f>'9'!AJ23</f>
        <v>0.14604121910447213</v>
      </c>
      <c r="R20" s="9">
        <f>'9'!AR23</f>
        <v>0.20903861041290089</v>
      </c>
      <c r="S20" s="9">
        <f>'9'!AZ23</f>
        <v>0.20635208737036076</v>
      </c>
      <c r="T20" s="9">
        <f>'9'!BH23</f>
        <v>0.23632867842537861</v>
      </c>
      <c r="U20" s="9">
        <f>'9'!BP23</f>
        <v>0.35100489924667277</v>
      </c>
      <c r="V20" s="9">
        <f>'9'!BX23</f>
        <v>0.60843397916877917</v>
      </c>
      <c r="W20" s="9">
        <f>'9'!CF23</f>
        <v>0.28318051422973378</v>
      </c>
      <c r="X20" s="9">
        <f>'9'!F23</f>
        <v>0.62312174818864408</v>
      </c>
      <c r="Y20" s="9">
        <f>'9'!N23</f>
        <v>0.27627680337235294</v>
      </c>
      <c r="Z20" s="9">
        <f>'9'!V23</f>
        <v>0.65071956921236351</v>
      </c>
      <c r="AA20" s="9">
        <f>'9'!AD23</f>
        <v>0.53924779731142203</v>
      </c>
      <c r="AB20" s="9">
        <f>'9'!AL23</f>
        <v>0.52854800054075879</v>
      </c>
      <c r="AC20" s="9">
        <f>'9'!AT23</f>
        <v>0.60980448487394967</v>
      </c>
      <c r="AD20" s="9">
        <f>'9'!BB23</f>
        <v>0.74410758965338442</v>
      </c>
      <c r="AE20" s="9">
        <f>'9'!BJ23</f>
        <v>0.59439845266683344</v>
      </c>
      <c r="AF20" s="9">
        <f>'9'!BR23</f>
        <v>0.30368179575610416</v>
      </c>
      <c r="AG20" s="9">
        <f>'9'!BZ23</f>
        <v>0.67581879391074784</v>
      </c>
      <c r="AH20" s="9">
        <f>'9'!CH23</f>
        <v>0.51651369843274342</v>
      </c>
      <c r="AI20" s="9">
        <f>'9'!G23</f>
        <v>0.60452439439058236</v>
      </c>
      <c r="AJ20" s="9">
        <f>'9'!O23</f>
        <v>0.46778924147499279</v>
      </c>
      <c r="AK20" s="9">
        <f>'9'!W23</f>
        <v>0.54990750262374466</v>
      </c>
      <c r="AL20" s="9">
        <f>'9'!AE23</f>
        <v>0.59106151278813224</v>
      </c>
      <c r="AM20" s="9">
        <f>'9'!AM23</f>
        <v>0.49711685107665859</v>
      </c>
      <c r="AN20" s="9">
        <f>'9'!AU23</f>
        <v>0.59220165730100516</v>
      </c>
      <c r="AO20" s="9">
        <f>'9'!BC23</f>
        <v>0.64410289414045541</v>
      </c>
      <c r="AP20" s="9">
        <f>'9'!BK23</f>
        <v>0.62816502695729171</v>
      </c>
      <c r="AQ20" s="9">
        <f>'9'!BS23</f>
        <v>0.66759072841013045</v>
      </c>
      <c r="AR20" s="9">
        <f>'9'!CA23</f>
        <v>0.63762014494069985</v>
      </c>
      <c r="AS20" s="9">
        <f>'9'!CI23</f>
        <v>0.51610257421341199</v>
      </c>
      <c r="AT20" s="9">
        <f>'9'!H23</f>
        <v>0.44705988924508555</v>
      </c>
      <c r="AU20" s="9">
        <f>'9'!P23</f>
        <v>0.2700635315883495</v>
      </c>
      <c r="AV20" s="9">
        <f>'9'!X23</f>
        <v>0.38308443719567775</v>
      </c>
      <c r="AW20" s="9">
        <f>'9'!AF23</f>
        <v>0.39541727754183831</v>
      </c>
      <c r="AX20" s="9">
        <f>'9'!AN23</f>
        <v>0.34415307125392819</v>
      </c>
      <c r="AY20" s="9">
        <f>'9'!AV23</f>
        <v>0.41466556783867087</v>
      </c>
      <c r="AZ20" s="9">
        <f>'9'!BD23</f>
        <v>0.47874484802561373</v>
      </c>
      <c r="BA20" s="9">
        <f>'9'!BL23</f>
        <v>0.44528903176181989</v>
      </c>
      <c r="BB20" s="9">
        <f>'9'!BT23</f>
        <v>0.38882899451719211</v>
      </c>
      <c r="BC20" s="9">
        <f>'9'!CB23</f>
        <v>0.58321672859398366</v>
      </c>
      <c r="BD20" s="9">
        <f>'9'!CJ23</f>
        <v>0.40925802247346976</v>
      </c>
      <c r="BE20" s="9">
        <f>'10'!H23</f>
        <v>0.36057851757507953</v>
      </c>
      <c r="BF20" s="9">
        <f>'10'!P23</f>
        <v>0.2040974609794684</v>
      </c>
      <c r="BG20" s="9">
        <f>'10'!X23</f>
        <v>0.29270900061091948</v>
      </c>
      <c r="BH20" s="9">
        <f>'10'!AF23</f>
        <v>0.33467050996430547</v>
      </c>
      <c r="BI20" s="9">
        <f>'10'!AN23</f>
        <v>0.26060495707786524</v>
      </c>
      <c r="BJ20" s="9">
        <f>'10'!AV23</f>
        <v>0.31443673839556502</v>
      </c>
      <c r="BK20" s="9">
        <f>'10'!BD23</f>
        <v>0.38374803177319805</v>
      </c>
      <c r="BL20" s="9">
        <f>'10'!BL23</f>
        <v>0.37147399410339355</v>
      </c>
      <c r="BM20" s="9">
        <f>'10'!BT23</f>
        <v>0.2953547306003933</v>
      </c>
      <c r="BN20" s="9">
        <f>'10'!CB23</f>
        <v>0.47988308925101797</v>
      </c>
      <c r="BO20" s="9">
        <f>'10'!CJ23</f>
        <v>0.35644439080018187</v>
      </c>
    </row>
    <row r="21" spans="1:67">
      <c r="A21" s="1">
        <v>1986</v>
      </c>
      <c r="B21" s="9">
        <f>'9'!B24</f>
        <v>0.32553926355574225</v>
      </c>
      <c r="C21" s="9">
        <f>'9'!J24</f>
        <v>0.19430746991861012</v>
      </c>
      <c r="D21" s="9">
        <f>'9'!R24</f>
        <v>0.23904445868748284</v>
      </c>
      <c r="E21" s="9">
        <f>'9'!Z24</f>
        <v>0.32152266660074758</v>
      </c>
      <c r="F21" s="9">
        <f>'9'!AH24</f>
        <v>0.24181540089177453</v>
      </c>
      <c r="G21" s="9">
        <f>'9'!AP24</f>
        <v>0.27632761952857293</v>
      </c>
      <c r="H21" s="9">
        <f>'9'!AX24</f>
        <v>0.34453304975147464</v>
      </c>
      <c r="I21" s="9">
        <f>'9'!BF24</f>
        <v>0.35378228072788942</v>
      </c>
      <c r="J21" s="9">
        <f>'9'!BN24</f>
        <v>0.25606133156464017</v>
      </c>
      <c r="K21" s="9">
        <f>'9'!BV24</f>
        <v>0.41344234509665334</v>
      </c>
      <c r="L21" s="9">
        <f>'9'!CD24</f>
        <v>0.32883566666357544</v>
      </c>
      <c r="M21" s="9">
        <f>'9'!D24</f>
        <v>0.24123711194910621</v>
      </c>
      <c r="N21" s="9">
        <f>'9'!L24</f>
        <v>0.17819992730765696</v>
      </c>
      <c r="O21" s="9">
        <f>'9'!T24</f>
        <v>0.10181351197257678</v>
      </c>
      <c r="P21" s="9">
        <f>'9'!AB24</f>
        <v>0.15783692687311154</v>
      </c>
      <c r="Q21" s="9">
        <f>'9'!AJ24</f>
        <v>0.14920101401944477</v>
      </c>
      <c r="R21" s="9">
        <f>'9'!AR24</f>
        <v>0.21363947240771014</v>
      </c>
      <c r="S21" s="9">
        <f>'9'!AZ24</f>
        <v>0.20881956124984066</v>
      </c>
      <c r="T21" s="9">
        <f>'9'!BH24</f>
        <v>0.23762840977170077</v>
      </c>
      <c r="U21" s="9">
        <f>'9'!BP24</f>
        <v>0.3184936245095224</v>
      </c>
      <c r="V21" s="9">
        <f>'9'!BX24</f>
        <v>0.4759015112563188</v>
      </c>
      <c r="W21" s="9">
        <f>'9'!CF24</f>
        <v>0.28294181154944653</v>
      </c>
      <c r="X21" s="9">
        <f>'9'!F24</f>
        <v>0.6457171797083503</v>
      </c>
      <c r="Y21" s="9">
        <f>'9'!N24</f>
        <v>0.3640919163431402</v>
      </c>
      <c r="Z21" s="9">
        <f>'9'!V24</f>
        <v>0.72109728779744076</v>
      </c>
      <c r="AA21" s="9">
        <f>'9'!AD24</f>
        <v>0.54998120927676664</v>
      </c>
      <c r="AB21" s="9">
        <f>'9'!AL24</f>
        <v>0.58463015337036794</v>
      </c>
      <c r="AC21" s="9">
        <f>'9'!AT24</f>
        <v>0.59827622896069943</v>
      </c>
      <c r="AD21" s="9">
        <f>'9'!BB24</f>
        <v>0.77408148775221253</v>
      </c>
      <c r="AE21" s="9">
        <f>'9'!BJ24</f>
        <v>0.59885652899434094</v>
      </c>
      <c r="AF21" s="9">
        <f>'9'!BR24</f>
        <v>0.26564202343942789</v>
      </c>
      <c r="AG21" s="9">
        <f>'9'!BZ24</f>
        <v>0.66544327829219063</v>
      </c>
      <c r="AH21" s="9">
        <f>'9'!CH24</f>
        <v>0.63174365658849596</v>
      </c>
      <c r="AI21" s="9">
        <f>'9'!G24</f>
        <v>0.59441335458415334</v>
      </c>
      <c r="AJ21" s="9">
        <f>'9'!O24</f>
        <v>0.52975644179646042</v>
      </c>
      <c r="AK21" s="9">
        <f>'9'!W24</f>
        <v>0.59195155131031219</v>
      </c>
      <c r="AL21" s="9">
        <f>'9'!AE24</f>
        <v>0.54350528644540874</v>
      </c>
      <c r="AM21" s="9">
        <f>'9'!AM24</f>
        <v>0.50278573333178356</v>
      </c>
      <c r="AN21" s="9">
        <f>'9'!AU24</f>
        <v>0.56871123842186944</v>
      </c>
      <c r="AO21" s="9">
        <f>'9'!BC24</f>
        <v>0.64972332082582884</v>
      </c>
      <c r="AP21" s="9">
        <f>'9'!BK24</f>
        <v>0.57402380844785461</v>
      </c>
      <c r="AQ21" s="9">
        <f>'9'!BS24</f>
        <v>0.63763845638143513</v>
      </c>
      <c r="AR21" s="9">
        <f>'9'!CA24</f>
        <v>0.6261993457939613</v>
      </c>
      <c r="AS21" s="9">
        <f>'9'!CI24</f>
        <v>0.5150191965315396</v>
      </c>
      <c r="AT21" s="9">
        <f>'9'!H24</f>
        <v>0.45172672744933806</v>
      </c>
      <c r="AU21" s="9">
        <f>'9'!P24</f>
        <v>0.31658893884146694</v>
      </c>
      <c r="AV21" s="9">
        <f>'9'!X24</f>
        <v>0.41347670244195317</v>
      </c>
      <c r="AW21" s="9">
        <f>'9'!AF24</f>
        <v>0.39321152229900869</v>
      </c>
      <c r="AX21" s="9">
        <f>'9'!AN24</f>
        <v>0.36960807540334273</v>
      </c>
      <c r="AY21" s="9">
        <f>'9'!AV24</f>
        <v>0.41423863982971298</v>
      </c>
      <c r="AZ21" s="9">
        <f>'9'!BD24</f>
        <v>0.49428935489483916</v>
      </c>
      <c r="BA21" s="9">
        <f>'9'!BL24</f>
        <v>0.4410727569854464</v>
      </c>
      <c r="BB21" s="9">
        <f>'9'!BT24</f>
        <v>0.36945885897375641</v>
      </c>
      <c r="BC21" s="9">
        <f>'9'!CB24</f>
        <v>0.54524662010978098</v>
      </c>
      <c r="BD21" s="9">
        <f>'9'!CJ24</f>
        <v>0.43963508283326436</v>
      </c>
      <c r="BE21" s="9">
        <f>'10'!H24</f>
        <v>0.3760142491131806</v>
      </c>
      <c r="BF21" s="9">
        <f>'10'!P24</f>
        <v>0.24322005748775283</v>
      </c>
      <c r="BG21" s="9">
        <f>'10'!X24</f>
        <v>0.30881735618927098</v>
      </c>
      <c r="BH21" s="9">
        <f>'10'!AF24</f>
        <v>0.35019820888005199</v>
      </c>
      <c r="BI21" s="9">
        <f>'10'!AN24</f>
        <v>0.29293247069640177</v>
      </c>
      <c r="BJ21" s="9">
        <f>'10'!AV24</f>
        <v>0.33149202764902896</v>
      </c>
      <c r="BK21" s="9">
        <f>'10'!BD24</f>
        <v>0.4044355718088205</v>
      </c>
      <c r="BL21" s="9">
        <f>'10'!BL24</f>
        <v>0.38869847123091228</v>
      </c>
      <c r="BM21" s="9">
        <f>'10'!BT24</f>
        <v>0.30142034252828664</v>
      </c>
      <c r="BN21" s="9">
        <f>'10'!CB24</f>
        <v>0.46616405510190434</v>
      </c>
      <c r="BO21" s="9">
        <f>'10'!CJ24</f>
        <v>0.37315543313145105</v>
      </c>
    </row>
    <row r="22" spans="1:67">
      <c r="A22" s="1">
        <v>1987</v>
      </c>
      <c r="B22" s="9">
        <f>'9'!B25</f>
        <v>0.35170871528965209</v>
      </c>
      <c r="C22" s="9">
        <f>'9'!J25</f>
        <v>0.2136348075064117</v>
      </c>
      <c r="D22" s="9">
        <f>'9'!R25</f>
        <v>0.28725709234027469</v>
      </c>
      <c r="E22" s="9">
        <f>'9'!Z25</f>
        <v>0.34912294921748643</v>
      </c>
      <c r="F22" s="9">
        <f>'9'!AH25</f>
        <v>0.2660904988975562</v>
      </c>
      <c r="G22" s="9">
        <f>'9'!AP25</f>
        <v>0.28917651502903846</v>
      </c>
      <c r="H22" s="9">
        <f>'9'!AX25</f>
        <v>0.37817344894894789</v>
      </c>
      <c r="I22" s="9">
        <f>'9'!BF25</f>
        <v>0.36559993760567655</v>
      </c>
      <c r="J22" s="9">
        <f>'9'!BN25</f>
        <v>0.27030354203810419</v>
      </c>
      <c r="K22" s="9">
        <f>'9'!BV25</f>
        <v>0.44034859780562285</v>
      </c>
      <c r="L22" s="9">
        <f>'9'!CD25</f>
        <v>0.36847119782639448</v>
      </c>
      <c r="M22" s="9">
        <f>'9'!D25</f>
        <v>0.24846321299635038</v>
      </c>
      <c r="N22" s="9">
        <f>'9'!L25</f>
        <v>0.18742049606747793</v>
      </c>
      <c r="O22" s="9">
        <f>'9'!T25</f>
        <v>0.10169859053067337</v>
      </c>
      <c r="P22" s="9">
        <f>'9'!AB25</f>
        <v>0.16797427195003378</v>
      </c>
      <c r="Q22" s="9">
        <f>'9'!AJ25</f>
        <v>0.16581552261934299</v>
      </c>
      <c r="R22" s="9">
        <f>'9'!AR25</f>
        <v>0.22100448017792335</v>
      </c>
      <c r="S22" s="9">
        <f>'9'!AZ25</f>
        <v>0.21828176994961038</v>
      </c>
      <c r="T22" s="9">
        <f>'9'!BH25</f>
        <v>0.24475704736966836</v>
      </c>
      <c r="U22" s="9">
        <f>'9'!BP25</f>
        <v>0.34852765264501168</v>
      </c>
      <c r="V22" s="9">
        <f>'9'!BX25</f>
        <v>0.45487016154575283</v>
      </c>
      <c r="W22" s="9">
        <f>'9'!CF25</f>
        <v>0.30120837912337806</v>
      </c>
      <c r="X22" s="9">
        <f>'9'!F25</f>
        <v>0.66683467440276667</v>
      </c>
      <c r="Y22" s="9">
        <f>'9'!N25</f>
        <v>0.37273323076700415</v>
      </c>
      <c r="Z22" s="9">
        <f>'9'!V25</f>
        <v>0.67854189929346687</v>
      </c>
      <c r="AA22" s="9">
        <f>'9'!AD25</f>
        <v>0.60245604687014798</v>
      </c>
      <c r="AB22" s="9">
        <f>'9'!AL25</f>
        <v>0.51600665780407207</v>
      </c>
      <c r="AC22" s="9">
        <f>'9'!AT25</f>
        <v>0.59860376802807147</v>
      </c>
      <c r="AD22" s="9">
        <f>'9'!BB25</f>
        <v>0.82186408271762157</v>
      </c>
      <c r="AE22" s="9">
        <f>'9'!BJ25</f>
        <v>0.62683505177171051</v>
      </c>
      <c r="AF22" s="9">
        <f>'9'!BR25</f>
        <v>0.5007472026582539</v>
      </c>
      <c r="AG22" s="9">
        <f>'9'!BZ25</f>
        <v>0.59797887241866676</v>
      </c>
      <c r="AH22" s="9">
        <f>'9'!CH25</f>
        <v>0.62624645091947895</v>
      </c>
      <c r="AI22" s="9">
        <f>'9'!G25</f>
        <v>0.58230626019551324</v>
      </c>
      <c r="AJ22" s="9">
        <f>'9'!O25</f>
        <v>0.48784348802459798</v>
      </c>
      <c r="AK22" s="9">
        <f>'9'!W25</f>
        <v>0.58087052395097549</v>
      </c>
      <c r="AL22" s="9">
        <f>'9'!AE25</f>
        <v>0.56767714019592197</v>
      </c>
      <c r="AM22" s="9">
        <f>'9'!AM25</f>
        <v>0.48381983196851525</v>
      </c>
      <c r="AN22" s="9">
        <f>'9'!AU25</f>
        <v>0.570071030919722</v>
      </c>
      <c r="AO22" s="9">
        <f>'9'!BC25</f>
        <v>0.64186571094492151</v>
      </c>
      <c r="AP22" s="9">
        <f>'9'!BK25</f>
        <v>0.60866382829394539</v>
      </c>
      <c r="AQ22" s="9">
        <f>'9'!BS25</f>
        <v>0.59294760021909387</v>
      </c>
      <c r="AR22" s="9">
        <f>'9'!CA25</f>
        <v>0.60706867801617315</v>
      </c>
      <c r="AS22" s="9">
        <f>'9'!CI25</f>
        <v>0.49961050950751129</v>
      </c>
      <c r="AT22" s="9">
        <f>'9'!H25</f>
        <v>0.46232821572107063</v>
      </c>
      <c r="AU22" s="9">
        <f>'9'!P25</f>
        <v>0.31540800559137294</v>
      </c>
      <c r="AV22" s="9">
        <f>'9'!X25</f>
        <v>0.41209202652884758</v>
      </c>
      <c r="AW22" s="9">
        <f>'9'!AF25</f>
        <v>0.42180760205839757</v>
      </c>
      <c r="AX22" s="9">
        <f>'9'!AN25</f>
        <v>0.35793312782237163</v>
      </c>
      <c r="AY22" s="9">
        <f>'9'!AV25</f>
        <v>0.41971394853868882</v>
      </c>
      <c r="AZ22" s="9">
        <f>'9'!BD25</f>
        <v>0.5150462531402753</v>
      </c>
      <c r="BA22" s="9">
        <f>'9'!BL25</f>
        <v>0.46146396626025021</v>
      </c>
      <c r="BB22" s="9">
        <f>'9'!BT25</f>
        <v>0.42813149939011591</v>
      </c>
      <c r="BC22" s="9">
        <f>'9'!CB25</f>
        <v>0.52506657744655394</v>
      </c>
      <c r="BD22" s="9">
        <f>'9'!CJ25</f>
        <v>0.44888413434419072</v>
      </c>
      <c r="BE22" s="9">
        <f>'10'!H25</f>
        <v>0.39595651546221944</v>
      </c>
      <c r="BF22" s="9">
        <f>'10'!P25</f>
        <v>0.25434408674039621</v>
      </c>
      <c r="BG22" s="9">
        <f>'10'!X25</f>
        <v>0.33719106601570387</v>
      </c>
      <c r="BH22" s="9">
        <f>'10'!AF25</f>
        <v>0.37819681035385083</v>
      </c>
      <c r="BI22" s="9">
        <f>'10'!AN25</f>
        <v>0.30282755046748233</v>
      </c>
      <c r="BJ22" s="9">
        <f>'10'!AV25</f>
        <v>0.34139148843289863</v>
      </c>
      <c r="BK22" s="9">
        <f>'10'!BD25</f>
        <v>0.43292257062547884</v>
      </c>
      <c r="BL22" s="9">
        <f>'10'!BL25</f>
        <v>0.40394554906750596</v>
      </c>
      <c r="BM22" s="9">
        <f>'10'!BT25</f>
        <v>0.33343472497890891</v>
      </c>
      <c r="BN22" s="9">
        <f>'10'!CB25</f>
        <v>0.47423578966199526</v>
      </c>
      <c r="BO22" s="9">
        <f>'10'!CJ25</f>
        <v>0.40063637243351297</v>
      </c>
    </row>
    <row r="23" spans="1:67">
      <c r="A23" s="1">
        <v>1988</v>
      </c>
      <c r="B23" s="9">
        <f>'9'!B26</f>
        <v>0.38220464420613254</v>
      </c>
      <c r="C23" s="9">
        <f>'9'!J26</f>
        <v>0.25193918788364705</v>
      </c>
      <c r="D23" s="9">
        <f>'9'!R26</f>
        <v>0.33397498697491473</v>
      </c>
      <c r="E23" s="9">
        <f>'9'!Z26</f>
        <v>0.37943724858124939</v>
      </c>
      <c r="F23" s="9">
        <f>'9'!AH26</f>
        <v>0.28621764169728453</v>
      </c>
      <c r="G23" s="9">
        <f>'9'!AP26</f>
        <v>0.31771903418119962</v>
      </c>
      <c r="H23" s="9">
        <f>'9'!AX26</f>
        <v>0.41123218682154333</v>
      </c>
      <c r="I23" s="9">
        <f>'9'!BF26</f>
        <v>0.37378385421783744</v>
      </c>
      <c r="J23" s="9">
        <f>'9'!BN26</f>
        <v>0.2790427901229216</v>
      </c>
      <c r="K23" s="9">
        <f>'9'!BV26</f>
        <v>0.46737932974309893</v>
      </c>
      <c r="L23" s="9">
        <f>'9'!CD26</f>
        <v>0.40485237537592844</v>
      </c>
      <c r="M23" s="9">
        <f>'9'!D26</f>
        <v>0.25681141822596482</v>
      </c>
      <c r="N23" s="9">
        <f>'9'!L26</f>
        <v>0.20693463651034158</v>
      </c>
      <c r="O23" s="9">
        <f>'9'!T26</f>
        <v>0.11083898552922813</v>
      </c>
      <c r="P23" s="9">
        <f>'9'!AB26</f>
        <v>0.17921775044155613</v>
      </c>
      <c r="Q23" s="9">
        <f>'9'!AJ26</f>
        <v>0.19006527403957815</v>
      </c>
      <c r="R23" s="9">
        <f>'9'!AR26</f>
        <v>0.23453286793879127</v>
      </c>
      <c r="S23" s="9">
        <f>'9'!AZ26</f>
        <v>0.23234233433806753</v>
      </c>
      <c r="T23" s="9">
        <f>'9'!BH26</f>
        <v>0.25599671444673244</v>
      </c>
      <c r="U23" s="9">
        <f>'9'!BP26</f>
        <v>0.36607072664653678</v>
      </c>
      <c r="V23" s="9">
        <f>'9'!BX26</f>
        <v>0.39898019819529273</v>
      </c>
      <c r="W23" s="9">
        <f>'9'!CF26</f>
        <v>0.32453860795380257</v>
      </c>
      <c r="X23" s="9">
        <f>'9'!F26</f>
        <v>0.69125665216367604</v>
      </c>
      <c r="Y23" s="9">
        <f>'9'!N26</f>
        <v>0.51624936208937289</v>
      </c>
      <c r="Z23" s="9">
        <f>'9'!V26</f>
        <v>0.7155403952899908</v>
      </c>
      <c r="AA23" s="9">
        <f>'9'!AD26</f>
        <v>0.65029999299851959</v>
      </c>
      <c r="AB23" s="9">
        <f>'9'!AL26</f>
        <v>0.60434979021422308</v>
      </c>
      <c r="AC23" s="9">
        <f>'9'!AT26</f>
        <v>0.64034289272744704</v>
      </c>
      <c r="AD23" s="9">
        <f>'9'!BB26</f>
        <v>0.80790183955726469</v>
      </c>
      <c r="AE23" s="9">
        <f>'9'!BJ26</f>
        <v>0.62706523201492803</v>
      </c>
      <c r="AF23" s="9">
        <f>'9'!BR26</f>
        <v>0.42519769129694535</v>
      </c>
      <c r="AG23" s="9">
        <f>'9'!BZ26</f>
        <v>0.68625117117684975</v>
      </c>
      <c r="AH23" s="9">
        <f>'9'!CH26</f>
        <v>0.7355727462304732</v>
      </c>
      <c r="AI23" s="9">
        <f>'9'!G26</f>
        <v>0.61925908394818063</v>
      </c>
      <c r="AJ23" s="9">
        <f>'9'!O26</f>
        <v>0.54753425335997818</v>
      </c>
      <c r="AK23" s="9">
        <f>'9'!W26</f>
        <v>0.60217298270424291</v>
      </c>
      <c r="AL23" s="9">
        <f>'9'!AE26</f>
        <v>0.61297022526581846</v>
      </c>
      <c r="AM23" s="9">
        <f>'9'!AM26</f>
        <v>0.53460147185274942</v>
      </c>
      <c r="AN23" s="9">
        <f>'9'!AU26</f>
        <v>0.5990670139551445</v>
      </c>
      <c r="AO23" s="9">
        <f>'9'!BC26</f>
        <v>0.6638736091746168</v>
      </c>
      <c r="AP23" s="9">
        <f>'9'!BK26</f>
        <v>0.64751783197723223</v>
      </c>
      <c r="AQ23" s="9">
        <f>'9'!BS26</f>
        <v>0.62869795976875997</v>
      </c>
      <c r="AR23" s="9">
        <f>'9'!CA26</f>
        <v>0.61035946750140313</v>
      </c>
      <c r="AS23" s="9">
        <f>'9'!CI26</f>
        <v>0.57337011107653224</v>
      </c>
      <c r="AT23" s="9">
        <f>'9'!H26</f>
        <v>0.48738294963598849</v>
      </c>
      <c r="AU23" s="9">
        <f>'9'!P26</f>
        <v>0.38066435996083492</v>
      </c>
      <c r="AV23" s="9">
        <f>'9'!X26</f>
        <v>0.44063183762459412</v>
      </c>
      <c r="AW23" s="9">
        <f>'9'!AF26</f>
        <v>0.45548130432178591</v>
      </c>
      <c r="AX23" s="9">
        <f>'9'!AN26</f>
        <v>0.40380854445095876</v>
      </c>
      <c r="AY23" s="9">
        <f>'9'!AV26</f>
        <v>0.44791545220064555</v>
      </c>
      <c r="AZ23" s="9">
        <f>'9'!BD26</f>
        <v>0.52883749247287304</v>
      </c>
      <c r="BA23" s="9">
        <f>'9'!BL26</f>
        <v>0.47609090816418254</v>
      </c>
      <c r="BB23" s="9">
        <f>'9'!BT26</f>
        <v>0.42475229195879094</v>
      </c>
      <c r="BC23" s="9">
        <f>'9'!CB26</f>
        <v>0.54074254165416114</v>
      </c>
      <c r="BD23" s="9">
        <f>'9'!CJ26</f>
        <v>0.5095834601591841</v>
      </c>
      <c r="BE23" s="9">
        <f>'10'!H26</f>
        <v>0.42427596637807496</v>
      </c>
      <c r="BF23" s="9">
        <f>'10'!P26</f>
        <v>0.3034292567145222</v>
      </c>
      <c r="BG23" s="9">
        <f>'10'!X26</f>
        <v>0.3766377272347865</v>
      </c>
      <c r="BH23" s="9">
        <f>'10'!AF26</f>
        <v>0.40985487087746397</v>
      </c>
      <c r="BI23" s="9">
        <f>'10'!AN26</f>
        <v>0.33325400279875417</v>
      </c>
      <c r="BJ23" s="9">
        <f>'10'!AV26</f>
        <v>0.36979760138897799</v>
      </c>
      <c r="BK23" s="9">
        <f>'10'!BD26</f>
        <v>0.45827430908207523</v>
      </c>
      <c r="BL23" s="9">
        <f>'10'!BL26</f>
        <v>0.41470667579637543</v>
      </c>
      <c r="BM23" s="9">
        <f>'10'!BT26</f>
        <v>0.33732659085726935</v>
      </c>
      <c r="BN23" s="9">
        <f>'10'!CB26</f>
        <v>0.49672461450752381</v>
      </c>
      <c r="BO23" s="9">
        <f>'10'!CJ26</f>
        <v>0.44674480928923072</v>
      </c>
    </row>
    <row r="24" spans="1:67">
      <c r="A24" s="1">
        <v>1989</v>
      </c>
      <c r="B24" s="9">
        <f>'9'!B27</f>
        <v>0.4057939045173144</v>
      </c>
      <c r="C24" s="9">
        <f>'9'!J27</f>
        <v>0.26839700876410905</v>
      </c>
      <c r="D24" s="9">
        <f>'9'!R27</f>
        <v>0.3652161508303452</v>
      </c>
      <c r="E24" s="9">
        <f>'9'!Z27</f>
        <v>0.39852032734179016</v>
      </c>
      <c r="F24" s="9">
        <f>'9'!AH27</f>
        <v>0.29134489863561314</v>
      </c>
      <c r="G24" s="9">
        <f>'9'!AP27</f>
        <v>0.33355672811851089</v>
      </c>
      <c r="H24" s="9">
        <f>'9'!AX27</f>
        <v>0.43669180336965502</v>
      </c>
      <c r="I24" s="9">
        <f>'9'!BF27</f>
        <v>0.39440459595715349</v>
      </c>
      <c r="J24" s="9">
        <f>'9'!BN27</f>
        <v>0.30907095838751047</v>
      </c>
      <c r="K24" s="9">
        <f>'9'!BV27</f>
        <v>0.49211481047097233</v>
      </c>
      <c r="L24" s="9">
        <f>'9'!CD27</f>
        <v>0.44374009541263632</v>
      </c>
      <c r="M24" s="9">
        <f>'9'!D27</f>
        <v>0.26094061492035886</v>
      </c>
      <c r="N24" s="9">
        <f>'9'!L27</f>
        <v>0.21645169179699814</v>
      </c>
      <c r="O24" s="9">
        <f>'9'!T27</f>
        <v>0.11601203213914742</v>
      </c>
      <c r="P24" s="9">
        <f>'9'!AB27</f>
        <v>0.18621128840200088</v>
      </c>
      <c r="Q24" s="9">
        <f>'9'!AJ27</f>
        <v>0.20377737284441291</v>
      </c>
      <c r="R24" s="9">
        <f>'9'!AR27</f>
        <v>0.23798653734463676</v>
      </c>
      <c r="S24" s="9">
        <f>'9'!AZ27</f>
        <v>0.23588131510733157</v>
      </c>
      <c r="T24" s="9">
        <f>'9'!BH27</f>
        <v>0.26123046650381937</v>
      </c>
      <c r="U24" s="9">
        <f>'9'!BP27</f>
        <v>0.3792016768781894</v>
      </c>
      <c r="V24" s="9">
        <f>'9'!BX27</f>
        <v>0.40554578857723245</v>
      </c>
      <c r="W24" s="9">
        <f>'9'!CF27</f>
        <v>0.32999030546746566</v>
      </c>
      <c r="X24" s="9">
        <f>'9'!F27</f>
        <v>0.71080697727316267</v>
      </c>
      <c r="Y24" s="9">
        <f>'9'!N27</f>
        <v>0.59032159403358042</v>
      </c>
      <c r="Z24" s="9">
        <f>'9'!V27</f>
        <v>0.6808433730215484</v>
      </c>
      <c r="AA24" s="9">
        <f>'9'!AD27</f>
        <v>0.63142892865918843</v>
      </c>
      <c r="AB24" s="9">
        <f>'9'!AL27</f>
        <v>0.60799307150352921</v>
      </c>
      <c r="AC24" s="9">
        <f>'9'!AT27</f>
        <v>0.67821501763428393</v>
      </c>
      <c r="AD24" s="9">
        <f>'9'!BB27</f>
        <v>0.83602150537634412</v>
      </c>
      <c r="AE24" s="9">
        <f>'9'!BJ27</f>
        <v>0.65031160166211155</v>
      </c>
      <c r="AF24" s="9">
        <f>'9'!BR27</f>
        <v>0.43346439539493647</v>
      </c>
      <c r="AG24" s="9">
        <f>'9'!BZ27</f>
        <v>0.6003624805622706</v>
      </c>
      <c r="AH24" s="9">
        <f>'9'!CH27</f>
        <v>0.73103526914048256</v>
      </c>
      <c r="AI24" s="9">
        <f>'9'!G27</f>
        <v>0.63674335810743921</v>
      </c>
      <c r="AJ24" s="9">
        <f>'9'!O27</f>
        <v>0.57273553184947601</v>
      </c>
      <c r="AK24" s="9">
        <f>'9'!W27</f>
        <v>0.56756375479130416</v>
      </c>
      <c r="AL24" s="9">
        <f>'9'!AE27</f>
        <v>0.60699956353581452</v>
      </c>
      <c r="AM24" s="9">
        <f>'9'!AM27</f>
        <v>0.55229531282347089</v>
      </c>
      <c r="AN24" s="9">
        <f>'9'!AU27</f>
        <v>0.59789924921031101</v>
      </c>
      <c r="AO24" s="9">
        <f>'9'!BC27</f>
        <v>0.69747434279663212</v>
      </c>
      <c r="AP24" s="9">
        <f>'9'!BK27</f>
        <v>0.64093733488351723</v>
      </c>
      <c r="AQ24" s="9">
        <f>'9'!BS27</f>
        <v>0.61423236386551539</v>
      </c>
      <c r="AR24" s="9">
        <f>'9'!CA27</f>
        <v>0.63231837364604648</v>
      </c>
      <c r="AS24" s="9">
        <f>'9'!CI27</f>
        <v>0.5839612976969929</v>
      </c>
      <c r="AT24" s="9">
        <f>'9'!H27</f>
        <v>0.50357121370456881</v>
      </c>
      <c r="AU24" s="9">
        <f>'9'!P27</f>
        <v>0.41197645661104093</v>
      </c>
      <c r="AV24" s="9">
        <f>'9'!X27</f>
        <v>0.43240882769558631</v>
      </c>
      <c r="AW24" s="9">
        <f>'9'!AF27</f>
        <v>0.4557900269846985</v>
      </c>
      <c r="AX24" s="9">
        <f>'9'!AN27</f>
        <v>0.41385266395175652</v>
      </c>
      <c r="AY24" s="9">
        <f>'9'!AV27</f>
        <v>0.46191438307693566</v>
      </c>
      <c r="AZ24" s="9">
        <f>'9'!BD27</f>
        <v>0.55151724166249072</v>
      </c>
      <c r="BA24" s="9">
        <f>'9'!BL27</f>
        <v>0.4867209997516504</v>
      </c>
      <c r="BB24" s="9">
        <f>'9'!BT27</f>
        <v>0.43399234863153791</v>
      </c>
      <c r="BC24" s="9">
        <f>'9'!CB27</f>
        <v>0.53258536331413042</v>
      </c>
      <c r="BD24" s="9">
        <f>'9'!CJ27</f>
        <v>0.52218174192939437</v>
      </c>
      <c r="BE24" s="9">
        <f>'10'!H27</f>
        <v>0.44490482819221616</v>
      </c>
      <c r="BF24" s="9">
        <f>'10'!P27</f>
        <v>0.32582878790288178</v>
      </c>
      <c r="BG24" s="9">
        <f>'10'!X27</f>
        <v>0.39209322157644161</v>
      </c>
      <c r="BH24" s="9">
        <f>'10'!AF27</f>
        <v>0.42142820719895346</v>
      </c>
      <c r="BI24" s="9">
        <f>'10'!AN27</f>
        <v>0.3403480047620705</v>
      </c>
      <c r="BJ24" s="9">
        <f>'10'!AV27</f>
        <v>0.3848997901018808</v>
      </c>
      <c r="BK24" s="9">
        <f>'10'!BD27</f>
        <v>0.4826219786867893</v>
      </c>
      <c r="BL24" s="9">
        <f>'10'!BL27</f>
        <v>0.43133115747495226</v>
      </c>
      <c r="BM24" s="9">
        <f>'10'!BT27</f>
        <v>0.35903951448512145</v>
      </c>
      <c r="BN24" s="9">
        <f>'10'!CB27</f>
        <v>0.50830303160823564</v>
      </c>
      <c r="BO24" s="9">
        <f>'10'!CJ27</f>
        <v>0.4751167540193395</v>
      </c>
    </row>
    <row r="25" spans="1:67">
      <c r="A25" s="1">
        <v>1990</v>
      </c>
      <c r="B25" s="9">
        <f>'9'!B28</f>
        <v>0.41954931627629088</v>
      </c>
      <c r="C25" s="9">
        <f>'9'!J28</f>
        <v>0.26595320069704886</v>
      </c>
      <c r="D25" s="9">
        <f>'9'!R28</f>
        <v>0.38919860665377942</v>
      </c>
      <c r="E25" s="9">
        <f>'9'!Z28</f>
        <v>0.41151360940395154</v>
      </c>
      <c r="F25" s="9">
        <f>'9'!AH28</f>
        <v>0.30510195914057053</v>
      </c>
      <c r="G25" s="9">
        <f>'9'!AP28</f>
        <v>0.34301383877430669</v>
      </c>
      <c r="H25" s="9">
        <f>'9'!AX28</f>
        <v>0.45243011087831597</v>
      </c>
      <c r="I25" s="9">
        <f>'9'!BF28</f>
        <v>0.40798327837411341</v>
      </c>
      <c r="J25" s="9">
        <f>'9'!BN28</f>
        <v>0.32987400633150493</v>
      </c>
      <c r="K25" s="9">
        <f>'9'!BV28</f>
        <v>0.50040585534866278</v>
      </c>
      <c r="L25" s="9">
        <f>'9'!CD28</f>
        <v>0.46478946085388284</v>
      </c>
      <c r="M25" s="9">
        <f>'9'!D28</f>
        <v>0.27594805873625794</v>
      </c>
      <c r="N25" s="9">
        <f>'9'!L28</f>
        <v>0.22284073523676026</v>
      </c>
      <c r="O25" s="9">
        <f>'9'!T28</f>
        <v>0.1346357747444179</v>
      </c>
      <c r="P25" s="9">
        <f>'9'!AB28</f>
        <v>0.20350055441485559</v>
      </c>
      <c r="Q25" s="9">
        <f>'9'!AJ28</f>
        <v>0.22081366862078933</v>
      </c>
      <c r="R25" s="9">
        <f>'9'!AR28</f>
        <v>0.25049604463273756</v>
      </c>
      <c r="S25" s="9">
        <f>'9'!AZ28</f>
        <v>0.24671554015213698</v>
      </c>
      <c r="T25" s="9">
        <f>'9'!BH28</f>
        <v>0.2734696952953013</v>
      </c>
      <c r="U25" s="9">
        <f>'9'!BP28</f>
        <v>0.38478753751752898</v>
      </c>
      <c r="V25" s="9">
        <f>'9'!BX28</f>
        <v>0.43747838995719013</v>
      </c>
      <c r="W25" s="9">
        <f>'9'!CF28</f>
        <v>0.34741394543150828</v>
      </c>
      <c r="X25" s="9">
        <f>'9'!F28</f>
        <v>0.64545797780615266</v>
      </c>
      <c r="Y25" s="9">
        <f>'9'!N28</f>
        <v>0.46110468581983322</v>
      </c>
      <c r="Z25" s="9">
        <f>'9'!V28</f>
        <v>0.75161033134511135</v>
      </c>
      <c r="AA25" s="9">
        <f>'9'!AD28</f>
        <v>0.66856574250653356</v>
      </c>
      <c r="AB25" s="9">
        <f>'9'!AL28</f>
        <v>0.60267945747334273</v>
      </c>
      <c r="AC25" s="9">
        <f>'9'!AT28</f>
        <v>0.62369589438233819</v>
      </c>
      <c r="AD25" s="9">
        <f>'9'!BB28</f>
        <v>0.76761546213142751</v>
      </c>
      <c r="AE25" s="9">
        <f>'9'!BJ28</f>
        <v>0.57291631278966348</v>
      </c>
      <c r="AF25" s="9">
        <f>'9'!BR28</f>
        <v>0.29210351024750231</v>
      </c>
      <c r="AG25" s="9">
        <f>'9'!BZ28</f>
        <v>0.65083129947882878</v>
      </c>
      <c r="AH25" s="9">
        <f>'9'!CH28</f>
        <v>0.55505879712382611</v>
      </c>
      <c r="AI25" s="9">
        <f>'9'!G28</f>
        <v>0.62122446788902042</v>
      </c>
      <c r="AJ25" s="9">
        <f>'9'!O28</f>
        <v>0.53893481652752417</v>
      </c>
      <c r="AK25" s="9">
        <f>'9'!W28</f>
        <v>0.56776582622832605</v>
      </c>
      <c r="AL25" s="9">
        <f>'9'!AE28</f>
        <v>0.60558532492647854</v>
      </c>
      <c r="AM25" s="9">
        <f>'9'!AM28</f>
        <v>0.54099621330364334</v>
      </c>
      <c r="AN25" s="9">
        <f>'9'!AU28</f>
        <v>0.58140773740134155</v>
      </c>
      <c r="AO25" s="9">
        <f>'9'!BC28</f>
        <v>0.6585343809986316</v>
      </c>
      <c r="AP25" s="9">
        <f>'9'!BK28</f>
        <v>0.62649739935408422</v>
      </c>
      <c r="AQ25" s="9">
        <f>'9'!BS28</f>
        <v>0.62364041484483168</v>
      </c>
      <c r="AR25" s="9">
        <f>'9'!CA28</f>
        <v>0.62775261785905634</v>
      </c>
      <c r="AS25" s="9">
        <f>'9'!CI28</f>
        <v>0.61511979384135873</v>
      </c>
      <c r="AT25" s="9">
        <f>'9'!H28</f>
        <v>0.49054495517693048</v>
      </c>
      <c r="AU25" s="9">
        <f>'9'!P28</f>
        <v>0.37220835957029164</v>
      </c>
      <c r="AV25" s="9">
        <f>'9'!X28</f>
        <v>0.46080263474290867</v>
      </c>
      <c r="AW25" s="9">
        <f>'9'!AF28</f>
        <v>0.47229130781295481</v>
      </c>
      <c r="AX25" s="9">
        <f>'9'!AN28</f>
        <v>0.41739782463458652</v>
      </c>
      <c r="AY25" s="9">
        <f>'9'!AV28</f>
        <v>0.44965337879768102</v>
      </c>
      <c r="AZ25" s="9">
        <f>'9'!BD28</f>
        <v>0.531323873540128</v>
      </c>
      <c r="BA25" s="9">
        <f>'9'!BL28</f>
        <v>0.4702166714532906</v>
      </c>
      <c r="BB25" s="9">
        <f>'9'!BT28</f>
        <v>0.40760136723534202</v>
      </c>
      <c r="BC25" s="9">
        <f>'9'!CB28</f>
        <v>0.55411704066093448</v>
      </c>
      <c r="BD25" s="9">
        <f>'9'!CJ28</f>
        <v>0.49559549931264402</v>
      </c>
      <c r="BE25" s="9">
        <f>'10'!H28</f>
        <v>0.44794757183654671</v>
      </c>
      <c r="BF25" s="9">
        <f>'10'!P28</f>
        <v>0.30845526424634601</v>
      </c>
      <c r="BG25" s="9">
        <f>'10'!X28</f>
        <v>0.41784021788943104</v>
      </c>
      <c r="BH25" s="9">
        <f>'10'!AF28</f>
        <v>0.43582468876755287</v>
      </c>
      <c r="BI25" s="9">
        <f>'10'!AN28</f>
        <v>0.35002030533817691</v>
      </c>
      <c r="BJ25" s="9">
        <f>'10'!AV28</f>
        <v>0.38566965478365639</v>
      </c>
      <c r="BK25" s="9">
        <f>'10'!BD28</f>
        <v>0.48398761594304074</v>
      </c>
      <c r="BL25" s="9">
        <f>'10'!BL28</f>
        <v>0.43287663560578427</v>
      </c>
      <c r="BM25" s="9">
        <f>'10'!BT28</f>
        <v>0.36096495069303974</v>
      </c>
      <c r="BN25" s="9">
        <f>'10'!CB28</f>
        <v>0.5218903294735715</v>
      </c>
      <c r="BO25" s="9">
        <f>'10'!CJ28</f>
        <v>0.47711187623738732</v>
      </c>
    </row>
    <row r="26" spans="1:67">
      <c r="A26" s="1">
        <v>1991</v>
      </c>
      <c r="B26" s="9">
        <f>'9'!B29</f>
        <v>0.42347896147781944</v>
      </c>
      <c r="C26" s="9">
        <f>'9'!J29</f>
        <v>0.25729492876995846</v>
      </c>
      <c r="D26" s="9">
        <f>'9'!R29</f>
        <v>0.38675869167230209</v>
      </c>
      <c r="E26" s="9">
        <f>'9'!Z29</f>
        <v>0.41201149475507004</v>
      </c>
      <c r="F26" s="9">
        <f>'9'!AH29</f>
        <v>0.30055364812503199</v>
      </c>
      <c r="G26" s="9">
        <f>'9'!AP29</f>
        <v>0.33843250671196068</v>
      </c>
      <c r="H26" s="9">
        <f>'9'!AX29</f>
        <v>0.46399565381733415</v>
      </c>
      <c r="I26" s="9">
        <f>'9'!BF29</f>
        <v>0.40417736884116567</v>
      </c>
      <c r="J26" s="9">
        <f>'9'!BN29</f>
        <v>0.32360921333398046</v>
      </c>
      <c r="K26" s="9">
        <f>'9'!BV29</f>
        <v>0.48322988937001005</v>
      </c>
      <c r="L26" s="9">
        <f>'9'!CD29</f>
        <v>0.48688943795566952</v>
      </c>
      <c r="M26" s="9">
        <f>'9'!D29</f>
        <v>0.26829177037425173</v>
      </c>
      <c r="N26" s="9">
        <f>'9'!L29</f>
        <v>0.2210490981914463</v>
      </c>
      <c r="O26" s="9">
        <f>'9'!T29</f>
        <v>0.14111961569670195</v>
      </c>
      <c r="P26" s="9">
        <f>'9'!AB29</f>
        <v>0.20133914249113</v>
      </c>
      <c r="Q26" s="9">
        <f>'9'!AJ29</f>
        <v>0.21579494180731787</v>
      </c>
      <c r="R26" s="9">
        <f>'9'!AR29</f>
        <v>0.24956865636656225</v>
      </c>
      <c r="S26" s="9">
        <f>'9'!AZ29</f>
        <v>0.24716512928624149</v>
      </c>
      <c r="T26" s="9">
        <f>'9'!BH29</f>
        <v>0.27125868851480334</v>
      </c>
      <c r="U26" s="9">
        <f>'9'!BP29</f>
        <v>0.36045562696262606</v>
      </c>
      <c r="V26" s="9">
        <f>'9'!BX29</f>
        <v>0.3768181812967567</v>
      </c>
      <c r="W26" s="9">
        <f>'9'!CF29</f>
        <v>0.33295891415461165</v>
      </c>
      <c r="X26" s="9">
        <f>'9'!F29</f>
        <v>0.63719491025725805</v>
      </c>
      <c r="Y26" s="9">
        <f>'9'!N29</f>
        <v>0.43431714951484063</v>
      </c>
      <c r="Z26" s="9">
        <f>'9'!V29</f>
        <v>0.67495944490489657</v>
      </c>
      <c r="AA26" s="9">
        <f>'9'!AD29</f>
        <v>0.64761376904737034</v>
      </c>
      <c r="AB26" s="9">
        <f>'9'!AL29</f>
        <v>0.58682349177296744</v>
      </c>
      <c r="AC26" s="9">
        <f>'9'!AT29</f>
        <v>0.59071152030593421</v>
      </c>
      <c r="AD26" s="9">
        <f>'9'!BB29</f>
        <v>0.73458745778748735</v>
      </c>
      <c r="AE26" s="9">
        <f>'9'!BJ29</f>
        <v>0.58764372083075722</v>
      </c>
      <c r="AF26" s="9">
        <f>'9'!BR29</f>
        <v>0.36252118094290631</v>
      </c>
      <c r="AG26" s="9">
        <f>'9'!BZ29</f>
        <v>0.63713172001569063</v>
      </c>
      <c r="AH26" s="9">
        <f>'9'!CH29</f>
        <v>0.67062420404927625</v>
      </c>
      <c r="AI26" s="9">
        <f>'9'!G29</f>
        <v>0.59521184035586427</v>
      </c>
      <c r="AJ26" s="9">
        <f>'9'!O29</f>
        <v>0.52949460664476289</v>
      </c>
      <c r="AK26" s="9">
        <f>'9'!W29</f>
        <v>0.52463646016435306</v>
      </c>
      <c r="AL26" s="9">
        <f>'9'!AE29</f>
        <v>0.59558428011923403</v>
      </c>
      <c r="AM26" s="9">
        <f>'9'!AM29</f>
        <v>0.53437452132880192</v>
      </c>
      <c r="AN26" s="9">
        <f>'9'!AU29</f>
        <v>0.58289172967857894</v>
      </c>
      <c r="AO26" s="9">
        <f>'9'!BC29</f>
        <v>0.60297492938772468</v>
      </c>
      <c r="AP26" s="9">
        <f>'9'!BK29</f>
        <v>0.632029212950592</v>
      </c>
      <c r="AQ26" s="9">
        <f>'9'!BS29</f>
        <v>0.60556234615905191</v>
      </c>
      <c r="AR26" s="9">
        <f>'9'!CA29</f>
        <v>0.60591115098469772</v>
      </c>
      <c r="AS26" s="9">
        <f>'9'!CI29</f>
        <v>0.60730254761094293</v>
      </c>
      <c r="AT26" s="9">
        <f>'9'!H29</f>
        <v>0.48104437061629834</v>
      </c>
      <c r="AU26" s="9">
        <f>'9'!P29</f>
        <v>0.36053894578025203</v>
      </c>
      <c r="AV26" s="9">
        <f>'9'!X29</f>
        <v>0.4318685531095634</v>
      </c>
      <c r="AW26" s="9">
        <f>'9'!AF29</f>
        <v>0.46413717160320112</v>
      </c>
      <c r="AX26" s="9">
        <f>'9'!AN29</f>
        <v>0.40938665075852987</v>
      </c>
      <c r="AY26" s="9">
        <f>'9'!AV29</f>
        <v>0.44040110326575899</v>
      </c>
      <c r="AZ26" s="9">
        <f>'9'!BD29</f>
        <v>0.51218079256969695</v>
      </c>
      <c r="BA26" s="9">
        <f>'9'!BL29</f>
        <v>0.47377724778432956</v>
      </c>
      <c r="BB26" s="9">
        <f>'9'!BT29</f>
        <v>0.41303709184964121</v>
      </c>
      <c r="BC26" s="9">
        <f>'9'!CB29</f>
        <v>0.52577273541678871</v>
      </c>
      <c r="BD26" s="9">
        <f>'9'!CJ29</f>
        <v>0.52444377594262515</v>
      </c>
      <c r="BE26" s="9">
        <f>'10'!H29</f>
        <v>0.446505125133211</v>
      </c>
      <c r="BF26" s="9">
        <f>'10'!P29</f>
        <v>0.29859253557407595</v>
      </c>
      <c r="BG26" s="9">
        <f>'10'!X29</f>
        <v>0.40480263624720664</v>
      </c>
      <c r="BH26" s="9">
        <f>'10'!AF29</f>
        <v>0.43286176549432243</v>
      </c>
      <c r="BI26" s="9">
        <f>'10'!AN29</f>
        <v>0.34408684917843113</v>
      </c>
      <c r="BJ26" s="9">
        <f>'10'!AV29</f>
        <v>0.37921994533348002</v>
      </c>
      <c r="BK26" s="9">
        <f>'10'!BD29</f>
        <v>0.48326970931827923</v>
      </c>
      <c r="BL26" s="9">
        <f>'10'!BL29</f>
        <v>0.43201732041843122</v>
      </c>
      <c r="BM26" s="9">
        <f>'10'!BT29</f>
        <v>0.35938036474024471</v>
      </c>
      <c r="BN26" s="9">
        <f>'10'!CB29</f>
        <v>0.50024702778872154</v>
      </c>
      <c r="BO26" s="9">
        <f>'10'!CJ29</f>
        <v>0.50191117315045175</v>
      </c>
    </row>
    <row r="27" spans="1:67">
      <c r="A27" s="1">
        <v>1992</v>
      </c>
      <c r="B27" s="9">
        <f>'9'!B30</f>
        <v>0.44639853153233605</v>
      </c>
      <c r="C27" s="9">
        <f>'9'!J30</f>
        <v>0.26830211607008103</v>
      </c>
      <c r="D27" s="9">
        <f>'9'!R30</f>
        <v>0.43687803884460563</v>
      </c>
      <c r="E27" s="9">
        <f>'9'!Z30</f>
        <v>0.44574648722445809</v>
      </c>
      <c r="F27" s="9">
        <f>'9'!AH30</f>
        <v>0.31204363893246867</v>
      </c>
      <c r="G27" s="9">
        <f>'9'!AP30</f>
        <v>0.36085866877954903</v>
      </c>
      <c r="H27" s="9">
        <f>'9'!AX30</f>
        <v>0.49398113478618055</v>
      </c>
      <c r="I27" s="9">
        <f>'9'!BF30</f>
        <v>0.41966602307329459</v>
      </c>
      <c r="J27" s="9">
        <f>'9'!BN30</f>
        <v>0.33253479081719994</v>
      </c>
      <c r="K27" s="9">
        <f>'9'!BV30</f>
        <v>0.49304559250598951</v>
      </c>
      <c r="L27" s="9">
        <f>'9'!CD30</f>
        <v>0.51299539769274249</v>
      </c>
      <c r="M27" s="9">
        <f>'9'!D30</f>
        <v>0.26547490353597075</v>
      </c>
      <c r="N27" s="9">
        <f>'9'!L30</f>
        <v>0.22355036374478418</v>
      </c>
      <c r="O27" s="9">
        <f>'9'!T30</f>
        <v>0.14794380348655806</v>
      </c>
      <c r="P27" s="9">
        <f>'9'!AB30</f>
        <v>0.194832323392721</v>
      </c>
      <c r="Q27" s="9">
        <f>'9'!AJ30</f>
        <v>0.20855263742318508</v>
      </c>
      <c r="R27" s="9">
        <f>'9'!AR30</f>
        <v>0.25004559047027025</v>
      </c>
      <c r="S27" s="9">
        <f>'9'!AZ30</f>
        <v>0.24566092614168619</v>
      </c>
      <c r="T27" s="9">
        <f>'9'!BH30</f>
        <v>0.26959247663949737</v>
      </c>
      <c r="U27" s="9">
        <f>'9'!BP30</f>
        <v>0.36150648813285241</v>
      </c>
      <c r="V27" s="9">
        <f>'9'!BX30</f>
        <v>0.37524340184243815</v>
      </c>
      <c r="W27" s="9">
        <f>'9'!CF30</f>
        <v>0.31680111586390736</v>
      </c>
      <c r="X27" s="9">
        <f>'9'!F30</f>
        <v>0.62715689884919212</v>
      </c>
      <c r="Y27" s="9">
        <f>'9'!N30</f>
        <v>0.34585350336552034</v>
      </c>
      <c r="Z27" s="9">
        <f>'9'!V30</f>
        <v>0.74553104897601818</v>
      </c>
      <c r="AA27" s="9">
        <f>'9'!AD30</f>
        <v>0.63830888011204023</v>
      </c>
      <c r="AB27" s="9">
        <f>'9'!AL30</f>
        <v>0.59230475321299347</v>
      </c>
      <c r="AC27" s="9">
        <f>'9'!AT30</f>
        <v>0.6354163298489901</v>
      </c>
      <c r="AD27" s="9">
        <f>'9'!BB30</f>
        <v>0.72365974009415523</v>
      </c>
      <c r="AE27" s="9">
        <f>'9'!BJ30</f>
        <v>0.53989358851529268</v>
      </c>
      <c r="AF27" s="9">
        <f>'9'!BR30</f>
        <v>0.3630023954156939</v>
      </c>
      <c r="AG27" s="9">
        <f>'9'!BZ30</f>
        <v>0.50524267219712382</v>
      </c>
      <c r="AH27" s="9">
        <f>'9'!CH30</f>
        <v>0.61668801046372801</v>
      </c>
      <c r="AI27" s="9">
        <f>'9'!G30</f>
        <v>0.57962823395007501</v>
      </c>
      <c r="AJ27" s="9">
        <f>'9'!O30</f>
        <v>0.49362253565600994</v>
      </c>
      <c r="AK27" s="9">
        <f>'9'!W30</f>
        <v>0.49858929792596746</v>
      </c>
      <c r="AL27" s="9">
        <f>'9'!AE30</f>
        <v>0.56965718810900967</v>
      </c>
      <c r="AM27" s="9">
        <f>'9'!AM30</f>
        <v>0.4910447342571862</v>
      </c>
      <c r="AN27" s="9">
        <f>'9'!AU30</f>
        <v>0.55761749356146095</v>
      </c>
      <c r="AO27" s="9">
        <f>'9'!BC30</f>
        <v>0.60046455070826243</v>
      </c>
      <c r="AP27" s="9">
        <f>'9'!BK30</f>
        <v>0.59987441853187051</v>
      </c>
      <c r="AQ27" s="9">
        <f>'9'!BS30</f>
        <v>0.59526614259891708</v>
      </c>
      <c r="AR27" s="9">
        <f>'9'!CA30</f>
        <v>0.59325404162897366</v>
      </c>
      <c r="AS27" s="9">
        <f>'9'!CI30</f>
        <v>0.5902072315786091</v>
      </c>
      <c r="AT27" s="9">
        <f>'9'!H30</f>
        <v>0.47966464196689351</v>
      </c>
      <c r="AU27" s="9">
        <f>'9'!P30</f>
        <v>0.33283212970909887</v>
      </c>
      <c r="AV27" s="9">
        <f>'9'!X30</f>
        <v>0.4572355473082873</v>
      </c>
      <c r="AW27" s="9">
        <f>'9'!AF30</f>
        <v>0.46213621970955721</v>
      </c>
      <c r="AX27" s="9">
        <f>'9'!AN30</f>
        <v>0.40098644095645836</v>
      </c>
      <c r="AY27" s="9">
        <f>'9'!AV30</f>
        <v>0.45098452066506756</v>
      </c>
      <c r="AZ27" s="9">
        <f>'9'!BD30</f>
        <v>0.51594158793257106</v>
      </c>
      <c r="BA27" s="9">
        <f>'9'!BL30</f>
        <v>0.45725662668998879</v>
      </c>
      <c r="BB27" s="9">
        <f>'9'!BT30</f>
        <v>0.41307745424116582</v>
      </c>
      <c r="BC27" s="9">
        <f>'9'!CB30</f>
        <v>0.49169642704363126</v>
      </c>
      <c r="BD27" s="9">
        <f>'9'!CJ30</f>
        <v>0.5091729388997468</v>
      </c>
      <c r="BE27" s="9">
        <f>'10'!H30</f>
        <v>0.45970497570615898</v>
      </c>
      <c r="BF27" s="9">
        <f>'10'!P30</f>
        <v>0.29411412152568817</v>
      </c>
      <c r="BG27" s="9">
        <f>'10'!X30</f>
        <v>0.44502104223007832</v>
      </c>
      <c r="BH27" s="9">
        <f>'10'!AF30</f>
        <v>0.45230238021849772</v>
      </c>
      <c r="BI27" s="9">
        <f>'10'!AN30</f>
        <v>0.34762075974206458</v>
      </c>
      <c r="BJ27" s="9">
        <f>'10'!AV30</f>
        <v>0.39690900953375641</v>
      </c>
      <c r="BK27" s="9">
        <f>'10'!BD30</f>
        <v>0.50276531604473684</v>
      </c>
      <c r="BL27" s="9">
        <f>'10'!BL30</f>
        <v>0.43470226451997229</v>
      </c>
      <c r="BM27" s="9">
        <f>'10'!BT30</f>
        <v>0.36475185618678629</v>
      </c>
      <c r="BN27" s="9">
        <f>'10'!CB30</f>
        <v>0.49250592632104623</v>
      </c>
      <c r="BO27" s="9">
        <f>'10'!CJ30</f>
        <v>0.51146641417554417</v>
      </c>
    </row>
    <row r="28" spans="1:67">
      <c r="A28" s="1">
        <v>1993</v>
      </c>
      <c r="B28" s="9">
        <f>'9'!B31</f>
        <v>0.45409767595013772</v>
      </c>
      <c r="C28" s="9">
        <f>'9'!J31</f>
        <v>0.26815036630862493</v>
      </c>
      <c r="D28" s="9">
        <f>'9'!R31</f>
        <v>0.30279743633291778</v>
      </c>
      <c r="E28" s="9">
        <f>'9'!Z31</f>
        <v>0.46562080291503388</v>
      </c>
      <c r="F28" s="9">
        <f>'9'!AH31</f>
        <v>0.32731999924413729</v>
      </c>
      <c r="G28" s="9">
        <f>'9'!AP31</f>
        <v>0.36818067300640384</v>
      </c>
      <c r="H28" s="9">
        <f>'9'!AX31</f>
        <v>0.5005129155213297</v>
      </c>
      <c r="I28" s="9">
        <f>'9'!BF31</f>
        <v>0.42460178446498964</v>
      </c>
      <c r="J28" s="9">
        <f>'9'!BN31</f>
        <v>0.34608927812798596</v>
      </c>
      <c r="K28" s="9">
        <f>'9'!BV31</f>
        <v>0.50344067261904746</v>
      </c>
      <c r="L28" s="9">
        <f>'9'!CD31</f>
        <v>0.51830455403552589</v>
      </c>
      <c r="M28" s="9">
        <f>'9'!D31</f>
        <v>0.26425017342839102</v>
      </c>
      <c r="N28" s="9">
        <f>'9'!L31</f>
        <v>0.22244543142849407</v>
      </c>
      <c r="O28" s="9">
        <f>'9'!T31</f>
        <v>0.15662747461210255</v>
      </c>
      <c r="P28" s="9">
        <f>'9'!AB31</f>
        <v>0.19201023935816144</v>
      </c>
      <c r="Q28" s="9">
        <f>'9'!AJ31</f>
        <v>0.20001778841048812</v>
      </c>
      <c r="R28" s="9">
        <f>'9'!AR31</f>
        <v>0.2491520854682657</v>
      </c>
      <c r="S28" s="9">
        <f>'9'!AZ31</f>
        <v>0.243171096495473</v>
      </c>
      <c r="T28" s="9">
        <f>'9'!BH31</f>
        <v>0.26590867524211659</v>
      </c>
      <c r="U28" s="9">
        <f>'9'!BP31</f>
        <v>0.35023220259348753</v>
      </c>
      <c r="V28" s="9">
        <f>'9'!BX31</f>
        <v>0.38468220772343198</v>
      </c>
      <c r="W28" s="9">
        <f>'9'!CF31</f>
        <v>0.31277812030136992</v>
      </c>
      <c r="X28" s="9">
        <f>'9'!F31</f>
        <v>0.63523635395519973</v>
      </c>
      <c r="Y28" s="9">
        <f>'9'!N31</f>
        <v>0.45028668456028575</v>
      </c>
      <c r="Z28" s="9">
        <f>'9'!V31</f>
        <v>0.8339066440361137</v>
      </c>
      <c r="AA28" s="9">
        <f>'9'!AD31</f>
        <v>0.6299583065402049</v>
      </c>
      <c r="AB28" s="9">
        <f>'9'!AL31</f>
        <v>0.57621448806619058</v>
      </c>
      <c r="AC28" s="9">
        <f>'9'!AT31</f>
        <v>0.58534402376911077</v>
      </c>
      <c r="AD28" s="9">
        <f>'9'!BB31</f>
        <v>0.74324817823536315</v>
      </c>
      <c r="AE28" s="9">
        <f>'9'!BJ31</f>
        <v>0.54619709284578843</v>
      </c>
      <c r="AF28" s="9">
        <f>'9'!BR31</f>
        <v>0.4641391072665747</v>
      </c>
      <c r="AG28" s="9">
        <f>'9'!BZ31</f>
        <v>0.59819387818298819</v>
      </c>
      <c r="AH28" s="9">
        <f>'9'!CH31</f>
        <v>0.62813183103279413</v>
      </c>
      <c r="AI28" s="9">
        <f>'9'!G31</f>
        <v>0.56590126225754278</v>
      </c>
      <c r="AJ28" s="9">
        <f>'9'!O31</f>
        <v>0.49308792931566037</v>
      </c>
      <c r="AK28" s="9">
        <f>'9'!W31</f>
        <v>0.52230814874021436</v>
      </c>
      <c r="AL28" s="9">
        <f>'9'!AE31</f>
        <v>0.53524784643989676</v>
      </c>
      <c r="AM28" s="9">
        <f>'9'!AM31</f>
        <v>0.50104280956289671</v>
      </c>
      <c r="AN28" s="9">
        <f>'9'!AU31</f>
        <v>0.53153495894987612</v>
      </c>
      <c r="AO28" s="9">
        <f>'9'!BC31</f>
        <v>0.5772941800331689</v>
      </c>
      <c r="AP28" s="9">
        <f>'9'!BK31</f>
        <v>0.60608164859423674</v>
      </c>
      <c r="AQ28" s="9">
        <f>'9'!BS31</f>
        <v>0.57729079215344181</v>
      </c>
      <c r="AR28" s="9">
        <f>'9'!CA31</f>
        <v>0.60999278863482242</v>
      </c>
      <c r="AS28" s="9">
        <f>'9'!CI31</f>
        <v>0.59283549408205594</v>
      </c>
      <c r="AT28" s="9">
        <f>'9'!H31</f>
        <v>0.4798713663978178</v>
      </c>
      <c r="AU28" s="9">
        <f>'9'!P31</f>
        <v>0.35849260290326629</v>
      </c>
      <c r="AV28" s="9">
        <f>'9'!X31</f>
        <v>0.45390992593033713</v>
      </c>
      <c r="AW28" s="9">
        <f>'9'!AF31</f>
        <v>0.45570929881332423</v>
      </c>
      <c r="AX28" s="9">
        <f>'9'!AN31</f>
        <v>0.40114877132092819</v>
      </c>
      <c r="AY28" s="9">
        <f>'9'!AV31</f>
        <v>0.4335529352984141</v>
      </c>
      <c r="AZ28" s="9">
        <f>'9'!BD31</f>
        <v>0.51605659257133374</v>
      </c>
      <c r="BA28" s="9">
        <f>'9'!BL31</f>
        <v>0.4606973002867828</v>
      </c>
      <c r="BB28" s="9">
        <f>'9'!BT31</f>
        <v>0.43443784503537247</v>
      </c>
      <c r="BC28" s="9">
        <f>'9'!CB31</f>
        <v>0.52407738679007254</v>
      </c>
      <c r="BD28" s="9">
        <f>'9'!CJ31</f>
        <v>0.5130124998629364</v>
      </c>
      <c r="BE28" s="9">
        <f>'10'!H31</f>
        <v>0.46440715212920969</v>
      </c>
      <c r="BF28" s="9">
        <f>'10'!P31</f>
        <v>0.30428726094648145</v>
      </c>
      <c r="BG28" s="9">
        <f>'10'!X31</f>
        <v>0.36324243217188551</v>
      </c>
      <c r="BH28" s="9">
        <f>'10'!AF31</f>
        <v>0.46165620127434998</v>
      </c>
      <c r="BI28" s="9">
        <f>'10'!AN31</f>
        <v>0.35685150807485361</v>
      </c>
      <c r="BJ28" s="9">
        <f>'10'!AV31</f>
        <v>0.39432957792320794</v>
      </c>
      <c r="BK28" s="9">
        <f>'10'!BD31</f>
        <v>0.50673038634133127</v>
      </c>
      <c r="BL28" s="9">
        <f>'10'!BL31</f>
        <v>0.43903999079370692</v>
      </c>
      <c r="BM28" s="9">
        <f>'10'!BT31</f>
        <v>0.38142870489094055</v>
      </c>
      <c r="BN28" s="9">
        <f>'10'!CB31</f>
        <v>0.51169535828745749</v>
      </c>
      <c r="BO28" s="9">
        <f>'10'!CJ31</f>
        <v>0.51618773236649007</v>
      </c>
    </row>
    <row r="29" spans="1:67">
      <c r="A29" s="1">
        <v>1994</v>
      </c>
      <c r="B29" s="9">
        <f>'9'!B32</f>
        <v>0.4707879554041452</v>
      </c>
      <c r="C29" s="9">
        <f>'9'!J32</f>
        <v>0.27757566852670645</v>
      </c>
      <c r="D29" s="9">
        <f>'9'!R32</f>
        <v>0.31711266141564254</v>
      </c>
      <c r="E29" s="9">
        <f>'9'!Z32</f>
        <v>0.4650720912873213</v>
      </c>
      <c r="F29" s="9">
        <f>'9'!AH32</f>
        <v>0.33489440688660105</v>
      </c>
      <c r="G29" s="9">
        <f>'9'!AP32</f>
        <v>0.38804205042598833</v>
      </c>
      <c r="H29" s="9">
        <f>'9'!AX32</f>
        <v>0.52297506604949962</v>
      </c>
      <c r="I29" s="9">
        <f>'9'!BF32</f>
        <v>0.43994270390035312</v>
      </c>
      <c r="J29" s="9">
        <f>'9'!BN32</f>
        <v>0.35565706530771451</v>
      </c>
      <c r="K29" s="9">
        <f>'9'!BV32</f>
        <v>0.51245994212043267</v>
      </c>
      <c r="L29" s="9">
        <f>'9'!CD32</f>
        <v>0.53677516123955482</v>
      </c>
      <c r="M29" s="9">
        <f>'9'!D32</f>
        <v>0.27042889032161399</v>
      </c>
      <c r="N29" s="9">
        <f>'9'!L32</f>
        <v>0.23795497044475625</v>
      </c>
      <c r="O29" s="9">
        <f>'9'!T32</f>
        <v>0.159852292631428</v>
      </c>
      <c r="P29" s="9">
        <f>'9'!AB32</f>
        <v>0.193130370726005</v>
      </c>
      <c r="Q29" s="9">
        <f>'9'!AJ32</f>
        <v>0.20508401775922594</v>
      </c>
      <c r="R29" s="9">
        <f>'9'!AR32</f>
        <v>0.25435065921878725</v>
      </c>
      <c r="S29" s="9">
        <f>'9'!AZ32</f>
        <v>0.24746453953453088</v>
      </c>
      <c r="T29" s="9">
        <f>'9'!BH32</f>
        <v>0.27010946210724635</v>
      </c>
      <c r="U29" s="9">
        <f>'9'!BP32</f>
        <v>0.37509014852380773</v>
      </c>
      <c r="V29" s="9">
        <f>'9'!BX32</f>
        <v>0.39162633030657706</v>
      </c>
      <c r="W29" s="9">
        <f>'9'!CF32</f>
        <v>0.32091156878904892</v>
      </c>
      <c r="X29" s="9">
        <f>'9'!F32</f>
        <v>0.63273304343063508</v>
      </c>
      <c r="Y29" s="9">
        <f>'9'!N32</f>
        <v>0.44964490021771963</v>
      </c>
      <c r="Z29" s="9">
        <f>'9'!V32</f>
        <v>0.87321690760793291</v>
      </c>
      <c r="AA29" s="9">
        <f>'9'!AD32</f>
        <v>0.54544220100820917</v>
      </c>
      <c r="AB29" s="9">
        <f>'9'!AL32</f>
        <v>0.50823481147919769</v>
      </c>
      <c r="AC29" s="9">
        <f>'9'!AT32</f>
        <v>0.58162708363694771</v>
      </c>
      <c r="AD29" s="9">
        <f>'9'!BB32</f>
        <v>0.72691778850627997</v>
      </c>
      <c r="AE29" s="9">
        <f>'9'!BJ32</f>
        <v>0.57094678442814573</v>
      </c>
      <c r="AF29" s="9">
        <f>'9'!BR32</f>
        <v>0.47567945449753046</v>
      </c>
      <c r="AG29" s="9">
        <f>'9'!BZ32</f>
        <v>0.64712447843980414</v>
      </c>
      <c r="AH29" s="9">
        <f>'9'!CH32</f>
        <v>0.61995105184944088</v>
      </c>
      <c r="AI29" s="9">
        <f>'9'!G32</f>
        <v>0.57065555282292912</v>
      </c>
      <c r="AJ29" s="9">
        <f>'9'!O32</f>
        <v>0.4896761657912887</v>
      </c>
      <c r="AK29" s="9">
        <f>'9'!W32</f>
        <v>0.49830843866634822</v>
      </c>
      <c r="AL29" s="9">
        <f>'9'!AE32</f>
        <v>0.53913920021720529</v>
      </c>
      <c r="AM29" s="9">
        <f>'9'!AM32</f>
        <v>0.49459121718787813</v>
      </c>
      <c r="AN29" s="9">
        <f>'9'!AU32</f>
        <v>0.54493310600669875</v>
      </c>
      <c r="AO29" s="9">
        <f>'9'!BC32</f>
        <v>0.58469736231893121</v>
      </c>
      <c r="AP29" s="9">
        <f>'9'!BK32</f>
        <v>0.57696097822295522</v>
      </c>
      <c r="AQ29" s="9">
        <f>'9'!BS32</f>
        <v>0.56447507635919492</v>
      </c>
      <c r="AR29" s="9">
        <f>'9'!CA32</f>
        <v>0.59275983333368854</v>
      </c>
      <c r="AS29" s="9">
        <f>'9'!CI32</f>
        <v>0.60947598398953118</v>
      </c>
      <c r="AT29" s="9">
        <f>'9'!H32</f>
        <v>0.48615136049483088</v>
      </c>
      <c r="AU29" s="9">
        <f>'9'!P32</f>
        <v>0.36371292624511775</v>
      </c>
      <c r="AV29" s="9">
        <f>'9'!X32</f>
        <v>0.46212257508033794</v>
      </c>
      <c r="AW29" s="9">
        <f>'9'!AF32</f>
        <v>0.43569596580968523</v>
      </c>
      <c r="AX29" s="9">
        <f>'9'!AN32</f>
        <v>0.38570111332822571</v>
      </c>
      <c r="AY29" s="9">
        <f>'9'!AV32</f>
        <v>0.44223822482210551</v>
      </c>
      <c r="AZ29" s="9">
        <f>'9'!BD32</f>
        <v>0.52051368910231044</v>
      </c>
      <c r="BA29" s="9">
        <f>'9'!BL32</f>
        <v>0.46448998216467507</v>
      </c>
      <c r="BB29" s="9">
        <f>'9'!BT32</f>
        <v>0.44272543617206195</v>
      </c>
      <c r="BC29" s="9">
        <f>'9'!CB32</f>
        <v>0.53599264605012564</v>
      </c>
      <c r="BD29" s="9">
        <f>'9'!CJ32</f>
        <v>0.52177844146689401</v>
      </c>
      <c r="BE29" s="9">
        <f>'10'!H32</f>
        <v>0.47693331744041939</v>
      </c>
      <c r="BF29" s="9">
        <f>'10'!P32</f>
        <v>0.312030571614071</v>
      </c>
      <c r="BG29" s="9">
        <f>'10'!X32</f>
        <v>0.3751166268815207</v>
      </c>
      <c r="BH29" s="9">
        <f>'10'!AF32</f>
        <v>0.45332164109626688</v>
      </c>
      <c r="BI29" s="9">
        <f>'10'!AN32</f>
        <v>0.35521708946325092</v>
      </c>
      <c r="BJ29" s="9">
        <f>'10'!AV32</f>
        <v>0.40972052018443517</v>
      </c>
      <c r="BK29" s="9">
        <f>'10'!BD32</f>
        <v>0.5219905152706239</v>
      </c>
      <c r="BL29" s="9">
        <f>'10'!BL32</f>
        <v>0.44976161520608188</v>
      </c>
      <c r="BM29" s="9">
        <f>'10'!BT32</f>
        <v>0.39048441365345349</v>
      </c>
      <c r="BN29" s="9">
        <f>'10'!CB32</f>
        <v>0.52187302369230981</v>
      </c>
      <c r="BO29" s="9">
        <f>'10'!CJ32</f>
        <v>0.53077647333049049</v>
      </c>
    </row>
    <row r="30" spans="1:67">
      <c r="A30" s="1">
        <v>1995</v>
      </c>
      <c r="B30" s="9">
        <f>'9'!B33</f>
        <v>0.48340105029325475</v>
      </c>
      <c r="C30" s="9">
        <f>'9'!J33</f>
        <v>0.2894416490761122</v>
      </c>
      <c r="D30" s="9">
        <f>'9'!R33</f>
        <v>0.32331548031576229</v>
      </c>
      <c r="E30" s="9">
        <f>'9'!Z33</f>
        <v>0.48317739461380826</v>
      </c>
      <c r="F30" s="9">
        <f>'9'!AH33</f>
        <v>0.34730560175309128</v>
      </c>
      <c r="G30" s="9">
        <f>'9'!AP33</f>
        <v>0.39794716737729335</v>
      </c>
      <c r="H30" s="9">
        <f>'9'!AX33</f>
        <v>0.54030514795659623</v>
      </c>
      <c r="I30" s="9">
        <f>'9'!BF33</f>
        <v>0.44973709011830881</v>
      </c>
      <c r="J30" s="9">
        <f>'9'!BN33</f>
        <v>0.36306438150549847</v>
      </c>
      <c r="K30" s="9">
        <f>'9'!BV33</f>
        <v>0.52296322516338223</v>
      </c>
      <c r="L30" s="9">
        <f>'9'!CD33</f>
        <v>0.5397287013939136</v>
      </c>
      <c r="M30" s="9">
        <f>'9'!D33</f>
        <v>0.27966740692347536</v>
      </c>
      <c r="N30" s="9">
        <f>'9'!L33</f>
        <v>0.26199034358642942</v>
      </c>
      <c r="O30" s="9">
        <f>'9'!T33</f>
        <v>0.1673345311087519</v>
      </c>
      <c r="P30" s="9">
        <f>'9'!AB33</f>
        <v>0.2034849870365717</v>
      </c>
      <c r="Q30" s="9">
        <f>'9'!AJ33</f>
        <v>0.22997667222976872</v>
      </c>
      <c r="R30" s="9">
        <f>'9'!AR33</f>
        <v>0.26904836663429765</v>
      </c>
      <c r="S30" s="9">
        <f>'9'!AZ33</f>
        <v>0.25363037668895105</v>
      </c>
      <c r="T30" s="9">
        <f>'9'!BH33</f>
        <v>0.27912860320331073</v>
      </c>
      <c r="U30" s="9">
        <f>'9'!BP33</f>
        <v>0.39553219627414382</v>
      </c>
      <c r="V30" s="9">
        <f>'9'!BX33</f>
        <v>0.38173085177549065</v>
      </c>
      <c r="W30" s="9">
        <f>'9'!CF33</f>
        <v>0.33306173062269906</v>
      </c>
      <c r="X30" s="9">
        <f>'9'!F33</f>
        <v>0.61180974212230088</v>
      </c>
      <c r="Y30" s="9">
        <f>'9'!N33</f>
        <v>0.38154979440299513</v>
      </c>
      <c r="Z30" s="9">
        <f>'9'!V33</f>
        <v>0.7597872992252922</v>
      </c>
      <c r="AA30" s="9">
        <f>'9'!AD33</f>
        <v>0.56626617126782153</v>
      </c>
      <c r="AB30" s="9">
        <f>'9'!AL33</f>
        <v>0.54404786736483879</v>
      </c>
      <c r="AC30" s="9">
        <f>'9'!AT33</f>
        <v>0.52285638512347121</v>
      </c>
      <c r="AD30" s="9">
        <f>'9'!BB33</f>
        <v>0.72105009171460044</v>
      </c>
      <c r="AE30" s="9">
        <f>'9'!BJ33</f>
        <v>0.66890068781806122</v>
      </c>
      <c r="AF30" s="9">
        <f>'9'!BR33</f>
        <v>0.41795982269324999</v>
      </c>
      <c r="AG30" s="9">
        <f>'9'!BZ33</f>
        <v>0.64330489941391744</v>
      </c>
      <c r="AH30" s="9">
        <f>'9'!CH33</f>
        <v>0.60381251296966498</v>
      </c>
      <c r="AI30" s="9">
        <f>'9'!G33</f>
        <v>0.57648328337656674</v>
      </c>
      <c r="AJ30" s="9">
        <f>'9'!O33</f>
        <v>0.50241019118959662</v>
      </c>
      <c r="AK30" s="9">
        <f>'9'!W33</f>
        <v>0.48897618508319179</v>
      </c>
      <c r="AL30" s="9">
        <f>'9'!AE33</f>
        <v>0.55250687169514012</v>
      </c>
      <c r="AM30" s="9">
        <f>'9'!AM33</f>
        <v>0.5521510346434777</v>
      </c>
      <c r="AN30" s="9">
        <f>'9'!AU33</f>
        <v>0.55292205112947079</v>
      </c>
      <c r="AO30" s="9">
        <f>'9'!BC33</f>
        <v>0.57225957579920972</v>
      </c>
      <c r="AP30" s="9">
        <f>'9'!BK33</f>
        <v>0.61776678300884746</v>
      </c>
      <c r="AQ30" s="9">
        <f>'9'!BS33</f>
        <v>0.57402368115939839</v>
      </c>
      <c r="AR30" s="9">
        <f>'9'!CA33</f>
        <v>0.6062359103649001</v>
      </c>
      <c r="AS30" s="9">
        <f>'9'!CI33</f>
        <v>0.6316327898228431</v>
      </c>
      <c r="AT30" s="9">
        <f>'9'!H33</f>
        <v>0.4878403706788994</v>
      </c>
      <c r="AU30" s="9">
        <f>'9'!P33</f>
        <v>0.35884799456378336</v>
      </c>
      <c r="AV30" s="9">
        <f>'9'!X33</f>
        <v>0.43485337393324952</v>
      </c>
      <c r="AW30" s="9">
        <f>'9'!AF33</f>
        <v>0.45135885615333537</v>
      </c>
      <c r="AX30" s="9">
        <f>'9'!AN33</f>
        <v>0.41837029399779413</v>
      </c>
      <c r="AY30" s="9">
        <f>'9'!AV33</f>
        <v>0.43569349256613327</v>
      </c>
      <c r="AZ30" s="9">
        <f>'9'!BD33</f>
        <v>0.52181129803983928</v>
      </c>
      <c r="BA30" s="9">
        <f>'9'!BL33</f>
        <v>0.50388329103713203</v>
      </c>
      <c r="BB30" s="9">
        <f>'9'!BT33</f>
        <v>0.43764502040807268</v>
      </c>
      <c r="BC30" s="9">
        <f>'9'!CB33</f>
        <v>0.53855872167942265</v>
      </c>
      <c r="BD30" s="9">
        <f>'9'!CJ33</f>
        <v>0.52705893370228019</v>
      </c>
      <c r="BE30" s="9">
        <f>'10'!H33</f>
        <v>0.48517677844751261</v>
      </c>
      <c r="BF30" s="9">
        <f>'10'!P33</f>
        <v>0.31720418727118066</v>
      </c>
      <c r="BG30" s="9">
        <f>'10'!X33</f>
        <v>0.3679306377627572</v>
      </c>
      <c r="BH30" s="9">
        <f>'10'!AF33</f>
        <v>0.47044997922961912</v>
      </c>
      <c r="BI30" s="9">
        <f>'10'!AN33</f>
        <v>0.37573147865097245</v>
      </c>
      <c r="BJ30" s="9">
        <f>'10'!AV33</f>
        <v>0.41304569745282926</v>
      </c>
      <c r="BK30" s="9">
        <f>'10'!BD33</f>
        <v>0.53290760798989345</v>
      </c>
      <c r="BL30" s="9">
        <f>'10'!BL33</f>
        <v>0.47139557048583813</v>
      </c>
      <c r="BM30" s="9">
        <f>'10'!BT33</f>
        <v>0.39289663706652816</v>
      </c>
      <c r="BN30" s="9">
        <f>'10'!CB33</f>
        <v>0.5292014237697984</v>
      </c>
      <c r="BO30" s="9">
        <f>'10'!CJ33</f>
        <v>0.53466079431726021</v>
      </c>
    </row>
    <row r="31" spans="1:67">
      <c r="A31" s="1">
        <v>1996</v>
      </c>
      <c r="B31" s="9">
        <f>'9'!B34</f>
        <v>0.49807269871500515</v>
      </c>
      <c r="C31" s="9">
        <f>'9'!J34</f>
        <v>0.29832970321722241</v>
      </c>
      <c r="D31" s="9">
        <f>'9'!R34</f>
        <v>0.34776052329327711</v>
      </c>
      <c r="E31" s="9">
        <f>'9'!Z34</f>
        <v>0.47756329188992874</v>
      </c>
      <c r="F31" s="9">
        <f>'9'!AH34</f>
        <v>0.35902531597675047</v>
      </c>
      <c r="G31" s="9">
        <f>'9'!AP34</f>
        <v>0.42021762001627372</v>
      </c>
      <c r="H31" s="9">
        <f>'9'!AX34</f>
        <v>0.55118973271723748</v>
      </c>
      <c r="I31" s="9">
        <f>'9'!BF34</f>
        <v>0.46273097696448295</v>
      </c>
      <c r="J31" s="9">
        <f>'9'!BN34</f>
        <v>0.37772546104340987</v>
      </c>
      <c r="K31" s="9">
        <f>'9'!BV34</f>
        <v>0.53599961616756442</v>
      </c>
      <c r="L31" s="9">
        <f>'9'!CD34</f>
        <v>0.56183546143676799</v>
      </c>
      <c r="M31" s="9">
        <f>'9'!D34</f>
        <v>0.29092897677022855</v>
      </c>
      <c r="N31" s="9">
        <f>'9'!L34</f>
        <v>0.27306820372706886</v>
      </c>
      <c r="O31" s="9">
        <f>'9'!T34</f>
        <v>0.17325125730859611</v>
      </c>
      <c r="P31" s="9">
        <f>'9'!AB34</f>
        <v>0.2076882057813666</v>
      </c>
      <c r="Q31" s="9">
        <f>'9'!AJ34</f>
        <v>0.24507566642408657</v>
      </c>
      <c r="R31" s="9">
        <f>'9'!AR34</f>
        <v>0.27957372057277452</v>
      </c>
      <c r="S31" s="9">
        <f>'9'!AZ34</f>
        <v>0.25952948205783533</v>
      </c>
      <c r="T31" s="9">
        <f>'9'!BH34</f>
        <v>0.2833063571434738</v>
      </c>
      <c r="U31" s="9">
        <f>'9'!BP34</f>
        <v>0.39726459152482069</v>
      </c>
      <c r="V31" s="9">
        <f>'9'!BX34</f>
        <v>0.42315713441968528</v>
      </c>
      <c r="W31" s="9">
        <f>'9'!CF34</f>
        <v>0.34720763513546604</v>
      </c>
      <c r="X31" s="9">
        <f>'9'!F34</f>
        <v>0.55444102066259571</v>
      </c>
      <c r="Y31" s="9">
        <f>'9'!N34</f>
        <v>0.3630737741339457</v>
      </c>
      <c r="Z31" s="9">
        <f>'9'!V34</f>
        <v>0.7285334273823153</v>
      </c>
      <c r="AA31" s="9">
        <f>'9'!AD34</f>
        <v>0.49720139253500784</v>
      </c>
      <c r="AB31" s="9">
        <f>'9'!AL34</f>
        <v>0.56109865164481953</v>
      </c>
      <c r="AC31" s="9">
        <f>'9'!AT34</f>
        <v>0.54786011088036246</v>
      </c>
      <c r="AD31" s="9">
        <f>'9'!BB34</f>
        <v>0.61022297095522682</v>
      </c>
      <c r="AE31" s="9">
        <f>'9'!BJ34</f>
        <v>0.59241350433855122</v>
      </c>
      <c r="AF31" s="9">
        <f>'9'!BR34</f>
        <v>0.46234355490891876</v>
      </c>
      <c r="AG31" s="9">
        <f>'9'!BZ34</f>
        <v>0.57518452083121474</v>
      </c>
      <c r="AH31" s="9">
        <f>'9'!CH34</f>
        <v>0.51395296039029437</v>
      </c>
      <c r="AI31" s="9">
        <f>'9'!G34</f>
        <v>0.56373686210282115</v>
      </c>
      <c r="AJ31" s="9">
        <f>'9'!O34</f>
        <v>0.49818143832306133</v>
      </c>
      <c r="AK31" s="9">
        <f>'9'!W34</f>
        <v>0.4779630287941774</v>
      </c>
      <c r="AL31" s="9">
        <f>'9'!AE34</f>
        <v>0.53104065709669301</v>
      </c>
      <c r="AM31" s="9">
        <f>'9'!AM34</f>
        <v>0.5520371486035125</v>
      </c>
      <c r="AN31" s="9">
        <f>'9'!AU34</f>
        <v>0.5498272395477658</v>
      </c>
      <c r="AO31" s="9">
        <f>'9'!BC34</f>
        <v>0.54762996686903498</v>
      </c>
      <c r="AP31" s="9">
        <f>'9'!BK34</f>
        <v>0.58486053795548831</v>
      </c>
      <c r="AQ31" s="9">
        <f>'9'!BS34</f>
        <v>0.59153306605404543</v>
      </c>
      <c r="AR31" s="9">
        <f>'9'!CA34</f>
        <v>0.61972737869565075</v>
      </c>
      <c r="AS31" s="9">
        <f>'9'!CI34</f>
        <v>0.60974369887350299</v>
      </c>
      <c r="AT31" s="9">
        <f>'9'!H34</f>
        <v>0.47679488956266264</v>
      </c>
      <c r="AU31" s="9">
        <f>'9'!P34</f>
        <v>0.35816327985032459</v>
      </c>
      <c r="AV31" s="9">
        <f>'9'!X34</f>
        <v>0.43187705919459146</v>
      </c>
      <c r="AW31" s="9">
        <f>'9'!AF34</f>
        <v>0.42837338682574905</v>
      </c>
      <c r="AX31" s="9">
        <f>'9'!AN34</f>
        <v>0.42930919566229225</v>
      </c>
      <c r="AY31" s="9">
        <f>'9'!AV34</f>
        <v>0.44936967275429407</v>
      </c>
      <c r="AZ31" s="9">
        <f>'9'!BD34</f>
        <v>0.49214303814983368</v>
      </c>
      <c r="BA31" s="9">
        <f>'9'!BL34</f>
        <v>0.48082784410049906</v>
      </c>
      <c r="BB31" s="9">
        <f>'9'!BT34</f>
        <v>0.45721666838279867</v>
      </c>
      <c r="BC31" s="9">
        <f>'9'!CB34</f>
        <v>0.53851716252852877</v>
      </c>
      <c r="BD31" s="9">
        <f>'9'!CJ34</f>
        <v>0.50818493895900785</v>
      </c>
      <c r="BE31" s="9">
        <f>'10'!H34</f>
        <v>0.48956157505406811</v>
      </c>
      <c r="BF31" s="9">
        <f>'10'!P34</f>
        <v>0.32226313387046329</v>
      </c>
      <c r="BG31" s="9">
        <f>'10'!X34</f>
        <v>0.38140713765380285</v>
      </c>
      <c r="BH31" s="9">
        <f>'10'!AF34</f>
        <v>0.45788732986425684</v>
      </c>
      <c r="BI31" s="9">
        <f>'10'!AN34</f>
        <v>0.38713886785096718</v>
      </c>
      <c r="BJ31" s="9">
        <f>'10'!AV34</f>
        <v>0.43187844111148188</v>
      </c>
      <c r="BK31" s="9">
        <f>'10'!BD34</f>
        <v>0.527571054890276</v>
      </c>
      <c r="BL31" s="9">
        <f>'10'!BL34</f>
        <v>0.46996972381888935</v>
      </c>
      <c r="BM31" s="9">
        <f>'10'!BT34</f>
        <v>0.40952194397916541</v>
      </c>
      <c r="BN31" s="9">
        <f>'10'!CB34</f>
        <v>0.53700663471195009</v>
      </c>
      <c r="BO31" s="9">
        <f>'10'!CJ34</f>
        <v>0.54037525244566387</v>
      </c>
    </row>
    <row r="32" spans="1:67">
      <c r="A32" s="1">
        <v>1997</v>
      </c>
      <c r="B32" s="9">
        <f>'9'!B35</f>
        <v>0.52409770210052486</v>
      </c>
      <c r="C32" s="9">
        <f>'9'!J35</f>
        <v>0.31298798306272024</v>
      </c>
      <c r="D32" s="9">
        <f>'9'!R35</f>
        <v>0.39906276422322268</v>
      </c>
      <c r="E32" s="9">
        <f>'9'!Z35</f>
        <v>0.49540636560141593</v>
      </c>
      <c r="F32" s="9">
        <f>'9'!AH35</f>
        <v>0.3776320805114618</v>
      </c>
      <c r="G32" s="9">
        <f>'9'!AP35</f>
        <v>0.43637490854377176</v>
      </c>
      <c r="H32" s="9">
        <f>'9'!AX35</f>
        <v>0.58419461992966959</v>
      </c>
      <c r="I32" s="9">
        <f>'9'!BF35</f>
        <v>0.48694301949763352</v>
      </c>
      <c r="J32" s="9">
        <f>'9'!BN35</f>
        <v>0.40754346280351528</v>
      </c>
      <c r="K32" s="9">
        <f>'9'!BV35</f>
        <v>0.57368774764415209</v>
      </c>
      <c r="L32" s="9">
        <f>'9'!CD35</f>
        <v>0.58400882809251697</v>
      </c>
      <c r="M32" s="9">
        <f>'9'!D35</f>
        <v>0.30185091473476916</v>
      </c>
      <c r="N32" s="9">
        <f>'9'!L35</f>
        <v>0.28937920209203533</v>
      </c>
      <c r="O32" s="9">
        <f>'9'!T35</f>
        <v>0.18192223587520631</v>
      </c>
      <c r="P32" s="9">
        <f>'9'!AB35</f>
        <v>0.21656613232070399</v>
      </c>
      <c r="Q32" s="9">
        <f>'9'!AJ35</f>
        <v>0.25870349116934471</v>
      </c>
      <c r="R32" s="9">
        <f>'9'!AR35</f>
        <v>0.29276113138129567</v>
      </c>
      <c r="S32" s="9">
        <f>'9'!AZ35</f>
        <v>0.2675791276542438</v>
      </c>
      <c r="T32" s="9">
        <f>'9'!BH35</f>
        <v>0.29222782408990738</v>
      </c>
      <c r="U32" s="9">
        <f>'9'!BP35</f>
        <v>0.40802956252027583</v>
      </c>
      <c r="V32" s="9">
        <f>'9'!BX35</f>
        <v>0.43353368510349943</v>
      </c>
      <c r="W32" s="9">
        <f>'9'!CF35</f>
        <v>0.36129966195937352</v>
      </c>
      <c r="X32" s="9">
        <f>'9'!F35</f>
        <v>0.52192430097487674</v>
      </c>
      <c r="Y32" s="9">
        <f>'9'!N35</f>
        <v>0.41654095690631732</v>
      </c>
      <c r="Z32" s="9">
        <f>'9'!V35</f>
        <v>0.70131937046937987</v>
      </c>
      <c r="AA32" s="9">
        <f>'9'!AD35</f>
        <v>0.45299691639277045</v>
      </c>
      <c r="AB32" s="9">
        <f>'9'!AL35</f>
        <v>0.50505863951229335</v>
      </c>
      <c r="AC32" s="9">
        <f>'9'!AT35</f>
        <v>0.47277954792006055</v>
      </c>
      <c r="AD32" s="9">
        <f>'9'!BB35</f>
        <v>0.59175290896799237</v>
      </c>
      <c r="AE32" s="9">
        <f>'9'!BJ35</f>
        <v>0.56982569542518924</v>
      </c>
      <c r="AF32" s="9">
        <f>'9'!BR35</f>
        <v>0.58067232722745243</v>
      </c>
      <c r="AG32" s="9">
        <f>'9'!BZ35</f>
        <v>0.55229385894406235</v>
      </c>
      <c r="AH32" s="9">
        <f>'9'!CH35</f>
        <v>0.47343257061401095</v>
      </c>
      <c r="AI32" s="9">
        <f>'9'!G35</f>
        <v>0.56279919499675102</v>
      </c>
      <c r="AJ32" s="9">
        <f>'9'!O35</f>
        <v>0.52646947167375102</v>
      </c>
      <c r="AK32" s="9">
        <f>'9'!W35</f>
        <v>0.45044417570070183</v>
      </c>
      <c r="AL32" s="9">
        <f>'9'!AE35</f>
        <v>0.50837444691641598</v>
      </c>
      <c r="AM32" s="9">
        <f>'9'!AM35</f>
        <v>0.51249717927068839</v>
      </c>
      <c r="AN32" s="9">
        <f>'9'!AU35</f>
        <v>0.54261499745484643</v>
      </c>
      <c r="AO32" s="9">
        <f>'9'!BC35</f>
        <v>0.55339924682750474</v>
      </c>
      <c r="AP32" s="9">
        <f>'9'!BK35</f>
        <v>0.57279832219417537</v>
      </c>
      <c r="AQ32" s="9">
        <f>'9'!BS35</f>
        <v>0.58770582509077951</v>
      </c>
      <c r="AR32" s="9">
        <f>'9'!CA35</f>
        <v>0.61944656978451196</v>
      </c>
      <c r="AS32" s="9">
        <f>'9'!CI35</f>
        <v>0.60848724958557066</v>
      </c>
      <c r="AT32" s="9">
        <f>'9'!H35</f>
        <v>0.47766802820173043</v>
      </c>
      <c r="AU32" s="9">
        <f>'9'!P35</f>
        <v>0.38634440343370596</v>
      </c>
      <c r="AV32" s="9">
        <f>'9'!X35</f>
        <v>0.43318713656712765</v>
      </c>
      <c r="AW32" s="9">
        <f>'9'!AF35</f>
        <v>0.41833596530782657</v>
      </c>
      <c r="AX32" s="9">
        <f>'9'!AN35</f>
        <v>0.41347284761594705</v>
      </c>
      <c r="AY32" s="9">
        <f>'9'!AV35</f>
        <v>0.4361326463249936</v>
      </c>
      <c r="AZ32" s="9">
        <f>'9'!BD35</f>
        <v>0.49923147584485261</v>
      </c>
      <c r="BA32" s="9">
        <f>'9'!BL35</f>
        <v>0.48044871530172639</v>
      </c>
      <c r="BB32" s="9">
        <f>'9'!BT35</f>
        <v>0.49598779441050578</v>
      </c>
      <c r="BC32" s="9">
        <f>'9'!CB35</f>
        <v>0.5447404653690564</v>
      </c>
      <c r="BD32" s="9">
        <f>'9'!CJ35</f>
        <v>0.50680707756286802</v>
      </c>
      <c r="BE32" s="9">
        <f>'10'!H35</f>
        <v>0.50552583254100714</v>
      </c>
      <c r="BF32" s="9">
        <f>'10'!P35</f>
        <v>0.3423305512111145</v>
      </c>
      <c r="BG32" s="9">
        <f>'10'!X35</f>
        <v>0.41271251316078472</v>
      </c>
      <c r="BH32" s="9">
        <f>'10'!AF35</f>
        <v>0.46457820548398016</v>
      </c>
      <c r="BI32" s="9">
        <f>'10'!AN35</f>
        <v>0.3919683873532559</v>
      </c>
      <c r="BJ32" s="9">
        <f>'10'!AV35</f>
        <v>0.43627800365626046</v>
      </c>
      <c r="BK32" s="9">
        <f>'10'!BD35</f>
        <v>0.5502093622957428</v>
      </c>
      <c r="BL32" s="9">
        <f>'10'!BL35</f>
        <v>0.48434529781927071</v>
      </c>
      <c r="BM32" s="9">
        <f>'10'!BT35</f>
        <v>0.44292119544631148</v>
      </c>
      <c r="BN32" s="9">
        <f>'10'!CB35</f>
        <v>0.56210883473411388</v>
      </c>
      <c r="BO32" s="9">
        <f>'10'!CJ35</f>
        <v>0.55312812788065735</v>
      </c>
    </row>
    <row r="33" spans="1:138">
      <c r="A33" s="1">
        <v>1998</v>
      </c>
      <c r="B33" s="9">
        <f>'9'!B36</f>
        <v>0.55382919037071332</v>
      </c>
      <c r="C33" s="9">
        <f>'9'!J36</f>
        <v>0.3676298882097111</v>
      </c>
      <c r="D33" s="9">
        <f>'9'!R36</f>
        <v>0.41535381927562864</v>
      </c>
      <c r="E33" s="9">
        <f>'9'!Z36</f>
        <v>0.52222617770002555</v>
      </c>
      <c r="F33" s="9">
        <f>'9'!AH36</f>
        <v>0.41105147910938672</v>
      </c>
      <c r="G33" s="9">
        <f>'9'!AP36</f>
        <v>0.46405455932897854</v>
      </c>
      <c r="H33" s="9">
        <f>'9'!AX36</f>
        <v>0.61761527515092574</v>
      </c>
      <c r="I33" s="9">
        <f>'9'!BF36</f>
        <v>0.50160515315104226</v>
      </c>
      <c r="J33" s="9">
        <f>'9'!BN36</f>
        <v>0.43038322958225916</v>
      </c>
      <c r="K33" s="9">
        <f>'9'!BV36</f>
        <v>0.60505800788423514</v>
      </c>
      <c r="L33" s="9">
        <f>'9'!CD36</f>
        <v>0.61579884007801267</v>
      </c>
      <c r="M33" s="9">
        <f>'9'!D36</f>
        <v>0.30286039128744413</v>
      </c>
      <c r="N33" s="9">
        <f>'9'!L36</f>
        <v>0.3075984438103615</v>
      </c>
      <c r="O33" s="9">
        <f>'9'!T36</f>
        <v>0.18587969157102738</v>
      </c>
      <c r="P33" s="9">
        <f>'9'!AB36</f>
        <v>0.22278556129178911</v>
      </c>
      <c r="Q33" s="9">
        <f>'9'!AJ36</f>
        <v>0.26684587271975196</v>
      </c>
      <c r="R33" s="9">
        <f>'9'!AR36</f>
        <v>0.29778306670670068</v>
      </c>
      <c r="S33" s="9">
        <f>'9'!AZ36</f>
        <v>0.26934092976383051</v>
      </c>
      <c r="T33" s="9">
        <f>'9'!BH36</f>
        <v>0.29460233054373774</v>
      </c>
      <c r="U33" s="9">
        <f>'9'!BP36</f>
        <v>0.3964654452790094</v>
      </c>
      <c r="V33" s="9">
        <f>'9'!BX36</f>
        <v>0.40115014012401523</v>
      </c>
      <c r="W33" s="9">
        <f>'9'!CF36</f>
        <v>0.36934787131137803</v>
      </c>
      <c r="X33" s="9">
        <f>'9'!F36</f>
        <v>0.51388214754238271</v>
      </c>
      <c r="Y33" s="9">
        <f>'9'!N36</f>
        <v>0.35710490721493937</v>
      </c>
      <c r="Z33" s="9">
        <f>'9'!V36</f>
        <v>0.74429299956676298</v>
      </c>
      <c r="AA33" s="9">
        <f>'9'!AD36</f>
        <v>0.41713841196504475</v>
      </c>
      <c r="AB33" s="9">
        <f>'9'!AL36</f>
        <v>0.52108755349613367</v>
      </c>
      <c r="AC33" s="9">
        <f>'9'!AT36</f>
        <v>0.51405399737165869</v>
      </c>
      <c r="AD33" s="9">
        <f>'9'!BB36</f>
        <v>0.59687182615392664</v>
      </c>
      <c r="AE33" s="9">
        <f>'9'!BJ36</f>
        <v>0.51948056494683947</v>
      </c>
      <c r="AF33" s="9">
        <f>'9'!BR36</f>
        <v>0.48472140096128324</v>
      </c>
      <c r="AG33" s="9">
        <f>'9'!BZ36</f>
        <v>0.51925792409373972</v>
      </c>
      <c r="AH33" s="9">
        <f>'9'!CH36</f>
        <v>0.41092854669338014</v>
      </c>
      <c r="AI33" s="9">
        <f>'9'!G36</f>
        <v>0.56631444600833059</v>
      </c>
      <c r="AJ33" s="9">
        <f>'9'!O36</f>
        <v>0.49442751104606053</v>
      </c>
      <c r="AK33" s="9">
        <f>'9'!W36</f>
        <v>0.45776943603870024</v>
      </c>
      <c r="AL33" s="9">
        <f>'9'!AE36</f>
        <v>0.51107584277856177</v>
      </c>
      <c r="AM33" s="9">
        <f>'9'!AM36</f>
        <v>0.52628654345046377</v>
      </c>
      <c r="AN33" s="9">
        <f>'9'!AU36</f>
        <v>0.56627056965767741</v>
      </c>
      <c r="AO33" s="9">
        <f>'9'!BC36</f>
        <v>0.554258491625782</v>
      </c>
      <c r="AP33" s="9">
        <f>'9'!BK36</f>
        <v>0.60376125618948739</v>
      </c>
      <c r="AQ33" s="9">
        <f>'9'!BS36</f>
        <v>0.63910218981792299</v>
      </c>
      <c r="AR33" s="9">
        <f>'9'!CA36</f>
        <v>0.64091865863076258</v>
      </c>
      <c r="AS33" s="9">
        <f>'9'!CI36</f>
        <v>0.55879161033963654</v>
      </c>
      <c r="AT33" s="9">
        <f>'9'!H36</f>
        <v>0.48422154380221771</v>
      </c>
      <c r="AU33" s="9">
        <f>'9'!P36</f>
        <v>0.38169018757026812</v>
      </c>
      <c r="AV33" s="9">
        <f>'9'!X36</f>
        <v>0.4508239866130298</v>
      </c>
      <c r="AW33" s="9">
        <f>'9'!AF36</f>
        <v>0.41830649843385531</v>
      </c>
      <c r="AX33" s="9">
        <f>'9'!AN36</f>
        <v>0.43131786219393403</v>
      </c>
      <c r="AY33" s="9">
        <f>'9'!AV36</f>
        <v>0.46054054826625379</v>
      </c>
      <c r="AZ33" s="9">
        <f>'9'!BD36</f>
        <v>0.50952163067361622</v>
      </c>
      <c r="BA33" s="9">
        <f>'9'!BL36</f>
        <v>0.47986232620777669</v>
      </c>
      <c r="BB33" s="9">
        <f>'9'!BT36</f>
        <v>0.48766806641011873</v>
      </c>
      <c r="BC33" s="9">
        <f>'9'!CB36</f>
        <v>0.5415961826831881</v>
      </c>
      <c r="BD33" s="9">
        <f>'9'!CJ36</f>
        <v>0.48871671710560183</v>
      </c>
      <c r="BE33" s="9">
        <f>'10'!H36</f>
        <v>0.52598613174331499</v>
      </c>
      <c r="BF33" s="9">
        <f>'10'!P36</f>
        <v>0.37325400795393388</v>
      </c>
      <c r="BG33" s="9">
        <f>'10'!X36</f>
        <v>0.42954188621058909</v>
      </c>
      <c r="BH33" s="9">
        <f>'10'!AF36</f>
        <v>0.48065830599355736</v>
      </c>
      <c r="BI33" s="9">
        <f>'10'!AN36</f>
        <v>0.41915803234320559</v>
      </c>
      <c r="BJ33" s="9">
        <f>'10'!AV36</f>
        <v>0.46264895490388869</v>
      </c>
      <c r="BK33" s="9">
        <f>'10'!BD36</f>
        <v>0.57437781736000193</v>
      </c>
      <c r="BL33" s="9">
        <f>'10'!BL36</f>
        <v>0.49290802237373604</v>
      </c>
      <c r="BM33" s="9">
        <f>'10'!BT36</f>
        <v>0.45329716431340294</v>
      </c>
      <c r="BN33" s="9">
        <f>'10'!CB36</f>
        <v>0.57967327780381628</v>
      </c>
      <c r="BO33" s="9">
        <f>'10'!CJ36</f>
        <v>0.56496599088904831</v>
      </c>
    </row>
    <row r="34" spans="1:138">
      <c r="A34" s="1">
        <v>1999</v>
      </c>
      <c r="B34" s="9">
        <f>'9'!B37</f>
        <v>0.57870379700417096</v>
      </c>
      <c r="C34" s="9">
        <f>'9'!J37</f>
        <v>0.4133066520219208</v>
      </c>
      <c r="D34" s="9">
        <f>'9'!R37</f>
        <v>0.46549630466318914</v>
      </c>
      <c r="E34" s="9">
        <f>'9'!Z37</f>
        <v>0.56241420575957657</v>
      </c>
      <c r="F34" s="9">
        <f>'9'!AH37</f>
        <v>0.45169032682381477</v>
      </c>
      <c r="G34" s="9">
        <f>'9'!AP37</f>
        <v>0.48723200500675606</v>
      </c>
      <c r="H34" s="9">
        <f>'9'!AX37</f>
        <v>0.64566743464818133</v>
      </c>
      <c r="I34" s="9">
        <f>'9'!BF37</f>
        <v>0.5268606498470787</v>
      </c>
      <c r="J34" s="9">
        <f>'9'!BN37</f>
        <v>0.44570382870967756</v>
      </c>
      <c r="K34" s="9">
        <f>'9'!BV37</f>
        <v>0.62148496077463289</v>
      </c>
      <c r="L34" s="9">
        <f>'9'!CD37</f>
        <v>0.63710844007810286</v>
      </c>
      <c r="M34" s="9">
        <f>'9'!D37</f>
        <v>0.32161106042480536</v>
      </c>
      <c r="N34" s="9">
        <f>'9'!L37</f>
        <v>0.35546528639434349</v>
      </c>
      <c r="O34" s="9">
        <f>'9'!T37</f>
        <v>0.19462809022624322</v>
      </c>
      <c r="P34" s="9">
        <f>'9'!AB37</f>
        <v>0.22970007146667343</v>
      </c>
      <c r="Q34" s="9">
        <f>'9'!AJ37</f>
        <v>0.28011198509709245</v>
      </c>
      <c r="R34" s="9">
        <f>'9'!AR37</f>
        <v>0.30800298892170802</v>
      </c>
      <c r="S34" s="9">
        <f>'9'!AZ37</f>
        <v>0.28106565278443429</v>
      </c>
      <c r="T34" s="9">
        <f>'9'!BH37</f>
        <v>0.30426274544837378</v>
      </c>
      <c r="U34" s="9">
        <f>'9'!BP37</f>
        <v>0.43376404841294114</v>
      </c>
      <c r="V34" s="9">
        <f>'9'!BX37</f>
        <v>0.48247866513571297</v>
      </c>
      <c r="W34" s="9">
        <f>'9'!CF37</f>
        <v>0.38172764205768306</v>
      </c>
      <c r="X34" s="9">
        <f>'9'!F37</f>
        <v>0.50846554511032127</v>
      </c>
      <c r="Y34" s="9">
        <f>'9'!N37</f>
        <v>0.29417997146002983</v>
      </c>
      <c r="Z34" s="9">
        <f>'9'!V37</f>
        <v>0.55400788436464887</v>
      </c>
      <c r="AA34" s="9">
        <f>'9'!AD37</f>
        <v>0.46894472368148532</v>
      </c>
      <c r="AB34" s="9">
        <f>'9'!AL37</f>
        <v>0.51328009062633184</v>
      </c>
      <c r="AC34" s="9">
        <f>'9'!AT37</f>
        <v>0.54764451844164452</v>
      </c>
      <c r="AD34" s="9">
        <f>'9'!BB37</f>
        <v>0.56094066979968427</v>
      </c>
      <c r="AE34" s="9">
        <f>'9'!BJ37</f>
        <v>0.47704794118096033</v>
      </c>
      <c r="AF34" s="9">
        <f>'9'!BR37</f>
        <v>0.54691185781896579</v>
      </c>
      <c r="AG34" s="9">
        <f>'9'!BZ37</f>
        <v>0.56297404581095867</v>
      </c>
      <c r="AH34" s="9">
        <f>'9'!CH37</f>
        <v>0.37930919750538505</v>
      </c>
      <c r="AI34" s="9">
        <f>'9'!G37</f>
        <v>0.57033085877621292</v>
      </c>
      <c r="AJ34" s="9">
        <f>'9'!O37</f>
        <v>0.50486892942479578</v>
      </c>
      <c r="AK34" s="9">
        <f>'9'!W37</f>
        <v>0.45007923326342253</v>
      </c>
      <c r="AL34" s="9">
        <f>'9'!AE37</f>
        <v>0.57628755763399309</v>
      </c>
      <c r="AM34" s="9">
        <f>'9'!AM37</f>
        <v>0.51798825550025662</v>
      </c>
      <c r="AN34" s="9">
        <f>'9'!AU37</f>
        <v>0.56863694137594634</v>
      </c>
      <c r="AO34" s="9">
        <f>'9'!BC37</f>
        <v>0.56267555644556888</v>
      </c>
      <c r="AP34" s="9">
        <f>'9'!BK37</f>
        <v>0.55423718859588789</v>
      </c>
      <c r="AQ34" s="9">
        <f>'9'!BS37</f>
        <v>0.61130209045433137</v>
      </c>
      <c r="AR34" s="9">
        <f>'9'!CA37</f>
        <v>0.64008680591641787</v>
      </c>
      <c r="AS34" s="9">
        <f>'9'!CI37</f>
        <v>0.57089648141486704</v>
      </c>
      <c r="AT34" s="9">
        <f>'9'!H37</f>
        <v>0.49477781532887766</v>
      </c>
      <c r="AU34" s="9">
        <f>'9'!P37</f>
        <v>0.39195520982527254</v>
      </c>
      <c r="AV34" s="9">
        <f>'9'!X37</f>
        <v>0.41605287812937597</v>
      </c>
      <c r="AW34" s="9">
        <f>'9'!AF37</f>
        <v>0.45933663963543203</v>
      </c>
      <c r="AX34" s="9">
        <f>'9'!AN37</f>
        <v>0.44076766451187394</v>
      </c>
      <c r="AY34" s="9">
        <f>'9'!AV37</f>
        <v>0.47787911343651368</v>
      </c>
      <c r="AZ34" s="9">
        <f>'9'!BD37</f>
        <v>0.51258732841946719</v>
      </c>
      <c r="BA34" s="9">
        <f>'9'!BL37</f>
        <v>0.46560213126807515</v>
      </c>
      <c r="BB34" s="9">
        <f>'9'!BT37</f>
        <v>0.50942045634897903</v>
      </c>
      <c r="BC34" s="9">
        <f>'9'!CB37</f>
        <v>0.57675611940943061</v>
      </c>
      <c r="BD34" s="9">
        <f>'9'!CJ37</f>
        <v>0.4922604402640095</v>
      </c>
      <c r="BE34" s="9">
        <f>'10'!H37</f>
        <v>0.54513340433405366</v>
      </c>
      <c r="BF34" s="9">
        <f>'10'!P37</f>
        <v>0.40476607514326146</v>
      </c>
      <c r="BG34" s="9">
        <f>'10'!X37</f>
        <v>0.44571893404966384</v>
      </c>
      <c r="BH34" s="9">
        <f>'10'!AF37</f>
        <v>0.52118317930991875</v>
      </c>
      <c r="BI34" s="9">
        <f>'10'!AN37</f>
        <v>0.44732126189903842</v>
      </c>
      <c r="BJ34" s="9">
        <f>'10'!AV37</f>
        <v>0.48349084837865908</v>
      </c>
      <c r="BK34" s="9">
        <f>'10'!BD37</f>
        <v>0.59243539215669561</v>
      </c>
      <c r="BL34" s="9">
        <f>'10'!BL37</f>
        <v>0.50235724241547719</v>
      </c>
      <c r="BM34" s="9">
        <f>'10'!BT37</f>
        <v>0.47119047976539813</v>
      </c>
      <c r="BN34" s="9">
        <f>'10'!CB37</f>
        <v>0.603593424228552</v>
      </c>
      <c r="BO34" s="9">
        <f>'10'!CJ37</f>
        <v>0.57916924015246551</v>
      </c>
    </row>
    <row r="35" spans="1:138">
      <c r="A35" s="1">
        <v>2000</v>
      </c>
      <c r="B35" s="9">
        <f>'9'!B38</f>
        <v>0.60769764491524347</v>
      </c>
      <c r="C35" s="9">
        <f>'9'!J38</f>
        <v>0.44040329454067229</v>
      </c>
      <c r="D35" s="9">
        <f>'9'!R38</f>
        <v>0.4783148072775002</v>
      </c>
      <c r="E35" s="9">
        <f>'9'!Z38</f>
        <v>0.58290400183654201</v>
      </c>
      <c r="F35" s="9">
        <f>'9'!AH38</f>
        <v>0.46761771480012659</v>
      </c>
      <c r="G35" s="9">
        <f>'9'!AP38</f>
        <v>0.51893058272233095</v>
      </c>
      <c r="H35" s="9">
        <f>'9'!AX38</f>
        <v>0.67084626602538422</v>
      </c>
      <c r="I35" s="9">
        <f>'9'!BF38</f>
        <v>0.54173693135950862</v>
      </c>
      <c r="J35" s="9">
        <f>'9'!BN38</f>
        <v>0.46776011599062156</v>
      </c>
      <c r="K35" s="9">
        <f>'9'!BV38</f>
        <v>0.65856412862737246</v>
      </c>
      <c r="L35" s="9">
        <f>'9'!CD38</f>
        <v>0.66790133193502976</v>
      </c>
      <c r="M35" s="9">
        <f>'9'!D38</f>
        <v>0.35005266596543333</v>
      </c>
      <c r="N35" s="9">
        <f>'9'!L38</f>
        <v>0.43606835142159517</v>
      </c>
      <c r="O35" s="9">
        <f>'9'!T38</f>
        <v>0.20264730453669488</v>
      </c>
      <c r="P35" s="9">
        <f>'9'!AB38</f>
        <v>0.26186311179892163</v>
      </c>
      <c r="Q35" s="9">
        <f>'9'!AJ38</f>
        <v>0.28951855379795449</v>
      </c>
      <c r="R35" s="9">
        <f>'9'!AR38</f>
        <v>0.31609377067851258</v>
      </c>
      <c r="S35" s="9">
        <f>'9'!AZ38</f>
        <v>0.29166660330602429</v>
      </c>
      <c r="T35" s="9">
        <f>'9'!BH38</f>
        <v>0.31516512868186242</v>
      </c>
      <c r="U35" s="9">
        <f>'9'!BP38</f>
        <v>0.49016243808522564</v>
      </c>
      <c r="V35" s="9">
        <f>'9'!BX38</f>
        <v>0.60823375030767857</v>
      </c>
      <c r="W35" s="9">
        <f>'9'!CF38</f>
        <v>0.40643735320748853</v>
      </c>
      <c r="X35" s="9">
        <f>'9'!F38</f>
        <v>0.50214776087536384</v>
      </c>
      <c r="Y35" s="9">
        <f>'9'!N38</f>
        <v>0.31700490501070799</v>
      </c>
      <c r="Z35" s="9">
        <f>'9'!V38</f>
        <v>0.53867965100765636</v>
      </c>
      <c r="AA35" s="9">
        <f>'9'!AD38</f>
        <v>0.4826130928988871</v>
      </c>
      <c r="AB35" s="9">
        <f>'9'!AL38</f>
        <v>0.53234695026410461</v>
      </c>
      <c r="AC35" s="9">
        <f>'9'!AT38</f>
        <v>0.49279288395279519</v>
      </c>
      <c r="AD35" s="9">
        <f>'9'!BB38</f>
        <v>0.58537622844875314</v>
      </c>
      <c r="AE35" s="9">
        <f>'9'!BJ38</f>
        <v>0.4876973796521773</v>
      </c>
      <c r="AF35" s="9">
        <f>'9'!BR38</f>
        <v>0.4202178617119271</v>
      </c>
      <c r="AG35" s="9">
        <f>'9'!BZ38</f>
        <v>0.58082201657562027</v>
      </c>
      <c r="AH35" s="9">
        <f>'9'!CH38</f>
        <v>0.37611648631347033</v>
      </c>
      <c r="AI35" s="9">
        <f>'9'!G38</f>
        <v>0.57886134779821263</v>
      </c>
      <c r="AJ35" s="9">
        <f>'9'!O38</f>
        <v>0.47377308533973922</v>
      </c>
      <c r="AK35" s="9">
        <f>'9'!W38</f>
        <v>0.49744249684194863</v>
      </c>
      <c r="AL35" s="9">
        <f>'9'!AE38</f>
        <v>0.54337917554704263</v>
      </c>
      <c r="AM35" s="9">
        <f>'9'!AM38</f>
        <v>0.53454163211248873</v>
      </c>
      <c r="AN35" s="9">
        <f>'9'!AU38</f>
        <v>0.57332468600192721</v>
      </c>
      <c r="AO35" s="9">
        <f>'9'!BC38</f>
        <v>0.57131808333860501</v>
      </c>
      <c r="AP35" s="9">
        <f>'9'!BK38</f>
        <v>0.56775842075651128</v>
      </c>
      <c r="AQ35" s="9">
        <f>'9'!BS38</f>
        <v>0.59259162850887204</v>
      </c>
      <c r="AR35" s="9">
        <f>'9'!CA38</f>
        <v>0.63609782744343235</v>
      </c>
      <c r="AS35" s="9">
        <f>'9'!CI38</f>
        <v>0.60704245861753581</v>
      </c>
      <c r="AT35" s="9">
        <f>'9'!H38</f>
        <v>0.50968985488856333</v>
      </c>
      <c r="AU35" s="9">
        <f>'9'!P38</f>
        <v>0.41681240907817868</v>
      </c>
      <c r="AV35" s="9">
        <f>'9'!X38</f>
        <v>0.42927106491595002</v>
      </c>
      <c r="AW35" s="9">
        <f>'9'!AF38</f>
        <v>0.46768984552034831</v>
      </c>
      <c r="AX35" s="9">
        <f>'9'!AN38</f>
        <v>0.45600621274366865</v>
      </c>
      <c r="AY35" s="9">
        <f>'9'!AV38</f>
        <v>0.47528548083889144</v>
      </c>
      <c r="AZ35" s="9">
        <f>'9'!BD38</f>
        <v>0.52980179527969162</v>
      </c>
      <c r="BA35" s="9">
        <f>'9'!BL38</f>
        <v>0.47808946511251493</v>
      </c>
      <c r="BB35" s="9">
        <f>'9'!BT38</f>
        <v>0.49268301107416157</v>
      </c>
      <c r="BC35" s="9">
        <f>'9'!CB38</f>
        <v>0.62092943073852591</v>
      </c>
      <c r="BD35" s="9">
        <f>'9'!CJ38</f>
        <v>0.51437440751838115</v>
      </c>
      <c r="BE35" s="9">
        <f>'10'!H38</f>
        <v>0.56849452890457142</v>
      </c>
      <c r="BF35" s="9">
        <f>'10'!P38</f>
        <v>0.43096694035567484</v>
      </c>
      <c r="BG35" s="9">
        <f>'10'!X38</f>
        <v>0.45869731033288014</v>
      </c>
      <c r="BH35" s="9">
        <f>'10'!AF38</f>
        <v>0.53681833931006451</v>
      </c>
      <c r="BI35" s="9">
        <f>'10'!AN38</f>
        <v>0.46297311397754337</v>
      </c>
      <c r="BJ35" s="9">
        <f>'10'!AV38</f>
        <v>0.50147254196895519</v>
      </c>
      <c r="BK35" s="9">
        <f>'10'!BD38</f>
        <v>0.61442847772710718</v>
      </c>
      <c r="BL35" s="9">
        <f>'10'!BL38</f>
        <v>0.5162779448607111</v>
      </c>
      <c r="BM35" s="9">
        <f>'10'!BT38</f>
        <v>0.47772927402403764</v>
      </c>
      <c r="BN35" s="9">
        <f>'10'!CB38</f>
        <v>0.64351024947183388</v>
      </c>
      <c r="BO35" s="9">
        <f>'10'!CJ38</f>
        <v>0.60649056216837027</v>
      </c>
    </row>
    <row r="36" spans="1:138">
      <c r="A36" s="1">
        <v>2001</v>
      </c>
      <c r="B36" s="9">
        <f>'9'!B39</f>
        <v>0.62648184541481788</v>
      </c>
      <c r="C36" s="9">
        <f>'9'!J39</f>
        <v>0.4825548466815337</v>
      </c>
      <c r="D36" s="9">
        <f>'9'!R39</f>
        <v>0.51415455480124672</v>
      </c>
      <c r="E36" s="9">
        <f>'9'!Z39</f>
        <v>0.60626015081086526</v>
      </c>
      <c r="F36" s="9">
        <f>'9'!AH39</f>
        <v>0.47658532289306299</v>
      </c>
      <c r="G36" s="9">
        <f>'9'!AP39</f>
        <v>0.54265827780181919</v>
      </c>
      <c r="H36" s="9">
        <f>'9'!AX39</f>
        <v>0.68598462591857168</v>
      </c>
      <c r="I36" s="9">
        <f>'9'!BF39</f>
        <v>0.56740661016170135</v>
      </c>
      <c r="J36" s="9">
        <f>'9'!BN39</f>
        <v>0.50243188642159942</v>
      </c>
      <c r="K36" s="9">
        <f>'9'!BV39</f>
        <v>0.68439814576899927</v>
      </c>
      <c r="L36" s="9">
        <f>'9'!CD39</f>
        <v>0.68251591287710278</v>
      </c>
      <c r="M36" s="9">
        <f>'9'!D39</f>
        <v>0.34979103379749987</v>
      </c>
      <c r="N36" s="9">
        <f>'9'!L39</f>
        <v>0.42286743197028021</v>
      </c>
      <c r="O36" s="9">
        <f>'9'!T39</f>
        <v>0.21425197494443562</v>
      </c>
      <c r="P36" s="9">
        <f>'9'!AB39</f>
        <v>0.26322769278266067</v>
      </c>
      <c r="Q36" s="9">
        <f>'9'!AJ39</f>
        <v>0.294099573542283</v>
      </c>
      <c r="R36" s="9">
        <f>'9'!AR39</f>
        <v>0.32139137955585945</v>
      </c>
      <c r="S36" s="9">
        <f>'9'!AZ39</f>
        <v>0.29470094381073564</v>
      </c>
      <c r="T36" s="9">
        <f>'9'!BH39</f>
        <v>0.31561857671371757</v>
      </c>
      <c r="U36" s="9">
        <f>'9'!BP39</f>
        <v>0.46786132598999519</v>
      </c>
      <c r="V36" s="9">
        <f>'9'!BX39</f>
        <v>0.5773731881112002</v>
      </c>
      <c r="W36" s="9">
        <f>'9'!CF39</f>
        <v>0.41220797351981675</v>
      </c>
      <c r="X36" s="9">
        <f>'9'!F39</f>
        <v>0.51107598404402743</v>
      </c>
      <c r="Y36" s="9">
        <f>'9'!N39</f>
        <v>0.41124604988384045</v>
      </c>
      <c r="Z36" s="9">
        <f>'9'!V39</f>
        <v>0.57684878294837461</v>
      </c>
      <c r="AA36" s="9">
        <f>'9'!AD39</f>
        <v>0.4669450335986845</v>
      </c>
      <c r="AB36" s="9">
        <f>'9'!AL39</f>
        <v>0.52521390914088895</v>
      </c>
      <c r="AC36" s="9">
        <f>'9'!AT39</f>
        <v>0.51484303698776857</v>
      </c>
      <c r="AD36" s="9">
        <f>'9'!BB39</f>
        <v>0.59613962738130466</v>
      </c>
      <c r="AE36" s="9">
        <f>'9'!BJ39</f>
        <v>0.54659327697837279</v>
      </c>
      <c r="AF36" s="9">
        <f>'9'!BR39</f>
        <v>0.50956411580239591</v>
      </c>
      <c r="AG36" s="9">
        <f>'9'!BZ39</f>
        <v>0.59874778619040558</v>
      </c>
      <c r="AH36" s="9">
        <f>'9'!CH39</f>
        <v>0.31449866527497178</v>
      </c>
      <c r="AI36" s="9">
        <f>'9'!G39</f>
        <v>0.55139674317838749</v>
      </c>
      <c r="AJ36" s="9">
        <f>'9'!O39</f>
        <v>0.49950470879844366</v>
      </c>
      <c r="AK36" s="9">
        <f>'9'!W39</f>
        <v>0.43163235365441127</v>
      </c>
      <c r="AL36" s="9">
        <f>'9'!AE39</f>
        <v>0.51603940494434264</v>
      </c>
      <c r="AM36" s="9">
        <f>'9'!AM39</f>
        <v>0.47329947601938116</v>
      </c>
      <c r="AN36" s="9">
        <f>'9'!AU39</f>
        <v>0.55909850511304449</v>
      </c>
      <c r="AO36" s="9">
        <f>'9'!BC39</f>
        <v>0.53995233333456505</v>
      </c>
      <c r="AP36" s="9">
        <f>'9'!BK39</f>
        <v>0.52786819158789489</v>
      </c>
      <c r="AQ36" s="9">
        <f>'9'!BS39</f>
        <v>0.56803531723160205</v>
      </c>
      <c r="AR36" s="9">
        <f>'9'!CA39</f>
        <v>0.62609709007118308</v>
      </c>
      <c r="AS36" s="9">
        <f>'9'!CI39</f>
        <v>0.55002331892054901</v>
      </c>
      <c r="AT36" s="9">
        <f>'9'!H39</f>
        <v>0.50968640160868317</v>
      </c>
      <c r="AU36" s="9">
        <f>'9'!P39</f>
        <v>0.45404325933352452</v>
      </c>
      <c r="AV36" s="9">
        <f>'9'!X39</f>
        <v>0.43422191658711706</v>
      </c>
      <c r="AW36" s="9">
        <f>'9'!AF39</f>
        <v>0.46311807053413828</v>
      </c>
      <c r="AX36" s="9">
        <f>'9'!AN39</f>
        <v>0.442299570398904</v>
      </c>
      <c r="AY36" s="9">
        <f>'9'!AV39</f>
        <v>0.48449779986462294</v>
      </c>
      <c r="AZ36" s="9">
        <f>'9'!BD39</f>
        <v>0.52919438261129426</v>
      </c>
      <c r="BA36" s="9">
        <f>'9'!BL39</f>
        <v>0.48937166386042164</v>
      </c>
      <c r="BB36" s="9">
        <f>'9'!BT39</f>
        <v>0.51197316136139814</v>
      </c>
      <c r="BC36" s="9">
        <f>'9'!CB39</f>
        <v>0.62165405253544703</v>
      </c>
      <c r="BD36" s="9">
        <f>'9'!CJ39</f>
        <v>0.48981146764811007</v>
      </c>
      <c r="BE36" s="9">
        <f>'10'!H39</f>
        <v>0.57976366789236389</v>
      </c>
      <c r="BF36" s="9">
        <f>'10'!P39</f>
        <v>0.47115021174233002</v>
      </c>
      <c r="BG36" s="9">
        <f>'10'!X39</f>
        <v>0.48218149951559486</v>
      </c>
      <c r="BH36" s="9">
        <f>'10'!AF39</f>
        <v>0.54900331870017438</v>
      </c>
      <c r="BI36" s="9">
        <f>'10'!AN39</f>
        <v>0.46287102189539941</v>
      </c>
      <c r="BJ36" s="9">
        <f>'10'!AV39</f>
        <v>0.51939408662694064</v>
      </c>
      <c r="BK36" s="9">
        <f>'10'!BD39</f>
        <v>0.62326852859566062</v>
      </c>
      <c r="BL36" s="9">
        <f>'10'!BL39</f>
        <v>0.53619263164118947</v>
      </c>
      <c r="BM36" s="9">
        <f>'10'!BT39</f>
        <v>0.50624839639751884</v>
      </c>
      <c r="BN36" s="9">
        <f>'10'!CB39</f>
        <v>0.65930050847557831</v>
      </c>
      <c r="BO36" s="9">
        <f>'10'!CJ39</f>
        <v>0.60543413478550567</v>
      </c>
    </row>
    <row r="37" spans="1:138">
      <c r="A37" s="1">
        <v>2002</v>
      </c>
      <c r="B37" s="9">
        <f>'9'!B40</f>
        <v>0.64603724803837104</v>
      </c>
      <c r="C37" s="9">
        <f>'9'!J40</f>
        <v>0.51817309037159864</v>
      </c>
      <c r="D37" s="9">
        <f>'9'!R40</f>
        <v>0.53624046823867666</v>
      </c>
      <c r="E37" s="9">
        <f>'9'!Z40</f>
        <v>0.64146109227636638</v>
      </c>
      <c r="F37" s="9">
        <f>'9'!AH40</f>
        <v>0.4999476600642816</v>
      </c>
      <c r="G37" s="9">
        <f>'9'!AP40</f>
        <v>0.56300589110130783</v>
      </c>
      <c r="H37" s="9">
        <f>'9'!AX40</f>
        <v>0.70615839029193861</v>
      </c>
      <c r="I37" s="9">
        <f>'9'!BF40</f>
        <v>0.58768660768432635</v>
      </c>
      <c r="J37" s="9">
        <f>'9'!BN40</f>
        <v>0.52290842253150849</v>
      </c>
      <c r="K37" s="9">
        <f>'9'!BV40</f>
        <v>0.69899179728158278</v>
      </c>
      <c r="L37" s="9">
        <f>'9'!CD40</f>
        <v>0.69977640301901978</v>
      </c>
      <c r="M37" s="9">
        <f>'9'!D40</f>
        <v>0.35157732960737681</v>
      </c>
      <c r="N37" s="9">
        <f>'9'!L40</f>
        <v>0.43528803154789669</v>
      </c>
      <c r="O37" s="9">
        <f>'9'!T40</f>
        <v>0.22170022458170222</v>
      </c>
      <c r="P37" s="9">
        <f>'9'!AB40</f>
        <v>0.26048139799075898</v>
      </c>
      <c r="Q37" s="9">
        <f>'9'!AJ40</f>
        <v>0.29950969283697348</v>
      </c>
      <c r="R37" s="9">
        <f>'9'!AR40</f>
        <v>0.32574163288715241</v>
      </c>
      <c r="S37" s="9">
        <f>'9'!AZ40</f>
        <v>0.29758483743233022</v>
      </c>
      <c r="T37" s="9">
        <f>'9'!BH40</f>
        <v>0.31784881029076906</v>
      </c>
      <c r="U37" s="9">
        <f>'9'!BP40</f>
        <v>0.47033701053853599</v>
      </c>
      <c r="V37" s="9">
        <f>'9'!BX40</f>
        <v>0.58103322241899913</v>
      </c>
      <c r="W37" s="9">
        <f>'9'!CF40</f>
        <v>0.4088294434636604</v>
      </c>
      <c r="X37" s="9">
        <f>'9'!F40</f>
        <v>0.4993868919690741</v>
      </c>
      <c r="Y37" s="9">
        <f>'9'!N40</f>
        <v>0.32051670050138581</v>
      </c>
      <c r="Z37" s="9">
        <f>'9'!V40</f>
        <v>0.63100468817585098</v>
      </c>
      <c r="AA37" s="9">
        <f>'9'!AD40</f>
        <v>0.45948878897349577</v>
      </c>
      <c r="AB37" s="9">
        <f>'9'!AL40</f>
        <v>0.45548182780966318</v>
      </c>
      <c r="AC37" s="9">
        <f>'9'!AT40</f>
        <v>0.52167806416076257</v>
      </c>
      <c r="AD37" s="9">
        <f>'9'!BB40</f>
        <v>0.56244896390438914</v>
      </c>
      <c r="AE37" s="9">
        <f>'9'!BJ40</f>
        <v>0.49264812516604545</v>
      </c>
      <c r="AF37" s="9">
        <f>'9'!BR40</f>
        <v>0.50039360026875235</v>
      </c>
      <c r="AG37" s="9">
        <f>'9'!BZ40</f>
        <v>0.66093077439176251</v>
      </c>
      <c r="AH37" s="9">
        <f>'9'!CH40</f>
        <v>0.27951742630665571</v>
      </c>
      <c r="AI37" s="9">
        <f>'9'!G40</f>
        <v>0.51205581417800172</v>
      </c>
      <c r="AJ37" s="9">
        <f>'9'!O40</f>
        <v>0.47734990143508094</v>
      </c>
      <c r="AK37" s="9">
        <f>'9'!W40</f>
        <v>0.47401391023156625</v>
      </c>
      <c r="AL37" s="9">
        <f>'9'!AE40</f>
        <v>0.47198552345040967</v>
      </c>
      <c r="AM37" s="9">
        <f>'9'!AM40</f>
        <v>0.47031596384641045</v>
      </c>
      <c r="AN37" s="9">
        <f>'9'!AU40</f>
        <v>0.53433378650175545</v>
      </c>
      <c r="AO37" s="9">
        <f>'9'!BC40</f>
        <v>0.48731835015735403</v>
      </c>
      <c r="AP37" s="9">
        <f>'9'!BK40</f>
        <v>0.53490233870051695</v>
      </c>
      <c r="AQ37" s="9">
        <f>'9'!BS40</f>
        <v>0.53730076682248606</v>
      </c>
      <c r="AR37" s="9">
        <f>'9'!CA40</f>
        <v>0.60255218635365027</v>
      </c>
      <c r="AS37" s="9">
        <f>'9'!CI40</f>
        <v>0.49134483678116497</v>
      </c>
      <c r="AT37" s="9">
        <f>'9'!H40</f>
        <v>0.50226432094820594</v>
      </c>
      <c r="AU37" s="9">
        <f>'9'!P40</f>
        <v>0.43783193096399053</v>
      </c>
      <c r="AV37" s="9">
        <f>'9'!X40</f>
        <v>0.46573982280694903</v>
      </c>
      <c r="AW37" s="9">
        <f>'9'!AF40</f>
        <v>0.45835420067275767</v>
      </c>
      <c r="AX37" s="9">
        <f>'9'!AN40</f>
        <v>0.43131378613933219</v>
      </c>
      <c r="AY37" s="9">
        <f>'9'!AV40</f>
        <v>0.48618984366274454</v>
      </c>
      <c r="AZ37" s="9">
        <f>'9'!BD40</f>
        <v>0.51337763544650294</v>
      </c>
      <c r="BA37" s="9">
        <f>'9'!BL40</f>
        <v>0.48327147046041447</v>
      </c>
      <c r="BB37" s="9">
        <f>'9'!BT40</f>
        <v>0.50773495004032076</v>
      </c>
      <c r="BC37" s="9">
        <f>'9'!CB40</f>
        <v>0.63587699511149864</v>
      </c>
      <c r="BD37" s="9">
        <f>'9'!CJ40</f>
        <v>0.46986702739262526</v>
      </c>
      <c r="BE37" s="9">
        <f>'10'!H40</f>
        <v>0.58852807720230504</v>
      </c>
      <c r="BF37" s="9">
        <f>'10'!P40</f>
        <v>0.4860366266085554</v>
      </c>
      <c r="BG37" s="9">
        <f>'10'!X40</f>
        <v>0.50804021006598565</v>
      </c>
      <c r="BH37" s="9">
        <f>'10'!AF40</f>
        <v>0.56821833563492286</v>
      </c>
      <c r="BI37" s="9">
        <f>'10'!AN40</f>
        <v>0.47249411049430184</v>
      </c>
      <c r="BJ37" s="9">
        <f>'10'!AV40</f>
        <v>0.53227947212588256</v>
      </c>
      <c r="BK37" s="9">
        <f>'10'!BD40</f>
        <v>0.62904608835376441</v>
      </c>
      <c r="BL37" s="9">
        <f>'10'!BL40</f>
        <v>0.54592055279476148</v>
      </c>
      <c r="BM37" s="9">
        <f>'10'!BT40</f>
        <v>0.51683903353503335</v>
      </c>
      <c r="BN37" s="9">
        <f>'10'!CB40</f>
        <v>0.67374587641354911</v>
      </c>
      <c r="BO37" s="9">
        <f>'10'!CJ40</f>
        <v>0.60781265276846186</v>
      </c>
    </row>
    <row r="38" spans="1:138">
      <c r="A38" s="1">
        <v>2003</v>
      </c>
      <c r="B38" s="9">
        <f>'9'!B41</f>
        <v>0.66790011172971175</v>
      </c>
      <c r="C38" s="9">
        <f>'9'!J41</f>
        <v>0.53172913282398937</v>
      </c>
      <c r="D38" s="9">
        <f>'9'!R41</f>
        <v>0.56484597538070591</v>
      </c>
      <c r="E38" s="9">
        <f>'9'!Z41</f>
        <v>0.66216294347264948</v>
      </c>
      <c r="F38" s="9">
        <f>'9'!AH41</f>
        <v>0.51812443683337017</v>
      </c>
      <c r="G38" s="9">
        <f>'9'!AP41</f>
        <v>0.59300707319132673</v>
      </c>
      <c r="H38" s="9">
        <f>'9'!AX41</f>
        <v>0.72814586378270407</v>
      </c>
      <c r="I38" s="9">
        <f>'9'!BF41</f>
        <v>0.60406633948456723</v>
      </c>
      <c r="J38" s="9">
        <f>'9'!BN41</f>
        <v>0.53560443588310236</v>
      </c>
      <c r="K38" s="9">
        <f>'9'!BV41</f>
        <v>0.71339040960749223</v>
      </c>
      <c r="L38" s="9">
        <f>'9'!CD41</f>
        <v>0.71973601901368522</v>
      </c>
      <c r="M38" s="9">
        <f>'9'!D41</f>
        <v>0.36351439297037474</v>
      </c>
      <c r="N38" s="9">
        <f>'9'!L41</f>
        <v>0.43504105123682457</v>
      </c>
      <c r="O38" s="9">
        <f>'9'!T41</f>
        <v>0.22900414900116234</v>
      </c>
      <c r="P38" s="9">
        <f>'9'!AB41</f>
        <v>0.2616420657755083</v>
      </c>
      <c r="Q38" s="9">
        <f>'9'!AJ41</f>
        <v>0.30359612753296683</v>
      </c>
      <c r="R38" s="9">
        <f>'9'!AR41</f>
        <v>0.33198937478293461</v>
      </c>
      <c r="S38" s="9">
        <f>'9'!AZ41</f>
        <v>0.30341941194699057</v>
      </c>
      <c r="T38" s="9">
        <f>'9'!BH41</f>
        <v>0.32238280986879825</v>
      </c>
      <c r="U38" s="9">
        <f>'9'!BP41</f>
        <v>0.49710904465845734</v>
      </c>
      <c r="V38" s="9">
        <f>'9'!BX41</f>
        <v>0.62127111995067152</v>
      </c>
      <c r="W38" s="9">
        <f>'9'!CF41</f>
        <v>0.42497449107229696</v>
      </c>
      <c r="X38" s="9">
        <f>'9'!F41</f>
        <v>0.50314279809928009</v>
      </c>
      <c r="Y38" s="9">
        <f>'9'!N41</f>
        <v>0.33795374537894463</v>
      </c>
      <c r="Z38" s="9">
        <f>'9'!V41</f>
        <v>0.68916827438751882</v>
      </c>
      <c r="AA38" s="9">
        <f>'9'!AD41</f>
        <v>0.42297176542006165</v>
      </c>
      <c r="AB38" s="9">
        <f>'9'!AL41</f>
        <v>0.41160953420023483</v>
      </c>
      <c r="AC38" s="9">
        <f>'9'!AT41</f>
        <v>0.54527135809527338</v>
      </c>
      <c r="AD38" s="9">
        <f>'9'!BB41</f>
        <v>0.582872589220094</v>
      </c>
      <c r="AE38" s="9">
        <f>'9'!BJ41</f>
        <v>0.5280502759686404</v>
      </c>
      <c r="AF38" s="9">
        <f>'9'!BR41</f>
        <v>0.49367216324488522</v>
      </c>
      <c r="AG38" s="9">
        <f>'9'!BZ41</f>
        <v>0.53860890889353696</v>
      </c>
      <c r="AH38" s="9">
        <f>'9'!CH41</f>
        <v>0.30568836782083347</v>
      </c>
      <c r="AI38" s="9">
        <f>'9'!G41</f>
        <v>0.50774013929159489</v>
      </c>
      <c r="AJ38" s="9">
        <f>'9'!O41</f>
        <v>0.45163289883695507</v>
      </c>
      <c r="AK38" s="9">
        <f>'9'!W41</f>
        <v>0.44015235940963948</v>
      </c>
      <c r="AL38" s="9">
        <f>'9'!AE41</f>
        <v>0.47815479311819797</v>
      </c>
      <c r="AM38" s="9">
        <f>'9'!AM41</f>
        <v>0.44398761411016308</v>
      </c>
      <c r="AN38" s="9">
        <f>'9'!AU41</f>
        <v>0.52412010189365599</v>
      </c>
      <c r="AO38" s="9">
        <f>'9'!BC41</f>
        <v>0.48863746059964691</v>
      </c>
      <c r="AP38" s="9">
        <f>'9'!BK41</f>
        <v>0.54275876846982352</v>
      </c>
      <c r="AQ38" s="9">
        <f>'9'!BS41</f>
        <v>0.55049116782559471</v>
      </c>
      <c r="AR38" s="9">
        <f>'9'!CA41</f>
        <v>0.5872506918372582</v>
      </c>
      <c r="AS38" s="9">
        <f>'9'!CI41</f>
        <v>0.47764982398540601</v>
      </c>
      <c r="AT38" s="9">
        <f>'9'!H41</f>
        <v>0.5105743605227403</v>
      </c>
      <c r="AU38" s="9">
        <f>'9'!P41</f>
        <v>0.43908920706917842</v>
      </c>
      <c r="AV38" s="9">
        <f>'9'!X41</f>
        <v>0.48079268954475668</v>
      </c>
      <c r="AW38" s="9">
        <f>'9'!AF41</f>
        <v>0.45623289194660438</v>
      </c>
      <c r="AX38" s="9">
        <f>'9'!AN41</f>
        <v>0.41932942816918373</v>
      </c>
      <c r="AY38" s="9">
        <f>'9'!AV41</f>
        <v>0.49859697699079775</v>
      </c>
      <c r="AZ38" s="9">
        <f>'9'!BD41</f>
        <v>0.52576883138735897</v>
      </c>
      <c r="BA38" s="9">
        <f>'9'!BL41</f>
        <v>0.49931454844795731</v>
      </c>
      <c r="BB38" s="9">
        <f>'9'!BT41</f>
        <v>0.51921920290300994</v>
      </c>
      <c r="BC38" s="9">
        <f>'9'!CB41</f>
        <v>0.61513028257223967</v>
      </c>
      <c r="BD38" s="9">
        <f>'9'!CJ41</f>
        <v>0.48201217547305542</v>
      </c>
      <c r="BE38" s="9">
        <f>'10'!H41</f>
        <v>0.60496981124692306</v>
      </c>
      <c r="BF38" s="9">
        <f>'10'!P41</f>
        <v>0.49467316252206495</v>
      </c>
      <c r="BG38" s="9">
        <f>'10'!X41</f>
        <v>0.53122466104632615</v>
      </c>
      <c r="BH38" s="9">
        <f>'10'!AF41</f>
        <v>0.57979092286223144</v>
      </c>
      <c r="BI38" s="9">
        <f>'10'!AN41</f>
        <v>0.47860643336769559</v>
      </c>
      <c r="BJ38" s="9">
        <f>'10'!AV41</f>
        <v>0.55524303471111514</v>
      </c>
      <c r="BK38" s="9">
        <f>'10'!BD41</f>
        <v>0.64719505082456585</v>
      </c>
      <c r="BL38" s="9">
        <f>'10'!BL41</f>
        <v>0.56216562306992324</v>
      </c>
      <c r="BM38" s="9">
        <f>'10'!BT41</f>
        <v>0.52905034269106532</v>
      </c>
      <c r="BN38" s="9">
        <f>'10'!CB41</f>
        <v>0.67408635879339118</v>
      </c>
      <c r="BO38" s="9">
        <f>'10'!CJ41</f>
        <v>0.6246464815974333</v>
      </c>
    </row>
    <row r="39" spans="1:138">
      <c r="A39" s="1">
        <v>2004</v>
      </c>
      <c r="B39" s="9">
        <f>'9'!B42</f>
        <v>0.6899340129521192</v>
      </c>
      <c r="C39" s="9">
        <f>'9'!J42</f>
        <v>0.54784729185012326</v>
      </c>
      <c r="D39" s="9">
        <f>'9'!R42</f>
        <v>0.56770374652001532</v>
      </c>
      <c r="E39" s="9">
        <f>'9'!Z42</f>
        <v>0.67988602680818677</v>
      </c>
      <c r="F39" s="9">
        <f>'9'!AH42</f>
        <v>0.55061841542550904</v>
      </c>
      <c r="G39" s="9">
        <f>'9'!AP42</f>
        <v>0.61255407428745345</v>
      </c>
      <c r="H39" s="9">
        <f>'9'!AX42</f>
        <v>0.75127092994033673</v>
      </c>
      <c r="I39" s="9">
        <f>'9'!BF42</f>
        <v>0.62366146387753496</v>
      </c>
      <c r="J39" s="9">
        <f>'9'!BN42</f>
        <v>0.55339212990848174</v>
      </c>
      <c r="K39" s="9">
        <f>'9'!BV42</f>
        <v>0.73684749328894783</v>
      </c>
      <c r="L39" s="9">
        <f>'9'!CD42</f>
        <v>0.7440893030786524</v>
      </c>
      <c r="M39" s="9">
        <f>'9'!D42</f>
        <v>0.37961828068370757</v>
      </c>
      <c r="N39" s="9">
        <f>'9'!L42</f>
        <v>0.48431866550680364</v>
      </c>
      <c r="O39" s="9">
        <f>'9'!T42</f>
        <v>0.23897996945008093</v>
      </c>
      <c r="P39" s="9">
        <f>'9'!AB42</f>
        <v>0.26984703651749492</v>
      </c>
      <c r="Q39" s="9">
        <f>'9'!AJ42</f>
        <v>0.31874962048666344</v>
      </c>
      <c r="R39" s="9">
        <f>'9'!AR42</f>
        <v>0.34386656268445254</v>
      </c>
      <c r="S39" s="9">
        <f>'9'!AZ42</f>
        <v>0.3138672498996436</v>
      </c>
      <c r="T39" s="9">
        <f>'9'!BH42</f>
        <v>0.33293516459729988</v>
      </c>
      <c r="U39" s="9">
        <f>'9'!BP42</f>
        <v>0.52583069429502505</v>
      </c>
      <c r="V39" s="9">
        <f>'9'!BX42</f>
        <v>0.64915590754528329</v>
      </c>
      <c r="W39" s="9">
        <f>'9'!CF42</f>
        <v>0.43697907497870775</v>
      </c>
      <c r="X39" s="9">
        <f>'9'!F42</f>
        <v>0.47808133692446614</v>
      </c>
      <c r="Y39" s="9">
        <f>'9'!N42</f>
        <v>0.31268665690853231</v>
      </c>
      <c r="Z39" s="9">
        <f>'9'!V42</f>
        <v>0.71652592922084468</v>
      </c>
      <c r="AA39" s="9">
        <f>'9'!AD42</f>
        <v>0.44957251458312769</v>
      </c>
      <c r="AB39" s="9">
        <f>'9'!AL42</f>
        <v>0.43961543511611179</v>
      </c>
      <c r="AC39" s="9">
        <f>'9'!AT42</f>
        <v>0.58104128717154824</v>
      </c>
      <c r="AD39" s="9">
        <f>'9'!BB42</f>
        <v>0.49364007922877107</v>
      </c>
      <c r="AE39" s="9">
        <f>'9'!BJ42</f>
        <v>0.52659501140425125</v>
      </c>
      <c r="AF39" s="9">
        <f>'9'!BR42</f>
        <v>0.39251773049857858</v>
      </c>
      <c r="AG39" s="9">
        <f>'9'!BZ42</f>
        <v>0.53870975031676926</v>
      </c>
      <c r="AH39" s="9">
        <f>'9'!CH42</f>
        <v>0.32658628401928419</v>
      </c>
      <c r="AI39" s="9">
        <f>'9'!G42</f>
        <v>0.51596623412325804</v>
      </c>
      <c r="AJ39" s="9">
        <f>'9'!O42</f>
        <v>0.43060369246007757</v>
      </c>
      <c r="AK39" s="9">
        <f>'9'!W42</f>
        <v>0.43167904981643213</v>
      </c>
      <c r="AL39" s="9">
        <f>'9'!AE42</f>
        <v>0.50070210592867204</v>
      </c>
      <c r="AM39" s="9">
        <f>'9'!AM42</f>
        <v>0.45778132091988288</v>
      </c>
      <c r="AN39" s="9">
        <f>'9'!AU42</f>
        <v>0.55248116841431039</v>
      </c>
      <c r="AO39" s="9">
        <f>'9'!BC42</f>
        <v>0.48246168512621723</v>
      </c>
      <c r="AP39" s="9">
        <f>'9'!BK42</f>
        <v>0.54216681123845067</v>
      </c>
      <c r="AQ39" s="9">
        <f>'9'!BS42</f>
        <v>0.56127288956406873</v>
      </c>
      <c r="AR39" s="9">
        <f>'9'!CA42</f>
        <v>0.59647555754004333</v>
      </c>
      <c r="AS39" s="9">
        <f>'9'!CI42</f>
        <v>0.49377195146083552</v>
      </c>
      <c r="AT39" s="9">
        <f>'9'!H42</f>
        <v>0.51589996617088774</v>
      </c>
      <c r="AU39" s="9">
        <f>'9'!P42</f>
        <v>0.44386407668138417</v>
      </c>
      <c r="AV39" s="9">
        <f>'9'!X42</f>
        <v>0.48872217375184324</v>
      </c>
      <c r="AW39" s="9">
        <f>'9'!AF42</f>
        <v>0.47500192095937038</v>
      </c>
      <c r="AX39" s="9">
        <f>'9'!AN42</f>
        <v>0.44169119798704182</v>
      </c>
      <c r="AY39" s="9">
        <f>'9'!AV42</f>
        <v>0.52248577313944111</v>
      </c>
      <c r="AZ39" s="9">
        <f>'9'!BD42</f>
        <v>0.51030998604874223</v>
      </c>
      <c r="BA39" s="9">
        <f>'9'!BL42</f>
        <v>0.50633961277938422</v>
      </c>
      <c r="BB39" s="9">
        <f>'9'!BT42</f>
        <v>0.50825336106653851</v>
      </c>
      <c r="BC39" s="9">
        <f>'9'!CB42</f>
        <v>0.63029717717276101</v>
      </c>
      <c r="BD39" s="9">
        <f>'9'!CJ42</f>
        <v>0.50035665338436996</v>
      </c>
      <c r="BE39" s="9">
        <f>'10'!H42</f>
        <v>0.62032039423962659</v>
      </c>
      <c r="BF39" s="9">
        <f>'10'!P42</f>
        <v>0.50625400578262769</v>
      </c>
      <c r="BG39" s="9">
        <f>'10'!X42</f>
        <v>0.53611111741274653</v>
      </c>
      <c r="BH39" s="9">
        <f>'10'!AF42</f>
        <v>0.59793238446866015</v>
      </c>
      <c r="BI39" s="9">
        <f>'10'!AN42</f>
        <v>0.50704752845012213</v>
      </c>
      <c r="BJ39" s="9">
        <f>'10'!AV42</f>
        <v>0.57652675382824858</v>
      </c>
      <c r="BK39" s="9">
        <f>'10'!BD42</f>
        <v>0.65488655238369886</v>
      </c>
      <c r="BL39" s="9">
        <f>'10'!BL42</f>
        <v>0.57673272343827464</v>
      </c>
      <c r="BM39" s="9">
        <f>'10'!BT42</f>
        <v>0.53533662237170443</v>
      </c>
      <c r="BN39" s="9">
        <f>'10'!CB42</f>
        <v>0.6942273668424731</v>
      </c>
      <c r="BO39" s="9">
        <f>'10'!CJ42</f>
        <v>0.64659624320093945</v>
      </c>
    </row>
    <row r="40" spans="1:138">
      <c r="A40" s="1">
        <v>2005</v>
      </c>
      <c r="B40" s="9">
        <f>'9'!B43</f>
        <v>0.71372649724491843</v>
      </c>
      <c r="C40" s="9">
        <f>'9'!J43</f>
        <v>0.56734103853214679</v>
      </c>
      <c r="D40" s="9">
        <f>'9'!R43</f>
        <v>0.60345604697787936</v>
      </c>
      <c r="E40" s="9">
        <f>'9'!Z43</f>
        <v>0.71271455410885742</v>
      </c>
      <c r="F40" s="9">
        <f>'9'!AH43</f>
        <v>0.57481853634458058</v>
      </c>
      <c r="G40" s="9">
        <f>'9'!AP43</f>
        <v>0.63530967005613881</v>
      </c>
      <c r="H40" s="9">
        <f>'9'!AX43</f>
        <v>0.7671852223443808</v>
      </c>
      <c r="I40" s="9">
        <f>'9'!BF43</f>
        <v>0.64673864136269321</v>
      </c>
      <c r="J40" s="9">
        <f>'9'!BN43</f>
        <v>0.58230504715343268</v>
      </c>
      <c r="K40" s="9">
        <f>'9'!BV43</f>
        <v>0.77732575418068017</v>
      </c>
      <c r="L40" s="9">
        <f>'9'!CD43</f>
        <v>0.77521463590000705</v>
      </c>
      <c r="M40" s="9">
        <f>'9'!D43</f>
        <v>0.40536908875496142</v>
      </c>
      <c r="N40" s="9">
        <f>'9'!L43</f>
        <v>0.66885863556400604</v>
      </c>
      <c r="O40" s="9">
        <f>'9'!T43</f>
        <v>0.24750011277354897</v>
      </c>
      <c r="P40" s="9">
        <f>'9'!AB43</f>
        <v>0.27722613294341197</v>
      </c>
      <c r="Q40" s="9">
        <f>'9'!AJ43</f>
        <v>0.32378230106263473</v>
      </c>
      <c r="R40" s="9">
        <f>'9'!AR43</f>
        <v>0.35302359087848501</v>
      </c>
      <c r="S40" s="9">
        <f>'9'!AZ43</f>
        <v>0.3241234001951937</v>
      </c>
      <c r="T40" s="9">
        <f>'9'!BH43</f>
        <v>0.34387012601600742</v>
      </c>
      <c r="U40" s="9">
        <f>'9'!BP43</f>
        <v>0.57852148042930429</v>
      </c>
      <c r="V40" s="9">
        <f>'9'!BX43</f>
        <v>0.70766384053771147</v>
      </c>
      <c r="W40" s="9">
        <f>'9'!CF43</f>
        <v>0.4581115591036915</v>
      </c>
      <c r="X40" s="9">
        <f>'9'!F43</f>
        <v>0.48807374584042851</v>
      </c>
      <c r="Y40" s="9">
        <f>'9'!N43</f>
        <v>0.41717623790078512</v>
      </c>
      <c r="Z40" s="9">
        <f>'9'!V43</f>
        <v>0.79981263567032657</v>
      </c>
      <c r="AA40" s="9">
        <f>'9'!AD43</f>
        <v>0.51561518787071703</v>
      </c>
      <c r="AB40" s="9">
        <f>'9'!AL43</f>
        <v>0.42016097926032597</v>
      </c>
      <c r="AC40" s="9">
        <f>'9'!AT43</f>
        <v>0.51263688744710445</v>
      </c>
      <c r="AD40" s="9">
        <f>'9'!BB43</f>
        <v>0.52630836895137612</v>
      </c>
      <c r="AE40" s="9">
        <f>'9'!BJ43</f>
        <v>0.48161275480134491</v>
      </c>
      <c r="AF40" s="9">
        <f>'9'!BR43</f>
        <v>0.24171567320173007</v>
      </c>
      <c r="AG40" s="9">
        <f>'9'!BZ43</f>
        <v>0.64714629773438359</v>
      </c>
      <c r="AH40" s="9">
        <f>'9'!CH43</f>
        <v>0.36152238234555356</v>
      </c>
      <c r="AI40" s="9">
        <f>'9'!G43</f>
        <v>0.51756411217884624</v>
      </c>
      <c r="AJ40" s="9">
        <f>'9'!O43</f>
        <v>0.42251369007689143</v>
      </c>
      <c r="AK40" s="9">
        <f>'9'!W43</f>
        <v>0.45814107602301746</v>
      </c>
      <c r="AL40" s="9">
        <f>'9'!AE43</f>
        <v>0.49780100951551504</v>
      </c>
      <c r="AM40" s="9">
        <f>'9'!AM43</f>
        <v>0.42027655538547404</v>
      </c>
      <c r="AN40" s="9">
        <f>'9'!AU43</f>
        <v>0.52681679918809898</v>
      </c>
      <c r="AO40" s="9">
        <f>'9'!BC43</f>
        <v>0.47790822092754648</v>
      </c>
      <c r="AP40" s="9">
        <f>'9'!BK43</f>
        <v>0.52631429879034175</v>
      </c>
      <c r="AQ40" s="9">
        <f>'9'!BS43</f>
        <v>0.54506159028490564</v>
      </c>
      <c r="AR40" s="9">
        <f>'9'!CA43</f>
        <v>0.63693588629069842</v>
      </c>
      <c r="AS40" s="9">
        <f>'9'!CI43</f>
        <v>0.54289205102477045</v>
      </c>
      <c r="AT40" s="9">
        <f>'9'!H43</f>
        <v>0.53118336100478869</v>
      </c>
      <c r="AU40" s="9">
        <f>'9'!P43</f>
        <v>0.51897240051845728</v>
      </c>
      <c r="AV40" s="9">
        <f>'9'!X43</f>
        <v>0.52722746786119312</v>
      </c>
      <c r="AW40" s="9">
        <f>'9'!AF43</f>
        <v>0.50083922110962531</v>
      </c>
      <c r="AX40" s="9">
        <f>'9'!AN43</f>
        <v>0.43475959301325384</v>
      </c>
      <c r="AY40" s="9">
        <f>'9'!AV43</f>
        <v>0.50694673689245684</v>
      </c>
      <c r="AZ40" s="9">
        <f>'9'!BD43</f>
        <v>0.52388130310462433</v>
      </c>
      <c r="BA40" s="9">
        <f>'9'!BL43</f>
        <v>0.49963395524259685</v>
      </c>
      <c r="BB40" s="9">
        <f>'9'!BT43</f>
        <v>0.48690094776734316</v>
      </c>
      <c r="BC40" s="9">
        <f>'9'!CB43</f>
        <v>0.69226794468586839</v>
      </c>
      <c r="BD40" s="9">
        <f>'9'!CJ43</f>
        <v>0.53443515709350564</v>
      </c>
      <c r="BE40" s="9">
        <f>'10'!H43</f>
        <v>0.64070924274886654</v>
      </c>
      <c r="BF40" s="9">
        <f>'10'!P43</f>
        <v>0.54799358332667092</v>
      </c>
      <c r="BG40" s="9">
        <f>'10'!X43</f>
        <v>0.57296461533120491</v>
      </c>
      <c r="BH40" s="9">
        <f>'10'!AF43</f>
        <v>0.6279644209091646</v>
      </c>
      <c r="BI40" s="9">
        <f>'10'!AN43</f>
        <v>0.51879495901204986</v>
      </c>
      <c r="BJ40" s="9">
        <f>'10'!AV43</f>
        <v>0.58396449679066598</v>
      </c>
      <c r="BK40" s="9">
        <f>'10'!BD43</f>
        <v>0.66986365464847808</v>
      </c>
      <c r="BL40" s="9">
        <f>'10'!BL43</f>
        <v>0.58789676691465453</v>
      </c>
      <c r="BM40" s="9">
        <f>'10'!BT43</f>
        <v>0.5441434073989968</v>
      </c>
      <c r="BN40" s="9">
        <f>'10'!CB43</f>
        <v>0.74330263038275535</v>
      </c>
      <c r="BO40" s="9">
        <f>'10'!CJ43</f>
        <v>0.67890284437740644</v>
      </c>
    </row>
    <row r="41" spans="1:138">
      <c r="A41" s="1">
        <v>2006</v>
      </c>
      <c r="B41" s="9">
        <f>'9'!B44</f>
        <v>0.74822394374285328</v>
      </c>
      <c r="C41" s="9">
        <f>'9'!J44</f>
        <v>0.60711570287657335</v>
      </c>
      <c r="D41" s="9">
        <f>'9'!R44</f>
        <v>0.64175689758933185</v>
      </c>
      <c r="E41" s="9">
        <f>'9'!Z44</f>
        <v>0.7397523396094019</v>
      </c>
      <c r="F41" s="9">
        <f>'9'!AH44</f>
        <v>0.61433476782738228</v>
      </c>
      <c r="G41" s="9">
        <f>'9'!AP44</f>
        <v>0.66398235260167537</v>
      </c>
      <c r="H41" s="9">
        <f>'9'!AX44</f>
        <v>0.80030932253686493</v>
      </c>
      <c r="I41" s="9">
        <f>'9'!BF44</f>
        <v>0.67944169860101478</v>
      </c>
      <c r="J41" s="9">
        <f>'9'!BN44</f>
        <v>0.61691535423387922</v>
      </c>
      <c r="K41" s="9">
        <f>'9'!BV44</f>
        <v>0.82155636121690789</v>
      </c>
      <c r="L41" s="9">
        <f>'9'!CD44</f>
        <v>0.81287046766392557</v>
      </c>
      <c r="M41" s="9">
        <f>'9'!D44</f>
        <v>0.42590721115943969</v>
      </c>
      <c r="N41" s="9">
        <f>'9'!L44</f>
        <v>0.66147399510555338</v>
      </c>
      <c r="O41" s="9">
        <f>'9'!T44</f>
        <v>0.26151208445577279</v>
      </c>
      <c r="P41" s="9">
        <f>'9'!AB44</f>
        <v>0.29129625222689898</v>
      </c>
      <c r="Q41" s="9">
        <f>'9'!AJ44</f>
        <v>0.34199372268447509</v>
      </c>
      <c r="R41" s="9">
        <f>'9'!AR44</f>
        <v>0.36578628677586084</v>
      </c>
      <c r="S41" s="9">
        <f>'9'!AZ44</f>
        <v>0.340401199053396</v>
      </c>
      <c r="T41" s="9">
        <f>'9'!BH44</f>
        <v>0.36160520935213802</v>
      </c>
      <c r="U41" s="9">
        <f>'9'!BP44</f>
        <v>0.6055595697044075</v>
      </c>
      <c r="V41" s="9">
        <f>'9'!BX44</f>
        <v>0.76764795213749204</v>
      </c>
      <c r="W41" s="9">
        <f>'9'!CF44</f>
        <v>0.46242942920911284</v>
      </c>
      <c r="X41" s="9">
        <f>'9'!F44</f>
        <v>0.52715282225268989</v>
      </c>
      <c r="Y41" s="9">
        <f>'9'!N44</f>
        <v>0.4691003005776756</v>
      </c>
      <c r="Z41" s="9">
        <f>'9'!V44</f>
        <v>0.7375042739021751</v>
      </c>
      <c r="AA41" s="9">
        <f>'9'!AD44</f>
        <v>0.5268125760675364</v>
      </c>
      <c r="AB41" s="9">
        <f>'9'!AL44</f>
        <v>0.43131973016319719</v>
      </c>
      <c r="AC41" s="9">
        <f>'9'!AT44</f>
        <v>0.57410892197845653</v>
      </c>
      <c r="AD41" s="9">
        <f>'9'!BB44</f>
        <v>0.55441660086093891</v>
      </c>
      <c r="AE41" s="9">
        <f>'9'!BJ44</f>
        <v>0.50298529058663566</v>
      </c>
      <c r="AF41" s="9">
        <f>'9'!BR44</f>
        <v>0.28804552089360047</v>
      </c>
      <c r="AG41" s="9">
        <f>'9'!BZ44</f>
        <v>0.71123737991806979</v>
      </c>
      <c r="AH41" s="9">
        <f>'9'!CH44</f>
        <v>0.38694136955494662</v>
      </c>
      <c r="AI41" s="9">
        <f>'9'!G44</f>
        <v>0.52194964780300157</v>
      </c>
      <c r="AJ41" s="9">
        <f>'9'!O44</f>
        <v>0.503064502170112</v>
      </c>
      <c r="AK41" s="9">
        <f>'9'!W44</f>
        <v>0.41895251853988613</v>
      </c>
      <c r="AL41" s="9">
        <f>'9'!AE44</f>
        <v>0.47442374385681746</v>
      </c>
      <c r="AM41" s="9">
        <f>'9'!AM44</f>
        <v>0.42970624808759206</v>
      </c>
      <c r="AN41" s="9">
        <f>'9'!AU44</f>
        <v>0.5344464201294542</v>
      </c>
      <c r="AO41" s="9">
        <f>'9'!BC44</f>
        <v>0.47943308971779913</v>
      </c>
      <c r="AP41" s="9">
        <f>'9'!BK44</f>
        <v>0.54980411080613856</v>
      </c>
      <c r="AQ41" s="9">
        <f>'9'!BS44</f>
        <v>0.53957873098526143</v>
      </c>
      <c r="AR41" s="9">
        <f>'9'!CA44</f>
        <v>0.65962016254038347</v>
      </c>
      <c r="AS41" s="9">
        <f>'9'!CI44</f>
        <v>0.5260128679861612</v>
      </c>
      <c r="AT41" s="9">
        <f>'9'!H44</f>
        <v>0.55580840623949612</v>
      </c>
      <c r="AU41" s="9">
        <f>'9'!P44</f>
        <v>0.56018862518247858</v>
      </c>
      <c r="AV41" s="9">
        <f>'9'!X44</f>
        <v>0.51493144362179144</v>
      </c>
      <c r="AW41" s="9">
        <f>'9'!AF44</f>
        <v>0.50807122794016368</v>
      </c>
      <c r="AX41" s="9">
        <f>'9'!AN44</f>
        <v>0.45433861719066171</v>
      </c>
      <c r="AY41" s="9">
        <f>'9'!AV44</f>
        <v>0.53458099537136172</v>
      </c>
      <c r="AZ41" s="9">
        <f>'9'!BD44</f>
        <v>0.54364005304224972</v>
      </c>
      <c r="BA41" s="9">
        <f>'9'!BL44</f>
        <v>0.52345907733648178</v>
      </c>
      <c r="BB41" s="9">
        <f>'9'!BT44</f>
        <v>0.51252479395428718</v>
      </c>
      <c r="BC41" s="9">
        <f>'9'!CB44</f>
        <v>0.74001546395321327</v>
      </c>
      <c r="BD41" s="9">
        <f>'9'!CJ44</f>
        <v>0.54706353360353654</v>
      </c>
      <c r="BE41" s="9">
        <f>'10'!H44</f>
        <v>0.67125772874151046</v>
      </c>
      <c r="BF41" s="9">
        <f>'10'!P44</f>
        <v>0.58834487179893546</v>
      </c>
      <c r="BG41" s="9">
        <f>'10'!X44</f>
        <v>0.5910267160023156</v>
      </c>
      <c r="BH41" s="9">
        <f>'10'!AF44</f>
        <v>0.6470798949417067</v>
      </c>
      <c r="BI41" s="9">
        <f>'10'!AN44</f>
        <v>0.55033630757269403</v>
      </c>
      <c r="BJ41" s="9">
        <f>'10'!AV44</f>
        <v>0.61222180970954987</v>
      </c>
      <c r="BK41" s="9">
        <f>'10'!BD44</f>
        <v>0.69764161473901876</v>
      </c>
      <c r="BL41" s="9">
        <f>'10'!BL44</f>
        <v>0.61704865009520149</v>
      </c>
      <c r="BM41" s="9">
        <f>'10'!BT44</f>
        <v>0.57515913012204234</v>
      </c>
      <c r="BN41" s="9">
        <f>'10'!CB44</f>
        <v>0.78894000231142991</v>
      </c>
      <c r="BO41" s="9">
        <f>'10'!CJ44</f>
        <v>0.7065476940397698</v>
      </c>
    </row>
    <row r="42" spans="1:138">
      <c r="A42" s="1">
        <v>2007</v>
      </c>
      <c r="B42" s="9">
        <f>'9'!B45</f>
        <v>0.78274165438300747</v>
      </c>
      <c r="C42" s="9">
        <f>'9'!J45</f>
        <v>0.6559587064521144</v>
      </c>
      <c r="D42" s="9">
        <f>'9'!R45</f>
        <v>0.66853084073780777</v>
      </c>
      <c r="E42" s="9">
        <f>'9'!Z45</f>
        <v>0.77687106671694695</v>
      </c>
      <c r="F42" s="9">
        <f>'9'!AH45</f>
        <v>0.66373896871061133</v>
      </c>
      <c r="G42" s="9">
        <f>'9'!AP45</f>
        <v>0.6945657394459801</v>
      </c>
      <c r="H42" s="9">
        <f>'9'!AX45</f>
        <v>0.83102631976755947</v>
      </c>
      <c r="I42" s="9">
        <f>'9'!BF45</f>
        <v>0.71962194070955743</v>
      </c>
      <c r="J42" s="9">
        <f>'9'!BN45</f>
        <v>0.65693432593297085</v>
      </c>
      <c r="K42" s="9">
        <f>'9'!BV45</f>
        <v>0.86475982217625125</v>
      </c>
      <c r="L42" s="9">
        <f>'9'!CD45</f>
        <v>0.84963062949886803</v>
      </c>
      <c r="M42" s="9">
        <f>'9'!D45</f>
        <v>0.42768292531287988</v>
      </c>
      <c r="N42" s="9">
        <f>'9'!L45</f>
        <v>0.71947291479627407</v>
      </c>
      <c r="O42" s="9">
        <f>'9'!T45</f>
        <v>0.265891661587077</v>
      </c>
      <c r="P42" s="9">
        <f>'9'!AB45</f>
        <v>0.29846217273990971</v>
      </c>
      <c r="Q42" s="9">
        <f>'9'!AJ45</f>
        <v>0.35078395762648368</v>
      </c>
      <c r="R42" s="9">
        <f>'9'!AR45</f>
        <v>0.37177909528293296</v>
      </c>
      <c r="S42" s="9">
        <f>'9'!AZ45</f>
        <v>0.34695529269353176</v>
      </c>
      <c r="T42" s="9">
        <f>'9'!BH45</f>
        <v>0.36849160125548541</v>
      </c>
      <c r="U42" s="9">
        <f>'9'!BP45</f>
        <v>0.61600344737637414</v>
      </c>
      <c r="V42" s="9">
        <f>'9'!BX45</f>
        <v>0.72240354424069397</v>
      </c>
      <c r="W42" s="9">
        <f>'9'!CF45</f>
        <v>0.46386250113812744</v>
      </c>
      <c r="X42" s="9">
        <f>'9'!F45</f>
        <v>0.53518203140115705</v>
      </c>
      <c r="Y42" s="9">
        <f>'9'!N45</f>
        <v>0.5225744277441462</v>
      </c>
      <c r="Z42" s="9">
        <f>'9'!V45</f>
        <v>0.80264168779177147</v>
      </c>
      <c r="AA42" s="9">
        <f>'9'!AD45</f>
        <v>0.48664826436349179</v>
      </c>
      <c r="AB42" s="9">
        <f>'9'!AL45</f>
        <v>0.42375287452978916</v>
      </c>
      <c r="AC42" s="9">
        <f>'9'!AT45</f>
        <v>0.54629721444866153</v>
      </c>
      <c r="AD42" s="9">
        <f>'9'!BB45</f>
        <v>0.5745115262429128</v>
      </c>
      <c r="AE42" s="9">
        <f>'9'!BJ45</f>
        <v>0.50809557824988527</v>
      </c>
      <c r="AF42" s="9">
        <f>'9'!BR45</f>
        <v>0.43136279456039345</v>
      </c>
      <c r="AG42" s="9">
        <f>'9'!BZ45</f>
        <v>0.69283348731330996</v>
      </c>
      <c r="AH42" s="9">
        <f>'9'!CH45</f>
        <v>0.44873461455964792</v>
      </c>
      <c r="AI42" s="9">
        <f>'9'!G45</f>
        <v>0.52971044644617782</v>
      </c>
      <c r="AJ42" s="9">
        <f>'9'!O45</f>
        <v>0.47422061376665747</v>
      </c>
      <c r="AK42" s="9">
        <f>'9'!W45</f>
        <v>0.45602704685559181</v>
      </c>
      <c r="AL42" s="9">
        <f>'9'!AE45</f>
        <v>0.46240489681755076</v>
      </c>
      <c r="AM42" s="9">
        <f>'9'!AM45</f>
        <v>0.46219815595868874</v>
      </c>
      <c r="AN42" s="9">
        <f>'9'!AU45</f>
        <v>0.54179939300696378</v>
      </c>
      <c r="AO42" s="9">
        <f>'9'!BC45</f>
        <v>0.48379150242867963</v>
      </c>
      <c r="AP42" s="9">
        <f>'9'!BK45</f>
        <v>0.54530907348558999</v>
      </c>
      <c r="AQ42" s="9">
        <f>'9'!BS45</f>
        <v>0.5813283221004123</v>
      </c>
      <c r="AR42" s="9">
        <f>'9'!CA45</f>
        <v>0.64713182237130851</v>
      </c>
      <c r="AS42" s="9">
        <f>'9'!CI45</f>
        <v>0.5516852389215201</v>
      </c>
      <c r="AT42" s="9">
        <f>'9'!H45</f>
        <v>0.56882926438580561</v>
      </c>
      <c r="AU42" s="9">
        <f>'9'!P45</f>
        <v>0.59305666568979809</v>
      </c>
      <c r="AV42" s="9">
        <f>'9'!X45</f>
        <v>0.54827280924306199</v>
      </c>
      <c r="AW42" s="9">
        <f>'9'!AF45</f>
        <v>0.50609660015947477</v>
      </c>
      <c r="AX42" s="9">
        <f>'9'!AN45</f>
        <v>0.47511848920639321</v>
      </c>
      <c r="AY42" s="9">
        <f>'9'!AV45</f>
        <v>0.53861036054613454</v>
      </c>
      <c r="AZ42" s="9">
        <f>'9'!BD45</f>
        <v>0.55907116028317083</v>
      </c>
      <c r="BA42" s="9">
        <f>'9'!BL45</f>
        <v>0.53537954842512958</v>
      </c>
      <c r="BB42" s="9">
        <f>'9'!BT45</f>
        <v>0.57140722249253773</v>
      </c>
      <c r="BC42" s="9">
        <f>'9'!CB45</f>
        <v>0.73178216902539095</v>
      </c>
      <c r="BD42" s="9">
        <f>'9'!CJ45</f>
        <v>0.57847824602954079</v>
      </c>
      <c r="BE42" s="9">
        <f>'10'!H45</f>
        <v>0.69717669838412666</v>
      </c>
      <c r="BF42" s="9">
        <f>'10'!P45</f>
        <v>0.63079789014718768</v>
      </c>
      <c r="BG42" s="9">
        <f>'10'!X45</f>
        <v>0.62042762813990948</v>
      </c>
      <c r="BH42" s="9">
        <f>'10'!AF45</f>
        <v>0.66856128009395799</v>
      </c>
      <c r="BI42" s="9">
        <f>'10'!AN45</f>
        <v>0.58829077690892406</v>
      </c>
      <c r="BJ42" s="9">
        <f>'10'!AV45</f>
        <v>0.6321835878860419</v>
      </c>
      <c r="BK42" s="9">
        <f>'10'!BD45</f>
        <v>0.72224425597380393</v>
      </c>
      <c r="BL42" s="9">
        <f>'10'!BL45</f>
        <v>0.64592498379578622</v>
      </c>
      <c r="BM42" s="9">
        <f>'10'!BT45</f>
        <v>0.62272348455679749</v>
      </c>
      <c r="BN42" s="9">
        <f>'10'!CB45</f>
        <v>0.81156876091590713</v>
      </c>
      <c r="BO42" s="9">
        <f>'10'!CJ45</f>
        <v>0.74116967611113704</v>
      </c>
    </row>
    <row r="43" spans="1:138">
      <c r="A43" s="1">
        <v>2008</v>
      </c>
      <c r="B43" s="9">
        <f>'9'!B46</f>
        <v>0.80583389411014994</v>
      </c>
      <c r="C43" s="9">
        <f>'9'!J46</f>
        <v>0.71512018986386705</v>
      </c>
      <c r="D43" s="9">
        <f>'9'!R46</f>
        <v>0.68491238251049869</v>
      </c>
      <c r="E43" s="9">
        <f>'9'!Z46</f>
        <v>0.80989374454177732</v>
      </c>
      <c r="F43" s="9">
        <f>'9'!AH46</f>
        <v>0.68107601312331356</v>
      </c>
      <c r="G43" s="9">
        <f>'9'!AP46</f>
        <v>0.72529580636546875</v>
      </c>
      <c r="H43" s="9">
        <f>'9'!AX46</f>
        <v>0.84862489336049207</v>
      </c>
      <c r="I43" s="9">
        <f>'9'!BF46</f>
        <v>0.74282601191343089</v>
      </c>
      <c r="J43" s="9">
        <f>'9'!BN46</f>
        <v>0.69936242887256606</v>
      </c>
      <c r="K43" s="9">
        <f>'9'!BV46</f>
        <v>0.88906274999430579</v>
      </c>
      <c r="L43" s="9">
        <f>'9'!CD46</f>
        <v>0.86222999470382578</v>
      </c>
      <c r="M43" s="9">
        <f>'9'!D46</f>
        <v>0.47911064987499741</v>
      </c>
      <c r="N43" s="9">
        <f>'9'!L46</f>
        <v>0.78818108483662708</v>
      </c>
      <c r="O43" s="9">
        <f>'9'!T46</f>
        <v>0.27622545623768457</v>
      </c>
      <c r="P43" s="9">
        <f>'9'!AB46</f>
        <v>0.30962992660515748</v>
      </c>
      <c r="Q43" s="9">
        <f>'9'!AJ46</f>
        <v>0.37018756012340487</v>
      </c>
      <c r="R43" s="9">
        <f>'9'!AR46</f>
        <v>0.38465959997018262</v>
      </c>
      <c r="S43" s="9">
        <f>'9'!AZ46</f>
        <v>0.36273031146914259</v>
      </c>
      <c r="T43" s="9">
        <f>'9'!BH46</f>
        <v>0.38952076550397019</v>
      </c>
      <c r="U43" s="9">
        <f>'9'!BP46</f>
        <v>0.6745406667701751</v>
      </c>
      <c r="V43" s="9">
        <f>'9'!BX46</f>
        <v>0.91666666666666663</v>
      </c>
      <c r="W43" s="9">
        <f>'9'!CF46</f>
        <v>0.49466415723318619</v>
      </c>
      <c r="X43" s="9">
        <f>'9'!F46</f>
        <v>0.49344838232948285</v>
      </c>
      <c r="Y43" s="9">
        <f>'9'!N46</f>
        <v>0.4347167122262191</v>
      </c>
      <c r="Z43" s="9">
        <f>'9'!V46</f>
        <v>0.68180358425468834</v>
      </c>
      <c r="AA43" s="9">
        <f>'9'!AD46</f>
        <v>0.42745334617073449</v>
      </c>
      <c r="AB43" s="9">
        <f>'9'!AL46</f>
        <v>0.46664458557383881</v>
      </c>
      <c r="AC43" s="9">
        <f>'9'!AT46</f>
        <v>0.48578140509320167</v>
      </c>
      <c r="AD43" s="9">
        <f>'9'!BB46</f>
        <v>0.51894797277583138</v>
      </c>
      <c r="AE43" s="9">
        <f>'9'!BJ46</f>
        <v>0.57295653119191481</v>
      </c>
      <c r="AF43" s="9">
        <f>'9'!BR46</f>
        <v>0.51635645721202372</v>
      </c>
      <c r="AG43" s="9">
        <f>'9'!BZ46</f>
        <v>0.73403482298833467</v>
      </c>
      <c r="AH43" s="9">
        <f>'9'!CH46</f>
        <v>0.3433856429534306</v>
      </c>
      <c r="AI43" s="9">
        <f>'9'!G46</f>
        <v>0.52098448905782768</v>
      </c>
      <c r="AJ43" s="9">
        <f>'9'!O46</f>
        <v>0.47363544773355193</v>
      </c>
      <c r="AK43" s="9">
        <f>'9'!W46</f>
        <v>0.4239921492289318</v>
      </c>
      <c r="AL43" s="9">
        <f>'9'!AE46</f>
        <v>0.43828585190456404</v>
      </c>
      <c r="AM43" s="9">
        <f>'9'!AM46</f>
        <v>0.44300580529577527</v>
      </c>
      <c r="AN43" s="9">
        <f>'9'!AU46</f>
        <v>0.5309923609365208</v>
      </c>
      <c r="AO43" s="9">
        <f>'9'!BC46</f>
        <v>0.46402463332582</v>
      </c>
      <c r="AP43" s="9">
        <f>'9'!BK46</f>
        <v>0.55656450916064115</v>
      </c>
      <c r="AQ43" s="9">
        <f>'9'!BS46</f>
        <v>0.63483534072125725</v>
      </c>
      <c r="AR43" s="9">
        <f>'9'!CA46</f>
        <v>0.65600527393835106</v>
      </c>
      <c r="AS43" s="9">
        <f>'9'!CI46</f>
        <v>0.53503075504935782</v>
      </c>
      <c r="AT43" s="9">
        <f>'9'!H46</f>
        <v>0.5748443538431145</v>
      </c>
      <c r="AU43" s="9">
        <f>'9'!P46</f>
        <v>0.60291335866506623</v>
      </c>
      <c r="AV43" s="9">
        <f>'9'!X46</f>
        <v>0.51673339305795085</v>
      </c>
      <c r="AW43" s="9">
        <f>'9'!AF46</f>
        <v>0.49631571730555829</v>
      </c>
      <c r="AX43" s="9">
        <f>'9'!AN46</f>
        <v>0.49022849102908311</v>
      </c>
      <c r="AY43" s="9">
        <f>'9'!AV46</f>
        <v>0.53168229309134341</v>
      </c>
      <c r="AZ43" s="9">
        <f>'9'!BD46</f>
        <v>0.54858195273282151</v>
      </c>
      <c r="BA43" s="9">
        <f>'9'!BL46</f>
        <v>0.56546695444248929</v>
      </c>
      <c r="BB43" s="9">
        <f>'9'!BT46</f>
        <v>0.63127372339400556</v>
      </c>
      <c r="BC43" s="9">
        <f>'9'!CB46</f>
        <v>0.79894237839691451</v>
      </c>
      <c r="BD43" s="9">
        <f>'9'!CJ46</f>
        <v>0.55882763748495012</v>
      </c>
      <c r="BE43" s="9">
        <f>'10'!H46</f>
        <v>0.7134380780033357</v>
      </c>
      <c r="BF43" s="9">
        <f>'10'!P46</f>
        <v>0.67023745738434681</v>
      </c>
      <c r="BG43" s="9">
        <f>'10'!X46</f>
        <v>0.61764078672947964</v>
      </c>
      <c r="BH43" s="9">
        <f>'10'!AF46</f>
        <v>0.68446253364728959</v>
      </c>
      <c r="BI43" s="9">
        <f>'10'!AN46</f>
        <v>0.60473700428562138</v>
      </c>
      <c r="BJ43" s="9">
        <f>'10'!AV46</f>
        <v>0.6478504010558187</v>
      </c>
      <c r="BK43" s="9">
        <f>'10'!BD46</f>
        <v>0.72860771710942385</v>
      </c>
      <c r="BL43" s="9">
        <f>'10'!BL46</f>
        <v>0.67188238892505414</v>
      </c>
      <c r="BM43" s="9">
        <f>'10'!BT46</f>
        <v>0.67212694668114181</v>
      </c>
      <c r="BN43" s="9">
        <f>'10'!CB46</f>
        <v>0.85301460135534923</v>
      </c>
      <c r="BO43" s="9">
        <f>'10'!CJ46</f>
        <v>0.7408690518162756</v>
      </c>
    </row>
    <row r="44" spans="1:138">
      <c r="A44" s="1">
        <v>2009</v>
      </c>
      <c r="B44" s="9">
        <f>'9'!B47</f>
        <v>0.81159519848141226</v>
      </c>
      <c r="C44" s="9">
        <f>'9'!J47</f>
        <v>0.74530987547333027</v>
      </c>
      <c r="D44" s="9">
        <f>'9'!R47</f>
        <v>0.71683542809959488</v>
      </c>
      <c r="E44" s="9">
        <f>'9'!Z47</f>
        <v>0.83727019376457168</v>
      </c>
      <c r="F44" s="9">
        <f>'9'!AH47</f>
        <v>0.70272834587279165</v>
      </c>
      <c r="G44" s="9">
        <f>'9'!AP47</f>
        <v>0.74223082043253719</v>
      </c>
      <c r="H44" s="9">
        <f>'9'!AX47</f>
        <v>0.85186627990389541</v>
      </c>
      <c r="I44" s="9">
        <f>'9'!BF47</f>
        <v>0.7565639608261242</v>
      </c>
      <c r="J44" s="9">
        <f>'9'!BN47</f>
        <v>0.69374528402758773</v>
      </c>
      <c r="K44" s="9">
        <f>'9'!BV47</f>
        <v>0.87700599972243976</v>
      </c>
      <c r="L44" s="9">
        <f>'9'!CD47</f>
        <v>0.85586079389294423</v>
      </c>
      <c r="M44" s="9">
        <f>'9'!D47</f>
        <v>0.42718276285445739</v>
      </c>
      <c r="N44" s="9">
        <f>'9'!L47</f>
        <v>0.8126686150603466</v>
      </c>
      <c r="O44" s="9">
        <f>'9'!T47</f>
        <v>0.27521788818408738</v>
      </c>
      <c r="P44" s="9">
        <f>'9'!AB47</f>
        <v>0.29485160884337808</v>
      </c>
      <c r="Q44" s="9">
        <f>'9'!AJ47</f>
        <v>0.34405645382478789</v>
      </c>
      <c r="R44" s="9">
        <f>'9'!AR47</f>
        <v>0.37003909407371349</v>
      </c>
      <c r="S44" s="9">
        <f>'9'!AZ47</f>
        <v>0.3451465160515671</v>
      </c>
      <c r="T44" s="9">
        <f>'9'!BH47</f>
        <v>0.37044831612751117</v>
      </c>
      <c r="U44" s="9">
        <f>'9'!BP47</f>
        <v>0.63891609895147317</v>
      </c>
      <c r="V44" s="9">
        <f>'9'!BX47</f>
        <v>0.84782283136184522</v>
      </c>
      <c r="W44" s="9">
        <f>'9'!CF47</f>
        <v>0.47230914776830207</v>
      </c>
      <c r="X44" s="9">
        <f>'9'!F47</f>
        <v>0.48990011732755612</v>
      </c>
      <c r="Y44" s="9">
        <f>'9'!N47</f>
        <v>0.4904809624274809</v>
      </c>
      <c r="Z44" s="9">
        <f>'9'!V47</f>
        <v>0.7859903746853204</v>
      </c>
      <c r="AA44" s="9">
        <f>'9'!AD47</f>
        <v>0.43435666890078939</v>
      </c>
      <c r="AB44" s="9">
        <f>'9'!AL47</f>
        <v>0.51945171804193502</v>
      </c>
      <c r="AC44" s="9">
        <f>'9'!AT47</f>
        <v>0.55743456629889687</v>
      </c>
      <c r="AD44" s="9">
        <f>'9'!BB47</f>
        <v>0.50214907569174194</v>
      </c>
      <c r="AE44" s="9">
        <f>'9'!BJ47</f>
        <v>0.57044824849781883</v>
      </c>
      <c r="AF44" s="9">
        <f>'9'!BR47</f>
        <v>0.52324420602529553</v>
      </c>
      <c r="AG44" s="9">
        <f>'9'!BZ47</f>
        <v>0.56330550852340866</v>
      </c>
      <c r="AH44" s="9">
        <f>'9'!CH47</f>
        <v>0.33362442119702618</v>
      </c>
      <c r="AI44" s="9">
        <f>'9'!G47</f>
        <v>0.48573658005511883</v>
      </c>
      <c r="AJ44" s="9">
        <f>'9'!O47</f>
        <v>0.45899527638509663</v>
      </c>
      <c r="AK44" s="9">
        <f>'9'!W47</f>
        <v>0.42819014567816238</v>
      </c>
      <c r="AL44" s="9">
        <f>'9'!AE47</f>
        <v>0.40225455394959675</v>
      </c>
      <c r="AM44" s="9">
        <f>'9'!AM47</f>
        <v>0.42334944065335423</v>
      </c>
      <c r="AN44" s="9">
        <f>'9'!AU47</f>
        <v>0.49796487617219848</v>
      </c>
      <c r="AO44" s="9">
        <f>'9'!BC47</f>
        <v>0.43316800828593127</v>
      </c>
      <c r="AP44" s="9">
        <f>'9'!BK47</f>
        <v>0.52552605567741117</v>
      </c>
      <c r="AQ44" s="9">
        <f>'9'!BS47</f>
        <v>0.5954554782091106</v>
      </c>
      <c r="AR44" s="9">
        <f>'9'!CA47</f>
        <v>0.61584323728248902</v>
      </c>
      <c r="AS44" s="9">
        <f>'9'!CI47</f>
        <v>0.49199350820397819</v>
      </c>
      <c r="AT44" s="9">
        <f>'9'!H47</f>
        <v>0.55360366467963618</v>
      </c>
      <c r="AU44" s="9">
        <f>'9'!P47</f>
        <v>0.62686368233656364</v>
      </c>
      <c r="AV44" s="9">
        <f>'9'!X47</f>
        <v>0.55155845916179125</v>
      </c>
      <c r="AW44" s="9">
        <f>'9'!AF47</f>
        <v>0.49218325636458399</v>
      </c>
      <c r="AX44" s="9">
        <f>'9'!AN47</f>
        <v>0.49739648959821714</v>
      </c>
      <c r="AY44" s="9">
        <f>'9'!AV47</f>
        <v>0.54191733924433649</v>
      </c>
      <c r="AZ44" s="9">
        <f>'9'!BD47</f>
        <v>0.5330824699832839</v>
      </c>
      <c r="BA44" s="9">
        <f>'9'!BL47</f>
        <v>0.55574664528221629</v>
      </c>
      <c r="BB44" s="9">
        <f>'9'!BT47</f>
        <v>0.61284026680336678</v>
      </c>
      <c r="BC44" s="9">
        <f>'9'!CB47</f>
        <v>0.72599439422254564</v>
      </c>
      <c r="BD44" s="9">
        <f>'9'!CJ47</f>
        <v>0.53844696776556267</v>
      </c>
      <c r="BE44" s="9">
        <f>'10'!H47</f>
        <v>0.70839858496070174</v>
      </c>
      <c r="BF44" s="9">
        <f>'10'!P47</f>
        <v>0.6979313982186236</v>
      </c>
      <c r="BG44" s="9">
        <f>'10'!X47</f>
        <v>0.65072464052447332</v>
      </c>
      <c r="BH44" s="9">
        <f>'10'!AF47</f>
        <v>0.69923541880457663</v>
      </c>
      <c r="BI44" s="9">
        <f>'10'!AN47</f>
        <v>0.62059560336296193</v>
      </c>
      <c r="BJ44" s="9">
        <f>'10'!AV47</f>
        <v>0.66210542795725691</v>
      </c>
      <c r="BK44" s="9">
        <f>'10'!BD47</f>
        <v>0.72435275593565085</v>
      </c>
      <c r="BL44" s="9">
        <f>'10'!BL47</f>
        <v>0.67623703460856099</v>
      </c>
      <c r="BM44" s="9">
        <f>'10'!BT47</f>
        <v>0.66138327713789924</v>
      </c>
      <c r="BN44" s="9">
        <f>'10'!CB47</f>
        <v>0.81660135752248197</v>
      </c>
      <c r="BO44" s="9">
        <f>'10'!CJ47</f>
        <v>0.72889526344199151</v>
      </c>
    </row>
    <row r="45" spans="1:138">
      <c r="A45" s="1">
        <v>2010</v>
      </c>
      <c r="B45" s="9">
        <f>'9'!B48</f>
        <v>0.83603513861958567</v>
      </c>
      <c r="C45" s="9">
        <f>'9'!J48</f>
        <v>0.78807770795431809</v>
      </c>
      <c r="D45" s="9">
        <f>'9'!R48</f>
        <v>0.74860183445626904</v>
      </c>
      <c r="E45" s="9">
        <f>'9'!Z48</f>
        <v>0.86656261342980634</v>
      </c>
      <c r="F45" s="9">
        <f>'9'!AH48</f>
        <v>0.73322971093990053</v>
      </c>
      <c r="G45" s="9">
        <f>'9'!AP48</f>
        <v>0.76730257696181658</v>
      </c>
      <c r="H45" s="9">
        <f>'9'!AX48</f>
        <v>0.87205048722580303</v>
      </c>
      <c r="I45" s="9">
        <f>'9'!BF48</f>
        <v>0.78270217470703973</v>
      </c>
      <c r="J45" s="9">
        <f>'9'!BN48</f>
        <v>0.71898537493791903</v>
      </c>
      <c r="K45" s="9">
        <f>'9'!BV48</f>
        <v>0.91666666666666674</v>
      </c>
      <c r="L45" s="9">
        <f>'9'!CD48</f>
        <v>0.87741125227275085</v>
      </c>
      <c r="M45" s="9">
        <f>'9'!D48</f>
        <v>0.43582687101768375</v>
      </c>
      <c r="N45" s="9">
        <f>'9'!L48</f>
        <v>0.80272982683000638</v>
      </c>
      <c r="O45" s="9">
        <f>'9'!T48</f>
        <v>0.28464226347746752</v>
      </c>
      <c r="P45" s="9">
        <f>'9'!AB48</f>
        <v>0.30164917372179045</v>
      </c>
      <c r="Q45" s="9">
        <f>'9'!AJ48</f>
        <v>0.34582441076233233</v>
      </c>
      <c r="R45" s="9">
        <f>'9'!AR48</f>
        <v>0.37458867321138462</v>
      </c>
      <c r="S45" s="9">
        <f>'9'!AZ48</f>
        <v>0.34987624280597179</v>
      </c>
      <c r="T45" s="9">
        <f>'9'!BH48</f>
        <v>0.37551026795015141</v>
      </c>
      <c r="U45" s="9">
        <f>'9'!BP48</f>
        <v>0.6326724544753124</v>
      </c>
      <c r="V45" s="9">
        <f>'9'!BX48</f>
        <v>0.83053411157346535</v>
      </c>
      <c r="W45" s="9">
        <f>'9'!CF48</f>
        <v>0.47356861023263919</v>
      </c>
      <c r="X45" s="9">
        <f>'9'!F48</f>
        <v>0.48990011732755612</v>
      </c>
      <c r="Y45" s="9">
        <f>'9'!N48</f>
        <v>0.4904809624274809</v>
      </c>
      <c r="Z45" s="9">
        <f>'9'!V48</f>
        <v>0.7859903746853204</v>
      </c>
      <c r="AA45" s="9">
        <f>'9'!AD48</f>
        <v>0.43435666890078939</v>
      </c>
      <c r="AB45" s="9">
        <f>'9'!AL48</f>
        <v>0.51945171804193502</v>
      </c>
      <c r="AC45" s="9">
        <f>'9'!AT48</f>
        <v>0.55743456629889687</v>
      </c>
      <c r="AD45" s="9">
        <f>'9'!BB48</f>
        <v>0.50214907569174194</v>
      </c>
      <c r="AE45" s="9">
        <f>'9'!BJ48</f>
        <v>0.57044824849781883</v>
      </c>
      <c r="AF45" s="9">
        <f>'9'!BR48</f>
        <v>0.52324420602529553</v>
      </c>
      <c r="AG45" s="9">
        <f>'9'!BZ48</f>
        <v>0.56330550852340866</v>
      </c>
      <c r="AH45" s="9">
        <f>'9'!CH48</f>
        <v>0.33362442119702618</v>
      </c>
      <c r="AI45" s="9">
        <f>'9'!G48</f>
        <v>0.48472340768248307</v>
      </c>
      <c r="AJ45" s="9">
        <f>'9'!O48</f>
        <v>0.47297315923293426</v>
      </c>
      <c r="AK45" s="9">
        <f>'9'!W48</f>
        <v>0.45422804823823049</v>
      </c>
      <c r="AL45" s="9">
        <f>'9'!AE48</f>
        <v>0.39301948177345436</v>
      </c>
      <c r="AM45" s="9">
        <f>'9'!AM48</f>
        <v>0.41103494289026249</v>
      </c>
      <c r="AN45" s="9">
        <f>'9'!AU48</f>
        <v>0.49951556067048475</v>
      </c>
      <c r="AO45" s="9">
        <f>'9'!BC48</f>
        <v>0.42629406192423747</v>
      </c>
      <c r="AP45" s="9">
        <f>'9'!BK48</f>
        <v>0.52085201986743479</v>
      </c>
      <c r="AQ45" s="9">
        <f>'9'!BS48</f>
        <v>0.59553343581439844</v>
      </c>
      <c r="AR45" s="9">
        <f>'9'!CA48</f>
        <v>0.62013965685631289</v>
      </c>
      <c r="AS45" s="9">
        <f>'9'!CI48</f>
        <v>0.49116511425617471</v>
      </c>
      <c r="AT45" s="9">
        <f>'9'!H48</f>
        <v>0.56162138366182712</v>
      </c>
      <c r="AU45" s="9">
        <f>'9'!P48</f>
        <v>0.63856541411118495</v>
      </c>
      <c r="AV45" s="9">
        <f>'9'!X48</f>
        <v>0.56836563021432185</v>
      </c>
      <c r="AW45" s="9">
        <f>'9'!AF48</f>
        <v>0.49889698445646014</v>
      </c>
      <c r="AX45" s="9">
        <f>'9'!AN48</f>
        <v>0.50238519565860762</v>
      </c>
      <c r="AY45" s="9">
        <f>'9'!AV48</f>
        <v>0.54971034428564569</v>
      </c>
      <c r="AZ45" s="9">
        <f>'9'!BD48</f>
        <v>0.53759246691193852</v>
      </c>
      <c r="BA45" s="9">
        <f>'9'!BL48</f>
        <v>0.56237817775561116</v>
      </c>
      <c r="BB45" s="9">
        <f>'9'!BT48</f>
        <v>0.61760886781323132</v>
      </c>
      <c r="BC45" s="9">
        <f>'9'!CB48</f>
        <v>0.73266148590496349</v>
      </c>
      <c r="BD45" s="9">
        <f>'9'!CJ48</f>
        <v>0.5439423494896477</v>
      </c>
      <c r="BE45" s="9">
        <f>'10'!H48</f>
        <v>0.72626963663648225</v>
      </c>
      <c r="BF45" s="9">
        <f>'10'!P48</f>
        <v>0.72827279041706483</v>
      </c>
      <c r="BG45" s="9">
        <f>'10'!X48</f>
        <v>0.67650735275949003</v>
      </c>
      <c r="BH45" s="9">
        <f>'10'!AF48</f>
        <v>0.71949636184046784</v>
      </c>
      <c r="BI45" s="9">
        <f>'10'!AN48</f>
        <v>0.64089190482738334</v>
      </c>
      <c r="BJ45" s="9">
        <f>'10'!AV48</f>
        <v>0.68026568389134823</v>
      </c>
      <c r="BK45" s="9">
        <f>'10'!BD48</f>
        <v>0.73826727910025725</v>
      </c>
      <c r="BL45" s="9">
        <f>'10'!BL48</f>
        <v>0.69457257592646826</v>
      </c>
      <c r="BM45" s="9">
        <f>'10'!BT48</f>
        <v>0.67843477208804392</v>
      </c>
      <c r="BN45" s="9">
        <f>'10'!CB48</f>
        <v>0.84306459436198544</v>
      </c>
      <c r="BO45" s="9">
        <f>'10'!CJ48</f>
        <v>0.7440236911595095</v>
      </c>
    </row>
    <row r="46" spans="1:138">
      <c r="B46" s="257" t="s">
        <v>967</v>
      </c>
      <c r="C46" s="9"/>
      <c r="D46" s="9"/>
      <c r="E46" s="9"/>
      <c r="F46" s="9"/>
      <c r="G46" s="9"/>
      <c r="H46" s="9"/>
      <c r="I46" s="9"/>
      <c r="J46" s="9"/>
      <c r="K46" s="9"/>
      <c r="L46" s="9"/>
      <c r="M46" s="257" t="s">
        <v>967</v>
      </c>
      <c r="N46" s="9"/>
      <c r="O46" s="9"/>
      <c r="P46" s="9"/>
      <c r="Q46" s="9"/>
      <c r="R46" s="9"/>
      <c r="S46" s="9"/>
      <c r="T46" s="9"/>
      <c r="U46" s="9"/>
      <c r="V46" s="9"/>
      <c r="W46" s="9"/>
      <c r="X46" s="257" t="s">
        <v>967</v>
      </c>
      <c r="Y46" s="9"/>
      <c r="Z46" s="9"/>
      <c r="AA46" s="9"/>
      <c r="AB46" s="9"/>
      <c r="AC46" s="9"/>
      <c r="AD46" s="9"/>
      <c r="AE46" s="9"/>
      <c r="AF46" s="9"/>
      <c r="AG46" s="9"/>
      <c r="AH46" s="9"/>
      <c r="AI46" s="257" t="s">
        <v>967</v>
      </c>
      <c r="AJ46" s="9"/>
      <c r="AK46" s="9"/>
      <c r="AL46" s="9"/>
      <c r="AM46" s="9"/>
      <c r="AN46" s="9"/>
      <c r="AO46" s="9"/>
      <c r="AP46" s="9"/>
      <c r="AQ46" s="9"/>
      <c r="AR46" s="9"/>
      <c r="AS46" s="9"/>
      <c r="AT46" s="257" t="s">
        <v>967</v>
      </c>
      <c r="AU46" s="9"/>
      <c r="AV46" s="9"/>
      <c r="AW46" s="9"/>
      <c r="AX46" s="9"/>
      <c r="AY46" s="9"/>
      <c r="AZ46" s="9"/>
      <c r="BA46" s="9"/>
      <c r="BB46" s="9"/>
      <c r="BC46" s="9"/>
      <c r="BD46" s="9"/>
      <c r="BE46" s="257" t="s">
        <v>967</v>
      </c>
      <c r="BF46" s="9"/>
      <c r="BG46" s="9"/>
      <c r="BH46" s="9"/>
      <c r="BI46" s="9"/>
      <c r="BJ46" s="9"/>
      <c r="BK46" s="9"/>
      <c r="BL46" s="9"/>
      <c r="BM46" s="9"/>
      <c r="BN46" s="9"/>
      <c r="BO46" s="9"/>
    </row>
    <row r="47" spans="1:138" s="252" customFormat="1">
      <c r="A47" s="252" t="s">
        <v>988</v>
      </c>
      <c r="B47" s="271">
        <f t="shared" ref="B47:AG47" si="0">(POWER(B45/B16, 1/29)-1)*100</f>
        <v>4.0411195354607798</v>
      </c>
      <c r="C47" s="271">
        <f t="shared" si="0"/>
        <v>8.0554214813355998</v>
      </c>
      <c r="D47" s="271">
        <f t="shared" si="0"/>
        <v>4.744791088404976</v>
      </c>
      <c r="E47" s="271">
        <f t="shared" si="0"/>
        <v>4.6797621266941869</v>
      </c>
      <c r="F47" s="271">
        <f t="shared" si="0"/>
        <v>7.2312863214976542</v>
      </c>
      <c r="G47" s="271">
        <f t="shared" si="0"/>
        <v>4.9671653227764567</v>
      </c>
      <c r="H47" s="271">
        <f t="shared" si="0"/>
        <v>4.0268535151431806</v>
      </c>
      <c r="I47" s="271">
        <f t="shared" si="0"/>
        <v>4.5794398966031657</v>
      </c>
      <c r="J47" s="271">
        <f t="shared" si="0"/>
        <v>3.865193790033028</v>
      </c>
      <c r="K47" s="271">
        <f t="shared" si="0"/>
        <v>2.8888362804825762</v>
      </c>
      <c r="L47" s="271">
        <f t="shared" si="0"/>
        <v>3.0449162801498009</v>
      </c>
      <c r="M47" s="271">
        <f t="shared" si="0"/>
        <v>1.8975082827485945</v>
      </c>
      <c r="N47" s="271">
        <f t="shared" si="0"/>
        <v>5.4089188491278861</v>
      </c>
      <c r="O47" s="271">
        <f t="shared" si="0"/>
        <v>4.3267993432064333</v>
      </c>
      <c r="P47" s="271">
        <f t="shared" si="0"/>
        <v>2.7029051325208275</v>
      </c>
      <c r="Q47" s="271">
        <f t="shared" si="0"/>
        <v>2.7424197840505871</v>
      </c>
      <c r="R47" s="271">
        <f t="shared" si="0"/>
        <v>2.1916652326124497</v>
      </c>
      <c r="S47" s="271">
        <f t="shared" si="0"/>
        <v>2.0095924879741434</v>
      </c>
      <c r="T47" s="271">
        <f t="shared" si="0"/>
        <v>1.5211057511061998</v>
      </c>
      <c r="U47" s="271">
        <f t="shared" si="0"/>
        <v>2.1261394676155287</v>
      </c>
      <c r="V47" s="271">
        <f t="shared" si="0"/>
        <v>1.249369616207896</v>
      </c>
      <c r="W47" s="271">
        <f t="shared" si="0"/>
        <v>1.461260571800449</v>
      </c>
      <c r="X47" s="271">
        <f t="shared" si="0"/>
        <v>-0.92538548061250614</v>
      </c>
      <c r="Y47" s="271">
        <f t="shared" si="0"/>
        <v>0.34891745249807649</v>
      </c>
      <c r="Z47" s="271">
        <f t="shared" si="0"/>
        <v>2.0049277211076744</v>
      </c>
      <c r="AA47" s="271">
        <f t="shared" si="0"/>
        <v>-0.64847539315090463</v>
      </c>
      <c r="AB47" s="271">
        <f t="shared" si="0"/>
        <v>1.3665013031566975</v>
      </c>
      <c r="AC47" s="271">
        <f t="shared" si="0"/>
        <v>-0.2390546039463759</v>
      </c>
      <c r="AD47" s="271">
        <f t="shared" si="0"/>
        <v>-1.4309849814100661</v>
      </c>
      <c r="AE47" s="271">
        <f t="shared" si="0"/>
        <v>0.57149936186853267</v>
      </c>
      <c r="AF47" s="271">
        <f t="shared" si="0"/>
        <v>1.1454136607026211</v>
      </c>
      <c r="AG47" s="271">
        <f t="shared" si="0"/>
        <v>-0.81495887043898652</v>
      </c>
      <c r="AH47" s="271">
        <f t="shared" ref="AH47:BO47" si="1">(POWER(AH45/AH16, 1/29)-1)*100</f>
        <v>-2.3274409848905941</v>
      </c>
      <c r="AI47" s="271">
        <f t="shared" si="1"/>
        <v>-0.9107794643500422</v>
      </c>
      <c r="AJ47" s="271">
        <f t="shared" si="1"/>
        <v>0.46779394219629289</v>
      </c>
      <c r="AK47" s="271">
        <f t="shared" si="1"/>
        <v>2.3515594084533298E-2</v>
      </c>
      <c r="AL47" s="271">
        <f t="shared" si="1"/>
        <v>-1.6109040771098759</v>
      </c>
      <c r="AM47" s="271">
        <f t="shared" si="1"/>
        <v>-0.80871241806569349</v>
      </c>
      <c r="AN47" s="271">
        <f t="shared" si="1"/>
        <v>-0.40029779857423398</v>
      </c>
      <c r="AO47" s="271">
        <f t="shared" si="1"/>
        <v>-1.6066682435276647</v>
      </c>
      <c r="AP47" s="271">
        <f t="shared" si="1"/>
        <v>-0.568762000444889</v>
      </c>
      <c r="AQ47" s="271">
        <f t="shared" si="1"/>
        <v>-0.65627913361790968</v>
      </c>
      <c r="AR47" s="271">
        <f t="shared" si="1"/>
        <v>-0.47947116131473733</v>
      </c>
      <c r="AS47" s="271">
        <f t="shared" si="1"/>
        <v>-0.74174851011554743</v>
      </c>
      <c r="AT47" s="271">
        <f t="shared" si="1"/>
        <v>0.78399169619405296</v>
      </c>
      <c r="AU47" s="271">
        <f t="shared" si="1"/>
        <v>2.9026545559239114</v>
      </c>
      <c r="AV47" s="271">
        <f t="shared" si="1"/>
        <v>2.3122327656535102</v>
      </c>
      <c r="AW47" s="271">
        <f t="shared" si="1"/>
        <v>0.93581677047003264</v>
      </c>
      <c r="AX47" s="271">
        <f t="shared" si="1"/>
        <v>2.0198922578372525</v>
      </c>
      <c r="AY47" s="271">
        <f t="shared" si="1"/>
        <v>1.2209592291991145</v>
      </c>
      <c r="AZ47" s="271">
        <f t="shared" si="1"/>
        <v>0.39401388566711049</v>
      </c>
      <c r="BA47" s="271">
        <f t="shared" si="1"/>
        <v>1.2834072187437151</v>
      </c>
      <c r="BB47" s="271">
        <f t="shared" si="1"/>
        <v>1.3385328482346859</v>
      </c>
      <c r="BC47" s="271">
        <f t="shared" si="1"/>
        <v>0.67988440460025057</v>
      </c>
      <c r="BD47" s="271">
        <f t="shared" si="1"/>
        <v>0.38098936412638285</v>
      </c>
      <c r="BE47" s="271">
        <f t="shared" si="1"/>
        <v>2.6711883631961308</v>
      </c>
      <c r="BF47" s="271">
        <f t="shared" si="1"/>
        <v>5.3331245937803695</v>
      </c>
      <c r="BG47" s="271">
        <f t="shared" si="1"/>
        <v>3.7245687946150241</v>
      </c>
      <c r="BH47" s="271">
        <f t="shared" si="1"/>
        <v>3.1788215905823369</v>
      </c>
      <c r="BI47" s="271">
        <f t="shared" si="1"/>
        <v>4.6695290696920244</v>
      </c>
      <c r="BJ47" s="271">
        <f t="shared" si="1"/>
        <v>3.2706178381862516</v>
      </c>
      <c r="BK47" s="271">
        <f t="shared" si="1"/>
        <v>2.5233839766317434</v>
      </c>
      <c r="BL47" s="271">
        <f t="shared" si="1"/>
        <v>3.1371153838315458</v>
      </c>
      <c r="BM47" s="271">
        <f t="shared" si="1"/>
        <v>2.7189848145672268</v>
      </c>
      <c r="BN47" s="271">
        <f t="shared" si="1"/>
        <v>1.9495720217356238</v>
      </c>
      <c r="BO47" s="271">
        <f t="shared" si="1"/>
        <v>2.0296880189280664</v>
      </c>
      <c r="BP47" s="269"/>
      <c r="BQ47" s="269"/>
      <c r="BR47" s="269"/>
      <c r="BS47" s="269"/>
      <c r="BT47" s="269"/>
      <c r="BU47" s="269"/>
      <c r="BV47" s="269"/>
      <c r="BW47" s="269"/>
      <c r="BX47" s="269"/>
      <c r="BY47" s="269"/>
      <c r="BZ47" s="269"/>
      <c r="CA47" s="269"/>
      <c r="CB47" s="269"/>
      <c r="CC47" s="269"/>
      <c r="CD47" s="269"/>
      <c r="CE47" s="269"/>
      <c r="CF47" s="269"/>
      <c r="CG47" s="269"/>
      <c r="CH47" s="269"/>
      <c r="CI47" s="269"/>
      <c r="CJ47" s="269"/>
      <c r="CK47" s="269"/>
      <c r="CL47" s="269"/>
      <c r="CM47" s="269"/>
      <c r="CN47" s="269"/>
      <c r="CO47" s="269"/>
      <c r="CP47" s="269"/>
      <c r="CQ47" s="269"/>
      <c r="CR47" s="269"/>
      <c r="CS47" s="269"/>
      <c r="CT47" s="269"/>
      <c r="CU47" s="269"/>
      <c r="CV47" s="269"/>
      <c r="CW47" s="269"/>
      <c r="CX47" s="269"/>
      <c r="CY47" s="269"/>
      <c r="CZ47" s="269"/>
      <c r="DA47" s="269"/>
      <c r="DB47" s="269"/>
      <c r="DC47" s="269"/>
      <c r="DD47" s="269"/>
      <c r="DE47" s="269"/>
      <c r="DF47" s="269"/>
      <c r="DG47" s="269"/>
      <c r="DH47" s="269"/>
      <c r="DI47" s="269"/>
      <c r="DJ47" s="269"/>
      <c r="DK47" s="269"/>
      <c r="DL47" s="269"/>
      <c r="DM47" s="269"/>
      <c r="DN47" s="269"/>
      <c r="DO47" s="269"/>
      <c r="DP47" s="269"/>
      <c r="DQ47" s="269"/>
      <c r="DR47" s="269"/>
      <c r="DS47" s="269"/>
      <c r="DT47" s="269"/>
      <c r="DU47" s="269"/>
      <c r="DV47" s="269"/>
      <c r="DW47" s="269"/>
      <c r="DX47" s="269"/>
      <c r="DY47" s="269"/>
      <c r="DZ47" s="269"/>
      <c r="EA47" s="269"/>
      <c r="EB47" s="269"/>
      <c r="EC47" s="269"/>
      <c r="ED47" s="269"/>
      <c r="EE47" s="269"/>
      <c r="EF47" s="269"/>
      <c r="EG47" s="269"/>
      <c r="EH47" s="269"/>
    </row>
    <row r="48" spans="1:138">
      <c r="B48" s="1" t="s">
        <v>1139</v>
      </c>
      <c r="M48" s="1" t="s">
        <v>33</v>
      </c>
      <c r="X48" s="1" t="s">
        <v>33</v>
      </c>
      <c r="AI48" s="1" t="s">
        <v>33</v>
      </c>
      <c r="AT48" s="1" t="s">
        <v>33</v>
      </c>
      <c r="BE48" s="1" t="s">
        <v>33</v>
      </c>
    </row>
    <row r="49" spans="44:44">
      <c r="AR49" s="164"/>
    </row>
  </sheetData>
  <phoneticPr fontId="0" type="noConversion"/>
  <pageMargins left="0.74803149606299213" right="0.74803149606299213" top="0.98425196850393704" bottom="0.78740157480314965" header="0.51181102362204722" footer="0.51181102362204722"/>
  <pageSetup scale="85" orientation="landscape" r:id="rId1"/>
  <headerFooter alignWithMargins="0"/>
  <colBreaks count="6" manualBreakCount="6">
    <brk id="12" max="1048575" man="1"/>
    <brk id="23" max="1048575" man="1"/>
    <brk id="34" max="1048575" man="1"/>
    <brk id="45" max="1048575" man="1"/>
    <brk id="56" max="1048575" man="1"/>
    <brk id="72" max="1048575" man="1"/>
  </colBreaks>
</worksheet>
</file>

<file path=xl/worksheets/sheet120.xml><?xml version="1.0" encoding="utf-8"?>
<worksheet xmlns="http://schemas.openxmlformats.org/spreadsheetml/2006/main" xmlns:r="http://schemas.openxmlformats.org/officeDocument/2006/relationships">
  <dimension ref="A2:A78"/>
  <sheetViews>
    <sheetView topLeftCell="A97" workbookViewId="0">
      <selection activeCell="I24" sqref="I24"/>
    </sheetView>
  </sheetViews>
  <sheetFormatPr defaultRowHeight="12.75"/>
  <sheetData>
    <row r="2" spans="1:1">
      <c r="A2" t="s">
        <v>1164</v>
      </c>
    </row>
    <row r="3" spans="1:1">
      <c r="A3" t="s">
        <v>1165</v>
      </c>
    </row>
    <row r="24" spans="1:1">
      <c r="A24" t="s">
        <v>1166</v>
      </c>
    </row>
    <row r="25" spans="1:1">
      <c r="A25" t="s">
        <v>1167</v>
      </c>
    </row>
    <row r="50" spans="1:1">
      <c r="A50" t="s">
        <v>1168</v>
      </c>
    </row>
    <row r="51" spans="1:1">
      <c r="A51" t="s">
        <v>1169</v>
      </c>
    </row>
    <row r="77" spans="1:1">
      <c r="A77" t="s">
        <v>1170</v>
      </c>
    </row>
    <row r="78" spans="1:1">
      <c r="A78" t="s">
        <v>1171</v>
      </c>
    </row>
  </sheetData>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dimension ref="A1:F29"/>
  <sheetViews>
    <sheetView workbookViewId="0">
      <selection activeCell="I24" sqref="I24"/>
    </sheetView>
  </sheetViews>
  <sheetFormatPr defaultRowHeight="12.75"/>
  <cols>
    <col min="2" max="2" width="13.75" customWidth="1"/>
    <col min="3" max="3" width="12.5" customWidth="1"/>
    <col min="4" max="4" width="12.25" customWidth="1"/>
    <col min="5" max="5" width="12" customWidth="1"/>
    <col min="6" max="6" width="13.375" customWidth="1"/>
    <col min="258" max="258" width="13.75" customWidth="1"/>
    <col min="259" max="259" width="12.5" customWidth="1"/>
    <col min="260" max="260" width="12.25" customWidth="1"/>
    <col min="261" max="261" width="12" customWidth="1"/>
    <col min="262" max="262" width="13.375" customWidth="1"/>
    <col min="514" max="514" width="13.75" customWidth="1"/>
    <col min="515" max="515" width="12.5" customWidth="1"/>
    <col min="516" max="516" width="12.25" customWidth="1"/>
    <col min="517" max="517" width="12" customWidth="1"/>
    <col min="518" max="518" width="13.375" customWidth="1"/>
    <col min="770" max="770" width="13.75" customWidth="1"/>
    <col min="771" max="771" width="12.5" customWidth="1"/>
    <col min="772" max="772" width="12.25" customWidth="1"/>
    <col min="773" max="773" width="12" customWidth="1"/>
    <col min="774" max="774" width="13.375" customWidth="1"/>
    <col min="1026" max="1026" width="13.75" customWidth="1"/>
    <col min="1027" max="1027" width="12.5" customWidth="1"/>
    <col min="1028" max="1028" width="12.25" customWidth="1"/>
    <col min="1029" max="1029" width="12" customWidth="1"/>
    <col min="1030" max="1030" width="13.375" customWidth="1"/>
    <col min="1282" max="1282" width="13.75" customWidth="1"/>
    <col min="1283" max="1283" width="12.5" customWidth="1"/>
    <col min="1284" max="1284" width="12.25" customWidth="1"/>
    <col min="1285" max="1285" width="12" customWidth="1"/>
    <col min="1286" max="1286" width="13.375" customWidth="1"/>
    <col min="1538" max="1538" width="13.75" customWidth="1"/>
    <col min="1539" max="1539" width="12.5" customWidth="1"/>
    <col min="1540" max="1540" width="12.25" customWidth="1"/>
    <col min="1541" max="1541" width="12" customWidth="1"/>
    <col min="1542" max="1542" width="13.375" customWidth="1"/>
    <col min="1794" max="1794" width="13.75" customWidth="1"/>
    <col min="1795" max="1795" width="12.5" customWidth="1"/>
    <col min="1796" max="1796" width="12.25" customWidth="1"/>
    <col min="1797" max="1797" width="12" customWidth="1"/>
    <col min="1798" max="1798" width="13.375" customWidth="1"/>
    <col min="2050" max="2050" width="13.75" customWidth="1"/>
    <col min="2051" max="2051" width="12.5" customWidth="1"/>
    <col min="2052" max="2052" width="12.25" customWidth="1"/>
    <col min="2053" max="2053" width="12" customWidth="1"/>
    <col min="2054" max="2054" width="13.375" customWidth="1"/>
    <col min="2306" max="2306" width="13.75" customWidth="1"/>
    <col min="2307" max="2307" width="12.5" customWidth="1"/>
    <col min="2308" max="2308" width="12.25" customWidth="1"/>
    <col min="2309" max="2309" width="12" customWidth="1"/>
    <col min="2310" max="2310" width="13.375" customWidth="1"/>
    <col min="2562" max="2562" width="13.75" customWidth="1"/>
    <col min="2563" max="2563" width="12.5" customWidth="1"/>
    <col min="2564" max="2564" width="12.25" customWidth="1"/>
    <col min="2565" max="2565" width="12" customWidth="1"/>
    <col min="2566" max="2566" width="13.375" customWidth="1"/>
    <col min="2818" max="2818" width="13.75" customWidth="1"/>
    <col min="2819" max="2819" width="12.5" customWidth="1"/>
    <col min="2820" max="2820" width="12.25" customWidth="1"/>
    <col min="2821" max="2821" width="12" customWidth="1"/>
    <col min="2822" max="2822" width="13.375" customWidth="1"/>
    <col min="3074" max="3074" width="13.75" customWidth="1"/>
    <col min="3075" max="3075" width="12.5" customWidth="1"/>
    <col min="3076" max="3076" width="12.25" customWidth="1"/>
    <col min="3077" max="3077" width="12" customWidth="1"/>
    <col min="3078" max="3078" width="13.375" customWidth="1"/>
    <col min="3330" max="3330" width="13.75" customWidth="1"/>
    <col min="3331" max="3331" width="12.5" customWidth="1"/>
    <col min="3332" max="3332" width="12.25" customWidth="1"/>
    <col min="3333" max="3333" width="12" customWidth="1"/>
    <col min="3334" max="3334" width="13.375" customWidth="1"/>
    <col min="3586" max="3586" width="13.75" customWidth="1"/>
    <col min="3587" max="3587" width="12.5" customWidth="1"/>
    <col min="3588" max="3588" width="12.25" customWidth="1"/>
    <col min="3589" max="3589" width="12" customWidth="1"/>
    <col min="3590" max="3590" width="13.375" customWidth="1"/>
    <col min="3842" max="3842" width="13.75" customWidth="1"/>
    <col min="3843" max="3843" width="12.5" customWidth="1"/>
    <col min="3844" max="3844" width="12.25" customWidth="1"/>
    <col min="3845" max="3845" width="12" customWidth="1"/>
    <col min="3846" max="3846" width="13.375" customWidth="1"/>
    <col min="4098" max="4098" width="13.75" customWidth="1"/>
    <col min="4099" max="4099" width="12.5" customWidth="1"/>
    <col min="4100" max="4100" width="12.25" customWidth="1"/>
    <col min="4101" max="4101" width="12" customWidth="1"/>
    <col min="4102" max="4102" width="13.375" customWidth="1"/>
    <col min="4354" max="4354" width="13.75" customWidth="1"/>
    <col min="4355" max="4355" width="12.5" customWidth="1"/>
    <col min="4356" max="4356" width="12.25" customWidth="1"/>
    <col min="4357" max="4357" width="12" customWidth="1"/>
    <col min="4358" max="4358" width="13.375" customWidth="1"/>
    <col min="4610" max="4610" width="13.75" customWidth="1"/>
    <col min="4611" max="4611" width="12.5" customWidth="1"/>
    <col min="4612" max="4612" width="12.25" customWidth="1"/>
    <col min="4613" max="4613" width="12" customWidth="1"/>
    <col min="4614" max="4614" width="13.375" customWidth="1"/>
    <col min="4866" max="4866" width="13.75" customWidth="1"/>
    <col min="4867" max="4867" width="12.5" customWidth="1"/>
    <col min="4868" max="4868" width="12.25" customWidth="1"/>
    <col min="4869" max="4869" width="12" customWidth="1"/>
    <col min="4870" max="4870" width="13.375" customWidth="1"/>
    <col min="5122" max="5122" width="13.75" customWidth="1"/>
    <col min="5123" max="5123" width="12.5" customWidth="1"/>
    <col min="5124" max="5124" width="12.25" customWidth="1"/>
    <col min="5125" max="5125" width="12" customWidth="1"/>
    <col min="5126" max="5126" width="13.375" customWidth="1"/>
    <col min="5378" max="5378" width="13.75" customWidth="1"/>
    <col min="5379" max="5379" width="12.5" customWidth="1"/>
    <col min="5380" max="5380" width="12.25" customWidth="1"/>
    <col min="5381" max="5381" width="12" customWidth="1"/>
    <col min="5382" max="5382" width="13.375" customWidth="1"/>
    <col min="5634" max="5634" width="13.75" customWidth="1"/>
    <col min="5635" max="5635" width="12.5" customWidth="1"/>
    <col min="5636" max="5636" width="12.25" customWidth="1"/>
    <col min="5637" max="5637" width="12" customWidth="1"/>
    <col min="5638" max="5638" width="13.375" customWidth="1"/>
    <col min="5890" max="5890" width="13.75" customWidth="1"/>
    <col min="5891" max="5891" width="12.5" customWidth="1"/>
    <col min="5892" max="5892" width="12.25" customWidth="1"/>
    <col min="5893" max="5893" width="12" customWidth="1"/>
    <col min="5894" max="5894" width="13.375" customWidth="1"/>
    <col min="6146" max="6146" width="13.75" customWidth="1"/>
    <col min="6147" max="6147" width="12.5" customWidth="1"/>
    <col min="6148" max="6148" width="12.25" customWidth="1"/>
    <col min="6149" max="6149" width="12" customWidth="1"/>
    <col min="6150" max="6150" width="13.375" customWidth="1"/>
    <col min="6402" max="6402" width="13.75" customWidth="1"/>
    <col min="6403" max="6403" width="12.5" customWidth="1"/>
    <col min="6404" max="6404" width="12.25" customWidth="1"/>
    <col min="6405" max="6405" width="12" customWidth="1"/>
    <col min="6406" max="6406" width="13.375" customWidth="1"/>
    <col min="6658" max="6658" width="13.75" customWidth="1"/>
    <col min="6659" max="6659" width="12.5" customWidth="1"/>
    <col min="6660" max="6660" width="12.25" customWidth="1"/>
    <col min="6661" max="6661" width="12" customWidth="1"/>
    <col min="6662" max="6662" width="13.375" customWidth="1"/>
    <col min="6914" max="6914" width="13.75" customWidth="1"/>
    <col min="6915" max="6915" width="12.5" customWidth="1"/>
    <col min="6916" max="6916" width="12.25" customWidth="1"/>
    <col min="6917" max="6917" width="12" customWidth="1"/>
    <col min="6918" max="6918" width="13.375" customWidth="1"/>
    <col min="7170" max="7170" width="13.75" customWidth="1"/>
    <col min="7171" max="7171" width="12.5" customWidth="1"/>
    <col min="7172" max="7172" width="12.25" customWidth="1"/>
    <col min="7173" max="7173" width="12" customWidth="1"/>
    <col min="7174" max="7174" width="13.375" customWidth="1"/>
    <col min="7426" max="7426" width="13.75" customWidth="1"/>
    <col min="7427" max="7427" width="12.5" customWidth="1"/>
    <col min="7428" max="7428" width="12.25" customWidth="1"/>
    <col min="7429" max="7429" width="12" customWidth="1"/>
    <col min="7430" max="7430" width="13.375" customWidth="1"/>
    <col min="7682" max="7682" width="13.75" customWidth="1"/>
    <col min="7683" max="7683" width="12.5" customWidth="1"/>
    <col min="7684" max="7684" width="12.25" customWidth="1"/>
    <col min="7685" max="7685" width="12" customWidth="1"/>
    <col min="7686" max="7686" width="13.375" customWidth="1"/>
    <col min="7938" max="7938" width="13.75" customWidth="1"/>
    <col min="7939" max="7939" width="12.5" customWidth="1"/>
    <col min="7940" max="7940" width="12.25" customWidth="1"/>
    <col min="7941" max="7941" width="12" customWidth="1"/>
    <col min="7942" max="7942" width="13.375" customWidth="1"/>
    <col min="8194" max="8194" width="13.75" customWidth="1"/>
    <col min="8195" max="8195" width="12.5" customWidth="1"/>
    <col min="8196" max="8196" width="12.25" customWidth="1"/>
    <col min="8197" max="8197" width="12" customWidth="1"/>
    <col min="8198" max="8198" width="13.375" customWidth="1"/>
    <col min="8450" max="8450" width="13.75" customWidth="1"/>
    <col min="8451" max="8451" width="12.5" customWidth="1"/>
    <col min="8452" max="8452" width="12.25" customWidth="1"/>
    <col min="8453" max="8453" width="12" customWidth="1"/>
    <col min="8454" max="8454" width="13.375" customWidth="1"/>
    <col min="8706" max="8706" width="13.75" customWidth="1"/>
    <col min="8707" max="8707" width="12.5" customWidth="1"/>
    <col min="8708" max="8708" width="12.25" customWidth="1"/>
    <col min="8709" max="8709" width="12" customWidth="1"/>
    <col min="8710" max="8710" width="13.375" customWidth="1"/>
    <col min="8962" max="8962" width="13.75" customWidth="1"/>
    <col min="8963" max="8963" width="12.5" customWidth="1"/>
    <col min="8964" max="8964" width="12.25" customWidth="1"/>
    <col min="8965" max="8965" width="12" customWidth="1"/>
    <col min="8966" max="8966" width="13.375" customWidth="1"/>
    <col min="9218" max="9218" width="13.75" customWidth="1"/>
    <col min="9219" max="9219" width="12.5" customWidth="1"/>
    <col min="9220" max="9220" width="12.25" customWidth="1"/>
    <col min="9221" max="9221" width="12" customWidth="1"/>
    <col min="9222" max="9222" width="13.375" customWidth="1"/>
    <col min="9474" max="9474" width="13.75" customWidth="1"/>
    <col min="9475" max="9475" width="12.5" customWidth="1"/>
    <col min="9476" max="9476" width="12.25" customWidth="1"/>
    <col min="9477" max="9477" width="12" customWidth="1"/>
    <col min="9478" max="9478" width="13.375" customWidth="1"/>
    <col min="9730" max="9730" width="13.75" customWidth="1"/>
    <col min="9731" max="9731" width="12.5" customWidth="1"/>
    <col min="9732" max="9732" width="12.25" customWidth="1"/>
    <col min="9733" max="9733" width="12" customWidth="1"/>
    <col min="9734" max="9734" width="13.375" customWidth="1"/>
    <col min="9986" max="9986" width="13.75" customWidth="1"/>
    <col min="9987" max="9987" width="12.5" customWidth="1"/>
    <col min="9988" max="9988" width="12.25" customWidth="1"/>
    <col min="9989" max="9989" width="12" customWidth="1"/>
    <col min="9990" max="9990" width="13.375" customWidth="1"/>
    <col min="10242" max="10242" width="13.75" customWidth="1"/>
    <col min="10243" max="10243" width="12.5" customWidth="1"/>
    <col min="10244" max="10244" width="12.25" customWidth="1"/>
    <col min="10245" max="10245" width="12" customWidth="1"/>
    <col min="10246" max="10246" width="13.375" customWidth="1"/>
    <col min="10498" max="10498" width="13.75" customWidth="1"/>
    <col min="10499" max="10499" width="12.5" customWidth="1"/>
    <col min="10500" max="10500" width="12.25" customWidth="1"/>
    <col min="10501" max="10501" width="12" customWidth="1"/>
    <col min="10502" max="10502" width="13.375" customWidth="1"/>
    <col min="10754" max="10754" width="13.75" customWidth="1"/>
    <col min="10755" max="10755" width="12.5" customWidth="1"/>
    <col min="10756" max="10756" width="12.25" customWidth="1"/>
    <col min="10757" max="10757" width="12" customWidth="1"/>
    <col min="10758" max="10758" width="13.375" customWidth="1"/>
    <col min="11010" max="11010" width="13.75" customWidth="1"/>
    <col min="11011" max="11011" width="12.5" customWidth="1"/>
    <col min="11012" max="11012" width="12.25" customWidth="1"/>
    <col min="11013" max="11013" width="12" customWidth="1"/>
    <col min="11014" max="11014" width="13.375" customWidth="1"/>
    <col min="11266" max="11266" width="13.75" customWidth="1"/>
    <col min="11267" max="11267" width="12.5" customWidth="1"/>
    <col min="11268" max="11268" width="12.25" customWidth="1"/>
    <col min="11269" max="11269" width="12" customWidth="1"/>
    <col min="11270" max="11270" width="13.375" customWidth="1"/>
    <col min="11522" max="11522" width="13.75" customWidth="1"/>
    <col min="11523" max="11523" width="12.5" customWidth="1"/>
    <col min="11524" max="11524" width="12.25" customWidth="1"/>
    <col min="11525" max="11525" width="12" customWidth="1"/>
    <col min="11526" max="11526" width="13.375" customWidth="1"/>
    <col min="11778" max="11778" width="13.75" customWidth="1"/>
    <col min="11779" max="11779" width="12.5" customWidth="1"/>
    <col min="11780" max="11780" width="12.25" customWidth="1"/>
    <col min="11781" max="11781" width="12" customWidth="1"/>
    <col min="11782" max="11782" width="13.375" customWidth="1"/>
    <col min="12034" max="12034" width="13.75" customWidth="1"/>
    <col min="12035" max="12035" width="12.5" customWidth="1"/>
    <col min="12036" max="12036" width="12.25" customWidth="1"/>
    <col min="12037" max="12037" width="12" customWidth="1"/>
    <col min="12038" max="12038" width="13.375" customWidth="1"/>
    <col min="12290" max="12290" width="13.75" customWidth="1"/>
    <col min="12291" max="12291" width="12.5" customWidth="1"/>
    <col min="12292" max="12292" width="12.25" customWidth="1"/>
    <col min="12293" max="12293" width="12" customWidth="1"/>
    <col min="12294" max="12294" width="13.375" customWidth="1"/>
    <col min="12546" max="12546" width="13.75" customWidth="1"/>
    <col min="12547" max="12547" width="12.5" customWidth="1"/>
    <col min="12548" max="12548" width="12.25" customWidth="1"/>
    <col min="12549" max="12549" width="12" customWidth="1"/>
    <col min="12550" max="12550" width="13.375" customWidth="1"/>
    <col min="12802" max="12802" width="13.75" customWidth="1"/>
    <col min="12803" max="12803" width="12.5" customWidth="1"/>
    <col min="12804" max="12804" width="12.25" customWidth="1"/>
    <col min="12805" max="12805" width="12" customWidth="1"/>
    <col min="12806" max="12806" width="13.375" customWidth="1"/>
    <col min="13058" max="13058" width="13.75" customWidth="1"/>
    <col min="13059" max="13059" width="12.5" customWidth="1"/>
    <col min="13060" max="13060" width="12.25" customWidth="1"/>
    <col min="13061" max="13061" width="12" customWidth="1"/>
    <col min="13062" max="13062" width="13.375" customWidth="1"/>
    <col min="13314" max="13314" width="13.75" customWidth="1"/>
    <col min="13315" max="13315" width="12.5" customWidth="1"/>
    <col min="13316" max="13316" width="12.25" customWidth="1"/>
    <col min="13317" max="13317" width="12" customWidth="1"/>
    <col min="13318" max="13318" width="13.375" customWidth="1"/>
    <col min="13570" max="13570" width="13.75" customWidth="1"/>
    <col min="13571" max="13571" width="12.5" customWidth="1"/>
    <col min="13572" max="13572" width="12.25" customWidth="1"/>
    <col min="13573" max="13573" width="12" customWidth="1"/>
    <col min="13574" max="13574" width="13.375" customWidth="1"/>
    <col min="13826" max="13826" width="13.75" customWidth="1"/>
    <col min="13827" max="13827" width="12.5" customWidth="1"/>
    <col min="13828" max="13828" width="12.25" customWidth="1"/>
    <col min="13829" max="13829" width="12" customWidth="1"/>
    <col min="13830" max="13830" width="13.375" customWidth="1"/>
    <col min="14082" max="14082" width="13.75" customWidth="1"/>
    <col min="14083" max="14083" width="12.5" customWidth="1"/>
    <col min="14084" max="14084" width="12.25" customWidth="1"/>
    <col min="14085" max="14085" width="12" customWidth="1"/>
    <col min="14086" max="14086" width="13.375" customWidth="1"/>
    <col min="14338" max="14338" width="13.75" customWidth="1"/>
    <col min="14339" max="14339" width="12.5" customWidth="1"/>
    <col min="14340" max="14340" width="12.25" customWidth="1"/>
    <col min="14341" max="14341" width="12" customWidth="1"/>
    <col min="14342" max="14342" width="13.375" customWidth="1"/>
    <col min="14594" max="14594" width="13.75" customWidth="1"/>
    <col min="14595" max="14595" width="12.5" customWidth="1"/>
    <col min="14596" max="14596" width="12.25" customWidth="1"/>
    <col min="14597" max="14597" width="12" customWidth="1"/>
    <col min="14598" max="14598" width="13.375" customWidth="1"/>
    <col min="14850" max="14850" width="13.75" customWidth="1"/>
    <col min="14851" max="14851" width="12.5" customWidth="1"/>
    <col min="14852" max="14852" width="12.25" customWidth="1"/>
    <col min="14853" max="14853" width="12" customWidth="1"/>
    <col min="14854" max="14854" width="13.375" customWidth="1"/>
    <col min="15106" max="15106" width="13.75" customWidth="1"/>
    <col min="15107" max="15107" width="12.5" customWidth="1"/>
    <col min="15108" max="15108" width="12.25" customWidth="1"/>
    <col min="15109" max="15109" width="12" customWidth="1"/>
    <col min="15110" max="15110" width="13.375" customWidth="1"/>
    <col min="15362" max="15362" width="13.75" customWidth="1"/>
    <col min="15363" max="15363" width="12.5" customWidth="1"/>
    <col min="15364" max="15364" width="12.25" customWidth="1"/>
    <col min="15365" max="15365" width="12" customWidth="1"/>
    <col min="15366" max="15366" width="13.375" customWidth="1"/>
    <col min="15618" max="15618" width="13.75" customWidth="1"/>
    <col min="15619" max="15619" width="12.5" customWidth="1"/>
    <col min="15620" max="15620" width="12.25" customWidth="1"/>
    <col min="15621" max="15621" width="12" customWidth="1"/>
    <col min="15622" max="15622" width="13.375" customWidth="1"/>
    <col min="15874" max="15874" width="13.75" customWidth="1"/>
    <col min="15875" max="15875" width="12.5" customWidth="1"/>
    <col min="15876" max="15876" width="12.25" customWidth="1"/>
    <col min="15877" max="15877" width="12" customWidth="1"/>
    <col min="15878" max="15878" width="13.375" customWidth="1"/>
    <col min="16130" max="16130" width="13.75" customWidth="1"/>
    <col min="16131" max="16131" width="12.5" customWidth="1"/>
    <col min="16132" max="16132" width="12.25" customWidth="1"/>
    <col min="16133" max="16133" width="12" customWidth="1"/>
    <col min="16134" max="16134" width="13.375" customWidth="1"/>
  </cols>
  <sheetData>
    <row r="1" spans="1:6" ht="45">
      <c r="B1" s="390" t="s">
        <v>1172</v>
      </c>
      <c r="C1" s="390" t="s">
        <v>1173</v>
      </c>
      <c r="D1" s="390" t="s">
        <v>1174</v>
      </c>
      <c r="E1" s="390" t="s">
        <v>1175</v>
      </c>
      <c r="F1" s="389"/>
    </row>
    <row r="2" spans="1:6">
      <c r="A2" s="1">
        <v>1981</v>
      </c>
      <c r="B2" s="389">
        <f>100*('[1]1'!C19/'[1]1'!I19)</f>
        <v>55.940522281987214</v>
      </c>
      <c r="C2" s="389">
        <f>100*('[1]1'!E19/'[1]1'!I19)</f>
        <v>22.777736126281468</v>
      </c>
      <c r="D2" s="389">
        <f>100*('[1]1'!F19/'[1]1'!I19)</f>
        <v>27.899162508658865</v>
      </c>
      <c r="E2" s="389">
        <f>100*('[1]1'!G19/'[1]1'!I19)</f>
        <v>6.617420916927534</v>
      </c>
      <c r="F2" s="389"/>
    </row>
    <row r="3" spans="1:6">
      <c r="A3" s="1">
        <v>1982</v>
      </c>
      <c r="B3" s="389">
        <f>100*('[1]1'!C20/'[1]1'!I20)</f>
        <v>55.287497390065177</v>
      </c>
      <c r="C3" s="389">
        <f>100*('[1]1'!E20/'[1]1'!I20)</f>
        <v>23.71304604041201</v>
      </c>
      <c r="D3" s="389">
        <f>100*('[1]1'!F20/'[1]1'!I20)</f>
        <v>27.469197760493323</v>
      </c>
      <c r="E3" s="389">
        <f>100*('[1]1'!G20/'[1]1'!I20)</f>
        <v>6.5647177128497187</v>
      </c>
      <c r="F3" s="389"/>
    </row>
    <row r="4" spans="1:6">
      <c r="A4" s="1">
        <v>1983</v>
      </c>
      <c r="B4" s="389">
        <f>100*('[1]1'!C21/'[1]1'!I21)</f>
        <v>55.620760432878704</v>
      </c>
      <c r="C4" s="389">
        <f>100*('[1]1'!E21/'[1]1'!I21)</f>
        <v>23.511316614396161</v>
      </c>
      <c r="D4" s="389">
        <f>100*('[1]1'!F21/'[1]1'!I21)</f>
        <v>27.3635505122502</v>
      </c>
      <c r="E4" s="389">
        <f>100*('[1]1'!G21/'[1]1'!I21)</f>
        <v>6.7199938208903038</v>
      </c>
      <c r="F4" s="389"/>
    </row>
    <row r="5" spans="1:6">
      <c r="A5" s="1">
        <v>1984</v>
      </c>
      <c r="B5" s="389">
        <f>100*('[1]1'!C22/'[1]1'!I22)</f>
        <v>56.199569086924519</v>
      </c>
      <c r="C5" s="389">
        <f>100*('[1]1'!E22/'[1]1'!I22)</f>
        <v>23.061114676132192</v>
      </c>
      <c r="D5" s="389">
        <f>100*('[1]1'!F22/'[1]1'!I22)</f>
        <v>27.343449871249909</v>
      </c>
      <c r="E5" s="389">
        <f>100*('[1]1'!G22/'[1]1'!I22)</f>
        <v>6.9649745991640755</v>
      </c>
      <c r="F5" s="389"/>
    </row>
    <row r="6" spans="1:6">
      <c r="A6" s="1">
        <v>1985</v>
      </c>
      <c r="B6" s="389">
        <f>100*('[1]1'!C23/'[1]1'!I23)</f>
        <v>56.606471417917703</v>
      </c>
      <c r="C6" s="389">
        <f>100*('[1]1'!E23/'[1]1'!I23)</f>
        <v>23.19303041223688</v>
      </c>
      <c r="D6" s="389">
        <f>100*('[1]1'!F23/'[1]1'!I23)</f>
        <v>27.136963871063134</v>
      </c>
      <c r="E6" s="389">
        <f>100*('[1]1'!G23/'[1]1'!I23)</f>
        <v>7.0292190088135618</v>
      </c>
      <c r="F6" s="389"/>
    </row>
    <row r="7" spans="1:6">
      <c r="A7" s="1">
        <v>1986</v>
      </c>
      <c r="B7" s="389">
        <f>100*('[1]1'!C24/'[1]1'!I24)</f>
        <v>56.778661182072923</v>
      </c>
      <c r="C7" s="389">
        <f>100*('[1]1'!E24/'[1]1'!I24)</f>
        <v>22.798609801395479</v>
      </c>
      <c r="D7" s="389">
        <f>100*('[1]1'!F24/'[1]1'!I24)</f>
        <v>27.090496031050815</v>
      </c>
      <c r="E7" s="389">
        <f>100*('[1]1'!G24/'[1]1'!I24)</f>
        <v>6.8211195045404791</v>
      </c>
      <c r="F7" s="389"/>
    </row>
    <row r="8" spans="1:6">
      <c r="A8" s="1">
        <v>1987</v>
      </c>
      <c r="B8" s="389">
        <f>100*('[1]1'!C25/'[1]1'!I25)</f>
        <v>56.676332107379338</v>
      </c>
      <c r="C8" s="389">
        <f>100*('[1]1'!E25/'[1]1'!I25)</f>
        <v>22.190810877060557</v>
      </c>
      <c r="D8" s="389">
        <f>100*('[1]1'!F25/'[1]1'!I25)</f>
        <v>27.351571441242367</v>
      </c>
      <c r="E8" s="389">
        <f>100*('[1]1'!G25/'[1]1'!I25)</f>
        <v>6.575924202293006</v>
      </c>
      <c r="F8" s="389"/>
    </row>
    <row r="9" spans="1:6">
      <c r="A9" s="1">
        <v>1988</v>
      </c>
      <c r="B9" s="389">
        <f>100*('[1]1'!C26/'[1]1'!I26)</f>
        <v>56.488176273556498</v>
      </c>
      <c r="C9" s="389">
        <f>100*('[1]1'!E26/'[1]1'!I26)</f>
        <v>22.208742969783373</v>
      </c>
      <c r="D9" s="389">
        <f>100*('[1]1'!F26/'[1]1'!I26)</f>
        <v>27.642947414759121</v>
      </c>
      <c r="E9" s="389">
        <f>100*('[1]1'!G26/'[1]1'!I26)</f>
        <v>6.5227767425444085</v>
      </c>
      <c r="F9" s="389"/>
    </row>
    <row r="10" spans="1:6">
      <c r="A10" s="1">
        <v>1989</v>
      </c>
      <c r="B10" s="389">
        <f>100*('[1]1'!C27/'[1]1'!I27)</f>
        <v>56.039994182510014</v>
      </c>
      <c r="C10" s="389">
        <f>100*('[1]1'!E27/'[1]1'!I27)</f>
        <v>22.029984872939366</v>
      </c>
      <c r="D10" s="389">
        <f>100*('[1]1'!F27/'[1]1'!I27)</f>
        <v>27.731927343641892</v>
      </c>
      <c r="E10" s="389">
        <f>100*('[1]1'!G27/'[1]1'!I27)</f>
        <v>6.3386332988454281</v>
      </c>
      <c r="F10" s="389"/>
    </row>
    <row r="11" spans="1:6">
      <c r="A11" s="1">
        <v>1990</v>
      </c>
      <c r="B11" s="389">
        <f>100*('[1]1'!C28/'[1]1'!I28)</f>
        <v>55.128139993495893</v>
      </c>
      <c r="C11" s="389">
        <f>100*('[1]1'!E28/'[1]1'!I28)</f>
        <v>22.302379551905968</v>
      </c>
      <c r="D11" s="389">
        <f>100*('[1]1'!F28/'[1]1'!I28)</f>
        <v>28.266405738318394</v>
      </c>
      <c r="E11" s="389">
        <f>100*('[1]1'!G28/'[1]1'!I28)</f>
        <v>6.4517339316996702</v>
      </c>
      <c r="F11" s="389"/>
    </row>
    <row r="12" spans="1:6">
      <c r="A12" s="1">
        <v>1991</v>
      </c>
      <c r="B12" s="389">
        <f>100*('[1]1'!C29/'[1]1'!I29)</f>
        <v>53.494668323309988</v>
      </c>
      <c r="C12" s="389">
        <f>100*('[1]1'!E29/'[1]1'!I29)</f>
        <v>22.775811262023684</v>
      </c>
      <c r="D12" s="389">
        <f>100*('[1]1'!F29/'[1]1'!I29)</f>
        <v>28.963775250198225</v>
      </c>
      <c r="E12" s="389">
        <f>100*('[1]1'!G29/'[1]1'!I29)</f>
        <v>6.2262914030765542</v>
      </c>
      <c r="F12" s="389"/>
    </row>
    <row r="13" spans="1:6">
      <c r="A13" s="1">
        <v>1992</v>
      </c>
      <c r="B13" s="389">
        <f>100*('[1]1'!C30/'[1]1'!I30)</f>
        <v>52.551258554100308</v>
      </c>
      <c r="C13" s="389">
        <f>100*('[1]1'!E30/'[1]1'!I30)</f>
        <v>22.235104965456348</v>
      </c>
      <c r="D13" s="389">
        <f>100*('[1]1'!F30/'[1]1'!I30)</f>
        <v>30.326416592495519</v>
      </c>
      <c r="E13" s="389">
        <f>100*('[1]1'!G30/'[1]1'!I30)</f>
        <v>6.2435038479938187</v>
      </c>
      <c r="F13" s="389"/>
    </row>
    <row r="14" spans="1:6">
      <c r="A14" s="1">
        <v>1993</v>
      </c>
      <c r="B14" s="389">
        <f>100*('[1]1'!C31/'[1]1'!I31)</f>
        <v>52.486986033765028</v>
      </c>
      <c r="C14" s="389">
        <f>100*('[1]1'!E31/'[1]1'!I31)</f>
        <v>21.758464271377413</v>
      </c>
      <c r="D14" s="389">
        <f>100*('[1]1'!F31/'[1]1'!I31)</f>
        <v>31.112589205046881</v>
      </c>
      <c r="E14" s="389">
        <f>100*('[1]1'!G31/'[1]1'!I31)</f>
        <v>6.3542691494802419</v>
      </c>
      <c r="F14" s="389"/>
    </row>
    <row r="15" spans="1:6">
      <c r="A15" s="1">
        <v>1994</v>
      </c>
      <c r="B15" s="389">
        <f>100*('[1]1'!C32/'[1]1'!I32)</f>
        <v>52.671931811528147</v>
      </c>
      <c r="C15" s="389">
        <f>100*('[1]1'!E32/'[1]1'!I32)</f>
        <v>20.991491834097776</v>
      </c>
      <c r="D15" s="389">
        <f>100*('[1]1'!F32/'[1]1'!I32)</f>
        <v>31.64497633188974</v>
      </c>
      <c r="E15" s="389">
        <f>100*('[1]1'!G32/'[1]1'!I32)</f>
        <v>6.4032321844854554</v>
      </c>
      <c r="F15" s="389"/>
    </row>
    <row r="16" spans="1:6">
      <c r="A16" s="1">
        <v>1995</v>
      </c>
      <c r="B16" s="389">
        <f>100*('[1]1'!C33/'[1]1'!I33)</f>
        <v>52.61081422211015</v>
      </c>
      <c r="C16" s="389">
        <f>100*('[1]1'!E33/'[1]1'!I33)</f>
        <v>20.293048460302916</v>
      </c>
      <c r="D16" s="389">
        <f>100*('[1]1'!F33/'[1]1'!I33)</f>
        <v>32.353868444225149</v>
      </c>
      <c r="E16" s="389">
        <f>100*('[1]1'!G33/'[1]1'!I33)</f>
        <v>6.4530004943155514</v>
      </c>
      <c r="F16" s="389"/>
    </row>
    <row r="17" spans="1:6">
      <c r="A17" s="1">
        <v>1996</v>
      </c>
      <c r="B17" s="389">
        <f>100*('[1]1'!C34/'[1]1'!I34)</f>
        <v>52.629879167681622</v>
      </c>
      <c r="C17" s="389">
        <f>100*('[1]1'!E34/'[1]1'!I34)</f>
        <v>19.469279750694753</v>
      </c>
      <c r="D17" s="389">
        <f>100*('[1]1'!F34/'[1]1'!I34)</f>
        <v>33.007587722888672</v>
      </c>
      <c r="E17" s="389">
        <f>100*('[1]1'!G34/'[1]1'!I34)</f>
        <v>6.4947052955315234</v>
      </c>
      <c r="F17" s="389"/>
    </row>
    <row r="18" spans="1:6">
      <c r="A18" s="1">
        <v>1997</v>
      </c>
      <c r="B18" s="389">
        <f>100*('[1]1'!C35/'[1]1'!I35)</f>
        <v>53.082878404320667</v>
      </c>
      <c r="C18" s="389">
        <f>100*('[1]1'!E35/'[1]1'!I35)</f>
        <v>18.50576072669563</v>
      </c>
      <c r="D18" s="389">
        <f>100*('[1]1'!F35/'[1]1'!I35)</f>
        <v>33.32283161461293</v>
      </c>
      <c r="E18" s="389">
        <f>100*('[1]1'!G35/'[1]1'!I35)</f>
        <v>6.4738916683349244</v>
      </c>
      <c r="F18" s="389"/>
    </row>
    <row r="19" spans="1:6">
      <c r="A19" s="1">
        <v>1998</v>
      </c>
      <c r="B19" s="389">
        <f>100*('[1]1'!C36/'[1]1'!I36)</f>
        <v>52.673987193205548</v>
      </c>
      <c r="C19" s="389">
        <f>100*('[1]1'!E36/'[1]1'!I36)</f>
        <v>18.395748757254641</v>
      </c>
      <c r="D19" s="389">
        <f>100*('[1]1'!F36/'[1]1'!I36)</f>
        <v>33.631763053333209</v>
      </c>
      <c r="E19" s="389">
        <f>100*('[1]1'!G36/'[1]1'!I36)</f>
        <v>6.4567978991096151</v>
      </c>
      <c r="F19" s="389"/>
    </row>
    <row r="20" spans="1:6">
      <c r="A20" s="1">
        <v>1999</v>
      </c>
      <c r="B20" s="389">
        <f>100*('[1]1'!C37/'[1]1'!I37)</f>
        <v>53.070400162836926</v>
      </c>
      <c r="C20" s="389">
        <f>100*('[1]1'!E37/'[1]1'!I37)</f>
        <v>18.501673657256845</v>
      </c>
      <c r="D20" s="389">
        <f>100*('[1]1'!F37/'[1]1'!I37)</f>
        <v>33.037394879761777</v>
      </c>
      <c r="E20" s="389">
        <f>100*('[1]1'!G37/'[1]1'!I37)</f>
        <v>6.4766687022714482</v>
      </c>
      <c r="F20" s="389"/>
    </row>
    <row r="21" spans="1:6">
      <c r="A21" s="1">
        <v>2000</v>
      </c>
      <c r="B21" s="389">
        <f>100*('[1]1'!C38/'[1]1'!I38)</f>
        <v>53.365667251578586</v>
      </c>
      <c r="C21" s="389">
        <f>100*('[1]1'!E38/'[1]1'!I38)</f>
        <v>18.530466334195552</v>
      </c>
      <c r="D21" s="389">
        <f>100*('[1]1'!F38/'[1]1'!I38)</f>
        <v>32.369294765953754</v>
      </c>
      <c r="E21" s="389">
        <f>100*('[1]1'!G38/'[1]1'!I38)</f>
        <v>6.4743251415837397</v>
      </c>
      <c r="F21" s="389"/>
    </row>
    <row r="22" spans="1:6">
      <c r="A22" s="1">
        <v>2001</v>
      </c>
      <c r="B22" s="389">
        <f>100*('[1]1'!C39/'[1]1'!I39)</f>
        <v>53.20346704069415</v>
      </c>
      <c r="C22" s="389">
        <f>100*('[1]1'!E39/'[1]1'!I39)</f>
        <v>18.957600658970744</v>
      </c>
      <c r="D22" s="389">
        <f>100*('[1]1'!F39/'[1]1'!I39)</f>
        <v>32.012072400431357</v>
      </c>
      <c r="E22" s="389">
        <f>100*('[1]1'!G39/'[1]1'!I39)</f>
        <v>6.5277134573845732</v>
      </c>
      <c r="F22" s="389"/>
    </row>
    <row r="23" spans="1:6">
      <c r="A23" s="1">
        <v>2002</v>
      </c>
      <c r="B23" s="389">
        <f>100*('[1]1'!C40/'[1]1'!I40)</f>
        <v>53.703606006465257</v>
      </c>
      <c r="C23" s="389">
        <f>100*('[1]1'!E40/'[1]1'!I40)</f>
        <v>18.930520707779198</v>
      </c>
      <c r="D23" s="389">
        <f>100*('[1]1'!F40/'[1]1'!I40)</f>
        <v>31.643716619197264</v>
      </c>
      <c r="E23" s="389">
        <f>100*('[1]1'!G40/'[1]1'!I40)</f>
        <v>6.5844304998306402</v>
      </c>
      <c r="F23" s="389"/>
    </row>
    <row r="24" spans="1:6">
      <c r="A24" s="1">
        <v>2003</v>
      </c>
      <c r="B24" s="389">
        <f>100*('[1]1'!C41/'[1]1'!I41)</f>
        <v>53.855171450234295</v>
      </c>
      <c r="C24" s="389">
        <f>100*('[1]1'!E41/'[1]1'!I41)</f>
        <v>19.144503141477571</v>
      </c>
      <c r="D24" s="389">
        <f>100*('[1]1'!F41/'[1]1'!I41)</f>
        <v>31.22348581445906</v>
      </c>
      <c r="E24" s="389">
        <f>100*('[1]1'!G41/'[1]1'!I41)</f>
        <v>6.6481001572394574</v>
      </c>
      <c r="F24" s="389"/>
    </row>
    <row r="25" spans="1:6">
      <c r="A25" s="1">
        <v>2004</v>
      </c>
      <c r="B25" s="389">
        <f>100*('[1]1'!C42/'[1]1'!I42)</f>
        <v>54.168519742399191</v>
      </c>
      <c r="C25" s="389">
        <f>100*('[1]1'!E42/'[1]1'!I42)</f>
        <v>19.094926332836607</v>
      </c>
      <c r="D25" s="389">
        <f>100*('[1]1'!F42/'[1]1'!I42)</f>
        <v>30.828290361506109</v>
      </c>
      <c r="E25" s="389">
        <f>100*('[1]1'!G42/'[1]1'!I42)</f>
        <v>6.7158116943375132</v>
      </c>
      <c r="F25" s="389"/>
    </row>
    <row r="26" spans="1:6">
      <c r="A26" s="1">
        <v>2005</v>
      </c>
      <c r="B26" s="389">
        <f>100*('[1]1'!C43/'[1]1'!I43)</f>
        <v>54.656531290254925</v>
      </c>
      <c r="C26" s="389">
        <f>100*('[1]1'!E43/'[1]1'!I43)</f>
        <v>19.071729858942209</v>
      </c>
      <c r="D26" s="389">
        <f>100*('[1]1'!F43/'[1]1'!I43)</f>
        <v>30.423301571425466</v>
      </c>
      <c r="E26" s="389">
        <f>100*('[1]1'!G43/'[1]1'!I43)</f>
        <v>6.7809771928185301</v>
      </c>
      <c r="F26" s="389"/>
    </row>
    <row r="27" spans="1:6">
      <c r="A27" s="1">
        <v>2006</v>
      </c>
      <c r="B27" s="389">
        <f>100*('[1]1'!C44/'[1]1'!I44)</f>
        <v>54.963036796208556</v>
      </c>
      <c r="C27" s="389">
        <f>100*('[1]1'!E44/'[1]1'!I44)</f>
        <v>19.122974824351825</v>
      </c>
      <c r="D27" s="389">
        <f>100*('[1]1'!F44/'[1]1'!I44)</f>
        <v>29.721895936873533</v>
      </c>
      <c r="E27" s="389">
        <f>100*('[1]1'!G44/'[1]1'!I44)</f>
        <v>6.7802213379146119</v>
      </c>
      <c r="F27" s="389"/>
    </row>
    <row r="28" spans="1:6">
      <c r="A28" s="1">
        <v>2007</v>
      </c>
      <c r="B28" s="389">
        <f>100*('[1]1'!C45/'[1]1'!I45)</f>
        <v>55.412011585484592</v>
      </c>
      <c r="C28" s="389">
        <f>100*('[1]1'!E45/'[1]1'!I45)</f>
        <v>19.183556147473798</v>
      </c>
      <c r="D28" s="389">
        <f>100*('[1]1'!F45/'[1]1'!I45)</f>
        <v>29.042250470168739</v>
      </c>
      <c r="E28" s="389">
        <f>100*('[1]1'!G45/'[1]1'!I45)</f>
        <v>6.7904958952860044</v>
      </c>
      <c r="F28" s="389"/>
    </row>
    <row r="29" spans="1:6">
      <c r="A29" s="257">
        <v>2008</v>
      </c>
      <c r="B29" s="389">
        <f>100*('[1]1'!C46/'[1]1'!I46)</f>
        <v>55.799245715621325</v>
      </c>
      <c r="C29" s="389">
        <f>100*('[1]1'!E46/'[1]1'!I46)</f>
        <v>19.153896792354818</v>
      </c>
      <c r="D29" s="389">
        <f>100*('[1]1'!F46/'[1]1'!I46)</f>
        <v>28.57397943497843</v>
      </c>
      <c r="E29" s="389">
        <f>100*('[1]1'!G46/'[1]1'!I46)</f>
        <v>6.8536847785190842</v>
      </c>
      <c r="F29" s="389"/>
    </row>
  </sheetData>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dimension ref="A1"/>
  <sheetViews>
    <sheetView topLeftCell="A7" workbookViewId="0">
      <selection activeCell="I24" sqref="I24"/>
    </sheetView>
  </sheetViews>
  <sheetFormatPr defaultRowHeight="12.75"/>
  <sheetData/>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dimension ref="A1:H29"/>
  <sheetViews>
    <sheetView workbookViewId="0">
      <selection activeCell="I24" sqref="I24"/>
    </sheetView>
  </sheetViews>
  <sheetFormatPr defaultRowHeight="12.75"/>
  <cols>
    <col min="5" max="5" width="10.125" customWidth="1"/>
    <col min="261" max="261" width="10.125" customWidth="1"/>
    <col min="517" max="517" width="10.125" customWidth="1"/>
    <col min="773" max="773" width="10.125" customWidth="1"/>
    <col min="1029" max="1029" width="10.125" customWidth="1"/>
    <col min="1285" max="1285" width="10.125" customWidth="1"/>
    <col min="1541" max="1541" width="10.125" customWidth="1"/>
    <col min="1797" max="1797" width="10.125" customWidth="1"/>
    <col min="2053" max="2053" width="10.125" customWidth="1"/>
    <col min="2309" max="2309" width="10.125" customWidth="1"/>
    <col min="2565" max="2565" width="10.125" customWidth="1"/>
    <col min="2821" max="2821" width="10.125" customWidth="1"/>
    <col min="3077" max="3077" width="10.125" customWidth="1"/>
    <col min="3333" max="3333" width="10.125" customWidth="1"/>
    <col min="3589" max="3589" width="10.125" customWidth="1"/>
    <col min="3845" max="3845" width="10.125" customWidth="1"/>
    <col min="4101" max="4101" width="10.125" customWidth="1"/>
    <col min="4357" max="4357" width="10.125" customWidth="1"/>
    <col min="4613" max="4613" width="10.125" customWidth="1"/>
    <col min="4869" max="4869" width="10.125" customWidth="1"/>
    <col min="5125" max="5125" width="10.125" customWidth="1"/>
    <col min="5381" max="5381" width="10.125" customWidth="1"/>
    <col min="5637" max="5637" width="10.125" customWidth="1"/>
    <col min="5893" max="5893" width="10.125" customWidth="1"/>
    <col min="6149" max="6149" width="10.125" customWidth="1"/>
    <col min="6405" max="6405" width="10.125" customWidth="1"/>
    <col min="6661" max="6661" width="10.125" customWidth="1"/>
    <col min="6917" max="6917" width="10.125" customWidth="1"/>
    <col min="7173" max="7173" width="10.125" customWidth="1"/>
    <col min="7429" max="7429" width="10.125" customWidth="1"/>
    <col min="7685" max="7685" width="10.125" customWidth="1"/>
    <col min="7941" max="7941" width="10.125" customWidth="1"/>
    <col min="8197" max="8197" width="10.125" customWidth="1"/>
    <col min="8453" max="8453" width="10.125" customWidth="1"/>
    <col min="8709" max="8709" width="10.125" customWidth="1"/>
    <col min="8965" max="8965" width="10.125" customWidth="1"/>
    <col min="9221" max="9221" width="10.125" customWidth="1"/>
    <col min="9477" max="9477" width="10.125" customWidth="1"/>
    <col min="9733" max="9733" width="10.125" customWidth="1"/>
    <col min="9989" max="9989" width="10.125" customWidth="1"/>
    <col min="10245" max="10245" width="10.125" customWidth="1"/>
    <col min="10501" max="10501" width="10.125" customWidth="1"/>
    <col min="10757" max="10757" width="10.125" customWidth="1"/>
    <col min="11013" max="11013" width="10.125" customWidth="1"/>
    <col min="11269" max="11269" width="10.125" customWidth="1"/>
    <col min="11525" max="11525" width="10.125" customWidth="1"/>
    <col min="11781" max="11781" width="10.125" customWidth="1"/>
    <col min="12037" max="12037" width="10.125" customWidth="1"/>
    <col min="12293" max="12293" width="10.125" customWidth="1"/>
    <col min="12549" max="12549" width="10.125" customWidth="1"/>
    <col min="12805" max="12805" width="10.125" customWidth="1"/>
    <col min="13061" max="13061" width="10.125" customWidth="1"/>
    <col min="13317" max="13317" width="10.125" customWidth="1"/>
    <col min="13573" max="13573" width="10.125" customWidth="1"/>
    <col min="13829" max="13829" width="10.125" customWidth="1"/>
    <col min="14085" max="14085" width="10.125" customWidth="1"/>
    <col min="14341" max="14341" width="10.125" customWidth="1"/>
    <col min="14597" max="14597" width="10.125" customWidth="1"/>
    <col min="14853" max="14853" width="10.125" customWidth="1"/>
    <col min="15109" max="15109" width="10.125" customWidth="1"/>
    <col min="15365" max="15365" width="10.125" customWidth="1"/>
    <col min="15621" max="15621" width="10.125" customWidth="1"/>
    <col min="15877" max="15877" width="10.125" customWidth="1"/>
    <col min="16133" max="16133" width="10.125" customWidth="1"/>
  </cols>
  <sheetData>
    <row r="1" spans="1:8" ht="63.75">
      <c r="B1" s="4" t="s">
        <v>1176</v>
      </c>
      <c r="C1" s="4" t="s">
        <v>1177</v>
      </c>
      <c r="D1" s="4" t="s">
        <v>1178</v>
      </c>
      <c r="E1" s="4" t="s">
        <v>1179</v>
      </c>
      <c r="F1" s="4" t="s">
        <v>1180</v>
      </c>
      <c r="G1" s="4" t="s">
        <v>1181</v>
      </c>
      <c r="H1" s="4" t="s">
        <v>1182</v>
      </c>
    </row>
    <row r="2" spans="1:8">
      <c r="A2" s="1">
        <v>1981</v>
      </c>
      <c r="B2">
        <f>100*('[1]2'!B19/'[1]2'!$B$19)</f>
        <v>100</v>
      </c>
      <c r="C2">
        <f>100*('[1]2'!C19/'[1]2'!$C$19)</f>
        <v>100</v>
      </c>
      <c r="D2">
        <f>100*('[1]2'!D19/'[1]2'!$D$19)</f>
        <v>100</v>
      </c>
      <c r="E2">
        <f>-100*('[1]2'!E19/'[1]2'!$E$19)</f>
        <v>-100</v>
      </c>
      <c r="F2">
        <f>100*('[1]2'!F19/'[1]2'!$F$19)</f>
        <v>100</v>
      </c>
      <c r="G2">
        <f>100*('[1]2'!G19/'[1]2'!$G$19)</f>
        <v>100</v>
      </c>
      <c r="H2">
        <f>100*('[1]2'!H19/'[1]2'!$H$19)</f>
        <v>100</v>
      </c>
    </row>
    <row r="3" spans="1:8">
      <c r="A3" s="1">
        <v>1982</v>
      </c>
      <c r="B3">
        <f>100*('[1]2'!B20/'[1]2'!$B$19)</f>
        <v>101.37544999667637</v>
      </c>
      <c r="C3">
        <f>100*('[1]2'!C20/'[1]2'!$C$19)</f>
        <v>106.95914518249367</v>
      </c>
      <c r="D3">
        <f>100*('[1]2'!D20/'[1]2'!$D$19)</f>
        <v>89.257363186061582</v>
      </c>
      <c r="E3">
        <f>-100*('[1]2'!E20/'[1]2'!$E$19)</f>
        <v>-91.70736526818537</v>
      </c>
      <c r="F3">
        <f>100*('[1]2'!F20/'[1]2'!$F$19)</f>
        <v>101.22675210490846</v>
      </c>
      <c r="G3">
        <f>100*('[1]2'!G20/'[1]2'!$G$19)</f>
        <v>94.455936653925804</v>
      </c>
      <c r="H3">
        <f>100*('[1]2'!H20/'[1]2'!$H$19)</f>
        <v>99.868932418934705</v>
      </c>
    </row>
    <row r="4" spans="1:8">
      <c r="A4" s="1">
        <v>1983</v>
      </c>
      <c r="B4">
        <f>100*('[1]2'!B21/'[1]2'!$B$19)</f>
        <v>102.43302603487905</v>
      </c>
      <c r="C4">
        <f>100*('[1]2'!C21/'[1]2'!$C$19)</f>
        <v>112.53281212972242</v>
      </c>
      <c r="D4">
        <f>100*('[1]2'!D21/'[1]2'!$D$19)</f>
        <v>94.866270623336561</v>
      </c>
      <c r="E4">
        <f>-100*('[1]2'!E21/'[1]2'!$E$19)</f>
        <v>-90.96459483889025</v>
      </c>
      <c r="F4">
        <f>100*('[1]2'!F21/'[1]2'!$F$19)</f>
        <v>102.72047878244746</v>
      </c>
      <c r="G4">
        <f>100*('[1]2'!G21/'[1]2'!$G$19)</f>
        <v>90.410696191833509</v>
      </c>
      <c r="H4">
        <f>100*('[1]2'!H21/'[1]2'!$H$19)</f>
        <v>102.14168440798304</v>
      </c>
    </row>
    <row r="5" spans="1:8">
      <c r="A5" s="1">
        <v>1984</v>
      </c>
      <c r="B5">
        <f>100*('[1]2'!B22/'[1]2'!$B$19)</f>
        <v>103.47562396542669</v>
      </c>
      <c r="C5">
        <f>100*('[1]2'!C22/'[1]2'!$C$19)</f>
        <v>119.50129531621612</v>
      </c>
      <c r="D5">
        <f>100*('[1]2'!D22/'[1]2'!$D$19)</f>
        <v>91.10189302461491</v>
      </c>
      <c r="E5">
        <f>-100*('[1]2'!E22/'[1]2'!$E$19)</f>
        <v>-93.331856552088993</v>
      </c>
      <c r="F5">
        <f>100*('[1]2'!F22/'[1]2'!$F$19)</f>
        <v>103.67878674121354</v>
      </c>
      <c r="G5">
        <f>100*('[1]2'!G22/'[1]2'!$G$19)</f>
        <v>92.886828937984205</v>
      </c>
      <c r="H5">
        <f>100*('[1]2'!H22/'[1]2'!$H$19)</f>
        <v>102.24296743835211</v>
      </c>
    </row>
    <row r="6" spans="1:8">
      <c r="A6" s="1">
        <v>1985</v>
      </c>
      <c r="B6">
        <f>100*('[1]2'!B23/'[1]2'!$B$19)</f>
        <v>105.03708458598022</v>
      </c>
      <c r="C6">
        <f>100*('[1]2'!C23/'[1]2'!$C$19)</f>
        <v>127.19986908378409</v>
      </c>
      <c r="D6">
        <f>100*('[1]2'!D23/'[1]2'!$D$19)</f>
        <v>82.492900159669915</v>
      </c>
      <c r="E6">
        <f>-100*('[1]2'!E23/'[1]2'!$E$19)</f>
        <v>-103.37335905673682</v>
      </c>
      <c r="F6">
        <f>100*('[1]2'!F23/'[1]2'!$F$19)</f>
        <v>104.71307620579471</v>
      </c>
      <c r="G6">
        <f>100*('[1]2'!G23/'[1]2'!$G$19)</f>
        <v>96.279838418040782</v>
      </c>
      <c r="H6">
        <f>100*('[1]2'!H23/'[1]2'!$H$19)</f>
        <v>101.20452171591819</v>
      </c>
    </row>
    <row r="7" spans="1:8">
      <c r="A7" s="1">
        <v>1986</v>
      </c>
      <c r="B7">
        <f>100*('[1]2'!B24/'[1]2'!$B$19)</f>
        <v>106.64828957959914</v>
      </c>
      <c r="C7">
        <f>100*('[1]2'!C24/'[1]2'!$C$19)</f>
        <v>134.4391943408321</v>
      </c>
      <c r="D7">
        <f>100*('[1]2'!D24/'[1]2'!$D$19)</f>
        <v>55.745105024840505</v>
      </c>
      <c r="E7">
        <f>-100*('[1]2'!E24/'[1]2'!$E$19)</f>
        <v>-109.87329059849755</v>
      </c>
      <c r="F7">
        <f>100*('[1]2'!F24/'[1]2'!$F$19)</f>
        <v>105.77073439448483</v>
      </c>
      <c r="G7">
        <f>100*('[1]2'!G24/'[1]2'!$G$19)</f>
        <v>93.928852115897342</v>
      </c>
      <c r="H7">
        <f>100*('[1]2'!H24/'[1]2'!$H$19)</f>
        <v>97.23811220431125</v>
      </c>
    </row>
    <row r="8" spans="1:8">
      <c r="A8" s="1">
        <v>1987</v>
      </c>
      <c r="B8">
        <f>100*('[1]2'!B25/'[1]2'!$B$19)</f>
        <v>108.59114913658883</v>
      </c>
      <c r="C8">
        <f>100*('[1]2'!C25/'[1]2'!$C$19)</f>
        <v>139.63429318401128</v>
      </c>
      <c r="D8">
        <f>100*('[1]2'!D25/'[1]2'!$D$19)</f>
        <v>59.389412630974348</v>
      </c>
      <c r="E8">
        <f>-100*('[1]2'!E25/'[1]2'!$E$19)</f>
        <v>-111.98835304720878</v>
      </c>
      <c r="F8">
        <f>100*('[1]2'!F25/'[1]2'!$F$19)</f>
        <v>106.73683391748961</v>
      </c>
      <c r="G8">
        <f>100*('[1]2'!G25/'[1]2'!$G$19)</f>
        <v>96.608030453744547</v>
      </c>
      <c r="H8">
        <f>100*('[1]2'!H25/'[1]2'!$H$19)</f>
        <v>98.982295703327424</v>
      </c>
    </row>
    <row r="9" spans="1:8">
      <c r="A9" s="1">
        <v>1988</v>
      </c>
      <c r="B9">
        <f>100*('[1]2'!B26/'[1]2'!$B$19)</f>
        <v>111.27292532822044</v>
      </c>
      <c r="C9">
        <f>100*('[1]2'!C26/'[1]2'!$C$19)</f>
        <v>146.25711456949105</v>
      </c>
      <c r="D9">
        <f>100*('[1]2'!D26/'[1]2'!$D$19)</f>
        <v>60.048681038855811</v>
      </c>
      <c r="E9">
        <f>-100*('[1]2'!E26/'[1]2'!$E$19)</f>
        <v>-107.42920135322997</v>
      </c>
      <c r="F9">
        <f>100*('[1]2'!F26/'[1]2'!$F$19)</f>
        <v>107.87760187630369</v>
      </c>
      <c r="G9">
        <f>100*('[1]2'!G26/'[1]2'!$G$19)</f>
        <v>102.40269288822412</v>
      </c>
      <c r="H9">
        <f>100*('[1]2'!H26/'[1]2'!$H$19)</f>
        <v>100.9972051273115</v>
      </c>
    </row>
    <row r="10" spans="1:8">
      <c r="A10" s="1">
        <v>1989</v>
      </c>
      <c r="B10">
        <f>100*('[1]2'!B27/'[1]2'!$B$19)</f>
        <v>113.48117716638353</v>
      </c>
      <c r="C10">
        <f>100*('[1]2'!C27/'[1]2'!$C$19)</f>
        <v>150.53385340383628</v>
      </c>
      <c r="D10">
        <f>100*('[1]2'!D27/'[1]2'!$D$19)</f>
        <v>61.438563885683948</v>
      </c>
      <c r="E10">
        <f>-100*('[1]2'!E27/'[1]2'!$E$19)</f>
        <v>-108.58258843103204</v>
      </c>
      <c r="F10">
        <f>100*('[1]2'!F27/'[1]2'!$F$19)</f>
        <v>107.88888060769084</v>
      </c>
      <c r="G10">
        <f>100*('[1]2'!G27/'[1]2'!$G$19)</f>
        <v>104.81914432370358</v>
      </c>
      <c r="H10">
        <f>100*('[1]2'!H27/'[1]2'!$H$19)</f>
        <v>101.99384130759202</v>
      </c>
    </row>
    <row r="11" spans="1:8">
      <c r="A11" s="1">
        <v>1990</v>
      </c>
      <c r="B11">
        <f>100*('[1]2'!B28/'[1]2'!$B$19)</f>
        <v>115.23107598521874</v>
      </c>
      <c r="C11">
        <f>100*('[1]2'!C28/'[1]2'!$C$19)</f>
        <v>155.24622168722789</v>
      </c>
      <c r="D11">
        <f>100*('[1]2'!D28/'[1]2'!$D$19)</f>
        <v>61.258524797867295</v>
      </c>
      <c r="E11">
        <f>-100*('[1]2'!E28/'[1]2'!$E$19)</f>
        <v>-112.70877398673579</v>
      </c>
      <c r="F11">
        <f>100*('[1]2'!F28/'[1]2'!$F$19)</f>
        <v>114.04363270814544</v>
      </c>
      <c r="G11">
        <f>100*('[1]2'!G28/'[1]2'!$G$19)</f>
        <v>98.197987693352871</v>
      </c>
      <c r="H11">
        <f>100*('[1]2'!H28/'[1]2'!$H$19)</f>
        <v>105.61676741748533</v>
      </c>
    </row>
    <row r="12" spans="1:8">
      <c r="A12" s="1">
        <v>1991</v>
      </c>
      <c r="B12">
        <f>100*('[1]2'!B29/'[1]2'!$B$19)</f>
        <v>116.30827035788856</v>
      </c>
      <c r="C12">
        <f>100*('[1]2'!C29/'[1]2'!$C$19)</f>
        <v>159.54497280813368</v>
      </c>
      <c r="D12">
        <f>100*('[1]2'!D29/'[1]2'!$D$19)</f>
        <v>46.59452699601789</v>
      </c>
      <c r="E12">
        <f>-100*('[1]2'!E29/'[1]2'!$E$19)</f>
        <v>-114.54985276280698</v>
      </c>
      <c r="F12">
        <f>100*('[1]2'!F29/'[1]2'!$F$19)</f>
        <v>114.88004145016713</v>
      </c>
      <c r="G12">
        <f>100*('[1]2'!G29/'[1]2'!$G$19)</f>
        <v>95.846085375278449</v>
      </c>
      <c r="H12">
        <f>100*('[1]2'!H29/'[1]2'!$H$19)</f>
        <v>103.76867653943216</v>
      </c>
    </row>
    <row r="13" spans="1:8">
      <c r="A13" s="1">
        <v>1992</v>
      </c>
      <c r="B13">
        <f>100*('[1]2'!B30/'[1]2'!$B$19)</f>
        <v>116.7128046835012</v>
      </c>
      <c r="C13">
        <f>100*('[1]2'!C30/'[1]2'!$C$19)</f>
        <v>164.02344838446487</v>
      </c>
      <c r="D13">
        <f>100*('[1]2'!D30/'[1]2'!$D$19)</f>
        <v>41.876800004437555</v>
      </c>
      <c r="E13">
        <f>-100*('[1]2'!E30/'[1]2'!$E$19)</f>
        <v>-124.5846573675927</v>
      </c>
      <c r="F13">
        <f>100*('[1]2'!F30/'[1]2'!$F$19)</f>
        <v>116.12402114775848</v>
      </c>
      <c r="G13">
        <f>100*('[1]2'!G30/'[1]2'!$G$19)</f>
        <v>97.45207069346408</v>
      </c>
      <c r="H13">
        <f>100*('[1]2'!H30/'[1]2'!$H$19)</f>
        <v>103.09441790221874</v>
      </c>
    </row>
    <row r="14" spans="1:8">
      <c r="A14" s="1">
        <v>1993</v>
      </c>
      <c r="B14">
        <f>100*('[1]2'!B31/'[1]2'!$B$19)</f>
        <v>116.81966511871065</v>
      </c>
      <c r="C14">
        <f>100*('[1]2'!C31/'[1]2'!$C$19)</f>
        <v>169.45579929503296</v>
      </c>
      <c r="D14">
        <f>100*('[1]2'!D31/'[1]2'!$D$19)</f>
        <v>38.067447259357394</v>
      </c>
      <c r="E14">
        <f>-100*('[1]2'!E31/'[1]2'!$E$19)</f>
        <v>-131.81999594749229</v>
      </c>
      <c r="F14">
        <f>100*('[1]2'!F31/'[1]2'!$F$19)</f>
        <v>117.58715869980108</v>
      </c>
      <c r="G14">
        <f>100*('[1]2'!G31/'[1]2'!$G$19)</f>
        <v>96.705111615397328</v>
      </c>
      <c r="H14">
        <f>100*('[1]2'!H31/'[1]2'!$H$19)</f>
        <v>102.79317591109596</v>
      </c>
    </row>
    <row r="15" spans="1:8">
      <c r="A15" s="1">
        <v>1994</v>
      </c>
      <c r="B15">
        <f>100*('[1]2'!B32/'[1]2'!$B$19)</f>
        <v>117.46854934835689</v>
      </c>
      <c r="C15">
        <f>100*('[1]2'!C32/'[1]2'!$C$19)</f>
        <v>176.56600460586131</v>
      </c>
      <c r="D15">
        <f>100*('[1]2'!D32/'[1]2'!$D$19)</f>
        <v>41.958264721740932</v>
      </c>
      <c r="E15">
        <f>-100*('[1]2'!E32/'[1]2'!$E$19)</f>
        <v>-132.62560779810272</v>
      </c>
      <c r="F15">
        <f>100*('[1]2'!F32/'[1]2'!$F$19)</f>
        <v>118.67639064206541</v>
      </c>
      <c r="G15">
        <f>100*('[1]2'!G32/'[1]2'!$G$19)</f>
        <v>99.112802230615259</v>
      </c>
      <c r="H15">
        <f>100*('[1]2'!H32/'[1]2'!$H$19)</f>
        <v>104.28331416604976</v>
      </c>
    </row>
    <row r="16" spans="1:8">
      <c r="A16" s="1">
        <v>1995</v>
      </c>
      <c r="B16">
        <f>100*('[1]2'!B33/'[1]2'!$B$19)</f>
        <v>117.68348207197261</v>
      </c>
      <c r="C16">
        <f>100*('[1]2'!C33/'[1]2'!$C$19)</f>
        <v>182.1799012179869</v>
      </c>
      <c r="D16">
        <f>100*('[1]2'!D33/'[1]2'!$D$19)</f>
        <v>48.252176624409024</v>
      </c>
      <c r="E16">
        <f>-100*('[1]2'!E33/'[1]2'!$E$19)</f>
        <v>-124.92343083180116</v>
      </c>
      <c r="F16">
        <f>100*('[1]2'!F33/'[1]2'!$F$19)</f>
        <v>119.6032182912254</v>
      </c>
      <c r="G16">
        <f>100*('[1]2'!G33/'[1]2'!$G$19)</f>
        <v>100.58373930980784</v>
      </c>
      <c r="H16">
        <f>100*('[1]2'!H33/'[1]2'!$H$19)</f>
        <v>106.5148163061705</v>
      </c>
    </row>
    <row r="17" spans="1:8">
      <c r="A17" s="1">
        <v>1996</v>
      </c>
      <c r="B17">
        <f>100*('[1]2'!B34/'[1]2'!$B$19)</f>
        <v>117.91890784447921</v>
      </c>
      <c r="C17">
        <f>100*('[1]2'!C34/'[1]2'!$C$19)</f>
        <v>185.71703109495888</v>
      </c>
      <c r="D17">
        <f>100*('[1]2'!D34/'[1]2'!$D$19)</f>
        <v>57.21618353589578</v>
      </c>
      <c r="E17">
        <f>-100*('[1]2'!E34/'[1]2'!$E$19)</f>
        <v>-116.92132473167358</v>
      </c>
      <c r="F17">
        <f>100*('[1]2'!F34/'[1]2'!$F$19)</f>
        <v>120.54852672500034</v>
      </c>
      <c r="G17">
        <f>100*('[1]2'!G34/'[1]2'!$G$19)</f>
        <v>99.537801808784891</v>
      </c>
      <c r="H17">
        <f>100*('[1]2'!H34/'[1]2'!$H$19)</f>
        <v>109.25038708658437</v>
      </c>
    </row>
    <row r="18" spans="1:8">
      <c r="A18" s="1">
        <v>1997</v>
      </c>
      <c r="B18">
        <f>100*('[1]2'!B35/'[1]2'!$B$19)</f>
        <v>119.36268992802658</v>
      </c>
      <c r="C18">
        <f>100*('[1]2'!C35/'[1]2'!$C$19)</f>
        <v>190.09845225427512</v>
      </c>
      <c r="D18">
        <f>100*('[1]2'!D35/'[1]2'!$D$19)</f>
        <v>60.864039710938059</v>
      </c>
      <c r="E18">
        <f>-100*('[1]2'!E35/'[1]2'!$E$19)</f>
        <v>-106.62279296755565</v>
      </c>
      <c r="F18">
        <f>100*('[1]2'!F35/'[1]2'!$F$19)</f>
        <v>122.00801253105666</v>
      </c>
      <c r="G18">
        <f>100*('[1]2'!G35/'[1]2'!$G$19)</f>
        <v>101.29957841204384</v>
      </c>
      <c r="H18">
        <f>100*('[1]2'!H35/'[1]2'!$H$19)</f>
        <v>111.89647740774382</v>
      </c>
    </row>
    <row r="19" spans="1:8">
      <c r="A19" s="1">
        <v>1998</v>
      </c>
      <c r="B19">
        <f>100*('[1]2'!B36/'[1]2'!$B$19)</f>
        <v>120.75781766059191</v>
      </c>
      <c r="C19">
        <f>100*('[1]2'!C36/'[1]2'!$C$19)</f>
        <v>197.896962540966</v>
      </c>
      <c r="D19">
        <f>100*('[1]2'!D36/'[1]2'!$D$19)</f>
        <v>57.426253236069336</v>
      </c>
      <c r="E19">
        <f>-100*('[1]2'!E36/'[1]2'!$E$19)</f>
        <v>-109.65305558872629</v>
      </c>
      <c r="F19">
        <f>100*('[1]2'!F36/'[1]2'!$F$19)</f>
        <v>122.91713035055447</v>
      </c>
      <c r="G19">
        <f>100*('[1]2'!G36/'[1]2'!$G$19)</f>
        <v>102.42924621258516</v>
      </c>
      <c r="H19">
        <f>100*('[1]2'!H36/'[1]2'!$H$19)</f>
        <v>112.12567279588619</v>
      </c>
    </row>
    <row r="20" spans="1:8">
      <c r="A20" s="1">
        <v>1999</v>
      </c>
      <c r="B20">
        <f>100*('[1]2'!B37/'[1]2'!$B$19)</f>
        <v>122.42338789570904</v>
      </c>
      <c r="C20">
        <f>100*('[1]2'!C37/'[1]2'!$C$19)</f>
        <v>207.35635603989567</v>
      </c>
      <c r="D20">
        <f>100*('[1]2'!D37/'[1]2'!$D$19)</f>
        <v>67.117879123122407</v>
      </c>
      <c r="E20">
        <f>-100*('[1]2'!E37/'[1]2'!$E$19)</f>
        <v>-86.938277460678421</v>
      </c>
      <c r="F20">
        <f>100*('[1]2'!F37/'[1]2'!$F$19)</f>
        <v>124.09342860012922</v>
      </c>
      <c r="G20">
        <f>100*('[1]2'!G37/'[1]2'!$G$19)</f>
        <v>102.50047572564193</v>
      </c>
      <c r="H20">
        <f>100*('[1]2'!H37/'[1]2'!$H$19)</f>
        <v>116.64912930273195</v>
      </c>
    </row>
    <row r="21" spans="1:8">
      <c r="A21" s="1">
        <v>2000</v>
      </c>
      <c r="B21">
        <f>100*('[1]2'!B38/'[1]2'!$B$19)</f>
        <v>123.98030465162732</v>
      </c>
      <c r="C21">
        <f>100*('[1]2'!C38/'[1]2'!$C$19)</f>
        <v>220.20005362916265</v>
      </c>
      <c r="D21">
        <f>100*('[1]2'!D38/'[1]2'!$D$19)</f>
        <v>92.104149779261235</v>
      </c>
      <c r="E21">
        <f>-100*('[1]2'!E38/'[1]2'!$E$19)</f>
        <v>-70.873873771212999</v>
      </c>
      <c r="F21">
        <f>100*('[1]2'!F38/'[1]2'!$F$19)</f>
        <v>125.45047623674978</v>
      </c>
      <c r="G21">
        <f>100*('[1]2'!G38/'[1]2'!$G$19)</f>
        <v>103.33453215594652</v>
      </c>
      <c r="H21">
        <f>100*('[1]2'!H38/'[1]2'!$H$19)</f>
        <v>123.52191077999343</v>
      </c>
    </row>
    <row r="22" spans="1:8">
      <c r="A22" s="1">
        <v>2001</v>
      </c>
      <c r="B22">
        <f>100*('[1]2'!B39/'[1]2'!$B$19)</f>
        <v>125.34409005139536</v>
      </c>
      <c r="C22">
        <f>100*('[1]2'!C39/'[1]2'!$C$19)</f>
        <v>235.67759358632082</v>
      </c>
      <c r="D22">
        <f>100*('[1]2'!D39/'[1]2'!$D$19)</f>
        <v>82.643655632921281</v>
      </c>
      <c r="E22">
        <f>-100*('[1]2'!E39/'[1]2'!$E$19)</f>
        <v>-67.53977625695309</v>
      </c>
      <c r="F22">
        <f>100*('[1]2'!F39/'[1]2'!$F$19)</f>
        <v>126.9448970533072</v>
      </c>
      <c r="G22">
        <f>100*('[1]2'!G39/'[1]2'!$G$19)</f>
        <v>106.04844976368952</v>
      </c>
      <c r="H22">
        <f>100*('[1]2'!H39/'[1]2'!$H$19)</f>
        <v>123.4593311469153</v>
      </c>
    </row>
    <row r="23" spans="1:8">
      <c r="A23" s="1">
        <v>2002</v>
      </c>
      <c r="B23">
        <f>100*('[1]2'!B40/'[1]2'!$B$19)</f>
        <v>126.60651751948038</v>
      </c>
      <c r="C23">
        <f>100*('[1]2'!C40/'[1]2'!$C$19)</f>
        <v>247.65539977582537</v>
      </c>
      <c r="D23">
        <f>100*('[1]2'!D40/'[1]2'!$D$19)</f>
        <v>78.701170955963292</v>
      </c>
      <c r="E23">
        <f>-100*('[1]2'!E40/'[1]2'!$E$19)</f>
        <v>-67.790939250595926</v>
      </c>
      <c r="F23">
        <f>100*('[1]2'!F40/'[1]2'!$F$19)</f>
        <v>128.13558584469013</v>
      </c>
      <c r="G23">
        <f>100*('[1]2'!G40/'[1]2'!$G$19)</f>
        <v>103.89799220456091</v>
      </c>
      <c r="H23">
        <f>100*('[1]2'!H40/'[1]2'!$H$19)</f>
        <v>123.93284310250297</v>
      </c>
    </row>
    <row r="24" spans="1:8">
      <c r="A24" s="1">
        <v>2003</v>
      </c>
      <c r="B24">
        <f>100*('[1]2'!B41/'[1]2'!$B$19)</f>
        <v>128.65799255469398</v>
      </c>
      <c r="C24">
        <f>100*('[1]2'!C41/'[1]2'!$C$19)</f>
        <v>257.92915730002915</v>
      </c>
      <c r="D24">
        <f>100*('[1]2'!D41/'[1]2'!$D$19)</f>
        <v>85.484052442919861</v>
      </c>
      <c r="E24">
        <f>-100*('[1]2'!E41/'[1]2'!$E$19)</f>
        <v>-67.527190273790509</v>
      </c>
      <c r="F24">
        <f>100*('[1]2'!F41/'[1]2'!$F$19)</f>
        <v>129.7888432423529</v>
      </c>
      <c r="G24">
        <f>100*('[1]2'!G41/'[1]2'!$G$19)</f>
        <v>106.85218199471966</v>
      </c>
      <c r="H24">
        <f>100*('[1]2'!H41/'[1]2'!$H$19)</f>
        <v>126.83218076410836</v>
      </c>
    </row>
    <row r="25" spans="1:8">
      <c r="A25" s="1">
        <v>2004</v>
      </c>
      <c r="B25">
        <f>100*('[1]2'!B42/'[1]2'!$B$19)</f>
        <v>131.40038202835248</v>
      </c>
      <c r="C25">
        <f>100*('[1]2'!C42/'[1]2'!$C$19)</f>
        <v>268.58184982770712</v>
      </c>
      <c r="D25">
        <f>100*('[1]2'!D42/'[1]2'!$D$19)</f>
        <v>95.193184840597894</v>
      </c>
      <c r="E25">
        <f>-100*('[1]2'!E42/'[1]2'!$E$19)</f>
        <v>-56.960880670746526</v>
      </c>
      <c r="F25">
        <f>100*('[1]2'!F42/'[1]2'!$F$19)</f>
        <v>130.64811680308864</v>
      </c>
      <c r="G25">
        <f>100*('[1]2'!G42/'[1]2'!$G$19)</f>
        <v>105.84521683551318</v>
      </c>
      <c r="H25">
        <f>100*('[1]2'!H42/'[1]2'!$H$19)</f>
        <v>130.78783937525725</v>
      </c>
    </row>
    <row r="26" spans="1:8">
      <c r="A26" s="1">
        <v>2005</v>
      </c>
      <c r="B26">
        <f>100*('[1]2'!B43/'[1]2'!$B$19)</f>
        <v>135.01777649444949</v>
      </c>
      <c r="C26">
        <f>100*('[1]2'!C43/'[1]2'!$C$19)</f>
        <v>277.33639435988323</v>
      </c>
      <c r="D26">
        <f>100*('[1]2'!D43/'[1]2'!$D$19)</f>
        <v>114.34811577275622</v>
      </c>
      <c r="E26">
        <f>-100*('[1]2'!E43/'[1]2'!$E$19)</f>
        <v>-45.704791459831462</v>
      </c>
      <c r="F26">
        <f>100*('[1]2'!F43/'[1]2'!$F$19)</f>
        <v>132.34926012446445</v>
      </c>
      <c r="G26">
        <f>100*('[1]2'!G43/'[1]2'!$G$19)</f>
        <v>103.43066409155159</v>
      </c>
      <c r="H26">
        <f>100*('[1]2'!H43/'[1]2'!$H$19)</f>
        <v>137.21119107897681</v>
      </c>
    </row>
    <row r="27" spans="1:8">
      <c r="A27" s="1">
        <v>2006</v>
      </c>
      <c r="B27">
        <f>100*('[1]2'!B44/'[1]2'!$B$19)</f>
        <v>139.01825671680916</v>
      </c>
      <c r="C27">
        <f>100*('[1]2'!C44/'[1]2'!$C$19)</f>
        <v>283.20272795555945</v>
      </c>
      <c r="D27">
        <f>100*('[1]2'!D44/'[1]2'!$D$19)</f>
        <v>122.36675948618208</v>
      </c>
      <c r="E27">
        <f>-100*('[1]2'!E44/'[1]2'!$E$19)</f>
        <v>-21.407093346554205</v>
      </c>
      <c r="F27">
        <f>100*('[1]2'!F44/'[1]2'!$F$19)</f>
        <v>133.73733543126556</v>
      </c>
      <c r="G27">
        <f>100*('[1]2'!G44/'[1]2'!$G$19)</f>
        <v>100.55943712717752</v>
      </c>
      <c r="H27">
        <f>100*('[1]2'!H44/'[1]2'!$H$19)</f>
        <v>142.47928824555291</v>
      </c>
    </row>
    <row r="28" spans="1:8">
      <c r="A28" s="1">
        <v>2007</v>
      </c>
      <c r="B28">
        <f>100*('[1]2'!B45/'[1]2'!$B$19)</f>
        <v>142.83836317293063</v>
      </c>
      <c r="C28">
        <f>100*('[1]2'!C45/'[1]2'!$C$19)</f>
        <v>285.51483730442783</v>
      </c>
      <c r="D28">
        <f>100*('[1]2'!D45/'[1]2'!$D$19)</f>
        <v>122.59039283463883</v>
      </c>
      <c r="E28">
        <f>-100*('[1]2'!E45/'[1]2'!$E$19)</f>
        <v>-33.219167450208573</v>
      </c>
      <c r="F28">
        <f>100*('[1]2'!F45/'[1]2'!$F$19)</f>
        <v>135.12289065708052</v>
      </c>
      <c r="G28">
        <f>100*('[1]2'!G45/'[1]2'!$G$19)</f>
        <v>103.5048413509608</v>
      </c>
      <c r="H28">
        <f>100*('[1]2'!H45/'[1]2'!$H$19)</f>
        <v>143.8444840133063</v>
      </c>
    </row>
    <row r="29" spans="1:8">
      <c r="A29" s="1">
        <v>2008</v>
      </c>
      <c r="B29">
        <f>100*('[1]2'!B46/'[1]2'!$B$19)</f>
        <v>146.79060460155793</v>
      </c>
      <c r="C29">
        <f>100*('[1]2'!C46/'[1]2'!$C$19)</f>
        <v>284.47028799907139</v>
      </c>
      <c r="D29">
        <f>100*('[1]2'!D46/'[1]2'!$D$19)</f>
        <v>136.52883054443106</v>
      </c>
      <c r="E29">
        <f>-100*('[1]2'!E46/'[1]2'!$E$19)</f>
        <v>1.4444053944082453</v>
      </c>
      <c r="F29">
        <f>100*('[1]2'!F46/'[1]2'!$F$19)</f>
        <v>136.13576980774383</v>
      </c>
      <c r="G29">
        <f>100*('[1]2'!G46/'[1]2'!$G$19)</f>
        <v>103.24035046809293</v>
      </c>
      <c r="H29">
        <f>100*('[1]2'!H46/'[1]2'!$H$19)</f>
        <v>150.56755291742573</v>
      </c>
    </row>
  </sheetData>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dimension ref="A1"/>
  <sheetViews>
    <sheetView topLeftCell="F1" workbookViewId="0">
      <selection activeCell="I24" sqref="I24"/>
    </sheetView>
  </sheetViews>
  <sheetFormatPr defaultRowHeight="12.75"/>
  <sheetData/>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dimension ref="A1"/>
  <sheetViews>
    <sheetView workbookViewId="0">
      <selection activeCell="I24" sqref="I24"/>
    </sheetView>
  </sheetViews>
  <sheetFormatPr defaultRowHeight="12.75"/>
  <sheetData/>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dimension ref="A2:J33"/>
  <sheetViews>
    <sheetView workbookViewId="0">
      <selection activeCell="I24" sqref="I24"/>
    </sheetView>
  </sheetViews>
  <sheetFormatPr defaultRowHeight="12.75"/>
  <sheetData>
    <row r="2" spans="1:10">
      <c r="A2" s="206" t="s">
        <v>1192</v>
      </c>
    </row>
    <row r="3" spans="1:10">
      <c r="B3" s="206" t="s">
        <v>1193</v>
      </c>
      <c r="C3" s="206" t="s">
        <v>1194</v>
      </c>
      <c r="D3" s="206" t="s">
        <v>1195</v>
      </c>
      <c r="H3" s="206" t="s">
        <v>1196</v>
      </c>
      <c r="I3" s="206" t="s">
        <v>1197</v>
      </c>
      <c r="J3" s="206" t="s">
        <v>621</v>
      </c>
    </row>
    <row r="4" spans="1:10">
      <c r="A4">
        <v>1981</v>
      </c>
      <c r="B4">
        <v>11.6</v>
      </c>
      <c r="C4">
        <v>3505.6577086280058</v>
      </c>
      <c r="D4">
        <v>40665.629420084864</v>
      </c>
      <c r="G4">
        <v>1981</v>
      </c>
      <c r="H4">
        <f>B4/B$4*100</f>
        <v>100</v>
      </c>
      <c r="I4">
        <f>C4/C$4*100</f>
        <v>100</v>
      </c>
      <c r="J4">
        <f>D4/D$4*100</f>
        <v>100</v>
      </c>
    </row>
    <row r="5" spans="1:10">
      <c r="A5">
        <v>1982</v>
      </c>
      <c r="B5">
        <v>12.4</v>
      </c>
      <c r="C5">
        <v>3428.4779050736497</v>
      </c>
      <c r="D5">
        <v>42513.12602291326</v>
      </c>
      <c r="G5">
        <v>1982</v>
      </c>
      <c r="H5">
        <f t="shared" ref="H5:J31" si="0">B5/B$4*100</f>
        <v>106.89655172413795</v>
      </c>
      <c r="I5">
        <f t="shared" si="0"/>
        <v>97.798421581080092</v>
      </c>
      <c r="J5">
        <f t="shared" si="0"/>
        <v>104.54314031080978</v>
      </c>
    </row>
    <row r="6" spans="1:10">
      <c r="A6">
        <v>1983</v>
      </c>
      <c r="B6">
        <v>14</v>
      </c>
      <c r="C6">
        <v>3492.1180854112927</v>
      </c>
      <c r="D6">
        <v>48889.653195758096</v>
      </c>
      <c r="G6">
        <v>1983</v>
      </c>
      <c r="H6">
        <f t="shared" si="0"/>
        <v>120.68965517241379</v>
      </c>
      <c r="I6">
        <f t="shared" si="0"/>
        <v>99.613777945764923</v>
      </c>
      <c r="J6">
        <f t="shared" si="0"/>
        <v>120.22352510695768</v>
      </c>
    </row>
    <row r="7" spans="1:10">
      <c r="A7">
        <v>1984</v>
      </c>
      <c r="B7">
        <v>13.7</v>
      </c>
      <c r="C7">
        <v>3518.539976825029</v>
      </c>
      <c r="D7">
        <v>48203.997682502893</v>
      </c>
      <c r="G7">
        <v>1984</v>
      </c>
      <c r="H7">
        <f t="shared" si="0"/>
        <v>118.10344827586208</v>
      </c>
      <c r="I7">
        <f t="shared" si="0"/>
        <v>100.36747079343536</v>
      </c>
      <c r="J7">
        <f t="shared" si="0"/>
        <v>118.53744395431589</v>
      </c>
    </row>
    <row r="8" spans="1:10">
      <c r="A8">
        <v>1985</v>
      </c>
      <c r="B8">
        <v>13</v>
      </c>
      <c r="C8">
        <v>3413.0699088145898</v>
      </c>
      <c r="D8">
        <v>44369.908814589668</v>
      </c>
      <c r="G8">
        <v>1985</v>
      </c>
      <c r="H8">
        <f t="shared" si="0"/>
        <v>112.06896551724139</v>
      </c>
      <c r="I8">
        <f t="shared" si="0"/>
        <v>97.358903592169256</v>
      </c>
      <c r="J8">
        <f t="shared" si="0"/>
        <v>109.10911609467244</v>
      </c>
    </row>
    <row r="9" spans="1:10">
      <c r="A9">
        <v>1986</v>
      </c>
      <c r="B9">
        <v>12.1</v>
      </c>
      <c r="C9">
        <v>3449.7901194704555</v>
      </c>
      <c r="D9">
        <v>41742.460445592507</v>
      </c>
      <c r="G9">
        <v>1986</v>
      </c>
      <c r="H9">
        <f t="shared" si="0"/>
        <v>104.31034482758621</v>
      </c>
      <c r="I9">
        <f t="shared" si="0"/>
        <v>98.406359268332139</v>
      </c>
      <c r="J9">
        <f t="shared" si="0"/>
        <v>102.64801268507058</v>
      </c>
    </row>
    <row r="10" spans="1:10">
      <c r="A10">
        <v>1987</v>
      </c>
      <c r="B10">
        <v>11.9</v>
      </c>
      <c r="C10">
        <v>3514.7775251705098</v>
      </c>
      <c r="D10">
        <v>41825.852549529067</v>
      </c>
      <c r="G10">
        <v>1987</v>
      </c>
      <c r="H10">
        <f t="shared" si="0"/>
        <v>102.58620689655173</v>
      </c>
      <c r="I10">
        <f t="shared" si="0"/>
        <v>100.26014566453702</v>
      </c>
      <c r="J10">
        <f t="shared" si="0"/>
        <v>102.85308046620609</v>
      </c>
    </row>
    <row r="11" spans="1:10">
      <c r="A11">
        <v>1988</v>
      </c>
      <c r="B11">
        <v>10.8</v>
      </c>
      <c r="C11">
        <v>3516.8776371308018</v>
      </c>
      <c r="D11">
        <v>37982.278481012661</v>
      </c>
      <c r="G11">
        <v>1988</v>
      </c>
      <c r="H11">
        <f t="shared" si="0"/>
        <v>93.103448275862078</v>
      </c>
      <c r="I11">
        <f t="shared" si="0"/>
        <v>100.32005202547818</v>
      </c>
      <c r="J11">
        <f t="shared" si="0"/>
        <v>93.401427747859017</v>
      </c>
    </row>
    <row r="12" spans="1:10">
      <c r="A12">
        <v>1989</v>
      </c>
      <c r="B12">
        <v>10.199999999999999</v>
      </c>
      <c r="C12">
        <v>3417.1280915466964</v>
      </c>
      <c r="D12">
        <v>34854.706533776298</v>
      </c>
      <c r="G12">
        <v>1989</v>
      </c>
      <c r="H12">
        <f t="shared" si="0"/>
        <v>87.931034482758619</v>
      </c>
      <c r="I12">
        <f t="shared" si="0"/>
        <v>97.474664544019134</v>
      </c>
      <c r="J12">
        <f t="shared" si="0"/>
        <v>85.710480892154749</v>
      </c>
    </row>
    <row r="13" spans="1:10">
      <c r="A13">
        <v>1990</v>
      </c>
      <c r="B13">
        <v>11.8</v>
      </c>
      <c r="C13">
        <v>3553.8847117794485</v>
      </c>
      <c r="D13">
        <v>41935.839598997496</v>
      </c>
      <c r="G13">
        <v>1990</v>
      </c>
      <c r="H13">
        <f t="shared" si="0"/>
        <v>101.72413793103449</v>
      </c>
      <c r="I13">
        <f t="shared" si="0"/>
        <v>101.37569058818117</v>
      </c>
      <c r="J13">
        <f t="shared" si="0"/>
        <v>103.12354732246017</v>
      </c>
    </row>
    <row r="14" spans="1:10">
      <c r="A14">
        <v>1991</v>
      </c>
      <c r="B14">
        <v>13.2</v>
      </c>
      <c r="C14">
        <v>3620.1829775436649</v>
      </c>
      <c r="D14">
        <v>47786.415303576374</v>
      </c>
      <c r="G14">
        <v>1991</v>
      </c>
      <c r="H14">
        <f t="shared" si="0"/>
        <v>113.79310344827587</v>
      </c>
      <c r="I14">
        <f t="shared" si="0"/>
        <v>103.26686968421912</v>
      </c>
      <c r="J14">
        <f t="shared" si="0"/>
        <v>117.51057584755968</v>
      </c>
    </row>
    <row r="15" spans="1:10">
      <c r="A15">
        <v>1992</v>
      </c>
      <c r="B15">
        <v>13.3</v>
      </c>
      <c r="C15">
        <v>3558.3355996736468</v>
      </c>
      <c r="D15">
        <v>47325.863475659506</v>
      </c>
      <c r="G15">
        <v>1992</v>
      </c>
      <c r="H15">
        <f t="shared" si="0"/>
        <v>114.65517241379311</v>
      </c>
      <c r="I15">
        <f t="shared" si="0"/>
        <v>101.5026535795549</v>
      </c>
      <c r="J15">
        <f t="shared" si="0"/>
        <v>116.37804246621381</v>
      </c>
    </row>
    <row r="16" spans="1:10">
      <c r="A16">
        <v>1993</v>
      </c>
      <c r="B16">
        <v>14.1</v>
      </c>
      <c r="C16">
        <v>3555.2185999494568</v>
      </c>
      <c r="D16">
        <v>50128.582259287337</v>
      </c>
      <c r="G16">
        <v>1993</v>
      </c>
      <c r="H16">
        <f t="shared" si="0"/>
        <v>121.55172413793103</v>
      </c>
      <c r="I16">
        <f t="shared" si="0"/>
        <v>101.41374017205027</v>
      </c>
      <c r="J16">
        <f t="shared" si="0"/>
        <v>123.27014969188869</v>
      </c>
    </row>
    <row r="17" spans="1:10">
      <c r="A17">
        <v>1994</v>
      </c>
      <c r="B17">
        <v>14</v>
      </c>
      <c r="C17">
        <v>3560.4423221915054</v>
      </c>
      <c r="D17">
        <v>49846.192510681074</v>
      </c>
      <c r="G17">
        <v>1994</v>
      </c>
      <c r="H17">
        <f t="shared" si="0"/>
        <v>120.68965517241379</v>
      </c>
      <c r="I17">
        <f t="shared" si="0"/>
        <v>101.56274850875103</v>
      </c>
      <c r="J17">
        <f t="shared" si="0"/>
        <v>122.57573095883745</v>
      </c>
    </row>
    <row r="18" spans="1:10">
      <c r="A18">
        <v>1995</v>
      </c>
      <c r="B18">
        <v>14.5</v>
      </c>
      <c r="C18">
        <v>3548.6512524084778</v>
      </c>
      <c r="D18">
        <v>51455.443159922928</v>
      </c>
      <c r="G18">
        <v>1995</v>
      </c>
      <c r="H18">
        <f t="shared" si="0"/>
        <v>125</v>
      </c>
      <c r="I18">
        <f t="shared" si="0"/>
        <v>101.22640449678408</v>
      </c>
      <c r="J18">
        <f t="shared" si="0"/>
        <v>126.53300562098013</v>
      </c>
    </row>
    <row r="19" spans="1:10">
      <c r="A19">
        <v>1996</v>
      </c>
      <c r="B19">
        <v>15.2</v>
      </c>
      <c r="C19">
        <v>3648.1692062770071</v>
      </c>
      <c r="D19">
        <v>55452.171935410508</v>
      </c>
      <c r="G19">
        <v>1996</v>
      </c>
      <c r="H19">
        <f t="shared" si="0"/>
        <v>131.0344827586207</v>
      </c>
      <c r="I19">
        <f t="shared" si="0"/>
        <v>104.06518575097212</v>
      </c>
      <c r="J19">
        <f t="shared" si="0"/>
        <v>136.36127788058417</v>
      </c>
    </row>
    <row r="20" spans="1:10">
      <c r="A20">
        <v>1997</v>
      </c>
      <c r="B20">
        <v>15</v>
      </c>
      <c r="C20">
        <v>3772.7791733272438</v>
      </c>
      <c r="D20">
        <v>56591.687599908655</v>
      </c>
      <c r="G20">
        <v>1997</v>
      </c>
      <c r="H20">
        <f t="shared" si="0"/>
        <v>129.31034482758622</v>
      </c>
      <c r="I20">
        <f t="shared" si="0"/>
        <v>107.6197246537164</v>
      </c>
      <c r="J20">
        <f t="shared" si="0"/>
        <v>139.16343705221951</v>
      </c>
    </row>
    <row r="21" spans="1:10">
      <c r="A21">
        <v>1998</v>
      </c>
      <c r="B21">
        <v>13.7</v>
      </c>
      <c r="C21">
        <v>3934.5075663607045</v>
      </c>
      <c r="D21">
        <v>53902.75365914165</v>
      </c>
      <c r="G21">
        <v>1998</v>
      </c>
      <c r="H21">
        <f t="shared" si="0"/>
        <v>118.10344827586208</v>
      </c>
      <c r="I21">
        <f t="shared" si="0"/>
        <v>112.23307845136243</v>
      </c>
      <c r="J21">
        <f t="shared" si="0"/>
        <v>132.55113575721253</v>
      </c>
    </row>
    <row r="22" spans="1:10">
      <c r="A22">
        <v>1999</v>
      </c>
      <c r="B22">
        <v>13</v>
      </c>
      <c r="C22">
        <v>4007.5110075110074</v>
      </c>
      <c r="D22">
        <v>52097.643097643093</v>
      </c>
      <c r="G22">
        <v>1999</v>
      </c>
      <c r="H22">
        <f t="shared" si="0"/>
        <v>112.06896551724139</v>
      </c>
      <c r="I22">
        <f t="shared" si="0"/>
        <v>114.31552480574065</v>
      </c>
      <c r="J22">
        <f t="shared" si="0"/>
        <v>128.11222607539901</v>
      </c>
    </row>
    <row r="23" spans="1:10">
      <c r="A23">
        <v>2000</v>
      </c>
      <c r="B23">
        <v>12.5</v>
      </c>
      <c r="C23">
        <v>3954.8490515629173</v>
      </c>
      <c r="D23">
        <v>49435.613144536466</v>
      </c>
      <c r="G23">
        <v>2000</v>
      </c>
      <c r="H23">
        <f t="shared" si="0"/>
        <v>107.75862068965519</v>
      </c>
      <c r="I23">
        <f t="shared" si="0"/>
        <v>112.81332577990651</v>
      </c>
      <c r="J23">
        <f t="shared" si="0"/>
        <v>121.56608381455443</v>
      </c>
    </row>
    <row r="24" spans="1:10">
      <c r="A24">
        <v>2001</v>
      </c>
      <c r="B24">
        <v>11.2</v>
      </c>
      <c r="C24">
        <v>4005.8892815076561</v>
      </c>
      <c r="D24">
        <v>44865.959952885743</v>
      </c>
      <c r="G24">
        <v>2001</v>
      </c>
      <c r="H24">
        <f t="shared" si="0"/>
        <v>96.551724137931032</v>
      </c>
      <c r="I24">
        <f t="shared" si="0"/>
        <v>114.26926455621999</v>
      </c>
      <c r="J24">
        <f t="shared" si="0"/>
        <v>110.32894508876414</v>
      </c>
    </row>
    <row r="25" spans="1:10">
      <c r="A25">
        <v>2002</v>
      </c>
      <c r="B25">
        <v>11.6</v>
      </c>
      <c r="C25">
        <v>3873.4463276836159</v>
      </c>
      <c r="D25">
        <v>44931.977401129945</v>
      </c>
      <c r="G25">
        <v>2002</v>
      </c>
      <c r="H25">
        <f t="shared" si="0"/>
        <v>100</v>
      </c>
      <c r="I25">
        <f t="shared" si="0"/>
        <v>110.49128721695848</v>
      </c>
      <c r="J25">
        <f t="shared" si="0"/>
        <v>110.49128721695851</v>
      </c>
    </row>
    <row r="26" spans="1:10">
      <c r="A26">
        <v>2003</v>
      </c>
      <c r="B26">
        <v>11.6</v>
      </c>
      <c r="C26">
        <v>3893.1552587646079</v>
      </c>
      <c r="D26">
        <v>45160.601001669449</v>
      </c>
      <c r="G26">
        <v>2003</v>
      </c>
      <c r="H26">
        <f t="shared" si="0"/>
        <v>100</v>
      </c>
      <c r="I26">
        <f t="shared" si="0"/>
        <v>111.05349073821174</v>
      </c>
      <c r="J26">
        <f t="shared" si="0"/>
        <v>111.05349073821174</v>
      </c>
    </row>
    <row r="27" spans="1:10">
      <c r="A27">
        <v>2004</v>
      </c>
      <c r="B27">
        <v>11.4</v>
      </c>
      <c r="C27">
        <v>3983.9210155148094</v>
      </c>
      <c r="D27">
        <v>45416.699576868828</v>
      </c>
      <c r="G27">
        <v>2004</v>
      </c>
      <c r="H27">
        <f t="shared" si="0"/>
        <v>98.275862068965523</v>
      </c>
      <c r="I27">
        <f t="shared" si="0"/>
        <v>113.64261278874199</v>
      </c>
      <c r="J27">
        <f t="shared" si="0"/>
        <v>111.68325739583264</v>
      </c>
    </row>
    <row r="28" spans="1:10">
      <c r="A28">
        <v>2005</v>
      </c>
      <c r="B28">
        <v>10.8</v>
      </c>
      <c r="C28">
        <v>4198.5337243401764</v>
      </c>
      <c r="D28">
        <v>45344.164222873907</v>
      </c>
      <c r="G28">
        <v>2005</v>
      </c>
      <c r="H28">
        <f t="shared" si="0"/>
        <v>93.103448275862078</v>
      </c>
      <c r="I28">
        <f t="shared" si="0"/>
        <v>119.76450849741798</v>
      </c>
      <c r="J28">
        <f t="shared" si="0"/>
        <v>111.50488722173399</v>
      </c>
    </row>
    <row r="29" spans="1:10">
      <c r="A29">
        <v>2006</v>
      </c>
      <c r="B29">
        <v>10.5</v>
      </c>
      <c r="C29">
        <v>4036.0763267740012</v>
      </c>
      <c r="D29">
        <v>42378.801431127016</v>
      </c>
      <c r="G29">
        <v>2006</v>
      </c>
      <c r="H29">
        <f t="shared" si="0"/>
        <v>90.517241379310349</v>
      </c>
      <c r="I29">
        <f t="shared" si="0"/>
        <v>115.13035961384783</v>
      </c>
      <c r="J29">
        <f t="shared" si="0"/>
        <v>104.21282551253471</v>
      </c>
    </row>
    <row r="30" spans="1:10">
      <c r="A30">
        <v>2007</v>
      </c>
      <c r="B30">
        <v>9.1999999999999993</v>
      </c>
      <c r="C30">
        <v>4181.5718157181573</v>
      </c>
      <c r="D30">
        <v>38470.460704607045</v>
      </c>
      <c r="G30">
        <v>2007</v>
      </c>
      <c r="H30">
        <f t="shared" si="0"/>
        <v>79.310344827586192</v>
      </c>
      <c r="I30">
        <f t="shared" si="0"/>
        <v>119.28066466462526</v>
      </c>
      <c r="J30">
        <f t="shared" si="0"/>
        <v>94.601906458151078</v>
      </c>
    </row>
    <row r="31" spans="1:10">
      <c r="A31">
        <v>2008</v>
      </c>
      <c r="B31">
        <v>9.1999999999999993</v>
      </c>
      <c r="C31">
        <v>4181.5718157181573</v>
      </c>
      <c r="D31">
        <v>38470.460704607045</v>
      </c>
      <c r="G31">
        <v>2008</v>
      </c>
      <c r="H31">
        <f t="shared" si="0"/>
        <v>79.310344827586192</v>
      </c>
      <c r="I31">
        <f>C31/C$4*100</f>
        <v>119.28066466462526</v>
      </c>
      <c r="J31">
        <f t="shared" si="0"/>
        <v>94.601906458151078</v>
      </c>
    </row>
    <row r="33" spans="1:1">
      <c r="A33" s="206" t="s">
        <v>1198</v>
      </c>
    </row>
  </sheetData>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dimension ref="A2:I132"/>
  <sheetViews>
    <sheetView view="pageBreakPreview" topLeftCell="A106" zoomScale="85" zoomScaleSheetLayoutView="85" workbookViewId="0">
      <selection activeCell="I24" sqref="I24"/>
    </sheetView>
  </sheetViews>
  <sheetFormatPr defaultRowHeight="12.75"/>
  <sheetData>
    <row r="2" spans="1:9" ht="15.75">
      <c r="A2" s="391" t="s">
        <v>1199</v>
      </c>
      <c r="I2" t="s">
        <v>1200</v>
      </c>
    </row>
    <row r="25" spans="1:1" ht="15.75">
      <c r="A25" s="391" t="s">
        <v>1201</v>
      </c>
    </row>
    <row r="57" spans="1:1">
      <c r="A57" s="206" t="s">
        <v>1202</v>
      </c>
    </row>
    <row r="78" spans="1:1">
      <c r="A78" s="206"/>
    </row>
    <row r="112" spans="1:1">
      <c r="A112" s="206" t="s">
        <v>1203</v>
      </c>
    </row>
    <row r="132" spans="1:1">
      <c r="A132" s="206" t="s">
        <v>1204</v>
      </c>
    </row>
  </sheetData>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dimension ref="A2:L45"/>
  <sheetViews>
    <sheetView topLeftCell="A4" workbookViewId="0">
      <selection activeCell="I24" sqref="I24"/>
    </sheetView>
  </sheetViews>
  <sheetFormatPr defaultRowHeight="12.75"/>
  <cols>
    <col min="1" max="1" width="28.125" customWidth="1"/>
  </cols>
  <sheetData>
    <row r="2" spans="1:3">
      <c r="A2" t="s">
        <v>1260</v>
      </c>
    </row>
    <row r="4" spans="1:3">
      <c r="B4" t="s">
        <v>1183</v>
      </c>
    </row>
    <row r="5" spans="1:3">
      <c r="B5" t="s">
        <v>1184</v>
      </c>
      <c r="C5" t="s">
        <v>1185</v>
      </c>
    </row>
    <row r="6" spans="1:3">
      <c r="A6" t="s">
        <v>973</v>
      </c>
      <c r="B6" s="1">
        <v>1.0659439285221062</v>
      </c>
      <c r="C6" s="1">
        <v>1.5623344546885187</v>
      </c>
    </row>
    <row r="7" spans="1:3">
      <c r="A7" t="s">
        <v>1186</v>
      </c>
      <c r="B7" s="1">
        <v>1.4317200388277884</v>
      </c>
      <c r="C7" s="1">
        <v>1.8601788753041415</v>
      </c>
    </row>
    <row r="8" spans="1:3">
      <c r="A8" t="s">
        <v>1187</v>
      </c>
      <c r="B8" s="1">
        <v>-0.18569078139941686</v>
      </c>
      <c r="C8" s="1">
        <v>1.5721151707197345</v>
      </c>
    </row>
    <row r="9" spans="1:3">
      <c r="A9" t="s">
        <v>1261</v>
      </c>
      <c r="B9" s="1">
        <v>2.2880538499630454</v>
      </c>
      <c r="C9" s="1">
        <v>1.2863932173289072</v>
      </c>
    </row>
    <row r="11" spans="1:3">
      <c r="A11" s="1" t="s">
        <v>973</v>
      </c>
      <c r="B11" s="1"/>
    </row>
    <row r="12" spans="1:3">
      <c r="A12" s="1" t="s">
        <v>1186</v>
      </c>
      <c r="B12" s="1"/>
    </row>
    <row r="13" spans="1:3">
      <c r="A13" s="1" t="s">
        <v>1187</v>
      </c>
      <c r="B13" s="1"/>
    </row>
    <row r="14" spans="1:3">
      <c r="A14" s="1" t="s">
        <v>1261</v>
      </c>
      <c r="B14" s="1"/>
    </row>
    <row r="23" spans="1:12">
      <c r="A23" t="s">
        <v>1189</v>
      </c>
    </row>
    <row r="26" spans="1:12">
      <c r="B26" t="s">
        <v>321</v>
      </c>
      <c r="C26" t="s">
        <v>370</v>
      </c>
      <c r="D26" t="s">
        <v>371</v>
      </c>
      <c r="E26" t="s">
        <v>372</v>
      </c>
      <c r="F26" t="s">
        <v>373</v>
      </c>
      <c r="G26" t="s">
        <v>374</v>
      </c>
      <c r="H26" t="s">
        <v>375</v>
      </c>
      <c r="I26" t="s">
        <v>376</v>
      </c>
      <c r="J26" t="s">
        <v>377</v>
      </c>
      <c r="K26" t="s">
        <v>378</v>
      </c>
      <c r="L26" t="s">
        <v>379</v>
      </c>
    </row>
    <row r="27" spans="1:12">
      <c r="A27" t="s">
        <v>1190</v>
      </c>
      <c r="B27">
        <v>1.3410148335240457</v>
      </c>
      <c r="C27">
        <v>2.2200000000000002</v>
      </c>
      <c r="D27">
        <v>1.74</v>
      </c>
      <c r="E27">
        <v>1.29</v>
      </c>
      <c r="F27">
        <v>1.99</v>
      </c>
      <c r="G27">
        <v>1.95</v>
      </c>
      <c r="H27">
        <v>1</v>
      </c>
      <c r="I27">
        <v>1.77</v>
      </c>
      <c r="J27">
        <v>1.36</v>
      </c>
      <c r="K27">
        <v>1.07</v>
      </c>
      <c r="L27">
        <v>1.1399999999999999</v>
      </c>
    </row>
    <row r="28" spans="1:12">
      <c r="A28" t="s">
        <v>1191</v>
      </c>
      <c r="B28">
        <v>1.5623344546885187</v>
      </c>
      <c r="C28">
        <v>3.2271089021235877</v>
      </c>
      <c r="D28">
        <v>2.0667920338117707</v>
      </c>
      <c r="E28">
        <v>1.9124978871920328</v>
      </c>
      <c r="F28">
        <v>2.2670804283991597</v>
      </c>
      <c r="G28">
        <v>1.4016280649084223</v>
      </c>
      <c r="H28">
        <v>1.3593276218480277</v>
      </c>
      <c r="I28">
        <v>2.1012778761403172</v>
      </c>
      <c r="J28">
        <v>1.986208068973716</v>
      </c>
      <c r="K28">
        <v>0.70530399558761392</v>
      </c>
      <c r="L28">
        <v>0.85534437329999324</v>
      </c>
    </row>
    <row r="35" spans="5:7">
      <c r="E35" t="s">
        <v>370</v>
      </c>
      <c r="F35">
        <v>2.2200000000000002</v>
      </c>
      <c r="G35">
        <v>3.2271089021235877</v>
      </c>
    </row>
    <row r="36" spans="5:7">
      <c r="E36" t="s">
        <v>373</v>
      </c>
      <c r="F36">
        <v>1.99</v>
      </c>
      <c r="G36">
        <v>2.2670804283991597</v>
      </c>
    </row>
    <row r="37" spans="5:7">
      <c r="E37" t="s">
        <v>376</v>
      </c>
      <c r="F37">
        <v>1.77</v>
      </c>
      <c r="G37">
        <v>2.1012778761403172</v>
      </c>
    </row>
    <row r="38" spans="5:7">
      <c r="E38" t="s">
        <v>371</v>
      </c>
      <c r="F38">
        <v>1.74</v>
      </c>
      <c r="G38">
        <v>2.0667920338117707</v>
      </c>
    </row>
    <row r="39" spans="5:7">
      <c r="E39" t="s">
        <v>377</v>
      </c>
      <c r="F39">
        <v>1.36</v>
      </c>
      <c r="G39">
        <v>1.986208068973716</v>
      </c>
    </row>
    <row r="40" spans="5:7">
      <c r="E40" t="s">
        <v>372</v>
      </c>
      <c r="F40">
        <v>1.29</v>
      </c>
      <c r="G40">
        <v>1.9124978871920328</v>
      </c>
    </row>
    <row r="41" spans="5:7">
      <c r="E41" t="s">
        <v>321</v>
      </c>
      <c r="F41">
        <v>1.3410148335240457</v>
      </c>
      <c r="G41">
        <v>1.5623344546885187</v>
      </c>
    </row>
    <row r="42" spans="5:7">
      <c r="E42" t="s">
        <v>374</v>
      </c>
      <c r="F42">
        <v>1.95</v>
      </c>
      <c r="G42">
        <v>1.4016280649084223</v>
      </c>
    </row>
    <row r="43" spans="5:7">
      <c r="E43" t="s">
        <v>375</v>
      </c>
      <c r="F43">
        <v>1</v>
      </c>
      <c r="G43">
        <v>1.3593276218480277</v>
      </c>
    </row>
    <row r="44" spans="5:7">
      <c r="E44" t="s">
        <v>379</v>
      </c>
      <c r="F44">
        <v>1.1399999999999999</v>
      </c>
      <c r="G44">
        <v>0.85534437329999324</v>
      </c>
    </row>
    <row r="45" spans="5:7">
      <c r="E45" t="s">
        <v>378</v>
      </c>
      <c r="F45">
        <v>1.07</v>
      </c>
      <c r="G45">
        <v>0.70530399558761392</v>
      </c>
    </row>
  </sheetData>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dimension ref="A3:C32"/>
  <sheetViews>
    <sheetView zoomScale="130" zoomScaleNormal="130" workbookViewId="0">
      <selection activeCell="I24" sqref="I24"/>
    </sheetView>
  </sheetViews>
  <sheetFormatPr defaultRowHeight="12.75"/>
  <sheetData>
    <row r="3" spans="1:3">
      <c r="B3" t="s">
        <v>1262</v>
      </c>
      <c r="C3" t="s">
        <v>1263</v>
      </c>
    </row>
    <row r="4" spans="1:3">
      <c r="A4">
        <v>1981</v>
      </c>
      <c r="B4">
        <f>'[1]1'!B19/'[1]1'!B$19 * 100</f>
        <v>100</v>
      </c>
      <c r="C4">
        <f>'[1]9'!L19/'[1]9'!L$19 * 100</f>
        <v>100</v>
      </c>
    </row>
    <row r="5" spans="1:3">
      <c r="A5">
        <v>1982</v>
      </c>
      <c r="B5">
        <f>'[1]1'!B20/'[1]1'!B$19 * 100</f>
        <v>96.02932428665855</v>
      </c>
      <c r="C5">
        <f>'[1]9'!L20/'[1]9'!L$19 * 100</f>
        <v>95.68218606683277</v>
      </c>
    </row>
    <row r="6" spans="1:3">
      <c r="A6">
        <v>1983</v>
      </c>
      <c r="B6">
        <f>'[1]1'!B21/'[1]1'!B$19 * 100</f>
        <v>97.64174216474548</v>
      </c>
      <c r="C6">
        <f>'[1]9'!L21/'[1]9'!L$19 * 100</f>
        <v>90.476082749633619</v>
      </c>
    </row>
    <row r="7" spans="1:3">
      <c r="A7">
        <v>1984</v>
      </c>
      <c r="B7">
        <f>'[1]1'!B22/'[1]1'!B$19 * 100</f>
        <v>102.33131963381814</v>
      </c>
      <c r="C7">
        <f>'[1]9'!L22/'[1]9'!L$19 * 100</f>
        <v>93.200757723778267</v>
      </c>
    </row>
    <row r="8" spans="1:3">
      <c r="A8">
        <v>1985</v>
      </c>
      <c r="B8">
        <f>'[1]1'!B23/'[1]1'!B$19 * 100</f>
        <v>106.31829657892212</v>
      </c>
      <c r="C8">
        <f>'[1]9'!L23/'[1]9'!L$19 * 100</f>
        <v>97.367971743667383</v>
      </c>
    </row>
    <row r="9" spans="1:3">
      <c r="A9">
        <v>1986</v>
      </c>
      <c r="B9">
        <f>'[1]1'!B24/'[1]1'!B$19 * 100</f>
        <v>107.74359362860115</v>
      </c>
      <c r="C9">
        <f>'[1]9'!L24/'[1]9'!L$19 * 100</f>
        <v>98.813937581538397</v>
      </c>
    </row>
    <row r="10" spans="1:3">
      <c r="A10">
        <v>1987</v>
      </c>
      <c r="B10">
        <f>'[1]1'!B25/'[1]1'!B$19 * 100</f>
        <v>110.88430970011507</v>
      </c>
      <c r="C10">
        <f>'[1]9'!L25/'[1]9'!L$19 * 100</f>
        <v>100.66792446821917</v>
      </c>
    </row>
    <row r="11" spans="1:3">
      <c r="A11">
        <v>1988</v>
      </c>
      <c r="B11">
        <f>'[1]1'!B26/'[1]1'!B$19 * 100</f>
        <v>114.87296415548929</v>
      </c>
      <c r="C11">
        <f>'[1]9'!L26/'[1]9'!L$19 * 100</f>
        <v>107.29579455642475</v>
      </c>
    </row>
    <row r="12" spans="1:3">
      <c r="A12">
        <v>1989</v>
      </c>
      <c r="B12">
        <f>'[1]1'!B27/'[1]1'!B$19 * 100</f>
        <v>115.88720164891522</v>
      </c>
      <c r="C12">
        <f>'[1]9'!L27/'[1]9'!L$19 * 100</f>
        <v>112.04444278420773</v>
      </c>
    </row>
    <row r="13" spans="1:3">
      <c r="A13">
        <v>1990</v>
      </c>
      <c r="B13">
        <f>'[1]1'!B28/'[1]1'!B$19 * 100</f>
        <v>114.28141077680564</v>
      </c>
      <c r="C13">
        <f>'[1]9'!L28/'[1]9'!L$19 * 100</f>
        <v>107.58226645240947</v>
      </c>
    </row>
    <row r="14" spans="1:3">
      <c r="A14">
        <v>1991</v>
      </c>
      <c r="B14">
        <f>'[1]1'!B29/'[1]1'!B$19 * 100</f>
        <v>110.55399567699421</v>
      </c>
      <c r="C14">
        <f>'[1]9'!L29/'[1]9'!L$19 * 100</f>
        <v>100.63778163795953</v>
      </c>
    </row>
    <row r="15" spans="1:3">
      <c r="A15">
        <v>1992</v>
      </c>
      <c r="B15">
        <f>'[1]1'!B30/'[1]1'!B$19 * 100</f>
        <v>110.23234459581985</v>
      </c>
      <c r="C15">
        <f>'[1]9'!L30/'[1]9'!L$19 * 100</f>
        <v>100.97657958923148</v>
      </c>
    </row>
    <row r="16" spans="1:3">
      <c r="A16">
        <v>1993</v>
      </c>
      <c r="B16">
        <f>'[1]1'!B31/'[1]1'!B$19 * 100</f>
        <v>111.49662006872659</v>
      </c>
      <c r="C16">
        <f>'[1]9'!L31/'[1]9'!L$19 * 100</f>
        <v>98.472713780986297</v>
      </c>
    </row>
    <row r="17" spans="1:3">
      <c r="A17">
        <v>1994</v>
      </c>
      <c r="B17">
        <f>'[1]1'!B32/'[1]1'!B$19 * 100</f>
        <v>115.58233838396549</v>
      </c>
      <c r="C17">
        <f>'[1]9'!L32/'[1]9'!L$19 * 100</f>
        <v>100.61275716087074</v>
      </c>
    </row>
    <row r="18" spans="1:3">
      <c r="A18">
        <v>1995</v>
      </c>
      <c r="B18">
        <f>'[1]1'!B33/'[1]1'!B$19 * 100</f>
        <v>117.59533896334953</v>
      </c>
      <c r="C18">
        <f>'[1]9'!L33/'[1]9'!L$19 * 100</f>
        <v>100.69857423108483</v>
      </c>
    </row>
    <row r="19" spans="1:3">
      <c r="A19">
        <v>1996</v>
      </c>
      <c r="B19">
        <f>'[1]1'!B34/'[1]1'!B$19 * 100</f>
        <v>118.33220605317842</v>
      </c>
      <c r="C19">
        <f>'[1]9'!L34/'[1]9'!L$19 * 100</f>
        <v>97.495933352262881</v>
      </c>
    </row>
    <row r="20" spans="1:3">
      <c r="A20">
        <v>1997</v>
      </c>
      <c r="B20">
        <f>'[1]1'!B35/'[1]1'!B$19 * 100</f>
        <v>122.1173041304431</v>
      </c>
      <c r="C20">
        <f>'[1]9'!L35/'[1]9'!L$19 * 100</f>
        <v>97.239965363160991</v>
      </c>
    </row>
    <row r="21" spans="1:3">
      <c r="A21">
        <v>1998</v>
      </c>
      <c r="B21">
        <f>'[1]1'!B36/'[1]1'!B$19 * 100</f>
        <v>126.07527000668857</v>
      </c>
      <c r="C21">
        <f>'[1]9'!L36/'[1]9'!L$19 * 100</f>
        <v>100.89455610616274</v>
      </c>
    </row>
    <row r="22" spans="1:3">
      <c r="A22">
        <v>1999</v>
      </c>
      <c r="B22">
        <f>'[1]1'!B37/'[1]1'!B$19 * 100</f>
        <v>131.98788961804183</v>
      </c>
      <c r="C22">
        <f>'[1]9'!L37/'[1]9'!L$19 * 100</f>
        <v>104.84312010219921</v>
      </c>
    </row>
    <row r="23" spans="1:3">
      <c r="A23">
        <v>2000</v>
      </c>
      <c r="B23">
        <f>'[1]1'!B38/'[1]1'!B$19 * 100</f>
        <v>137.57988331813863</v>
      </c>
      <c r="C23">
        <f>'[1]9'!L38/'[1]9'!L$19 * 100</f>
        <v>109.77695540238273</v>
      </c>
    </row>
    <row r="24" spans="1:3">
      <c r="A24">
        <v>2001</v>
      </c>
      <c r="B24">
        <f>'[1]1'!B39/'[1]1'!B$19 * 100</f>
        <v>138.5221946105836</v>
      </c>
      <c r="C24">
        <f>'[1]9'!L39/'[1]9'!L$19 * 100</f>
        <v>112.47481606765231</v>
      </c>
    </row>
    <row r="25" spans="1:3">
      <c r="A25">
        <v>2002</v>
      </c>
      <c r="B25">
        <f>'[1]1'!B40/'[1]1'!B$19 * 100</f>
        <v>141.02317469405403</v>
      </c>
      <c r="C25">
        <f>'[1]9'!L40/'[1]9'!L$19 * 100</f>
        <v>111.8021800737836</v>
      </c>
    </row>
    <row r="26" spans="1:3">
      <c r="A26">
        <v>2003</v>
      </c>
      <c r="B26">
        <f>'[1]1'!B41/'[1]1'!B$19 * 100</f>
        <v>142.35618445267446</v>
      </c>
      <c r="C26">
        <f>'[1]9'!L41/'[1]9'!L$19 * 100</f>
        <v>113.69492211316133</v>
      </c>
    </row>
    <row r="27" spans="1:3">
      <c r="A27">
        <v>2004</v>
      </c>
      <c r="B27">
        <f>'[1]1'!B42/'[1]1'!B$19 * 100</f>
        <v>145.40470677846992</v>
      </c>
      <c r="C27">
        <f>'[1]9'!L42/'[1]9'!L$19 * 100</f>
        <v>116.05144071011723</v>
      </c>
    </row>
    <row r="28" spans="1:3">
      <c r="A28">
        <v>2005</v>
      </c>
      <c r="B28">
        <f>'[1]1'!B43/'[1]1'!B$19 * 100</f>
        <v>148.14622311457944</v>
      </c>
      <c r="C28">
        <f>'[1]9'!L43/'[1]9'!L$19 * 100</f>
        <v>118.9719396317044</v>
      </c>
    </row>
    <row r="29" spans="1:3">
      <c r="A29">
        <v>2006</v>
      </c>
      <c r="B29">
        <f>'[1]1'!B44/'[1]1'!B$19 * 100</f>
        <v>151.25411815999058</v>
      </c>
      <c r="C29">
        <f>'[1]9'!L44/'[1]9'!L$19 * 100</f>
        <v>125.36120262657629</v>
      </c>
    </row>
    <row r="30" spans="1:3">
      <c r="A30">
        <v>2007</v>
      </c>
      <c r="B30">
        <f>'[1]1'!B45/'[1]1'!B$19 * 100</f>
        <v>153.66190608370911</v>
      </c>
      <c r="C30">
        <f>'[1]9'!L45/'[1]9'!L$19 * 100</f>
        <v>130.44026062900539</v>
      </c>
    </row>
    <row r="31" spans="1:3">
      <c r="A31">
        <v>2008</v>
      </c>
      <c r="B31">
        <f>'[1]1'!B46/'[1]1'!B$19 * 100</f>
        <v>152.52787917920207</v>
      </c>
      <c r="C31">
        <f>'[1]9'!L46/'[1]9'!L$19 * 100</f>
        <v>133.59532006333131</v>
      </c>
    </row>
    <row r="32" spans="1:3">
      <c r="A32">
        <v>2009</v>
      </c>
      <c r="B32">
        <f>'[1]1'!B47/'[1]1'!B$19 * 100</f>
        <v>154.35293552425304</v>
      </c>
      <c r="C32">
        <f>'[1]9'!L47/'[1]9'!L$19 * 100</f>
        <v>134.56602483006506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pageSetUpPr fitToPage="1"/>
  </sheetPr>
  <dimension ref="A1:AR55"/>
  <sheetViews>
    <sheetView view="pageBreakPreview" zoomScaleSheetLayoutView="100" workbookViewId="0">
      <pane xSplit="1" ySplit="2" topLeftCell="B39" activePane="bottomRight" state="frozen"/>
      <selection activeCell="J107" sqref="J107"/>
      <selection pane="topRight" activeCell="J107" sqref="J107"/>
      <selection pane="bottomLeft" activeCell="J107" sqref="J107"/>
      <selection pane="bottomRight" activeCell="A49" sqref="A49"/>
    </sheetView>
  </sheetViews>
  <sheetFormatPr defaultColWidth="8.875" defaultRowHeight="12.75"/>
  <cols>
    <col min="1" max="1" width="51.375" style="46" customWidth="1"/>
    <col min="2" max="3" width="12.5" style="46" customWidth="1"/>
    <col min="4" max="4" width="8.875" style="46" customWidth="1"/>
    <col min="5" max="5" width="12.75" style="46" customWidth="1"/>
    <col min="6" max="16384" width="8.875" style="46"/>
  </cols>
  <sheetData>
    <row r="1" spans="1:12" ht="15.75">
      <c r="A1" s="65" t="s">
        <v>19</v>
      </c>
      <c r="B1" s="45"/>
      <c r="C1" s="45"/>
    </row>
    <row r="2" spans="1:12" s="67" customFormat="1" ht="15" customHeight="1" thickBot="1">
      <c r="A2" s="66"/>
      <c r="B2" s="66" t="s">
        <v>321</v>
      </c>
      <c r="C2" s="66" t="s">
        <v>449</v>
      </c>
      <c r="D2" s="67" t="s">
        <v>450</v>
      </c>
      <c r="E2" s="67" t="s">
        <v>451</v>
      </c>
      <c r="F2" s="67" t="s">
        <v>452</v>
      </c>
      <c r="G2" s="67" t="s">
        <v>453</v>
      </c>
      <c r="H2" s="67" t="s">
        <v>454</v>
      </c>
      <c r="I2" s="67" t="s">
        <v>455</v>
      </c>
      <c r="J2" s="67" t="s">
        <v>456</v>
      </c>
      <c r="K2" s="67" t="s">
        <v>457</v>
      </c>
      <c r="L2" s="67" t="s">
        <v>458</v>
      </c>
    </row>
    <row r="3" spans="1:12" s="49" customFormat="1" ht="15" customHeight="1" thickTop="1">
      <c r="A3" s="47" t="s">
        <v>59</v>
      </c>
      <c r="B3" s="48">
        <f>'1'!H44</f>
        <v>42260.512942360619</v>
      </c>
      <c r="C3" s="48">
        <f>'1'!R44</f>
        <v>37670.997077916421</v>
      </c>
      <c r="D3" s="72">
        <f>'1'!AB44</f>
        <v>38797.694652214494</v>
      </c>
      <c r="E3" s="72">
        <f>'1'!AL44</f>
        <v>41984.975799178377</v>
      </c>
      <c r="F3" s="72">
        <f>'1'!AV44</f>
        <v>37905.795647544881</v>
      </c>
      <c r="G3" s="72">
        <f>'1'!BF44</f>
        <v>39520.572903317523</v>
      </c>
      <c r="H3" s="72">
        <f>'1'!BP44</f>
        <v>43954.578936048631</v>
      </c>
      <c r="I3" s="72">
        <f>'1'!BZ44</f>
        <v>40023.384881429673</v>
      </c>
      <c r="J3" s="72">
        <f>'1'!CJ44</f>
        <v>37989.728677816376</v>
      </c>
      <c r="K3" s="72">
        <f>'1'!CT44</f>
        <v>44645.634401667572</v>
      </c>
      <c r="L3" s="72">
        <f>'1'!DD44</f>
        <v>44363.127540172056</v>
      </c>
    </row>
    <row r="4" spans="1:12" ht="15" customHeight="1" thickBot="1">
      <c r="A4" s="50" t="s">
        <v>61</v>
      </c>
      <c r="B4" s="51">
        <f>B3/$B3*100</f>
        <v>100</v>
      </c>
      <c r="C4" s="51">
        <f t="shared" ref="C4:L4" si="0">C3/$B3*100</f>
        <v>89.139942833387124</v>
      </c>
      <c r="D4" s="51">
        <f t="shared" si="0"/>
        <v>91.806019262309746</v>
      </c>
      <c r="E4" s="51">
        <f t="shared" si="0"/>
        <v>99.348003315629299</v>
      </c>
      <c r="F4" s="51">
        <f t="shared" si="0"/>
        <v>89.695540845055135</v>
      </c>
      <c r="G4" s="51">
        <f t="shared" si="0"/>
        <v>93.516548076971716</v>
      </c>
      <c r="H4" s="51">
        <f t="shared" si="0"/>
        <v>104.00862619911537</v>
      </c>
      <c r="I4" s="51">
        <f t="shared" si="0"/>
        <v>94.706339546843225</v>
      </c>
      <c r="J4" s="51">
        <f t="shared" si="0"/>
        <v>89.894149485669544</v>
      </c>
      <c r="K4" s="51">
        <f t="shared" si="0"/>
        <v>105.64385354848871</v>
      </c>
      <c r="L4" s="51">
        <f t="shared" si="0"/>
        <v>104.97536459313498</v>
      </c>
    </row>
    <row r="5" spans="1:12" s="49" customFormat="1" ht="15" customHeight="1" thickTop="1">
      <c r="A5" s="47" t="s">
        <v>60</v>
      </c>
      <c r="B5" s="48">
        <f>'2'!H44</f>
        <v>209518.0323058216</v>
      </c>
      <c r="C5" s="48">
        <f>'2'!R44</f>
        <v>293525.28947558335</v>
      </c>
      <c r="D5" s="72">
        <f>'2'!AB44</f>
        <v>150891.8395332036</v>
      </c>
      <c r="E5" s="72">
        <f>'2'!AL44</f>
        <v>161513.397460949</v>
      </c>
      <c r="F5" s="72">
        <f>'2'!AV44</f>
        <v>179593.00684917343</v>
      </c>
      <c r="G5" s="72">
        <f>'2'!BF44</f>
        <v>188077.85355324144</v>
      </c>
      <c r="H5" s="72">
        <f>'2'!BP44</f>
        <v>179025.08492069141</v>
      </c>
      <c r="I5" s="72">
        <f>'2'!BZ44</f>
        <v>186586.80782727984</v>
      </c>
      <c r="J5" s="72">
        <f>'2'!CJ44</f>
        <v>273585.22222379281</v>
      </c>
      <c r="K5" s="72">
        <f>'2'!CT44</f>
        <v>331388.78942960751</v>
      </c>
      <c r="L5" s="72">
        <f>'2'!DD44</f>
        <v>222542.49743928816</v>
      </c>
    </row>
    <row r="6" spans="1:12" ht="15" customHeight="1" thickBot="1">
      <c r="A6" s="50" t="s">
        <v>62</v>
      </c>
      <c r="B6" s="51">
        <f>B5/$B5*100</f>
        <v>100</v>
      </c>
      <c r="C6" s="51">
        <f t="shared" ref="C6:L6" si="1">C5/$B5*100</f>
        <v>140.09547829617887</v>
      </c>
      <c r="D6" s="51">
        <f t="shared" si="1"/>
        <v>72.018545550750176</v>
      </c>
      <c r="E6" s="51">
        <f t="shared" si="1"/>
        <v>77.088065253112461</v>
      </c>
      <c r="F6" s="51">
        <f t="shared" si="1"/>
        <v>85.717207665940506</v>
      </c>
      <c r="G6" s="51">
        <f t="shared" si="1"/>
        <v>89.766905255541374</v>
      </c>
      <c r="H6" s="51">
        <f t="shared" si="1"/>
        <v>85.446146544264337</v>
      </c>
      <c r="I6" s="51">
        <f t="shared" si="1"/>
        <v>89.055250172896649</v>
      </c>
      <c r="J6" s="51">
        <f t="shared" si="1"/>
        <v>130.57836560074981</v>
      </c>
      <c r="K6" s="51">
        <f t="shared" si="1"/>
        <v>158.16719247625335</v>
      </c>
      <c r="L6" s="51">
        <f t="shared" si="1"/>
        <v>106.21639340066704</v>
      </c>
    </row>
    <row r="7" spans="1:12" s="49" customFormat="1" ht="15" customHeight="1" thickTop="1">
      <c r="A7" s="47" t="s">
        <v>31</v>
      </c>
      <c r="B7" s="52"/>
      <c r="C7" s="52"/>
      <c r="D7" s="68"/>
      <c r="E7" s="68"/>
      <c r="F7" s="68"/>
      <c r="G7" s="68"/>
      <c r="H7" s="68"/>
      <c r="I7" s="68"/>
      <c r="J7" s="68"/>
      <c r="K7" s="68"/>
      <c r="L7" s="68"/>
    </row>
    <row r="8" spans="1:12" s="55" customFormat="1" ht="15" customHeight="1">
      <c r="A8" s="53" t="s">
        <v>281</v>
      </c>
      <c r="B8" s="54">
        <f>'a17'!B42</f>
        <v>0.39200000000000002</v>
      </c>
      <c r="C8" s="54">
        <f>'a17'!D42</f>
        <v>0.36399999999999999</v>
      </c>
      <c r="D8" s="54">
        <f>'a17'!F42</f>
        <v>0.34300000000000003</v>
      </c>
      <c r="E8" s="54">
        <f>'a17'!H42</f>
        <v>0.374</v>
      </c>
      <c r="F8" s="54">
        <f>'a17'!J42</f>
        <v>0.36699999999999999</v>
      </c>
      <c r="G8" s="54">
        <f>'a17'!L42</f>
        <v>0.375</v>
      </c>
      <c r="H8" s="54">
        <f>'a17'!N42</f>
        <v>0.39100000000000001</v>
      </c>
      <c r="I8" s="54">
        <f>'a17'!P42</f>
        <v>0.376</v>
      </c>
      <c r="J8" s="54">
        <f>'a17'!R42</f>
        <v>0.39500000000000002</v>
      </c>
      <c r="K8" s="54">
        <f>'a17'!T42</f>
        <v>0.38900000000000001</v>
      </c>
      <c r="L8" s="54">
        <f>'a17'!V42</f>
        <v>0.4</v>
      </c>
    </row>
    <row r="9" spans="1:12" ht="15" customHeight="1">
      <c r="A9" s="50" t="s">
        <v>63</v>
      </c>
      <c r="B9" s="51">
        <f>B8/$B8*100</f>
        <v>100</v>
      </c>
      <c r="C9" s="51">
        <f t="shared" ref="C9:L9" si="2">C8/$B8*100</f>
        <v>92.857142857142847</v>
      </c>
      <c r="D9" s="51">
        <f t="shared" si="2"/>
        <v>87.5</v>
      </c>
      <c r="E9" s="51">
        <f t="shared" si="2"/>
        <v>95.408163265306129</v>
      </c>
      <c r="F9" s="51">
        <f t="shared" si="2"/>
        <v>93.622448979591837</v>
      </c>
      <c r="G9" s="51">
        <f t="shared" si="2"/>
        <v>95.66326530612244</v>
      </c>
      <c r="H9" s="51">
        <f t="shared" si="2"/>
        <v>99.744897959183675</v>
      </c>
      <c r="I9" s="51">
        <f t="shared" si="2"/>
        <v>95.918367346938766</v>
      </c>
      <c r="J9" s="51">
        <f t="shared" si="2"/>
        <v>100.76530612244898</v>
      </c>
      <c r="K9" s="51">
        <f t="shared" si="2"/>
        <v>99.234693877551024</v>
      </c>
      <c r="L9" s="51">
        <f t="shared" si="2"/>
        <v>102.04081632653062</v>
      </c>
    </row>
    <row r="10" spans="1:12" ht="15" customHeight="1">
      <c r="A10" s="50" t="s">
        <v>282</v>
      </c>
      <c r="B10" s="73">
        <f>'a18'!D42</f>
        <v>7.2061163999999997E-2</v>
      </c>
      <c r="C10" s="73">
        <f>'a18'!H42</f>
        <v>9.1724724000000007E-2</v>
      </c>
      <c r="D10" s="74">
        <f>'a18'!L42</f>
        <v>5.5685069999999996E-2</v>
      </c>
      <c r="E10" s="74">
        <f>'a18'!P42</f>
        <v>7.8681456000000011E-2</v>
      </c>
      <c r="F10" s="74">
        <f>'a18'!T42</f>
        <v>9.6781607999999991E-2</v>
      </c>
      <c r="G10" s="74">
        <f>'a18'!X42</f>
        <v>7.0616447999999998E-2</v>
      </c>
      <c r="H10" s="74">
        <f>'a18'!AB42</f>
        <v>6.7987080000000005E-2</v>
      </c>
      <c r="I10" s="74">
        <f>'a18'!AF42</f>
        <v>8.1831329999999994E-2</v>
      </c>
      <c r="J10" s="74">
        <f>'a18'!AJ42</f>
        <v>0.10989594</v>
      </c>
      <c r="K10" s="74">
        <f>'a18'!AN42</f>
        <v>4.3184609999999991E-2</v>
      </c>
      <c r="L10" s="74">
        <f>'a18'!AR42</f>
        <v>9.197118E-2</v>
      </c>
    </row>
    <row r="11" spans="1:12" ht="15" customHeight="1">
      <c r="A11" s="50" t="s">
        <v>64</v>
      </c>
      <c r="B11" s="51">
        <f>B10/$B10*100</f>
        <v>100</v>
      </c>
      <c r="C11" s="51">
        <f t="shared" ref="C11:L11" si="3">C10/$B10*100</f>
        <v>127.2873194221509</v>
      </c>
      <c r="D11" s="51">
        <f t="shared" si="3"/>
        <v>77.274730116765809</v>
      </c>
      <c r="E11" s="51">
        <f t="shared" si="3"/>
        <v>109.18704560475878</v>
      </c>
      <c r="F11" s="51">
        <f t="shared" si="3"/>
        <v>134.30480806554831</v>
      </c>
      <c r="G11" s="51">
        <f t="shared" si="3"/>
        <v>97.995153117426753</v>
      </c>
      <c r="H11" s="51">
        <f t="shared" si="3"/>
        <v>94.346352773319069</v>
      </c>
      <c r="I11" s="51">
        <f t="shared" si="3"/>
        <v>113.55815734533515</v>
      </c>
      <c r="J11" s="51">
        <f t="shared" si="3"/>
        <v>152.50369810845689</v>
      </c>
      <c r="K11" s="51">
        <f t="shared" si="3"/>
        <v>59.927716404914008</v>
      </c>
      <c r="L11" s="51">
        <f t="shared" si="3"/>
        <v>127.62932888511209</v>
      </c>
    </row>
    <row r="12" spans="1:12" ht="15" customHeight="1">
      <c r="A12" s="50" t="s">
        <v>34</v>
      </c>
      <c r="B12" s="51">
        <f>B9*0.25+B11*0.75</f>
        <v>100</v>
      </c>
      <c r="C12" s="51">
        <f>C9*0.25+C11*0.75</f>
        <v>118.67977528089888</v>
      </c>
      <c r="D12" s="51">
        <f t="shared" ref="D12:L12" si="4">D9*0.25+D11*0.75</f>
        <v>79.831047587574361</v>
      </c>
      <c r="E12" s="51">
        <f t="shared" si="4"/>
        <v>105.74232501989562</v>
      </c>
      <c r="F12" s="51">
        <f t="shared" si="4"/>
        <v>124.1342182940592</v>
      </c>
      <c r="G12" s="51">
        <f t="shared" si="4"/>
        <v>97.412181164600668</v>
      </c>
      <c r="H12" s="51">
        <f t="shared" si="4"/>
        <v>95.695989069785227</v>
      </c>
      <c r="I12" s="51">
        <f t="shared" si="4"/>
        <v>109.14820984573606</v>
      </c>
      <c r="J12" s="51">
        <f t="shared" si="4"/>
        <v>139.56910011195492</v>
      </c>
      <c r="K12" s="51">
        <f t="shared" si="4"/>
        <v>69.754460773073262</v>
      </c>
      <c r="L12" s="51">
        <f t="shared" si="4"/>
        <v>121.23220074546671</v>
      </c>
    </row>
    <row r="13" spans="1:12" ht="15" customHeight="1" thickBot="1">
      <c r="A13" s="50" t="s">
        <v>35</v>
      </c>
      <c r="B13" s="51">
        <f>200-B12</f>
        <v>100</v>
      </c>
      <c r="C13" s="51">
        <f t="shared" ref="C13:L13" si="5">200-C12</f>
        <v>81.32022471910112</v>
      </c>
      <c r="D13" s="51">
        <f t="shared" si="5"/>
        <v>120.16895241242564</v>
      </c>
      <c r="E13" s="51">
        <f t="shared" si="5"/>
        <v>94.257674980104383</v>
      </c>
      <c r="F13" s="51">
        <f t="shared" si="5"/>
        <v>75.865781705940805</v>
      </c>
      <c r="G13" s="51">
        <f t="shared" si="5"/>
        <v>102.58781883539933</v>
      </c>
      <c r="H13" s="51">
        <f t="shared" si="5"/>
        <v>104.30401093021477</v>
      </c>
      <c r="I13" s="51">
        <f t="shared" si="5"/>
        <v>90.851790154263938</v>
      </c>
      <c r="J13" s="51">
        <f t="shared" si="5"/>
        <v>60.430899888045076</v>
      </c>
      <c r="K13" s="51">
        <f t="shared" si="5"/>
        <v>130.24553922692672</v>
      </c>
      <c r="L13" s="51">
        <f t="shared" si="5"/>
        <v>78.767799254533287</v>
      </c>
    </row>
    <row r="14" spans="1:12" s="49" customFormat="1" ht="15" customHeight="1" thickTop="1">
      <c r="A14" s="47" t="s">
        <v>36</v>
      </c>
      <c r="C14" s="52"/>
      <c r="D14" s="68"/>
      <c r="E14" s="68"/>
      <c r="F14" s="68"/>
      <c r="G14" s="68"/>
      <c r="H14" s="68"/>
      <c r="I14" s="68"/>
      <c r="J14" s="68"/>
      <c r="K14" s="68"/>
      <c r="L14" s="68"/>
    </row>
    <row r="15" spans="1:12" s="55" customFormat="1" ht="15" customHeight="1">
      <c r="A15" s="53" t="s">
        <v>37</v>
      </c>
      <c r="B15" s="56"/>
      <c r="C15" s="56"/>
      <c r="D15" s="70"/>
      <c r="E15" s="70"/>
      <c r="F15" s="70"/>
      <c r="G15" s="70"/>
      <c r="H15" s="70"/>
      <c r="I15" s="70"/>
      <c r="J15" s="70"/>
      <c r="K15" s="70"/>
      <c r="L15" s="70"/>
    </row>
    <row r="16" spans="1:12" s="55" customFormat="1" ht="15" customHeight="1">
      <c r="A16" s="53" t="s">
        <v>542</v>
      </c>
      <c r="B16" s="56">
        <f>'a20 (2)'!B40</f>
        <v>6.3</v>
      </c>
      <c r="C16" s="56">
        <f>'a20 (2)'!C40</f>
        <v>14.7</v>
      </c>
      <c r="D16" s="56">
        <f>'a20 (2)'!D40</f>
        <v>11.1</v>
      </c>
      <c r="E16" s="56">
        <f>'a20 (2)'!E40</f>
        <v>7.9</v>
      </c>
      <c r="F16" s="56">
        <f>'a20 (2)'!F40</f>
        <v>8.6999999999999993</v>
      </c>
      <c r="G16" s="56">
        <f>'a20 (2)'!G40</f>
        <v>8.1</v>
      </c>
      <c r="H16" s="56">
        <f>'a20 (2)'!H40</f>
        <v>6.3</v>
      </c>
      <c r="I16" s="56">
        <f>'a20 (2)'!I40</f>
        <v>4.3</v>
      </c>
      <c r="J16" s="56">
        <f>'a20 (2)'!J40</f>
        <v>4.7</v>
      </c>
      <c r="K16" s="56">
        <f>'a20 (2)'!K40</f>
        <v>3.4</v>
      </c>
      <c r="L16" s="56">
        <f>'a20 (2)'!L40</f>
        <v>4.8</v>
      </c>
    </row>
    <row r="17" spans="1:12" s="55" customFormat="1" ht="15" customHeight="1">
      <c r="A17" s="53" t="s">
        <v>543</v>
      </c>
      <c r="B17" s="56">
        <f>'4'!C44</f>
        <v>0.77281746031746024</v>
      </c>
      <c r="C17" s="56">
        <f>'4'!J44</f>
        <v>0.35615079365079361</v>
      </c>
      <c r="D17" s="56">
        <f>'4'!Q44</f>
        <v>0.53472222222222221</v>
      </c>
      <c r="E17" s="56">
        <f>'4'!X44</f>
        <v>0.69345238095238093</v>
      </c>
      <c r="F17" s="56">
        <f>'4'!AE44</f>
        <v>0.65376984126984128</v>
      </c>
      <c r="G17" s="56">
        <f>'4'!AL44</f>
        <v>0.68353174603174605</v>
      </c>
      <c r="H17" s="56">
        <f>'4'!AS44</f>
        <v>0.77281746031746024</v>
      </c>
      <c r="I17" s="56">
        <f>'4'!AZ44</f>
        <v>0.87202380952380942</v>
      </c>
      <c r="J17" s="56">
        <f>'4'!BG44</f>
        <v>0.85218253968253965</v>
      </c>
      <c r="K17" s="56">
        <f>'4'!BN44</f>
        <v>0.91666666666666663</v>
      </c>
      <c r="L17" s="56">
        <f>'4'!BU44</f>
        <v>0.8472222222222221</v>
      </c>
    </row>
    <row r="18" spans="1:12" ht="15" customHeight="1">
      <c r="A18" s="50" t="s">
        <v>65</v>
      </c>
      <c r="B18" s="51">
        <f>B17/$B17*100</f>
        <v>100</v>
      </c>
      <c r="C18" s="51">
        <f t="shared" ref="C18:L18" si="6">C17/$B17*100</f>
        <v>46.084724005134788</v>
      </c>
      <c r="D18" s="51">
        <f t="shared" si="6"/>
        <v>69.191270860077026</v>
      </c>
      <c r="E18" s="51">
        <f t="shared" si="6"/>
        <v>89.730423620025675</v>
      </c>
      <c r="F18" s="51">
        <f t="shared" si="6"/>
        <v>84.595635430038513</v>
      </c>
      <c r="G18" s="51">
        <f t="shared" si="6"/>
        <v>88.446726572528902</v>
      </c>
      <c r="H18" s="51">
        <f t="shared" si="6"/>
        <v>100</v>
      </c>
      <c r="I18" s="51">
        <f t="shared" si="6"/>
        <v>112.8369704749679</v>
      </c>
      <c r="J18" s="51">
        <f t="shared" si="6"/>
        <v>110.26957637997434</v>
      </c>
      <c r="K18" s="51">
        <f t="shared" si="6"/>
        <v>118.61360718870347</v>
      </c>
      <c r="L18" s="51">
        <f t="shared" si="6"/>
        <v>109.62772785622592</v>
      </c>
    </row>
    <row r="19" spans="1:12" ht="15" customHeight="1">
      <c r="A19" s="50" t="s">
        <v>38</v>
      </c>
      <c r="B19" s="51">
        <f>'a19'!D44</f>
        <v>44.649194155746343</v>
      </c>
      <c r="C19" s="51">
        <f>'a19'!G44</f>
        <v>102.08670260557052</v>
      </c>
      <c r="D19" s="75">
        <f>'a19'!J44</f>
        <v>95.205882352941174</v>
      </c>
      <c r="E19" s="75">
        <f>'a19'!M44</f>
        <v>76.787918871252202</v>
      </c>
      <c r="F19" s="75">
        <f>'a19'!P44</f>
        <v>98.707584830339329</v>
      </c>
      <c r="G19" s="75">
        <f>'a19'!S44</f>
        <v>52.929500864084588</v>
      </c>
      <c r="H19" s="75">
        <f>'a19'!V44</f>
        <v>29.658969056372548</v>
      </c>
      <c r="I19" s="75">
        <f>'a19'!Y44</f>
        <v>41.192259675405751</v>
      </c>
      <c r="J19" s="75">
        <f>'a19'!AB44</f>
        <v>40.829875518672196</v>
      </c>
      <c r="K19" s="75">
        <f>'a19'!AE44</f>
        <v>27.591374269005847</v>
      </c>
      <c r="L19" s="75">
        <f>'a19'!AH44</f>
        <v>38.85319677219119</v>
      </c>
    </row>
    <row r="20" spans="1:12" ht="15" customHeight="1">
      <c r="A20" s="50" t="s">
        <v>39</v>
      </c>
      <c r="B20" s="51">
        <f>'a23'!B40</f>
        <v>40.471699778080726</v>
      </c>
      <c r="C20" s="51">
        <f>'a23'!C40</f>
        <v>41.781605130381486</v>
      </c>
      <c r="D20" s="51">
        <f>'a23'!D40</f>
        <v>47.92990410506934</v>
      </c>
      <c r="E20" s="51">
        <f>'a23'!E40</f>
        <v>43.699340407792761</v>
      </c>
      <c r="F20" s="51">
        <f>'a23'!F40</f>
        <v>44.046293684840762</v>
      </c>
      <c r="G20" s="51">
        <f>'a23'!G40</f>
        <v>42.434584755403876</v>
      </c>
      <c r="H20" s="51">
        <f>'a23'!H40</f>
        <v>40.020407731675334</v>
      </c>
      <c r="I20" s="51">
        <f>'a23'!I40</f>
        <v>42.797167939448499</v>
      </c>
      <c r="J20" s="51">
        <f>'a23'!J40</f>
        <v>43.298838437170019</v>
      </c>
      <c r="K20" s="51">
        <f>'a23'!K40</f>
        <v>40.503941817240438</v>
      </c>
      <c r="L20" s="51">
        <f>'a23'!L40</f>
        <v>41.190642364373346</v>
      </c>
    </row>
    <row r="21" spans="1:12" ht="15" customHeight="1">
      <c r="A21" s="50" t="s">
        <v>545</v>
      </c>
      <c r="B21" s="147">
        <f>B19*B20</f>
        <v>1807.0287812046026</v>
      </c>
      <c r="C21" s="147">
        <f t="shared" ref="C21:L21" si="7">C19*C20</f>
        <v>4265.3462973286341</v>
      </c>
      <c r="D21" s="147">
        <f t="shared" si="7"/>
        <v>4563.2088114149838</v>
      </c>
      <c r="E21" s="147">
        <f t="shared" si="7"/>
        <v>3355.5814059608238</v>
      </c>
      <c r="F21" s="147">
        <f t="shared" si="7"/>
        <v>4347.7032703584591</v>
      </c>
      <c r="G21" s="147">
        <f t="shared" si="7"/>
        <v>2246.0413904782199</v>
      </c>
      <c r="H21" s="147">
        <f t="shared" si="7"/>
        <v>1186.9640345371715</v>
      </c>
      <c r="I21" s="147">
        <f t="shared" si="7"/>
        <v>1762.9120551337123</v>
      </c>
      <c r="J21" s="147">
        <f t="shared" si="7"/>
        <v>1767.8861834927509</v>
      </c>
      <c r="K21" s="147">
        <f t="shared" si="7"/>
        <v>1117.5594180495177</v>
      </c>
      <c r="L21" s="147">
        <f t="shared" si="7"/>
        <v>1600.3881329559522</v>
      </c>
    </row>
    <row r="22" spans="1:12" ht="15" customHeight="1">
      <c r="A22" s="50" t="s">
        <v>66</v>
      </c>
      <c r="B22" s="51">
        <f>B21/$B21*100</f>
        <v>100</v>
      </c>
      <c r="C22" s="51">
        <f t="shared" ref="C22:L22" si="8">C21/$B21*100</f>
        <v>236.04196799152621</v>
      </c>
      <c r="D22" s="51">
        <f t="shared" si="8"/>
        <v>252.52551917701359</v>
      </c>
      <c r="E22" s="51">
        <f t="shared" si="8"/>
        <v>185.69606864390528</v>
      </c>
      <c r="F22" s="51">
        <f t="shared" si="8"/>
        <v>240.59955854494973</v>
      </c>
      <c r="G22" s="51">
        <f t="shared" si="8"/>
        <v>124.29472146984635</v>
      </c>
      <c r="H22" s="51">
        <f t="shared" si="8"/>
        <v>65.685950709978002</v>
      </c>
      <c r="I22" s="51">
        <f t="shared" si="8"/>
        <v>97.558604127960749</v>
      </c>
      <c r="J22" s="51">
        <f t="shared" si="8"/>
        <v>97.833869713698832</v>
      </c>
      <c r="K22" s="51">
        <f t="shared" si="8"/>
        <v>61.84513659514208</v>
      </c>
      <c r="L22" s="51">
        <f t="shared" si="8"/>
        <v>88.564617763813388</v>
      </c>
    </row>
    <row r="23" spans="1:12" ht="15" customHeight="1">
      <c r="A23" s="50" t="s">
        <v>544</v>
      </c>
      <c r="B23" s="51">
        <f t="shared" ref="B23:L23" si="9">B18*0.8+B22*0.2</f>
        <v>100</v>
      </c>
      <c r="C23" s="51">
        <f t="shared" si="9"/>
        <v>84.076172802413083</v>
      </c>
      <c r="D23" s="51">
        <f t="shared" si="9"/>
        <v>105.85812052346435</v>
      </c>
      <c r="E23" s="51">
        <f t="shared" si="9"/>
        <v>108.9235526248016</v>
      </c>
      <c r="F23" s="51">
        <f t="shared" si="9"/>
        <v>115.79642005302075</v>
      </c>
      <c r="G23" s="51">
        <f t="shared" si="9"/>
        <v>95.616325551992404</v>
      </c>
      <c r="H23" s="51">
        <f t="shared" si="9"/>
        <v>93.137190141995603</v>
      </c>
      <c r="I23" s="51">
        <f t="shared" si="9"/>
        <v>109.78129720556647</v>
      </c>
      <c r="J23" s="51">
        <f t="shared" si="9"/>
        <v>107.78243504671924</v>
      </c>
      <c r="K23" s="51">
        <f t="shared" si="9"/>
        <v>107.2599130699912</v>
      </c>
      <c r="L23" s="51">
        <f t="shared" si="9"/>
        <v>105.41510583774341</v>
      </c>
    </row>
    <row r="24" spans="1:12" s="59" customFormat="1" ht="15" customHeight="1">
      <c r="A24" s="57" t="s">
        <v>40</v>
      </c>
      <c r="B24" s="58"/>
      <c r="C24" s="58"/>
      <c r="D24" s="71"/>
      <c r="E24" s="71"/>
      <c r="F24" s="71"/>
      <c r="G24" s="71"/>
      <c r="H24" s="71"/>
      <c r="I24" s="71"/>
      <c r="J24" s="71"/>
      <c r="K24" s="71"/>
      <c r="L24" s="71"/>
    </row>
    <row r="25" spans="1:12" s="55" customFormat="1" ht="15" customHeight="1">
      <c r="A25" s="53" t="s">
        <v>41</v>
      </c>
      <c r="B25" s="56">
        <f>'a26'!B40</f>
        <v>5.3499970698203212</v>
      </c>
      <c r="C25" s="56">
        <f>'a26'!C40</f>
        <v>4.320740169622205</v>
      </c>
      <c r="D25" s="56">
        <f>'a26'!D40</f>
        <v>6.2954393024815554</v>
      </c>
      <c r="E25" s="56">
        <f>'a26'!E40</f>
        <v>6.0669010868572473</v>
      </c>
      <c r="F25" s="56">
        <f>'a26'!F40</f>
        <v>6.2021758306380477</v>
      </c>
      <c r="G25" s="56">
        <f>'a26'!G40</f>
        <v>5.0507000128340334</v>
      </c>
      <c r="H25" s="56">
        <f>'a26'!H40</f>
        <v>5.8506336770889611</v>
      </c>
      <c r="I25" s="56">
        <f>'a26'!I40</f>
        <v>5.4115495258727853</v>
      </c>
      <c r="J25" s="56">
        <f>'a26'!J40</f>
        <v>4.9883840991223538</v>
      </c>
      <c r="K25" s="56">
        <f>'a26'!K40</f>
        <v>4.3486520861312963</v>
      </c>
      <c r="L25" s="56">
        <f>'a26'!L40</f>
        <v>5.2806559922017442</v>
      </c>
    </row>
    <row r="26" spans="1:12" ht="15" customHeight="1">
      <c r="A26" s="50" t="s">
        <v>67</v>
      </c>
      <c r="B26" s="51">
        <f>B25/$B25*100</f>
        <v>100</v>
      </c>
      <c r="C26" s="51">
        <f t="shared" ref="C26:L26" si="10">C25/$B25*100</f>
        <v>80.761542730476975</v>
      </c>
      <c r="D26" s="51">
        <f t="shared" si="10"/>
        <v>117.67182711172937</v>
      </c>
      <c r="E26" s="51">
        <f t="shared" si="10"/>
        <v>113.40008242398913</v>
      </c>
      <c r="F26" s="51">
        <f t="shared" si="10"/>
        <v>115.92858369259531</v>
      </c>
      <c r="G26" s="51">
        <f t="shared" si="10"/>
        <v>94.405659422233299</v>
      </c>
      <c r="H26" s="51">
        <f t="shared" si="10"/>
        <v>109.35769871899114</v>
      </c>
      <c r="I26" s="51">
        <f t="shared" si="10"/>
        <v>101.15051382737545</v>
      </c>
      <c r="J26" s="51">
        <f t="shared" si="10"/>
        <v>93.24087535042122</v>
      </c>
      <c r="K26" s="51">
        <f t="shared" si="10"/>
        <v>81.283261081811119</v>
      </c>
      <c r="L26" s="51">
        <f t="shared" si="10"/>
        <v>98.703904381373704</v>
      </c>
    </row>
    <row r="27" spans="1:12" ht="15" customHeight="1">
      <c r="A27" s="50" t="s">
        <v>42</v>
      </c>
      <c r="B27" s="51">
        <f>200-B26</f>
        <v>100</v>
      </c>
      <c r="C27" s="51">
        <f t="shared" ref="C27:L27" si="11">200-C26</f>
        <v>119.23845726952302</v>
      </c>
      <c r="D27" s="51">
        <f t="shared" si="11"/>
        <v>82.328172888270629</v>
      </c>
      <c r="E27" s="51">
        <f t="shared" si="11"/>
        <v>86.599917576010867</v>
      </c>
      <c r="F27" s="51">
        <f t="shared" si="11"/>
        <v>84.071416307404689</v>
      </c>
      <c r="G27" s="51">
        <f t="shared" si="11"/>
        <v>105.5943405777667</v>
      </c>
      <c r="H27" s="51">
        <f t="shared" si="11"/>
        <v>90.642301281008855</v>
      </c>
      <c r="I27" s="51">
        <f t="shared" si="11"/>
        <v>98.849486172624552</v>
      </c>
      <c r="J27" s="51">
        <f t="shared" si="11"/>
        <v>106.75912464957878</v>
      </c>
      <c r="K27" s="51">
        <f t="shared" si="11"/>
        <v>118.71673891818888</v>
      </c>
      <c r="L27" s="51">
        <f t="shared" si="11"/>
        <v>101.2960956186263</v>
      </c>
    </row>
    <row r="28" spans="1:12" s="59" customFormat="1" ht="15" customHeight="1">
      <c r="A28" s="57" t="s">
        <v>43</v>
      </c>
      <c r="B28" s="58"/>
      <c r="C28" s="58"/>
      <c r="D28" s="71"/>
      <c r="E28" s="71"/>
      <c r="F28" s="71"/>
      <c r="G28" s="71"/>
      <c r="H28" s="71"/>
      <c r="I28" s="71"/>
      <c r="J28" s="71"/>
      <c r="K28" s="71"/>
      <c r="L28" s="71"/>
    </row>
    <row r="29" spans="1:12" s="55" customFormat="1" ht="15" customHeight="1">
      <c r="A29" s="53" t="s">
        <v>283</v>
      </c>
      <c r="B29" s="149">
        <f>'a27'!H43</f>
        <v>0.120291</v>
      </c>
      <c r="C29" s="149">
        <f>'a27'!O43</f>
        <v>0.16899630000000002</v>
      </c>
      <c r="D29" s="150">
        <f>'a27'!V43</f>
        <v>0.10014099999999999</v>
      </c>
      <c r="E29" s="150">
        <f>'a27'!AC43</f>
        <v>0.13010559999999999</v>
      </c>
      <c r="F29" s="150">
        <f>'a27'!AJ43</f>
        <v>0.16055700000000001</v>
      </c>
      <c r="G29" s="150">
        <f>'a27'!AQ43</f>
        <v>9.1287500000000008E-2</v>
      </c>
      <c r="H29" s="150">
        <f>'a27'!AX43</f>
        <v>0.12382879999999999</v>
      </c>
      <c r="I29" s="150">
        <f>'a27'!BE43</f>
        <v>0.10233</v>
      </c>
      <c r="J29" s="150">
        <f>'a27'!BL43</f>
        <v>0.16954080000000002</v>
      </c>
      <c r="K29" s="150">
        <f>'a27'!BS43</f>
        <v>8.1908399999999992E-2</v>
      </c>
      <c r="L29" s="150">
        <f>'a27'!BZ43</f>
        <v>0.16063379999999999</v>
      </c>
    </row>
    <row r="30" spans="1:12" ht="15" customHeight="1">
      <c r="A30" s="50" t="s">
        <v>68</v>
      </c>
      <c r="B30" s="51">
        <f>B29/$B29*100</f>
        <v>100</v>
      </c>
      <c r="C30" s="51">
        <f t="shared" ref="C30:L30" si="12">C29/$B29*100</f>
        <v>140.48956281018533</v>
      </c>
      <c r="D30" s="51">
        <f t="shared" si="12"/>
        <v>83.248954618383749</v>
      </c>
      <c r="E30" s="51">
        <f t="shared" si="12"/>
        <v>108.15904764279954</v>
      </c>
      <c r="F30" s="51">
        <f t="shared" si="12"/>
        <v>133.47382597201786</v>
      </c>
      <c r="G30" s="51">
        <f t="shared" si="12"/>
        <v>75.888886117830936</v>
      </c>
      <c r="H30" s="51">
        <f t="shared" si="12"/>
        <v>102.94103465762193</v>
      </c>
      <c r="I30" s="51">
        <f t="shared" si="12"/>
        <v>85.068708382173241</v>
      </c>
      <c r="J30" s="51">
        <f t="shared" si="12"/>
        <v>140.94221512831388</v>
      </c>
      <c r="K30" s="51">
        <f t="shared" si="12"/>
        <v>68.091877197795341</v>
      </c>
      <c r="L30" s="51">
        <f t="shared" si="12"/>
        <v>133.53767114746739</v>
      </c>
    </row>
    <row r="31" spans="1:12" ht="15" customHeight="1">
      <c r="A31" s="50" t="s">
        <v>44</v>
      </c>
      <c r="B31" s="51">
        <f>'a27'!E43</f>
        <v>0.90232467859311449</v>
      </c>
      <c r="C31" s="51">
        <f>'a27'!L43</f>
        <v>0.55967118016530915</v>
      </c>
      <c r="D31" s="75">
        <f>'a27'!S43</f>
        <v>0.81191118706161935</v>
      </c>
      <c r="E31" s="75">
        <f>'a27'!Z43</f>
        <v>0.82805699298468138</v>
      </c>
      <c r="F31" s="75">
        <f>'a27'!AG43</f>
        <v>0.73420921756192248</v>
      </c>
      <c r="G31" s="75">
        <f>'a27'!AN43</f>
        <v>0.84339079091457159</v>
      </c>
      <c r="H31" s="75">
        <f>'a27'!AU43</f>
        <v>0.9405893028276</v>
      </c>
      <c r="I31" s="75">
        <f>'a27'!BB43</f>
        <v>0.89198198605842483</v>
      </c>
      <c r="J31" s="75">
        <f>'a27'!BI43</f>
        <v>0.80607741301951719</v>
      </c>
      <c r="K31" s="75">
        <f>'a27'!BP43</f>
        <v>0.99860408012020563</v>
      </c>
      <c r="L31" s="75">
        <f>'a27'!BW43</f>
        <v>0.94066557321291089</v>
      </c>
    </row>
    <row r="32" spans="1:12" ht="15" customHeight="1">
      <c r="A32" s="50" t="s">
        <v>69</v>
      </c>
      <c r="B32" s="51">
        <f>B31/$B31*100</f>
        <v>100</v>
      </c>
      <c r="C32" s="51">
        <f t="shared" ref="C32:L32" si="13">C31/$B31*100</f>
        <v>62.025476354912136</v>
      </c>
      <c r="D32" s="51">
        <f t="shared" si="13"/>
        <v>89.979938078113307</v>
      </c>
      <c r="E32" s="51">
        <f t="shared" si="13"/>
        <v>91.769294648548268</v>
      </c>
      <c r="F32" s="51">
        <f t="shared" si="13"/>
        <v>81.368628718731927</v>
      </c>
      <c r="G32" s="51">
        <f t="shared" si="13"/>
        <v>93.468660552382161</v>
      </c>
      <c r="H32" s="51">
        <f t="shared" si="13"/>
        <v>104.24067136168181</v>
      </c>
      <c r="I32" s="51">
        <f t="shared" si="13"/>
        <v>98.853772618652542</v>
      </c>
      <c r="J32" s="51">
        <f t="shared" si="13"/>
        <v>89.333410926578665</v>
      </c>
      <c r="K32" s="51">
        <f t="shared" si="13"/>
        <v>110.67015053574816</v>
      </c>
      <c r="L32" s="51">
        <f t="shared" si="13"/>
        <v>104.24912401593367</v>
      </c>
    </row>
    <row r="33" spans="1:44" ht="15" customHeight="1">
      <c r="A33" s="50" t="s">
        <v>45</v>
      </c>
      <c r="B33" s="51">
        <f>B30*B32/100</f>
        <v>100</v>
      </c>
      <c r="C33" s="51">
        <f t="shared" ref="C33:L33" si="14">C30*C32/100</f>
        <v>87.139320561950939</v>
      </c>
      <c r="D33" s="51">
        <f t="shared" si="14"/>
        <v>74.907357816298344</v>
      </c>
      <c r="E33" s="51">
        <f t="shared" si="14"/>
        <v>99.25679512038441</v>
      </c>
      <c r="F33" s="51">
        <f t="shared" si="14"/>
        <v>108.6058218918576</v>
      </c>
      <c r="G33" s="51">
        <f t="shared" si="14"/>
        <v>70.932325362459267</v>
      </c>
      <c r="H33" s="51">
        <f t="shared" si="14"/>
        <v>107.30642563376665</v>
      </c>
      <c r="I33" s="51">
        <f t="shared" si="14"/>
        <v>84.093627553738145</v>
      </c>
      <c r="J33" s="51">
        <f t="shared" si="14"/>
        <v>125.90848820959917</v>
      </c>
      <c r="K33" s="51">
        <f t="shared" si="14"/>
        <v>75.357382997416877</v>
      </c>
      <c r="L33" s="51">
        <f t="shared" si="14"/>
        <v>139.21185240251296</v>
      </c>
    </row>
    <row r="34" spans="1:44" ht="15" customHeight="1">
      <c r="A34" s="50" t="s">
        <v>46</v>
      </c>
      <c r="B34" s="51">
        <f>200-B33</f>
        <v>100</v>
      </c>
      <c r="C34" s="51">
        <f t="shared" ref="C34:L34" si="15">200-C33</f>
        <v>112.86067943804906</v>
      </c>
      <c r="D34" s="51">
        <f t="shared" si="15"/>
        <v>125.09264218370166</v>
      </c>
      <c r="E34" s="51">
        <f t="shared" si="15"/>
        <v>100.74320487961559</v>
      </c>
      <c r="F34" s="51">
        <f t="shared" si="15"/>
        <v>91.394178108142398</v>
      </c>
      <c r="G34" s="51">
        <f t="shared" si="15"/>
        <v>129.06767463754073</v>
      </c>
      <c r="H34" s="51">
        <f t="shared" si="15"/>
        <v>92.693574366233349</v>
      </c>
      <c r="I34" s="51">
        <f t="shared" si="15"/>
        <v>115.90637244626186</v>
      </c>
      <c r="J34" s="51">
        <f t="shared" si="15"/>
        <v>74.09151179040083</v>
      </c>
      <c r="K34" s="51">
        <f t="shared" si="15"/>
        <v>124.64261700258312</v>
      </c>
      <c r="L34" s="51">
        <f t="shared" si="15"/>
        <v>60.78814759748704</v>
      </c>
    </row>
    <row r="35" spans="1:44" s="59" customFormat="1" ht="15" customHeight="1">
      <c r="A35" s="57" t="s">
        <v>47</v>
      </c>
      <c r="B35" s="58"/>
      <c r="C35" s="58"/>
      <c r="D35" s="71"/>
      <c r="E35" s="71"/>
      <c r="F35" s="71"/>
      <c r="G35" s="71"/>
      <c r="H35" s="71"/>
      <c r="I35" s="71"/>
      <c r="J35" s="71"/>
      <c r="K35" s="71"/>
      <c r="L35" s="71"/>
    </row>
    <row r="36" spans="1:44" s="55" customFormat="1" ht="15" customHeight="1">
      <c r="A36" s="53" t="s">
        <v>284</v>
      </c>
      <c r="B36" s="149">
        <f>'7'!D43</f>
        <v>2.5423146000000001E-2</v>
      </c>
      <c r="C36" s="149">
        <f>'7'!H43</f>
        <v>4.9399875000000003E-2</v>
      </c>
      <c r="D36" s="150">
        <f>'7'!L43</f>
        <v>3.5913212999999999E-2</v>
      </c>
      <c r="E36" s="150">
        <f>'7'!P43</f>
        <v>3.9018671999999997E-2</v>
      </c>
      <c r="F36" s="150">
        <f>'7'!T43</f>
        <v>3.8636891999999999E-2</v>
      </c>
      <c r="G36" s="150">
        <f>'7'!X43</f>
        <v>3.3693408000000001E-2</v>
      </c>
      <c r="H36" s="150">
        <f>'7'!AB43</f>
        <v>1.9357190999999999E-2</v>
      </c>
      <c r="I36" s="150">
        <f>'7'!AF43</f>
        <v>2.3549400000000002E-2</v>
      </c>
      <c r="J36" s="150">
        <f>'7'!AJ43</f>
        <v>3.7284785999999986E-2</v>
      </c>
      <c r="K36" s="150">
        <f>'7'!AN43</f>
        <v>7.6114079999999992E-3</v>
      </c>
      <c r="L36" s="150">
        <f>'7'!AR43</f>
        <v>2.2713074999999999E-2</v>
      </c>
    </row>
    <row r="37" spans="1:44" ht="15" customHeight="1">
      <c r="A37" s="50" t="s">
        <v>70</v>
      </c>
      <c r="B37" s="51">
        <f>B36/$B36*100</f>
        <v>100</v>
      </c>
      <c r="C37" s="51">
        <f t="shared" ref="C37:L37" si="16">C36/$B36*100</f>
        <v>194.31062937686784</v>
      </c>
      <c r="D37" s="51">
        <f t="shared" si="16"/>
        <v>141.26187608724743</v>
      </c>
      <c r="E37" s="51">
        <f t="shared" si="16"/>
        <v>153.47696150586555</v>
      </c>
      <c r="F37" s="51">
        <f t="shared" si="16"/>
        <v>151.97525908083915</v>
      </c>
      <c r="G37" s="51">
        <f t="shared" si="16"/>
        <v>132.53044292787368</v>
      </c>
      <c r="H37" s="51">
        <f t="shared" si="16"/>
        <v>76.140030034048493</v>
      </c>
      <c r="I37" s="51">
        <f t="shared" si="16"/>
        <v>92.629763444697204</v>
      </c>
      <c r="J37" s="51">
        <f t="shared" si="16"/>
        <v>146.65685356171099</v>
      </c>
      <c r="K37" s="51">
        <f t="shared" si="16"/>
        <v>29.93889111914001</v>
      </c>
      <c r="L37" s="51">
        <f t="shared" si="16"/>
        <v>89.340143033438892</v>
      </c>
    </row>
    <row r="38" spans="1:44" s="62" customFormat="1" ht="15" customHeight="1" thickBot="1">
      <c r="A38" s="60" t="s">
        <v>48</v>
      </c>
      <c r="B38" s="61">
        <f>200-B37</f>
        <v>100</v>
      </c>
      <c r="C38" s="61">
        <f t="shared" ref="C38:L38" si="17">200-C37</f>
        <v>5.689370623132163</v>
      </c>
      <c r="D38" s="61">
        <f t="shared" si="17"/>
        <v>58.73812391275257</v>
      </c>
      <c r="E38" s="61">
        <f t="shared" si="17"/>
        <v>46.523038494134454</v>
      </c>
      <c r="F38" s="61">
        <f t="shared" si="17"/>
        <v>48.024740919160848</v>
      </c>
      <c r="G38" s="61">
        <f t="shared" si="17"/>
        <v>67.469557072126321</v>
      </c>
      <c r="H38" s="61">
        <f t="shared" si="17"/>
        <v>123.85996996595151</v>
      </c>
      <c r="I38" s="61">
        <f t="shared" si="17"/>
        <v>107.3702365553028</v>
      </c>
      <c r="J38" s="61">
        <f t="shared" si="17"/>
        <v>53.343146438289011</v>
      </c>
      <c r="K38" s="61">
        <f t="shared" si="17"/>
        <v>170.06110888085999</v>
      </c>
      <c r="L38" s="61">
        <f t="shared" si="17"/>
        <v>110.65985696656111</v>
      </c>
    </row>
    <row r="39" spans="1:44" s="55" customFormat="1" ht="15" customHeight="1" thickTop="1">
      <c r="A39" s="53" t="s">
        <v>49</v>
      </c>
      <c r="B39" s="56"/>
      <c r="C39" s="56"/>
      <c r="D39" s="70"/>
      <c r="E39" s="70"/>
      <c r="F39" s="70"/>
      <c r="G39" s="70"/>
      <c r="H39" s="70"/>
      <c r="I39" s="70"/>
      <c r="J39" s="70"/>
      <c r="K39" s="70"/>
      <c r="L39" s="70"/>
    </row>
    <row r="40" spans="1:44" ht="15" customHeight="1">
      <c r="A40" s="50" t="s">
        <v>50</v>
      </c>
      <c r="B40" s="51">
        <f>B4</f>
        <v>100</v>
      </c>
      <c r="C40" s="51">
        <f t="shared" ref="C40:L40" si="18">C4</f>
        <v>89.139942833387124</v>
      </c>
      <c r="D40" s="51">
        <f t="shared" si="18"/>
        <v>91.806019262309746</v>
      </c>
      <c r="E40" s="51">
        <f t="shared" si="18"/>
        <v>99.348003315629299</v>
      </c>
      <c r="F40" s="51">
        <f t="shared" si="18"/>
        <v>89.695540845055135</v>
      </c>
      <c r="G40" s="51">
        <f t="shared" si="18"/>
        <v>93.516548076971716</v>
      </c>
      <c r="H40" s="51">
        <f t="shared" si="18"/>
        <v>104.00862619911537</v>
      </c>
      <c r="I40" s="51">
        <f t="shared" si="18"/>
        <v>94.706339546843225</v>
      </c>
      <c r="J40" s="51">
        <f t="shared" si="18"/>
        <v>89.894149485669544</v>
      </c>
      <c r="K40" s="51">
        <f t="shared" si="18"/>
        <v>105.64385354848871</v>
      </c>
      <c r="L40" s="51">
        <f t="shared" si="18"/>
        <v>104.97536459313498</v>
      </c>
    </row>
    <row r="41" spans="1:44" ht="15" customHeight="1">
      <c r="A41" s="50" t="s">
        <v>51</v>
      </c>
      <c r="B41" s="51">
        <f>B6</f>
        <v>100</v>
      </c>
      <c r="C41" s="51">
        <f t="shared" ref="C41:L41" si="19">C6</f>
        <v>140.09547829617887</v>
      </c>
      <c r="D41" s="51">
        <f t="shared" si="19"/>
        <v>72.018545550750176</v>
      </c>
      <c r="E41" s="51">
        <f t="shared" si="19"/>
        <v>77.088065253112461</v>
      </c>
      <c r="F41" s="51">
        <f t="shared" si="19"/>
        <v>85.717207665940506</v>
      </c>
      <c r="G41" s="51">
        <f t="shared" si="19"/>
        <v>89.766905255541374</v>
      </c>
      <c r="H41" s="51">
        <f t="shared" si="19"/>
        <v>85.446146544264337</v>
      </c>
      <c r="I41" s="51">
        <f t="shared" si="19"/>
        <v>89.055250172896649</v>
      </c>
      <c r="J41" s="51">
        <f t="shared" si="19"/>
        <v>130.57836560074981</v>
      </c>
      <c r="K41" s="51">
        <f t="shared" si="19"/>
        <v>158.16719247625335</v>
      </c>
      <c r="L41" s="51">
        <f t="shared" si="19"/>
        <v>106.21639340066704</v>
      </c>
    </row>
    <row r="42" spans="1:44" ht="15" customHeight="1">
      <c r="A42" s="50" t="s">
        <v>52</v>
      </c>
      <c r="B42" s="51">
        <f>B13</f>
        <v>100</v>
      </c>
      <c r="C42" s="51">
        <f t="shared" ref="C42:L42" si="20">C13</f>
        <v>81.32022471910112</v>
      </c>
      <c r="D42" s="51">
        <f t="shared" si="20"/>
        <v>120.16895241242564</v>
      </c>
      <c r="E42" s="51">
        <f t="shared" si="20"/>
        <v>94.257674980104383</v>
      </c>
      <c r="F42" s="51">
        <f t="shared" si="20"/>
        <v>75.865781705940805</v>
      </c>
      <c r="G42" s="51">
        <f t="shared" si="20"/>
        <v>102.58781883539933</v>
      </c>
      <c r="H42" s="51">
        <f t="shared" si="20"/>
        <v>104.30401093021477</v>
      </c>
      <c r="I42" s="51">
        <f t="shared" si="20"/>
        <v>90.851790154263938</v>
      </c>
      <c r="J42" s="51">
        <f t="shared" si="20"/>
        <v>60.430899888045076</v>
      </c>
      <c r="K42" s="51">
        <f t="shared" si="20"/>
        <v>130.24553922692672</v>
      </c>
      <c r="L42" s="51">
        <f t="shared" si="20"/>
        <v>78.767799254533287</v>
      </c>
    </row>
    <row r="43" spans="1:44" ht="15" customHeight="1">
      <c r="A43" s="63" t="s">
        <v>285</v>
      </c>
      <c r="B43" s="51">
        <f>B23*'8'!B36+'12'!B27*'8'!C36+'12'!B34*'8'!D36+'12'!B38*'8'!E36</f>
        <v>100.00000000000001</v>
      </c>
      <c r="C43" s="51">
        <f>C23*'8'!G36+'12'!C27*'8'!H36+'12'!C34*'8'!I36+'12'!C38*'8'!J36</f>
        <v>94.785036989988441</v>
      </c>
      <c r="D43" s="51">
        <f>D23*'8'!L36+'12'!D27*'8'!M36+'12'!D34*'8'!N36+'12'!D38*'8'!O36</f>
        <v>93.647891170096486</v>
      </c>
      <c r="E43" s="51">
        <f>E23*'8'!Q36+'12'!E27*'8'!R36+'12'!E34*'8'!S36+'12'!E38*'8'!T36</f>
        <v>91.015753073332675</v>
      </c>
      <c r="F43" s="51">
        <f>F23*'8'!V36+'12'!F27*'8'!W36+'12'!F34*'8'!X36+'12'!F38*'8'!Y36</f>
        <v>90.796858316014251</v>
      </c>
      <c r="G43" s="51">
        <f>G23*'8'!AA36+'12'!G27*'8'!AB36+'12'!G34*'8'!AC36+'12'!G38*'8'!AD36</f>
        <v>101.78980317023317</v>
      </c>
      <c r="H43" s="51">
        <f>H23*'8'!AF36+'12'!H27*'8'!AG36+'12'!H34*'8'!AH36+'12'!H38*'8'!AI36</f>
        <v>95.088464292897612</v>
      </c>
      <c r="I43" s="51">
        <f>I23*'8'!AK36+'12'!I27*'8'!AL36+'12'!I34*'8'!AM36+'12'!I38*'8'!AN36</f>
        <v>105.74665819288005</v>
      </c>
      <c r="J43" s="51">
        <f>J23*'8'!AP36+'12'!J27*'8'!AQ36+'12'!J34*'8'!AR36+'12'!J38*'8'!AS36</f>
        <v>96.292441242429035</v>
      </c>
      <c r="K43" s="51">
        <f>K23*'8'!AU36+'12'!K27*'8'!AV36+'12'!K34*'8'!AW36+'12'!K38*'8'!AX36</f>
        <v>121.16843802822521</v>
      </c>
      <c r="L43" s="51">
        <f>L23*'8'!AZ36+'12'!L27*'8'!BA36+'12'!L34*'8'!BB36+'12'!L38*'8'!BC36</f>
        <v>97.337529858637041</v>
      </c>
    </row>
    <row r="44" spans="1:44" ht="7.9" customHeight="1">
      <c r="B44" s="51"/>
      <c r="C44" s="51"/>
      <c r="D44" s="69"/>
      <c r="E44" s="69"/>
      <c r="F44" s="69"/>
      <c r="G44" s="69"/>
      <c r="H44" s="69"/>
      <c r="I44" s="69"/>
      <c r="J44" s="69"/>
      <c r="K44" s="69"/>
      <c r="L44" s="69"/>
      <c r="AR44" s="163"/>
    </row>
    <row r="45" spans="1:44" ht="15" customHeight="1">
      <c r="A45" s="50" t="s">
        <v>53</v>
      </c>
      <c r="B45" s="51"/>
      <c r="C45" s="51"/>
      <c r="D45" s="69"/>
      <c r="E45" s="69"/>
      <c r="F45" s="69"/>
      <c r="G45" s="69"/>
      <c r="H45" s="69"/>
      <c r="I45" s="69"/>
      <c r="J45" s="69"/>
      <c r="K45" s="69"/>
      <c r="L45" s="69"/>
    </row>
    <row r="46" spans="1:44" ht="15" customHeight="1">
      <c r="A46" s="50" t="s">
        <v>54</v>
      </c>
      <c r="B46" s="51">
        <f>B40*0.25+B41*0.25+B42*0.25+B43*0.25</f>
        <v>100</v>
      </c>
      <c r="C46" s="51">
        <f t="shared" ref="C46:L46" si="21">C40*0.25+C41*0.25+C42*0.25+C43*0.25</f>
        <v>101.33517070966388</v>
      </c>
      <c r="D46" s="51">
        <f t="shared" si="21"/>
        <v>94.410352098895515</v>
      </c>
      <c r="E46" s="51">
        <f t="shared" si="21"/>
        <v>90.427374155544697</v>
      </c>
      <c r="F46" s="51">
        <f t="shared" si="21"/>
        <v>85.518847133237671</v>
      </c>
      <c r="G46" s="51">
        <f t="shared" si="21"/>
        <v>96.915268834536391</v>
      </c>
      <c r="H46" s="51">
        <f t="shared" si="21"/>
        <v>97.211811991623023</v>
      </c>
      <c r="I46" s="51">
        <f t="shared" si="21"/>
        <v>95.090009516720968</v>
      </c>
      <c r="J46" s="51">
        <f t="shared" si="21"/>
        <v>94.298964054223376</v>
      </c>
      <c r="K46" s="51">
        <f t="shared" si="21"/>
        <v>128.8062558199735</v>
      </c>
      <c r="L46" s="51">
        <f t="shared" si="21"/>
        <v>96.824271776743075</v>
      </c>
    </row>
    <row r="47" spans="1:44" ht="15" customHeight="1">
      <c r="A47" s="50" t="s">
        <v>57</v>
      </c>
      <c r="B47" s="51">
        <f>B40*0.7+B41*0.1+B42*0.1+B43*0.1</f>
        <v>100</v>
      </c>
      <c r="C47" s="51">
        <f t="shared" ref="C47:L47" si="22">C40*0.7+C41*0.1+C42*0.1+C43*0.1</f>
        <v>94.018033983897823</v>
      </c>
      <c r="D47" s="51">
        <f t="shared" si="22"/>
        <v>92.847752396944045</v>
      </c>
      <c r="E47" s="51">
        <f t="shared" si="22"/>
        <v>95.779751651595461</v>
      </c>
      <c r="F47" s="51">
        <f t="shared" si="22"/>
        <v>88.024863360328141</v>
      </c>
      <c r="G47" s="51">
        <f t="shared" si="22"/>
        <v>94.876036379997586</v>
      </c>
      <c r="H47" s="51">
        <f t="shared" si="22"/>
        <v>101.28990051611842</v>
      </c>
      <c r="I47" s="51">
        <f t="shared" si="22"/>
        <v>94.859807534794314</v>
      </c>
      <c r="J47" s="51">
        <f t="shared" si="22"/>
        <v>91.656075313091065</v>
      </c>
      <c r="K47" s="51">
        <f t="shared" si="22"/>
        <v>114.90881445708263</v>
      </c>
      <c r="L47" s="51">
        <f t="shared" si="22"/>
        <v>101.71492746657823</v>
      </c>
    </row>
    <row r="48" spans="1:44" ht="15" customHeight="1">
      <c r="A48" s="64" t="s">
        <v>58</v>
      </c>
      <c r="B48" s="51"/>
      <c r="C48" s="51"/>
      <c r="D48" s="69"/>
      <c r="E48" s="69"/>
      <c r="F48" s="69"/>
      <c r="G48" s="69"/>
      <c r="H48" s="69"/>
      <c r="I48" s="69"/>
      <c r="J48" s="69"/>
      <c r="K48" s="69"/>
      <c r="L48" s="69"/>
    </row>
    <row r="49" spans="1:12" ht="15" customHeight="1">
      <c r="A49" s="50" t="s">
        <v>55</v>
      </c>
      <c r="B49" s="51">
        <f>B40*0.4+B41*0.1+B42*0.25+B43*0.25</f>
        <v>100</v>
      </c>
      <c r="C49" s="51">
        <f t="shared" ref="C49:L49" si="23">C40*0.4+C41*0.1+C42*0.25+C43*0.25</f>
        <v>93.691840390245133</v>
      </c>
      <c r="D49" s="51">
        <f t="shared" si="23"/>
        <v>97.37847315562945</v>
      </c>
      <c r="E49" s="51">
        <f t="shared" si="23"/>
        <v>93.766364864922238</v>
      </c>
      <c r="F49" s="51">
        <f t="shared" si="23"/>
        <v>86.115597110104872</v>
      </c>
      <c r="G49" s="51">
        <f t="shared" si="23"/>
        <v>97.477715257750958</v>
      </c>
      <c r="H49" s="51">
        <f t="shared" si="23"/>
        <v>99.996183939850681</v>
      </c>
      <c r="I49" s="51">
        <f t="shared" si="23"/>
        <v>95.937672922812951</v>
      </c>
      <c r="J49" s="51">
        <f t="shared" si="23"/>
        <v>88.196331636961332</v>
      </c>
      <c r="K49" s="51">
        <f t="shared" si="23"/>
        <v>120.9277549808088</v>
      </c>
      <c r="L49" s="51">
        <f t="shared" si="23"/>
        <v>96.638117455613283</v>
      </c>
    </row>
    <row r="50" spans="1:12" ht="15" customHeight="1">
      <c r="A50" s="64" t="s">
        <v>56</v>
      </c>
      <c r="B50" s="51"/>
      <c r="C50" s="51"/>
      <c r="D50" s="69"/>
      <c r="E50" s="69"/>
      <c r="F50" s="69"/>
      <c r="G50" s="69"/>
      <c r="H50" s="69"/>
      <c r="I50" s="69"/>
      <c r="J50" s="69"/>
      <c r="K50" s="69"/>
      <c r="L50" s="69"/>
    </row>
    <row r="51" spans="1:12" ht="18.75" customHeight="1">
      <c r="A51" s="50" t="s">
        <v>463</v>
      </c>
      <c r="B51" s="51"/>
      <c r="C51" s="51"/>
    </row>
    <row r="52" spans="1:12" ht="15" customHeight="1">
      <c r="A52" s="50"/>
      <c r="B52" s="51"/>
      <c r="C52" s="51"/>
    </row>
    <row r="53" spans="1:12" ht="27.6" customHeight="1">
      <c r="A53" s="639"/>
      <c r="B53" s="640"/>
      <c r="C53" s="640"/>
      <c r="D53" s="641"/>
      <c r="E53" s="641"/>
    </row>
    <row r="54" spans="1:12" ht="15" customHeight="1">
      <c r="A54" s="50"/>
      <c r="B54" s="51"/>
      <c r="C54" s="51"/>
    </row>
    <row r="55" spans="1:12" ht="15" customHeight="1">
      <c r="A55" s="50"/>
    </row>
  </sheetData>
  <mergeCells count="1">
    <mergeCell ref="A53:E53"/>
  </mergeCells>
  <phoneticPr fontId="0" type="noConversion"/>
  <pageMargins left="0.75" right="0.75" top="1" bottom="1" header="0.5" footer="0.5"/>
  <pageSetup scale="61" orientation="landscape" horizontalDpi="360" verticalDpi="360" r:id="rId1"/>
  <headerFooter alignWithMargins="0"/>
</worksheet>
</file>

<file path=xl/worksheets/sheet130.xml><?xml version="1.0" encoding="utf-8"?>
<worksheet xmlns="http://schemas.openxmlformats.org/spreadsheetml/2006/main" xmlns:r="http://schemas.openxmlformats.org/officeDocument/2006/relationships">
  <dimension ref="A1"/>
  <sheetViews>
    <sheetView workbookViewId="0">
      <selection activeCell="I24" sqref="I24"/>
    </sheetView>
  </sheetViews>
  <sheetFormatPr defaultRowHeight="12.75"/>
  <sheetData/>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dimension ref="A1"/>
  <sheetViews>
    <sheetView workbookViewId="0">
      <selection activeCell="I24" sqref="I24"/>
    </sheetView>
  </sheetViews>
  <sheetFormatPr defaultRowHeight="12.75"/>
  <sheetData/>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sheetPr>
    <pageSetUpPr fitToPage="1"/>
  </sheetPr>
  <dimension ref="A1:U52"/>
  <sheetViews>
    <sheetView view="pageBreakPreview" zoomScaleSheetLayoutView="100" workbookViewId="0">
      <selection activeCell="I24" sqref="I24"/>
    </sheetView>
  </sheetViews>
  <sheetFormatPr defaultRowHeight="12.75"/>
  <cols>
    <col min="1" max="1" width="15.625" style="409" customWidth="1"/>
    <col min="2" max="2" width="11.5" style="409" customWidth="1"/>
    <col min="3" max="3" width="11" style="409" customWidth="1"/>
    <col min="4" max="5" width="10.125" style="409" customWidth="1"/>
    <col min="6" max="6" width="8.875" style="409" customWidth="1"/>
    <col min="7" max="7" width="9.125" style="409" customWidth="1"/>
    <col min="8" max="8" width="11.25" style="409" customWidth="1"/>
    <col min="9" max="9" width="12.125" style="409" customWidth="1"/>
    <col min="10" max="10" width="7.375" style="409" bestFit="1" customWidth="1"/>
    <col min="11" max="16384" width="9" style="409"/>
  </cols>
  <sheetData>
    <row r="1" spans="1:21">
      <c r="A1" s="409" t="s">
        <v>1287</v>
      </c>
    </row>
    <row r="3" spans="1:21" s="414" customFormat="1" ht="63.75">
      <c r="A3" s="410"/>
      <c r="B3" s="442" t="s">
        <v>1288</v>
      </c>
      <c r="C3" s="412" t="s">
        <v>570</v>
      </c>
      <c r="D3" s="413" t="s">
        <v>1289</v>
      </c>
      <c r="E3" s="413" t="s">
        <v>479</v>
      </c>
      <c r="F3" s="413" t="s">
        <v>628</v>
      </c>
      <c r="G3" s="412" t="s">
        <v>1272</v>
      </c>
      <c r="H3" s="412" t="s">
        <v>1273</v>
      </c>
      <c r="I3" s="412" t="s">
        <v>1290</v>
      </c>
      <c r="J3" s="487"/>
    </row>
    <row r="4" spans="1:21" s="414" customFormat="1" ht="25.5">
      <c r="A4" s="415"/>
      <c r="B4" s="416" t="s">
        <v>105</v>
      </c>
      <c r="C4" s="417" t="s">
        <v>106</v>
      </c>
      <c r="D4" s="417" t="s">
        <v>107</v>
      </c>
      <c r="E4" s="418" t="s">
        <v>108</v>
      </c>
      <c r="F4" s="418" t="s">
        <v>110</v>
      </c>
      <c r="G4" s="417" t="s">
        <v>111</v>
      </c>
      <c r="H4" s="417" t="s">
        <v>1291</v>
      </c>
      <c r="I4" s="417" t="s">
        <v>1292</v>
      </c>
      <c r="J4" s="487"/>
    </row>
    <row r="5" spans="1:21">
      <c r="A5" s="423" t="s">
        <v>321</v>
      </c>
      <c r="B5" s="438">
        <f>Con!G5</f>
        <v>1.0784215086562761</v>
      </c>
      <c r="C5" s="441">
        <f>Con!H5</f>
        <v>45388.026290223621</v>
      </c>
      <c r="D5" s="439">
        <f>Wea!K5</f>
        <v>227130.40052407348</v>
      </c>
      <c r="E5" s="441">
        <f>Wea!L5</f>
        <v>0.5297906170112241</v>
      </c>
      <c r="F5" s="488">
        <f>Equ!H5</f>
        <v>0.58259815407218163</v>
      </c>
      <c r="G5" s="441">
        <f>Sec!T5</f>
        <v>0.52953838304203926</v>
      </c>
      <c r="H5" s="441">
        <f>(C5+E5+F5+G5)/4</f>
        <v>11347.417054344436</v>
      </c>
      <c r="I5" s="441">
        <f>C5*0.7+E5*0.1+F5*0.1+G5*0.1</f>
        <v>31771.782595871944</v>
      </c>
    </row>
    <row r="6" spans="1:21">
      <c r="A6" s="409" t="s">
        <v>370</v>
      </c>
      <c r="B6" s="446">
        <f>Con!G6</f>
        <v>2652.3838952523379</v>
      </c>
      <c r="C6" s="458">
        <f>Con!H6</f>
        <v>1.0416008198107094</v>
      </c>
      <c r="D6" s="447">
        <f>Wea!K6</f>
        <v>305508.23273966619</v>
      </c>
      <c r="E6" s="458">
        <f>Wea!L6</f>
        <v>0.78012063279439559</v>
      </c>
      <c r="F6" s="420">
        <f>Equ!H6</f>
        <v>0.58213098772691763</v>
      </c>
      <c r="G6" s="458">
        <f>Sec!T6</f>
        <v>0.47756974210840747</v>
      </c>
      <c r="H6" s="458">
        <f t="shared" ref="H6:H15" si="0">(C6+E6+F6+G6)/4</f>
        <v>0.72035554561010762</v>
      </c>
      <c r="I6" s="458">
        <f t="shared" ref="I6:I15" si="1">C6*0.7+E6*0.1+F6*0.1+G6*0.1</f>
        <v>0.91310271013046862</v>
      </c>
    </row>
    <row r="7" spans="1:21">
      <c r="A7" s="409" t="s">
        <v>371</v>
      </c>
      <c r="B7" s="419">
        <f>Con!G7</f>
        <v>10780.255620995644</v>
      </c>
      <c r="C7" s="434">
        <f>Con!H7</f>
        <v>2686.3890122253792</v>
      </c>
      <c r="D7" s="436">
        <f>Wea!K7</f>
        <v>160062.22114098462</v>
      </c>
      <c r="E7" s="434">
        <f>Wea!L7</f>
        <v>0.31558236540590417</v>
      </c>
      <c r="F7" s="421">
        <f>Equ!H7</f>
        <v>0.81367944007484105</v>
      </c>
      <c r="G7" s="434">
        <f>Sec!T7</f>
        <v>0.44812789574422957</v>
      </c>
      <c r="H7" s="434">
        <f t="shared" si="0"/>
        <v>671.99160048165106</v>
      </c>
      <c r="I7" s="434">
        <f t="shared" si="1"/>
        <v>1880.6300475278879</v>
      </c>
      <c r="K7" s="54"/>
      <c r="L7" s="54"/>
      <c r="M7" s="54"/>
      <c r="N7" s="54"/>
      <c r="O7" s="54"/>
      <c r="P7" s="54"/>
      <c r="Q7" s="54"/>
      <c r="R7" s="54"/>
      <c r="S7" s="54"/>
      <c r="T7" s="54"/>
      <c r="U7" s="54"/>
    </row>
    <row r="8" spans="1:21">
      <c r="A8" s="409" t="s">
        <v>372</v>
      </c>
      <c r="B8" s="419">
        <f>Con!G8</f>
        <v>10640.980192233477</v>
      </c>
      <c r="C8" s="434">
        <f>Con!H8</f>
        <v>14030.071497463216</v>
      </c>
      <c r="D8" s="436">
        <f>Wea!K8</f>
        <v>170701.35636337136</v>
      </c>
      <c r="E8" s="434">
        <f>Wea!L8</f>
        <v>0.34956257145209191</v>
      </c>
      <c r="F8" s="421">
        <f>Equ!H8</f>
        <v>0.59975254102576969</v>
      </c>
      <c r="G8" s="434">
        <f>Sec!T8</f>
        <v>0.50571654990393444</v>
      </c>
      <c r="H8" s="434">
        <f t="shared" si="0"/>
        <v>3507.8816322813991</v>
      </c>
      <c r="I8" s="434">
        <f t="shared" si="1"/>
        <v>9821.1955513904868</v>
      </c>
    </row>
    <row r="9" spans="1:21">
      <c r="A9" s="409" t="s">
        <v>373</v>
      </c>
      <c r="B9" s="419">
        <f>Con!G9</f>
        <v>0.92324299017951073</v>
      </c>
      <c r="C9" s="434">
        <f>Con!H9</f>
        <v>9394.6335083027916</v>
      </c>
      <c r="D9" s="436">
        <f>Wea!K9</f>
        <v>190699.49759155675</v>
      </c>
      <c r="E9" s="434">
        <f>Wea!L9</f>
        <v>0.41343439423376116</v>
      </c>
      <c r="F9" s="421">
        <f>Equ!H9</f>
        <v>0.54643675814737303</v>
      </c>
      <c r="G9" s="434">
        <f>Sec!T9</f>
        <v>0.42087793615102032</v>
      </c>
      <c r="H9" s="434">
        <f t="shared" si="0"/>
        <v>2349.0035643478309</v>
      </c>
      <c r="I9" s="434">
        <f t="shared" si="1"/>
        <v>6576.3815307208069</v>
      </c>
    </row>
    <row r="10" spans="1:21">
      <c r="A10" s="409" t="s">
        <v>374</v>
      </c>
      <c r="B10" s="419">
        <f>Con!G10</f>
        <v>23081.109145889561</v>
      </c>
      <c r="C10" s="434">
        <f>Con!H10</f>
        <v>0.89711614902979742</v>
      </c>
      <c r="D10" s="436">
        <f>Wea!K10</f>
        <v>196771.83322463691</v>
      </c>
      <c r="E10" s="434">
        <f>Wea!L10</f>
        <v>0.43282875398957049</v>
      </c>
      <c r="F10" s="421">
        <f>Equ!H10</f>
        <v>0.65733332912271591</v>
      </c>
      <c r="G10" s="434">
        <f>Sec!T10</f>
        <v>0.47377617132475969</v>
      </c>
      <c r="H10" s="434">
        <f t="shared" si="0"/>
        <v>0.61526360086671095</v>
      </c>
      <c r="I10" s="434">
        <f t="shared" si="1"/>
        <v>0.78437512976456281</v>
      </c>
    </row>
    <row r="11" spans="1:21">
      <c r="A11" s="409" t="s">
        <v>375</v>
      </c>
      <c r="B11" s="419">
        <f>Con!G11</f>
        <v>41662.113507713431</v>
      </c>
      <c r="C11" s="434">
        <f>Con!H11</f>
        <v>25823.643061040108</v>
      </c>
      <c r="D11" s="436">
        <f>Wea!K11</f>
        <v>188464.42607133964</v>
      </c>
      <c r="E11" s="434">
        <f>Wea!L11</f>
        <v>0.40629582618312354</v>
      </c>
      <c r="F11" s="421">
        <f>Equ!H11</f>
        <v>0.61076433892504456</v>
      </c>
      <c r="G11" s="434">
        <f>Sec!T11</f>
        <v>0.45741779241698383</v>
      </c>
      <c r="H11" s="434">
        <f t="shared" si="0"/>
        <v>6456.2793847494086</v>
      </c>
      <c r="I11" s="434">
        <f t="shared" si="1"/>
        <v>18076.697590523825</v>
      </c>
    </row>
    <row r="12" spans="1:21">
      <c r="A12" s="409" t="s">
        <v>376</v>
      </c>
      <c r="B12" s="419">
        <f>Con!G12</f>
        <v>0.92305335840916192</v>
      </c>
      <c r="C12" s="434">
        <f>Con!H12</f>
        <v>42590.758822980984</v>
      </c>
      <c r="D12" s="436">
        <f>Wea!K12</f>
        <v>196233.00907618448</v>
      </c>
      <c r="E12" s="434">
        <f>Wea!L12</f>
        <v>0.4311078100214415</v>
      </c>
      <c r="F12" s="421">
        <f>Equ!H12</f>
        <v>0.55128141843586498</v>
      </c>
      <c r="G12" s="434">
        <f>Sec!T12</f>
        <v>0.59024158861067644</v>
      </c>
      <c r="H12" s="434">
        <f t="shared" si="0"/>
        <v>10648.082863449512</v>
      </c>
      <c r="I12" s="434">
        <f t="shared" si="1"/>
        <v>29813.688439168396</v>
      </c>
    </row>
    <row r="13" spans="1:21">
      <c r="A13" s="409" t="s">
        <v>377</v>
      </c>
      <c r="B13" s="419">
        <f>Con!G13</f>
        <v>10.659207319640029</v>
      </c>
      <c r="C13" s="434">
        <f>Con!H13</f>
        <v>0.83175261372431009</v>
      </c>
      <c r="D13" s="436">
        <f>Wea!K13</f>
        <v>289874.0311139478</v>
      </c>
      <c r="E13" s="434">
        <f>Wea!L13</f>
        <v>0.73018674423062424</v>
      </c>
      <c r="F13" s="421">
        <f>Equ!H13</f>
        <v>0.37605586197981328</v>
      </c>
      <c r="G13" s="434">
        <f>Sec!T13</f>
        <v>0.66361989746635552</v>
      </c>
      <c r="H13" s="434">
        <f t="shared" si="0"/>
        <v>0.65040377935027582</v>
      </c>
      <c r="I13" s="434">
        <f t="shared" si="1"/>
        <v>0.75921307997469634</v>
      </c>
    </row>
    <row r="14" spans="1:21">
      <c r="A14" s="409" t="s">
        <v>378</v>
      </c>
      <c r="B14" s="419">
        <f>Con!G14</f>
        <v>0.70994344377470053</v>
      </c>
      <c r="C14" s="434">
        <f>Con!H14</f>
        <v>10.619522016370802</v>
      </c>
      <c r="D14" s="436">
        <f>Wea!K14</f>
        <v>333594.94301443116</v>
      </c>
      <c r="E14" s="434">
        <f>Wea!L14</f>
        <v>0.86982643898509715</v>
      </c>
      <c r="F14" s="421">
        <f>Equ!H14</f>
        <v>0.69616554736389646</v>
      </c>
      <c r="G14" s="434">
        <f>Sec!T14</f>
        <v>0.67784337066030165</v>
      </c>
      <c r="H14" s="434">
        <f t="shared" si="0"/>
        <v>3.2158393433450243</v>
      </c>
      <c r="I14" s="434">
        <f t="shared" si="1"/>
        <v>7.6580489471604896</v>
      </c>
    </row>
    <row r="15" spans="1:21">
      <c r="A15" s="423" t="s">
        <v>379</v>
      </c>
      <c r="B15" s="438">
        <f>Con!G15</f>
        <v>49038.308053175715</v>
      </c>
      <c r="C15" s="441">
        <f>Con!H15</f>
        <v>0.96046009445596614</v>
      </c>
      <c r="D15" s="439">
        <f>Wea!K15</f>
        <v>230531.90984807277</v>
      </c>
      <c r="E15" s="441">
        <f>Wea!L15</f>
        <v>0.54065465673639967</v>
      </c>
      <c r="F15" s="424">
        <f>Equ!H15</f>
        <v>0.41712584487096765</v>
      </c>
      <c r="G15" s="441">
        <f>Sec!T15</f>
        <v>0.53663647889826871</v>
      </c>
      <c r="H15" s="441">
        <f t="shared" si="0"/>
        <v>0.6137192687404005</v>
      </c>
      <c r="I15" s="441">
        <f t="shared" si="1"/>
        <v>0.82176376416973995</v>
      </c>
    </row>
    <row r="17" spans="1:14">
      <c r="A17" s="409" t="s">
        <v>1293</v>
      </c>
    </row>
    <row r="20" spans="1:14">
      <c r="E20" s="489"/>
      <c r="F20" s="489"/>
      <c r="G20" s="489"/>
      <c r="H20" s="489"/>
      <c r="I20" s="489"/>
      <c r="J20" s="489"/>
      <c r="K20" s="489"/>
      <c r="L20" s="489"/>
      <c r="M20" s="489"/>
      <c r="N20" s="489"/>
    </row>
    <row r="21" spans="1:14">
      <c r="E21" s="489"/>
      <c r="F21" s="489"/>
      <c r="G21" s="489"/>
      <c r="H21" s="489"/>
      <c r="I21" s="489"/>
      <c r="J21" s="489"/>
      <c r="K21" s="489"/>
      <c r="L21" s="489"/>
      <c r="M21" s="489"/>
      <c r="N21" s="489"/>
    </row>
    <row r="22" spans="1:14">
      <c r="E22" s="489"/>
      <c r="F22" s="489"/>
      <c r="G22" s="489"/>
      <c r="H22" s="489"/>
      <c r="I22" s="489"/>
      <c r="J22" s="489"/>
      <c r="K22" s="489"/>
      <c r="L22" s="489"/>
      <c r="M22" s="489"/>
      <c r="N22" s="489"/>
    </row>
    <row r="23" spans="1:14">
      <c r="A23" s="409" t="s">
        <v>1294</v>
      </c>
    </row>
    <row r="24" spans="1:14" ht="63.75">
      <c r="A24" s="410"/>
      <c r="B24" s="411" t="s">
        <v>1288</v>
      </c>
      <c r="C24" s="412" t="s">
        <v>570</v>
      </c>
      <c r="D24" s="413" t="s">
        <v>1289</v>
      </c>
      <c r="E24" s="413" t="s">
        <v>479</v>
      </c>
      <c r="F24" s="413" t="s">
        <v>628</v>
      </c>
      <c r="G24" s="412" t="s">
        <v>1272</v>
      </c>
      <c r="H24" s="412" t="s">
        <v>1273</v>
      </c>
      <c r="I24" s="412" t="s">
        <v>1290</v>
      </c>
    </row>
    <row r="25" spans="1:14">
      <c r="A25" s="415"/>
      <c r="B25" s="416"/>
      <c r="C25" s="417"/>
      <c r="D25" s="418"/>
      <c r="E25" s="418"/>
      <c r="F25" s="418"/>
      <c r="G25" s="417"/>
      <c r="H25" s="417"/>
      <c r="I25" s="417"/>
    </row>
    <row r="26" spans="1:14">
      <c r="A26" s="423" t="s">
        <v>321</v>
      </c>
      <c r="B26" s="490">
        <f t="shared" ref="B26:I36" si="2">B5/B$14*100</f>
        <v>151.90245337324524</v>
      </c>
      <c r="C26" s="491">
        <f t="shared" si="2"/>
        <v>427401.7815515098</v>
      </c>
      <c r="D26" s="491">
        <f t="shared" si="2"/>
        <v>68.085684534566809</v>
      </c>
      <c r="E26" s="491">
        <f t="shared" si="2"/>
        <v>60.907624011679538</v>
      </c>
      <c r="F26" s="491">
        <f t="shared" si="2"/>
        <v>83.686725991863625</v>
      </c>
      <c r="G26" s="491">
        <f t="shared" si="2"/>
        <v>78.121053618360918</v>
      </c>
      <c r="H26" s="491">
        <f t="shared" si="2"/>
        <v>352860.19737979752</v>
      </c>
      <c r="I26" s="491">
        <f t="shared" si="2"/>
        <v>414880.90263059147</v>
      </c>
    </row>
    <row r="27" spans="1:14">
      <c r="A27" s="422" t="s">
        <v>370</v>
      </c>
      <c r="B27" s="492">
        <f t="shared" si="2"/>
        <v>373604.95663568209</v>
      </c>
      <c r="C27" s="493">
        <f t="shared" si="2"/>
        <v>9.8083587774007377</v>
      </c>
      <c r="D27" s="493">
        <f t="shared" si="2"/>
        <v>91.580594711368278</v>
      </c>
      <c r="E27" s="493">
        <f t="shared" si="2"/>
        <v>89.686930384023597</v>
      </c>
      <c r="F27" s="493">
        <f t="shared" si="2"/>
        <v>83.619620351971932</v>
      </c>
      <c r="G27" s="493">
        <f t="shared" si="2"/>
        <v>70.454291179863077</v>
      </c>
      <c r="H27" s="493">
        <f t="shared" si="2"/>
        <v>22.400234237473267</v>
      </c>
      <c r="I27" s="493">
        <f t="shared" si="2"/>
        <v>11.923437894309044</v>
      </c>
    </row>
    <row r="28" spans="1:14">
      <c r="A28" s="422" t="s">
        <v>371</v>
      </c>
      <c r="B28" s="492">
        <f t="shared" si="2"/>
        <v>1518466.8181000543</v>
      </c>
      <c r="C28" s="493">
        <f t="shared" si="2"/>
        <v>25296.703637735354</v>
      </c>
      <c r="D28" s="493">
        <f t="shared" si="2"/>
        <v>47.981009452550481</v>
      </c>
      <c r="E28" s="493">
        <f t="shared" si="2"/>
        <v>36.281073012004768</v>
      </c>
      <c r="F28" s="493">
        <f t="shared" si="2"/>
        <v>116.88016494868545</v>
      </c>
      <c r="G28" s="493">
        <f t="shared" si="2"/>
        <v>66.11083255231938</v>
      </c>
      <c r="H28" s="493">
        <f t="shared" si="2"/>
        <v>20896.30509286153</v>
      </c>
      <c r="I28" s="493">
        <f t="shared" si="2"/>
        <v>24557.561077292441</v>
      </c>
    </row>
    <row r="29" spans="1:14">
      <c r="A29" s="422" t="s">
        <v>372</v>
      </c>
      <c r="B29" s="492">
        <f t="shared" si="2"/>
        <v>1498848.9978379707</v>
      </c>
      <c r="C29" s="493">
        <f t="shared" si="2"/>
        <v>132115.84735955906</v>
      </c>
      <c r="D29" s="493">
        <f t="shared" si="2"/>
        <v>51.170247013003099</v>
      </c>
      <c r="E29" s="493">
        <f t="shared" si="2"/>
        <v>40.187623160771849</v>
      </c>
      <c r="F29" s="493">
        <f t="shared" si="2"/>
        <v>86.150850655680287</v>
      </c>
      <c r="G29" s="493">
        <f t="shared" si="2"/>
        <v>74.606697032576292</v>
      </c>
      <c r="H29" s="493">
        <f t="shared" si="2"/>
        <v>109081.37060829042</v>
      </c>
      <c r="I29" s="493">
        <f t="shared" si="2"/>
        <v>128246.70642817013</v>
      </c>
    </row>
    <row r="30" spans="1:14">
      <c r="A30" s="422" t="s">
        <v>373</v>
      </c>
      <c r="B30" s="492">
        <f t="shared" si="2"/>
        <v>130.04458288546439</v>
      </c>
      <c r="C30" s="493">
        <f t="shared" si="2"/>
        <v>88465.69077045322</v>
      </c>
      <c r="D30" s="493">
        <f t="shared" si="2"/>
        <v>57.164984537342697</v>
      </c>
      <c r="E30" s="493">
        <f t="shared" si="2"/>
        <v>47.530676891835036</v>
      </c>
      <c r="F30" s="493">
        <f t="shared" si="2"/>
        <v>78.492358637469621</v>
      </c>
      <c r="G30" s="493">
        <f t="shared" si="2"/>
        <v>62.090735761129324</v>
      </c>
      <c r="H30" s="493">
        <f t="shared" si="2"/>
        <v>73044.804592273707</v>
      </c>
      <c r="I30" s="493">
        <f t="shared" si="2"/>
        <v>85875.417826354431</v>
      </c>
    </row>
    <row r="31" spans="1:14">
      <c r="A31" s="422" t="s">
        <v>374</v>
      </c>
      <c r="B31" s="492">
        <f t="shared" si="2"/>
        <v>3251119.4163818937</v>
      </c>
      <c r="C31" s="493">
        <f t="shared" si="2"/>
        <v>8.4478015832240327</v>
      </c>
      <c r="D31" s="493">
        <f t="shared" si="2"/>
        <v>58.985256624865755</v>
      </c>
      <c r="E31" s="493">
        <f t="shared" si="2"/>
        <v>49.760358456635302</v>
      </c>
      <c r="F31" s="493">
        <f t="shared" si="2"/>
        <v>94.421985059699836</v>
      </c>
      <c r="G31" s="493">
        <f t="shared" si="2"/>
        <v>69.894638176256592</v>
      </c>
      <c r="H31" s="493">
        <f t="shared" si="2"/>
        <v>19.132286634279787</v>
      </c>
      <c r="I31" s="493">
        <f t="shared" si="2"/>
        <v>10.242493031536441</v>
      </c>
    </row>
    <row r="32" spans="1:14">
      <c r="A32" s="422" t="s">
        <v>375</v>
      </c>
      <c r="B32" s="492">
        <f t="shared" si="2"/>
        <v>5868370.7657331135</v>
      </c>
      <c r="C32" s="493">
        <f t="shared" si="2"/>
        <v>243171.42542979805</v>
      </c>
      <c r="D32" s="493">
        <f t="shared" si="2"/>
        <v>56.494988913302194</v>
      </c>
      <c r="E32" s="493">
        <f t="shared" si="2"/>
        <v>46.709988104889582</v>
      </c>
      <c r="F32" s="493">
        <f t="shared" si="2"/>
        <v>87.732629291663102</v>
      </c>
      <c r="G32" s="493">
        <f t="shared" si="2"/>
        <v>67.481340412225819</v>
      </c>
      <c r="H32" s="493">
        <f t="shared" si="2"/>
        <v>200764.98529412763</v>
      </c>
      <c r="I32" s="493">
        <f t="shared" si="2"/>
        <v>236048.34227687251</v>
      </c>
    </row>
    <row r="33" spans="1:9">
      <c r="A33" s="422" t="s">
        <v>376</v>
      </c>
      <c r="B33" s="492">
        <f t="shared" si="2"/>
        <v>130.01787205772007</v>
      </c>
      <c r="C33" s="493">
        <f t="shared" si="2"/>
        <v>401060.97767229151</v>
      </c>
      <c r="D33" s="493">
        <f t="shared" si="2"/>
        <v>58.823736146292703</v>
      </c>
      <c r="E33" s="493">
        <f t="shared" si="2"/>
        <v>49.562509335132745</v>
      </c>
      <c r="F33" s="493">
        <f t="shared" si="2"/>
        <v>79.188264992910035</v>
      </c>
      <c r="G33" s="493">
        <f t="shared" si="2"/>
        <v>87.076397610219232</v>
      </c>
      <c r="H33" s="493">
        <f t="shared" si="2"/>
        <v>331113.64488667768</v>
      </c>
      <c r="I33" s="493">
        <f t="shared" si="2"/>
        <v>389311.80310910579</v>
      </c>
    </row>
    <row r="34" spans="1:9">
      <c r="A34" s="422" t="s">
        <v>377</v>
      </c>
      <c r="B34" s="492">
        <f t="shared" si="2"/>
        <v>1501.4164033920865</v>
      </c>
      <c r="C34" s="493">
        <f t="shared" si="2"/>
        <v>7.832298030383102</v>
      </c>
      <c r="D34" s="493">
        <f t="shared" si="2"/>
        <v>86.894012389572694</v>
      </c>
      <c r="E34" s="493">
        <f t="shared" si="2"/>
        <v>83.946257725000535</v>
      </c>
      <c r="F34" s="493">
        <f t="shared" si="2"/>
        <v>54.018166139331093</v>
      </c>
      <c r="G34" s="493">
        <f t="shared" si="2"/>
        <v>97.90165784462998</v>
      </c>
      <c r="H34" s="493">
        <f t="shared" si="2"/>
        <v>20.22500846307031</v>
      </c>
      <c r="I34" s="493">
        <f t="shared" si="2"/>
        <v>9.913923052897216</v>
      </c>
    </row>
    <row r="35" spans="1:9">
      <c r="A35" s="422" t="s">
        <v>378</v>
      </c>
      <c r="B35" s="492">
        <f t="shared" si="2"/>
        <v>100</v>
      </c>
      <c r="C35" s="493">
        <f t="shared" si="2"/>
        <v>100</v>
      </c>
      <c r="D35" s="493">
        <f t="shared" si="2"/>
        <v>100</v>
      </c>
      <c r="E35" s="493">
        <f t="shared" si="2"/>
        <v>100</v>
      </c>
      <c r="F35" s="493">
        <f t="shared" si="2"/>
        <v>100</v>
      </c>
      <c r="G35" s="493">
        <f t="shared" si="2"/>
        <v>100</v>
      </c>
      <c r="H35" s="493">
        <f t="shared" si="2"/>
        <v>100</v>
      </c>
      <c r="I35" s="493">
        <f t="shared" si="2"/>
        <v>100</v>
      </c>
    </row>
    <row r="36" spans="1:9">
      <c r="A36" s="423" t="s">
        <v>379</v>
      </c>
      <c r="B36" s="490">
        <f t="shared" si="2"/>
        <v>6907354.1678818492</v>
      </c>
      <c r="C36" s="491">
        <f t="shared" si="2"/>
        <v>9.0442874262640434</v>
      </c>
      <c r="D36" s="491">
        <f t="shared" si="2"/>
        <v>69.105337078835774</v>
      </c>
      <c r="E36" s="491">
        <f t="shared" si="2"/>
        <v>62.156613377633008</v>
      </c>
      <c r="F36" s="491">
        <f t="shared" si="2"/>
        <v>59.917622532522365</v>
      </c>
      <c r="G36" s="491">
        <f t="shared" si="2"/>
        <v>79.168212322489737</v>
      </c>
      <c r="H36" s="491">
        <f t="shared" si="2"/>
        <v>19.084263957727043</v>
      </c>
      <c r="I36" s="491">
        <f t="shared" si="2"/>
        <v>10.730719662929811</v>
      </c>
    </row>
    <row r="37" spans="1:9">
      <c r="A37" s="409" t="s">
        <v>1274</v>
      </c>
    </row>
    <row r="39" spans="1:9" ht="63.75">
      <c r="A39" s="410"/>
      <c r="B39" s="442" t="s">
        <v>1288</v>
      </c>
      <c r="C39" s="412" t="s">
        <v>570</v>
      </c>
      <c r="D39" s="413" t="s">
        <v>1289</v>
      </c>
      <c r="E39" s="413" t="s">
        <v>479</v>
      </c>
      <c r="F39" s="413" t="s">
        <v>628</v>
      </c>
      <c r="G39" s="412" t="s">
        <v>1272</v>
      </c>
      <c r="H39" s="412" t="s">
        <v>1273</v>
      </c>
      <c r="I39" s="412" t="s">
        <v>1290</v>
      </c>
    </row>
    <row r="40" spans="1:9" ht="25.5">
      <c r="A40" s="415"/>
      <c r="B40" s="416" t="s">
        <v>105</v>
      </c>
      <c r="C40" s="417" t="s">
        <v>106</v>
      </c>
      <c r="D40" s="417" t="s">
        <v>107</v>
      </c>
      <c r="E40" s="418" t="s">
        <v>108</v>
      </c>
      <c r="F40" s="418" t="s">
        <v>110</v>
      </c>
      <c r="G40" s="417" t="s">
        <v>111</v>
      </c>
      <c r="H40" s="417" t="s">
        <v>1291</v>
      </c>
      <c r="I40" s="417" t="s">
        <v>1292</v>
      </c>
    </row>
    <row r="41" spans="1:9">
      <c r="A41" s="423" t="s">
        <v>321</v>
      </c>
      <c r="B41" s="438">
        <f>Con!G41</f>
        <v>1</v>
      </c>
      <c r="C41" s="441">
        <f>Con!H41</f>
        <v>26544.414111916678</v>
      </c>
      <c r="D41" s="439">
        <f>Wea!K41</f>
        <v>147735.58164931877</v>
      </c>
      <c r="E41" s="441">
        <f>Wea!L41</f>
        <v>0.27621245976709657</v>
      </c>
      <c r="F41" s="488">
        <f>Equ!H41</f>
        <v>0.62244113598221285</v>
      </c>
      <c r="G41" s="441">
        <f>Sec!T41</f>
        <v>0.65965773193210397</v>
      </c>
      <c r="H41" s="441">
        <f>(C41+E41+F41+G41)/4</f>
        <v>6636.4931058110906</v>
      </c>
      <c r="I41" s="441">
        <f>C41*0.7+E41*0.1+F41*0.1+G41*0.1</f>
        <v>18581.245709474439</v>
      </c>
    </row>
    <row r="42" spans="1:9">
      <c r="A42" s="409" t="s">
        <v>370</v>
      </c>
      <c r="B42" s="446">
        <f>Con!G42</f>
        <v>1203.0854024842463</v>
      </c>
      <c r="C42" s="458">
        <f>Con!H42</f>
        <v>1</v>
      </c>
      <c r="D42" s="447">
        <f>Wea!K42</f>
        <v>119761.0876986396</v>
      </c>
      <c r="E42" s="458">
        <f>Wea!L42</f>
        <v>0.18686505994443872</v>
      </c>
      <c r="F42" s="420">
        <f>Equ!H42</f>
        <v>0.39026473009288049</v>
      </c>
      <c r="G42" s="458">
        <f>Sec!T42</f>
        <v>0.44909260107801646</v>
      </c>
      <c r="H42" s="458">
        <f t="shared" ref="H42:H51" si="3">(C42+E42+F42+G42)/4</f>
        <v>0.50655559777883397</v>
      </c>
      <c r="I42" s="458">
        <f t="shared" ref="I42:I51" si="4">C42*0.7+E42*0.1+F42*0.1+G42*0.1</f>
        <v>0.80262223911153352</v>
      </c>
    </row>
    <row r="43" spans="1:9">
      <c r="A43" s="409" t="s">
        <v>371</v>
      </c>
      <c r="B43" s="419">
        <f>Con!G43</f>
        <v>6650.1434918201776</v>
      </c>
      <c r="C43" s="434">
        <f>Con!H43</f>
        <v>1404.5787448585675</v>
      </c>
      <c r="D43" s="436">
        <f>Wea!K43</f>
        <v>87345.509119583192</v>
      </c>
      <c r="E43" s="434">
        <f>Wea!L43</f>
        <v>8.3333333333333329E-2</v>
      </c>
      <c r="F43" s="421">
        <f>Equ!H43</f>
        <v>0.52406742643011883</v>
      </c>
      <c r="G43" s="434">
        <f>Sec!T43</f>
        <v>0.4568628949412793</v>
      </c>
      <c r="H43" s="434">
        <f t="shared" si="3"/>
        <v>351.41075212831799</v>
      </c>
      <c r="I43" s="434">
        <f t="shared" si="4"/>
        <v>983.3115477664677</v>
      </c>
    </row>
    <row r="44" spans="1:9">
      <c r="A44" s="409" t="s">
        <v>372</v>
      </c>
      <c r="B44" s="419">
        <f>Con!G44</f>
        <v>7622.7686644742216</v>
      </c>
      <c r="C44" s="434">
        <f>Con!H44</f>
        <v>6244.8985603270603</v>
      </c>
      <c r="D44" s="436">
        <f>Wea!K44</f>
        <v>107262.86767576404</v>
      </c>
      <c r="E44" s="434">
        <f>Wea!L44</f>
        <v>0.14694714531033681</v>
      </c>
      <c r="F44" s="421">
        <f>Equ!H44</f>
        <v>0.48022551887018616</v>
      </c>
      <c r="G44" s="434">
        <f>Sec!T44</f>
        <v>0.68108408780916574</v>
      </c>
      <c r="H44" s="434">
        <f t="shared" si="3"/>
        <v>1561.5517042697625</v>
      </c>
      <c r="I44" s="434">
        <f t="shared" si="4"/>
        <v>4371.5598179041408</v>
      </c>
    </row>
    <row r="45" spans="1:9">
      <c r="A45" s="409" t="s">
        <v>373</v>
      </c>
      <c r="B45" s="419">
        <f>Con!G45</f>
        <v>1.0539303327369713</v>
      </c>
      <c r="C45" s="434">
        <f>Con!H45</f>
        <v>5438.644354706862</v>
      </c>
      <c r="D45" s="436">
        <f>Wea!K45</f>
        <v>113900.87285263033</v>
      </c>
      <c r="E45" s="434">
        <f>Wea!L45</f>
        <v>0.16814819021960303</v>
      </c>
      <c r="F45" s="421">
        <f>Equ!H45</f>
        <v>0.46035731768219157</v>
      </c>
      <c r="G45" s="434">
        <f>Sec!T45</f>
        <v>0.54333636106830019</v>
      </c>
      <c r="H45" s="434">
        <f t="shared" si="3"/>
        <v>1359.9540491439579</v>
      </c>
      <c r="I45" s="434">
        <f t="shared" si="4"/>
        <v>3807.1682324817002</v>
      </c>
    </row>
    <row r="46" spans="1:9">
      <c r="A46" s="409" t="s">
        <v>374</v>
      </c>
      <c r="B46" s="419">
        <f>Con!G46</f>
        <v>12937.272336127451</v>
      </c>
      <c r="C46" s="434">
        <f>Con!H46</f>
        <v>1.0047907372481997</v>
      </c>
      <c r="D46" s="436">
        <f>Wea!K46</f>
        <v>128866.00730433232</v>
      </c>
      <c r="E46" s="434">
        <f>Wea!L46</f>
        <v>0.21594515318213009</v>
      </c>
      <c r="F46" s="421">
        <f>Equ!H46</f>
        <v>0.61402684986208844</v>
      </c>
      <c r="G46" s="434">
        <f>Sec!T46</f>
        <v>0.63774514006080363</v>
      </c>
      <c r="H46" s="434">
        <f t="shared" si="3"/>
        <v>0.61812697008830542</v>
      </c>
      <c r="I46" s="434">
        <f t="shared" si="4"/>
        <v>0.85012523038424193</v>
      </c>
    </row>
    <row r="47" spans="1:9">
      <c r="A47" s="409" t="s">
        <v>375</v>
      </c>
      <c r="B47" s="419">
        <f>Con!G47</f>
        <v>28546.77889918549</v>
      </c>
      <c r="C47" s="434">
        <f>Con!H47</f>
        <v>15700.239415742975</v>
      </c>
      <c r="D47" s="436">
        <f>Wea!K47</f>
        <v>127696.04764956835</v>
      </c>
      <c r="E47" s="434">
        <f>Wea!L47</f>
        <v>0.2122084331100933</v>
      </c>
      <c r="F47" s="421">
        <f>Equ!H47</f>
        <v>0.75446042080433962</v>
      </c>
      <c r="G47" s="434">
        <f>Sec!T47</f>
        <v>0.72881653700162874</v>
      </c>
      <c r="H47" s="434">
        <f t="shared" si="3"/>
        <v>3925.4837252834727</v>
      </c>
      <c r="I47" s="434">
        <f t="shared" si="4"/>
        <v>10990.337139559175</v>
      </c>
    </row>
    <row r="48" spans="1:9">
      <c r="A48" s="409" t="s">
        <v>376</v>
      </c>
      <c r="B48" s="419">
        <f>Con!G48</f>
        <v>0.35921407758146712</v>
      </c>
      <c r="C48" s="434">
        <f>Con!H48</f>
        <v>23792.62740604909</v>
      </c>
      <c r="D48" s="436">
        <f>Wea!K48</f>
        <v>144062.47898423276</v>
      </c>
      <c r="E48" s="434">
        <f>Wea!L48</f>
        <v>0.26448098133586145</v>
      </c>
      <c r="F48" s="421">
        <f>Equ!H48</f>
        <v>0.47313490614672399</v>
      </c>
      <c r="G48" s="434">
        <f>Sec!T48</f>
        <v>0.67076738582361706</v>
      </c>
      <c r="H48" s="434">
        <f t="shared" si="3"/>
        <v>5948.5089473305989</v>
      </c>
      <c r="I48" s="434">
        <f t="shared" si="4"/>
        <v>16654.980022561693</v>
      </c>
    </row>
    <row r="49" spans="1:9">
      <c r="A49" s="409" t="s">
        <v>377</v>
      </c>
      <c r="B49" s="419">
        <f>Con!G49</f>
        <v>10.121530823210716</v>
      </c>
      <c r="C49" s="434">
        <f>Con!H49</f>
        <v>0.27629353277251784</v>
      </c>
      <c r="D49" s="436">
        <f>Wea!K49</f>
        <v>180196.37554155744</v>
      </c>
      <c r="E49" s="434">
        <f>Wea!L49</f>
        <v>0.37988859902323946</v>
      </c>
      <c r="F49" s="421">
        <f>Equ!H49</f>
        <v>0.30056286714272312</v>
      </c>
      <c r="G49" s="434">
        <f>Sec!T49</f>
        <v>0.74195086234949492</v>
      </c>
      <c r="H49" s="434">
        <f t="shared" si="3"/>
        <v>0.42467396532199386</v>
      </c>
      <c r="I49" s="434">
        <f t="shared" si="4"/>
        <v>0.33564570579230824</v>
      </c>
    </row>
    <row r="50" spans="1:9">
      <c r="A50" s="409" t="s">
        <v>378</v>
      </c>
      <c r="B50" s="419">
        <f>Con!G50</f>
        <v>0.24006816284305954</v>
      </c>
      <c r="C50" s="434">
        <f>Con!H50</f>
        <v>10.154654413569785</v>
      </c>
      <c r="D50" s="436">
        <f>Wea!K50</f>
        <v>264234.53960001905</v>
      </c>
      <c r="E50" s="434">
        <f>Wea!L50</f>
        <v>0.64829708061120361</v>
      </c>
      <c r="F50" s="421">
        <f>Equ!H50</f>
        <v>0.69467784720655845</v>
      </c>
      <c r="G50" s="434">
        <f>Sec!T50</f>
        <v>0.77670048061031971</v>
      </c>
      <c r="H50" s="434">
        <f t="shared" si="3"/>
        <v>3.0685824554994667</v>
      </c>
      <c r="I50" s="434">
        <f t="shared" si="4"/>
        <v>7.3202256303416577</v>
      </c>
    </row>
    <row r="51" spans="1:9">
      <c r="A51" s="423" t="s">
        <v>379</v>
      </c>
      <c r="B51" s="438">
        <f>Con!G51</f>
        <v>30978.774509396244</v>
      </c>
      <c r="C51" s="441">
        <f>Con!H51</f>
        <v>0.40275928381186765</v>
      </c>
      <c r="D51" s="439">
        <f>Wea!K51</f>
        <v>168513.30384328112</v>
      </c>
      <c r="E51" s="441">
        <f>Wea!L51</f>
        <v>0.34257417682053393</v>
      </c>
      <c r="F51" s="424">
        <f>Equ!H51</f>
        <v>0.5537067867056451</v>
      </c>
      <c r="G51" s="441">
        <f>Sec!T51</f>
        <v>0.63282860527469653</v>
      </c>
      <c r="H51" s="441">
        <f t="shared" si="3"/>
        <v>0.4829672131531858</v>
      </c>
      <c r="I51" s="441">
        <f t="shared" si="4"/>
        <v>0.4348424555483949</v>
      </c>
    </row>
    <row r="52" spans="1:9">
      <c r="A52" s="423"/>
      <c r="B52" s="438"/>
      <c r="C52" s="441"/>
      <c r="D52" s="439"/>
      <c r="E52" s="441"/>
      <c r="F52" s="424"/>
      <c r="G52" s="441"/>
      <c r="H52" s="441"/>
      <c r="I52" s="441"/>
    </row>
  </sheetData>
  <pageMargins left="0.75" right="0.75" top="1" bottom="1" header="0.5" footer="0.5"/>
  <pageSetup scale="85" orientation="landscape" horizontalDpi="1200" verticalDpi="1200" r:id="rId1"/>
  <headerFooter alignWithMargins="0"/>
  <colBreaks count="1" manualBreakCount="1">
    <brk id="9" max="1048575" man="1"/>
  </colBreaks>
</worksheet>
</file>

<file path=xl/worksheets/sheet133.xml><?xml version="1.0" encoding="utf-8"?>
<worksheet xmlns="http://schemas.openxmlformats.org/spreadsheetml/2006/main" xmlns:r="http://schemas.openxmlformats.org/officeDocument/2006/relationships">
  <sheetPr>
    <pageSetUpPr fitToPage="1"/>
  </sheetPr>
  <dimension ref="A1:I51"/>
  <sheetViews>
    <sheetView view="pageBreakPreview" zoomScaleSheetLayoutView="100" workbookViewId="0">
      <selection activeCell="I24" sqref="I24"/>
    </sheetView>
  </sheetViews>
  <sheetFormatPr defaultRowHeight="12.75"/>
  <cols>
    <col min="1" max="1" width="15.625" style="409" customWidth="1"/>
    <col min="2" max="2" width="11.5" style="409" customWidth="1"/>
    <col min="3" max="3" width="11" style="409" customWidth="1"/>
    <col min="4" max="5" width="10.125" style="409" customWidth="1"/>
    <col min="6" max="6" width="8.875" style="409" customWidth="1"/>
    <col min="7" max="7" width="11.25" style="409" customWidth="1"/>
    <col min="8" max="16384" width="9" style="409"/>
  </cols>
  <sheetData>
    <row r="1" spans="1:9">
      <c r="A1" s="408" t="s">
        <v>1295</v>
      </c>
    </row>
    <row r="3" spans="1:9" s="414" customFormat="1" ht="63.75">
      <c r="A3" s="410"/>
      <c r="B3" s="442" t="s">
        <v>1296</v>
      </c>
      <c r="C3" s="413" t="s">
        <v>569</v>
      </c>
      <c r="D3" s="413" t="s">
        <v>708</v>
      </c>
      <c r="E3" s="413" t="s">
        <v>1297</v>
      </c>
      <c r="F3" s="413" t="s">
        <v>1298</v>
      </c>
      <c r="G3" s="413" t="s">
        <v>1288</v>
      </c>
      <c r="H3" s="413" t="s">
        <v>1299</v>
      </c>
      <c r="I3" s="413" t="s">
        <v>1300</v>
      </c>
    </row>
    <row r="4" spans="1:9" s="414" customFormat="1">
      <c r="A4" s="415"/>
      <c r="B4" s="425" t="s">
        <v>105</v>
      </c>
      <c r="C4" s="426" t="s">
        <v>106</v>
      </c>
      <c r="D4" s="426" t="s">
        <v>107</v>
      </c>
      <c r="E4" s="426" t="s">
        <v>108</v>
      </c>
      <c r="F4" s="426" t="s">
        <v>109</v>
      </c>
      <c r="G4" s="494" t="s">
        <v>1301</v>
      </c>
      <c r="H4" s="426" t="s">
        <v>111</v>
      </c>
      <c r="I4" s="426"/>
    </row>
    <row r="5" spans="1:9">
      <c r="A5" s="423" t="s">
        <v>321</v>
      </c>
      <c r="B5" s="495">
        <f>'[5]1'!B$47</f>
        <v>40246.650258253438</v>
      </c>
      <c r="C5" s="488">
        <f>'[5]1'!C$47</f>
        <v>25484.883049253505</v>
      </c>
      <c r="D5" s="496">
        <f>'[5]1'!D$47</f>
        <v>0.93339725372356652</v>
      </c>
      <c r="E5" s="496">
        <f>'[5]1'!E$47</f>
        <v>8701.5813892202113</v>
      </c>
      <c r="F5" s="496">
        <f>'[5]1'!F$47</f>
        <v>12732.916611018894</v>
      </c>
      <c r="G5" s="496">
        <f>'[5]1'!H$47</f>
        <v>1.0784215086562761</v>
      </c>
      <c r="H5" s="488">
        <f>'[5]1'!I$47</f>
        <v>45388.026290223621</v>
      </c>
      <c r="I5" s="488">
        <f>(H5 - H41)/H41*100</f>
        <v>70.988992632718961</v>
      </c>
    </row>
    <row r="6" spans="1:9">
      <c r="A6" s="409" t="s">
        <v>370</v>
      </c>
      <c r="B6" s="419">
        <f>'[5]1'!L$47</f>
        <v>0.89765884113438421</v>
      </c>
      <c r="C6" s="421">
        <f>'[5]1'!M$47</f>
        <v>39637.954726928212</v>
      </c>
      <c r="D6" s="436">
        <f>'[5]1'!N$47</f>
        <v>21564.692765397343</v>
      </c>
      <c r="E6" s="436">
        <f>'[5]1'!O$47</f>
        <v>0.93261120699111155</v>
      </c>
      <c r="F6" s="436">
        <f>'[5]1'!P$47</f>
        <v>10220.641343160663</v>
      </c>
      <c r="G6" s="436">
        <f>'[5]1'!R$47</f>
        <v>2652.3838952523379</v>
      </c>
      <c r="H6" s="421">
        <f>'[5]1'!S$47</f>
        <v>1.0416008198107094</v>
      </c>
      <c r="I6" s="421">
        <f t="shared" ref="I6:I15" si="0">(H6 - H42)/H42*100</f>
        <v>4.16008198107094</v>
      </c>
    </row>
    <row r="7" spans="1:9">
      <c r="A7" s="409" t="s">
        <v>371</v>
      </c>
      <c r="B7" s="419">
        <f>'[5]1'!V$47</f>
        <v>10.630953192343211</v>
      </c>
      <c r="C7" s="421">
        <f>'[5]1'!W$47</f>
        <v>0.80256403716273772</v>
      </c>
      <c r="D7" s="436">
        <f>'[5]1'!X$47</f>
        <v>30324.37081690702</v>
      </c>
      <c r="E7" s="436">
        <f>'[5]1'!Y$47</f>
        <v>21841.164772819659</v>
      </c>
      <c r="F7" s="436">
        <f>'[5]1'!Z$47</f>
        <v>0.93571200886180916</v>
      </c>
      <c r="G7" s="436">
        <f>'[5]1'!AB$47</f>
        <v>10780.255620995644</v>
      </c>
      <c r="H7" s="421">
        <f>'[5]1'!AC$47</f>
        <v>2686.3890122253792</v>
      </c>
      <c r="I7" s="421">
        <f t="shared" si="0"/>
        <v>91.259409417866593</v>
      </c>
    </row>
    <row r="8" spans="1:9">
      <c r="A8" s="409" t="s">
        <v>372</v>
      </c>
      <c r="B8" s="419">
        <f>'[5]1'!AF$47</f>
        <v>0.72807660936440866</v>
      </c>
      <c r="C8" s="421">
        <f>'[5]1'!AG$47</f>
        <v>10.633767657332868</v>
      </c>
      <c r="D8" s="436">
        <f>'[5]1'!AH$47</f>
        <v>0.80547158500406524</v>
      </c>
      <c r="E8" s="436">
        <f>'[5]1'!AI$47</f>
        <v>31755.99232562786</v>
      </c>
      <c r="F8" s="436">
        <f>'[5]1'!AJ$47</f>
        <v>23045.333507530511</v>
      </c>
      <c r="G8" s="436">
        <f>'[5]1'!AL$47</f>
        <v>10640.980192233477</v>
      </c>
      <c r="H8" s="421">
        <f>'[5]1'!AM$47</f>
        <v>14030.071497463216</v>
      </c>
      <c r="I8" s="421">
        <f t="shared" si="0"/>
        <v>124.66452196028028</v>
      </c>
    </row>
    <row r="9" spans="1:9">
      <c r="A9" s="409" t="s">
        <v>373</v>
      </c>
      <c r="B9" s="419">
        <f>'[5]1'!AP$47</f>
        <v>45350.842533294446</v>
      </c>
      <c r="C9" s="421">
        <f>'[5]1'!AQ$47</f>
        <v>0.8465865824588471</v>
      </c>
      <c r="D9" s="436">
        <f>'[5]1'!AR$47</f>
        <v>10.722184033833647</v>
      </c>
      <c r="E9" s="436">
        <f>'[5]1'!AS$47</f>
        <v>0.89681215792915903</v>
      </c>
      <c r="F9" s="436">
        <f>'[5]1'!AT$47</f>
        <v>32114.320937173776</v>
      </c>
      <c r="G9" s="436">
        <f>'[5]1'!AV$47</f>
        <v>0.92324299017951073</v>
      </c>
      <c r="H9" s="421">
        <f>'[5]1'!AW$47</f>
        <v>9394.6335083027916</v>
      </c>
      <c r="I9" s="421">
        <f t="shared" si="0"/>
        <v>72.738515254674226</v>
      </c>
    </row>
    <row r="10" spans="1:9">
      <c r="A10" s="409" t="s">
        <v>374</v>
      </c>
      <c r="B10" s="419">
        <f>'[5]1'!AZ$47</f>
        <v>1.0675708943066622</v>
      </c>
      <c r="C10" s="421">
        <f>'[5]1'!BA$47</f>
        <v>41573.60340835846</v>
      </c>
      <c r="D10" s="436">
        <f>'[5]1'!BB$47</f>
        <v>0.72994075011402426</v>
      </c>
      <c r="E10" s="436">
        <f>'[5]1'!BC$47</f>
        <v>10.635220711394879</v>
      </c>
      <c r="F10" s="436">
        <f>'[5]1'!BD$47</f>
        <v>0.80697269594943499</v>
      </c>
      <c r="G10" s="436">
        <f>'[5]1'!BF$47</f>
        <v>23081.109145889561</v>
      </c>
      <c r="H10" s="421">
        <f>'[5]1'!BG$47</f>
        <v>0.89711614902979742</v>
      </c>
      <c r="I10" s="421">
        <f t="shared" si="0"/>
        <v>-10.716120703231052</v>
      </c>
    </row>
    <row r="11" spans="1:9">
      <c r="A11" s="409" t="s">
        <v>375</v>
      </c>
      <c r="B11" s="419">
        <f>'[5]1'!BJ$47</f>
        <v>2838.8979545932752</v>
      </c>
      <c r="C11" s="421">
        <f>'[5]1'!BK$47</f>
        <v>1.0798047819001735</v>
      </c>
      <c r="D11" s="436">
        <f>'[5]1'!BL$47</f>
        <v>42781.34551836778</v>
      </c>
      <c r="E11" s="436">
        <f>'[5]1'!BM$47</f>
        <v>0.76723732547508694</v>
      </c>
      <c r="F11" s="436">
        <f>'[5]1'!BN$47</f>
        <v>10.663857434184049</v>
      </c>
      <c r="G11" s="436">
        <f>'[5]1'!BP$47</f>
        <v>41662.113507713431</v>
      </c>
      <c r="H11" s="421">
        <f>'[5]1'!BQ$47</f>
        <v>25823.643061040108</v>
      </c>
      <c r="I11" s="421">
        <f t="shared" si="0"/>
        <v>64.479294724296835</v>
      </c>
    </row>
    <row r="12" spans="1:9">
      <c r="A12" s="409" t="s">
        <v>376</v>
      </c>
      <c r="B12" s="419">
        <f>'[5]1'!BT$47</f>
        <v>13214.858536336247</v>
      </c>
      <c r="C12" s="421">
        <f>'[5]1'!BU$47</f>
        <v>3176.2203021854884</v>
      </c>
      <c r="D12" s="436">
        <f>'[5]1'!BV$47</f>
        <v>1.0824376814145105</v>
      </c>
      <c r="E12" s="436">
        <f>'[5]1'!BW$47</f>
        <v>46517.559454449169</v>
      </c>
      <c r="F12" s="436">
        <f>'[5]1'!BX$47</f>
        <v>0.88261624906916214</v>
      </c>
      <c r="G12" s="436">
        <f>'[5]1'!BZ$47</f>
        <v>0.92305335840916192</v>
      </c>
      <c r="H12" s="421">
        <f>'[5]1'!CA$47</f>
        <v>42590.758822980984</v>
      </c>
      <c r="I12" s="421">
        <f t="shared" si="0"/>
        <v>79.008220051193732</v>
      </c>
    </row>
    <row r="13" spans="1:9">
      <c r="A13" s="409" t="s">
        <v>377</v>
      </c>
      <c r="B13" s="419">
        <f>'[5]1'!CD$47</f>
        <v>8640.5843070435258</v>
      </c>
      <c r="C13" s="421">
        <f>'[5]1'!CE$47</f>
        <v>12200.118687103897</v>
      </c>
      <c r="D13" s="436">
        <f>'[5]1'!CF$47</f>
        <v>2854.8214652620672</v>
      </c>
      <c r="E13" s="436">
        <f>'[5]1'!CG$47</f>
        <v>1.0561777794095972</v>
      </c>
      <c r="F13" s="436">
        <f>'[5]1'!CH$47</f>
        <v>42582.869187842705</v>
      </c>
      <c r="G13" s="436">
        <f>'[5]1'!CJ$47</f>
        <v>10.659207319640029</v>
      </c>
      <c r="H13" s="421">
        <f>'[5]1'!CK$47</f>
        <v>0.83175261372431009</v>
      </c>
      <c r="I13" s="421">
        <f t="shared" si="0"/>
        <v>201.03947978005019</v>
      </c>
    </row>
    <row r="14" spans="1:9">
      <c r="A14" s="409" t="s">
        <v>378</v>
      </c>
      <c r="B14" s="419">
        <f>'[5]1'!CN$47</f>
        <v>0.95808829910321325</v>
      </c>
      <c r="C14" s="421">
        <f>'[5]1'!CO$47</f>
        <v>8970.5090856945135</v>
      </c>
      <c r="D14" s="436">
        <f>'[5]1'!CP$47</f>
        <v>9601.8827491938773</v>
      </c>
      <c r="E14" s="436">
        <f>'[5]1'!CQ$47</f>
        <v>2973.4261396626234</v>
      </c>
      <c r="F14" s="436">
        <f>'[5]1'!CR$47</f>
        <v>1.0558666961306022</v>
      </c>
      <c r="G14" s="436">
        <f>'[5]1'!CT$47</f>
        <v>0.70994344377470053</v>
      </c>
      <c r="H14" s="421">
        <f>'[5]1'!CU$47</f>
        <v>10.619522016370802</v>
      </c>
      <c r="I14" s="421">
        <f t="shared" si="0"/>
        <v>4.5778771375991685</v>
      </c>
    </row>
    <row r="15" spans="1:9">
      <c r="A15" s="423" t="s">
        <v>379</v>
      </c>
      <c r="B15" s="438">
        <f>'[5]1'!CX$47</f>
        <v>29864.753717877571</v>
      </c>
      <c r="C15" s="424">
        <f>'[5]1'!CY$47</f>
        <v>0.93435160316767729</v>
      </c>
      <c r="D15" s="439">
        <f>'[5]1'!CZ$47</f>
        <v>9587.3761499113643</v>
      </c>
      <c r="E15" s="439">
        <f>'[5]1'!DA$47</f>
        <v>11959.235112524608</v>
      </c>
      <c r="F15" s="439">
        <f>'[5]1'!DB$47</f>
        <v>3673.2631741492055</v>
      </c>
      <c r="G15" s="439">
        <f>'[5]1'!DD$47</f>
        <v>49038.308053175715</v>
      </c>
      <c r="H15" s="424">
        <f>'[5]1'!DE$47</f>
        <v>0.96046009445596614</v>
      </c>
      <c r="I15" s="424">
        <f t="shared" si="0"/>
        <v>138.4700075354701</v>
      </c>
    </row>
    <row r="17" spans="1:9">
      <c r="A17" s="409" t="s">
        <v>1302</v>
      </c>
    </row>
    <row r="18" spans="1:9" ht="37.5" customHeight="1">
      <c r="A18" s="663" t="s">
        <v>1303</v>
      </c>
      <c r="B18" s="664"/>
      <c r="C18" s="664"/>
      <c r="D18" s="664"/>
      <c r="E18" s="664"/>
      <c r="F18" s="664"/>
      <c r="G18" s="664"/>
      <c r="H18" s="664"/>
    </row>
    <row r="23" spans="1:9">
      <c r="A23" s="408" t="s">
        <v>1304</v>
      </c>
    </row>
    <row r="24" spans="1:9" s="414" customFormat="1" ht="63.75">
      <c r="A24" s="410"/>
      <c r="B24" s="442" t="s">
        <v>444</v>
      </c>
      <c r="C24" s="413" t="s">
        <v>569</v>
      </c>
      <c r="D24" s="413" t="s">
        <v>445</v>
      </c>
      <c r="E24" s="413" t="s">
        <v>446</v>
      </c>
      <c r="F24" s="413" t="s">
        <v>447</v>
      </c>
      <c r="G24" s="413" t="s">
        <v>466</v>
      </c>
      <c r="H24" s="413" t="s">
        <v>570</v>
      </c>
      <c r="I24" s="413" t="s">
        <v>1300</v>
      </c>
    </row>
    <row r="25" spans="1:9">
      <c r="A25" s="415"/>
      <c r="B25" s="416"/>
      <c r="C25" s="417"/>
      <c r="D25" s="418"/>
      <c r="E25" s="418"/>
      <c r="F25" s="418"/>
      <c r="G25" s="417"/>
    </row>
    <row r="26" spans="1:9">
      <c r="A26" s="423" t="s">
        <v>321</v>
      </c>
      <c r="B26" s="430">
        <f t="shared" ref="B26:I36" si="1">B5/B$14*100</f>
        <v>4200724.5361335669</v>
      </c>
      <c r="C26" s="431">
        <f t="shared" si="1"/>
        <v>284.09628490198912</v>
      </c>
      <c r="D26" s="431">
        <f t="shared" si="1"/>
        <v>9.7209815835538043E-3</v>
      </c>
      <c r="E26" s="431">
        <f t="shared" si="1"/>
        <v>292.64494830221429</v>
      </c>
      <c r="F26" s="431">
        <f t="shared" si="1"/>
        <v>1205920.8475540301</v>
      </c>
      <c r="G26" s="431">
        <f t="shared" si="1"/>
        <v>151.90245337324524</v>
      </c>
      <c r="H26" s="497">
        <f t="shared" si="1"/>
        <v>427401.7815515098</v>
      </c>
      <c r="I26" s="497">
        <f t="shared" si="1"/>
        <v>1550.6967640015907</v>
      </c>
    </row>
    <row r="27" spans="1:9">
      <c r="A27" s="409" t="s">
        <v>370</v>
      </c>
      <c r="B27" s="428">
        <f t="shared" si="1"/>
        <v>93.692704730305962</v>
      </c>
      <c r="C27" s="429">
        <f t="shared" si="1"/>
        <v>441.86962354388351</v>
      </c>
      <c r="D27" s="429">
        <f t="shared" si="1"/>
        <v>224.58817013994258</v>
      </c>
      <c r="E27" s="429">
        <f t="shared" si="1"/>
        <v>3.1364868780528354E-2</v>
      </c>
      <c r="F27" s="429">
        <f t="shared" si="1"/>
        <v>967985.95699778106</v>
      </c>
      <c r="G27" s="429">
        <f t="shared" si="1"/>
        <v>373604.95663568209</v>
      </c>
      <c r="H27" s="427">
        <f t="shared" si="1"/>
        <v>9.8083587774007377</v>
      </c>
      <c r="I27" s="427">
        <f t="shared" si="1"/>
        <v>90.87360486159011</v>
      </c>
    </row>
    <row r="28" spans="1:9">
      <c r="A28" s="409" t="s">
        <v>371</v>
      </c>
      <c r="B28" s="428">
        <f t="shared" si="1"/>
        <v>1109.6005662832918</v>
      </c>
      <c r="C28" s="429">
        <f t="shared" si="1"/>
        <v>8.9466944350193658E-3</v>
      </c>
      <c r="D28" s="429">
        <f t="shared" si="1"/>
        <v>315.81692475314691</v>
      </c>
      <c r="E28" s="429">
        <f t="shared" si="1"/>
        <v>734.54539467046743</v>
      </c>
      <c r="F28" s="429">
        <f t="shared" si="1"/>
        <v>88.620278704772133</v>
      </c>
      <c r="G28" s="429">
        <f t="shared" si="1"/>
        <v>1518466.8181000543</v>
      </c>
      <c r="H28" s="429">
        <f t="shared" si="1"/>
        <v>25296.703637735354</v>
      </c>
      <c r="I28" s="429">
        <f t="shared" si="1"/>
        <v>1993.4875199758392</v>
      </c>
    </row>
    <row r="29" spans="1:9">
      <c r="A29" s="409" t="s">
        <v>372</v>
      </c>
      <c r="B29" s="428">
        <f t="shared" si="1"/>
        <v>75.992641810353035</v>
      </c>
      <c r="C29" s="429">
        <f t="shared" si="1"/>
        <v>0.11854140668884436</v>
      </c>
      <c r="D29" s="429">
        <f t="shared" si="1"/>
        <v>8.3886838242394519E-3</v>
      </c>
      <c r="E29" s="429">
        <f t="shared" si="1"/>
        <v>1067.9933125640384</v>
      </c>
      <c r="F29" s="429">
        <f t="shared" si="1"/>
        <v>2182598.7685740953</v>
      </c>
      <c r="G29" s="429">
        <f t="shared" si="1"/>
        <v>1498848.9978379707</v>
      </c>
      <c r="H29" s="429">
        <f t="shared" si="1"/>
        <v>132115.84735955906</v>
      </c>
      <c r="I29" s="429">
        <f t="shared" si="1"/>
        <v>2723.195014046611</v>
      </c>
    </row>
    <row r="30" spans="1:9">
      <c r="A30" s="409" t="s">
        <v>373</v>
      </c>
      <c r="B30" s="428">
        <f t="shared" si="1"/>
        <v>4733472.1210710537</v>
      </c>
      <c r="C30" s="429">
        <f t="shared" si="1"/>
        <v>9.4374418928901051E-3</v>
      </c>
      <c r="D30" s="429">
        <f t="shared" si="1"/>
        <v>0.111667516818343</v>
      </c>
      <c r="E30" s="429">
        <f t="shared" si="1"/>
        <v>3.0160902467579531E-2</v>
      </c>
      <c r="F30" s="429">
        <f t="shared" si="1"/>
        <v>3041512.8211602853</v>
      </c>
      <c r="G30" s="429">
        <f t="shared" si="1"/>
        <v>130.04458288546439</v>
      </c>
      <c r="H30" s="429">
        <f t="shared" si="1"/>
        <v>88465.69077045322</v>
      </c>
      <c r="I30" s="429">
        <f t="shared" si="1"/>
        <v>1588.9136616895178</v>
      </c>
    </row>
    <row r="31" spans="1:9">
      <c r="A31" s="409" t="s">
        <v>374</v>
      </c>
      <c r="B31" s="428">
        <f t="shared" si="1"/>
        <v>111.42719259862859</v>
      </c>
      <c r="C31" s="429">
        <f t="shared" si="1"/>
        <v>463.44753693697146</v>
      </c>
      <c r="D31" s="429">
        <f t="shared" si="1"/>
        <v>7.6020585668504044E-3</v>
      </c>
      <c r="E31" s="429">
        <f t="shared" si="1"/>
        <v>0.35767563113579115</v>
      </c>
      <c r="F31" s="429">
        <f t="shared" si="1"/>
        <v>76.427516741149205</v>
      </c>
      <c r="G31" s="429">
        <f t="shared" si="1"/>
        <v>3251119.4163818937</v>
      </c>
      <c r="H31" s="429">
        <f t="shared" si="1"/>
        <v>8.4478015832240327</v>
      </c>
      <c r="I31" s="429">
        <f t="shared" si="1"/>
        <v>-234.08493459156131</v>
      </c>
    </row>
    <row r="32" spans="1:9">
      <c r="A32" s="409" t="s">
        <v>375</v>
      </c>
      <c r="B32" s="428">
        <f t="shared" si="1"/>
        <v>296308.5925640185</v>
      </c>
      <c r="C32" s="429">
        <f t="shared" si="1"/>
        <v>1.2037274268214769E-2</v>
      </c>
      <c r="D32" s="429">
        <f t="shared" si="1"/>
        <v>445.55163436003704</v>
      </c>
      <c r="E32" s="429">
        <f t="shared" si="1"/>
        <v>2.5803140533436648E-2</v>
      </c>
      <c r="F32" s="429">
        <f t="shared" si="1"/>
        <v>1009.9624766330364</v>
      </c>
      <c r="G32" s="429">
        <f t="shared" si="1"/>
        <v>5868370.7657331135</v>
      </c>
      <c r="H32" s="429">
        <f t="shared" si="1"/>
        <v>243171.42542979805</v>
      </c>
      <c r="I32" s="429">
        <f t="shared" si="1"/>
        <v>1408.4977116295545</v>
      </c>
    </row>
    <row r="33" spans="1:9">
      <c r="A33" s="409" t="s">
        <v>376</v>
      </c>
      <c r="B33" s="428">
        <f t="shared" si="1"/>
        <v>1379294.4291988094</v>
      </c>
      <c r="C33" s="429">
        <f t="shared" si="1"/>
        <v>35.407358398986332</v>
      </c>
      <c r="D33" s="429">
        <f t="shared" si="1"/>
        <v>1.1273181621650048E-2</v>
      </c>
      <c r="E33" s="429">
        <f t="shared" si="1"/>
        <v>1564.4430791116686</v>
      </c>
      <c r="F33" s="429">
        <f t="shared" si="1"/>
        <v>83.591636359367612</v>
      </c>
      <c r="G33" s="429">
        <f t="shared" si="1"/>
        <v>130.01787205772007</v>
      </c>
      <c r="H33" s="429">
        <f t="shared" si="1"/>
        <v>401060.97767229151</v>
      </c>
      <c r="I33" s="429">
        <f t="shared" si="1"/>
        <v>1725.8702598695991</v>
      </c>
    </row>
    <row r="34" spans="1:9">
      <c r="A34" s="409" t="s">
        <v>377</v>
      </c>
      <c r="B34" s="428">
        <f t="shared" si="1"/>
        <v>901856.78242091648</v>
      </c>
      <c r="C34" s="429">
        <f t="shared" si="1"/>
        <v>136.00252305144778</v>
      </c>
      <c r="D34" s="429">
        <f t="shared" si="1"/>
        <v>29.731892586396587</v>
      </c>
      <c r="E34" s="429">
        <f t="shared" si="1"/>
        <v>3.5520565495850365E-2</v>
      </c>
      <c r="F34" s="429">
        <f t="shared" si="1"/>
        <v>4032977.7749307426</v>
      </c>
      <c r="G34" s="429">
        <f t="shared" si="1"/>
        <v>1501.4164033920865</v>
      </c>
      <c r="H34" s="429">
        <f t="shared" si="1"/>
        <v>7.832298030383102</v>
      </c>
      <c r="I34" s="429">
        <f t="shared" si="1"/>
        <v>4391.5438037614913</v>
      </c>
    </row>
    <row r="35" spans="1:9">
      <c r="A35" s="409" t="s">
        <v>378</v>
      </c>
      <c r="B35" s="428">
        <f t="shared" si="1"/>
        <v>100</v>
      </c>
      <c r="C35" s="429">
        <f t="shared" si="1"/>
        <v>100</v>
      </c>
      <c r="D35" s="429">
        <f t="shared" si="1"/>
        <v>100</v>
      </c>
      <c r="E35" s="429">
        <f t="shared" si="1"/>
        <v>100</v>
      </c>
      <c r="F35" s="429">
        <f t="shared" si="1"/>
        <v>100</v>
      </c>
      <c r="G35" s="429">
        <f t="shared" si="1"/>
        <v>100</v>
      </c>
      <c r="H35" s="429">
        <f t="shared" si="1"/>
        <v>100</v>
      </c>
      <c r="I35" s="429">
        <f t="shared" si="1"/>
        <v>100</v>
      </c>
    </row>
    <row r="36" spans="1:9">
      <c r="A36" s="423" t="s">
        <v>379</v>
      </c>
      <c r="B36" s="430">
        <f t="shared" si="1"/>
        <v>3117119.1367049864</v>
      </c>
      <c r="C36" s="431">
        <f t="shared" si="1"/>
        <v>1.0415814690581055E-2</v>
      </c>
      <c r="D36" s="431">
        <f t="shared" si="1"/>
        <v>99.848919220725435</v>
      </c>
      <c r="E36" s="431">
        <f t="shared" si="1"/>
        <v>402.20387360560261</v>
      </c>
      <c r="F36" s="431">
        <f t="shared" si="1"/>
        <v>347890.80739173654</v>
      </c>
      <c r="G36" s="431">
        <f t="shared" si="1"/>
        <v>6907354.1678818492</v>
      </c>
      <c r="H36" s="431">
        <f t="shared" si="1"/>
        <v>9.0442874262640434</v>
      </c>
      <c r="I36" s="431">
        <f t="shared" si="1"/>
        <v>3024.7646097398238</v>
      </c>
    </row>
    <row r="37" spans="1:9">
      <c r="A37" s="409" t="s">
        <v>1275</v>
      </c>
    </row>
    <row r="38" spans="1:9">
      <c r="A38" s="408" t="s">
        <v>1305</v>
      </c>
    </row>
    <row r="39" spans="1:9" ht="63.75">
      <c r="A39" s="410"/>
      <c r="B39" s="442" t="s">
        <v>1296</v>
      </c>
      <c r="C39" s="413" t="s">
        <v>569</v>
      </c>
      <c r="D39" s="413" t="s">
        <v>708</v>
      </c>
      <c r="E39" s="413" t="s">
        <v>1297</v>
      </c>
      <c r="F39" s="413" t="s">
        <v>1298</v>
      </c>
      <c r="G39" s="413" t="s">
        <v>1288</v>
      </c>
      <c r="H39" s="413" t="s">
        <v>1299</v>
      </c>
      <c r="I39" s="413"/>
    </row>
    <row r="40" spans="1:9">
      <c r="A40" s="415"/>
      <c r="B40" s="425" t="s">
        <v>105</v>
      </c>
      <c r="C40" s="426" t="s">
        <v>106</v>
      </c>
      <c r="D40" s="426" t="s">
        <v>107</v>
      </c>
      <c r="E40" s="426" t="s">
        <v>108</v>
      </c>
      <c r="F40" s="426" t="s">
        <v>109</v>
      </c>
      <c r="G40" s="494" t="s">
        <v>1301</v>
      </c>
      <c r="H40" s="426" t="s">
        <v>111</v>
      </c>
      <c r="I40" s="426"/>
    </row>
    <row r="41" spans="1:9">
      <c r="A41" s="423" t="s">
        <v>321</v>
      </c>
      <c r="B41" s="495">
        <f>'[5]1'!B$19</f>
        <v>26074.431381273986</v>
      </c>
      <c r="C41" s="488">
        <f>'[5]1'!C$19</f>
        <v>14849.083890899707</v>
      </c>
      <c r="D41" s="496">
        <f>'[5]1'!D$19</f>
        <v>1</v>
      </c>
      <c r="E41" s="496">
        <f>'[5]1'!E$19</f>
        <v>6046.2166026798013</v>
      </c>
      <c r="F41" s="496">
        <f>'[5]1'!F$19</f>
        <v>7405.6692300550103</v>
      </c>
      <c r="G41" s="496">
        <f>'[5]1'!H$19</f>
        <v>1</v>
      </c>
      <c r="H41" s="488">
        <f>'[5]1'!I$19</f>
        <v>26544.414111916678</v>
      </c>
      <c r="I41" s="488"/>
    </row>
    <row r="42" spans="1:9">
      <c r="A42" s="409" t="s">
        <v>370</v>
      </c>
      <c r="B42" s="419">
        <f>'[5]1'!L$19</f>
        <v>0.34348851728046864</v>
      </c>
      <c r="C42" s="421">
        <f>'[5]1'!M$19</f>
        <v>16288.678104559156</v>
      </c>
      <c r="D42" s="436">
        <f>'[5]1'!N$19</f>
        <v>10170.31054993725</v>
      </c>
      <c r="E42" s="436">
        <f>'[5]1'!O$19</f>
        <v>1.1430710905282153</v>
      </c>
      <c r="F42" s="436">
        <f>'[5]1'!P$19</f>
        <v>4605.3130806645977</v>
      </c>
      <c r="G42" s="436">
        <f>'[5]1'!R$19</f>
        <v>1203.0854024842463</v>
      </c>
      <c r="H42" s="421">
        <f>'[5]1'!S$19</f>
        <v>1</v>
      </c>
      <c r="I42" s="421"/>
    </row>
    <row r="43" spans="1:9">
      <c r="A43" s="409" t="s">
        <v>371</v>
      </c>
      <c r="B43" s="419">
        <f>'[5]1'!V$19</f>
        <v>9.9347480924162461</v>
      </c>
      <c r="C43" s="421">
        <f>'[5]1'!W$19</f>
        <v>8.3333333333333787E-2</v>
      </c>
      <c r="D43" s="436">
        <f>'[5]1'!X$19</f>
        <v>17101.207494303671</v>
      </c>
      <c r="E43" s="436">
        <f>'[5]1'!Y$19</f>
        <v>11873.639225906711</v>
      </c>
      <c r="F43" s="436">
        <f>'[5]1'!Z$19</f>
        <v>1.0529651814656009</v>
      </c>
      <c r="G43" s="436">
        <f>'[5]1'!AB$19</f>
        <v>6650.1434918201776</v>
      </c>
      <c r="H43" s="421">
        <f>'[5]1'!AC$19</f>
        <v>1404.5787448585675</v>
      </c>
      <c r="I43" s="421"/>
    </row>
    <row r="44" spans="1:9">
      <c r="A44" s="409" t="s">
        <v>372</v>
      </c>
      <c r="B44" s="419">
        <f>'[5]1'!AF$19</f>
        <v>0.19566148030984087</v>
      </c>
      <c r="C44" s="421">
        <f>'[5]1'!AG$19</f>
        <v>10.097099670689511</v>
      </c>
      <c r="D44" s="436">
        <f>'[5]1'!AH$19</f>
        <v>0.25105436830067945</v>
      </c>
      <c r="E44" s="436">
        <f>'[5]1'!AI$19</f>
        <v>18683.455033303915</v>
      </c>
      <c r="F44" s="436">
        <f>'[5]1'!AJ$19</f>
        <v>12968.038452585244</v>
      </c>
      <c r="G44" s="436">
        <f>'[5]1'!AL$19</f>
        <v>7622.7686644742216</v>
      </c>
      <c r="H44" s="421">
        <f>'[5]1'!AM$19</f>
        <v>6244.8985603270603</v>
      </c>
      <c r="I44" s="421"/>
    </row>
    <row r="45" spans="1:9">
      <c r="A45" s="409" t="s">
        <v>373</v>
      </c>
      <c r="B45" s="419">
        <f>'[5]1'!AP$19</f>
        <v>25406.301573203596</v>
      </c>
      <c r="C45" s="421">
        <f>'[5]1'!AQ$19</f>
        <v>0.23067440319891308</v>
      </c>
      <c r="D45" s="436">
        <f>'[5]1'!AR$19</f>
        <v>10.142752515669754</v>
      </c>
      <c r="E45" s="436">
        <f>'[5]1'!AS$19</f>
        <v>0.29821709065131885</v>
      </c>
      <c r="F45" s="436">
        <f>'[5]1'!AT$19</f>
        <v>17143.31197203543</v>
      </c>
      <c r="G45" s="436">
        <f>'[5]1'!AV$19</f>
        <v>1.0539303327369713</v>
      </c>
      <c r="H45" s="421">
        <f>'[5]1'!AW$19</f>
        <v>5438.644354706862</v>
      </c>
      <c r="I45" s="421"/>
    </row>
    <row r="46" spans="1:9">
      <c r="A46" s="409" t="s">
        <v>374</v>
      </c>
      <c r="B46" s="419">
        <f>'[5]1'!AZ$19</f>
        <v>0.99338624338624337</v>
      </c>
      <c r="C46" s="421">
        <f>'[5]1'!BA$19</f>
        <v>21073.381509555998</v>
      </c>
      <c r="D46" s="436">
        <f>'[5]1'!BB$19</f>
        <v>9.6868453776443764E-2</v>
      </c>
      <c r="E46" s="436">
        <f>'[5]1'!BC$19</f>
        <v>9.9557659832214416</v>
      </c>
      <c r="F46" s="436">
        <f>'[5]1'!BD$19</f>
        <v>0.10504634922249646</v>
      </c>
      <c r="G46" s="436">
        <f>'[5]1'!BF$19</f>
        <v>12937.272336127451</v>
      </c>
      <c r="H46" s="421">
        <f>'[5]1'!BG$19</f>
        <v>1.0047907372481997</v>
      </c>
      <c r="I46" s="421"/>
    </row>
    <row r="47" spans="1:9">
      <c r="A47" s="409" t="s">
        <v>375</v>
      </c>
      <c r="B47" s="419">
        <f>'[5]1'!BJ$19</f>
        <v>1530.4000226083788</v>
      </c>
      <c r="C47" s="421">
        <f>'[5]1'!BK$19</f>
        <v>0.99338624338624337</v>
      </c>
      <c r="D47" s="436">
        <f>'[5]1'!BL$19</f>
        <v>24042.983440551423</v>
      </c>
      <c r="E47" s="436">
        <f>'[5]1'!BM$19</f>
        <v>0.18857344716354493</v>
      </c>
      <c r="F47" s="436">
        <f>'[5]1'!BN$19</f>
        <v>10.087598484133316</v>
      </c>
      <c r="G47" s="436">
        <f>'[5]1'!BP$19</f>
        <v>28546.77889918549</v>
      </c>
      <c r="H47" s="421">
        <f>'[5]1'!BQ$19</f>
        <v>15700.239415742975</v>
      </c>
      <c r="I47" s="421"/>
    </row>
    <row r="48" spans="1:9">
      <c r="A48" s="409" t="s">
        <v>376</v>
      </c>
      <c r="B48" s="419">
        <f>'[5]1'!BT$19</f>
        <v>7476.8302804719742</v>
      </c>
      <c r="C48" s="421">
        <f>'[5]1'!BU$19</f>
        <v>1857.2420934289669</v>
      </c>
      <c r="D48" s="436">
        <f>'[5]1'!BV$19</f>
        <v>1.0039682539682542</v>
      </c>
      <c r="E48" s="436">
        <f>'[5]1'!BW$19</f>
        <v>26951.567344911193</v>
      </c>
      <c r="F48" s="436">
        <f>'[5]1'!BX$19</f>
        <v>0.27839412815486281</v>
      </c>
      <c r="G48" s="436">
        <f>'[5]1'!BZ$19</f>
        <v>0.35921407758146712</v>
      </c>
      <c r="H48" s="421">
        <f>'[5]1'!CA$19</f>
        <v>23792.62740604909</v>
      </c>
      <c r="I48" s="421"/>
    </row>
    <row r="49" spans="1:9">
      <c r="A49" s="409" t="s">
        <v>377</v>
      </c>
      <c r="B49" s="419">
        <f>'[5]1'!CD$19</f>
        <v>5813.3953814901361</v>
      </c>
      <c r="C49" s="421">
        <f>'[5]1'!CE$19</f>
        <v>6503.5260443061579</v>
      </c>
      <c r="D49" s="436">
        <f>'[5]1'!CF$19</f>
        <v>1704.8199047368812</v>
      </c>
      <c r="E49" s="436">
        <f>'[5]1'!CG$19</f>
        <v>0.99470899470899488</v>
      </c>
      <c r="F49" s="436">
        <f>'[5]1'!CH$19</f>
        <v>24872.81759269238</v>
      </c>
      <c r="G49" s="436">
        <f>'[5]1'!CJ$19</f>
        <v>10.121530823210716</v>
      </c>
      <c r="H49" s="421">
        <f>'[5]1'!CK$19</f>
        <v>0.27629353277251784</v>
      </c>
      <c r="I49" s="421"/>
    </row>
    <row r="50" spans="1:9">
      <c r="A50" s="409" t="s">
        <v>378</v>
      </c>
      <c r="B50" s="419">
        <f>'[5]1'!CN$19</f>
        <v>0.9986259307970643</v>
      </c>
      <c r="C50" s="421">
        <f>'[5]1'!CO$19</f>
        <v>6130.006878402467</v>
      </c>
      <c r="D50" s="436">
        <f>'[5]1'!CP$19</f>
        <v>7335.3930197679529</v>
      </c>
      <c r="E50" s="436">
        <f>'[5]1'!CQ$19</f>
        <v>1613.7280974131018</v>
      </c>
      <c r="F50" s="436">
        <f>'[5]1'!CR$19</f>
        <v>1.0092592592592593</v>
      </c>
      <c r="G50" s="436">
        <f>'[5]1'!CT$19</f>
        <v>0.24006816284305954</v>
      </c>
      <c r="H50" s="421">
        <f>'[5]1'!CU$19</f>
        <v>10.154654413569785</v>
      </c>
      <c r="I50" s="421"/>
    </row>
    <row r="51" spans="1:9">
      <c r="A51" s="423" t="s">
        <v>379</v>
      </c>
      <c r="B51" s="438">
        <f>'[5]1'!CX$19</f>
        <v>17319.597888179673</v>
      </c>
      <c r="C51" s="424">
        <f>'[5]1'!CY$19</f>
        <v>0.97376537470010749</v>
      </c>
      <c r="D51" s="439">
        <f>'[5]1'!CZ$19</f>
        <v>7187.3692123827086</v>
      </c>
      <c r="E51" s="439">
        <f>'[5]1'!DA$19</f>
        <v>9016.01433458459</v>
      </c>
      <c r="F51" s="439">
        <f>'[5]1'!DB$19</f>
        <v>2048.8022753931054</v>
      </c>
      <c r="G51" s="439">
        <f>'[5]1'!DD$19</f>
        <v>30978.774509396244</v>
      </c>
      <c r="H51" s="424">
        <f>'[5]1'!DE$19</f>
        <v>0.40275928381186765</v>
      </c>
      <c r="I51" s="424"/>
    </row>
  </sheetData>
  <mergeCells count="1">
    <mergeCell ref="A18:H18"/>
  </mergeCells>
  <pageMargins left="0.75" right="0.75" top="1" bottom="1" header="0.5" footer="0.5"/>
  <pageSetup scale="83" orientation="landscape" horizontalDpi="1200" verticalDpi="1200" r:id="rId1"/>
  <headerFooter alignWithMargins="0"/>
</worksheet>
</file>

<file path=xl/worksheets/sheet134.xml><?xml version="1.0" encoding="utf-8"?>
<worksheet xmlns="http://schemas.openxmlformats.org/spreadsheetml/2006/main" xmlns:r="http://schemas.openxmlformats.org/officeDocument/2006/relationships">
  <sheetPr>
    <pageSetUpPr fitToPage="1"/>
  </sheetPr>
  <dimension ref="A1:Q51"/>
  <sheetViews>
    <sheetView view="pageBreakPreview" zoomScaleSheetLayoutView="100" workbookViewId="0">
      <selection activeCell="I24" sqref="I24"/>
    </sheetView>
  </sheetViews>
  <sheetFormatPr defaultRowHeight="12.75"/>
  <cols>
    <col min="1" max="1" width="15.625" style="409" customWidth="1"/>
    <col min="2" max="2" width="11.5" style="409" customWidth="1"/>
    <col min="3" max="3" width="11" style="409" customWidth="1"/>
    <col min="4" max="5" width="11" style="409" hidden="1" customWidth="1"/>
    <col min="6" max="6" width="14.75" style="409" hidden="1" customWidth="1"/>
    <col min="7" max="8" width="10.125" style="409" customWidth="1"/>
    <col min="9" max="10" width="8.875" style="409" customWidth="1"/>
    <col min="11" max="11" width="13.75" style="409" customWidth="1"/>
    <col min="12" max="12" width="11.25" style="409" customWidth="1"/>
    <col min="13" max="16384" width="9" style="409"/>
  </cols>
  <sheetData>
    <row r="1" spans="1:17">
      <c r="A1" s="408" t="s">
        <v>1306</v>
      </c>
    </row>
    <row r="3" spans="1:17" s="414" customFormat="1" ht="76.5">
      <c r="A3" s="410"/>
      <c r="B3" s="411" t="s">
        <v>1307</v>
      </c>
      <c r="C3" s="412" t="s">
        <v>1308</v>
      </c>
      <c r="D3" s="412" t="s">
        <v>1309</v>
      </c>
      <c r="E3" s="412" t="s">
        <v>1310</v>
      </c>
      <c r="F3" s="412" t="s">
        <v>1311</v>
      </c>
      <c r="G3" s="413" t="s">
        <v>1312</v>
      </c>
      <c r="H3" s="413" t="s">
        <v>1313</v>
      </c>
      <c r="I3" s="413" t="s">
        <v>1314</v>
      </c>
      <c r="J3" s="413" t="s">
        <v>1315</v>
      </c>
      <c r="K3" s="412" t="s">
        <v>1289</v>
      </c>
      <c r="L3" s="412" t="s">
        <v>479</v>
      </c>
      <c r="M3" s="487" t="s">
        <v>1316</v>
      </c>
    </row>
    <row r="4" spans="1:17" s="414" customFormat="1" ht="19.5" customHeight="1">
      <c r="A4" s="443"/>
      <c r="B4" s="444" t="s">
        <v>105</v>
      </c>
      <c r="C4" s="418" t="s">
        <v>106</v>
      </c>
      <c r="D4" s="418"/>
      <c r="E4" s="418"/>
      <c r="F4" s="418"/>
      <c r="G4" s="418" t="s">
        <v>107</v>
      </c>
      <c r="H4" s="418" t="s">
        <v>108</v>
      </c>
      <c r="I4" s="418" t="s">
        <v>109</v>
      </c>
      <c r="J4" s="418" t="s">
        <v>110</v>
      </c>
      <c r="K4" s="418" t="s">
        <v>671</v>
      </c>
      <c r="L4" s="417" t="s">
        <v>112</v>
      </c>
      <c r="M4" s="417" t="s">
        <v>111</v>
      </c>
    </row>
    <row r="5" spans="1:17">
      <c r="A5" s="423" t="s">
        <v>321</v>
      </c>
      <c r="B5" s="438">
        <f>'[5]2'!B$47</f>
        <v>77920.598304812127</v>
      </c>
      <c r="C5" s="439">
        <f>'[5]2'!C$47</f>
        <v>3466.6153777574536</v>
      </c>
      <c r="D5" s="498"/>
      <c r="E5" s="439"/>
      <c r="F5" s="439"/>
      <c r="G5" s="496">
        <f>'[5]2'!D$47</f>
        <v>40215.829424280848</v>
      </c>
      <c r="H5" s="439">
        <f>'[5]2'!E$47</f>
        <v>135.63625088901716</v>
      </c>
      <c r="I5" s="439">
        <f>'[5]2'!F$47</f>
        <v>106059.27901923333</v>
      </c>
      <c r="J5" s="439">
        <f>'[5]2'!G$47</f>
        <v>667.55785289927962</v>
      </c>
      <c r="K5" s="439">
        <f>'[5]2'!H$47</f>
        <v>227130.40052407348</v>
      </c>
      <c r="L5" s="424">
        <f>'[5]2'!I$47</f>
        <v>0.5297906170112241</v>
      </c>
      <c r="M5" s="424">
        <f t="shared" ref="M5:M15" si="0">(L5-L41)/L41 *100</f>
        <v>91.805473749426653</v>
      </c>
      <c r="P5" s="409" t="s">
        <v>370</v>
      </c>
      <c r="Q5" s="424">
        <v>317.39202350002859</v>
      </c>
    </row>
    <row r="6" spans="1:17">
      <c r="A6" s="409" t="s">
        <v>370</v>
      </c>
      <c r="B6" s="446">
        <f>'[5]2'!L$47</f>
        <v>78782.138822026827</v>
      </c>
      <c r="C6" s="447">
        <f>'[5]2'!M$47</f>
        <v>1705.1414881898222</v>
      </c>
      <c r="D6" s="499">
        <f>'[5]1'!N$47</f>
        <v>21564.692765397343</v>
      </c>
      <c r="E6" s="436"/>
      <c r="F6" s="436"/>
      <c r="G6" s="447">
        <f>'[5]2'!N$47</f>
        <v>118638.23192695626</v>
      </c>
      <c r="H6" s="447">
        <f>'[5]2'!O$47</f>
        <v>119.13573114943598</v>
      </c>
      <c r="I6" s="447">
        <f>'[5]2'!P$47</f>
        <v>106887.95500384872</v>
      </c>
      <c r="J6" s="447">
        <f>'[5]2'!Q$47</f>
        <v>624.37023250490688</v>
      </c>
      <c r="K6" s="447">
        <f>'[5]2'!R$47</f>
        <v>305508.23273966619</v>
      </c>
      <c r="L6" s="420">
        <f>'[5]2'!S$47</f>
        <v>0.78012063279439559</v>
      </c>
      <c r="M6" s="420">
        <f t="shared" si="0"/>
        <v>317.47806306130843</v>
      </c>
      <c r="P6" s="409" t="s">
        <v>371</v>
      </c>
      <c r="Q6" s="420">
        <v>278.65867559667475</v>
      </c>
    </row>
    <row r="7" spans="1:17">
      <c r="A7" s="409" t="s">
        <v>371</v>
      </c>
      <c r="B7" s="419">
        <f>'[5]2'!V$47</f>
        <v>60293.648260453243</v>
      </c>
      <c r="C7" s="436">
        <f>'[5]2'!W$47</f>
        <v>1844.9245705238245</v>
      </c>
      <c r="D7" s="499"/>
      <c r="E7" s="436"/>
      <c r="F7" s="436"/>
      <c r="G7" s="436">
        <f>'[5]2'!X$47</f>
        <v>813.60257692065397</v>
      </c>
      <c r="H7" s="436">
        <f>'[5]2'!Y$47</f>
        <v>101.02957119088032</v>
      </c>
      <c r="I7" s="436">
        <f>'[5]2'!Z$47</f>
        <v>97454.38810505638</v>
      </c>
      <c r="J7" s="436">
        <f>'[5]2'!AA$47</f>
        <v>445.37194316035573</v>
      </c>
      <c r="K7" s="436">
        <f>'[5]2'!AB$47</f>
        <v>160062.22114098462</v>
      </c>
      <c r="L7" s="421">
        <f>'[5]2'!AC$47</f>
        <v>0.31558236540590417</v>
      </c>
      <c r="M7" s="421">
        <f t="shared" si="0"/>
        <v>278.69883848708503</v>
      </c>
      <c r="P7" s="409" t="s">
        <v>373</v>
      </c>
      <c r="Q7" s="421">
        <v>146.22438869552036</v>
      </c>
    </row>
    <row r="8" spans="1:17">
      <c r="A8" s="409" t="s">
        <v>372</v>
      </c>
      <c r="B8" s="419">
        <f>'[5]2'!AF$47</f>
        <v>65323.289805933382</v>
      </c>
      <c r="C8" s="436">
        <f>'[5]2'!AG$47</f>
        <v>2236.5347943159932</v>
      </c>
      <c r="D8" s="499"/>
      <c r="E8" s="436"/>
      <c r="F8" s="436"/>
      <c r="G8" s="436">
        <f>'[5]2'!AH$47</f>
        <v>11558.629832638502</v>
      </c>
      <c r="H8" s="436">
        <f>'[5]2'!AI$47</f>
        <v>108.98023888710597</v>
      </c>
      <c r="I8" s="436">
        <f>'[5]2'!AJ$47</f>
        <v>92136.93536313955</v>
      </c>
      <c r="J8" s="436">
        <f>'[5]2'!AK$47</f>
        <v>663.01367154316188</v>
      </c>
      <c r="K8" s="436">
        <f>'[5]2'!AL$47</f>
        <v>170701.35636337136</v>
      </c>
      <c r="L8" s="421">
        <f>'[5]2'!AM$47</f>
        <v>0.34956257145209191</v>
      </c>
      <c r="M8" s="421">
        <f t="shared" si="0"/>
        <v>137.88319991780227</v>
      </c>
      <c r="P8" s="409" t="s">
        <v>372</v>
      </c>
      <c r="Q8" s="421">
        <v>138.42194687821805</v>
      </c>
    </row>
    <row r="9" spans="1:17">
      <c r="A9" s="409" t="s">
        <v>373</v>
      </c>
      <c r="B9" s="419">
        <f>'[5]2'!AP$47</f>
        <v>65373.438225514634</v>
      </c>
      <c r="C9" s="436">
        <f>'[5]2'!AQ$47</f>
        <v>1633.8496084763121</v>
      </c>
      <c r="D9" s="499"/>
      <c r="E9" s="436"/>
      <c r="F9" s="436"/>
      <c r="G9" s="436">
        <f>'[5]2'!AR$47</f>
        <v>26640.071453725712</v>
      </c>
      <c r="H9" s="436">
        <f>'[5]2'!AS$47</f>
        <v>111.15164300430132</v>
      </c>
      <c r="I9" s="436">
        <f>'[5]2'!AT$47</f>
        <v>97622.22073167123</v>
      </c>
      <c r="J9" s="436">
        <f>'[5]2'!AU$47</f>
        <v>681.2340708354692</v>
      </c>
      <c r="K9" s="436">
        <f>'[5]2'!AV$47</f>
        <v>190699.49759155675</v>
      </c>
      <c r="L9" s="421">
        <f>'[5]2'!AW$47</f>
        <v>0.41343439423376116</v>
      </c>
      <c r="M9" s="421">
        <f t="shared" si="0"/>
        <v>145.87501875209728</v>
      </c>
      <c r="P9" s="409" t="s">
        <v>374</v>
      </c>
      <c r="Q9" s="421">
        <v>100.75193460164067</v>
      </c>
    </row>
    <row r="10" spans="1:17">
      <c r="A10" s="409" t="s">
        <v>374</v>
      </c>
      <c r="B10" s="419">
        <f>'[5]2'!AZ$47</f>
        <v>71433.43255145468</v>
      </c>
      <c r="C10" s="436">
        <f>'[5]2'!BA$47</f>
        <v>4277.5591736995048</v>
      </c>
      <c r="D10" s="499"/>
      <c r="E10" s="436"/>
      <c r="F10" s="436"/>
      <c r="G10" s="436">
        <f>'[5]2'!BB$47</f>
        <v>12059.311558449042</v>
      </c>
      <c r="H10" s="436">
        <f>'[5]2'!BC$47</f>
        <v>124.65268159074091</v>
      </c>
      <c r="I10" s="436">
        <f>'[5]2'!BD$47</f>
        <v>109202.01156584354</v>
      </c>
      <c r="J10" s="436">
        <f>'[5]2'!BE$47</f>
        <v>325.13430640059295</v>
      </c>
      <c r="K10" s="436">
        <f>'[5]2'!BF$47</f>
        <v>196771.83322463691</v>
      </c>
      <c r="L10" s="421">
        <f>'[5]2'!BG$47</f>
        <v>0.43282875398957049</v>
      </c>
      <c r="M10" s="421">
        <f t="shared" si="0"/>
        <v>100.43457684114763</v>
      </c>
      <c r="P10" s="409" t="s">
        <v>377</v>
      </c>
      <c r="Q10" s="421">
        <v>92.210754970815927</v>
      </c>
    </row>
    <row r="11" spans="1:17">
      <c r="A11" s="409" t="s">
        <v>375</v>
      </c>
      <c r="B11" s="419">
        <f>'[5]2'!BJ$47</f>
        <v>73167.586158031932</v>
      </c>
      <c r="C11" s="436">
        <f>'[5]2'!BK$47</f>
        <v>4481.0271190391832</v>
      </c>
      <c r="D11" s="499"/>
      <c r="E11" s="436"/>
      <c r="F11" s="436"/>
      <c r="G11" s="436">
        <f>'[5]2'!BL$47</f>
        <v>9001.373985439277</v>
      </c>
      <c r="H11" s="436">
        <f>'[5]2'!BM$47</f>
        <v>149.55827648794798</v>
      </c>
      <c r="I11" s="436">
        <f>'[5]2'!BN$47</f>
        <v>102102.50096394886</v>
      </c>
      <c r="J11" s="436">
        <f>'[5]2'!BO$47</f>
        <v>437.62043160756332</v>
      </c>
      <c r="K11" s="436">
        <f>'[5]2'!BP$47</f>
        <v>188464.42607133964</v>
      </c>
      <c r="L11" s="421">
        <f>'[5]2'!BQ$47</f>
        <v>0.40629582618312354</v>
      </c>
      <c r="M11" s="421">
        <f t="shared" si="0"/>
        <v>91.460735197237952</v>
      </c>
      <c r="P11" s="409" t="s">
        <v>321</v>
      </c>
      <c r="Q11" s="421">
        <v>92.20051743211225</v>
      </c>
    </row>
    <row r="12" spans="1:17">
      <c r="A12" s="409" t="s">
        <v>376</v>
      </c>
      <c r="B12" s="419">
        <f>'[5]2'!BT$47</f>
        <v>62430.398931556098</v>
      </c>
      <c r="C12" s="436">
        <f>'[5]2'!BU$47</f>
        <v>1978.8378895601347</v>
      </c>
      <c r="D12" s="499"/>
      <c r="E12" s="436"/>
      <c r="F12" s="436"/>
      <c r="G12" s="436">
        <f>'[5]2'!BV$47</f>
        <v>13951.552632198967</v>
      </c>
      <c r="H12" s="436">
        <f>'[5]2'!BW$47</f>
        <v>116.76829356976685</v>
      </c>
      <c r="I12" s="436">
        <f>'[5]2'!BX$47</f>
        <v>118285.30992380713</v>
      </c>
      <c r="J12" s="436">
        <f>'[5]2'!BY$47</f>
        <v>529.85859450763348</v>
      </c>
      <c r="K12" s="436">
        <f>'[5]2'!BZ$47</f>
        <v>196233.00907618448</v>
      </c>
      <c r="L12" s="421">
        <f>'[5]2'!CA$47</f>
        <v>0.4311078100214415</v>
      </c>
      <c r="M12" s="421">
        <f t="shared" si="0"/>
        <v>63.00144072513951</v>
      </c>
      <c r="P12" s="409" t="s">
        <v>375</v>
      </c>
      <c r="Q12" s="421">
        <v>92.005812518193949</v>
      </c>
    </row>
    <row r="13" spans="1:17">
      <c r="A13" s="409" t="s">
        <v>377</v>
      </c>
      <c r="B13" s="419">
        <f>'[5]2'!CD$47</f>
        <v>81367.817968720963</v>
      </c>
      <c r="C13" s="436">
        <f>'[5]2'!CE$47</f>
        <v>1635.4902082393639</v>
      </c>
      <c r="D13" s="499"/>
      <c r="E13" s="436"/>
      <c r="F13" s="436"/>
      <c r="G13" s="436">
        <f>'[5]2'!CF$47</f>
        <v>81560.705719363526</v>
      </c>
      <c r="H13" s="436">
        <f>'[5]2'!CG$47</f>
        <v>106.89060478053985</v>
      </c>
      <c r="I13" s="436">
        <f>'[5]2'!CH$47</f>
        <v>127503.64526350163</v>
      </c>
      <c r="J13" s="436">
        <f>'[5]2'!CI$47</f>
        <v>2300.5186506582695</v>
      </c>
      <c r="K13" s="436">
        <f>'[5]2'!CJ$47</f>
        <v>289874.0311139478</v>
      </c>
      <c r="L13" s="421">
        <f>'[5]2'!CK$47</f>
        <v>0.73018674423062424</v>
      </c>
      <c r="M13" s="421">
        <f t="shared" si="0"/>
        <v>92.210754970815927</v>
      </c>
      <c r="P13" s="409" t="s">
        <v>376</v>
      </c>
      <c r="Q13" s="421">
        <v>62.982226845492505</v>
      </c>
    </row>
    <row r="14" spans="1:17">
      <c r="A14" s="409" t="s">
        <v>378</v>
      </c>
      <c r="B14" s="419">
        <f>'[5]2'!CN$47</f>
        <v>121877.16770137829</v>
      </c>
      <c r="C14" s="436">
        <f>'[5]2'!CO$47</f>
        <v>2251.6533640520297</v>
      </c>
      <c r="D14" s="499"/>
      <c r="E14" s="436"/>
      <c r="F14" s="436"/>
      <c r="G14" s="436">
        <f>'[5]2'!CP$47</f>
        <v>115224.56509673317</v>
      </c>
      <c r="H14" s="436">
        <f>'[5]2'!CQ$47</f>
        <v>156.551838234304</v>
      </c>
      <c r="I14" s="436">
        <f>'[5]2'!CR$47</f>
        <v>96350.876971168953</v>
      </c>
      <c r="J14" s="436">
        <f>'[5]2'!CS$47</f>
        <v>2265.8719571356428</v>
      </c>
      <c r="K14" s="436">
        <f>'[5]2'!CT$47</f>
        <v>333594.94301443116</v>
      </c>
      <c r="L14" s="421">
        <f>'[5]2'!CU$47</f>
        <v>0.86982643898509715</v>
      </c>
      <c r="M14" s="421">
        <f t="shared" si="0"/>
        <v>34.170963436244293</v>
      </c>
      <c r="P14" s="409" t="s">
        <v>379</v>
      </c>
      <c r="Q14" s="421">
        <v>58.315243226267953</v>
      </c>
    </row>
    <row r="15" spans="1:17">
      <c r="A15" s="423" t="s">
        <v>379</v>
      </c>
      <c r="B15" s="438">
        <f>'[5]2'!CX$47</f>
        <v>72270.760932095858</v>
      </c>
      <c r="C15" s="439">
        <f>'[5]2'!CY$47</f>
        <v>2555.216348360208</v>
      </c>
      <c r="D15" s="498"/>
      <c r="E15" s="439"/>
      <c r="F15" s="439"/>
      <c r="G15" s="439">
        <f>'[5]2'!CZ$47</f>
        <v>33222.207884186988</v>
      </c>
      <c r="H15" s="439">
        <f>'[5]2'!DA$47</f>
        <v>127.94046295914642</v>
      </c>
      <c r="I15" s="439">
        <f>'[5]2'!DB$47</f>
        <v>122804.81719137177</v>
      </c>
      <c r="J15" s="439">
        <f>'[5]2'!DC$47</f>
        <v>449.03297090118713</v>
      </c>
      <c r="K15" s="439">
        <f>'[5]2'!DD$47</f>
        <v>230531.90984807277</v>
      </c>
      <c r="L15" s="424">
        <f>'[5]2'!DE$47</f>
        <v>0.54065465673639967</v>
      </c>
      <c r="M15" s="424">
        <f t="shared" si="0"/>
        <v>57.821194158377899</v>
      </c>
      <c r="P15" s="409" t="s">
        <v>378</v>
      </c>
      <c r="Q15" s="424">
        <v>34.51809075584579</v>
      </c>
    </row>
    <row r="17" spans="1:17">
      <c r="A17" s="409" t="s">
        <v>1317</v>
      </c>
    </row>
    <row r="18" spans="1:17" ht="28.5" customHeight="1">
      <c r="A18" s="664"/>
      <c r="B18" s="664"/>
      <c r="C18" s="664"/>
      <c r="D18" s="664"/>
      <c r="E18" s="664"/>
      <c r="F18" s="664"/>
      <c r="G18" s="664"/>
      <c r="H18" s="664"/>
      <c r="I18" s="664"/>
      <c r="J18" s="664"/>
      <c r="K18" s="664"/>
      <c r="L18" s="664"/>
    </row>
    <row r="23" spans="1:17">
      <c r="A23" s="408" t="s">
        <v>1318</v>
      </c>
    </row>
    <row r="24" spans="1:17" s="414" customFormat="1" ht="76.5">
      <c r="A24" s="410"/>
      <c r="B24" s="411" t="s">
        <v>1307</v>
      </c>
      <c r="C24" s="412" t="s">
        <v>1308</v>
      </c>
      <c r="D24" s="412" t="s">
        <v>1309</v>
      </c>
      <c r="E24" s="412" t="s">
        <v>1310</v>
      </c>
      <c r="F24" s="412" t="s">
        <v>1311</v>
      </c>
      <c r="G24" s="413" t="s">
        <v>1312</v>
      </c>
      <c r="H24" s="413" t="s">
        <v>1313</v>
      </c>
      <c r="I24" s="413" t="s">
        <v>1314</v>
      </c>
      <c r="J24" s="413" t="s">
        <v>1315</v>
      </c>
      <c r="K24" s="412" t="s">
        <v>1289</v>
      </c>
      <c r="L24" s="412" t="s">
        <v>479</v>
      </c>
    </row>
    <row r="25" spans="1:17">
      <c r="A25" s="443"/>
      <c r="B25" s="444" t="s">
        <v>105</v>
      </c>
      <c r="C25" s="418" t="s">
        <v>106</v>
      </c>
      <c r="D25" s="418" t="s">
        <v>107</v>
      </c>
      <c r="E25" s="418" t="s">
        <v>108</v>
      </c>
      <c r="F25" s="418" t="s">
        <v>109</v>
      </c>
      <c r="G25" s="418" t="s">
        <v>107</v>
      </c>
      <c r="H25" s="418" t="s">
        <v>108</v>
      </c>
      <c r="I25" s="418" t="s">
        <v>109</v>
      </c>
      <c r="J25" s="418" t="s">
        <v>110</v>
      </c>
      <c r="K25" s="418" t="s">
        <v>671</v>
      </c>
      <c r="L25" s="417" t="s">
        <v>112</v>
      </c>
    </row>
    <row r="26" spans="1:17">
      <c r="A26" s="423" t="s">
        <v>321</v>
      </c>
      <c r="B26" s="490">
        <f t="shared" ref="B26:L36" si="1">B5/B$14*100</f>
        <v>63.933712748996655</v>
      </c>
      <c r="C26" s="491">
        <f t="shared" si="1"/>
        <v>153.95866135980199</v>
      </c>
      <c r="D26" s="491" t="e">
        <f t="shared" si="1"/>
        <v>#DIV/0!</v>
      </c>
      <c r="E26" s="491" t="e">
        <f t="shared" si="1"/>
        <v>#DIV/0!</v>
      </c>
      <c r="F26" s="491" t="e">
        <f t="shared" si="1"/>
        <v>#DIV/0!</v>
      </c>
      <c r="G26" s="491">
        <f t="shared" si="1"/>
        <v>34.902131668293919</v>
      </c>
      <c r="H26" s="491">
        <f t="shared" si="1"/>
        <v>86.639832798396512</v>
      </c>
      <c r="I26" s="491">
        <f t="shared" si="1"/>
        <v>110.07609100534646</v>
      </c>
      <c r="J26" s="491">
        <f t="shared" si="1"/>
        <v>29.46141112682994</v>
      </c>
      <c r="K26" s="491">
        <f t="shared" si="1"/>
        <v>68.085684534566809</v>
      </c>
      <c r="L26" s="491">
        <f t="shared" si="1"/>
        <v>60.907624011679538</v>
      </c>
      <c r="P26" s="409" t="s">
        <v>378</v>
      </c>
      <c r="Q26" s="409">
        <v>100</v>
      </c>
    </row>
    <row r="27" spans="1:17">
      <c r="A27" s="422" t="s">
        <v>370</v>
      </c>
      <c r="B27" s="492">
        <f t="shared" si="1"/>
        <v>64.640605215783893</v>
      </c>
      <c r="C27" s="486">
        <f t="shared" si="1"/>
        <v>75.728418743872922</v>
      </c>
      <c r="D27" s="486" t="e">
        <f t="shared" si="1"/>
        <v>#DIV/0!</v>
      </c>
      <c r="E27" s="486" t="e">
        <f t="shared" si="1"/>
        <v>#DIV/0!</v>
      </c>
      <c r="F27" s="486" t="e">
        <f t="shared" si="1"/>
        <v>#DIV/0!</v>
      </c>
      <c r="G27" s="486">
        <f t="shared" si="1"/>
        <v>102.96262071144051</v>
      </c>
      <c r="H27" s="493">
        <f t="shared" si="1"/>
        <v>76.099860910691433</v>
      </c>
      <c r="I27" s="486">
        <f t="shared" si="1"/>
        <v>110.9361516614247</v>
      </c>
      <c r="J27" s="486">
        <f t="shared" si="1"/>
        <v>27.555406674179071</v>
      </c>
      <c r="K27" s="493">
        <f t="shared" si="1"/>
        <v>91.580594711368278</v>
      </c>
      <c r="L27" s="493">
        <f t="shared" si="1"/>
        <v>89.686930384023597</v>
      </c>
      <c r="P27" s="409" t="s">
        <v>370</v>
      </c>
      <c r="Q27" s="409">
        <v>89.437054797246148</v>
      </c>
    </row>
    <row r="28" spans="1:17">
      <c r="A28" s="422" t="s">
        <v>371</v>
      </c>
      <c r="B28" s="492">
        <f t="shared" si="1"/>
        <v>49.470831491739197</v>
      </c>
      <c r="C28" s="493">
        <f t="shared" si="1"/>
        <v>81.936438351404846</v>
      </c>
      <c r="D28" s="493" t="e">
        <f t="shared" si="1"/>
        <v>#DIV/0!</v>
      </c>
      <c r="E28" s="493" t="e">
        <f t="shared" si="1"/>
        <v>#DIV/0!</v>
      </c>
      <c r="F28" s="493" t="e">
        <f t="shared" si="1"/>
        <v>#DIV/0!</v>
      </c>
      <c r="G28" s="493">
        <f t="shared" si="1"/>
        <v>0.70610166871762059</v>
      </c>
      <c r="H28" s="493">
        <f t="shared" si="1"/>
        <v>64.534260555710603</v>
      </c>
      <c r="I28" s="493">
        <f t="shared" si="1"/>
        <v>101.14530471187888</v>
      </c>
      <c r="J28" s="493">
        <f t="shared" si="1"/>
        <v>19.655653610867045</v>
      </c>
      <c r="K28" s="493">
        <f t="shared" si="1"/>
        <v>47.981009452550481</v>
      </c>
      <c r="L28" s="493">
        <f t="shared" si="1"/>
        <v>36.281073012004768</v>
      </c>
      <c r="P28" s="409" t="s">
        <v>377</v>
      </c>
      <c r="Q28" s="409">
        <v>83.729632293648365</v>
      </c>
    </row>
    <row r="29" spans="1:17">
      <c r="A29" s="422" t="s">
        <v>372</v>
      </c>
      <c r="B29" s="492">
        <f t="shared" si="1"/>
        <v>53.597643461807046</v>
      </c>
      <c r="C29" s="493">
        <f t="shared" si="1"/>
        <v>99.328556962745395</v>
      </c>
      <c r="D29" s="493" t="e">
        <f t="shared" si="1"/>
        <v>#DIV/0!</v>
      </c>
      <c r="E29" s="493" t="e">
        <f t="shared" si="1"/>
        <v>#DIV/0!</v>
      </c>
      <c r="F29" s="493" t="e">
        <f t="shared" si="1"/>
        <v>#DIV/0!</v>
      </c>
      <c r="G29" s="493">
        <f t="shared" si="1"/>
        <v>10.03139375959876</v>
      </c>
      <c r="H29" s="493">
        <f t="shared" si="1"/>
        <v>69.612877188960383</v>
      </c>
      <c r="I29" s="493">
        <f t="shared" si="1"/>
        <v>95.626462632726899</v>
      </c>
      <c r="J29" s="493">
        <f t="shared" si="1"/>
        <v>29.260862223710888</v>
      </c>
      <c r="K29" s="493">
        <f t="shared" si="1"/>
        <v>51.170247013003099</v>
      </c>
      <c r="L29" s="493">
        <f t="shared" si="1"/>
        <v>40.187623160771849</v>
      </c>
      <c r="P29" s="409" t="s">
        <v>379</v>
      </c>
      <c r="Q29" s="409">
        <v>62.190291829219902</v>
      </c>
    </row>
    <row r="30" spans="1:17">
      <c r="A30" s="422" t="s">
        <v>373</v>
      </c>
      <c r="B30" s="492">
        <f t="shared" si="1"/>
        <v>53.638790151155881</v>
      </c>
      <c r="C30" s="493">
        <f t="shared" si="1"/>
        <v>72.562217371508268</v>
      </c>
      <c r="D30" s="493" t="e">
        <f t="shared" si="1"/>
        <v>#DIV/0!</v>
      </c>
      <c r="E30" s="493" t="e">
        <f t="shared" si="1"/>
        <v>#DIV/0!</v>
      </c>
      <c r="F30" s="493" t="e">
        <f t="shared" si="1"/>
        <v>#DIV/0!</v>
      </c>
      <c r="G30" s="493">
        <f t="shared" si="1"/>
        <v>23.120131919231696</v>
      </c>
      <c r="H30" s="493">
        <f t="shared" si="1"/>
        <v>70.999896429159605</v>
      </c>
      <c r="I30" s="493">
        <f t="shared" si="1"/>
        <v>101.31949370931279</v>
      </c>
      <c r="J30" s="493">
        <f t="shared" si="1"/>
        <v>30.064985300256673</v>
      </c>
      <c r="K30" s="493">
        <f t="shared" si="1"/>
        <v>57.164984537342697</v>
      </c>
      <c r="L30" s="493">
        <f t="shared" si="1"/>
        <v>47.530676891835036</v>
      </c>
      <c r="P30" s="409" t="s">
        <v>321</v>
      </c>
      <c r="Q30" s="409">
        <v>60.875572339729821</v>
      </c>
    </row>
    <row r="31" spans="1:17">
      <c r="A31" s="422" t="s">
        <v>374</v>
      </c>
      <c r="B31" s="492">
        <f t="shared" si="1"/>
        <v>58.611004750684614</v>
      </c>
      <c r="C31" s="493">
        <f t="shared" si="1"/>
        <v>189.97414264519367</v>
      </c>
      <c r="D31" s="493" t="e">
        <f t="shared" si="1"/>
        <v>#DIV/0!</v>
      </c>
      <c r="E31" s="493" t="e">
        <f t="shared" si="1"/>
        <v>#DIV/0!</v>
      </c>
      <c r="F31" s="493" t="e">
        <f t="shared" si="1"/>
        <v>#DIV/0!</v>
      </c>
      <c r="G31" s="493">
        <f t="shared" si="1"/>
        <v>10.46592065530907</v>
      </c>
      <c r="H31" s="493">
        <f t="shared" si="1"/>
        <v>79.62390157577002</v>
      </c>
      <c r="I31" s="493">
        <f t="shared" si="1"/>
        <v>113.33784911840506</v>
      </c>
      <c r="J31" s="493">
        <f t="shared" si="1"/>
        <v>14.349191505578499</v>
      </c>
      <c r="K31" s="493">
        <f t="shared" si="1"/>
        <v>58.985256624865755</v>
      </c>
      <c r="L31" s="493">
        <f t="shared" si="1"/>
        <v>49.760358456635302</v>
      </c>
      <c r="P31" s="409" t="s">
        <v>374</v>
      </c>
      <c r="Q31" s="409">
        <v>49.710535267023936</v>
      </c>
    </row>
    <row r="32" spans="1:17">
      <c r="A32" s="422" t="s">
        <v>375</v>
      </c>
      <c r="B32" s="492">
        <f t="shared" si="1"/>
        <v>60.033874710073768</v>
      </c>
      <c r="C32" s="493">
        <f t="shared" si="1"/>
        <v>199.01052224909157</v>
      </c>
      <c r="D32" s="493" t="e">
        <f t="shared" si="1"/>
        <v>#DIV/0!</v>
      </c>
      <c r="E32" s="493" t="e">
        <f t="shared" si="1"/>
        <v>#DIV/0!</v>
      </c>
      <c r="F32" s="493" t="e">
        <f t="shared" si="1"/>
        <v>#DIV/0!</v>
      </c>
      <c r="G32" s="493">
        <f t="shared" si="1"/>
        <v>7.8120268693420147</v>
      </c>
      <c r="H32" s="493">
        <f t="shared" si="1"/>
        <v>95.532750157881196</v>
      </c>
      <c r="I32" s="493">
        <f t="shared" si="1"/>
        <v>105.96945681615431</v>
      </c>
      <c r="J32" s="493">
        <f t="shared" si="1"/>
        <v>19.313555217867322</v>
      </c>
      <c r="K32" s="493">
        <f t="shared" si="1"/>
        <v>56.494988913302194</v>
      </c>
      <c r="L32" s="493">
        <f t="shared" si="1"/>
        <v>46.709988104889582</v>
      </c>
      <c r="P32" s="409" t="s">
        <v>376</v>
      </c>
      <c r="Q32" s="409">
        <v>49.428784901471559</v>
      </c>
    </row>
    <row r="33" spans="1:17">
      <c r="A33" s="422" t="s">
        <v>376</v>
      </c>
      <c r="B33" s="492">
        <f t="shared" si="1"/>
        <v>51.22403162873146</v>
      </c>
      <c r="C33" s="493">
        <f t="shared" si="1"/>
        <v>87.883771150238616</v>
      </c>
      <c r="D33" s="493" t="e">
        <f t="shared" si="1"/>
        <v>#DIV/0!</v>
      </c>
      <c r="E33" s="493" t="e">
        <f t="shared" si="1"/>
        <v>#DIV/0!</v>
      </c>
      <c r="F33" s="493" t="e">
        <f t="shared" si="1"/>
        <v>#DIV/0!</v>
      </c>
      <c r="G33" s="493">
        <f t="shared" si="1"/>
        <v>12.108140846950803</v>
      </c>
      <c r="H33" s="493">
        <f t="shared" si="1"/>
        <v>74.587622149159998</v>
      </c>
      <c r="I33" s="493">
        <f t="shared" si="1"/>
        <v>122.76516171119192</v>
      </c>
      <c r="J33" s="493">
        <f t="shared" si="1"/>
        <v>23.384313170875011</v>
      </c>
      <c r="K33" s="493">
        <f t="shared" si="1"/>
        <v>58.823736146292703</v>
      </c>
      <c r="L33" s="493">
        <f t="shared" si="1"/>
        <v>49.562509335132745</v>
      </c>
      <c r="P33" s="409" t="s">
        <v>373</v>
      </c>
      <c r="Q33" s="409">
        <v>47.475386024942317</v>
      </c>
    </row>
    <row r="34" spans="1:17">
      <c r="A34" s="422" t="s">
        <v>377</v>
      </c>
      <c r="B34" s="492">
        <f t="shared" si="1"/>
        <v>66.762150371008971</v>
      </c>
      <c r="C34" s="493">
        <f t="shared" si="1"/>
        <v>72.635079375458076</v>
      </c>
      <c r="D34" s="493" t="e">
        <f t="shared" si="1"/>
        <v>#DIV/0!</v>
      </c>
      <c r="E34" s="493" t="e">
        <f t="shared" si="1"/>
        <v>#DIV/0!</v>
      </c>
      <c r="F34" s="493" t="e">
        <f t="shared" si="1"/>
        <v>#DIV/0!</v>
      </c>
      <c r="G34" s="493">
        <f t="shared" si="1"/>
        <v>70.784129799832002</v>
      </c>
      <c r="H34" s="493">
        <f t="shared" si="1"/>
        <v>68.27808985580964</v>
      </c>
      <c r="I34" s="493">
        <f t="shared" si="1"/>
        <v>132.33262557812992</v>
      </c>
      <c r="J34" s="493">
        <f t="shared" si="1"/>
        <v>101.52906669829767</v>
      </c>
      <c r="K34" s="493">
        <f t="shared" si="1"/>
        <v>86.894012389572694</v>
      </c>
      <c r="L34" s="493">
        <f t="shared" si="1"/>
        <v>83.946257725000535</v>
      </c>
      <c r="P34" s="409" t="s">
        <v>375</v>
      </c>
      <c r="Q34" s="409">
        <v>46.722089201849094</v>
      </c>
    </row>
    <row r="35" spans="1:17">
      <c r="A35" s="422" t="s">
        <v>378</v>
      </c>
      <c r="B35" s="492">
        <f t="shared" si="1"/>
        <v>100</v>
      </c>
      <c r="C35" s="493">
        <f t="shared" si="1"/>
        <v>100</v>
      </c>
      <c r="D35" s="493" t="e">
        <f t="shared" si="1"/>
        <v>#DIV/0!</v>
      </c>
      <c r="E35" s="493" t="e">
        <f t="shared" si="1"/>
        <v>#DIV/0!</v>
      </c>
      <c r="F35" s="493" t="e">
        <f t="shared" si="1"/>
        <v>#DIV/0!</v>
      </c>
      <c r="G35" s="493">
        <f t="shared" si="1"/>
        <v>100</v>
      </c>
      <c r="H35" s="493">
        <f t="shared" si="1"/>
        <v>100</v>
      </c>
      <c r="I35" s="493">
        <f t="shared" si="1"/>
        <v>100</v>
      </c>
      <c r="J35" s="493">
        <f t="shared" si="1"/>
        <v>100</v>
      </c>
      <c r="K35" s="493">
        <f t="shared" si="1"/>
        <v>100</v>
      </c>
      <c r="L35" s="493">
        <f t="shared" si="1"/>
        <v>100</v>
      </c>
      <c r="P35" s="409" t="s">
        <v>372</v>
      </c>
      <c r="Q35" s="409">
        <v>40.174698206475931</v>
      </c>
    </row>
    <row r="36" spans="1:17">
      <c r="A36" s="423" t="s">
        <v>379</v>
      </c>
      <c r="B36" s="490">
        <f t="shared" si="1"/>
        <v>59.298031202343537</v>
      </c>
      <c r="C36" s="491">
        <f t="shared" si="1"/>
        <v>113.48178139471221</v>
      </c>
      <c r="D36" s="491" t="e">
        <f t="shared" si="1"/>
        <v>#DIV/0!</v>
      </c>
      <c r="E36" s="491" t="e">
        <f t="shared" si="1"/>
        <v>#DIV/0!</v>
      </c>
      <c r="F36" s="491" t="e">
        <f t="shared" si="1"/>
        <v>#DIV/0!</v>
      </c>
      <c r="G36" s="491">
        <f t="shared" si="1"/>
        <v>28.832573901490814</v>
      </c>
      <c r="H36" s="491">
        <f t="shared" si="1"/>
        <v>81.724024707818359</v>
      </c>
      <c r="I36" s="491">
        <f t="shared" si="1"/>
        <v>127.45583750952119</v>
      </c>
      <c r="J36" s="491">
        <f t="shared" si="1"/>
        <v>19.817226189110144</v>
      </c>
      <c r="K36" s="491">
        <f t="shared" si="1"/>
        <v>69.105337078835774</v>
      </c>
      <c r="L36" s="491">
        <f t="shared" si="1"/>
        <v>62.156613377633008</v>
      </c>
      <c r="P36" s="409" t="s">
        <v>371</v>
      </c>
      <c r="Q36" s="409">
        <v>36.183610931287632</v>
      </c>
    </row>
    <row r="37" spans="1:17">
      <c r="A37" s="409" t="s">
        <v>1277</v>
      </c>
    </row>
    <row r="38" spans="1:17">
      <c r="A38" s="409" t="s">
        <v>1319</v>
      </c>
    </row>
    <row r="39" spans="1:17" ht="76.5">
      <c r="A39" s="410"/>
      <c r="B39" s="411" t="s">
        <v>1307</v>
      </c>
      <c r="C39" s="412" t="s">
        <v>1308</v>
      </c>
      <c r="D39" s="412" t="s">
        <v>1309</v>
      </c>
      <c r="E39" s="412" t="s">
        <v>1310</v>
      </c>
      <c r="F39" s="412" t="s">
        <v>1311</v>
      </c>
      <c r="G39" s="413" t="s">
        <v>1312</v>
      </c>
      <c r="H39" s="413" t="s">
        <v>1313</v>
      </c>
      <c r="I39" s="413" t="s">
        <v>1314</v>
      </c>
      <c r="J39" s="413" t="s">
        <v>1315</v>
      </c>
      <c r="K39" s="412" t="s">
        <v>1289</v>
      </c>
      <c r="L39" s="412" t="s">
        <v>479</v>
      </c>
    </row>
    <row r="40" spans="1:17">
      <c r="A40" s="443"/>
      <c r="B40" s="444" t="s">
        <v>105</v>
      </c>
      <c r="C40" s="418" t="s">
        <v>106</v>
      </c>
      <c r="D40" s="418"/>
      <c r="E40" s="418"/>
      <c r="F40" s="418"/>
      <c r="G40" s="418" t="s">
        <v>107</v>
      </c>
      <c r="H40" s="418" t="s">
        <v>108</v>
      </c>
      <c r="I40" s="418" t="s">
        <v>109</v>
      </c>
      <c r="J40" s="418" t="s">
        <v>110</v>
      </c>
      <c r="K40" s="418" t="s">
        <v>671</v>
      </c>
      <c r="L40" s="417" t="s">
        <v>112</v>
      </c>
    </row>
    <row r="41" spans="1:17">
      <c r="A41" s="423" t="s">
        <v>321</v>
      </c>
      <c r="B41" s="438">
        <f>'[5]2'!B$19</f>
        <v>53260.19610462003</v>
      </c>
      <c r="C41" s="439">
        <f>'[5]2'!C$19</f>
        <v>1227.8557197272121</v>
      </c>
      <c r="D41" s="498"/>
      <c r="E41" s="439"/>
      <c r="F41" s="439"/>
      <c r="G41" s="496">
        <f>'[5]2'!D$19</f>
        <v>26184.900383233871</v>
      </c>
      <c r="H41" s="439">
        <f>'[5]2'!E$19</f>
        <v>-9818.5184573276856</v>
      </c>
      <c r="I41" s="439">
        <f>'[5]2'!F$19</f>
        <v>77530.178961133061</v>
      </c>
      <c r="J41" s="439">
        <f>'[5]2'!G$19</f>
        <v>649.03106206770872</v>
      </c>
      <c r="K41" s="439">
        <f>'[5]2'!H$19</f>
        <v>147735.58164931877</v>
      </c>
      <c r="L41" s="424">
        <f>'[5]2'!I$19</f>
        <v>0.27621245976709657</v>
      </c>
    </row>
    <row r="42" spans="1:17">
      <c r="A42" s="409" t="s">
        <v>370</v>
      </c>
      <c r="B42" s="446">
        <f>'[5]2'!L$19</f>
        <v>41491.518889209496</v>
      </c>
      <c r="C42" s="447">
        <f>'[5]2'!M$19</f>
        <v>399.97838784823591</v>
      </c>
      <c r="D42" s="499">
        <f>'[5]1'!N$19</f>
        <v>10170.31054993725</v>
      </c>
      <c r="E42" s="436"/>
      <c r="F42" s="436"/>
      <c r="G42" s="447">
        <f>'[5]2'!N$19</f>
        <v>17461.703750220044</v>
      </c>
      <c r="H42" s="447">
        <f>'[5]2'!O$19</f>
        <v>-6042.7746076231751</v>
      </c>
      <c r="I42" s="447">
        <f>'[5]2'!P$19</f>
        <v>66933.710637172117</v>
      </c>
      <c r="J42" s="447">
        <f>'[5]2'!Q$19</f>
        <v>483.04935818709532</v>
      </c>
      <c r="K42" s="447">
        <f>'[5]2'!R$19</f>
        <v>119761.0876986396</v>
      </c>
      <c r="L42" s="420">
        <f>'[5]2'!S$19</f>
        <v>0.18686505994443872</v>
      </c>
    </row>
    <row r="43" spans="1:17">
      <c r="A43" s="409" t="s">
        <v>371</v>
      </c>
      <c r="B43" s="419">
        <f>'[5]2'!V$19</f>
        <v>32022.068619436508</v>
      </c>
      <c r="C43" s="436">
        <f>'[5]2'!W$19</f>
        <v>353.48455278054729</v>
      </c>
      <c r="D43" s="499"/>
      <c r="E43" s="436"/>
      <c r="F43" s="436"/>
      <c r="G43" s="436">
        <f>'[5]2'!X$19</f>
        <v>558.35522605768847</v>
      </c>
      <c r="H43" s="436">
        <f>'[5]2'!Y$19</f>
        <v>-7148.1431920578507</v>
      </c>
      <c r="I43" s="436">
        <f>'[5]2'!Z$19</f>
        <v>62022.122028161939</v>
      </c>
      <c r="J43" s="436">
        <f>'[5]2'!AA$19</f>
        <v>462.37811479564073</v>
      </c>
      <c r="K43" s="436">
        <f>'[5]2'!AB$19</f>
        <v>87345.509119583192</v>
      </c>
      <c r="L43" s="421">
        <f>'[5]2'!AC$19</f>
        <v>8.3333333333333329E-2</v>
      </c>
    </row>
    <row r="44" spans="1:17">
      <c r="A44" s="409" t="s">
        <v>372</v>
      </c>
      <c r="B44" s="419">
        <f>'[5]2'!AF$19</f>
        <v>39935.223092139044</v>
      </c>
      <c r="C44" s="436">
        <f>'[5]2'!AG$19</f>
        <v>900.5550522792463</v>
      </c>
      <c r="D44" s="499"/>
      <c r="E44" s="436"/>
      <c r="F44" s="436"/>
      <c r="G44" s="436">
        <f>'[5]2'!AH$19</f>
        <v>11660.641533725149</v>
      </c>
      <c r="H44" s="436">
        <f>'[5]2'!AI$19</f>
        <v>-8277.9192312453288</v>
      </c>
      <c r="I44" s="436">
        <f>'[5]2'!AJ$19</f>
        <v>63659.403464385934</v>
      </c>
      <c r="J44" s="436">
        <f>'[5]2'!AK$19</f>
        <v>615.03623552002591</v>
      </c>
      <c r="K44" s="436">
        <f>'[5]2'!AL$19</f>
        <v>107262.86767576404</v>
      </c>
      <c r="L44" s="421">
        <f>'[5]2'!AM$19</f>
        <v>0.14694714531033681</v>
      </c>
    </row>
    <row r="45" spans="1:17">
      <c r="A45" s="409" t="s">
        <v>373</v>
      </c>
      <c r="B45" s="419">
        <f>'[5]2'!AP$19</f>
        <v>41609.817563607845</v>
      </c>
      <c r="C45" s="436">
        <f>'[5]2'!AQ$19</f>
        <v>988.84137132162084</v>
      </c>
      <c r="D45" s="499"/>
      <c r="E45" s="436"/>
      <c r="F45" s="436"/>
      <c r="G45" s="436">
        <f>'[5]2'!AR$19</f>
        <v>15335.551075302223</v>
      </c>
      <c r="H45" s="436">
        <f>'[5]2'!AS$19</f>
        <v>-7216.129562589771</v>
      </c>
      <c r="I45" s="436">
        <f>'[5]2'!AT$19</f>
        <v>63781.532931773574</v>
      </c>
      <c r="J45" s="436">
        <f>'[5]2'!AU$19</f>
        <v>598.74052678516773</v>
      </c>
      <c r="K45" s="436">
        <f>'[5]2'!AV$19</f>
        <v>113900.87285263033</v>
      </c>
      <c r="L45" s="421">
        <f>'[5]2'!AW$19</f>
        <v>0.16814819021960303</v>
      </c>
    </row>
    <row r="46" spans="1:17">
      <c r="A46" s="409" t="s">
        <v>374</v>
      </c>
      <c r="B46" s="419">
        <f>'[5]2'!AZ$19</f>
        <v>47530.964348614609</v>
      </c>
      <c r="C46" s="436">
        <f>'[5]2'!BA$19</f>
        <v>903.58221013495267</v>
      </c>
      <c r="D46" s="499"/>
      <c r="E46" s="436"/>
      <c r="F46" s="436"/>
      <c r="G46" s="436">
        <f>'[5]2'!BB$19</f>
        <v>10498.736507959711</v>
      </c>
      <c r="H46" s="436">
        <f>'[5]2'!BC$19</f>
        <v>-8649.5409689137341</v>
      </c>
      <c r="I46" s="436">
        <f>'[5]2'!BD$19</f>
        <v>78931.016925527103</v>
      </c>
      <c r="J46" s="436">
        <f>'[5]2'!BE$19</f>
        <v>348.75171899032421</v>
      </c>
      <c r="K46" s="436">
        <f>'[5]2'!BF$19</f>
        <v>128866.00730433232</v>
      </c>
      <c r="L46" s="421">
        <f>'[5]2'!BG$19</f>
        <v>0.21594515318213009</v>
      </c>
    </row>
    <row r="47" spans="1:17">
      <c r="A47" s="409" t="s">
        <v>375</v>
      </c>
      <c r="B47" s="419">
        <f>'[5]2'!BJ$19</f>
        <v>53613.235441972713</v>
      </c>
      <c r="C47" s="436">
        <f>'[5]2'!BK$19</f>
        <v>1246.9258481621964</v>
      </c>
      <c r="D47" s="499"/>
      <c r="E47" s="436"/>
      <c r="F47" s="436"/>
      <c r="G47" s="436">
        <f>'[5]2'!BL$19</f>
        <v>8096.80067403261</v>
      </c>
      <c r="H47" s="436">
        <f>'[5]2'!BM$19</f>
        <v>-10982.95521219717</v>
      </c>
      <c r="I47" s="436">
        <f>'[5]2'!BN$19</f>
        <v>76247.937292116258</v>
      </c>
      <c r="J47" s="436">
        <f>'[5]2'!BO$19</f>
        <v>525.8963945182536</v>
      </c>
      <c r="K47" s="436">
        <f>'[5]2'!BP$19</f>
        <v>127696.04764956835</v>
      </c>
      <c r="L47" s="421">
        <f>'[5]2'!BQ$19</f>
        <v>0.2122084331100933</v>
      </c>
    </row>
    <row r="48" spans="1:17">
      <c r="A48" s="409" t="s">
        <v>376</v>
      </c>
      <c r="B48" s="419">
        <f>'[5]2'!BT$19</f>
        <v>49176.132085037345</v>
      </c>
      <c r="C48" s="436">
        <f>'[5]2'!BU$19</f>
        <v>816.99843047726711</v>
      </c>
      <c r="D48" s="499"/>
      <c r="E48" s="436"/>
      <c r="F48" s="436"/>
      <c r="G48" s="436">
        <f>'[5]2'!BV$19</f>
        <v>9481.451254577385</v>
      </c>
      <c r="H48" s="436">
        <f>'[5]2'!BW$19</f>
        <v>-9230.8550564287762</v>
      </c>
      <c r="I48" s="436">
        <f>'[5]2'!BX$19</f>
        <v>94292.588426717615</v>
      </c>
      <c r="J48" s="436">
        <f>'[5]2'!BY$19</f>
        <v>473.83615614806911</v>
      </c>
      <c r="K48" s="436">
        <f>'[5]2'!BZ$19</f>
        <v>144062.47898423276</v>
      </c>
      <c r="L48" s="421">
        <f>'[5]2'!CA$19</f>
        <v>0.26448098133586145</v>
      </c>
    </row>
    <row r="49" spans="1:12">
      <c r="A49" s="409" t="s">
        <v>377</v>
      </c>
      <c r="B49" s="419">
        <f>'[5]2'!CD$19</f>
        <v>55847.738017276817</v>
      </c>
      <c r="C49" s="436">
        <f>'[5]2'!CE$19</f>
        <v>552.31706934177078</v>
      </c>
      <c r="D49" s="499"/>
      <c r="E49" s="436"/>
      <c r="F49" s="436"/>
      <c r="G49" s="436">
        <f>'[5]2'!CF$19</f>
        <v>41942.547327746594</v>
      </c>
      <c r="H49" s="436">
        <f>'[5]2'!CG$19</f>
        <v>-9116.605272920433</v>
      </c>
      <c r="I49" s="436">
        <f>'[5]2'!CH$19</f>
        <v>92287.874654605184</v>
      </c>
      <c r="J49" s="436">
        <f>'[5]2'!CI$19</f>
        <v>1317.4962544924952</v>
      </c>
      <c r="K49" s="436">
        <f>'[5]2'!CJ$19</f>
        <v>180196.37554155744</v>
      </c>
      <c r="L49" s="421">
        <f>'[5]2'!CK$19</f>
        <v>0.37988859902323946</v>
      </c>
    </row>
    <row r="50" spans="1:12">
      <c r="A50" s="409" t="s">
        <v>378</v>
      </c>
      <c r="B50" s="419">
        <f>'[5]2'!CN$19</f>
        <v>78722.375326480149</v>
      </c>
      <c r="C50" s="436">
        <f>'[5]2'!CO$19</f>
        <v>1076.6830050398605</v>
      </c>
      <c r="D50" s="499"/>
      <c r="E50" s="436"/>
      <c r="F50" s="436"/>
      <c r="G50" s="436">
        <f>'[5]2'!CP$19</f>
        <v>125822.53492501241</v>
      </c>
      <c r="H50" s="436">
        <f>'[5]2'!CQ$19</f>
        <v>-13689.59428059681</v>
      </c>
      <c r="I50" s="436">
        <f>'[5]2'!CR$19</f>
        <v>74529.677642482144</v>
      </c>
      <c r="J50" s="436">
        <f>'[5]2'!CS$19</f>
        <v>2227.1370183986901</v>
      </c>
      <c r="K50" s="436">
        <f>'[5]2'!CT$19</f>
        <v>264234.53960001905</v>
      </c>
      <c r="L50" s="421">
        <f>'[5]2'!CU$19</f>
        <v>0.64829708061120361</v>
      </c>
    </row>
    <row r="51" spans="1:12">
      <c r="A51" s="423" t="s">
        <v>379</v>
      </c>
      <c r="B51" s="438">
        <f>'[5]2'!CX$19</f>
        <v>51617.956291715935</v>
      </c>
      <c r="C51" s="439">
        <f>'[5]2'!CY$19</f>
        <v>597.8946930377474</v>
      </c>
      <c r="D51" s="498"/>
      <c r="E51" s="439"/>
      <c r="F51" s="439"/>
      <c r="G51" s="439">
        <f>'[5]2'!CZ$19</f>
        <v>37284.453141666119</v>
      </c>
      <c r="H51" s="439">
        <f>'[5]2'!DA$19</f>
        <v>-10144.927222115259</v>
      </c>
      <c r="I51" s="439">
        <f>'[5]2'!DB$19</f>
        <v>89667.765390435263</v>
      </c>
      <c r="J51" s="439">
        <f>'[5]2'!DC$19</f>
        <v>509.83845145866979</v>
      </c>
      <c r="K51" s="439">
        <f>'[5]2'!DD$19</f>
        <v>168513.30384328112</v>
      </c>
      <c r="L51" s="424">
        <f>'[5]2'!DE$19</f>
        <v>0.34257417682053393</v>
      </c>
    </row>
  </sheetData>
  <mergeCells count="1">
    <mergeCell ref="A18:L18"/>
  </mergeCells>
  <pageMargins left="0.75" right="0.75" top="1" bottom="1" header="0.5" footer="0.5"/>
  <pageSetup scale="57" orientation="landscape" horizontalDpi="1200" verticalDpi="1200" r:id="rId1"/>
  <headerFooter alignWithMargins="0"/>
  <drawing r:id="rId2"/>
</worksheet>
</file>

<file path=xl/worksheets/sheet135.xml><?xml version="1.0" encoding="utf-8"?>
<worksheet xmlns="http://schemas.openxmlformats.org/spreadsheetml/2006/main" xmlns:r="http://schemas.openxmlformats.org/officeDocument/2006/relationships">
  <sheetPr>
    <pageSetUpPr fitToPage="1"/>
  </sheetPr>
  <dimension ref="A1:L51"/>
  <sheetViews>
    <sheetView view="pageBreakPreview" zoomScaleSheetLayoutView="100" workbookViewId="0">
      <selection activeCell="I24" sqref="I24"/>
    </sheetView>
  </sheetViews>
  <sheetFormatPr defaultRowHeight="12.75"/>
  <cols>
    <col min="1" max="1" width="15.625" style="409" customWidth="1"/>
    <col min="2" max="7" width="11.25" style="409" customWidth="1"/>
    <col min="8" max="8" width="10.375" style="409" customWidth="1"/>
    <col min="9" max="16384" width="9" style="409"/>
  </cols>
  <sheetData>
    <row r="1" spans="1:12" ht="27" customHeight="1">
      <c r="A1" s="663" t="s">
        <v>1320</v>
      </c>
      <c r="B1" s="664"/>
      <c r="C1" s="664"/>
      <c r="D1" s="664"/>
      <c r="E1" s="664"/>
      <c r="F1" s="664"/>
      <c r="G1" s="664"/>
      <c r="H1" s="664"/>
    </row>
    <row r="3" spans="1:12" s="414" customFormat="1" ht="38.25">
      <c r="A3" s="410"/>
      <c r="B3" s="477" t="s">
        <v>1231</v>
      </c>
      <c r="C3" s="413" t="s">
        <v>1321</v>
      </c>
      <c r="D3" s="412" t="s">
        <v>1232</v>
      </c>
      <c r="E3" s="412" t="s">
        <v>1233</v>
      </c>
      <c r="F3" s="412" t="s">
        <v>1278</v>
      </c>
      <c r="G3" s="413" t="s">
        <v>1322</v>
      </c>
      <c r="H3" s="413" t="s">
        <v>1323</v>
      </c>
      <c r="I3" s="487" t="s">
        <v>1324</v>
      </c>
    </row>
    <row r="4" spans="1:12" s="414" customFormat="1" ht="25.5">
      <c r="A4" s="415"/>
      <c r="B4" s="500" t="s">
        <v>105</v>
      </c>
      <c r="C4" s="417" t="s">
        <v>106</v>
      </c>
      <c r="D4" s="417" t="s">
        <v>107</v>
      </c>
      <c r="E4" s="417" t="s">
        <v>108</v>
      </c>
      <c r="F4" s="417" t="s">
        <v>1325</v>
      </c>
      <c r="G4" s="417" t="s">
        <v>110</v>
      </c>
      <c r="H4" s="417" t="s">
        <v>1326</v>
      </c>
      <c r="I4" s="487" t="s">
        <v>112</v>
      </c>
    </row>
    <row r="5" spans="1:12">
      <c r="A5" s="423" t="s">
        <v>321</v>
      </c>
      <c r="B5" s="501">
        <f>[5]a17!B$45</f>
        <v>0.39300000000000002</v>
      </c>
      <c r="C5" s="502">
        <f>[5]a17!C$45</f>
        <v>0.21774193548387052</v>
      </c>
      <c r="D5" s="503">
        <f>[5]a18!B$46</f>
        <v>9.1999999999999993</v>
      </c>
      <c r="E5" s="503">
        <f>[5]a18!C$46</f>
        <v>4181.5718157181573</v>
      </c>
      <c r="F5" s="488">
        <f>[5]a18!D$46</f>
        <v>38470.460704607045</v>
      </c>
      <c r="G5" s="488">
        <f>[5]a18!E$46</f>
        <v>0.55259008907208407</v>
      </c>
      <c r="H5" s="488">
        <f>'[5]3'!$D$47</f>
        <v>0.58259815407218163</v>
      </c>
      <c r="I5" s="488">
        <f t="shared" ref="I5:I15" si="0">(H5-H41)/H41 *100</f>
        <v>-6.4010843125204024</v>
      </c>
      <c r="K5" s="409" t="s">
        <v>371</v>
      </c>
      <c r="L5" s="409">
        <v>55.262357291984877</v>
      </c>
    </row>
    <row r="6" spans="1:12">
      <c r="A6" s="409" t="s">
        <v>370</v>
      </c>
      <c r="B6" s="504">
        <f>[5]a17!D$45</f>
        <v>0.37</v>
      </c>
      <c r="C6" s="43">
        <f>[5]a17!E$45</f>
        <v>0.42383512544802854</v>
      </c>
      <c r="D6" s="437">
        <f>[5]a18!N$46</f>
        <v>8.1999999999999993</v>
      </c>
      <c r="E6" s="437">
        <f>[5]a18!G$46</f>
        <v>3303.030303030303</v>
      </c>
      <c r="F6" s="421">
        <f>[5]a18!H$46</f>
        <v>21469.696969696968</v>
      </c>
      <c r="G6" s="421">
        <f>[5]a18!I$46</f>
        <v>0.81067248153963112</v>
      </c>
      <c r="H6" s="421">
        <f>'[5]3'!$G$47</f>
        <v>0.58213098772691763</v>
      </c>
      <c r="I6" s="421">
        <f t="shared" si="0"/>
        <v>49.163104641399244</v>
      </c>
      <c r="K6" s="409" t="s">
        <v>370</v>
      </c>
      <c r="L6" s="409">
        <v>49.163104641399244</v>
      </c>
    </row>
    <row r="7" spans="1:12">
      <c r="A7" s="409" t="s">
        <v>371</v>
      </c>
      <c r="B7" s="504">
        <f>[5]a17!F$45</f>
        <v>0.32900000000000001</v>
      </c>
      <c r="C7" s="43">
        <f>[5]a17!G$45</f>
        <v>0.79121863799283154</v>
      </c>
      <c r="D7" s="437">
        <f>[5]a18!J$46</f>
        <v>5</v>
      </c>
      <c r="E7" s="437">
        <f>[5]a18!K$46</f>
        <v>3714.2857142857142</v>
      </c>
      <c r="F7" s="421">
        <f>[5]a18!L$46</f>
        <v>18571.428571428572</v>
      </c>
      <c r="G7" s="421">
        <f>[5]a18!M$46</f>
        <v>0.85467003682017628</v>
      </c>
      <c r="H7" s="421">
        <f>'[5]3'!$J$47</f>
        <v>0.81367944007484105</v>
      </c>
      <c r="I7" s="421">
        <f t="shared" si="0"/>
        <v>55.262357291984877</v>
      </c>
      <c r="K7" s="409" t="s">
        <v>377</v>
      </c>
      <c r="L7" s="409">
        <v>25.117206112238105</v>
      </c>
    </row>
    <row r="8" spans="1:12">
      <c r="A8" s="409" t="s">
        <v>372</v>
      </c>
      <c r="B8" s="504">
        <f>[5]a17!H$45</f>
        <v>0.372</v>
      </c>
      <c r="C8" s="43">
        <f>[5]a17!I$45</f>
        <v>0.40591397849462352</v>
      </c>
      <c r="D8" s="437">
        <f>[5]a18!N$46</f>
        <v>8.1999999999999993</v>
      </c>
      <c r="E8" s="437">
        <f>[5]a18!O$46</f>
        <v>3797.2972972972975</v>
      </c>
      <c r="F8" s="421">
        <f>[5]a18!P$46</f>
        <v>31137.837837837837</v>
      </c>
      <c r="G8" s="421">
        <f>[5]a18!Q$46</f>
        <v>0.6639039619089887</v>
      </c>
      <c r="H8" s="421">
        <f>'[5]3'!$M$47</f>
        <v>0.59975254102576969</v>
      </c>
      <c r="I8" s="421">
        <f t="shared" si="0"/>
        <v>24.889768964546406</v>
      </c>
      <c r="K8" s="409" t="s">
        <v>372</v>
      </c>
      <c r="L8" s="409">
        <v>24.889768964546406</v>
      </c>
    </row>
    <row r="9" spans="1:12">
      <c r="A9" s="409" t="s">
        <v>373</v>
      </c>
      <c r="B9" s="504">
        <f>[5]a17!J$45</f>
        <v>0.36599999999999999</v>
      </c>
      <c r="C9" s="43">
        <f>[5]a17!K$45</f>
        <v>0.45967741935483863</v>
      </c>
      <c r="D9" s="437">
        <f>[5]a18!R$46</f>
        <v>8.1999999999999993</v>
      </c>
      <c r="E9" s="437">
        <f>[5]a18!S$46</f>
        <v>3150</v>
      </c>
      <c r="F9" s="421">
        <f>[5]a18!T$46</f>
        <v>25829.999999999996</v>
      </c>
      <c r="G9" s="421">
        <f>[5]a18!U$46</f>
        <v>0.74448031185296415</v>
      </c>
      <c r="H9" s="421">
        <f>'[5]3'!$P$47</f>
        <v>0.54643675814737303</v>
      </c>
      <c r="I9" s="421">
        <f t="shared" si="0"/>
        <v>18.698397344604945</v>
      </c>
      <c r="K9" s="409" t="s">
        <v>373</v>
      </c>
      <c r="L9" s="409">
        <v>18.698397344604945</v>
      </c>
    </row>
    <row r="10" spans="1:12">
      <c r="A10" s="409" t="s">
        <v>374</v>
      </c>
      <c r="B10" s="504">
        <f>[5]a17!L$45</f>
        <v>0.376</v>
      </c>
      <c r="C10" s="43">
        <f>[5]a17!M$45</f>
        <v>0.37007168458781342</v>
      </c>
      <c r="D10" s="437">
        <f>[5]a18!V$46</f>
        <v>10.7</v>
      </c>
      <c r="E10" s="437">
        <f>[5]a18!W$46</f>
        <v>4333.7438423645317</v>
      </c>
      <c r="F10" s="421">
        <f>[5]a18!X$46</f>
        <v>46371.059113300485</v>
      </c>
      <c r="G10" s="421">
        <f>[5]a18!Y$46</f>
        <v>0.43265398672781585</v>
      </c>
      <c r="H10" s="421">
        <f>'[5]3'!$S$47</f>
        <v>0.65733332912271591</v>
      </c>
      <c r="I10" s="421">
        <f t="shared" si="0"/>
        <v>7.0528641003816341</v>
      </c>
      <c r="K10" s="409" t="s">
        <v>376</v>
      </c>
      <c r="L10" s="409">
        <v>16.516750566044045</v>
      </c>
    </row>
    <row r="11" spans="1:12">
      <c r="A11" s="409" t="s">
        <v>375</v>
      </c>
      <c r="B11" s="504">
        <f>[5]a17!N$45</f>
        <v>0.39200000000000002</v>
      </c>
      <c r="C11" s="43">
        <f>[5]a17!O$45</f>
        <v>0.22670250896057303</v>
      </c>
      <c r="D11" s="437">
        <f>[5]a18!Z$46</f>
        <v>8.8000000000000007</v>
      </c>
      <c r="E11" s="437">
        <f>[5]a18!AA$46</f>
        <v>4020.7581227436822</v>
      </c>
      <c r="F11" s="421">
        <f>[5]a18!AB$46</f>
        <v>35382.671480144403</v>
      </c>
      <c r="G11" s="421">
        <f>[5]a18!AC$46</f>
        <v>0.59946469087885079</v>
      </c>
      <c r="H11" s="421">
        <f>'[5]3'!$V$47</f>
        <v>0.61076433892504456</v>
      </c>
      <c r="I11" s="421">
        <f t="shared" si="0"/>
        <v>-19.046205462454726</v>
      </c>
      <c r="K11" s="409" t="s">
        <v>374</v>
      </c>
      <c r="L11" s="409">
        <v>7.0528641003816341</v>
      </c>
    </row>
    <row r="12" spans="1:12">
      <c r="A12" s="409" t="s">
        <v>376</v>
      </c>
      <c r="B12" s="504">
        <f>[5]a17!P$45</f>
        <v>0.379</v>
      </c>
      <c r="C12" s="43">
        <f>[5]a17!Q$45</f>
        <v>0.34318996415770586</v>
      </c>
      <c r="D12" s="437">
        <f>[5]a18!AD$46</f>
        <v>9.8000000000000007</v>
      </c>
      <c r="E12" s="437">
        <f>[5]a18!AE$46</f>
        <v>3926.6055045871558</v>
      </c>
      <c r="F12" s="421">
        <f>[5]a18!AF$46</f>
        <v>38480.733944954132</v>
      </c>
      <c r="G12" s="421">
        <f>[5]a18!AG$46</f>
        <v>0.55243413475800074</v>
      </c>
      <c r="H12" s="421">
        <f>'[5]3'!$Y$47</f>
        <v>0.55128141843586498</v>
      </c>
      <c r="I12" s="421">
        <f t="shared" si="0"/>
        <v>16.516750566044045</v>
      </c>
      <c r="K12" s="409" t="s">
        <v>378</v>
      </c>
      <c r="L12" s="409">
        <v>0.2141568445460523</v>
      </c>
    </row>
    <row r="13" spans="1:12">
      <c r="A13" s="409" t="s">
        <v>377</v>
      </c>
      <c r="B13" s="504">
        <f>[5]a17!R$45</f>
        <v>0.38500000000000001</v>
      </c>
      <c r="C13" s="43">
        <f>[5]a17!S$45</f>
        <v>0.28942652329749069</v>
      </c>
      <c r="D13" s="437">
        <f>[5]a18!AH$46</f>
        <v>7.3</v>
      </c>
      <c r="E13" s="437">
        <f>[5]a18!AI$46</f>
        <v>4191.1764705882351</v>
      </c>
      <c r="F13" s="421">
        <f>[5]a18!AJ$46</f>
        <v>30595.588235294115</v>
      </c>
      <c r="G13" s="421">
        <f>[5]a18!AK$46</f>
        <v>0.67213565531530861</v>
      </c>
      <c r="H13" s="421">
        <f>'[5]3'!$AB$47</f>
        <v>0.37605586197981328</v>
      </c>
      <c r="I13" s="421">
        <f t="shared" si="0"/>
        <v>25.117206112238105</v>
      </c>
      <c r="K13" s="409" t="s">
        <v>321</v>
      </c>
      <c r="L13" s="409">
        <v>-6.4010843125204024</v>
      </c>
    </row>
    <row r="14" spans="1:12">
      <c r="A14" s="409" t="s">
        <v>378</v>
      </c>
      <c r="B14" s="504">
        <f>[5]a17!T$45</f>
        <v>0.39400000000000002</v>
      </c>
      <c r="C14" s="43">
        <f>[5]a17!U$45</f>
        <v>0.20878136200716799</v>
      </c>
      <c r="D14" s="437">
        <f>[5]a18!AL$46</f>
        <v>6.1</v>
      </c>
      <c r="E14" s="437">
        <f>[5]a18!AM$46</f>
        <v>4629.8076923076924</v>
      </c>
      <c r="F14" s="421">
        <f>[5]a18!AN$46</f>
        <v>28241.826923076922</v>
      </c>
      <c r="G14" s="421">
        <f>[5]a18!AO$46</f>
        <v>0.70786724715592531</v>
      </c>
      <c r="H14" s="421">
        <f>'[5]3'!$AE$47</f>
        <v>0.69616554736389646</v>
      </c>
      <c r="I14" s="421">
        <f t="shared" si="0"/>
        <v>0.2141568445460523</v>
      </c>
      <c r="K14" s="409" t="s">
        <v>375</v>
      </c>
      <c r="L14" s="409">
        <v>-19.046205462454726</v>
      </c>
    </row>
    <row r="15" spans="1:12">
      <c r="A15" s="423" t="s">
        <v>379</v>
      </c>
      <c r="B15" s="505">
        <f>[5]a17!V$45</f>
        <v>0.40100000000000002</v>
      </c>
      <c r="C15" s="506">
        <f>[5]a17!W$45</f>
        <v>0.14605734767025033</v>
      </c>
      <c r="D15" s="440">
        <f>[5]a18!AP$46</f>
        <v>11.1</v>
      </c>
      <c r="E15" s="440">
        <f>[5]a18!AQ$46</f>
        <v>4405.0632911392404</v>
      </c>
      <c r="F15" s="424">
        <f>[5]a18!AR$46</f>
        <v>48896.202531645569</v>
      </c>
      <c r="G15" s="424">
        <f>[5]a18!AS$46</f>
        <v>0.394320705653392</v>
      </c>
      <c r="H15" s="424">
        <f>'[5]3'!$AH$47</f>
        <v>0.41712584487096765</v>
      </c>
      <c r="I15" s="424">
        <f t="shared" si="0"/>
        <v>-24.666654827780711</v>
      </c>
      <c r="K15" s="409" t="s">
        <v>379</v>
      </c>
      <c r="L15" s="409">
        <v>-24.666654827780711</v>
      </c>
    </row>
    <row r="17" spans="1:12">
      <c r="A17" s="408" t="s">
        <v>1327</v>
      </c>
    </row>
    <row r="18" spans="1:12">
      <c r="A18" s="409" t="s">
        <v>1328</v>
      </c>
    </row>
    <row r="19" spans="1:12">
      <c r="A19" s="476" t="s">
        <v>1329</v>
      </c>
    </row>
    <row r="23" spans="1:12" ht="35.25" customHeight="1">
      <c r="A23" s="665" t="s">
        <v>1330</v>
      </c>
      <c r="B23" s="666"/>
      <c r="C23" s="666"/>
      <c r="D23" s="666"/>
      <c r="E23" s="666"/>
      <c r="F23" s="666"/>
      <c r="G23" s="666"/>
      <c r="H23" s="666"/>
    </row>
    <row r="24" spans="1:12" s="414" customFormat="1" ht="38.25">
      <c r="A24" s="410"/>
      <c r="B24" s="477" t="s">
        <v>1231</v>
      </c>
      <c r="C24" s="413" t="s">
        <v>1321</v>
      </c>
      <c r="D24" s="412" t="s">
        <v>1232</v>
      </c>
      <c r="E24" s="412" t="s">
        <v>1233</v>
      </c>
      <c r="F24" s="412" t="s">
        <v>1278</v>
      </c>
      <c r="G24" s="413" t="s">
        <v>1322</v>
      </c>
      <c r="H24" s="413" t="s">
        <v>1323</v>
      </c>
    </row>
    <row r="25" spans="1:12" s="414" customFormat="1">
      <c r="A25" s="415"/>
      <c r="B25" s="500"/>
      <c r="C25" s="417"/>
      <c r="D25" s="417"/>
      <c r="E25" s="417"/>
      <c r="F25" s="417"/>
      <c r="G25" s="417"/>
      <c r="H25" s="417"/>
    </row>
    <row r="26" spans="1:12">
      <c r="A26" s="423" t="s">
        <v>321</v>
      </c>
      <c r="B26" s="507">
        <f t="shared" ref="B26:H36" si="1">B5/B$14*100</f>
        <v>99.746192893401016</v>
      </c>
      <c r="C26" s="491">
        <f t="shared" si="1"/>
        <v>104.29184549356225</v>
      </c>
      <c r="D26" s="491">
        <f t="shared" si="1"/>
        <v>150.81967213114754</v>
      </c>
      <c r="E26" s="491">
        <f t="shared" si="1"/>
        <v>90.318477431918666</v>
      </c>
      <c r="F26" s="491">
        <f t="shared" si="1"/>
        <v>136.2180315366642</v>
      </c>
      <c r="G26" s="491">
        <f t="shared" si="1"/>
        <v>78.064084938565102</v>
      </c>
      <c r="H26" s="491">
        <f t="shared" si="1"/>
        <v>83.686725991863625</v>
      </c>
      <c r="K26" s="409" t="s">
        <v>371</v>
      </c>
      <c r="L26" s="409">
        <v>116.88016494868545</v>
      </c>
    </row>
    <row r="27" spans="1:12">
      <c r="A27" s="409" t="s">
        <v>370</v>
      </c>
      <c r="B27" s="492">
        <f t="shared" si="1"/>
        <v>93.908629441624356</v>
      </c>
      <c r="C27" s="493">
        <f t="shared" si="1"/>
        <v>203.00429184549395</v>
      </c>
      <c r="D27" s="493">
        <f t="shared" si="1"/>
        <v>134.42622950819671</v>
      </c>
      <c r="E27" s="493">
        <f t="shared" si="1"/>
        <v>71.342710595047038</v>
      </c>
      <c r="F27" s="493">
        <f t="shared" si="1"/>
        <v>76.020921125869805</v>
      </c>
      <c r="G27" s="493">
        <f t="shared" si="1"/>
        <v>114.52323649621556</v>
      </c>
      <c r="H27" s="508">
        <f t="shared" si="1"/>
        <v>83.619620351971932</v>
      </c>
      <c r="K27" s="409" t="s">
        <v>378</v>
      </c>
      <c r="L27" s="409">
        <v>100</v>
      </c>
    </row>
    <row r="28" spans="1:12">
      <c r="A28" s="409" t="s">
        <v>371</v>
      </c>
      <c r="B28" s="492">
        <f t="shared" si="1"/>
        <v>83.502538071065985</v>
      </c>
      <c r="C28" s="493">
        <f t="shared" si="1"/>
        <v>378.96995708154589</v>
      </c>
      <c r="D28" s="493">
        <f t="shared" si="1"/>
        <v>81.967213114754102</v>
      </c>
      <c r="E28" s="493">
        <f t="shared" si="1"/>
        <v>80.225485832962462</v>
      </c>
      <c r="F28" s="493">
        <f t="shared" si="1"/>
        <v>65.758594945051215</v>
      </c>
      <c r="G28" s="493">
        <f t="shared" si="1"/>
        <v>120.73874589537465</v>
      </c>
      <c r="H28" s="508">
        <f t="shared" si="1"/>
        <v>116.88016494868545</v>
      </c>
      <c r="K28" s="409" t="s">
        <v>374</v>
      </c>
      <c r="L28" s="409">
        <v>94.421985059699836</v>
      </c>
    </row>
    <row r="29" spans="1:12">
      <c r="A29" s="409" t="s">
        <v>372</v>
      </c>
      <c r="B29" s="492">
        <f t="shared" si="1"/>
        <v>94.416243654822324</v>
      </c>
      <c r="C29" s="493">
        <f t="shared" si="1"/>
        <v>194.42060085836948</v>
      </c>
      <c r="D29" s="493">
        <f t="shared" si="1"/>
        <v>134.42622950819671</v>
      </c>
      <c r="E29" s="493">
        <f t="shared" si="1"/>
        <v>82.018467065196049</v>
      </c>
      <c r="F29" s="493">
        <f t="shared" si="1"/>
        <v>110.25433277616517</v>
      </c>
      <c r="G29" s="493">
        <f t="shared" si="1"/>
        <v>93.789331908832821</v>
      </c>
      <c r="H29" s="508">
        <f t="shared" si="1"/>
        <v>86.150850655680287</v>
      </c>
      <c r="K29" s="409" t="s">
        <v>375</v>
      </c>
      <c r="L29" s="409">
        <v>87.732629291663102</v>
      </c>
    </row>
    <row r="30" spans="1:12">
      <c r="A30" s="409" t="s">
        <v>373</v>
      </c>
      <c r="B30" s="492">
        <f t="shared" si="1"/>
        <v>92.89340101522842</v>
      </c>
      <c r="C30" s="493">
        <f t="shared" si="1"/>
        <v>220.17167381974298</v>
      </c>
      <c r="D30" s="493">
        <f t="shared" si="1"/>
        <v>134.42622950819671</v>
      </c>
      <c r="E30" s="493">
        <f t="shared" si="1"/>
        <v>68.037383177570092</v>
      </c>
      <c r="F30" s="493">
        <f t="shared" si="1"/>
        <v>91.460088861651585</v>
      </c>
      <c r="G30" s="493">
        <f t="shared" si="1"/>
        <v>105.17230664988995</v>
      </c>
      <c r="H30" s="508">
        <f t="shared" si="1"/>
        <v>78.492358637469621</v>
      </c>
      <c r="K30" s="409" t="s">
        <v>372</v>
      </c>
      <c r="L30" s="409">
        <v>86.150850655680287</v>
      </c>
    </row>
    <row r="31" spans="1:12">
      <c r="A31" s="409" t="s">
        <v>374</v>
      </c>
      <c r="B31" s="492">
        <f t="shared" si="1"/>
        <v>95.431472081218274</v>
      </c>
      <c r="C31" s="493">
        <f t="shared" si="1"/>
        <v>177.25321888412046</v>
      </c>
      <c r="D31" s="493">
        <f t="shared" si="1"/>
        <v>175.40983606557376</v>
      </c>
      <c r="E31" s="493">
        <f t="shared" si="1"/>
        <v>93.605266792504935</v>
      </c>
      <c r="F31" s="493">
        <f t="shared" si="1"/>
        <v>164.19284502947588</v>
      </c>
      <c r="G31" s="493">
        <f t="shared" si="1"/>
        <v>61.120780551174882</v>
      </c>
      <c r="H31" s="508">
        <f t="shared" si="1"/>
        <v>94.421985059699836</v>
      </c>
      <c r="K31" s="409" t="s">
        <v>321</v>
      </c>
      <c r="L31" s="409">
        <v>83.686725991863625</v>
      </c>
    </row>
    <row r="32" spans="1:12">
      <c r="A32" s="409" t="s">
        <v>375</v>
      </c>
      <c r="B32" s="492">
        <f t="shared" si="1"/>
        <v>99.492385786802032</v>
      </c>
      <c r="C32" s="493">
        <f t="shared" si="1"/>
        <v>108.5836909871245</v>
      </c>
      <c r="D32" s="493">
        <f t="shared" si="1"/>
        <v>144.26229508196724</v>
      </c>
      <c r="E32" s="493">
        <f t="shared" si="1"/>
        <v>86.845035257599775</v>
      </c>
      <c r="F32" s="493">
        <f t="shared" si="1"/>
        <v>125.28464102735705</v>
      </c>
      <c r="G32" s="493">
        <f t="shared" si="1"/>
        <v>84.686033050319082</v>
      </c>
      <c r="H32" s="508">
        <f t="shared" si="1"/>
        <v>87.732629291663102</v>
      </c>
      <c r="K32" s="409" t="s">
        <v>370</v>
      </c>
      <c r="L32" s="409">
        <v>83.619620351971932</v>
      </c>
    </row>
    <row r="33" spans="1:12">
      <c r="A33" s="409" t="s">
        <v>376</v>
      </c>
      <c r="B33" s="492">
        <f t="shared" si="1"/>
        <v>96.192893401015226</v>
      </c>
      <c r="C33" s="493">
        <f t="shared" si="1"/>
        <v>164.37768240343374</v>
      </c>
      <c r="D33" s="493">
        <f t="shared" si="1"/>
        <v>160.65573770491807</v>
      </c>
      <c r="E33" s="493">
        <f t="shared" si="1"/>
        <v>84.811416921508666</v>
      </c>
      <c r="F33" s="493">
        <f t="shared" si="1"/>
        <v>136.25440751324345</v>
      </c>
      <c r="G33" s="493">
        <f t="shared" si="1"/>
        <v>78.04205336206401</v>
      </c>
      <c r="H33" s="508">
        <f t="shared" si="1"/>
        <v>79.188264992910035</v>
      </c>
      <c r="K33" s="409" t="s">
        <v>376</v>
      </c>
      <c r="L33" s="409">
        <v>79.188264992910035</v>
      </c>
    </row>
    <row r="34" spans="1:12">
      <c r="A34" s="409" t="s">
        <v>377</v>
      </c>
      <c r="B34" s="492">
        <f t="shared" si="1"/>
        <v>97.71573604060913</v>
      </c>
      <c r="C34" s="493">
        <f t="shared" si="1"/>
        <v>138.62660944206021</v>
      </c>
      <c r="D34" s="493">
        <f t="shared" si="1"/>
        <v>119.67213114754098</v>
      </c>
      <c r="E34" s="493">
        <f t="shared" si="1"/>
        <v>90.525929998167484</v>
      </c>
      <c r="F34" s="493">
        <f t="shared" si="1"/>
        <v>108.33430966993814</v>
      </c>
      <c r="G34" s="493">
        <f t="shared" si="1"/>
        <v>94.952218514957522</v>
      </c>
      <c r="H34" s="508">
        <f t="shared" si="1"/>
        <v>54.018166139331093</v>
      </c>
      <c r="K34" s="409" t="s">
        <v>373</v>
      </c>
      <c r="L34" s="409">
        <v>78.492358637469621</v>
      </c>
    </row>
    <row r="35" spans="1:12">
      <c r="A35" s="409" t="s">
        <v>378</v>
      </c>
      <c r="B35" s="492">
        <f t="shared" si="1"/>
        <v>100</v>
      </c>
      <c r="C35" s="493">
        <f t="shared" si="1"/>
        <v>100</v>
      </c>
      <c r="D35" s="493">
        <f t="shared" si="1"/>
        <v>100</v>
      </c>
      <c r="E35" s="493">
        <f t="shared" si="1"/>
        <v>100</v>
      </c>
      <c r="F35" s="493">
        <f t="shared" si="1"/>
        <v>100</v>
      </c>
      <c r="G35" s="493">
        <f t="shared" si="1"/>
        <v>100</v>
      </c>
      <c r="H35" s="508">
        <f t="shared" si="1"/>
        <v>100</v>
      </c>
      <c r="K35" s="409" t="s">
        <v>379</v>
      </c>
      <c r="L35" s="409">
        <v>59.917622532522365</v>
      </c>
    </row>
    <row r="36" spans="1:12">
      <c r="A36" s="423" t="s">
        <v>379</v>
      </c>
      <c r="B36" s="490">
        <f t="shared" si="1"/>
        <v>101.77664974619289</v>
      </c>
      <c r="C36" s="491">
        <f t="shared" si="1"/>
        <v>69.95708154506427</v>
      </c>
      <c r="D36" s="491">
        <f t="shared" si="1"/>
        <v>181.96721311475409</v>
      </c>
      <c r="E36" s="491">
        <f t="shared" si="1"/>
        <v>95.145707638313809</v>
      </c>
      <c r="F36" s="491">
        <f t="shared" si="1"/>
        <v>173.13399258775138</v>
      </c>
      <c r="G36" s="491">
        <f t="shared" si="1"/>
        <v>55.705459920302417</v>
      </c>
      <c r="H36" s="491">
        <f t="shared" si="1"/>
        <v>59.917622532522365</v>
      </c>
      <c r="I36" s="422"/>
      <c r="K36" s="409" t="s">
        <v>377</v>
      </c>
      <c r="L36" s="409">
        <v>54.018166139331093</v>
      </c>
    </row>
    <row r="37" spans="1:12">
      <c r="A37" s="409" t="s">
        <v>1279</v>
      </c>
    </row>
    <row r="38" spans="1:12" ht="38.25">
      <c r="A38" s="509" t="s">
        <v>1331</v>
      </c>
      <c r="B38" s="510"/>
      <c r="C38" s="510"/>
      <c r="D38" s="510"/>
      <c r="E38" s="510"/>
      <c r="F38" s="510"/>
      <c r="G38" s="510"/>
      <c r="H38" s="510"/>
    </row>
    <row r="39" spans="1:12" ht="12.75" customHeight="1">
      <c r="A39" s="412"/>
      <c r="B39" s="411" t="s">
        <v>1231</v>
      </c>
      <c r="C39" s="413" t="s">
        <v>1321</v>
      </c>
      <c r="D39" s="412" t="s">
        <v>1232</v>
      </c>
      <c r="E39" s="412" t="s">
        <v>1233</v>
      </c>
      <c r="F39" s="412" t="s">
        <v>1278</v>
      </c>
      <c r="G39" s="413" t="s">
        <v>1322</v>
      </c>
      <c r="H39" s="413" t="s">
        <v>1323</v>
      </c>
    </row>
    <row r="40" spans="1:12" ht="25.5">
      <c r="A40" s="417"/>
      <c r="B40" s="416" t="s">
        <v>105</v>
      </c>
      <c r="C40" s="417" t="s">
        <v>106</v>
      </c>
      <c r="D40" s="417" t="s">
        <v>107</v>
      </c>
      <c r="E40" s="417" t="s">
        <v>108</v>
      </c>
      <c r="F40" s="417" t="s">
        <v>1325</v>
      </c>
      <c r="G40" s="417" t="s">
        <v>110</v>
      </c>
      <c r="H40" s="417" t="s">
        <v>1326</v>
      </c>
    </row>
    <row r="41" spans="1:12">
      <c r="A41" s="423" t="s">
        <v>321</v>
      </c>
      <c r="B41" s="501">
        <f>[5]a17!B$17</f>
        <v>0.34799999999999998</v>
      </c>
      <c r="C41" s="502">
        <f>[5]a17!C$17</f>
        <v>0.6209677419354841</v>
      </c>
      <c r="D41" s="503">
        <f>[5]a18!B$18</f>
        <v>11.6</v>
      </c>
      <c r="E41" s="503">
        <f>[5]a18!C$18</f>
        <v>3505.6577086280058</v>
      </c>
      <c r="F41" s="488">
        <f>[5]a18!D$18</f>
        <v>40665.629420084864</v>
      </c>
      <c r="G41" s="488">
        <f>[5]a18!E$18</f>
        <v>0.5192660335887952</v>
      </c>
      <c r="H41" s="488">
        <f>'[5]3'!$D$19</f>
        <v>0.62244113598221285</v>
      </c>
    </row>
    <row r="42" spans="1:12">
      <c r="A42" s="409" t="s">
        <v>370</v>
      </c>
      <c r="B42" s="504">
        <f>[5]a17!D$17</f>
        <v>0.32700000000000001</v>
      </c>
      <c r="C42" s="43">
        <f>[5]a17!E$17</f>
        <v>0.80913978494623651</v>
      </c>
      <c r="D42" s="437">
        <f>[5]a18!N$18</f>
        <v>12.1</v>
      </c>
      <c r="E42" s="437">
        <f>[5]a18!G$18</f>
        <v>1986.8421052631579</v>
      </c>
      <c r="F42" s="421">
        <f>[5]a18!H$18</f>
        <v>26425</v>
      </c>
      <c r="G42" s="421">
        <f>[5]a18!I$18</f>
        <v>0.73544783390593726</v>
      </c>
      <c r="H42" s="421">
        <f>'[5]3'!$G$19</f>
        <v>0.39026473009288049</v>
      </c>
    </row>
    <row r="43" spans="1:12">
      <c r="A43" s="409" t="s">
        <v>371</v>
      </c>
      <c r="B43" s="504">
        <f>[5]a17!F$17</f>
        <v>0.33900000000000002</v>
      </c>
      <c r="C43" s="43">
        <f>[5]a17!G$17</f>
        <v>0.70161290322580627</v>
      </c>
      <c r="D43" s="437">
        <f>[5]a18!J$18</f>
        <v>12</v>
      </c>
      <c r="E43" s="437">
        <f>[5]a18!K$18</f>
        <v>1933.3333333333333</v>
      </c>
      <c r="F43" s="421">
        <f>[5]a18!L$18</f>
        <v>23200</v>
      </c>
      <c r="G43" s="421">
        <f>[5]a18!M$18</f>
        <v>0.7844053824423437</v>
      </c>
      <c r="H43" s="421">
        <f>'[5]3'!$J$19</f>
        <v>0.52406742643011883</v>
      </c>
    </row>
    <row r="44" spans="1:12">
      <c r="A44" s="409" t="s">
        <v>372</v>
      </c>
      <c r="B44" s="504">
        <f>[5]a17!H$17</f>
        <v>0.34200000000000003</v>
      </c>
      <c r="C44" s="43">
        <f>[5]a17!I$17</f>
        <v>0.67473118279569866</v>
      </c>
      <c r="D44" s="437">
        <f>[5]a18!N$18</f>
        <v>12.1</v>
      </c>
      <c r="E44" s="437">
        <f>[5]a18!O$18</f>
        <v>2520</v>
      </c>
      <c r="F44" s="421">
        <f>[5]a18!P$18</f>
        <v>30492</v>
      </c>
      <c r="G44" s="421">
        <f>[5]a18!Q$18</f>
        <v>0.67370819052684727</v>
      </c>
      <c r="H44" s="421">
        <f>'[5]3'!$M$19</f>
        <v>0.48022551887018616</v>
      </c>
    </row>
    <row r="45" spans="1:12">
      <c r="A45" s="409" t="s">
        <v>373</v>
      </c>
      <c r="B45" s="504">
        <f>[5]a17!J$17</f>
        <v>0.35199999999999998</v>
      </c>
      <c r="C45" s="43">
        <f>[5]a17!K$17</f>
        <v>0.58512544802867394</v>
      </c>
      <c r="D45" s="437">
        <f>[5]a18!R$18</f>
        <v>15</v>
      </c>
      <c r="E45" s="437">
        <f>[5]a18!S$18</f>
        <v>2307.6923076923076</v>
      </c>
      <c r="F45" s="421">
        <f>[5]a18!T$18</f>
        <v>34615.384615384617</v>
      </c>
      <c r="G45" s="421">
        <f>[5]a18!U$18</f>
        <v>0.6111125928704243</v>
      </c>
      <c r="H45" s="421">
        <f>'[5]3'!$P$19</f>
        <v>0.46035731768219157</v>
      </c>
    </row>
    <row r="46" spans="1:12">
      <c r="A46" s="409" t="s">
        <v>374</v>
      </c>
      <c r="B46" s="504">
        <f>[5]a17!L$17</f>
        <v>0.34499999999999997</v>
      </c>
      <c r="C46" s="43">
        <f>[5]a17!M$17</f>
        <v>0.6478494623655916</v>
      </c>
      <c r="D46" s="437">
        <f>[5]a18!V$18</f>
        <v>14.3</v>
      </c>
      <c r="E46" s="437">
        <f>[5]a18!W$18</f>
        <v>3544.3722943722942</v>
      </c>
      <c r="F46" s="421">
        <f>[5]a18!X$18</f>
        <v>50684.523809523809</v>
      </c>
      <c r="G46" s="421">
        <f>[5]a18!Y$18</f>
        <v>0.3671728527044269</v>
      </c>
      <c r="H46" s="421">
        <f>'[5]3'!$S$19</f>
        <v>0.61402684986208844</v>
      </c>
    </row>
    <row r="47" spans="1:12">
      <c r="A47" s="409" t="s">
        <v>375</v>
      </c>
      <c r="B47" s="504">
        <f>[5]a17!N$17</f>
        <v>0.33800000000000002</v>
      </c>
      <c r="C47" s="43">
        <f>[5]a17!O$17</f>
        <v>0.71057347670250881</v>
      </c>
      <c r="D47" s="437">
        <f>[5]a18!Z$18</f>
        <v>10</v>
      </c>
      <c r="E47" s="437">
        <f>[5]a18!AA$18</f>
        <v>3524.1935483870966</v>
      </c>
      <c r="F47" s="421">
        <f>[5]a18!AB$18</f>
        <v>35241.93548387097</v>
      </c>
      <c r="G47" s="421">
        <f>[5]a18!AC$18</f>
        <v>0.60160115269850234</v>
      </c>
      <c r="H47" s="421">
        <f>'[5]3'!$V$19</f>
        <v>0.75446042080433962</v>
      </c>
    </row>
    <row r="48" spans="1:12">
      <c r="A48" s="409" t="s">
        <v>376</v>
      </c>
      <c r="B48" s="504">
        <f>[5]a17!P$17</f>
        <v>0.35799999999999998</v>
      </c>
      <c r="C48" s="43">
        <f>[5]a17!Q$17</f>
        <v>0.53136200716845883</v>
      </c>
      <c r="D48" s="437">
        <f>[5]a18!AD$18</f>
        <v>14.2</v>
      </c>
      <c r="E48" s="437">
        <f>[5]a18!AE$18</f>
        <v>3773.049645390071</v>
      </c>
      <c r="F48" s="421">
        <f>[5]a18!AF$18</f>
        <v>53577.304964539006</v>
      </c>
      <c r="G48" s="421">
        <f>[5]a18!AG$18</f>
        <v>0.32325859726199019</v>
      </c>
      <c r="H48" s="421">
        <f>'[5]3'!$Y$19</f>
        <v>0.47313490614672399</v>
      </c>
    </row>
    <row r="49" spans="1:8">
      <c r="A49" s="409" t="s">
        <v>377</v>
      </c>
      <c r="B49" s="504">
        <f>[5]a17!R$17</f>
        <v>0.376</v>
      </c>
      <c r="C49" s="43">
        <f>[5]a17!S$17</f>
        <v>0.37007168458781342</v>
      </c>
      <c r="D49" s="437">
        <f>[5]a18!AH$18</f>
        <v>12.2</v>
      </c>
      <c r="E49" s="437">
        <f>[5]a18!AI$18</f>
        <v>3000</v>
      </c>
      <c r="F49" s="421">
        <f>[5]a18!AJ$18</f>
        <v>36600</v>
      </c>
      <c r="G49" s="421">
        <f>[5]a18!AK$18</f>
        <v>0.58098487069417415</v>
      </c>
      <c r="H49" s="421">
        <f>'[5]3'!$AB$19</f>
        <v>0.30056286714272312</v>
      </c>
    </row>
    <row r="50" spans="1:8">
      <c r="A50" s="409" t="s">
        <v>378</v>
      </c>
      <c r="B50" s="504">
        <f>[5]a17!T$17</f>
        <v>0.34599999999999997</v>
      </c>
      <c r="C50" s="43">
        <f>[5]a17!U$17</f>
        <v>0.63888888888888906</v>
      </c>
      <c r="D50" s="437">
        <f>[5]a18!AL$18</f>
        <v>8</v>
      </c>
      <c r="E50" s="437">
        <f>[5]a18!AM$18</f>
        <v>4211.95652173913</v>
      </c>
      <c r="F50" s="421">
        <f>[5]a18!AN$18</f>
        <v>33695.65217391304</v>
      </c>
      <c r="G50" s="421">
        <f>[5]a18!AO$18</f>
        <v>0.6250747155506885</v>
      </c>
      <c r="H50" s="421">
        <f>'[5]3'!$AE$19</f>
        <v>0.69467784720655845</v>
      </c>
    </row>
    <row r="51" spans="1:8">
      <c r="A51" s="423" t="s">
        <v>379</v>
      </c>
      <c r="B51" s="505">
        <f>[5]a17!V$17</f>
        <v>0.35399999999999998</v>
      </c>
      <c r="C51" s="506">
        <f>[5]a17!W$17</f>
        <v>0.56720430107526898</v>
      </c>
      <c r="D51" s="440">
        <f>[5]a18!AP$18</f>
        <v>10.9</v>
      </c>
      <c r="E51" s="440">
        <f>[5]a18!AQ$18</f>
        <v>4155.1155115511547</v>
      </c>
      <c r="F51" s="424">
        <f>[5]a18!AR$18</f>
        <v>45290.75907590759</v>
      </c>
      <c r="G51" s="424">
        <f>[5]a18!AS$18</f>
        <v>0.44905362750751954</v>
      </c>
      <c r="H51" s="424">
        <f>'[5]3'!$AH$19</f>
        <v>0.5537067867056451</v>
      </c>
    </row>
  </sheetData>
  <mergeCells count="2">
    <mergeCell ref="A1:H1"/>
    <mergeCell ref="A23:H23"/>
  </mergeCells>
  <pageMargins left="0.75" right="0.75" top="1" bottom="1" header="0.5" footer="0.5"/>
  <pageSetup scale="82" orientation="landscape" horizontalDpi="1200" verticalDpi="1200" r:id="rId1"/>
  <headerFooter alignWithMargins="0"/>
  <drawing r:id="rId2"/>
</worksheet>
</file>

<file path=xl/worksheets/sheet136.xml><?xml version="1.0" encoding="utf-8"?>
<worksheet xmlns="http://schemas.openxmlformats.org/spreadsheetml/2006/main" xmlns:r="http://schemas.openxmlformats.org/officeDocument/2006/relationships">
  <dimension ref="A1:X65"/>
  <sheetViews>
    <sheetView view="pageBreakPreview" topLeftCell="A7" zoomScale="85" zoomScaleSheetLayoutView="85" workbookViewId="0">
      <selection activeCell="I24" sqref="I24"/>
    </sheetView>
  </sheetViews>
  <sheetFormatPr defaultRowHeight="12.75"/>
  <cols>
    <col min="1" max="1" width="15.25" style="409" customWidth="1"/>
    <col min="2" max="3" width="9.875" style="409" customWidth="1"/>
    <col min="4" max="4" width="8.375" style="409" customWidth="1"/>
    <col min="5" max="7" width="8" style="409" customWidth="1"/>
    <col min="8" max="8" width="7.625" style="409" customWidth="1"/>
    <col min="9" max="9" width="10.125" style="409" customWidth="1"/>
    <col min="10" max="10" width="6.625" style="409" customWidth="1"/>
    <col min="11" max="11" width="6.5" style="409" customWidth="1"/>
    <col min="12" max="12" width="6.125" style="409" customWidth="1"/>
    <col min="13" max="13" width="6.25" style="409" customWidth="1"/>
    <col min="14" max="14" width="6.125" style="409" customWidth="1"/>
    <col min="15" max="15" width="6.625" style="409" customWidth="1"/>
    <col min="16" max="16" width="7.25" style="409" bestFit="1" customWidth="1"/>
    <col min="17" max="19" width="7.125" style="409" bestFit="1" customWidth="1"/>
    <col min="20" max="20" width="7.125" style="409" customWidth="1"/>
    <col min="21" max="16384" width="9" style="409"/>
  </cols>
  <sheetData>
    <row r="1" spans="1:24">
      <c r="A1" s="408" t="s">
        <v>1332</v>
      </c>
    </row>
    <row r="3" spans="1:24" s="414" customFormat="1" ht="127.5">
      <c r="A3" s="410"/>
      <c r="B3" s="511" t="s">
        <v>1333</v>
      </c>
      <c r="C3" s="494" t="s">
        <v>521</v>
      </c>
      <c r="D3" s="512" t="s">
        <v>441</v>
      </c>
      <c r="E3" s="512" t="s">
        <v>442</v>
      </c>
      <c r="F3" s="494" t="s">
        <v>522</v>
      </c>
      <c r="G3" s="494" t="s">
        <v>524</v>
      </c>
      <c r="H3" s="513" t="s">
        <v>1334</v>
      </c>
      <c r="I3" s="511" t="s">
        <v>1335</v>
      </c>
      <c r="J3" s="513" t="s">
        <v>1336</v>
      </c>
      <c r="K3" s="511" t="s">
        <v>382</v>
      </c>
      <c r="L3" s="512" t="s">
        <v>1337</v>
      </c>
      <c r="M3" s="512" t="s">
        <v>1338</v>
      </c>
      <c r="N3" s="512" t="s">
        <v>383</v>
      </c>
      <c r="O3" s="513" t="s">
        <v>1339</v>
      </c>
      <c r="P3" s="511" t="s">
        <v>1340</v>
      </c>
      <c r="Q3" s="512" t="s">
        <v>1341</v>
      </c>
      <c r="R3" s="512" t="s">
        <v>1342</v>
      </c>
      <c r="S3" s="512" t="s">
        <v>1343</v>
      </c>
      <c r="T3" s="511" t="s">
        <v>1280</v>
      </c>
      <c r="U3" s="487" t="s">
        <v>1344</v>
      </c>
    </row>
    <row r="4" spans="1:24" s="414" customFormat="1" ht="25.5">
      <c r="A4" s="415"/>
      <c r="B4" s="416" t="s">
        <v>105</v>
      </c>
      <c r="C4" s="417"/>
      <c r="D4" s="417" t="s">
        <v>106</v>
      </c>
      <c r="E4" s="417" t="s">
        <v>107</v>
      </c>
      <c r="F4" s="417"/>
      <c r="G4" s="417"/>
      <c r="H4" s="514" t="s">
        <v>108</v>
      </c>
      <c r="I4" s="416" t="s">
        <v>109</v>
      </c>
      <c r="J4" s="515" t="s">
        <v>110</v>
      </c>
      <c r="K4" s="416" t="s">
        <v>111</v>
      </c>
      <c r="L4" s="417" t="s">
        <v>112</v>
      </c>
      <c r="M4" s="417" t="s">
        <v>138</v>
      </c>
      <c r="N4" s="417" t="s">
        <v>113</v>
      </c>
      <c r="O4" s="515" t="s">
        <v>114</v>
      </c>
      <c r="P4" s="416" t="s">
        <v>115</v>
      </c>
      <c r="Q4" s="417" t="s">
        <v>116</v>
      </c>
      <c r="R4" s="417" t="s">
        <v>1345</v>
      </c>
      <c r="S4" s="417" t="s">
        <v>170</v>
      </c>
      <c r="T4" s="416" t="s">
        <v>347</v>
      </c>
      <c r="U4" s="416" t="s">
        <v>1099</v>
      </c>
    </row>
    <row r="5" spans="1:24">
      <c r="A5" s="423" t="s">
        <v>321</v>
      </c>
      <c r="B5" s="516">
        <f>'[5]4'!B$47</f>
        <v>8.3000000000000007</v>
      </c>
      <c r="C5" s="488">
        <f>'[5]4'!C$47</f>
        <v>0.67361111111111105</v>
      </c>
      <c r="D5" s="497">
        <f>'[5]4'!D$47</f>
        <v>48.258433129359119</v>
      </c>
      <c r="E5" s="497">
        <f>'[5]4'!E$47</f>
        <v>40.593542433183977</v>
      </c>
      <c r="F5" s="488">
        <f>'[5]4'!F$47</f>
        <v>0.19589807529956108</v>
      </c>
      <c r="G5" s="488">
        <f>'[5]4'!G$47</f>
        <v>0.22062107637623823</v>
      </c>
      <c r="H5" s="517">
        <f>'[5]4'!H$47</f>
        <v>0.58301310416413654</v>
      </c>
      <c r="I5" s="518">
        <f>'[5]5'!B$45</f>
        <v>5.2856372234498341</v>
      </c>
      <c r="J5" s="519">
        <f>'[5]5'!C$45</f>
        <v>0.32027699610027532</v>
      </c>
      <c r="K5" s="520">
        <f>'[5]6'!B$47</f>
        <v>0.88346681775528202</v>
      </c>
      <c r="L5" s="521">
        <f>'[5]6'!C$47</f>
        <v>35.50002345972036</v>
      </c>
      <c r="M5" s="522">
        <f>'[5]6'!D$47</f>
        <v>0.28972607660347477</v>
      </c>
      <c r="N5" s="523">
        <f>'[5]6'!E$47</f>
        <v>9.0867058144038175</v>
      </c>
      <c r="O5" s="524">
        <f>'[5]6'!F$47</f>
        <v>0.7676348380686111</v>
      </c>
      <c r="P5" s="525">
        <f>'[5]7'!B$47</f>
        <v>6.890877704121209</v>
      </c>
      <c r="Q5" s="522">
        <f>'[5]7'!C$47</f>
        <v>0.17352750142489359</v>
      </c>
      <c r="R5" s="522">
        <f>'[5]7'!D$47</f>
        <v>2.2599803342730481E-2</v>
      </c>
      <c r="S5" s="524">
        <f>'[5]7'!E$47</f>
        <v>0.85315720569163278</v>
      </c>
      <c r="T5" s="520">
        <f>'[5]8'!$F$44</f>
        <v>0.52953838304203926</v>
      </c>
      <c r="U5" s="520">
        <f t="shared" ref="U5:U15" si="0">(T5-T41)/T41 *100</f>
        <v>-19.725282156392186</v>
      </c>
      <c r="W5" s="409" t="s">
        <v>370</v>
      </c>
      <c r="X5" s="409">
        <v>6.3514544063068463</v>
      </c>
    </row>
    <row r="6" spans="1:24">
      <c r="A6" s="409" t="s">
        <v>370</v>
      </c>
      <c r="B6" s="428">
        <f>'[5]4'!I$47</f>
        <v>15.5</v>
      </c>
      <c r="C6" s="421">
        <f>'[5]4'!J$47</f>
        <v>0.3164682539682539</v>
      </c>
      <c r="D6" s="429">
        <f>'[5]4'!K$47</f>
        <v>104.65224765903309</v>
      </c>
      <c r="E6" s="429">
        <f>'[5]4'!L$47</f>
        <v>44.122580806689861</v>
      </c>
      <c r="F6" s="421">
        <f>'[5]4'!M$47</f>
        <v>0.46175272539374074</v>
      </c>
      <c r="G6" s="421">
        <f>'[5]4'!N$47</f>
        <v>0.57478243739135537</v>
      </c>
      <c r="H6" s="460">
        <f>'[5]4'!O$47</f>
        <v>0.36813109065287419</v>
      </c>
      <c r="I6" s="461">
        <f>'[5]5'!D$45</f>
        <v>5.1705887935575232</v>
      </c>
      <c r="J6" s="462">
        <f>'[5]5'!E$45</f>
        <v>0.34123155944680172</v>
      </c>
      <c r="K6" s="526">
        <f>'[5]6'!G$47</f>
        <v>0.51479574417101426</v>
      </c>
      <c r="L6" s="463">
        <f>'[5]6'!H$47</f>
        <v>53.139759734019229</v>
      </c>
      <c r="M6" s="465">
        <f>'[5]6'!I$47</f>
        <v>0.27323068496859509</v>
      </c>
      <c r="N6" s="527">
        <f>'[5]6'!J$47</f>
        <v>7.4745319951354787</v>
      </c>
      <c r="O6" s="464">
        <f>'[5]6'!K$47</f>
        <v>0.80846519416128704</v>
      </c>
      <c r="P6" s="528">
        <f>'[5]7'!F$47</f>
        <v>14.034481677677217</v>
      </c>
      <c r="Q6" s="465">
        <f>'[5]7'!G$47</f>
        <v>0.13149702228374358</v>
      </c>
      <c r="R6" s="465">
        <f>'[5]7'!H$47</f>
        <v>3.4879809193304891E-2</v>
      </c>
      <c r="S6" s="464">
        <f>'[5]7'!I$47</f>
        <v>0.81010931860043223</v>
      </c>
      <c r="T6" s="526">
        <f>'[5]8'!$K$44</f>
        <v>0.47756974210840747</v>
      </c>
      <c r="U6" s="526">
        <f t="shared" si="0"/>
        <v>6.3410399018005537</v>
      </c>
      <c r="W6" s="409" t="s">
        <v>371</v>
      </c>
      <c r="X6" s="409">
        <v>-1.85073122278437</v>
      </c>
    </row>
    <row r="7" spans="1:24">
      <c r="A7" s="409" t="s">
        <v>371</v>
      </c>
      <c r="B7" s="428">
        <f>'[5]4'!P$47</f>
        <v>12</v>
      </c>
      <c r="C7" s="421">
        <f>'[5]4'!Q$47</f>
        <v>0.490079365079365</v>
      </c>
      <c r="D7" s="429">
        <f>'[5]4'!R$47</f>
        <v>90.061403505263158</v>
      </c>
      <c r="E7" s="429">
        <f>'[5]4'!S$47</f>
        <v>49.138418283792987</v>
      </c>
      <c r="F7" s="421">
        <f>'[5]4'!T$47</f>
        <v>0.44254749166670809</v>
      </c>
      <c r="G7" s="421">
        <f>'[5]4'!U$47</f>
        <v>0.54919796214155336</v>
      </c>
      <c r="H7" s="460">
        <f>'[5]4'!V$47</f>
        <v>0.50190308449180265</v>
      </c>
      <c r="I7" s="461">
        <f>'[5]5'!F$45</f>
        <v>6.0328896521999003</v>
      </c>
      <c r="J7" s="462">
        <f>'[5]5'!G$45</f>
        <v>0.18417476186078394</v>
      </c>
      <c r="K7" s="526">
        <f>'[5]6'!L$47</f>
        <v>0.81501811432564408</v>
      </c>
      <c r="L7" s="463">
        <f>'[5]6'!M$47</f>
        <v>47.828096944723647</v>
      </c>
      <c r="M7" s="465">
        <f>'[5]6'!N$47</f>
        <v>0.21309947720309069</v>
      </c>
      <c r="N7" s="527">
        <f>'[5]6'!O$47</f>
        <v>8.3067807242370026</v>
      </c>
      <c r="O7" s="464">
        <f>'[5]6'!P$47</f>
        <v>0.78738743470336825</v>
      </c>
      <c r="P7" s="528">
        <f>'[5]7'!J$47</f>
        <v>13.510962102969089</v>
      </c>
      <c r="Q7" s="465">
        <f>'[5]7'!K$47</f>
        <v>0.14656536324936748</v>
      </c>
      <c r="R7" s="465">
        <f>'[5]7'!L$47</f>
        <v>3.7426518394084937E-2</v>
      </c>
      <c r="S7" s="464">
        <f>'[5]7'!M$47</f>
        <v>0.80118176176835021</v>
      </c>
      <c r="T7" s="526">
        <f>'[5]8'!$P$44</f>
        <v>0.44812789574422957</v>
      </c>
      <c r="U7" s="526">
        <f t="shared" si="0"/>
        <v>-1.911951986858649</v>
      </c>
      <c r="W7" s="409" t="s">
        <v>377</v>
      </c>
      <c r="X7" s="409">
        <v>-10.603869419159938</v>
      </c>
    </row>
    <row r="8" spans="1:24">
      <c r="A8" s="409" t="s">
        <v>372</v>
      </c>
      <c r="B8" s="428">
        <f>'[5]4'!W$47</f>
        <v>9.1999999999999993</v>
      </c>
      <c r="C8" s="421">
        <f>'[5]4'!X$47</f>
        <v>0.62896825396825395</v>
      </c>
      <c r="D8" s="429">
        <f>'[5]4'!Y$47</f>
        <v>71.922101456521744</v>
      </c>
      <c r="E8" s="429">
        <f>'[5]4'!Z$47</f>
        <v>47.646551606148115</v>
      </c>
      <c r="F8" s="421">
        <f>'[5]4'!AA$47</f>
        <v>0.34268401186707836</v>
      </c>
      <c r="G8" s="421">
        <f>'[5]4'!AB$47</f>
        <v>0.41616366724013493</v>
      </c>
      <c r="H8" s="460">
        <f>'[5]4'!AC$47</f>
        <v>0.58640733662263012</v>
      </c>
      <c r="I8" s="461">
        <f>'[5]5'!H$45</f>
        <v>5.8298025149877271</v>
      </c>
      <c r="J8" s="462">
        <f>'[5]5'!I$45</f>
        <v>0.22116442165501646</v>
      </c>
      <c r="K8" s="526">
        <f>'[5]6'!Q$47</f>
        <v>0.8073498886571786</v>
      </c>
      <c r="L8" s="463">
        <f>'[5]6'!R$47</f>
        <v>37.573291254990501</v>
      </c>
      <c r="M8" s="465">
        <f>'[5]6'!S$47</f>
        <v>0.1133850724664342</v>
      </c>
      <c r="N8" s="527">
        <f>'[5]6'!T$47</f>
        <v>3.4395126471366941</v>
      </c>
      <c r="O8" s="464">
        <f>'[5]6'!U$47</f>
        <v>0.91065720029025232</v>
      </c>
      <c r="P8" s="528">
        <f>'[5]7'!N$47</f>
        <v>12.475196635689969</v>
      </c>
      <c r="Q8" s="465">
        <f>'[5]7'!O$47</f>
        <v>0.14108767001327921</v>
      </c>
      <c r="R8" s="465">
        <f>'[5]7'!P$47</f>
        <v>3.3265822456824246E-2</v>
      </c>
      <c r="S8" s="464">
        <f>'[5]7'!Q$47</f>
        <v>0.81576719202851888</v>
      </c>
      <c r="T8" s="526">
        <f>'[5]8'!$U$44</f>
        <v>0.50571654990393444</v>
      </c>
      <c r="U8" s="526">
        <f t="shared" si="0"/>
        <v>-25.748294673765432</v>
      </c>
      <c r="W8" s="409" t="s">
        <v>376</v>
      </c>
      <c r="X8" s="409">
        <v>-12.037034946276529</v>
      </c>
    </row>
    <row r="9" spans="1:24">
      <c r="A9" s="409" t="s">
        <v>373</v>
      </c>
      <c r="B9" s="428">
        <f>'[5]4'!AD$47</f>
        <v>8.9</v>
      </c>
      <c r="C9" s="421">
        <f>'[5]4'!AE$47</f>
        <v>0.64384920634920628</v>
      </c>
      <c r="D9" s="429">
        <f>'[5]4'!AF$47</f>
        <v>98.403361344537814</v>
      </c>
      <c r="E9" s="429">
        <f>'[5]4'!AG$47</f>
        <v>44.447565543071157</v>
      </c>
      <c r="F9" s="421">
        <f>'[5]4'!AH$47</f>
        <v>0.43737898530198588</v>
      </c>
      <c r="G9" s="421">
        <f>'[5]4'!AI$47</f>
        <v>0.54231267633633284</v>
      </c>
      <c r="H9" s="460">
        <f>'[5]4'!AJ$47</f>
        <v>0.62354190034663159</v>
      </c>
      <c r="I9" s="461">
        <f>'[5]5'!J$45</f>
        <v>6.8194537270794084</v>
      </c>
      <c r="J9" s="462">
        <f>'[5]5'!K$45</f>
        <v>4.0912426611251079E-2</v>
      </c>
      <c r="K9" s="526">
        <f>'[5]6'!V$47</f>
        <v>0.66275509392080079</v>
      </c>
      <c r="L9" s="463">
        <f>'[5]6'!W$47</f>
        <v>45.514180432744269</v>
      </c>
      <c r="M9" s="465">
        <f>'[5]6'!X$47</f>
        <v>0.30015398253573305</v>
      </c>
      <c r="N9" s="527">
        <f>'[5]6'!Y$47</f>
        <v>9.0540713236830026</v>
      </c>
      <c r="O9" s="464">
        <f>'[5]6'!Z$47</f>
        <v>0.76846134812671296</v>
      </c>
      <c r="P9" s="528">
        <f>'[5]7'!R$47</f>
        <v>12.295082508028814</v>
      </c>
      <c r="Q9" s="465">
        <f>'[5]7'!S$47</f>
        <v>0.12104020064423034</v>
      </c>
      <c r="R9" s="465">
        <f>'[5]7'!T$47</f>
        <v>2.8126965895103394E-2</v>
      </c>
      <c r="S9" s="464">
        <f>'[5]7'!U$47</f>
        <v>0.83378159037153654</v>
      </c>
      <c r="T9" s="526">
        <f>'[5]8'!$Z$44</f>
        <v>0.42087793615102032</v>
      </c>
      <c r="U9" s="526">
        <f t="shared" si="0"/>
        <v>-22.538234819496321</v>
      </c>
      <c r="W9" s="409" t="s">
        <v>378</v>
      </c>
      <c r="X9" s="409">
        <v>-12.766614261723763</v>
      </c>
    </row>
    <row r="10" spans="1:24">
      <c r="A10" s="409" t="s">
        <v>374</v>
      </c>
      <c r="B10" s="428">
        <f>'[5]4'!AK$47</f>
        <v>8.5</v>
      </c>
      <c r="C10" s="421">
        <f>'[5]4'!AL$47</f>
        <v>0.66369047619047616</v>
      </c>
      <c r="D10" s="429">
        <f>'[5]4'!AM$47</f>
        <v>56.013513513513516</v>
      </c>
      <c r="E10" s="429">
        <f>'[5]4'!AN$47</f>
        <v>44.423375734112881</v>
      </c>
      <c r="F10" s="421">
        <f>'[5]4'!AO$47</f>
        <v>0.24883093569986203</v>
      </c>
      <c r="G10" s="421">
        <f>'[5]4'!AP$47</f>
        <v>0.29113620137086482</v>
      </c>
      <c r="H10" s="460">
        <f>'[5]4'!AQ$47</f>
        <v>0.58917962122655387</v>
      </c>
      <c r="I10" s="461">
        <f>'[5]5'!L$45</f>
        <v>5.1727492940494457</v>
      </c>
      <c r="J10" s="462">
        <f>'[5]5'!M$45</f>
        <v>0.34083805260398287</v>
      </c>
      <c r="K10" s="526">
        <f>'[5]6'!AA$47</f>
        <v>0.79322862218455703</v>
      </c>
      <c r="L10" s="463">
        <f>'[5]6'!AB$47</f>
        <v>28.589398209637803</v>
      </c>
      <c r="M10" s="465">
        <f>'[5]6'!AC$47</f>
        <v>0.25939988670502939</v>
      </c>
      <c r="N10" s="527">
        <f>'[5]6'!AD$47</f>
        <v>5.8826522005724815</v>
      </c>
      <c r="O10" s="464">
        <f>'[5]6'!AE$47</f>
        <v>0.84878157822106604</v>
      </c>
      <c r="P10" s="528">
        <f>'[5]7'!V$47</f>
        <v>9.4334850781015103</v>
      </c>
      <c r="Q10" s="465">
        <f>'[5]7'!W$47</f>
        <v>1.11665062943535</v>
      </c>
      <c r="R10" s="465">
        <f>'[5]7'!X$47</f>
        <v>0.19909084324936652</v>
      </c>
      <c r="S10" s="464">
        <f>'[5]7'!Y$47</f>
        <v>0.23446317158788968</v>
      </c>
      <c r="T10" s="526">
        <f>'[5]8'!$AE$44</f>
        <v>0.47377617132475969</v>
      </c>
      <c r="U10" s="526">
        <f t="shared" si="0"/>
        <v>-25.710735909396483</v>
      </c>
      <c r="W10" s="409" t="s">
        <v>379</v>
      </c>
      <c r="X10" s="409">
        <v>-15.259388466194949</v>
      </c>
    </row>
    <row r="11" spans="1:24">
      <c r="A11" s="409" t="s">
        <v>375</v>
      </c>
      <c r="B11" s="428">
        <f>'[5]4'!AR$47</f>
        <v>9</v>
      </c>
      <c r="C11" s="421">
        <f>'[5]4'!AS$47</f>
        <v>0.63888888888888884</v>
      </c>
      <c r="D11" s="429">
        <f>'[5]4'!AT$47</f>
        <v>37.979840785824344</v>
      </c>
      <c r="E11" s="429">
        <f>'[5]4'!AU$47</f>
        <v>37.235307273091088</v>
      </c>
      <c r="F11" s="421">
        <f>'[5]4'!AV$47</f>
        <v>0.14141910418432466</v>
      </c>
      <c r="G11" s="421">
        <f>'[5]4'!AW$47</f>
        <v>0.14804628202887471</v>
      </c>
      <c r="H11" s="460">
        <f>'[5]4'!AX$47</f>
        <v>0.54072036751688601</v>
      </c>
      <c r="I11" s="461">
        <f>'[5]5'!N$45</f>
        <v>6.0225646913517537</v>
      </c>
      <c r="J11" s="462">
        <f>'[5]5'!O$45</f>
        <v>0.186055318130395</v>
      </c>
      <c r="K11" s="526">
        <f>'[5]6'!AF$47</f>
        <v>0.97034486850654122</v>
      </c>
      <c r="L11" s="463">
        <f>'[5]6'!AG$47</f>
        <v>35.835462029197316</v>
      </c>
      <c r="M11" s="465">
        <f>'[5]6'!AH$47</f>
        <v>0.28033377837040852</v>
      </c>
      <c r="N11" s="527">
        <f>'[5]6'!AI$47</f>
        <v>9.7479782674287314</v>
      </c>
      <c r="O11" s="464">
        <f>'[5]6'!AJ$47</f>
        <v>0.75088727064840688</v>
      </c>
      <c r="P11" s="528">
        <f>'[5]7'!Z$47</f>
        <v>4.983034547930659</v>
      </c>
      <c r="Q11" s="465">
        <f>'[5]7'!AA$47</f>
        <v>0.25039930359675727</v>
      </c>
      <c r="R11" s="465">
        <f>'[5]7'!AB$47</f>
        <v>2.3582444393347925E-2</v>
      </c>
      <c r="S11" s="464">
        <f>'[5]7'!AC$47</f>
        <v>0.84971253135573421</v>
      </c>
      <c r="T11" s="526">
        <f>'[5]8'!$AJ$44</f>
        <v>0.45741779241698383</v>
      </c>
      <c r="U11" s="526">
        <f t="shared" si="0"/>
        <v>-37.238280253791551</v>
      </c>
      <c r="W11" s="409" t="s">
        <v>321</v>
      </c>
      <c r="X11" s="409">
        <v>-19.764597573975845</v>
      </c>
    </row>
    <row r="12" spans="1:24">
      <c r="A12" s="409" t="s">
        <v>376</v>
      </c>
      <c r="B12" s="428">
        <f>'[5]4'!AY$47</f>
        <v>5.2</v>
      </c>
      <c r="C12" s="421">
        <f>'[5]4'!AZ$47</f>
        <v>0.82738095238095233</v>
      </c>
      <c r="D12" s="429">
        <f>'[5]4'!BA$47</f>
        <v>45.496987951807228</v>
      </c>
      <c r="E12" s="429">
        <f>'[5]4'!BB$47</f>
        <v>42.763268744734631</v>
      </c>
      <c r="F12" s="421">
        <f>'[5]4'!BC$47</f>
        <v>0.19455999228590862</v>
      </c>
      <c r="G12" s="421">
        <f>'[5]4'!BD$47</f>
        <v>0.21883853354278213</v>
      </c>
      <c r="H12" s="460">
        <f>'[5]4'!BE$47</f>
        <v>0.70567246861331834</v>
      </c>
      <c r="I12" s="461">
        <f>'[5]5'!P$45</f>
        <v>5.002179245209363</v>
      </c>
      <c r="J12" s="462">
        <f>'[5]5'!Q$45</f>
        <v>0.37190515101449756</v>
      </c>
      <c r="K12" s="526">
        <f>'[5]6'!AK$47</f>
        <v>0.88761990752435038</v>
      </c>
      <c r="L12" s="463">
        <f>'[5]6'!AL$47</f>
        <v>28.528646597944704</v>
      </c>
      <c r="M12" s="465">
        <f>'[5]6'!AM$47</f>
        <v>0.30532757043064523</v>
      </c>
      <c r="N12" s="527">
        <f>'[5]6'!AN$47</f>
        <v>7.7316863030302923</v>
      </c>
      <c r="O12" s="464">
        <f>'[5]6'!AO$47</f>
        <v>0.80195243366572455</v>
      </c>
      <c r="P12" s="528">
        <f>'[5]7'!AD$47</f>
        <v>9.1915965906694055</v>
      </c>
      <c r="Q12" s="465">
        <f>'[5]7'!AE$47</f>
        <v>0.17410554127235281</v>
      </c>
      <c r="R12" s="465">
        <f>'[5]7'!AF$47</f>
        <v>3.0245819301979018E-2</v>
      </c>
      <c r="S12" s="464">
        <f>'[5]7'!AG$47</f>
        <v>0.82635389340364618</v>
      </c>
      <c r="T12" s="526">
        <f>'[5]8'!$AO$44</f>
        <v>0.59024158861067644</v>
      </c>
      <c r="U12" s="526">
        <f t="shared" si="0"/>
        <v>-12.005025723495065</v>
      </c>
      <c r="W12" s="409" t="s">
        <v>373</v>
      </c>
      <c r="X12" s="409">
        <v>-22.578671553745842</v>
      </c>
    </row>
    <row r="13" spans="1:24">
      <c r="A13" s="409" t="s">
        <v>377</v>
      </c>
      <c r="B13" s="428">
        <f>'[5]4'!BF$47</f>
        <v>4.8</v>
      </c>
      <c r="C13" s="421">
        <f>'[5]4'!BG$47</f>
        <v>0.8472222222222221</v>
      </c>
      <c r="D13" s="429">
        <f>'[5]4'!BH$47</f>
        <v>49.058935361216726</v>
      </c>
      <c r="E13" s="429">
        <f>'[5]4'!BI$47</f>
        <v>40.305273355026202</v>
      </c>
      <c r="F13" s="421">
        <f>'[5]4'!BJ$47</f>
        <v>0.19773338002404012</v>
      </c>
      <c r="G13" s="421">
        <f>'[5]4'!BK$47</f>
        <v>0.22306599888885451</v>
      </c>
      <c r="H13" s="460">
        <f>'[5]4'!BL$47</f>
        <v>0.7223909775555486</v>
      </c>
      <c r="I13" s="461">
        <f>'[5]5'!R$45</f>
        <v>3.9090944432090851</v>
      </c>
      <c r="J13" s="462">
        <f>'[5]5'!S$45</f>
        <v>0.5709962185595312</v>
      </c>
      <c r="K13" s="526">
        <f>'[5]6'!AP$47</f>
        <v>0.74333264845619385</v>
      </c>
      <c r="L13" s="463">
        <f>'[5]6'!AQ$47</f>
        <v>49.640136751676408</v>
      </c>
      <c r="M13" s="465">
        <f>'[5]6'!AR$47</f>
        <v>0.30736927017948212</v>
      </c>
      <c r="N13" s="527">
        <f>'[5]6'!AS$47</f>
        <v>11.34165998660842</v>
      </c>
      <c r="O13" s="464">
        <f>'[5]6'!AT$47</f>
        <v>0.71052525055182325</v>
      </c>
      <c r="P13" s="528">
        <f>'[5]7'!AH$47</f>
        <v>10.922391775511416</v>
      </c>
      <c r="Q13" s="465">
        <f>'[5]7'!AI$47</f>
        <v>0.17766516033924176</v>
      </c>
      <c r="R13" s="465">
        <f>'[5]7'!AJ$47</f>
        <v>3.6675988386992348E-2</v>
      </c>
      <c r="S13" s="464">
        <f>'[5]7'!AK$47</f>
        <v>0.80381276466826901</v>
      </c>
      <c r="T13" s="526">
        <f>'[5]8'!$AT$44</f>
        <v>0.66361989746635552</v>
      </c>
      <c r="U13" s="526">
        <f t="shared" si="0"/>
        <v>-10.557432959251917</v>
      </c>
      <c r="W13" s="409" t="s">
        <v>374</v>
      </c>
      <c r="X13" s="409">
        <v>-25.76143710150393</v>
      </c>
    </row>
    <row r="14" spans="1:24">
      <c r="A14" s="409" t="s">
        <v>378</v>
      </c>
      <c r="B14" s="428">
        <f>'[5]4'!BM$47</f>
        <v>6.6</v>
      </c>
      <c r="C14" s="421">
        <f>'[5]4'!BN$47</f>
        <v>0.75793650793650791</v>
      </c>
      <c r="D14" s="429">
        <f>'[5]4'!BO$47</f>
        <v>39.314602720114536</v>
      </c>
      <c r="E14" s="429">
        <f>'[5]4'!BP$47</f>
        <v>36.969448215620027</v>
      </c>
      <c r="F14" s="421">
        <f>'[5]4'!BQ$47</f>
        <v>0.14534391693789483</v>
      </c>
      <c r="G14" s="421">
        <f>'[5]4'!BR$47</f>
        <v>0.15327476693986455</v>
      </c>
      <c r="H14" s="460">
        <f>'[5]4'!BS$47</f>
        <v>0.63700415973717928</v>
      </c>
      <c r="I14" s="461">
        <f>'[5]5'!T$45</f>
        <v>3.7923200836500004</v>
      </c>
      <c r="J14" s="462">
        <f>'[5]5'!U$45</f>
        <v>0.59226513736982112</v>
      </c>
      <c r="K14" s="526">
        <f>'[5]6'!AU$47</f>
        <v>0.92970884735706172</v>
      </c>
      <c r="L14" s="463">
        <f>'[5]6'!AV$47</f>
        <v>28.187785369155097</v>
      </c>
      <c r="M14" s="465">
        <f>'[5]6'!AW$47</f>
        <v>0.24646929487948852</v>
      </c>
      <c r="N14" s="527">
        <f>'[5]6'!AX$47</f>
        <v>6.4590811725213815</v>
      </c>
      <c r="O14" s="464">
        <f>'[5]6'!AY$47</f>
        <v>0.83418278006077207</v>
      </c>
      <c r="P14" s="528">
        <f>'[5]7'!AL$47</f>
        <v>1.5543676161103548</v>
      </c>
      <c r="Q14" s="465">
        <f>'[5]7'!AM$47</f>
        <v>0.29451323275436025</v>
      </c>
      <c r="R14" s="465">
        <f>'[5]7'!AN$47</f>
        <v>8.6520766155266972E-3</v>
      </c>
      <c r="S14" s="464">
        <f>'[5]7'!AO$47</f>
        <v>0.90205133266825022</v>
      </c>
      <c r="T14" s="526">
        <f>'[5]8'!$AY$44</f>
        <v>0.67784337066030165</v>
      </c>
      <c r="U14" s="526">
        <f t="shared" si="0"/>
        <v>-12.72782912047867</v>
      </c>
      <c r="W14" s="409" t="s">
        <v>372</v>
      </c>
      <c r="X14" s="409">
        <v>-25.785926244761441</v>
      </c>
    </row>
    <row r="15" spans="1:24">
      <c r="A15" s="423" t="s">
        <v>379</v>
      </c>
      <c r="B15" s="430">
        <f>'[5]4'!BT$47</f>
        <v>7.6</v>
      </c>
      <c r="C15" s="424">
        <f>'[5]4'!BU$47</f>
        <v>0.70833333333333326</v>
      </c>
      <c r="D15" s="431">
        <f>'[5]4'!BV$47</f>
        <v>45.467545277030666</v>
      </c>
      <c r="E15" s="431">
        <f>'[5]4'!BW$47</f>
        <v>46.489280293051323</v>
      </c>
      <c r="F15" s="424">
        <f>'[5]4'!BX$47</f>
        <v>0.21137534566208804</v>
      </c>
      <c r="G15" s="424">
        <f>'[5]4'!BY$47</f>
        <v>0.24123930191583168</v>
      </c>
      <c r="H15" s="466">
        <f>'[5]4'!BZ$47</f>
        <v>0.61491452704983296</v>
      </c>
      <c r="I15" s="467">
        <f>'[5]5'!V$45</f>
        <v>5.0847376762021401</v>
      </c>
      <c r="J15" s="468">
        <f>'[5]5'!W$45</f>
        <v>0.35686821505937594</v>
      </c>
      <c r="K15" s="529">
        <f>'[5]6'!AZ$47</f>
        <v>0.90517763933824646</v>
      </c>
      <c r="L15" s="469">
        <f>'[5]6'!BA$47</f>
        <v>45.766465536635287</v>
      </c>
      <c r="M15" s="471">
        <f>'[5]6'!BB$47</f>
        <v>0.35968717468406913</v>
      </c>
      <c r="N15" s="530">
        <f>'[5]6'!BC$47</f>
        <v>14.900681898782492</v>
      </c>
      <c r="O15" s="470">
        <f>'[5]6'!BD$47</f>
        <v>0.6203884859679315</v>
      </c>
      <c r="P15" s="531">
        <f>'[5]7'!AP$47</f>
        <v>5.7151659964948172</v>
      </c>
      <c r="Q15" s="471">
        <f>'[5]7'!AQ$47</f>
        <v>0.14878774167170331</v>
      </c>
      <c r="R15" s="471">
        <f>'[5]7'!AR$47</f>
        <v>1.6071551531860361E-2</v>
      </c>
      <c r="S15" s="470">
        <f>'[5]7'!AS$47</f>
        <v>0.87604216603097318</v>
      </c>
      <c r="T15" s="529">
        <f>'[5]8'!$BD$44</f>
        <v>0.53663647889826871</v>
      </c>
      <c r="U15" s="529">
        <f t="shared" si="0"/>
        <v>-15.200344228224797</v>
      </c>
      <c r="W15" s="409" t="s">
        <v>375</v>
      </c>
      <c r="X15" s="409">
        <v>-37.258057832521523</v>
      </c>
    </row>
    <row r="17" spans="1:24">
      <c r="A17" s="409" t="s">
        <v>1346</v>
      </c>
    </row>
    <row r="18" spans="1:24" ht="25.5" customHeight="1">
      <c r="A18" s="667" t="s">
        <v>1347</v>
      </c>
      <c r="B18" s="667"/>
      <c r="C18" s="667"/>
      <c r="D18" s="667"/>
      <c r="E18" s="667"/>
      <c r="F18" s="667"/>
      <c r="G18" s="667"/>
      <c r="H18" s="667"/>
      <c r="I18" s="667"/>
      <c r="J18" s="667"/>
      <c r="K18" s="667"/>
      <c r="L18" s="667"/>
      <c r="M18" s="667"/>
      <c r="N18" s="667"/>
      <c r="O18" s="667"/>
      <c r="P18" s="667"/>
      <c r="Q18" s="667"/>
      <c r="R18" s="667"/>
      <c r="S18" s="667"/>
      <c r="T18" s="667"/>
    </row>
    <row r="21" spans="1:24">
      <c r="K21" s="532"/>
      <c r="L21" s="532"/>
      <c r="M21" s="532"/>
    </row>
    <row r="23" spans="1:24">
      <c r="A23" s="408" t="s">
        <v>1348</v>
      </c>
    </row>
    <row r="24" spans="1:24" s="414" customFormat="1" ht="127.5">
      <c r="A24" s="410"/>
      <c r="B24" s="511" t="s">
        <v>1333</v>
      </c>
      <c r="C24" s="494" t="s">
        <v>521</v>
      </c>
      <c r="D24" s="512" t="s">
        <v>441</v>
      </c>
      <c r="E24" s="512" t="s">
        <v>442</v>
      </c>
      <c r="F24" s="494" t="s">
        <v>522</v>
      </c>
      <c r="G24" s="494" t="s">
        <v>524</v>
      </c>
      <c r="H24" s="513" t="s">
        <v>1334</v>
      </c>
      <c r="I24" s="511" t="s">
        <v>1335</v>
      </c>
      <c r="J24" s="513" t="s">
        <v>1336</v>
      </c>
      <c r="K24" s="511" t="s">
        <v>382</v>
      </c>
      <c r="L24" s="512" t="s">
        <v>1337</v>
      </c>
      <c r="M24" s="512" t="s">
        <v>1338</v>
      </c>
      <c r="N24" s="512" t="s">
        <v>383</v>
      </c>
      <c r="O24" s="513" t="s">
        <v>1339</v>
      </c>
      <c r="P24" s="511" t="s">
        <v>1340</v>
      </c>
      <c r="Q24" s="512" t="s">
        <v>1341</v>
      </c>
      <c r="R24" s="512" t="s">
        <v>1342</v>
      </c>
      <c r="S24" s="512" t="s">
        <v>1343</v>
      </c>
      <c r="T24" s="511" t="s">
        <v>1280</v>
      </c>
    </row>
    <row r="25" spans="1:24" s="414" customFormat="1">
      <c r="A25" s="415"/>
      <c r="B25" s="416"/>
      <c r="C25" s="417"/>
      <c r="D25" s="417"/>
      <c r="E25" s="417"/>
      <c r="F25" s="417"/>
      <c r="G25" s="417"/>
      <c r="H25" s="418"/>
      <c r="I25" s="416"/>
      <c r="J25" s="515"/>
      <c r="K25" s="415"/>
      <c r="L25" s="415"/>
      <c r="M25" s="415"/>
      <c r="N25" s="415"/>
      <c r="O25" s="415"/>
      <c r="P25" s="500"/>
      <c r="Q25" s="415"/>
      <c r="R25" s="415"/>
      <c r="S25" s="443"/>
      <c r="T25" s="415"/>
    </row>
    <row r="26" spans="1:24">
      <c r="A26" s="423" t="s">
        <v>321</v>
      </c>
      <c r="B26" s="490">
        <f t="shared" ref="B26:T36" si="1">B5/B$14*100</f>
        <v>125.75757575757578</v>
      </c>
      <c r="C26" s="491"/>
      <c r="D26" s="491">
        <f t="shared" si="1"/>
        <v>122.74938519134177</v>
      </c>
      <c r="E26" s="491">
        <f t="shared" si="1"/>
        <v>109.80294376163484</v>
      </c>
      <c r="F26" s="491"/>
      <c r="G26" s="491"/>
      <c r="H26" s="491">
        <f t="shared" si="1"/>
        <v>91.52422244851293</v>
      </c>
      <c r="I26" s="490">
        <f t="shared" si="1"/>
        <v>139.37740240434974</v>
      </c>
      <c r="J26" s="533">
        <f t="shared" si="1"/>
        <v>54.076624790475982</v>
      </c>
      <c r="K26" s="490">
        <f t="shared" si="1"/>
        <v>95.026181612315014</v>
      </c>
      <c r="L26" s="491">
        <f t="shared" si="1"/>
        <v>125.94115853658651</v>
      </c>
      <c r="M26" s="491">
        <f t="shared" si="1"/>
        <v>117.55057632843746</v>
      </c>
      <c r="N26" s="491">
        <f t="shared" si="1"/>
        <v>140.68109026189418</v>
      </c>
      <c r="O26" s="533">
        <f t="shared" si="1"/>
        <v>92.022378837967295</v>
      </c>
      <c r="P26" s="490">
        <f t="shared" si="1"/>
        <v>443.32355053593579</v>
      </c>
      <c r="Q26" s="491">
        <f t="shared" si="1"/>
        <v>58.920103454103469</v>
      </c>
      <c r="R26" s="491">
        <f t="shared" si="1"/>
        <v>261.20669461217796</v>
      </c>
      <c r="S26" s="533">
        <f t="shared" si="1"/>
        <v>94.579673550063987</v>
      </c>
      <c r="T26" s="490">
        <f t="shared" si="1"/>
        <v>78.121053618360918</v>
      </c>
      <c r="W26" s="409" t="s">
        <v>378</v>
      </c>
      <c r="X26" s="409">
        <v>100</v>
      </c>
    </row>
    <row r="27" spans="1:24">
      <c r="A27" s="422" t="s">
        <v>370</v>
      </c>
      <c r="B27" s="492">
        <f t="shared" si="1"/>
        <v>234.84848484848487</v>
      </c>
      <c r="C27" s="493"/>
      <c r="D27" s="493">
        <f t="shared" si="1"/>
        <v>266.19179749587005</v>
      </c>
      <c r="E27" s="493">
        <f t="shared" si="1"/>
        <v>119.34876752649923</v>
      </c>
      <c r="F27" s="493"/>
      <c r="G27" s="493"/>
      <c r="H27" s="493">
        <f t="shared" si="1"/>
        <v>57.791002621515212</v>
      </c>
      <c r="I27" s="492">
        <f t="shared" si="1"/>
        <v>136.34368089997767</v>
      </c>
      <c r="J27" s="534">
        <f t="shared" si="1"/>
        <v>57.614662406463836</v>
      </c>
      <c r="K27" s="535">
        <f t="shared" si="1"/>
        <v>55.371716170546783</v>
      </c>
      <c r="L27" s="486">
        <f t="shared" si="1"/>
        <v>188.52052063717002</v>
      </c>
      <c r="M27" s="486">
        <f t="shared" si="1"/>
        <v>110.85790021113648</v>
      </c>
      <c r="N27" s="486">
        <f t="shared" si="1"/>
        <v>115.72128907334513</v>
      </c>
      <c r="O27" s="536">
        <f t="shared" si="1"/>
        <v>96.917032272278334</v>
      </c>
      <c r="P27" s="535">
        <f t="shared" si="1"/>
        <v>902.90620649940365</v>
      </c>
      <c r="Q27" s="486">
        <f t="shared" si="1"/>
        <v>44.648935144255169</v>
      </c>
      <c r="R27" s="486">
        <f t="shared" si="1"/>
        <v>403.13800655337326</v>
      </c>
      <c r="S27" s="536">
        <f t="shared" si="1"/>
        <v>89.807452110751257</v>
      </c>
      <c r="T27" s="535">
        <f t="shared" si="1"/>
        <v>70.454291179863077</v>
      </c>
      <c r="W27" s="409" t="s">
        <v>377</v>
      </c>
      <c r="X27" s="409">
        <v>97.894335425530784</v>
      </c>
    </row>
    <row r="28" spans="1:24">
      <c r="A28" s="422" t="s">
        <v>371</v>
      </c>
      <c r="B28" s="492">
        <f t="shared" si="1"/>
        <v>181.81818181818184</v>
      </c>
      <c r="C28" s="493"/>
      <c r="D28" s="493">
        <f t="shared" si="1"/>
        <v>229.07875769830693</v>
      </c>
      <c r="E28" s="493">
        <f t="shared" si="1"/>
        <v>132.91628805817942</v>
      </c>
      <c r="F28" s="493"/>
      <c r="G28" s="493"/>
      <c r="H28" s="493">
        <f t="shared" si="1"/>
        <v>78.791178490715382</v>
      </c>
      <c r="I28" s="492">
        <f t="shared" si="1"/>
        <v>159.08176311935713</v>
      </c>
      <c r="J28" s="534">
        <f t="shared" si="1"/>
        <v>31.096674485802438</v>
      </c>
      <c r="K28" s="492">
        <f t="shared" si="1"/>
        <v>87.663801053689468</v>
      </c>
      <c r="L28" s="493">
        <f t="shared" si="1"/>
        <v>169.67667490848802</v>
      </c>
      <c r="M28" s="493">
        <f t="shared" si="1"/>
        <v>86.46086211561807</v>
      </c>
      <c r="N28" s="493">
        <f t="shared" si="1"/>
        <v>128.60622900322446</v>
      </c>
      <c r="O28" s="534">
        <f t="shared" si="1"/>
        <v>94.390276750379016</v>
      </c>
      <c r="P28" s="492">
        <f t="shared" si="1"/>
        <v>869.22565569005371</v>
      </c>
      <c r="Q28" s="493">
        <f t="shared" si="1"/>
        <v>49.765289619978063</v>
      </c>
      <c r="R28" s="493">
        <f t="shared" si="1"/>
        <v>432.57266500530858</v>
      </c>
      <c r="S28" s="534">
        <f t="shared" si="1"/>
        <v>88.817757122365776</v>
      </c>
      <c r="T28" s="492">
        <f t="shared" si="1"/>
        <v>66.11083255231938</v>
      </c>
      <c r="W28" s="409" t="s">
        <v>376</v>
      </c>
      <c r="X28" s="409">
        <v>87.083423789705733</v>
      </c>
    </row>
    <row r="29" spans="1:24">
      <c r="A29" s="422" t="s">
        <v>372</v>
      </c>
      <c r="B29" s="492">
        <f t="shared" si="1"/>
        <v>139.39393939393938</v>
      </c>
      <c r="C29" s="493"/>
      <c r="D29" s="493">
        <f t="shared" si="1"/>
        <v>182.93991667305906</v>
      </c>
      <c r="E29" s="493">
        <f t="shared" si="1"/>
        <v>128.88088382670773</v>
      </c>
      <c r="F29" s="493"/>
      <c r="G29" s="493"/>
      <c r="H29" s="493">
        <f t="shared" si="1"/>
        <v>92.057065508736272</v>
      </c>
      <c r="I29" s="492">
        <f t="shared" si="1"/>
        <v>153.72654170522196</v>
      </c>
      <c r="J29" s="534">
        <f t="shared" si="1"/>
        <v>37.342130694570557</v>
      </c>
      <c r="K29" s="492">
        <f t="shared" si="1"/>
        <v>86.839002441708473</v>
      </c>
      <c r="L29" s="493">
        <f t="shared" si="1"/>
        <v>133.29635784762868</v>
      </c>
      <c r="M29" s="493">
        <f t="shared" si="1"/>
        <v>46.003731427021762</v>
      </c>
      <c r="N29" s="493">
        <f t="shared" si="1"/>
        <v>53.25080387237243</v>
      </c>
      <c r="O29" s="534">
        <f t="shared" si="1"/>
        <v>109.1675855768575</v>
      </c>
      <c r="P29" s="492">
        <f t="shared" si="1"/>
        <v>802.58984466672473</v>
      </c>
      <c r="Q29" s="493">
        <f t="shared" si="1"/>
        <v>47.905375488154675</v>
      </c>
      <c r="R29" s="493">
        <f t="shared" si="1"/>
        <v>384.48367871739168</v>
      </c>
      <c r="S29" s="534">
        <f t="shared" si="1"/>
        <v>90.43467511050568</v>
      </c>
      <c r="T29" s="492">
        <f t="shared" si="1"/>
        <v>74.606697032576292</v>
      </c>
      <c r="W29" s="409" t="s">
        <v>379</v>
      </c>
      <c r="X29" s="409">
        <v>79.148263889284905</v>
      </c>
    </row>
    <row r="30" spans="1:24">
      <c r="A30" s="422" t="s">
        <v>373</v>
      </c>
      <c r="B30" s="492">
        <f t="shared" si="1"/>
        <v>134.84848484848487</v>
      </c>
      <c r="C30" s="493"/>
      <c r="D30" s="493">
        <f t="shared" si="1"/>
        <v>250.29722936559571</v>
      </c>
      <c r="E30" s="493">
        <f t="shared" si="1"/>
        <v>120.22783051517534</v>
      </c>
      <c r="F30" s="493"/>
      <c r="G30" s="493"/>
      <c r="H30" s="493">
        <f t="shared" si="1"/>
        <v>97.886629281023531</v>
      </c>
      <c r="I30" s="492">
        <f t="shared" si="1"/>
        <v>179.82273586241902</v>
      </c>
      <c r="J30" s="534">
        <f t="shared" si="1"/>
        <v>6.9077891015058377</v>
      </c>
      <c r="K30" s="492">
        <f t="shared" si="1"/>
        <v>71.286306009118221</v>
      </c>
      <c r="L30" s="493">
        <f t="shared" si="1"/>
        <v>161.46774156492918</v>
      </c>
      <c r="M30" s="493">
        <f t="shared" si="1"/>
        <v>121.78149115186689</v>
      </c>
      <c r="N30" s="493">
        <f t="shared" si="1"/>
        <v>140.17584052359317</v>
      </c>
      <c r="O30" s="534">
        <f t="shared" si="1"/>
        <v>92.121459048906388</v>
      </c>
      <c r="P30" s="492">
        <f t="shared" si="1"/>
        <v>791.0022301414125</v>
      </c>
      <c r="Q30" s="493">
        <f t="shared" si="1"/>
        <v>41.09839123771539</v>
      </c>
      <c r="R30" s="493">
        <f t="shared" si="1"/>
        <v>325.08919124257153</v>
      </c>
      <c r="S30" s="534">
        <f t="shared" si="1"/>
        <v>92.431723137665216</v>
      </c>
      <c r="T30" s="492">
        <f t="shared" si="1"/>
        <v>62.090735761129324</v>
      </c>
      <c r="W30" s="409" t="s">
        <v>321</v>
      </c>
      <c r="X30" s="409">
        <v>78.117509645435163</v>
      </c>
    </row>
    <row r="31" spans="1:24">
      <c r="A31" s="422" t="s">
        <v>374</v>
      </c>
      <c r="B31" s="492">
        <f t="shared" si="1"/>
        <v>128.78787878787878</v>
      </c>
      <c r="C31" s="493"/>
      <c r="D31" s="493">
        <f t="shared" si="1"/>
        <v>142.47508467090603</v>
      </c>
      <c r="E31" s="493">
        <f t="shared" si="1"/>
        <v>120.16239862444979</v>
      </c>
      <c r="F31" s="493"/>
      <c r="G31" s="493"/>
      <c r="H31" s="493">
        <f t="shared" si="1"/>
        <v>92.492272180709577</v>
      </c>
      <c r="I31" s="492">
        <f t="shared" si="1"/>
        <v>136.40065131503408</v>
      </c>
      <c r="J31" s="534">
        <f t="shared" si="1"/>
        <v>57.548221412728097</v>
      </c>
      <c r="K31" s="492">
        <f t="shared" si="1"/>
        <v>85.320111176688798</v>
      </c>
      <c r="L31" s="493">
        <f t="shared" si="1"/>
        <v>101.42477614052707</v>
      </c>
      <c r="M31" s="493">
        <f t="shared" si="1"/>
        <v>105.24632970279859</v>
      </c>
      <c r="N31" s="493">
        <f t="shared" si="1"/>
        <v>91.075681562864091</v>
      </c>
      <c r="O31" s="534">
        <f t="shared" si="1"/>
        <v>101.75007186785017</v>
      </c>
      <c r="P31" s="492">
        <f t="shared" si="1"/>
        <v>606.90180240037671</v>
      </c>
      <c r="Q31" s="493">
        <f t="shared" si="1"/>
        <v>379.15125883891818</v>
      </c>
      <c r="R31" s="493">
        <f t="shared" si="1"/>
        <v>2301.0758237171112</v>
      </c>
      <c r="S31" s="534">
        <f t="shared" si="1"/>
        <v>25.992220519685084</v>
      </c>
      <c r="T31" s="492">
        <f t="shared" si="1"/>
        <v>69.894638176256592</v>
      </c>
      <c r="W31" s="409" t="s">
        <v>372</v>
      </c>
      <c r="X31" s="409">
        <v>74.602039881373429</v>
      </c>
    </row>
    <row r="32" spans="1:24">
      <c r="A32" s="422" t="s">
        <v>375</v>
      </c>
      <c r="B32" s="492">
        <f t="shared" si="1"/>
        <v>136.36363636363637</v>
      </c>
      <c r="C32" s="493"/>
      <c r="D32" s="493">
        <f t="shared" si="1"/>
        <v>96.604920711541908</v>
      </c>
      <c r="E32" s="493">
        <f t="shared" si="1"/>
        <v>100.71913179747902</v>
      </c>
      <c r="F32" s="493"/>
      <c r="G32" s="493"/>
      <c r="H32" s="493">
        <f t="shared" si="1"/>
        <v>84.884903693561611</v>
      </c>
      <c r="I32" s="492">
        <f t="shared" si="1"/>
        <v>158.80950337808</v>
      </c>
      <c r="J32" s="534">
        <f t="shared" si="1"/>
        <v>31.414193811346802</v>
      </c>
      <c r="K32" s="492">
        <f t="shared" si="1"/>
        <v>104.37083300487006</v>
      </c>
      <c r="L32" s="493">
        <f t="shared" si="1"/>
        <v>127.13117245603411</v>
      </c>
      <c r="M32" s="493">
        <f t="shared" si="1"/>
        <v>113.73983867137612</v>
      </c>
      <c r="N32" s="493">
        <f t="shared" si="1"/>
        <v>150.91896211026386</v>
      </c>
      <c r="O32" s="534">
        <f t="shared" si="1"/>
        <v>90.014717229442581</v>
      </c>
      <c r="P32" s="492">
        <f t="shared" si="1"/>
        <v>320.58275637523838</v>
      </c>
      <c r="Q32" s="493">
        <f t="shared" si="1"/>
        <v>85.021410160406504</v>
      </c>
      <c r="R32" s="493">
        <f t="shared" si="1"/>
        <v>272.56398020132809</v>
      </c>
      <c r="S32" s="534">
        <f t="shared" si="1"/>
        <v>94.197802340394659</v>
      </c>
      <c r="T32" s="492">
        <f t="shared" si="1"/>
        <v>67.481340412225819</v>
      </c>
      <c r="W32" s="409" t="s">
        <v>370</v>
      </c>
      <c r="X32" s="409">
        <v>70.492519114435709</v>
      </c>
    </row>
    <row r="33" spans="1:24">
      <c r="A33" s="422" t="s">
        <v>376</v>
      </c>
      <c r="B33" s="492">
        <f t="shared" si="1"/>
        <v>78.787878787878796</v>
      </c>
      <c r="C33" s="493"/>
      <c r="D33" s="493">
        <f t="shared" si="1"/>
        <v>115.72541703067903</v>
      </c>
      <c r="E33" s="493">
        <f t="shared" si="1"/>
        <v>115.6719150778849</v>
      </c>
      <c r="F33" s="493"/>
      <c r="G33" s="493"/>
      <c r="H33" s="493">
        <f t="shared" si="1"/>
        <v>110.77988390287292</v>
      </c>
      <c r="I33" s="492">
        <f t="shared" si="1"/>
        <v>131.90287567696311</v>
      </c>
      <c r="J33" s="534">
        <f t="shared" si="1"/>
        <v>62.793692815701426</v>
      </c>
      <c r="K33" s="492">
        <f t="shared" si="1"/>
        <v>95.472890254582381</v>
      </c>
      <c r="L33" s="493">
        <f t="shared" si="1"/>
        <v>101.20925154042999</v>
      </c>
      <c r="M33" s="493">
        <f t="shared" si="1"/>
        <v>123.88057124110958</v>
      </c>
      <c r="N33" s="493">
        <f t="shared" si="1"/>
        <v>119.7025721850796</v>
      </c>
      <c r="O33" s="534">
        <f t="shared" si="1"/>
        <v>96.136296844595677</v>
      </c>
      <c r="P33" s="492">
        <f t="shared" si="1"/>
        <v>591.33994400053393</v>
      </c>
      <c r="Q33" s="493">
        <f t="shared" si="1"/>
        <v>59.116373021366456</v>
      </c>
      <c r="R33" s="493">
        <f t="shared" si="1"/>
        <v>349.57872711969503</v>
      </c>
      <c r="S33" s="534">
        <f t="shared" si="1"/>
        <v>91.608300268157421</v>
      </c>
      <c r="T33" s="492">
        <f t="shared" si="1"/>
        <v>87.076397610219232</v>
      </c>
      <c r="W33" s="409" t="s">
        <v>374</v>
      </c>
      <c r="X33" s="409">
        <v>69.877991134560617</v>
      </c>
    </row>
    <row r="34" spans="1:24">
      <c r="A34" s="422" t="s">
        <v>377</v>
      </c>
      <c r="B34" s="492">
        <f t="shared" si="1"/>
        <v>72.727272727272734</v>
      </c>
      <c r="C34" s="493"/>
      <c r="D34" s="493">
        <f t="shared" si="1"/>
        <v>124.78552997336203</v>
      </c>
      <c r="E34" s="493">
        <f t="shared" si="1"/>
        <v>109.0231942872135</v>
      </c>
      <c r="F34" s="493"/>
      <c r="G34" s="493"/>
      <c r="H34" s="493">
        <f t="shared" si="1"/>
        <v>113.40443645667855</v>
      </c>
      <c r="I34" s="492">
        <f t="shared" si="1"/>
        <v>103.07923268562004</v>
      </c>
      <c r="J34" s="534">
        <f t="shared" si="1"/>
        <v>96.408885570279779</v>
      </c>
      <c r="K34" s="492">
        <f t="shared" si="1"/>
        <v>79.953272529277257</v>
      </c>
      <c r="L34" s="493">
        <f t="shared" si="1"/>
        <v>176.10513242376206</v>
      </c>
      <c r="M34" s="493">
        <f t="shared" si="1"/>
        <v>124.70895018779954</v>
      </c>
      <c r="N34" s="493">
        <f t="shared" si="1"/>
        <v>175.59246715862318</v>
      </c>
      <c r="O34" s="534">
        <f t="shared" si="1"/>
        <v>85.176206885984868</v>
      </c>
      <c r="P34" s="492">
        <f t="shared" si="1"/>
        <v>702.6903843277164</v>
      </c>
      <c r="Q34" s="493">
        <f t="shared" si="1"/>
        <v>60.325017887201007</v>
      </c>
      <c r="R34" s="493">
        <f t="shared" si="1"/>
        <v>423.89810003733646</v>
      </c>
      <c r="S34" s="534">
        <f t="shared" si="1"/>
        <v>89.10942598916256</v>
      </c>
      <c r="T34" s="492">
        <f t="shared" si="1"/>
        <v>97.90165784462998</v>
      </c>
      <c r="W34" s="409" t="s">
        <v>375</v>
      </c>
      <c r="X34" s="409">
        <v>67.490069239231843</v>
      </c>
    </row>
    <row r="35" spans="1:24">
      <c r="A35" s="422" t="s">
        <v>378</v>
      </c>
      <c r="B35" s="492">
        <f t="shared" si="1"/>
        <v>100</v>
      </c>
      <c r="C35" s="493"/>
      <c r="D35" s="493">
        <f t="shared" si="1"/>
        <v>100</v>
      </c>
      <c r="E35" s="493">
        <f t="shared" si="1"/>
        <v>100</v>
      </c>
      <c r="F35" s="493"/>
      <c r="G35" s="493"/>
      <c r="H35" s="493">
        <f t="shared" si="1"/>
        <v>100</v>
      </c>
      <c r="I35" s="492">
        <f t="shared" si="1"/>
        <v>100</v>
      </c>
      <c r="J35" s="534">
        <f t="shared" si="1"/>
        <v>100</v>
      </c>
      <c r="K35" s="492">
        <f t="shared" si="1"/>
        <v>100</v>
      </c>
      <c r="L35" s="493">
        <f t="shared" si="1"/>
        <v>100</v>
      </c>
      <c r="M35" s="493">
        <f t="shared" si="1"/>
        <v>100</v>
      </c>
      <c r="N35" s="493">
        <f t="shared" si="1"/>
        <v>100</v>
      </c>
      <c r="O35" s="534">
        <f t="shared" si="1"/>
        <v>100</v>
      </c>
      <c r="P35" s="492">
        <f t="shared" si="1"/>
        <v>100</v>
      </c>
      <c r="Q35" s="493">
        <f t="shared" si="1"/>
        <v>100</v>
      </c>
      <c r="R35" s="493">
        <f t="shared" si="1"/>
        <v>100</v>
      </c>
      <c r="S35" s="534">
        <f t="shared" si="1"/>
        <v>100</v>
      </c>
      <c r="T35" s="492">
        <f t="shared" si="1"/>
        <v>100</v>
      </c>
      <c r="W35" s="409" t="s">
        <v>371</v>
      </c>
      <c r="X35" s="409">
        <v>66.181507142591272</v>
      </c>
    </row>
    <row r="36" spans="1:24">
      <c r="A36" s="423" t="s">
        <v>379</v>
      </c>
      <c r="B36" s="490">
        <f t="shared" si="1"/>
        <v>115.15151515151516</v>
      </c>
      <c r="C36" s="491"/>
      <c r="D36" s="491">
        <f t="shared" si="1"/>
        <v>115.6505271100402</v>
      </c>
      <c r="E36" s="491">
        <f t="shared" si="1"/>
        <v>125.75053872026432</v>
      </c>
      <c r="F36" s="491"/>
      <c r="G36" s="491"/>
      <c r="H36" s="491">
        <f t="shared" si="1"/>
        <v>96.532262411526432</v>
      </c>
      <c r="I36" s="490">
        <f t="shared" si="1"/>
        <v>134.07986572979948</v>
      </c>
      <c r="J36" s="533">
        <f t="shared" si="1"/>
        <v>60.254806933966286</v>
      </c>
      <c r="K36" s="490">
        <f t="shared" si="1"/>
        <v>97.361409640388857</v>
      </c>
      <c r="L36" s="491">
        <f t="shared" si="1"/>
        <v>162.36275726264014</v>
      </c>
      <c r="M36" s="491">
        <f t="shared" si="1"/>
        <v>145.93589633951711</v>
      </c>
      <c r="N36" s="491">
        <f t="shared" si="1"/>
        <v>230.69352282138649</v>
      </c>
      <c r="O36" s="533">
        <f t="shared" si="1"/>
        <v>74.370809467289035</v>
      </c>
      <c r="P36" s="490">
        <f t="shared" si="1"/>
        <v>367.68431980051366</v>
      </c>
      <c r="Q36" s="491">
        <f t="shared" si="1"/>
        <v>50.519883361505933</v>
      </c>
      <c r="R36" s="491">
        <f t="shared" si="1"/>
        <v>185.75368950176593</v>
      </c>
      <c r="S36" s="533">
        <f t="shared" si="1"/>
        <v>97.116664462947753</v>
      </c>
      <c r="T36" s="490">
        <f t="shared" si="1"/>
        <v>79.168212322489737</v>
      </c>
      <c r="W36" s="409" t="s">
        <v>373</v>
      </c>
      <c r="X36" s="409">
        <v>62.085915008571391</v>
      </c>
    </row>
    <row r="37" spans="1:24">
      <c r="A37" s="409" t="s">
        <v>1281</v>
      </c>
    </row>
    <row r="38" spans="1:24" ht="127.5">
      <c r="A38" s="410"/>
      <c r="B38" s="511" t="s">
        <v>1333</v>
      </c>
      <c r="C38" s="494" t="s">
        <v>521</v>
      </c>
      <c r="D38" s="512" t="s">
        <v>441</v>
      </c>
      <c r="E38" s="512" t="s">
        <v>442</v>
      </c>
      <c r="F38" s="494" t="s">
        <v>522</v>
      </c>
      <c r="G38" s="494" t="s">
        <v>524</v>
      </c>
      <c r="H38" s="513" t="s">
        <v>1334</v>
      </c>
      <c r="I38" s="511" t="s">
        <v>1335</v>
      </c>
      <c r="J38" s="513" t="s">
        <v>1336</v>
      </c>
      <c r="K38" s="511" t="s">
        <v>382</v>
      </c>
      <c r="L38" s="512" t="s">
        <v>1337</v>
      </c>
      <c r="M38" s="512" t="s">
        <v>1338</v>
      </c>
      <c r="N38" s="512" t="s">
        <v>383</v>
      </c>
      <c r="O38" s="513" t="s">
        <v>1339</v>
      </c>
      <c r="P38" s="511" t="s">
        <v>1340</v>
      </c>
      <c r="Q38" s="512" t="s">
        <v>1341</v>
      </c>
      <c r="R38" s="512" t="s">
        <v>1342</v>
      </c>
      <c r="S38" s="512" t="s">
        <v>1343</v>
      </c>
      <c r="T38" s="511" t="s">
        <v>1280</v>
      </c>
    </row>
    <row r="39" spans="1:24" ht="25.5">
      <c r="A39" s="417"/>
      <c r="B39" s="416" t="s">
        <v>105</v>
      </c>
      <c r="C39" s="417"/>
      <c r="D39" s="417" t="s">
        <v>106</v>
      </c>
      <c r="E39" s="417" t="s">
        <v>107</v>
      </c>
      <c r="F39" s="417"/>
      <c r="G39" s="417"/>
      <c r="H39" s="514" t="s">
        <v>108</v>
      </c>
      <c r="I39" s="416" t="s">
        <v>109</v>
      </c>
      <c r="J39" s="515" t="s">
        <v>110</v>
      </c>
      <c r="K39" s="416" t="s">
        <v>111</v>
      </c>
      <c r="L39" s="417" t="s">
        <v>112</v>
      </c>
      <c r="M39" s="417" t="s">
        <v>138</v>
      </c>
      <c r="N39" s="417" t="s">
        <v>113</v>
      </c>
      <c r="O39" s="515" t="s">
        <v>114</v>
      </c>
      <c r="P39" s="416" t="s">
        <v>115</v>
      </c>
      <c r="Q39" s="417" t="s">
        <v>116</v>
      </c>
      <c r="R39" s="417" t="s">
        <v>1345</v>
      </c>
      <c r="S39" s="417" t="s">
        <v>170</v>
      </c>
      <c r="T39" s="416" t="s">
        <v>347</v>
      </c>
    </row>
    <row r="40" spans="1:24">
      <c r="A40" s="417"/>
      <c r="B40" s="416"/>
      <c r="C40" s="417"/>
      <c r="D40" s="417"/>
      <c r="E40" s="417"/>
      <c r="F40" s="417"/>
      <c r="G40" s="417"/>
      <c r="H40" s="514"/>
      <c r="I40" s="416"/>
      <c r="J40" s="515"/>
      <c r="K40" s="416"/>
      <c r="L40" s="417"/>
      <c r="M40" s="417"/>
      <c r="N40" s="417"/>
      <c r="O40" s="515"/>
      <c r="P40" s="416"/>
      <c r="Q40" s="417"/>
      <c r="R40" s="417"/>
      <c r="S40" s="417"/>
      <c r="T40" s="416"/>
    </row>
    <row r="41" spans="1:24">
      <c r="A41" s="423" t="s">
        <v>321</v>
      </c>
      <c r="B41" s="516">
        <f>'[5]4'!B$19</f>
        <v>7.6</v>
      </c>
      <c r="C41" s="488">
        <f>'[5]4'!C$19</f>
        <v>0.70833333333333326</v>
      </c>
      <c r="D41" s="497">
        <f>'[5]4'!D$19</f>
        <v>66.628312562670118</v>
      </c>
      <c r="E41" s="497">
        <f>'[5]4'!E$19</f>
        <v>38.422308089725213</v>
      </c>
      <c r="F41" s="488">
        <f>'[5]4'!F$19</f>
        <v>0.256001355278142</v>
      </c>
      <c r="G41" s="488">
        <f>'[5]4'!G$19</f>
        <v>0.30068835912320602</v>
      </c>
      <c r="H41" s="517">
        <f>'[5]4'!H$19</f>
        <v>0.6268043384913079</v>
      </c>
      <c r="I41" s="518">
        <f>'[5]5'!B$17</f>
        <v>2.65462729352992</v>
      </c>
      <c r="J41" s="519">
        <f>'[5]5'!C$17</f>
        <v>0.79948096518922318</v>
      </c>
      <c r="K41" s="520">
        <f>'[5]6'!B$19</f>
        <v>1.1155668651039621</v>
      </c>
      <c r="L41" s="521">
        <f>'[5]6'!C$19</f>
        <v>66.691349889075596</v>
      </c>
      <c r="M41" s="522">
        <f>'[5]6'!D$19</f>
        <v>0.30380600637744043</v>
      </c>
      <c r="N41" s="523">
        <f>'[5]6'!E$19</f>
        <v>22.602759812502203</v>
      </c>
      <c r="O41" s="524">
        <f>'[5]6'!F$19</f>
        <v>0.42532354935121364</v>
      </c>
      <c r="P41" s="525">
        <f>'[5]7'!B$19</f>
        <v>18.698072632663571</v>
      </c>
      <c r="Q41" s="522">
        <f>'[5]7'!C$19</f>
        <v>0.26864873646793302</v>
      </c>
      <c r="R41" s="522">
        <f>'[5]7'!D$19</f>
        <v>9.4938736797148329E-2</v>
      </c>
      <c r="S41" s="524">
        <f>'[5]7'!E$19</f>
        <v>0.59957115064117927</v>
      </c>
      <c r="T41" s="520">
        <f>'[5]8'!$F$16</f>
        <v>0.65965773193210397</v>
      </c>
    </row>
    <row r="42" spans="1:24">
      <c r="A42" s="409" t="s">
        <v>370</v>
      </c>
      <c r="B42" s="428">
        <f>'[5]4'!I$19</f>
        <v>13.5</v>
      </c>
      <c r="C42" s="421">
        <f>'[5]4'!J$19</f>
        <v>0.41567460317460314</v>
      </c>
      <c r="D42" s="429">
        <f>'[5]4'!K$19</f>
        <v>131.73879310344827</v>
      </c>
      <c r="E42" s="429">
        <f>'[5]4'!L$19</f>
        <v>34.760908941381771</v>
      </c>
      <c r="F42" s="421">
        <f>'[5]4'!M$19</f>
        <v>0.45793601911164988</v>
      </c>
      <c r="G42" s="421">
        <f>'[5]4'!N$19</f>
        <v>0.56969796777240611</v>
      </c>
      <c r="H42" s="460">
        <f>'[5]4'!O$19</f>
        <v>0.44647927609416377</v>
      </c>
      <c r="I42" s="461">
        <f>'[5]5'!D$17</f>
        <v>5.4615670978847151</v>
      </c>
      <c r="J42" s="462">
        <f>'[5]5'!E$17</f>
        <v>0.28823367571908565</v>
      </c>
      <c r="K42" s="526">
        <f>'[5]6'!G$19</f>
        <v>0.44217700291028628</v>
      </c>
      <c r="L42" s="463">
        <f>'[5]6'!H$19</f>
        <v>56.934654519472467</v>
      </c>
      <c r="M42" s="465">
        <f>'[5]6'!I$19</f>
        <v>0.42891562697011887</v>
      </c>
      <c r="N42" s="527">
        <f>'[5]6'!J$19</f>
        <v>10.798034503407282</v>
      </c>
      <c r="O42" s="464">
        <f>'[5]6'!K$19</f>
        <v>0.72429325856365734</v>
      </c>
      <c r="P42" s="528">
        <f>'[5]7'!F$19</f>
        <v>39.26792065175939</v>
      </c>
      <c r="Q42" s="465">
        <f>'[5]7'!G$19</f>
        <v>0.12103796805124216</v>
      </c>
      <c r="R42" s="465">
        <f>'[5]7'!H$19</f>
        <v>8.9829986247912288E-2</v>
      </c>
      <c r="S42" s="464">
        <f>'[5]7'!I$19</f>
        <v>0.61748001155677368</v>
      </c>
      <c r="T42" s="526">
        <f>'[5]8'!$K$16</f>
        <v>0.44909260107801646</v>
      </c>
    </row>
    <row r="43" spans="1:24">
      <c r="A43" s="409" t="s">
        <v>371</v>
      </c>
      <c r="B43" s="428">
        <f>'[5]4'!P$19</f>
        <v>11.3</v>
      </c>
      <c r="C43" s="421">
        <f>'[5]4'!Q$19</f>
        <v>0.52480158730158721</v>
      </c>
      <c r="D43" s="429">
        <f>'[5]4'!R$19</f>
        <v>117.72222222222221</v>
      </c>
      <c r="E43" s="429">
        <f>'[5]4'!S$19</f>
        <v>42.581261659939315</v>
      </c>
      <c r="F43" s="421">
        <f>'[5]4'!T$19</f>
        <v>0.50127607476339675</v>
      </c>
      <c r="G43" s="421">
        <f>'[5]4'!U$19</f>
        <v>0.62743392646508289</v>
      </c>
      <c r="H43" s="460">
        <f>'[5]4'!V$19</f>
        <v>0.54532805513428639</v>
      </c>
      <c r="I43" s="461">
        <f>'[5]5'!F$17</f>
        <v>5.3820960698689957</v>
      </c>
      <c r="J43" s="462">
        <f>'[5]5'!G$17</f>
        <v>0.30270828169439296</v>
      </c>
      <c r="K43" s="526">
        <f>'[5]6'!L$19</f>
        <v>0.65672794956891256</v>
      </c>
      <c r="L43" s="463">
        <f>'[5]6'!M$19</f>
        <v>48.630497618679897</v>
      </c>
      <c r="M43" s="465">
        <f>'[5]6'!N$19</f>
        <v>0.4061947830017657</v>
      </c>
      <c r="N43" s="527">
        <f>'[5]6'!O$19</f>
        <v>12.972645623066866</v>
      </c>
      <c r="O43" s="464">
        <f>'[5]6'!P$19</f>
        <v>0.6692184612200992</v>
      </c>
      <c r="P43" s="528">
        <f>'[5]7'!J$19</f>
        <v>26.155342864094951</v>
      </c>
      <c r="Q43" s="465">
        <f>'[5]7'!K$19</f>
        <v>0.28445219302363223</v>
      </c>
      <c r="R43" s="465">
        <f>'[5]7'!L$19</f>
        <v>0.14061495363886187</v>
      </c>
      <c r="S43" s="464">
        <f>'[5]7'!M$19</f>
        <v>0.43945195776120954</v>
      </c>
      <c r="T43" s="526">
        <f>'[5]8'!$P$16</f>
        <v>0.4568628949412793</v>
      </c>
    </row>
    <row r="44" spans="1:24">
      <c r="A44" s="409" t="s">
        <v>372</v>
      </c>
      <c r="B44" s="428">
        <f>'[5]4'!W$19</f>
        <v>10</v>
      </c>
      <c r="C44" s="421">
        <f>'[5]4'!X$19</f>
        <v>0.58928571428571419</v>
      </c>
      <c r="D44" s="429">
        <f>'[5]4'!Y$19</f>
        <v>89.95077838827838</v>
      </c>
      <c r="E44" s="429">
        <f>'[5]4'!Z$19</f>
        <v>37.137454185035921</v>
      </c>
      <c r="F44" s="421">
        <f>'[5]4'!AA$19</f>
        <v>0.33405429113030077</v>
      </c>
      <c r="G44" s="421">
        <f>'[5]4'!AB$19</f>
        <v>0.40466748449428175</v>
      </c>
      <c r="H44" s="460">
        <f>'[5]4'!AC$19</f>
        <v>0.55236206832742774</v>
      </c>
      <c r="I44" s="461">
        <f>'[5]5'!H$17</f>
        <v>2.4104046242774571</v>
      </c>
      <c r="J44" s="462">
        <f>'[5]5'!I$17</f>
        <v>0.84396292290302011</v>
      </c>
      <c r="K44" s="526">
        <f>'[5]6'!Q$19</f>
        <v>1.1271649212464421</v>
      </c>
      <c r="L44" s="463">
        <f>'[5]6'!R$19</f>
        <v>69.332232101718205</v>
      </c>
      <c r="M44" s="465">
        <f>'[5]6'!S$19</f>
        <v>0.25050093475766555</v>
      </c>
      <c r="N44" s="527">
        <f>'[5]6'!T$19</f>
        <v>19.57636246440758</v>
      </c>
      <c r="O44" s="464">
        <f>'[5]6'!U$19</f>
        <v>0.50197091821663387</v>
      </c>
      <c r="P44" s="528">
        <f>'[5]7'!N$19</f>
        <v>15.41185695155573</v>
      </c>
      <c r="Q44" s="465">
        <f>'[5]7'!O$19</f>
        <v>0.20927067084688039</v>
      </c>
      <c r="R44" s="465">
        <f>'[5]7'!P$19</f>
        <v>6.0957218257391449E-2</v>
      </c>
      <c r="S44" s="464">
        <f>'[5]7'!Q$19</f>
        <v>0.71869426760765598</v>
      </c>
      <c r="T44" s="526">
        <f>'[5]8'!$U$16</f>
        <v>0.68108408780916574</v>
      </c>
    </row>
    <row r="45" spans="1:24">
      <c r="A45" s="409" t="s">
        <v>373</v>
      </c>
      <c r="B45" s="428">
        <f>'[5]4'!AD$19</f>
        <v>11.6</v>
      </c>
      <c r="C45" s="421">
        <f>'[5]4'!AE$19</f>
        <v>0.50992063492063489</v>
      </c>
      <c r="D45" s="429">
        <f>'[5]4'!AF$19</f>
        <v>118.71785361028682</v>
      </c>
      <c r="E45" s="429">
        <f>'[5]4'!AG$19</f>
        <v>37.789860397187233</v>
      </c>
      <c r="F45" s="421">
        <f>'[5]4'!AH$19</f>
        <v>0.44863311145864493</v>
      </c>
      <c r="G45" s="421">
        <f>'[5]4'!AI$19</f>
        <v>0.55730499125452682</v>
      </c>
      <c r="H45" s="460">
        <f>'[5]4'!AJ$19</f>
        <v>0.51939750618741332</v>
      </c>
      <c r="I45" s="461">
        <f>'[5]5'!J$17</f>
        <v>3.3661678348171997</v>
      </c>
      <c r="J45" s="462">
        <f>'[5]5'!K$17</f>
        <v>0.66988318310751815</v>
      </c>
      <c r="K45" s="526">
        <f>'[5]6'!V$19</f>
        <v>0.79920917832429683</v>
      </c>
      <c r="L45" s="463">
        <f>'[5]6'!W$19</f>
        <v>74.03588389699226</v>
      </c>
      <c r="M45" s="465">
        <f>'[5]6'!X$19</f>
        <v>0.34734787833632558</v>
      </c>
      <c r="N45" s="527">
        <f>'[5]6'!Y$19</f>
        <v>20.552628819835231</v>
      </c>
      <c r="O45" s="464">
        <f>'[5]6'!Z$19</f>
        <v>0.47724572887476718</v>
      </c>
      <c r="P45" s="528">
        <f>'[5]7'!R$19</f>
        <v>18.533590396338397</v>
      </c>
      <c r="Q45" s="465">
        <f>'[5]7'!S$19</f>
        <v>0.69144502350917403</v>
      </c>
      <c r="R45" s="465">
        <f>'[5]7'!T$19</f>
        <v>0.24220272221407591</v>
      </c>
      <c r="S45" s="464">
        <f>'[5]7'!U$19</f>
        <v>8.3333333333333301E-2</v>
      </c>
      <c r="T45" s="526">
        <f>'[5]8'!$Z$16</f>
        <v>0.54333636106830019</v>
      </c>
    </row>
    <row r="46" spans="1:24">
      <c r="A46" s="409" t="s">
        <v>374</v>
      </c>
      <c r="B46" s="428">
        <f>'[5]4'!AK$19</f>
        <v>10.5</v>
      </c>
      <c r="C46" s="421">
        <f>'[5]4'!AL$19</f>
        <v>0.56448412698412698</v>
      </c>
      <c r="D46" s="429">
        <f>'[5]4'!AM$19</f>
        <v>75.687525344687757</v>
      </c>
      <c r="E46" s="429">
        <f>'[5]4'!AN$19</f>
        <v>34.507697891790521</v>
      </c>
      <c r="F46" s="421">
        <f>'[5]4'!AO$19</f>
        <v>0.26118022587717232</v>
      </c>
      <c r="G46" s="421">
        <f>'[5]4'!AP$19</f>
        <v>0.30758745176357927</v>
      </c>
      <c r="H46" s="460">
        <f>'[5]4'!AQ$19</f>
        <v>0.51310479194001746</v>
      </c>
      <c r="I46" s="461">
        <f>'[5]5'!L$17</f>
        <v>2.470600717961414</v>
      </c>
      <c r="J46" s="462">
        <f>'[5]5'!M$17</f>
        <v>0.8329989935430574</v>
      </c>
      <c r="K46" s="526">
        <f>'[5]6'!AA$19</f>
        <v>1.2255675106158808</v>
      </c>
      <c r="L46" s="463">
        <f>'[5]6'!AB$19</f>
        <v>48.254559910041252</v>
      </c>
      <c r="M46" s="465">
        <f>'[5]6'!AC$19</f>
        <v>0.34237963556780454</v>
      </c>
      <c r="N46" s="527">
        <f>'[5]6'!AD$19</f>
        <v>20.248064887458966</v>
      </c>
      <c r="O46" s="464">
        <f>'[5]6'!AE$19</f>
        <v>0.48495919851636715</v>
      </c>
      <c r="P46" s="528">
        <f>'[5]7'!V$19</f>
        <v>21.467032765301987</v>
      </c>
      <c r="Q46" s="465">
        <f>'[5]7'!W$19</f>
        <v>0.34151023760042454</v>
      </c>
      <c r="R46" s="465">
        <f>'[5]7'!X$19</f>
        <v>0.13855989659880777</v>
      </c>
      <c r="S46" s="464">
        <f>'[5]7'!Y$19</f>
        <v>0.44665601486856732</v>
      </c>
      <c r="T46" s="526">
        <f>'[5]8'!$AE$16</f>
        <v>0.63774514006080363</v>
      </c>
    </row>
    <row r="47" spans="1:24">
      <c r="A47" s="409" t="s">
        <v>375</v>
      </c>
      <c r="B47" s="428">
        <f>'[5]4'!AR$19</f>
        <v>6.6</v>
      </c>
      <c r="C47" s="421">
        <f>'[5]4'!AS$19</f>
        <v>0.75793650793650791</v>
      </c>
      <c r="D47" s="429">
        <f>'[5]4'!AT$19</f>
        <v>51.038470017636691</v>
      </c>
      <c r="E47" s="429">
        <f>'[5]4'!AU$19</f>
        <v>35.740441600834458</v>
      </c>
      <c r="F47" s="421">
        <f>'[5]4'!AV$19</f>
        <v>0.18241374570612845</v>
      </c>
      <c r="G47" s="421">
        <f>'[5]4'!AW$19</f>
        <v>0.20265777003762528</v>
      </c>
      <c r="H47" s="460">
        <f>'[5]4'!AX$19</f>
        <v>0.64688076035673148</v>
      </c>
      <c r="I47" s="461">
        <f>'[5]5'!N$17</f>
        <v>2.6612939332885603</v>
      </c>
      <c r="J47" s="462">
        <f>'[5]5'!O$17</f>
        <v>0.79826672414950051</v>
      </c>
      <c r="K47" s="526">
        <f>'[5]6'!AF$19</f>
        <v>0.98321616447283533</v>
      </c>
      <c r="L47" s="463">
        <f>'[5]6'!AG$19</f>
        <v>40.520595327825994</v>
      </c>
      <c r="M47" s="465">
        <f>'[5]6'!AH$19</f>
        <v>0.32018643500295874</v>
      </c>
      <c r="N47" s="527">
        <f>'[5]6'!AI$19</f>
        <v>12.756389047062756</v>
      </c>
      <c r="O47" s="464">
        <f>'[5]6'!AJ$19</f>
        <v>0.6746954345464854</v>
      </c>
      <c r="P47" s="528">
        <f>'[5]7'!Z$19</f>
        <v>10.09156171314741</v>
      </c>
      <c r="Q47" s="465">
        <f>'[5]7'!AA$19</f>
        <v>0.21913571560963976</v>
      </c>
      <c r="R47" s="465">
        <f>'[5]7'!AB$19</f>
        <v>4.1795868195195651E-2</v>
      </c>
      <c r="S47" s="464">
        <f>'[5]7'!AC$19</f>
        <v>0.78586488983938652</v>
      </c>
      <c r="T47" s="526">
        <f>'[5]8'!$AJ$16</f>
        <v>0.72881653700162874</v>
      </c>
    </row>
    <row r="48" spans="1:24">
      <c r="A48" s="409" t="s">
        <v>376</v>
      </c>
      <c r="B48" s="428">
        <f>'[5]4'!AY$19</f>
        <v>6</v>
      </c>
      <c r="C48" s="421">
        <f>'[5]4'!AZ$19</f>
        <v>0.78769841269841268</v>
      </c>
      <c r="D48" s="429">
        <f>'[5]4'!BA$19</f>
        <v>55.348484848484844</v>
      </c>
      <c r="E48" s="429">
        <f>'[5]4'!BB$19</f>
        <v>39.155668633734244</v>
      </c>
      <c r="F48" s="421">
        <f>'[5]4'!BC$19</f>
        <v>0.21672069321065332</v>
      </c>
      <c r="G48" s="421">
        <f>'[5]4'!BD$19</f>
        <v>0.24836016875877781</v>
      </c>
      <c r="H48" s="460">
        <f>'[5]4'!BE$19</f>
        <v>0.67983076391048569</v>
      </c>
      <c r="I48" s="461">
        <f>'[5]5'!P$17</f>
        <v>3.0096274591879451</v>
      </c>
      <c r="J48" s="462">
        <f>'[5]5'!Q$17</f>
        <v>0.73482233867627123</v>
      </c>
      <c r="K48" s="526">
        <f>'[5]6'!AK$19</f>
        <v>0.95434157790573948</v>
      </c>
      <c r="L48" s="463">
        <f>'[5]6'!AL$19</f>
        <v>51.830196581062168</v>
      </c>
      <c r="M48" s="465">
        <f>'[5]6'!AM$19</f>
        <v>0.37016067136183434</v>
      </c>
      <c r="N48" s="527">
        <f>'[5]6'!AN$19</f>
        <v>18.309520689586428</v>
      </c>
      <c r="O48" s="464">
        <f>'[5]6'!AO$19</f>
        <v>0.53405530028562198</v>
      </c>
      <c r="P48" s="528">
        <f>'[5]7'!AD$19</f>
        <v>19.41621478748997</v>
      </c>
      <c r="Q48" s="465">
        <f>'[5]7'!AE$19</f>
        <v>0.24488410576577926</v>
      </c>
      <c r="R48" s="465">
        <f>'[5]7'!AF$19</f>
        <v>8.9864253276665765E-2</v>
      </c>
      <c r="S48" s="464">
        <f>'[5]7'!AG$19</f>
        <v>0.61735988757616</v>
      </c>
      <c r="T48" s="526">
        <f>'[5]8'!$AO$16</f>
        <v>0.67076738582361706</v>
      </c>
    </row>
    <row r="49" spans="1:20">
      <c r="A49" s="409" t="s">
        <v>377</v>
      </c>
      <c r="B49" s="428">
        <f>'[5]4'!BF$19</f>
        <v>4.5</v>
      </c>
      <c r="C49" s="421">
        <f>'[5]4'!BG$19</f>
        <v>0.86210317460317454</v>
      </c>
      <c r="D49" s="429">
        <f>'[5]4'!BH$19</f>
        <v>52.367647058823529</v>
      </c>
      <c r="E49" s="429">
        <f>'[5]4'!BI$19</f>
        <v>37.08199131463973</v>
      </c>
      <c r="F49" s="421">
        <f>'[5]4'!BJ$19</f>
        <v>0.19418966334034127</v>
      </c>
      <c r="G49" s="421">
        <f>'[5]4'!BK$19</f>
        <v>0.2183451955351943</v>
      </c>
      <c r="H49" s="460">
        <f>'[5]4'!BL$19</f>
        <v>0.73335157878957857</v>
      </c>
      <c r="I49" s="461">
        <f>'[5]5'!R$17</f>
        <v>2.0692341941228851</v>
      </c>
      <c r="J49" s="462">
        <f>'[5]5'!S$17</f>
        <v>0.90610264438663735</v>
      </c>
      <c r="K49" s="526">
        <f>'[5]6'!AP$19</f>
        <v>0.81584048038309043</v>
      </c>
      <c r="L49" s="463">
        <f>'[5]6'!AQ$19</f>
        <v>64.231582491408957</v>
      </c>
      <c r="M49" s="465">
        <f>'[5]6'!AR$19</f>
        <v>0.31279824381713106</v>
      </c>
      <c r="N49" s="527">
        <f>'[5]6'!AS$19</f>
        <v>16.391480387378152</v>
      </c>
      <c r="O49" s="464">
        <f>'[5]6'!AT$19</f>
        <v>0.58263211477254218</v>
      </c>
      <c r="P49" s="528">
        <f>'[5]7'!AH$19</f>
        <v>33.231051344026554</v>
      </c>
      <c r="Q49" s="465">
        <f>'[5]7'!AI$19</f>
        <v>0.29772722347242919</v>
      </c>
      <c r="R49" s="465">
        <f>'[5]7'!AJ$19</f>
        <v>0.18699260547983579</v>
      </c>
      <c r="S49" s="464">
        <f>'[5]7'!AK$19</f>
        <v>0.27687386583693974</v>
      </c>
      <c r="T49" s="526">
        <f>'[5]8'!$AT$16</f>
        <v>0.74195086234949492</v>
      </c>
    </row>
    <row r="50" spans="1:20">
      <c r="A50" s="409" t="s">
        <v>378</v>
      </c>
      <c r="B50" s="428">
        <f>'[5]4'!BM$19</f>
        <v>3.9</v>
      </c>
      <c r="C50" s="421">
        <f>'[5]4'!BN$19</f>
        <v>0.89186507936507942</v>
      </c>
      <c r="D50" s="429">
        <f>'[5]4'!BO$19</f>
        <v>31.555786555786558</v>
      </c>
      <c r="E50" s="429">
        <f>'[5]4'!BP$19</f>
        <v>36.733337357911616</v>
      </c>
      <c r="F50" s="421">
        <f>'[5]4'!BQ$19</f>
        <v>0.11591493531479596</v>
      </c>
      <c r="G50" s="421">
        <f>'[5]4'!BR$19</f>
        <v>0.11407060714339934</v>
      </c>
      <c r="H50" s="460">
        <f>'[5]4'!BS$19</f>
        <v>0.73630618492074351</v>
      </c>
      <c r="I50" s="461">
        <f>'[5]5'!T$17</f>
        <v>2.2516069077673664</v>
      </c>
      <c r="J50" s="462">
        <f>'[5]5'!U$17</f>
        <v>0.87288584530195368</v>
      </c>
      <c r="K50" s="526">
        <f>'[5]6'!AU$19</f>
        <v>1.5228109592460837</v>
      </c>
      <c r="L50" s="463">
        <f>'[5]6'!AV$19</f>
        <v>23.038678832205743</v>
      </c>
      <c r="M50" s="465">
        <f>'[5]6'!AW$19</f>
        <v>0.31741474962277078</v>
      </c>
      <c r="N50" s="527">
        <f>'[5]6'!AX$19</f>
        <v>11.136037068289456</v>
      </c>
      <c r="O50" s="464">
        <f>'[5]6'!AY$19</f>
        <v>0.71573291294866626</v>
      </c>
      <c r="P50" s="528">
        <f>'[5]7'!AL$19</f>
        <v>31.338711305099384</v>
      </c>
      <c r="Q50" s="465">
        <f>'[5]7'!AM$19</f>
        <v>0.20241303554796375</v>
      </c>
      <c r="R50" s="465">
        <f>'[5]7'!AN$19</f>
        <v>0.11988957365455999</v>
      </c>
      <c r="S50" s="464">
        <f>'[5]7'!AO$19</f>
        <v>0.51210532847965462</v>
      </c>
      <c r="T50" s="526">
        <f>'[5]8'!$AY$16</f>
        <v>0.77670048061031971</v>
      </c>
    </row>
    <row r="51" spans="1:20">
      <c r="A51" s="423" t="s">
        <v>379</v>
      </c>
      <c r="B51" s="430">
        <f>'[5]4'!BT$19</f>
        <v>6.8</v>
      </c>
      <c r="C51" s="424">
        <f>'[5]4'!BU$19</f>
        <v>0.74801587301587291</v>
      </c>
      <c r="D51" s="431">
        <f>'[5]4'!BV$19</f>
        <v>57.300397648686022</v>
      </c>
      <c r="E51" s="431">
        <f>'[5]4'!BW$19</f>
        <v>33.650384659563244</v>
      </c>
      <c r="F51" s="424">
        <f>'[5]4'!BX$19</f>
        <v>0.1928180422024218</v>
      </c>
      <c r="G51" s="424">
        <f>'[5]4'!BY$19</f>
        <v>0.2165179744998256</v>
      </c>
      <c r="H51" s="466">
        <f>'[5]4'!BZ$19</f>
        <v>0.64171629331266355</v>
      </c>
      <c r="I51" s="467">
        <f>'[5]5'!V$17</f>
        <v>2.8843756151978477</v>
      </c>
      <c r="J51" s="468">
        <f>'[5]5'!W$17</f>
        <v>0.75763532014517476</v>
      </c>
      <c r="K51" s="529">
        <f>'[5]6'!AZ$19</f>
        <v>1.3384270218208674</v>
      </c>
      <c r="L51" s="469">
        <f>'[5]6'!BA$19</f>
        <v>58.01578063360563</v>
      </c>
      <c r="M51" s="471">
        <f>'[5]6'!BB$19</f>
        <v>0.35004449180021774</v>
      </c>
      <c r="N51" s="530">
        <f>'[5]6'!BC$19</f>
        <v>27.180915755543058</v>
      </c>
      <c r="O51" s="470">
        <f>'[5]6'!BD$19</f>
        <v>0.30937591692594996</v>
      </c>
      <c r="P51" s="531">
        <f>'[5]7'!AP$19</f>
        <v>37.427717875787579</v>
      </c>
      <c r="Q51" s="471">
        <f>'[5]7'!AQ$19</f>
        <v>0.12463391777541241</v>
      </c>
      <c r="R51" s="471">
        <f>'[5]7'!AR$19</f>
        <v>8.8164022821567392E-2</v>
      </c>
      <c r="S51" s="470">
        <f>'[5]7'!AS$19</f>
        <v>0.62332009065347949</v>
      </c>
      <c r="T51" s="529">
        <f>'[5]8'!$BD$16</f>
        <v>0.63282860527469653</v>
      </c>
    </row>
    <row r="54" spans="1:20" ht="51">
      <c r="B54" s="451" t="s">
        <v>1349</v>
      </c>
      <c r="C54" s="452" t="s">
        <v>1350</v>
      </c>
      <c r="D54" s="453" t="s">
        <v>1351</v>
      </c>
      <c r="E54" s="453" t="s">
        <v>1352</v>
      </c>
      <c r="H54" s="451" t="s">
        <v>1349</v>
      </c>
      <c r="I54" s="452" t="s">
        <v>1350</v>
      </c>
      <c r="J54" s="453" t="s">
        <v>1351</v>
      </c>
      <c r="K54" s="453" t="s">
        <v>1352</v>
      </c>
      <c r="L54" s="451" t="s">
        <v>1349</v>
      </c>
      <c r="M54" s="452" t="s">
        <v>1350</v>
      </c>
      <c r="N54" s="453" t="s">
        <v>1351</v>
      </c>
      <c r="O54" s="453" t="s">
        <v>1352</v>
      </c>
    </row>
    <row r="55" spans="1:20">
      <c r="A55" s="409" t="str">
        <f>A41</f>
        <v>Canada</v>
      </c>
      <c r="B55" s="450">
        <f>H5</f>
        <v>0.58301310416413654</v>
      </c>
      <c r="C55" s="459">
        <f>J5</f>
        <v>0.32027699610027532</v>
      </c>
      <c r="D55" s="459">
        <f>O5</f>
        <v>0.7676348380686111</v>
      </c>
      <c r="E55" s="459">
        <f>S5</f>
        <v>0.85315720569163278</v>
      </c>
      <c r="G55" s="409" t="s">
        <v>321</v>
      </c>
      <c r="H55" s="409">
        <f>B55/B$64*100</f>
        <v>91.52422244851293</v>
      </c>
      <c r="I55" s="409">
        <f t="shared" ref="I55:K65" si="2">C55/C$64*100</f>
        <v>54.076624790475982</v>
      </c>
      <c r="J55" s="409">
        <f t="shared" si="2"/>
        <v>92.022378837967295</v>
      </c>
      <c r="K55" s="409">
        <f t="shared" si="2"/>
        <v>94.579673550063987</v>
      </c>
      <c r="L55" s="409">
        <f>H41/H$50 * 100</f>
        <v>85.128218576457769</v>
      </c>
      <c r="M55" s="409">
        <f>J41/J$50 * 100</f>
        <v>91.59055213143732</v>
      </c>
      <c r="N55" s="409">
        <f>O41/O$50 * 100</f>
        <v>59.424897424232135</v>
      </c>
      <c r="O55" s="409">
        <f t="shared" ref="O55:O65" si="3">K41/K$50 * 100</f>
        <v>73.257081473609773</v>
      </c>
    </row>
    <row r="56" spans="1:20">
      <c r="A56" s="409" t="str">
        <f t="shared" ref="A56:A65" si="4">A42</f>
        <v>Newfoundland</v>
      </c>
      <c r="B56" s="450">
        <f t="shared" ref="B56:B65" si="5">H6</f>
        <v>0.36813109065287419</v>
      </c>
      <c r="C56" s="459">
        <f t="shared" ref="C56:C65" si="6">J6</f>
        <v>0.34123155944680172</v>
      </c>
      <c r="D56" s="459">
        <f t="shared" ref="D56:D65" si="7">O6</f>
        <v>0.80846519416128704</v>
      </c>
      <c r="E56" s="459">
        <f t="shared" ref="E56:E65" si="8">S6</f>
        <v>0.81010931860043223</v>
      </c>
      <c r="G56" s="409" t="s">
        <v>370</v>
      </c>
      <c r="H56" s="409">
        <f t="shared" ref="H56:H65" si="9">B56/B$64*100</f>
        <v>57.791002621515212</v>
      </c>
      <c r="I56" s="409">
        <f t="shared" si="2"/>
        <v>57.614662406463836</v>
      </c>
      <c r="J56" s="409">
        <f t="shared" si="2"/>
        <v>96.917032272278334</v>
      </c>
      <c r="K56" s="409">
        <f t="shared" si="2"/>
        <v>89.807452110751257</v>
      </c>
      <c r="L56" s="409">
        <f t="shared" ref="L56:L65" si="10">H42/H$50 * 100</f>
        <v>60.637719095381911</v>
      </c>
      <c r="M56" s="409">
        <f t="shared" ref="M56:M65" si="11">J42/J$50 * 100</f>
        <v>33.020775542462623</v>
      </c>
      <c r="N56" s="409">
        <f t="shared" ref="N56:N65" si="12">O42/O$50 * 100</f>
        <v>101.19602514571034</v>
      </c>
      <c r="O56" s="409">
        <f t="shared" si="3"/>
        <v>29.03689392471933</v>
      </c>
    </row>
    <row r="57" spans="1:20">
      <c r="A57" s="409" t="str">
        <f t="shared" si="4"/>
        <v>Prince Edward Island</v>
      </c>
      <c r="B57" s="450">
        <f t="shared" si="5"/>
        <v>0.50190308449180265</v>
      </c>
      <c r="C57" s="459">
        <f t="shared" si="6"/>
        <v>0.18417476186078394</v>
      </c>
      <c r="D57" s="459">
        <f t="shared" si="7"/>
        <v>0.78738743470336825</v>
      </c>
      <c r="E57" s="459">
        <f t="shared" si="8"/>
        <v>0.80118176176835021</v>
      </c>
      <c r="G57" s="409" t="s">
        <v>371</v>
      </c>
      <c r="H57" s="409">
        <f t="shared" si="9"/>
        <v>78.791178490715382</v>
      </c>
      <c r="I57" s="409">
        <f t="shared" si="2"/>
        <v>31.096674485802438</v>
      </c>
      <c r="J57" s="409">
        <f t="shared" si="2"/>
        <v>94.390276750379016</v>
      </c>
      <c r="K57" s="409">
        <f t="shared" si="2"/>
        <v>88.817757122365776</v>
      </c>
      <c r="L57" s="409">
        <f t="shared" si="10"/>
        <v>74.062674781549731</v>
      </c>
      <c r="M57" s="409">
        <f t="shared" si="11"/>
        <v>34.679022844009843</v>
      </c>
      <c r="N57" s="409">
        <f t="shared" si="12"/>
        <v>93.501143948105238</v>
      </c>
      <c r="O57" s="409">
        <f t="shared" si="3"/>
        <v>43.126032524355274</v>
      </c>
    </row>
    <row r="58" spans="1:20">
      <c r="A58" s="409" t="str">
        <f t="shared" si="4"/>
        <v>Nova Scotia</v>
      </c>
      <c r="B58" s="450">
        <f t="shared" si="5"/>
        <v>0.58640733662263012</v>
      </c>
      <c r="C58" s="459">
        <f t="shared" si="6"/>
        <v>0.22116442165501646</v>
      </c>
      <c r="D58" s="459">
        <f t="shared" si="7"/>
        <v>0.91065720029025232</v>
      </c>
      <c r="E58" s="459">
        <f t="shared" si="8"/>
        <v>0.81576719202851888</v>
      </c>
      <c r="G58" s="409" t="s">
        <v>372</v>
      </c>
      <c r="H58" s="409">
        <f t="shared" si="9"/>
        <v>92.057065508736272</v>
      </c>
      <c r="I58" s="409">
        <f t="shared" si="2"/>
        <v>37.342130694570557</v>
      </c>
      <c r="J58" s="409">
        <f t="shared" si="2"/>
        <v>109.1675855768575</v>
      </c>
      <c r="K58" s="409">
        <f t="shared" si="2"/>
        <v>90.43467511050568</v>
      </c>
      <c r="L58" s="409">
        <f t="shared" si="10"/>
        <v>75.017985674924674</v>
      </c>
      <c r="M58" s="409">
        <f t="shared" si="11"/>
        <v>96.68651719413225</v>
      </c>
      <c r="N58" s="409">
        <f t="shared" si="12"/>
        <v>70.133831927418456</v>
      </c>
      <c r="O58" s="409">
        <f t="shared" si="3"/>
        <v>74.018703004638283</v>
      </c>
    </row>
    <row r="59" spans="1:20">
      <c r="A59" s="409" t="str">
        <f t="shared" si="4"/>
        <v>New Brunswick</v>
      </c>
      <c r="B59" s="450">
        <f t="shared" si="5"/>
        <v>0.62354190034663159</v>
      </c>
      <c r="C59" s="459">
        <f t="shared" si="6"/>
        <v>4.0912426611251079E-2</v>
      </c>
      <c r="D59" s="459">
        <f t="shared" si="7"/>
        <v>0.76846134812671296</v>
      </c>
      <c r="E59" s="459">
        <f t="shared" si="8"/>
        <v>0.83378159037153654</v>
      </c>
      <c r="G59" s="409" t="s">
        <v>373</v>
      </c>
      <c r="H59" s="409">
        <f t="shared" si="9"/>
        <v>97.886629281023531</v>
      </c>
      <c r="I59" s="409">
        <f t="shared" si="2"/>
        <v>6.9077891015058377</v>
      </c>
      <c r="J59" s="409">
        <f t="shared" si="2"/>
        <v>92.121459048906388</v>
      </c>
      <c r="K59" s="409">
        <f t="shared" si="2"/>
        <v>92.431723137665216</v>
      </c>
      <c r="L59" s="409">
        <f t="shared" si="10"/>
        <v>70.540967443227657</v>
      </c>
      <c r="M59" s="409">
        <f t="shared" si="11"/>
        <v>76.743503943037169</v>
      </c>
      <c r="N59" s="409">
        <f t="shared" si="12"/>
        <v>66.679304561895449</v>
      </c>
      <c r="O59" s="409">
        <f t="shared" si="3"/>
        <v>52.482494525779543</v>
      </c>
    </row>
    <row r="60" spans="1:20">
      <c r="A60" s="409" t="str">
        <f t="shared" si="4"/>
        <v>Quebec</v>
      </c>
      <c r="B60" s="450">
        <f t="shared" si="5"/>
        <v>0.58917962122655387</v>
      </c>
      <c r="C60" s="459">
        <f t="shared" si="6"/>
        <v>0.34083805260398287</v>
      </c>
      <c r="D60" s="459">
        <f t="shared" si="7"/>
        <v>0.84878157822106604</v>
      </c>
      <c r="E60" s="459">
        <f t="shared" si="8"/>
        <v>0.23446317158788968</v>
      </c>
      <c r="G60" s="409" t="s">
        <v>374</v>
      </c>
      <c r="H60" s="409">
        <f t="shared" si="9"/>
        <v>92.492272180709577</v>
      </c>
      <c r="I60" s="409">
        <f t="shared" si="2"/>
        <v>57.548221412728097</v>
      </c>
      <c r="J60" s="409">
        <f t="shared" si="2"/>
        <v>101.75007186785017</v>
      </c>
      <c r="K60" s="409">
        <f t="shared" si="2"/>
        <v>25.992220519685084</v>
      </c>
      <c r="L60" s="409">
        <f t="shared" si="10"/>
        <v>69.686334632004815</v>
      </c>
      <c r="M60" s="409">
        <f t="shared" si="11"/>
        <v>95.430461844057234</v>
      </c>
      <c r="N60" s="409">
        <f t="shared" si="12"/>
        <v>67.757006802780552</v>
      </c>
      <c r="O60" s="409">
        <f t="shared" si="3"/>
        <v>80.480607469664989</v>
      </c>
    </row>
    <row r="61" spans="1:20">
      <c r="A61" s="409" t="str">
        <f t="shared" si="4"/>
        <v>Ontario</v>
      </c>
      <c r="B61" s="450">
        <f t="shared" si="5"/>
        <v>0.54072036751688601</v>
      </c>
      <c r="C61" s="459">
        <f t="shared" si="6"/>
        <v>0.186055318130395</v>
      </c>
      <c r="D61" s="459">
        <f t="shared" si="7"/>
        <v>0.75088727064840688</v>
      </c>
      <c r="E61" s="459">
        <f t="shared" si="8"/>
        <v>0.84971253135573421</v>
      </c>
      <c r="G61" s="409" t="s">
        <v>375</v>
      </c>
      <c r="H61" s="409">
        <f t="shared" si="9"/>
        <v>84.884903693561611</v>
      </c>
      <c r="I61" s="409">
        <f t="shared" si="2"/>
        <v>31.414193811346802</v>
      </c>
      <c r="J61" s="409">
        <f t="shared" si="2"/>
        <v>90.014717229442581</v>
      </c>
      <c r="K61" s="409">
        <f t="shared" si="2"/>
        <v>94.197802340394659</v>
      </c>
      <c r="L61" s="409">
        <f t="shared" si="10"/>
        <v>87.854858970981226</v>
      </c>
      <c r="M61" s="409">
        <f t="shared" si="11"/>
        <v>91.451445620974582</v>
      </c>
      <c r="N61" s="409">
        <f t="shared" si="12"/>
        <v>94.266369806424692</v>
      </c>
      <c r="O61" s="409">
        <f t="shared" si="3"/>
        <v>64.565871325197705</v>
      </c>
    </row>
    <row r="62" spans="1:20">
      <c r="A62" s="409" t="str">
        <f t="shared" si="4"/>
        <v>Manitoba</v>
      </c>
      <c r="B62" s="450">
        <f t="shared" si="5"/>
        <v>0.70567246861331834</v>
      </c>
      <c r="C62" s="459">
        <f t="shared" si="6"/>
        <v>0.37190515101449756</v>
      </c>
      <c r="D62" s="459">
        <f t="shared" si="7"/>
        <v>0.80195243366572455</v>
      </c>
      <c r="E62" s="459">
        <f t="shared" si="8"/>
        <v>0.82635389340364618</v>
      </c>
      <c r="G62" s="409" t="s">
        <v>376</v>
      </c>
      <c r="H62" s="409">
        <f t="shared" si="9"/>
        <v>110.77988390287292</v>
      </c>
      <c r="I62" s="409">
        <f t="shared" si="2"/>
        <v>62.793692815701426</v>
      </c>
      <c r="J62" s="409">
        <f t="shared" si="2"/>
        <v>96.136296844595677</v>
      </c>
      <c r="K62" s="409">
        <f t="shared" si="2"/>
        <v>91.608300268157421</v>
      </c>
      <c r="L62" s="409">
        <f t="shared" si="10"/>
        <v>92.329899956451285</v>
      </c>
      <c r="M62" s="409">
        <f t="shared" si="11"/>
        <v>84.183097094681074</v>
      </c>
      <c r="N62" s="409">
        <f t="shared" si="12"/>
        <v>74.616563053587754</v>
      </c>
      <c r="O62" s="409">
        <f t="shared" si="3"/>
        <v>62.669734027801901</v>
      </c>
    </row>
    <row r="63" spans="1:20">
      <c r="A63" s="409" t="str">
        <f t="shared" si="4"/>
        <v>Saskatchewan</v>
      </c>
      <c r="B63" s="450">
        <f t="shared" si="5"/>
        <v>0.7223909775555486</v>
      </c>
      <c r="C63" s="459">
        <f t="shared" si="6"/>
        <v>0.5709962185595312</v>
      </c>
      <c r="D63" s="459">
        <f t="shared" si="7"/>
        <v>0.71052525055182325</v>
      </c>
      <c r="E63" s="459">
        <f t="shared" si="8"/>
        <v>0.80381276466826901</v>
      </c>
      <c r="G63" s="409" t="s">
        <v>377</v>
      </c>
      <c r="H63" s="409">
        <f t="shared" si="9"/>
        <v>113.40443645667855</v>
      </c>
      <c r="I63" s="409">
        <f t="shared" si="2"/>
        <v>96.408885570279779</v>
      </c>
      <c r="J63" s="409">
        <f t="shared" si="2"/>
        <v>85.176206885984868</v>
      </c>
      <c r="K63" s="409">
        <f t="shared" si="2"/>
        <v>89.10942598916256</v>
      </c>
      <c r="L63" s="409">
        <f t="shared" si="10"/>
        <v>99.598725884465722</v>
      </c>
      <c r="M63" s="409">
        <f t="shared" si="11"/>
        <v>103.80540012917648</v>
      </c>
      <c r="N63" s="409">
        <f t="shared" si="12"/>
        <v>81.403566083362406</v>
      </c>
      <c r="O63" s="409">
        <f t="shared" si="3"/>
        <v>53.574639414664993</v>
      </c>
    </row>
    <row r="64" spans="1:20">
      <c r="A64" s="409" t="str">
        <f t="shared" si="4"/>
        <v>Alberta</v>
      </c>
      <c r="B64" s="450">
        <f t="shared" si="5"/>
        <v>0.63700415973717928</v>
      </c>
      <c r="C64" s="459">
        <f t="shared" si="6"/>
        <v>0.59226513736982112</v>
      </c>
      <c r="D64" s="459">
        <f t="shared" si="7"/>
        <v>0.83418278006077207</v>
      </c>
      <c r="E64" s="459">
        <f t="shared" si="8"/>
        <v>0.90205133266825022</v>
      </c>
      <c r="G64" s="409" t="s">
        <v>378</v>
      </c>
      <c r="H64" s="409">
        <f t="shared" si="9"/>
        <v>100</v>
      </c>
      <c r="I64" s="409">
        <f t="shared" si="2"/>
        <v>100</v>
      </c>
      <c r="J64" s="409">
        <f t="shared" si="2"/>
        <v>100</v>
      </c>
      <c r="K64" s="409">
        <f t="shared" si="2"/>
        <v>100</v>
      </c>
      <c r="L64" s="409">
        <f t="shared" si="10"/>
        <v>100</v>
      </c>
      <c r="M64" s="409">
        <f t="shared" si="11"/>
        <v>100</v>
      </c>
      <c r="N64" s="409">
        <f t="shared" si="12"/>
        <v>100</v>
      </c>
      <c r="O64" s="409">
        <f t="shared" si="3"/>
        <v>100</v>
      </c>
    </row>
    <row r="65" spans="1:15">
      <c r="A65" s="409" t="str">
        <f t="shared" si="4"/>
        <v>British Columbia</v>
      </c>
      <c r="B65" s="450">
        <f t="shared" si="5"/>
        <v>0.61491452704983296</v>
      </c>
      <c r="C65" s="459">
        <f t="shared" si="6"/>
        <v>0.35686821505937594</v>
      </c>
      <c r="D65" s="459">
        <f t="shared" si="7"/>
        <v>0.6203884859679315</v>
      </c>
      <c r="E65" s="459">
        <f t="shared" si="8"/>
        <v>0.87604216603097318</v>
      </c>
      <c r="G65" s="409" t="s">
        <v>379</v>
      </c>
      <c r="H65" s="409">
        <f t="shared" si="9"/>
        <v>96.532262411526432</v>
      </c>
      <c r="I65" s="409">
        <f t="shared" si="2"/>
        <v>60.254806933966286</v>
      </c>
      <c r="J65" s="409">
        <f t="shared" si="2"/>
        <v>74.370809467289035</v>
      </c>
      <c r="K65" s="409">
        <f t="shared" si="2"/>
        <v>97.116664462947753</v>
      </c>
      <c r="L65" s="409">
        <f t="shared" si="10"/>
        <v>87.153456870899205</v>
      </c>
      <c r="M65" s="409">
        <f t="shared" si="11"/>
        <v>86.796609685323659</v>
      </c>
      <c r="N65" s="409">
        <f t="shared" si="12"/>
        <v>43.225051039135181</v>
      </c>
      <c r="O65" s="409">
        <f t="shared" si="3"/>
        <v>87.891869551785902</v>
      </c>
    </row>
  </sheetData>
  <mergeCells count="1">
    <mergeCell ref="A18:T18"/>
  </mergeCells>
  <pageMargins left="0.75" right="0.75" top="1" bottom="1" header="0.5" footer="0.5"/>
  <pageSetup scale="63" orientation="landscape" horizontalDpi="1200" verticalDpi="1200" r:id="rId1"/>
  <headerFooter alignWithMargins="0"/>
  <drawing r:id="rId2"/>
</worksheet>
</file>

<file path=xl/worksheets/sheet137.xml><?xml version="1.0" encoding="utf-8"?>
<worksheet xmlns="http://schemas.openxmlformats.org/spreadsheetml/2006/main" xmlns:r="http://schemas.openxmlformats.org/officeDocument/2006/relationships">
  <dimension ref="A1:V46"/>
  <sheetViews>
    <sheetView view="pageBreakPreview" zoomScaleSheetLayoutView="100" workbookViewId="0">
      <selection activeCell="I24" sqref="I24"/>
    </sheetView>
  </sheetViews>
  <sheetFormatPr defaultRowHeight="12.75"/>
  <cols>
    <col min="1" max="1" width="15.625" style="409" customWidth="1"/>
    <col min="2" max="2" width="11.5" style="409" customWidth="1"/>
    <col min="3" max="3" width="11" style="409" customWidth="1"/>
    <col min="4" max="5" width="10.125" style="409" customWidth="1"/>
    <col min="6" max="6" width="9.125" style="409" customWidth="1"/>
    <col min="7" max="7" width="11.25" style="409" customWidth="1"/>
    <col min="8" max="8" width="12.125" style="409" customWidth="1"/>
    <col min="9" max="9" width="18.25" style="409" customWidth="1"/>
    <col min="10" max="16384" width="9" style="409"/>
  </cols>
  <sheetData>
    <row r="1" spans="1:21" ht="28.5" customHeight="1">
      <c r="A1" s="663" t="s">
        <v>1353</v>
      </c>
      <c r="B1" s="664"/>
      <c r="C1" s="664"/>
      <c r="D1" s="664"/>
      <c r="E1" s="664"/>
      <c r="F1" s="664"/>
      <c r="G1" s="664"/>
      <c r="H1" s="664"/>
      <c r="I1" s="664"/>
    </row>
    <row r="2" spans="1:21">
      <c r="A2" s="409" t="s">
        <v>1282</v>
      </c>
    </row>
    <row r="3" spans="1:21" s="414" customFormat="1" ht="66" customHeight="1">
      <c r="A3" s="410"/>
      <c r="B3" s="411" t="s">
        <v>1288</v>
      </c>
      <c r="C3" s="412" t="s">
        <v>570</v>
      </c>
      <c r="D3" s="413" t="s">
        <v>1289</v>
      </c>
      <c r="E3" s="413" t="s">
        <v>479</v>
      </c>
      <c r="F3" s="413" t="s">
        <v>628</v>
      </c>
      <c r="G3" s="412" t="s">
        <v>1272</v>
      </c>
      <c r="H3" s="412" t="s">
        <v>1273</v>
      </c>
      <c r="I3" s="412" t="s">
        <v>1290</v>
      </c>
    </row>
    <row r="4" spans="1:21" s="540" customFormat="1" ht="38.25">
      <c r="A4" s="537"/>
      <c r="B4" s="538" t="s">
        <v>1283</v>
      </c>
      <c r="C4" s="539" t="s">
        <v>1284</v>
      </c>
      <c r="D4" s="539" t="s">
        <v>1283</v>
      </c>
      <c r="E4" s="539" t="s">
        <v>1284</v>
      </c>
      <c r="F4" s="539" t="s">
        <v>1284</v>
      </c>
      <c r="G4" s="539" t="s">
        <v>1284</v>
      </c>
      <c r="H4" s="539" t="s">
        <v>1284</v>
      </c>
      <c r="I4" s="539" t="s">
        <v>1284</v>
      </c>
    </row>
    <row r="5" spans="1:21" s="414" customFormat="1" ht="27" customHeight="1">
      <c r="A5" s="415"/>
      <c r="B5" s="416" t="s">
        <v>105</v>
      </c>
      <c r="C5" s="417" t="s">
        <v>106</v>
      </c>
      <c r="D5" s="417" t="s">
        <v>107</v>
      </c>
      <c r="E5" s="418" t="s">
        <v>108</v>
      </c>
      <c r="F5" s="418" t="s">
        <v>110</v>
      </c>
      <c r="G5" s="417" t="s">
        <v>111</v>
      </c>
      <c r="H5" s="417" t="s">
        <v>1291</v>
      </c>
      <c r="I5" s="417" t="s">
        <v>1292</v>
      </c>
    </row>
    <row r="6" spans="1:21">
      <c r="A6" s="423" t="s">
        <v>321</v>
      </c>
      <c r="B6" s="541">
        <f>ConG!G6</f>
        <v>0</v>
      </c>
      <c r="C6" s="503">
        <f>ConG!H6</f>
        <v>0</v>
      </c>
      <c r="D6" s="542">
        <f>'[5]1'!N$46</f>
        <v>21070.779240280328</v>
      </c>
      <c r="E6" s="542">
        <f>WeaG!L6</f>
        <v>0.25357815724412752</v>
      </c>
      <c r="F6" s="503">
        <f>EquG!H6</f>
        <v>-3.9842981910031217E-2</v>
      </c>
      <c r="G6" s="440">
        <f>SecG!T6</f>
        <v>-0.10413640874020624</v>
      </c>
      <c r="H6" s="440">
        <f>'[5]9'!$H$49</f>
        <v>0.166382489622795</v>
      </c>
      <c r="I6" s="440">
        <f>'[5]10'!$H$49</f>
        <v>0.396266579470888</v>
      </c>
    </row>
    <row r="7" spans="1:21">
      <c r="A7" s="409" t="s">
        <v>370</v>
      </c>
      <c r="B7" s="472">
        <f>ConG!G7</f>
        <v>0</v>
      </c>
      <c r="C7" s="473">
        <f>ConG!H7</f>
        <v>0</v>
      </c>
      <c r="D7" s="543">
        <f>WeaG!K7</f>
        <v>3.4011232766949284</v>
      </c>
      <c r="E7" s="543">
        <f>WeaG!L7</f>
        <v>0.59325557284995689</v>
      </c>
      <c r="F7" s="473">
        <f>EquG!H7</f>
        <v>0.19186625763403714</v>
      </c>
      <c r="G7" s="473">
        <f>SecG!T7</f>
        <v>5.8592890566560862E-2</v>
      </c>
      <c r="H7" s="435">
        <f>'[5]9'!$P$49</f>
        <v>0.36368480786076451</v>
      </c>
      <c r="I7" s="435">
        <f>'[5]10'!$P$49</f>
        <v>0.51347194153875075</v>
      </c>
    </row>
    <row r="8" spans="1:21">
      <c r="A8" s="409" t="s">
        <v>371</v>
      </c>
      <c r="B8" s="474">
        <f>ConG!G8</f>
        <v>0</v>
      </c>
      <c r="C8" s="437">
        <f>ConG!H8</f>
        <v>0</v>
      </c>
      <c r="D8" s="544">
        <f>WeaG!K8</f>
        <v>2.1867485454397428</v>
      </c>
      <c r="E8" s="544">
        <f>WeaG!L8</f>
        <v>0.23224903207257086</v>
      </c>
      <c r="F8" s="437">
        <f>EquG!H8</f>
        <v>0.28961201364472222</v>
      </c>
      <c r="G8" s="437">
        <f>SecG!T8</f>
        <v>4.9354930078392978E-3</v>
      </c>
      <c r="H8" s="435">
        <f>'[5]9'!$X$49</f>
        <v>0.2613852938937028</v>
      </c>
      <c r="I8" s="435">
        <f>'[5]10'!$X$49</f>
        <v>0.40537930034372516</v>
      </c>
      <c r="K8" s="545"/>
      <c r="L8" s="545"/>
      <c r="M8" s="545"/>
      <c r="N8" s="545"/>
      <c r="O8" s="545"/>
      <c r="P8" s="545"/>
      <c r="Q8" s="545"/>
      <c r="R8" s="545"/>
      <c r="S8" s="545"/>
      <c r="T8" s="545"/>
      <c r="U8" s="545"/>
    </row>
    <row r="9" spans="1:21">
      <c r="A9" s="409" t="s">
        <v>372</v>
      </c>
      <c r="B9" s="474">
        <f>ConG!G9</f>
        <v>0</v>
      </c>
      <c r="C9" s="437">
        <f>ConG!H9</f>
        <v>0</v>
      </c>
      <c r="D9" s="544">
        <f>WeaG!K9</f>
        <v>1.6732483152422928</v>
      </c>
      <c r="E9" s="544">
        <f>WeaG!L9</f>
        <v>0.2026154261417551</v>
      </c>
      <c r="F9" s="437">
        <f>EquG!H9</f>
        <v>0.11952702215558353</v>
      </c>
      <c r="G9" s="437">
        <f>SecG!T9</f>
        <v>-0.15928263316132407</v>
      </c>
      <c r="H9" s="435">
        <f>'[5]9'!$AF$49</f>
        <v>0.19067177241301037</v>
      </c>
      <c r="I9" s="435">
        <f>'[5]10'!$AF$49</f>
        <v>0.42427447300477222</v>
      </c>
    </row>
    <row r="10" spans="1:21">
      <c r="A10" s="409" t="s">
        <v>373</v>
      </c>
      <c r="B10" s="474">
        <f>ConG!G10</f>
        <v>0</v>
      </c>
      <c r="C10" s="437">
        <f>ConG!H10</f>
        <v>0</v>
      </c>
      <c r="D10" s="544">
        <f>WeaG!K10</f>
        <v>1.8576519765061583</v>
      </c>
      <c r="E10" s="544">
        <f>WeaG!L10</f>
        <v>0.24528620401415813</v>
      </c>
      <c r="F10" s="437">
        <f>EquG!H10</f>
        <v>8.6079440465181456E-2</v>
      </c>
      <c r="G10" s="437">
        <f>SecG!T10</f>
        <v>-0.10692900907815955</v>
      </c>
      <c r="H10" s="435">
        <f>'[5]9'!$AN$49</f>
        <v>0.21049487897491009</v>
      </c>
      <c r="I10" s="435">
        <f>'[5]10'!$AN$49</f>
        <v>0.44127508688830414</v>
      </c>
    </row>
    <row r="11" spans="1:21">
      <c r="A11" s="409" t="s">
        <v>374</v>
      </c>
      <c r="B11" s="474" t="str">
        <f>ConG!G11</f>
        <v>See first page for notes.</v>
      </c>
      <c r="C11" s="437">
        <f>ConG!H11</f>
        <v>0</v>
      </c>
      <c r="D11" s="544">
        <f>WeaG!K11</f>
        <v>1.5231683484791425</v>
      </c>
      <c r="E11" s="544">
        <f>WeaG!L11</f>
        <v>0.2168836008074404</v>
      </c>
      <c r="F11" s="437">
        <f>EquG!H11</f>
        <v>4.3306479260627473E-2</v>
      </c>
      <c r="G11" s="437">
        <f>SecG!T11</f>
        <v>-6.6534724947385104E-2</v>
      </c>
      <c r="H11" s="435">
        <f>'[5]9'!$AV$49</f>
        <v>0.16872124741089145</v>
      </c>
      <c r="I11" s="435">
        <f>'[5]10'!$AV$49</f>
        <v>0.40495233269578146</v>
      </c>
    </row>
    <row r="12" spans="1:21">
      <c r="A12" s="409" t="s">
        <v>375</v>
      </c>
      <c r="B12" s="474">
        <f>ConG!G12</f>
        <v>0</v>
      </c>
      <c r="C12" s="437">
        <f>ConG!H12</f>
        <v>0</v>
      </c>
      <c r="D12" s="544">
        <f>WeaG!K12</f>
        <v>1.399909866149418</v>
      </c>
      <c r="E12" s="544">
        <f>WeaG!L12</f>
        <v>0.19408739307303025</v>
      </c>
      <c r="F12" s="437">
        <f>EquG!H12</f>
        <v>-0.14369608187929506</v>
      </c>
      <c r="G12" s="437">
        <f>SecG!T12</f>
        <v>-0.23807752733221865</v>
      </c>
      <c r="H12" s="435">
        <f>'[5]9'!$BD$49</f>
        <v>9.5803671880847374E-2</v>
      </c>
      <c r="I12" s="435">
        <f>'[5]10'!$BD$49</f>
        <v>0.38624117857280604</v>
      </c>
    </row>
    <row r="13" spans="1:21">
      <c r="A13" s="409" t="s">
        <v>376</v>
      </c>
      <c r="B13" s="474">
        <f>ConG!G13</f>
        <v>0</v>
      </c>
      <c r="C13" s="437">
        <f>ConG!H13</f>
        <v>0</v>
      </c>
      <c r="D13" s="544">
        <f>WeaG!K13</f>
        <v>1.1098843317470797</v>
      </c>
      <c r="E13" s="544">
        <f>WeaG!L13</f>
        <v>0.16662682868558004</v>
      </c>
      <c r="F13" s="437">
        <f>EquG!H13</f>
        <v>7.814651228914099E-2</v>
      </c>
      <c r="G13" s="437">
        <f>SecG!T13</f>
        <v>-8.052579721294062E-2</v>
      </c>
      <c r="H13" s="435">
        <f>'[5]9'!$BL$49</f>
        <v>0.17778897951709793</v>
      </c>
      <c r="I13" s="435">
        <f>'[5]10'!$BL$49</f>
        <v>0.38165450036411136</v>
      </c>
      <c r="K13" s="545"/>
      <c r="L13" s="545"/>
      <c r="M13" s="545"/>
      <c r="N13" s="545"/>
      <c r="O13" s="545"/>
      <c r="P13" s="545"/>
      <c r="Q13" s="545"/>
      <c r="R13" s="545"/>
      <c r="S13" s="545"/>
      <c r="T13" s="545"/>
      <c r="U13" s="545"/>
    </row>
    <row r="14" spans="1:21">
      <c r="A14" s="409" t="s">
        <v>377</v>
      </c>
      <c r="B14" s="474">
        <f>ConG!G14</f>
        <v>0</v>
      </c>
      <c r="C14" s="437">
        <f>ConG!H14</f>
        <v>0</v>
      </c>
      <c r="D14" s="544">
        <f>WeaG!K14</f>
        <v>1.712349831528015</v>
      </c>
      <c r="E14" s="544">
        <f>WeaG!L14</f>
        <v>0.35029814520738478</v>
      </c>
      <c r="F14" s="437">
        <f>EquG!H14</f>
        <v>7.5492994837090155E-2</v>
      </c>
      <c r="G14" s="437">
        <f>SecG!T14</f>
        <v>-7.8330964883139398E-2</v>
      </c>
      <c r="H14" s="435">
        <f>'[5]9'!$BT$49</f>
        <v>0.20433386402324416</v>
      </c>
      <c r="I14" s="435">
        <f>'[5]10'!$BT$49</f>
        <v>0.36365871416828222</v>
      </c>
    </row>
    <row r="15" spans="1:21">
      <c r="A15" s="409" t="s">
        <v>378</v>
      </c>
      <c r="B15" s="474">
        <f>ConG!G15</f>
        <v>0</v>
      </c>
      <c r="C15" s="437">
        <f>ConG!H15</f>
        <v>0</v>
      </c>
      <c r="D15" s="544">
        <f>WeaG!K15</f>
        <v>0.83594032790401673</v>
      </c>
      <c r="E15" s="544">
        <f>WeaG!L15</f>
        <v>0.22152935837389354</v>
      </c>
      <c r="F15" s="437">
        <f>EquG!H15</f>
        <v>1.4877001573380122E-3</v>
      </c>
      <c r="G15" s="437">
        <f>SecG!T15</f>
        <v>-7.3731998839937862E-2</v>
      </c>
      <c r="H15" s="435">
        <f>'[5]9'!$CB$49</f>
        <v>0.17046518980632808</v>
      </c>
      <c r="I15" s="435">
        <f>'[5]10'!$CB$49</f>
        <v>0.40280656230899015</v>
      </c>
    </row>
    <row r="16" spans="1:21">
      <c r="A16" s="423" t="s">
        <v>379</v>
      </c>
      <c r="B16" s="475">
        <f>ConG!G16</f>
        <v>0</v>
      </c>
      <c r="C16" s="440">
        <f>ConG!H16</f>
        <v>0</v>
      </c>
      <c r="D16" s="546">
        <f>WeaG!K16</f>
        <v>1.1254813785480433</v>
      </c>
      <c r="E16" s="546">
        <f>WeaG!L16</f>
        <v>0.19808047991586575</v>
      </c>
      <c r="F16" s="440">
        <f>EquG!H16</f>
        <v>-0.13658094183467745</v>
      </c>
      <c r="G16" s="440">
        <f>SecG!T16</f>
        <v>-6.2057127795228206E-2</v>
      </c>
      <c r="H16" s="440">
        <f>'[5]9'!$CJ$49</f>
        <v>0.12962626113197262</v>
      </c>
      <c r="I16" s="440">
        <f>'[5]10'!$CJ$49</f>
        <v>0.38376908414666733</v>
      </c>
    </row>
    <row r="18" spans="1:22">
      <c r="A18" s="409" t="s">
        <v>1293</v>
      </c>
    </row>
    <row r="19" spans="1:22">
      <c r="A19" s="409" t="s">
        <v>1285</v>
      </c>
    </row>
    <row r="21" spans="1:22" ht="8.25" customHeight="1">
      <c r="B21" s="545"/>
      <c r="C21" s="545"/>
      <c r="D21" s="545"/>
      <c r="E21" s="545"/>
      <c r="F21" s="545"/>
      <c r="G21" s="545"/>
      <c r="H21" s="545"/>
      <c r="I21" s="545"/>
      <c r="J21" s="545"/>
      <c r="K21" s="545"/>
      <c r="L21" s="545"/>
      <c r="M21" s="545"/>
      <c r="N21" s="545"/>
      <c r="O21" s="545"/>
      <c r="P21" s="545"/>
      <c r="Q21" s="545"/>
      <c r="R21" s="545"/>
      <c r="S21" s="545"/>
      <c r="T21" s="545"/>
      <c r="U21" s="545"/>
      <c r="V21" s="545"/>
    </row>
    <row r="22" spans="1:22" hidden="1">
      <c r="B22" s="545"/>
      <c r="C22" s="545"/>
      <c r="D22" s="545"/>
      <c r="E22" s="545"/>
      <c r="F22" s="545"/>
      <c r="G22" s="545"/>
      <c r="H22" s="545"/>
      <c r="I22" s="545"/>
      <c r="J22" s="545"/>
      <c r="K22" s="545"/>
    </row>
    <row r="23" spans="1:22" hidden="1"/>
    <row r="24" spans="1:22" ht="27.75" hidden="1" customHeight="1">
      <c r="A24" s="666" t="s">
        <v>1354</v>
      </c>
      <c r="B24" s="666"/>
      <c r="C24" s="666"/>
      <c r="D24" s="666"/>
      <c r="E24" s="666"/>
      <c r="F24" s="666"/>
      <c r="G24" s="666"/>
    </row>
    <row r="25" spans="1:22" ht="51" hidden="1">
      <c r="A25" s="410"/>
      <c r="B25" s="411" t="s">
        <v>1355</v>
      </c>
      <c r="C25" s="412" t="s">
        <v>570</v>
      </c>
      <c r="D25" s="413" t="s">
        <v>1356</v>
      </c>
      <c r="E25" s="413" t="s">
        <v>479</v>
      </c>
      <c r="F25" s="413" t="s">
        <v>628</v>
      </c>
      <c r="G25" s="412" t="s">
        <v>1272</v>
      </c>
      <c r="H25" s="412" t="s">
        <v>1273</v>
      </c>
      <c r="I25" s="412" t="s">
        <v>1290</v>
      </c>
    </row>
    <row r="26" spans="1:22" hidden="1">
      <c r="A26" s="415"/>
      <c r="B26" s="416"/>
      <c r="C26" s="417"/>
      <c r="D26" s="418"/>
      <c r="E26" s="418"/>
      <c r="F26" s="418"/>
      <c r="G26" s="417"/>
      <c r="H26" s="417"/>
      <c r="I26" s="417"/>
    </row>
    <row r="27" spans="1:22" hidden="1">
      <c r="A27" s="423" t="s">
        <v>321</v>
      </c>
      <c r="B27" s="490" t="e">
        <f t="shared" ref="B27:I37" si="0">B6/B$15*100</f>
        <v>#DIV/0!</v>
      </c>
      <c r="C27" s="491" t="e">
        <f t="shared" si="0"/>
        <v>#DIV/0!</v>
      </c>
      <c r="D27" s="491">
        <f t="shared" si="0"/>
        <v>2520608.0550165405</v>
      </c>
      <c r="E27" s="491">
        <f t="shared" si="0"/>
        <v>114.46706617374956</v>
      </c>
      <c r="F27" s="491">
        <f t="shared" si="0"/>
        <v>-2678.1594203312779</v>
      </c>
      <c r="G27" s="491">
        <f t="shared" si="0"/>
        <v>141.23638363076554</v>
      </c>
      <c r="H27" s="491">
        <f t="shared" si="0"/>
        <v>97.604965454723285</v>
      </c>
      <c r="I27" s="491">
        <f t="shared" si="0"/>
        <v>98.376396153872648</v>
      </c>
    </row>
    <row r="28" spans="1:22" hidden="1">
      <c r="A28" s="422" t="s">
        <v>370</v>
      </c>
      <c r="B28" s="492" t="e">
        <f t="shared" si="0"/>
        <v>#DIV/0!</v>
      </c>
      <c r="C28" s="493" t="e">
        <f t="shared" si="0"/>
        <v>#DIV/0!</v>
      </c>
      <c r="D28" s="493">
        <f t="shared" si="0"/>
        <v>406.86196887075505</v>
      </c>
      <c r="E28" s="493">
        <f t="shared" si="0"/>
        <v>267.79997793731252</v>
      </c>
      <c r="F28" s="493">
        <f t="shared" si="0"/>
        <v>12896.836549197476</v>
      </c>
      <c r="G28" s="493">
        <f t="shared" si="0"/>
        <v>-79.467383888178659</v>
      </c>
      <c r="H28" s="493">
        <f t="shared" si="0"/>
        <v>213.34843100457078</v>
      </c>
      <c r="I28" s="493">
        <f t="shared" si="0"/>
        <v>127.47357902895087</v>
      </c>
    </row>
    <row r="29" spans="1:22" hidden="1">
      <c r="A29" s="422" t="s">
        <v>371</v>
      </c>
      <c r="B29" s="492" t="e">
        <f t="shared" si="0"/>
        <v>#DIV/0!</v>
      </c>
      <c r="C29" s="493" t="e">
        <f t="shared" si="0"/>
        <v>#DIV/0!</v>
      </c>
      <c r="D29" s="493">
        <f t="shared" si="0"/>
        <v>261.59146441979374</v>
      </c>
      <c r="E29" s="493">
        <f t="shared" si="0"/>
        <v>104.83894043541841</v>
      </c>
      <c r="F29" s="493">
        <f t="shared" si="0"/>
        <v>19467.095719270066</v>
      </c>
      <c r="G29" s="493">
        <f t="shared" si="0"/>
        <v>-6.6938277620190139</v>
      </c>
      <c r="H29" s="493">
        <f t="shared" si="0"/>
        <v>153.33646370304251</v>
      </c>
      <c r="I29" s="493">
        <f t="shared" si="0"/>
        <v>100.63870310850633</v>
      </c>
    </row>
    <row r="30" spans="1:22" hidden="1">
      <c r="A30" s="422" t="s">
        <v>372</v>
      </c>
      <c r="B30" s="492" t="e">
        <f t="shared" si="0"/>
        <v>#DIV/0!</v>
      </c>
      <c r="C30" s="493" t="e">
        <f t="shared" si="0"/>
        <v>#DIV/0!</v>
      </c>
      <c r="D30" s="493">
        <f t="shared" si="0"/>
        <v>200.16360730408692</v>
      </c>
      <c r="E30" s="493">
        <f t="shared" si="0"/>
        <v>91.462110317578848</v>
      </c>
      <c r="F30" s="493">
        <f t="shared" si="0"/>
        <v>8034.3489624587337</v>
      </c>
      <c r="G30" s="493">
        <f t="shared" si="0"/>
        <v>216.02918090842076</v>
      </c>
      <c r="H30" s="493">
        <f t="shared" si="0"/>
        <v>111.85378823068788</v>
      </c>
      <c r="I30" s="493">
        <f t="shared" si="0"/>
        <v>105.32958315592541</v>
      </c>
    </row>
    <row r="31" spans="1:22" hidden="1">
      <c r="A31" s="422" t="s">
        <v>373</v>
      </c>
      <c r="B31" s="492" t="e">
        <f t="shared" si="0"/>
        <v>#DIV/0!</v>
      </c>
      <c r="C31" s="493" t="e">
        <f t="shared" si="0"/>
        <v>#DIV/0!</v>
      </c>
      <c r="D31" s="493">
        <f t="shared" si="0"/>
        <v>222.22303608248163</v>
      </c>
      <c r="E31" s="493">
        <f t="shared" si="0"/>
        <v>110.72401681413628</v>
      </c>
      <c r="F31" s="493">
        <f t="shared" si="0"/>
        <v>5786.0745688974084</v>
      </c>
      <c r="G31" s="493">
        <f t="shared" si="0"/>
        <v>145.02388482684142</v>
      </c>
      <c r="H31" s="493">
        <f t="shared" si="0"/>
        <v>123.48261789639355</v>
      </c>
      <c r="I31" s="493">
        <f t="shared" si="0"/>
        <v>109.55012360245637</v>
      </c>
    </row>
    <row r="32" spans="1:22" hidden="1">
      <c r="A32" s="422" t="s">
        <v>374</v>
      </c>
      <c r="B32" s="492" t="e">
        <f t="shared" si="0"/>
        <v>#VALUE!</v>
      </c>
      <c r="C32" s="493" t="e">
        <f t="shared" si="0"/>
        <v>#DIV/0!</v>
      </c>
      <c r="D32" s="493">
        <f t="shared" si="0"/>
        <v>182.21017668787883</v>
      </c>
      <c r="E32" s="493">
        <f t="shared" si="0"/>
        <v>97.902870481567462</v>
      </c>
      <c r="F32" s="493">
        <f t="shared" si="0"/>
        <v>2910.9682517018146</v>
      </c>
      <c r="G32" s="493">
        <f t="shared" si="0"/>
        <v>90.238601956014975</v>
      </c>
      <c r="H32" s="493">
        <f t="shared" si="0"/>
        <v>98.976951014211181</v>
      </c>
      <c r="I32" s="493">
        <f t="shared" si="0"/>
        <v>100.53270492280244</v>
      </c>
    </row>
    <row r="33" spans="1:9" hidden="1">
      <c r="A33" s="422" t="s">
        <v>375</v>
      </c>
      <c r="B33" s="492" t="e">
        <f t="shared" si="0"/>
        <v>#DIV/0!</v>
      </c>
      <c r="C33" s="493" t="e">
        <f t="shared" si="0"/>
        <v>#DIV/0!</v>
      </c>
      <c r="D33" s="493">
        <f t="shared" si="0"/>
        <v>167.46528662631488</v>
      </c>
      <c r="E33" s="493">
        <f t="shared" si="0"/>
        <v>87.612492762901795</v>
      </c>
      <c r="F33" s="493">
        <f t="shared" si="0"/>
        <v>-9658.9410957927776</v>
      </c>
      <c r="G33" s="493">
        <f t="shared" si="0"/>
        <v>322.89579975859948</v>
      </c>
      <c r="H33" s="493">
        <f t="shared" si="0"/>
        <v>56.201311241135819</v>
      </c>
      <c r="I33" s="493">
        <f t="shared" si="0"/>
        <v>95.887508971743884</v>
      </c>
    </row>
    <row r="34" spans="1:9" hidden="1">
      <c r="A34" s="422" t="s">
        <v>376</v>
      </c>
      <c r="B34" s="492" t="e">
        <f t="shared" si="0"/>
        <v>#DIV/0!</v>
      </c>
      <c r="C34" s="493" t="e">
        <f t="shared" si="0"/>
        <v>#DIV/0!</v>
      </c>
      <c r="D34" s="493">
        <f t="shared" si="0"/>
        <v>132.77076062712905</v>
      </c>
      <c r="E34" s="493">
        <f t="shared" si="0"/>
        <v>75.216589759787084</v>
      </c>
      <c r="F34" s="493">
        <f t="shared" si="0"/>
        <v>5252.8402248051752</v>
      </c>
      <c r="G34" s="493">
        <f t="shared" si="0"/>
        <v>109.21417902660033</v>
      </c>
      <c r="H34" s="493">
        <f t="shared" si="0"/>
        <v>104.29635500308932</v>
      </c>
      <c r="I34" s="493">
        <f t="shared" si="0"/>
        <v>94.74882886127034</v>
      </c>
    </row>
    <row r="35" spans="1:9" hidden="1">
      <c r="A35" s="422" t="s">
        <v>377</v>
      </c>
      <c r="B35" s="492" t="e">
        <f t="shared" si="0"/>
        <v>#DIV/0!</v>
      </c>
      <c r="C35" s="493" t="e">
        <f t="shared" si="0"/>
        <v>#DIV/0!</v>
      </c>
      <c r="D35" s="493">
        <f t="shared" si="0"/>
        <v>204.84115604536646</v>
      </c>
      <c r="E35" s="493">
        <f t="shared" si="0"/>
        <v>158.12718809764141</v>
      </c>
      <c r="F35" s="493">
        <f t="shared" si="0"/>
        <v>5074.4764974799828</v>
      </c>
      <c r="G35" s="493">
        <f t="shared" si="0"/>
        <v>106.23740860896132</v>
      </c>
      <c r="H35" s="493">
        <f t="shared" si="0"/>
        <v>119.86838148914482</v>
      </c>
      <c r="I35" s="493">
        <f t="shared" si="0"/>
        <v>90.281228807122091</v>
      </c>
    </row>
    <row r="36" spans="1:9" hidden="1">
      <c r="A36" s="422" t="s">
        <v>378</v>
      </c>
      <c r="B36" s="492" t="e">
        <f t="shared" si="0"/>
        <v>#DIV/0!</v>
      </c>
      <c r="C36" s="493" t="e">
        <f t="shared" si="0"/>
        <v>#DIV/0!</v>
      </c>
      <c r="D36" s="493">
        <f t="shared" si="0"/>
        <v>100</v>
      </c>
      <c r="E36" s="493">
        <f t="shared" si="0"/>
        <v>100</v>
      </c>
      <c r="F36" s="493">
        <f t="shared" si="0"/>
        <v>100</v>
      </c>
      <c r="G36" s="493">
        <f t="shared" si="0"/>
        <v>100</v>
      </c>
      <c r="H36" s="493">
        <f t="shared" si="0"/>
        <v>100</v>
      </c>
      <c r="I36" s="493">
        <f t="shared" si="0"/>
        <v>100</v>
      </c>
    </row>
    <row r="37" spans="1:9" hidden="1">
      <c r="A37" s="423" t="s">
        <v>379</v>
      </c>
      <c r="B37" s="490" t="e">
        <f t="shared" si="0"/>
        <v>#DIV/0!</v>
      </c>
      <c r="C37" s="491" t="e">
        <f t="shared" si="0"/>
        <v>#DIV/0!</v>
      </c>
      <c r="D37" s="491">
        <f t="shared" si="0"/>
        <v>134.6365692596747</v>
      </c>
      <c r="E37" s="491">
        <f t="shared" si="0"/>
        <v>89.415001862438857</v>
      </c>
      <c r="F37" s="491">
        <f t="shared" si="0"/>
        <v>-9180.6767083406066</v>
      </c>
      <c r="G37" s="491">
        <f t="shared" si="0"/>
        <v>84.165801513052401</v>
      </c>
      <c r="H37" s="491">
        <f t="shared" si="0"/>
        <v>76.042657905256732</v>
      </c>
      <c r="I37" s="491">
        <f t="shared" si="0"/>
        <v>95.273791456327046</v>
      </c>
    </row>
    <row r="38" spans="1:9" hidden="1">
      <c r="A38" s="409" t="s">
        <v>1357</v>
      </c>
    </row>
    <row r="39" spans="1:9" hidden="1"/>
    <row r="40" spans="1:9" hidden="1"/>
    <row r="41" spans="1:9" hidden="1"/>
    <row r="42" spans="1:9" hidden="1"/>
    <row r="43" spans="1:9" hidden="1"/>
    <row r="44" spans="1:9" hidden="1"/>
    <row r="45" spans="1:9" hidden="1"/>
    <row r="46" spans="1:9" hidden="1"/>
  </sheetData>
  <mergeCells count="2">
    <mergeCell ref="A1:I1"/>
    <mergeCell ref="A24:G24"/>
  </mergeCells>
  <pageMargins left="0.75" right="0.75" top="1" bottom="1" header="0.5" footer="0.5"/>
  <pageSetup scale="90" orientation="landscape" horizontalDpi="1200" verticalDpi="1200" r:id="rId1"/>
  <headerFooter alignWithMargins="0"/>
</worksheet>
</file>

<file path=xl/worksheets/sheet138.xml><?xml version="1.0" encoding="utf-8"?>
<worksheet xmlns="http://schemas.openxmlformats.org/spreadsheetml/2006/main" xmlns:r="http://schemas.openxmlformats.org/officeDocument/2006/relationships">
  <sheetPr>
    <pageSetUpPr fitToPage="1"/>
  </sheetPr>
  <dimension ref="A1:I40"/>
  <sheetViews>
    <sheetView view="pageBreakPreview" zoomScaleSheetLayoutView="100" workbookViewId="0">
      <selection activeCell="I24" sqref="I24"/>
    </sheetView>
  </sheetViews>
  <sheetFormatPr defaultRowHeight="12.75"/>
  <cols>
    <col min="1" max="1" width="15.625" style="409" customWidth="1"/>
    <col min="2" max="2" width="11.5" style="409" customWidth="1"/>
    <col min="3" max="3" width="11" style="409" customWidth="1"/>
    <col min="4" max="5" width="10.125" style="409" customWidth="1"/>
    <col min="6" max="6" width="8.875" style="409" customWidth="1"/>
    <col min="7" max="7" width="11.25" style="409" customWidth="1"/>
    <col min="8" max="8" width="12.5" style="409" customWidth="1"/>
    <col min="9" max="16384" width="9" style="409"/>
  </cols>
  <sheetData>
    <row r="1" spans="1:9">
      <c r="A1" s="408" t="s">
        <v>1358</v>
      </c>
    </row>
    <row r="2" spans="1:9">
      <c r="A2" s="409" t="s">
        <v>1282</v>
      </c>
    </row>
    <row r="3" spans="1:9" s="414" customFormat="1" ht="51">
      <c r="A3" s="410"/>
      <c r="B3" s="442" t="s">
        <v>1296</v>
      </c>
      <c r="C3" s="413" t="s">
        <v>569</v>
      </c>
      <c r="D3" s="413" t="s">
        <v>708</v>
      </c>
      <c r="E3" s="413" t="s">
        <v>1297</v>
      </c>
      <c r="F3" s="413" t="s">
        <v>1298</v>
      </c>
      <c r="G3" s="413" t="s">
        <v>1288</v>
      </c>
      <c r="H3" s="413" t="s">
        <v>570</v>
      </c>
    </row>
    <row r="4" spans="1:9" s="540" customFormat="1" ht="51">
      <c r="A4" s="537"/>
      <c r="B4" s="538" t="s">
        <v>1283</v>
      </c>
      <c r="C4" s="539" t="s">
        <v>1284</v>
      </c>
      <c r="D4" s="539" t="s">
        <v>1283</v>
      </c>
      <c r="E4" s="539" t="s">
        <v>1283</v>
      </c>
      <c r="F4" s="539" t="s">
        <v>1283</v>
      </c>
      <c r="G4" s="539" t="s">
        <v>1283</v>
      </c>
      <c r="H4" s="539" t="s">
        <v>1284</v>
      </c>
    </row>
    <row r="5" spans="1:9" s="414" customFormat="1">
      <c r="A5" s="415"/>
      <c r="B5" s="416" t="s">
        <v>105</v>
      </c>
      <c r="C5" s="417" t="s">
        <v>106</v>
      </c>
      <c r="D5" s="417" t="s">
        <v>107</v>
      </c>
      <c r="E5" s="417" t="s">
        <v>108</v>
      </c>
      <c r="F5" s="417" t="s">
        <v>109</v>
      </c>
      <c r="G5" s="418" t="s">
        <v>1301</v>
      </c>
      <c r="H5" s="417" t="s">
        <v>111</v>
      </c>
      <c r="I5" s="426"/>
    </row>
    <row r="6" spans="1:9">
      <c r="A6" s="547" t="s">
        <v>321</v>
      </c>
      <c r="B6" s="541">
        <f>'[5]1'!B$49</f>
        <v>0</v>
      </c>
      <c r="C6" s="503" t="str">
        <f>'[5]1'!C$51</f>
        <v>Real GDP per capita based on current dollar data from  CANSIM TABLE 3840013 and implicit price deflator (2000=100) from CANSIM TABLE 3840013</v>
      </c>
      <c r="D6" s="503" t="str">
        <f>'[5]1'!N$49</f>
        <v>See first page for notes.</v>
      </c>
      <c r="E6" s="503">
        <f>'[5]1'!E$49</f>
        <v>0</v>
      </c>
      <c r="F6" s="503">
        <f>'[5]1'!F$49</f>
        <v>0</v>
      </c>
      <c r="G6" s="503">
        <f>'[5]1'!H$49</f>
        <v>0</v>
      </c>
      <c r="H6" s="503">
        <f>'[5]1'!I$51</f>
        <v>0</v>
      </c>
    </row>
    <row r="7" spans="1:9">
      <c r="A7" s="548" t="s">
        <v>370</v>
      </c>
      <c r="B7" s="437">
        <f>'[5]1'!L$49</f>
        <v>0</v>
      </c>
      <c r="C7" s="437">
        <f>'[5]1'!M$51</f>
        <v>0</v>
      </c>
      <c r="D7" s="437" t="str">
        <f>'[5]1'!N$49</f>
        <v>See first page for notes.</v>
      </c>
      <c r="E7" s="437">
        <f>'[5]1'!O$49</f>
        <v>0</v>
      </c>
      <c r="F7" s="437">
        <f>'[5]1'!P$49</f>
        <v>0</v>
      </c>
      <c r="G7" s="437">
        <f>'[5]1'!R$49</f>
        <v>0</v>
      </c>
      <c r="H7" s="437">
        <f>'[5]1'!S$51</f>
        <v>0</v>
      </c>
    </row>
    <row r="8" spans="1:9">
      <c r="A8" s="549" t="s">
        <v>371</v>
      </c>
      <c r="B8" s="437">
        <f>'[5]1'!V$49</f>
        <v>0</v>
      </c>
      <c r="C8" s="437">
        <f>'[5]1'!W$51</f>
        <v>0</v>
      </c>
      <c r="D8" s="437">
        <f>'[5]1'!X$49</f>
        <v>0</v>
      </c>
      <c r="E8" s="437" t="str">
        <f>'[5]1'!Y$49</f>
        <v>See first page for notes.</v>
      </c>
      <c r="F8" s="437">
        <f>'[5]1'!Z$49</f>
        <v>0</v>
      </c>
      <c r="G8" s="437">
        <f>'[5]1'!AB$49</f>
        <v>0</v>
      </c>
      <c r="H8" s="437">
        <f>'[5]1'!AC$51</f>
        <v>0</v>
      </c>
    </row>
    <row r="9" spans="1:9">
      <c r="A9" s="549" t="s">
        <v>372</v>
      </c>
      <c r="B9" s="437">
        <f>'[5]1'!AF$49</f>
        <v>0</v>
      </c>
      <c r="C9" s="437">
        <f>'[5]1'!AG$51</f>
        <v>0</v>
      </c>
      <c r="D9" s="437">
        <f>'[5]1'!AH$49</f>
        <v>0</v>
      </c>
      <c r="E9" s="437">
        <f>'[5]1'!AI$49</f>
        <v>0</v>
      </c>
      <c r="F9" s="437" t="str">
        <f>'[5]1'!AJ$49</f>
        <v>See first page for notes.</v>
      </c>
      <c r="G9" s="437">
        <f>'[5]1'!AL$49</f>
        <v>0</v>
      </c>
      <c r="H9" s="437">
        <f>'[5]1'!AM$51</f>
        <v>0</v>
      </c>
    </row>
    <row r="10" spans="1:9">
      <c r="A10" s="549" t="s">
        <v>373</v>
      </c>
      <c r="B10" s="437">
        <f>'[5]1'!AP$49</f>
        <v>0</v>
      </c>
      <c r="C10" s="437">
        <f>'[5]1'!AQ$51</f>
        <v>0</v>
      </c>
      <c r="D10" s="437">
        <f>'[5]1'!AR$49</f>
        <v>0</v>
      </c>
      <c r="E10" s="437">
        <f>'[5]1'!AS$49</f>
        <v>0</v>
      </c>
      <c r="F10" s="437">
        <f>'[5]1'!AT$49</f>
        <v>0</v>
      </c>
      <c r="G10" s="437">
        <f>'[5]1'!AV$49</f>
        <v>0</v>
      </c>
      <c r="H10" s="437">
        <f>'[5]1'!AW$51</f>
        <v>0</v>
      </c>
    </row>
    <row r="11" spans="1:9">
      <c r="A11" s="549" t="s">
        <v>374</v>
      </c>
      <c r="B11" s="437">
        <f>'[5]1'!AZ$49</f>
        <v>0</v>
      </c>
      <c r="C11" s="437">
        <f>'[5]1'!BA$51</f>
        <v>0</v>
      </c>
      <c r="D11" s="437">
        <f>'[5]1'!BB$49</f>
        <v>0</v>
      </c>
      <c r="E11" s="437">
        <f>'[5]1'!BC$49</f>
        <v>0</v>
      </c>
      <c r="F11" s="437">
        <f>'[5]1'!BD$49</f>
        <v>0</v>
      </c>
      <c r="G11" s="437" t="str">
        <f>'[5]1'!BF$49</f>
        <v>See first page for notes.</v>
      </c>
      <c r="H11" s="437">
        <f>'[5]1'!BG$51</f>
        <v>0</v>
      </c>
    </row>
    <row r="12" spans="1:9">
      <c r="A12" s="549" t="s">
        <v>375</v>
      </c>
      <c r="B12" s="437">
        <f>'[5]1'!BJ$49</f>
        <v>0</v>
      </c>
      <c r="C12" s="437">
        <f>'[5]1'!BK$51</f>
        <v>0</v>
      </c>
      <c r="D12" s="437">
        <f>'[5]1'!BL$49</f>
        <v>0</v>
      </c>
      <c r="E12" s="437">
        <f>'[5]1'!BM$49</f>
        <v>0</v>
      </c>
      <c r="F12" s="437">
        <f>'[5]1'!BN$49</f>
        <v>0</v>
      </c>
      <c r="G12" s="437">
        <f>'[5]1'!BP$49</f>
        <v>0</v>
      </c>
      <c r="H12" s="437">
        <f>'[5]1'!BQ$51</f>
        <v>0</v>
      </c>
    </row>
    <row r="13" spans="1:9">
      <c r="A13" s="549" t="s">
        <v>376</v>
      </c>
      <c r="B13" s="437">
        <f>'[5]1'!BT$49</f>
        <v>0</v>
      </c>
      <c r="C13" s="437">
        <f>'[5]1'!BU$51</f>
        <v>0</v>
      </c>
      <c r="D13" s="437">
        <f>'[5]1'!BV$49</f>
        <v>0</v>
      </c>
      <c r="E13" s="437">
        <f>'[5]1'!BW$49</f>
        <v>0</v>
      </c>
      <c r="F13" s="437">
        <f>'[5]1'!BX$49</f>
        <v>0</v>
      </c>
      <c r="G13" s="437">
        <f>'[5]1'!BZ$49</f>
        <v>0</v>
      </c>
      <c r="H13" s="437">
        <f>'[5]1'!CA$51</f>
        <v>0</v>
      </c>
    </row>
    <row r="14" spans="1:9">
      <c r="A14" s="549" t="s">
        <v>377</v>
      </c>
      <c r="B14" s="437">
        <f>'[5]1'!CD$49</f>
        <v>0</v>
      </c>
      <c r="C14" s="437">
        <f>'[5]1'!CE$51</f>
        <v>0</v>
      </c>
      <c r="D14" s="437">
        <f>'[5]1'!CF$49</f>
        <v>0</v>
      </c>
      <c r="E14" s="437">
        <f>'[5]1'!CG$49</f>
        <v>0</v>
      </c>
      <c r="F14" s="437">
        <f>'[5]1'!CH$49</f>
        <v>0</v>
      </c>
      <c r="G14" s="437">
        <f>'[5]1'!CJ$49</f>
        <v>0</v>
      </c>
      <c r="H14" s="437">
        <f>'[5]1'!CK$51</f>
        <v>0</v>
      </c>
    </row>
    <row r="15" spans="1:9">
      <c r="A15" s="549" t="s">
        <v>378</v>
      </c>
      <c r="B15" s="437">
        <f>'[5]1'!CN$49</f>
        <v>0</v>
      </c>
      <c r="C15" s="437">
        <f>'[5]1'!CO$51</f>
        <v>0</v>
      </c>
      <c r="D15" s="437">
        <f>'[5]1'!CP$49</f>
        <v>0</v>
      </c>
      <c r="E15" s="437">
        <f>'[5]1'!CQ$49</f>
        <v>0</v>
      </c>
      <c r="F15" s="437">
        <f>'[5]1'!CR$49</f>
        <v>0</v>
      </c>
      <c r="G15" s="437">
        <f>'[5]1'!CT$49</f>
        <v>0</v>
      </c>
      <c r="H15" s="437">
        <f>'[5]1'!CU$51</f>
        <v>0</v>
      </c>
    </row>
    <row r="16" spans="1:9">
      <c r="A16" s="550" t="s">
        <v>379</v>
      </c>
      <c r="B16" s="475" t="str">
        <f>'[5]1'!CX$49</f>
        <v>See first page for notes.</v>
      </c>
      <c r="C16" s="440">
        <f>'[5]1'!CY$51</f>
        <v>0</v>
      </c>
      <c r="D16" s="440">
        <f>'[5]1'!CZ$49</f>
        <v>0</v>
      </c>
      <c r="E16" s="440">
        <f>'[5]1'!DA$49</f>
        <v>0</v>
      </c>
      <c r="F16" s="440">
        <f>'[5]1'!DB$49</f>
        <v>0</v>
      </c>
      <c r="G16" s="440">
        <f>'[5]1'!DD$49</f>
        <v>0</v>
      </c>
      <c r="H16" s="440">
        <f>'[5]1'!DE$51</f>
        <v>0</v>
      </c>
    </row>
    <row r="18" spans="1:8">
      <c r="A18" s="409" t="s">
        <v>1302</v>
      </c>
    </row>
    <row r="19" spans="1:8">
      <c r="A19" s="409" t="s">
        <v>1359</v>
      </c>
    </row>
    <row r="22" spans="1:8" hidden="1"/>
    <row r="23" spans="1:8" hidden="1">
      <c r="A23" s="409" t="s">
        <v>1360</v>
      </c>
    </row>
    <row r="24" spans="1:8" s="414" customFormat="1" ht="51" hidden="1">
      <c r="A24" s="410"/>
      <c r="B24" s="442" t="s">
        <v>444</v>
      </c>
      <c r="C24" s="413" t="s">
        <v>569</v>
      </c>
      <c r="D24" s="413" t="s">
        <v>445</v>
      </c>
      <c r="E24" s="413" t="s">
        <v>446</v>
      </c>
      <c r="F24" s="413" t="s">
        <v>447</v>
      </c>
      <c r="G24" s="413" t="s">
        <v>466</v>
      </c>
      <c r="H24" s="413" t="s">
        <v>570</v>
      </c>
    </row>
    <row r="25" spans="1:8" hidden="1">
      <c r="A25" s="415"/>
      <c r="B25" s="416"/>
      <c r="C25" s="417"/>
      <c r="D25" s="418"/>
      <c r="E25" s="418"/>
      <c r="F25" s="418"/>
      <c r="G25" s="417"/>
    </row>
    <row r="26" spans="1:8" hidden="1">
      <c r="A26" s="423" t="s">
        <v>321</v>
      </c>
      <c r="B26" s="430" t="e">
        <f t="shared" ref="B26:H36" si="0">B6/B$15*100</f>
        <v>#DIV/0!</v>
      </c>
      <c r="C26" s="431" t="e">
        <f t="shared" si="0"/>
        <v>#VALUE!</v>
      </c>
      <c r="D26" s="431" t="e">
        <f t="shared" si="0"/>
        <v>#VALUE!</v>
      </c>
      <c r="E26" s="431" t="e">
        <f t="shared" si="0"/>
        <v>#DIV/0!</v>
      </c>
      <c r="F26" s="431" t="e">
        <f t="shared" si="0"/>
        <v>#DIV/0!</v>
      </c>
      <c r="G26" s="431" t="e">
        <f t="shared" si="0"/>
        <v>#DIV/0!</v>
      </c>
      <c r="H26" s="431" t="e">
        <f t="shared" si="0"/>
        <v>#DIV/0!</v>
      </c>
    </row>
    <row r="27" spans="1:8" hidden="1">
      <c r="A27" s="409" t="s">
        <v>370</v>
      </c>
      <c r="B27" s="428" t="e">
        <f t="shared" si="0"/>
        <v>#DIV/0!</v>
      </c>
      <c r="C27" s="429" t="e">
        <f t="shared" si="0"/>
        <v>#DIV/0!</v>
      </c>
      <c r="D27" s="429" t="e">
        <f t="shared" si="0"/>
        <v>#VALUE!</v>
      </c>
      <c r="E27" s="429" t="e">
        <f t="shared" si="0"/>
        <v>#DIV/0!</v>
      </c>
      <c r="F27" s="429" t="e">
        <f t="shared" si="0"/>
        <v>#DIV/0!</v>
      </c>
      <c r="G27" s="429" t="e">
        <f t="shared" si="0"/>
        <v>#DIV/0!</v>
      </c>
      <c r="H27" s="427" t="e">
        <f t="shared" si="0"/>
        <v>#DIV/0!</v>
      </c>
    </row>
    <row r="28" spans="1:8" hidden="1">
      <c r="A28" s="409" t="s">
        <v>371</v>
      </c>
      <c r="B28" s="428" t="e">
        <f t="shared" si="0"/>
        <v>#DIV/0!</v>
      </c>
      <c r="C28" s="429" t="e">
        <f t="shared" si="0"/>
        <v>#DIV/0!</v>
      </c>
      <c r="D28" s="429" t="e">
        <f t="shared" si="0"/>
        <v>#DIV/0!</v>
      </c>
      <c r="E28" s="429" t="e">
        <f t="shared" si="0"/>
        <v>#VALUE!</v>
      </c>
      <c r="F28" s="429" t="e">
        <f t="shared" si="0"/>
        <v>#DIV/0!</v>
      </c>
      <c r="G28" s="429" t="e">
        <f t="shared" si="0"/>
        <v>#DIV/0!</v>
      </c>
      <c r="H28" s="429" t="e">
        <f t="shared" si="0"/>
        <v>#DIV/0!</v>
      </c>
    </row>
    <row r="29" spans="1:8" hidden="1">
      <c r="A29" s="409" t="s">
        <v>372</v>
      </c>
      <c r="B29" s="428" t="e">
        <f t="shared" si="0"/>
        <v>#DIV/0!</v>
      </c>
      <c r="C29" s="429" t="e">
        <f t="shared" si="0"/>
        <v>#DIV/0!</v>
      </c>
      <c r="D29" s="429" t="e">
        <f t="shared" si="0"/>
        <v>#DIV/0!</v>
      </c>
      <c r="E29" s="429" t="e">
        <f t="shared" si="0"/>
        <v>#DIV/0!</v>
      </c>
      <c r="F29" s="429" t="e">
        <f t="shared" si="0"/>
        <v>#VALUE!</v>
      </c>
      <c r="G29" s="429" t="e">
        <f t="shared" si="0"/>
        <v>#DIV/0!</v>
      </c>
      <c r="H29" s="429" t="e">
        <f t="shared" si="0"/>
        <v>#DIV/0!</v>
      </c>
    </row>
    <row r="30" spans="1:8" hidden="1">
      <c r="A30" s="409" t="s">
        <v>373</v>
      </c>
      <c r="B30" s="428" t="e">
        <f t="shared" si="0"/>
        <v>#DIV/0!</v>
      </c>
      <c r="C30" s="429" t="e">
        <f t="shared" si="0"/>
        <v>#DIV/0!</v>
      </c>
      <c r="D30" s="429" t="e">
        <f t="shared" si="0"/>
        <v>#DIV/0!</v>
      </c>
      <c r="E30" s="429" t="e">
        <f t="shared" si="0"/>
        <v>#DIV/0!</v>
      </c>
      <c r="F30" s="429" t="e">
        <f t="shared" si="0"/>
        <v>#DIV/0!</v>
      </c>
      <c r="G30" s="429" t="e">
        <f t="shared" si="0"/>
        <v>#DIV/0!</v>
      </c>
      <c r="H30" s="429" t="e">
        <f t="shared" si="0"/>
        <v>#DIV/0!</v>
      </c>
    </row>
    <row r="31" spans="1:8" hidden="1">
      <c r="A31" s="409" t="s">
        <v>374</v>
      </c>
      <c r="B31" s="428" t="e">
        <f t="shared" si="0"/>
        <v>#DIV/0!</v>
      </c>
      <c r="C31" s="429" t="e">
        <f t="shared" si="0"/>
        <v>#DIV/0!</v>
      </c>
      <c r="D31" s="429" t="e">
        <f t="shared" si="0"/>
        <v>#DIV/0!</v>
      </c>
      <c r="E31" s="429" t="e">
        <f t="shared" si="0"/>
        <v>#DIV/0!</v>
      </c>
      <c r="F31" s="429" t="e">
        <f t="shared" si="0"/>
        <v>#DIV/0!</v>
      </c>
      <c r="G31" s="429" t="e">
        <f t="shared" si="0"/>
        <v>#VALUE!</v>
      </c>
      <c r="H31" s="429" t="e">
        <f t="shared" si="0"/>
        <v>#DIV/0!</v>
      </c>
    </row>
    <row r="32" spans="1:8" hidden="1">
      <c r="A32" s="409" t="s">
        <v>375</v>
      </c>
      <c r="B32" s="428" t="e">
        <f t="shared" si="0"/>
        <v>#DIV/0!</v>
      </c>
      <c r="C32" s="429" t="e">
        <f t="shared" si="0"/>
        <v>#DIV/0!</v>
      </c>
      <c r="D32" s="429" t="e">
        <f t="shared" si="0"/>
        <v>#DIV/0!</v>
      </c>
      <c r="E32" s="429" t="e">
        <f t="shared" si="0"/>
        <v>#DIV/0!</v>
      </c>
      <c r="F32" s="429" t="e">
        <f t="shared" si="0"/>
        <v>#DIV/0!</v>
      </c>
      <c r="G32" s="429" t="e">
        <f t="shared" si="0"/>
        <v>#DIV/0!</v>
      </c>
      <c r="H32" s="429" t="e">
        <f t="shared" si="0"/>
        <v>#DIV/0!</v>
      </c>
    </row>
    <row r="33" spans="1:8" hidden="1">
      <c r="A33" s="409" t="s">
        <v>376</v>
      </c>
      <c r="B33" s="428" t="e">
        <f t="shared" si="0"/>
        <v>#DIV/0!</v>
      </c>
      <c r="C33" s="429" t="e">
        <f t="shared" si="0"/>
        <v>#DIV/0!</v>
      </c>
      <c r="D33" s="429" t="e">
        <f t="shared" si="0"/>
        <v>#DIV/0!</v>
      </c>
      <c r="E33" s="429" t="e">
        <f t="shared" si="0"/>
        <v>#DIV/0!</v>
      </c>
      <c r="F33" s="429" t="e">
        <f t="shared" si="0"/>
        <v>#DIV/0!</v>
      </c>
      <c r="G33" s="429" t="e">
        <f t="shared" si="0"/>
        <v>#DIV/0!</v>
      </c>
      <c r="H33" s="429" t="e">
        <f t="shared" si="0"/>
        <v>#DIV/0!</v>
      </c>
    </row>
    <row r="34" spans="1:8" hidden="1">
      <c r="A34" s="409" t="s">
        <v>377</v>
      </c>
      <c r="B34" s="428" t="e">
        <f t="shared" si="0"/>
        <v>#DIV/0!</v>
      </c>
      <c r="C34" s="429" t="e">
        <f t="shared" si="0"/>
        <v>#DIV/0!</v>
      </c>
      <c r="D34" s="429" t="e">
        <f t="shared" si="0"/>
        <v>#DIV/0!</v>
      </c>
      <c r="E34" s="429" t="e">
        <f t="shared" si="0"/>
        <v>#DIV/0!</v>
      </c>
      <c r="F34" s="429" t="e">
        <f t="shared" si="0"/>
        <v>#DIV/0!</v>
      </c>
      <c r="G34" s="429" t="e">
        <f t="shared" si="0"/>
        <v>#DIV/0!</v>
      </c>
      <c r="H34" s="429" t="e">
        <f t="shared" si="0"/>
        <v>#DIV/0!</v>
      </c>
    </row>
    <row r="35" spans="1:8" hidden="1">
      <c r="A35" s="409" t="s">
        <v>378</v>
      </c>
      <c r="B35" s="428" t="e">
        <f t="shared" si="0"/>
        <v>#DIV/0!</v>
      </c>
      <c r="C35" s="429" t="e">
        <f t="shared" si="0"/>
        <v>#DIV/0!</v>
      </c>
      <c r="D35" s="429" t="e">
        <f t="shared" si="0"/>
        <v>#DIV/0!</v>
      </c>
      <c r="E35" s="429" t="e">
        <f t="shared" si="0"/>
        <v>#DIV/0!</v>
      </c>
      <c r="F35" s="429" t="e">
        <f t="shared" si="0"/>
        <v>#DIV/0!</v>
      </c>
      <c r="G35" s="429" t="e">
        <f t="shared" si="0"/>
        <v>#DIV/0!</v>
      </c>
      <c r="H35" s="429" t="e">
        <f t="shared" si="0"/>
        <v>#DIV/0!</v>
      </c>
    </row>
    <row r="36" spans="1:8" hidden="1">
      <c r="A36" s="423" t="s">
        <v>379</v>
      </c>
      <c r="B36" s="430" t="e">
        <f t="shared" si="0"/>
        <v>#VALUE!</v>
      </c>
      <c r="C36" s="431" t="e">
        <f t="shared" si="0"/>
        <v>#DIV/0!</v>
      </c>
      <c r="D36" s="431" t="e">
        <f t="shared" si="0"/>
        <v>#DIV/0!</v>
      </c>
      <c r="E36" s="431" t="e">
        <f t="shared" si="0"/>
        <v>#DIV/0!</v>
      </c>
      <c r="F36" s="431" t="e">
        <f t="shared" si="0"/>
        <v>#DIV/0!</v>
      </c>
      <c r="G36" s="431" t="e">
        <f t="shared" si="0"/>
        <v>#DIV/0!</v>
      </c>
      <c r="H36" s="431" t="e">
        <f t="shared" si="0"/>
        <v>#DIV/0!</v>
      </c>
    </row>
    <row r="37" spans="1:8" hidden="1">
      <c r="A37" s="409" t="s">
        <v>1361</v>
      </c>
    </row>
    <row r="38" spans="1:8" hidden="1"/>
    <row r="39" spans="1:8" hidden="1"/>
    <row r="40" spans="1:8" hidden="1"/>
  </sheetData>
  <pageMargins left="0.75" right="0.75" top="1" bottom="1" header="0.5" footer="0.5"/>
  <pageSetup orientation="landscape" horizontalDpi="1200" verticalDpi="1200" r:id="rId1"/>
  <headerFooter alignWithMargins="0"/>
</worksheet>
</file>

<file path=xl/worksheets/sheet139.xml><?xml version="1.0" encoding="utf-8"?>
<worksheet xmlns="http://schemas.openxmlformats.org/spreadsheetml/2006/main" xmlns:r="http://schemas.openxmlformats.org/officeDocument/2006/relationships">
  <sheetPr>
    <pageSetUpPr fitToPage="1"/>
  </sheetPr>
  <dimension ref="A1:L40"/>
  <sheetViews>
    <sheetView view="pageBreakPreview" zoomScaleNormal="75" zoomScaleSheetLayoutView="100" workbookViewId="0">
      <selection activeCell="I24" sqref="I24"/>
    </sheetView>
  </sheetViews>
  <sheetFormatPr defaultRowHeight="12.75"/>
  <cols>
    <col min="1" max="1" width="15.625" style="409" customWidth="1"/>
    <col min="2" max="2" width="11.5" style="409" customWidth="1"/>
    <col min="3" max="3" width="11" style="409" customWidth="1"/>
    <col min="4" max="6" width="11" style="409" hidden="1" customWidth="1"/>
    <col min="7" max="8" width="10.125" style="409" customWidth="1"/>
    <col min="9" max="10" width="8.875" style="409" customWidth="1"/>
    <col min="11" max="11" width="15.25" style="409" customWidth="1"/>
    <col min="12" max="12" width="11.25" style="409" customWidth="1"/>
    <col min="13" max="16384" width="9" style="409"/>
  </cols>
  <sheetData>
    <row r="1" spans="1:12">
      <c r="A1" s="408" t="s">
        <v>1362</v>
      </c>
    </row>
    <row r="2" spans="1:12">
      <c r="A2" s="409" t="s">
        <v>1282</v>
      </c>
    </row>
    <row r="3" spans="1:12" s="414" customFormat="1" ht="76.5">
      <c r="A3" s="410"/>
      <c r="B3" s="411" t="s">
        <v>1307</v>
      </c>
      <c r="C3" s="412" t="s">
        <v>1308</v>
      </c>
      <c r="D3" s="412" t="s">
        <v>1309</v>
      </c>
      <c r="E3" s="412" t="s">
        <v>1310</v>
      </c>
      <c r="F3" s="412" t="s">
        <v>1311</v>
      </c>
      <c r="G3" s="413" t="s">
        <v>1312</v>
      </c>
      <c r="H3" s="413" t="s">
        <v>1313</v>
      </c>
      <c r="I3" s="413" t="s">
        <v>1314</v>
      </c>
      <c r="J3" s="413" t="s">
        <v>1315</v>
      </c>
      <c r="K3" s="412" t="s">
        <v>1289</v>
      </c>
      <c r="L3" s="412" t="s">
        <v>479</v>
      </c>
    </row>
    <row r="4" spans="1:12" s="540" customFormat="1" ht="51">
      <c r="A4" s="537"/>
      <c r="B4" s="538" t="s">
        <v>1283</v>
      </c>
      <c r="C4" s="539" t="s">
        <v>1283</v>
      </c>
      <c r="D4" s="539" t="s">
        <v>1283</v>
      </c>
      <c r="E4" s="539" t="s">
        <v>1283</v>
      </c>
      <c r="F4" s="539" t="s">
        <v>1283</v>
      </c>
      <c r="G4" s="539" t="s">
        <v>1283</v>
      </c>
      <c r="H4" s="539" t="s">
        <v>1283</v>
      </c>
      <c r="I4" s="539" t="s">
        <v>1283</v>
      </c>
      <c r="J4" s="539" t="s">
        <v>1283</v>
      </c>
      <c r="K4" s="539" t="s">
        <v>1283</v>
      </c>
      <c r="L4" s="539" t="s">
        <v>1284</v>
      </c>
    </row>
    <row r="5" spans="1:12" s="414" customFormat="1" ht="19.5" customHeight="1">
      <c r="A5" s="551"/>
      <c r="B5" s="456" t="s">
        <v>105</v>
      </c>
      <c r="C5" s="433" t="s">
        <v>106</v>
      </c>
      <c r="D5" s="433" t="s">
        <v>107</v>
      </c>
      <c r="E5" s="433" t="s">
        <v>108</v>
      </c>
      <c r="F5" s="433" t="s">
        <v>109</v>
      </c>
      <c r="G5" s="433" t="s">
        <v>107</v>
      </c>
      <c r="H5" s="433" t="s">
        <v>108</v>
      </c>
      <c r="I5" s="433" t="s">
        <v>109</v>
      </c>
      <c r="J5" s="433" t="s">
        <v>110</v>
      </c>
      <c r="K5" s="433" t="s">
        <v>671</v>
      </c>
      <c r="L5" s="449" t="s">
        <v>112</v>
      </c>
    </row>
    <row r="6" spans="1:12" ht="19.5" customHeight="1">
      <c r="A6" s="423" t="s">
        <v>321</v>
      </c>
      <c r="B6" s="475">
        <f>'[5]2'!B$49</f>
        <v>1.3682078665663067</v>
      </c>
      <c r="C6" s="440">
        <f>'[5]2'!C$49</f>
        <v>3.7763786197096971</v>
      </c>
      <c r="D6" s="440">
        <f>'[5]1'!N$46</f>
        <v>21070.779240280328</v>
      </c>
      <c r="E6" s="440">
        <v>-1.9959809704388376</v>
      </c>
      <c r="F6" s="440">
        <v>-1.1707238699133926</v>
      </c>
      <c r="G6" s="503">
        <f>'[5]2'!D$49</f>
        <v>1.5442223481478168</v>
      </c>
      <c r="H6" s="440" t="e">
        <f>'[5]2'!E$49</f>
        <v>#NUM!</v>
      </c>
      <c r="I6" s="440">
        <f>'[5]2'!F$49</f>
        <v>1.1253236163438318</v>
      </c>
      <c r="J6" s="440">
        <f>'[5]2'!G$49</f>
        <v>0.10057011121460402</v>
      </c>
      <c r="K6" s="440">
        <f>'[5]2'!H$49</f>
        <v>1.5479305108905272</v>
      </c>
      <c r="L6" s="440">
        <f>'[5]2'!I$51</f>
        <v>0.25357815724412752</v>
      </c>
    </row>
    <row r="7" spans="1:12" ht="19.5" customHeight="1">
      <c r="A7" s="409" t="s">
        <v>370</v>
      </c>
      <c r="B7" s="472">
        <f>'[5]2'!L$49</f>
        <v>2.3164118040453374</v>
      </c>
      <c r="C7" s="473">
        <f>'[5]2'!M$49</f>
        <v>5.3149774592179622</v>
      </c>
      <c r="D7" s="437">
        <v>1.2584995332274307</v>
      </c>
      <c r="E7" s="437" t="s">
        <v>75</v>
      </c>
      <c r="F7" s="437">
        <v>3.2532211149693957E-2</v>
      </c>
      <c r="G7" s="473">
        <f>'[5]2'!N$49</f>
        <v>7.0826760943375477</v>
      </c>
      <c r="H7" s="473" t="e">
        <f>'[5]2'!O$49</f>
        <v>#NUM!</v>
      </c>
      <c r="I7" s="473">
        <f>'[5]2'!P$49</f>
        <v>1.6857598091938764</v>
      </c>
      <c r="J7" s="473">
        <f>'[5]2'!Q$49</f>
        <v>0.92072956945512541</v>
      </c>
      <c r="K7" s="473">
        <f>'[5]2'!R$49</f>
        <v>3.4011232766949284</v>
      </c>
      <c r="L7" s="473">
        <f>'[5]2'!S$51</f>
        <v>0.59325557284995689</v>
      </c>
    </row>
    <row r="8" spans="1:12" ht="19.5" customHeight="1">
      <c r="A8" s="409" t="s">
        <v>371</v>
      </c>
      <c r="B8" s="474">
        <f>'[5]2'!V$49</f>
        <v>2.2857367863562628</v>
      </c>
      <c r="C8" s="437">
        <f>'[5]2'!W$49</f>
        <v>6.0788647736050416</v>
      </c>
      <c r="D8" s="437" t="s">
        <v>75</v>
      </c>
      <c r="E8" s="437" t="s">
        <v>75</v>
      </c>
      <c r="F8" s="437">
        <v>-0.87735350911194443</v>
      </c>
      <c r="G8" s="437">
        <f>'[5]2'!X$49</f>
        <v>1.3536393009113468</v>
      </c>
      <c r="H8" s="437" t="e">
        <f>'[5]2'!Y$49</f>
        <v>#NUM!</v>
      </c>
      <c r="I8" s="437">
        <f>'[5]2'!Z$49</f>
        <v>1.6269985235122686</v>
      </c>
      <c r="J8" s="437">
        <f>'[5]2'!AA$49</f>
        <v>-0.13374343457389637</v>
      </c>
      <c r="K8" s="437">
        <f>'[5]2'!AB$49</f>
        <v>2.1867485454397428</v>
      </c>
      <c r="L8" s="437">
        <f>'[5]2'!AC$51</f>
        <v>0.23224903207257086</v>
      </c>
    </row>
    <row r="9" spans="1:12" ht="19.5" customHeight="1">
      <c r="A9" s="409" t="s">
        <v>372</v>
      </c>
      <c r="B9" s="474">
        <f>'[5]2'!AF$49</f>
        <v>1.7729982410991996</v>
      </c>
      <c r="C9" s="437">
        <f>'[5]2'!AG$49</f>
        <v>3.3021780237897591</v>
      </c>
      <c r="D9" s="437">
        <v>5.4305182603697766E-2</v>
      </c>
      <c r="E9" s="437">
        <v>-15.902855512664427</v>
      </c>
      <c r="F9" s="437">
        <v>-0.98338223864233854</v>
      </c>
      <c r="G9" s="437">
        <f>'[5]2'!AH$49</f>
        <v>-3.1376754405065821E-2</v>
      </c>
      <c r="H9" s="437" t="e">
        <f>'[5]2'!AI$49</f>
        <v>#NUM!</v>
      </c>
      <c r="I9" s="437">
        <f>'[5]2'!AJ$49</f>
        <v>1.3292167435482893</v>
      </c>
      <c r="J9" s="437">
        <f>'[5]2'!AK$49</f>
        <v>0.26862595857302107</v>
      </c>
      <c r="K9" s="437">
        <f>'[5]2'!AL$49</f>
        <v>1.6732483152422928</v>
      </c>
      <c r="L9" s="437">
        <f>'[5]2'!AM$51</f>
        <v>0.2026154261417551</v>
      </c>
    </row>
    <row r="10" spans="1:12" ht="19.5" customHeight="1">
      <c r="A10" s="409" t="s">
        <v>373</v>
      </c>
      <c r="B10" s="474">
        <f>'[5]2'!AP$49</f>
        <v>1.6265868193938715</v>
      </c>
      <c r="C10" s="437">
        <f>'[5]2'!AQ$49</f>
        <v>1.8096081881780579</v>
      </c>
      <c r="D10" s="437">
        <v>4.8626982324963652</v>
      </c>
      <c r="E10" s="437">
        <v>-2.9516189786576885</v>
      </c>
      <c r="F10" s="437">
        <v>-0.49047972039858445</v>
      </c>
      <c r="G10" s="437">
        <f>'[5]2'!AR$49</f>
        <v>1.9918739504270144</v>
      </c>
      <c r="H10" s="437" t="e">
        <f>'[5]2'!AS$49</f>
        <v>#NUM!</v>
      </c>
      <c r="I10" s="437">
        <f>'[5]2'!AT$49</f>
        <v>1.5317610308746454</v>
      </c>
      <c r="J10" s="437">
        <f>'[5]2'!AU$49</f>
        <v>0.4620557596698216</v>
      </c>
      <c r="K10" s="437">
        <f>'[5]2'!AV$49</f>
        <v>1.8576519765061583</v>
      </c>
      <c r="L10" s="437">
        <f>'[5]2'!AW$51</f>
        <v>0.24528620401415813</v>
      </c>
    </row>
    <row r="11" spans="1:12" ht="19.5" customHeight="1">
      <c r="A11" s="409" t="s">
        <v>374</v>
      </c>
      <c r="B11" s="474">
        <f>'[5]2'!AZ$49</f>
        <v>1.4655809277291931</v>
      </c>
      <c r="C11" s="437">
        <f>'[5]2'!BA$49</f>
        <v>5.7098114911418474</v>
      </c>
      <c r="D11" s="437">
        <v>1.5643155416565024</v>
      </c>
      <c r="E11" s="437" t="s">
        <v>75</v>
      </c>
      <c r="F11" s="437">
        <v>-0.92464851487308319</v>
      </c>
      <c r="G11" s="437">
        <f>'[5]2'!BB$49</f>
        <v>0.49616321764625049</v>
      </c>
      <c r="H11" s="437" t="e">
        <f>'[5]2'!BC$49</f>
        <v>#NUM!</v>
      </c>
      <c r="I11" s="437">
        <f>'[5]2'!BD$49</f>
        <v>1.1661225827095389</v>
      </c>
      <c r="J11" s="437">
        <f>'[5]2'!BE$49</f>
        <v>-0.25012208178422091</v>
      </c>
      <c r="K11" s="437">
        <f>'[5]2'!BF$49</f>
        <v>1.5231683484791425</v>
      </c>
      <c r="L11" s="437">
        <f>'[5]2'!BG$51</f>
        <v>0.2168836008074404</v>
      </c>
    </row>
    <row r="12" spans="1:12" ht="19.5" customHeight="1">
      <c r="A12" s="409" t="s">
        <v>375</v>
      </c>
      <c r="B12" s="474">
        <f>'[5]2'!BJ$49</f>
        <v>1.116748682670976</v>
      </c>
      <c r="C12" s="437">
        <f>'[5]2'!BK$49</f>
        <v>4.6744301260543963</v>
      </c>
      <c r="D12" s="437">
        <v>1.4241845484814775</v>
      </c>
      <c r="E12" s="437">
        <v>6.7210247797782063</v>
      </c>
      <c r="F12" s="437">
        <v>-1.6850410053196208</v>
      </c>
      <c r="G12" s="437">
        <f>'[5]2'!BL$49</f>
        <v>0.37895990694112314</v>
      </c>
      <c r="H12" s="437" t="e">
        <f>'[5]2'!BM$49</f>
        <v>#NUM!</v>
      </c>
      <c r="I12" s="437">
        <f>'[5]2'!BN$49</f>
        <v>1.0482664182925649</v>
      </c>
      <c r="J12" s="437">
        <f>'[5]2'!BO$49</f>
        <v>-0.65410948819266679</v>
      </c>
      <c r="K12" s="437">
        <f>'[5]2'!BP$49</f>
        <v>1.399909866149418</v>
      </c>
      <c r="L12" s="437">
        <f>'[5]2'!BQ$51</f>
        <v>0.19408739307303025</v>
      </c>
    </row>
    <row r="13" spans="1:12" ht="19.5" customHeight="1">
      <c r="A13" s="409" t="s">
        <v>376</v>
      </c>
      <c r="B13" s="474">
        <f>'[5]2'!BT$49</f>
        <v>0.85594217784499271</v>
      </c>
      <c r="C13" s="437">
        <f>'[5]2'!BU$49</f>
        <v>3.20982354284578</v>
      </c>
      <c r="D13" s="437">
        <v>8.1536850261883842</v>
      </c>
      <c r="E13" s="437">
        <v>-3.0865772633479449</v>
      </c>
      <c r="F13" s="437">
        <v>-0.57315078210579129</v>
      </c>
      <c r="G13" s="437">
        <f>'[5]2'!BV$49</f>
        <v>1.3890351485914332</v>
      </c>
      <c r="H13" s="437" t="e">
        <f>'[5]2'!BW$49</f>
        <v>#NUM!</v>
      </c>
      <c r="I13" s="437">
        <f>'[5]2'!BX$49</f>
        <v>0.81291851250051561</v>
      </c>
      <c r="J13" s="437">
        <f>'[5]2'!BY$49</f>
        <v>0.3998995024466323</v>
      </c>
      <c r="K13" s="437">
        <f>'[5]2'!BZ$49</f>
        <v>1.1098843317470797</v>
      </c>
      <c r="L13" s="437">
        <f>'[5]2'!CA$51</f>
        <v>0.16662682868558004</v>
      </c>
    </row>
    <row r="14" spans="1:12" ht="19.5" customHeight="1">
      <c r="A14" s="409" t="s">
        <v>377</v>
      </c>
      <c r="B14" s="474">
        <f>'[5]2'!CD$49</f>
        <v>1.3531838192565537</v>
      </c>
      <c r="C14" s="437">
        <f>'[5]2'!CE$49</f>
        <v>3.9531942274508403</v>
      </c>
      <c r="D14" s="437">
        <v>3.5359533645644481</v>
      </c>
      <c r="E14" s="437">
        <v>3.1853705485841655</v>
      </c>
      <c r="F14" s="437">
        <v>0.24495865531637406</v>
      </c>
      <c r="G14" s="437">
        <f>'[5]2'!CF$49</f>
        <v>2.4035990286011888</v>
      </c>
      <c r="H14" s="437" t="e">
        <f>'[5]2'!CG$49</f>
        <v>#NUM!</v>
      </c>
      <c r="I14" s="437">
        <f>'[5]2'!CH$49</f>
        <v>1.1610895990921355</v>
      </c>
      <c r="J14" s="437">
        <f>'[5]2'!CI$49</f>
        <v>2.0106663879049913</v>
      </c>
      <c r="K14" s="437">
        <f>'[5]2'!CJ$49</f>
        <v>1.712349831528015</v>
      </c>
      <c r="L14" s="437">
        <f>'[5]2'!CK$51</f>
        <v>0.35029814520738478</v>
      </c>
    </row>
    <row r="15" spans="1:12" ht="19.5" customHeight="1">
      <c r="A15" s="409" t="s">
        <v>378</v>
      </c>
      <c r="B15" s="474">
        <f>'[5]2'!CN$49</f>
        <v>1.5732700617701045</v>
      </c>
      <c r="C15" s="437">
        <f>'[5]2'!CO$49</f>
        <v>2.6699488204141142</v>
      </c>
      <c r="D15" s="437">
        <v>10.811282695146174</v>
      </c>
      <c r="E15" s="437">
        <v>-2.9061969237155094</v>
      </c>
      <c r="F15" s="437">
        <v>-1.3611456735098115</v>
      </c>
      <c r="G15" s="437">
        <f>'[5]2'!CP$49</f>
        <v>-0.3137549605538914</v>
      </c>
      <c r="H15" s="437" t="e">
        <f>'[5]2'!CQ$49</f>
        <v>#NUM!</v>
      </c>
      <c r="I15" s="437">
        <f>'[5]2'!CR$49</f>
        <v>0.92135823050136789</v>
      </c>
      <c r="J15" s="437">
        <f>'[5]2'!CS$49</f>
        <v>6.1600188377197718E-2</v>
      </c>
      <c r="K15" s="437">
        <f>'[5]2'!CT$49</f>
        <v>0.83594032790401673</v>
      </c>
      <c r="L15" s="437">
        <f>'[5]2'!CU$51</f>
        <v>0.22152935837389354</v>
      </c>
    </row>
    <row r="16" spans="1:12" ht="19.5" customHeight="1">
      <c r="A16" s="423" t="s">
        <v>379</v>
      </c>
      <c r="B16" s="475">
        <f>'[5]2'!CX$49</f>
        <v>1.2092170214976994</v>
      </c>
      <c r="C16" s="440">
        <f>'[5]2'!CY$49</f>
        <v>5.3243233759972419</v>
      </c>
      <c r="D16" s="440">
        <v>0.38220563122930429</v>
      </c>
      <c r="E16" s="440">
        <v>1.0083509613714403</v>
      </c>
      <c r="F16" s="440">
        <v>-1.9710941229833523</v>
      </c>
      <c r="G16" s="440">
        <f>'[5]2'!CZ$49</f>
        <v>-0.41114486649621584</v>
      </c>
      <c r="H16" s="440" t="e">
        <f>'[5]2'!DA$49</f>
        <v>#NUM!</v>
      </c>
      <c r="I16" s="440">
        <f>'[5]2'!DB$49</f>
        <v>1.1294914787356669</v>
      </c>
      <c r="J16" s="440">
        <f>'[5]2'!DC$49</f>
        <v>-0.45253580277175853</v>
      </c>
      <c r="K16" s="440">
        <f>'[5]2'!DD$49</f>
        <v>1.1254813785480433</v>
      </c>
      <c r="L16" s="440">
        <f>'[5]2'!DE$51</f>
        <v>0.19808047991586575</v>
      </c>
    </row>
    <row r="18" spans="1:12">
      <c r="A18" s="409" t="s">
        <v>1317</v>
      </c>
    </row>
    <row r="19" spans="1:12">
      <c r="A19" s="409" t="s">
        <v>1363</v>
      </c>
    </row>
    <row r="22" spans="1:12" hidden="1"/>
    <row r="23" spans="1:12" hidden="1">
      <c r="A23" s="409" t="s">
        <v>1364</v>
      </c>
    </row>
    <row r="24" spans="1:12" s="414" customFormat="1" ht="76.5" hidden="1">
      <c r="A24" s="410"/>
      <c r="B24" s="411" t="s">
        <v>1307</v>
      </c>
      <c r="C24" s="552" t="s">
        <v>1308</v>
      </c>
      <c r="D24" s="411" t="s">
        <v>1309</v>
      </c>
      <c r="E24" s="412" t="s">
        <v>1310</v>
      </c>
      <c r="F24" s="412" t="s">
        <v>1311</v>
      </c>
      <c r="G24" s="553" t="s">
        <v>1312</v>
      </c>
      <c r="H24" s="554" t="s">
        <v>1313</v>
      </c>
      <c r="I24" s="413" t="s">
        <v>1314</v>
      </c>
      <c r="J24" s="413"/>
      <c r="K24" s="411" t="s">
        <v>1289</v>
      </c>
      <c r="L24" s="412" t="s">
        <v>479</v>
      </c>
    </row>
    <row r="25" spans="1:12" hidden="1">
      <c r="A25" s="415"/>
      <c r="B25" s="444" t="s">
        <v>105</v>
      </c>
      <c r="C25" s="445" t="s">
        <v>106</v>
      </c>
      <c r="D25" s="444" t="s">
        <v>107</v>
      </c>
      <c r="E25" s="418" t="s">
        <v>108</v>
      </c>
      <c r="F25" s="418" t="s">
        <v>109</v>
      </c>
      <c r="G25" s="514" t="s">
        <v>1276</v>
      </c>
      <c r="H25" s="445" t="s">
        <v>111</v>
      </c>
      <c r="I25" s="418" t="s">
        <v>112</v>
      </c>
      <c r="J25" s="418"/>
      <c r="K25" s="444" t="s">
        <v>1365</v>
      </c>
      <c r="L25" s="417" t="s">
        <v>113</v>
      </c>
    </row>
    <row r="26" spans="1:12" hidden="1">
      <c r="A26" s="423" t="s">
        <v>321</v>
      </c>
      <c r="B26" s="490">
        <f t="shared" ref="B26:L36" si="0">B6/B$15*100</f>
        <v>86.965861730497821</v>
      </c>
      <c r="C26" s="555">
        <f t="shared" si="0"/>
        <v>141.44011266567924</v>
      </c>
      <c r="D26" s="490">
        <f t="shared" si="0"/>
        <v>194896.20088965254</v>
      </c>
      <c r="E26" s="491">
        <f t="shared" si="0"/>
        <v>68.680169404591467</v>
      </c>
      <c r="F26" s="491">
        <f t="shared" si="0"/>
        <v>86.01018191495973</v>
      </c>
      <c r="G26" s="533">
        <f t="shared" si="0"/>
        <v>-492.17464017834294</v>
      </c>
      <c r="H26" s="491" t="e">
        <f t="shared" si="0"/>
        <v>#NUM!</v>
      </c>
      <c r="I26" s="555">
        <f t="shared" si="0"/>
        <v>122.13746826046952</v>
      </c>
      <c r="J26" s="491"/>
      <c r="K26" s="491">
        <f t="shared" si="0"/>
        <v>185.1723692732601</v>
      </c>
      <c r="L26" s="491">
        <f t="shared" si="0"/>
        <v>114.46706617374956</v>
      </c>
    </row>
    <row r="27" spans="1:12" hidden="1">
      <c r="A27" s="422" t="s">
        <v>370</v>
      </c>
      <c r="B27" s="492">
        <f t="shared" si="0"/>
        <v>147.23548488802459</v>
      </c>
      <c r="C27" s="556">
        <f t="shared" si="0"/>
        <v>199.06664197381878</v>
      </c>
      <c r="D27" s="535">
        <f t="shared" si="0"/>
        <v>11.640612577751257</v>
      </c>
      <c r="E27" s="486" t="s">
        <v>75</v>
      </c>
      <c r="F27" s="486">
        <f t="shared" si="0"/>
        <v>-2.3900609451894534</v>
      </c>
      <c r="G27" s="536">
        <f t="shared" si="0"/>
        <v>-2257.3909530654282</v>
      </c>
      <c r="H27" s="493" t="e">
        <f t="shared" si="0"/>
        <v>#NUM!</v>
      </c>
      <c r="I27" s="556">
        <f t="shared" si="0"/>
        <v>182.96464430306878</v>
      </c>
      <c r="J27" s="493"/>
      <c r="K27" s="493">
        <f t="shared" si="0"/>
        <v>406.86196887075505</v>
      </c>
      <c r="L27" s="493">
        <f t="shared" si="0"/>
        <v>267.79997793731252</v>
      </c>
    </row>
    <row r="28" spans="1:12" hidden="1">
      <c r="A28" s="422" t="s">
        <v>371</v>
      </c>
      <c r="B28" s="492">
        <f t="shared" si="0"/>
        <v>145.28572315070647</v>
      </c>
      <c r="C28" s="557">
        <f t="shared" si="0"/>
        <v>227.67720216682648</v>
      </c>
      <c r="D28" s="492" t="s">
        <v>75</v>
      </c>
      <c r="E28" s="493" t="s">
        <v>75</v>
      </c>
      <c r="F28" s="493">
        <f t="shared" si="0"/>
        <v>64.456988416943332</v>
      </c>
      <c r="G28" s="534">
        <f t="shared" si="0"/>
        <v>-431.43199983888127</v>
      </c>
      <c r="H28" s="493" t="e">
        <f t="shared" si="0"/>
        <v>#NUM!</v>
      </c>
      <c r="I28" s="557">
        <f t="shared" si="0"/>
        <v>176.58696364246057</v>
      </c>
      <c r="J28" s="493"/>
      <c r="K28" s="493">
        <f t="shared" si="0"/>
        <v>261.59146441979374</v>
      </c>
      <c r="L28" s="493">
        <f t="shared" si="0"/>
        <v>104.83894043541841</v>
      </c>
    </row>
    <row r="29" spans="1:12" hidden="1">
      <c r="A29" s="422" t="s">
        <v>372</v>
      </c>
      <c r="B29" s="492">
        <f t="shared" si="0"/>
        <v>112.69509820229963</v>
      </c>
      <c r="C29" s="557">
        <f t="shared" si="0"/>
        <v>123.6794502779115</v>
      </c>
      <c r="D29" s="492">
        <f t="shared" si="0"/>
        <v>0.50230101399604132</v>
      </c>
      <c r="E29" s="493">
        <f t="shared" si="0"/>
        <v>547.20502189276874</v>
      </c>
      <c r="F29" s="493">
        <f t="shared" si="0"/>
        <v>72.246656458644651</v>
      </c>
      <c r="G29" s="534">
        <f t="shared" si="0"/>
        <v>10.000401061285041</v>
      </c>
      <c r="H29" s="493" t="e">
        <f t="shared" si="0"/>
        <v>#NUM!</v>
      </c>
      <c r="I29" s="557">
        <f t="shared" si="0"/>
        <v>144.26709389951188</v>
      </c>
      <c r="J29" s="493"/>
      <c r="K29" s="493">
        <f t="shared" si="0"/>
        <v>200.16360730408692</v>
      </c>
      <c r="L29" s="493">
        <f t="shared" si="0"/>
        <v>91.462110317578848</v>
      </c>
    </row>
    <row r="30" spans="1:12" hidden="1">
      <c r="A30" s="422" t="s">
        <v>373</v>
      </c>
      <c r="B30" s="492">
        <f t="shared" si="0"/>
        <v>103.38891325267956</v>
      </c>
      <c r="C30" s="557">
        <f t="shared" si="0"/>
        <v>67.776886745618754</v>
      </c>
      <c r="D30" s="492">
        <f t="shared" si="0"/>
        <v>44.97799539253117</v>
      </c>
      <c r="E30" s="493">
        <f t="shared" si="0"/>
        <v>101.56293796100053</v>
      </c>
      <c r="F30" s="493">
        <f t="shared" si="0"/>
        <v>36.034329752071827</v>
      </c>
      <c r="G30" s="534">
        <f t="shared" si="0"/>
        <v>-634.85018592554957</v>
      </c>
      <c r="H30" s="493" t="e">
        <f t="shared" si="0"/>
        <v>#NUM!</v>
      </c>
      <c r="I30" s="557">
        <f t="shared" si="0"/>
        <v>166.25032263955788</v>
      </c>
      <c r="J30" s="493"/>
      <c r="K30" s="493">
        <f t="shared" si="0"/>
        <v>222.22303608248163</v>
      </c>
      <c r="L30" s="493">
        <f t="shared" si="0"/>
        <v>110.72401681413628</v>
      </c>
    </row>
    <row r="31" spans="1:12" hidden="1">
      <c r="A31" s="422" t="s">
        <v>374</v>
      </c>
      <c r="B31" s="492">
        <f t="shared" si="0"/>
        <v>93.155076381498731</v>
      </c>
      <c r="C31" s="557">
        <f t="shared" si="0"/>
        <v>213.85471689514426</v>
      </c>
      <c r="D31" s="492">
        <f t="shared" si="0"/>
        <v>14.469287186050703</v>
      </c>
      <c r="E31" s="493" t="s">
        <v>75</v>
      </c>
      <c r="F31" s="493">
        <f t="shared" si="0"/>
        <v>67.931635303134811</v>
      </c>
      <c r="G31" s="534">
        <f t="shared" si="0"/>
        <v>-158.13717073041406</v>
      </c>
      <c r="H31" s="493" t="e">
        <f t="shared" si="0"/>
        <v>#NUM!</v>
      </c>
      <c r="I31" s="557">
        <f t="shared" si="0"/>
        <v>126.56560109904045</v>
      </c>
      <c r="J31" s="493"/>
      <c r="K31" s="493">
        <f t="shared" si="0"/>
        <v>182.21017668787883</v>
      </c>
      <c r="L31" s="493">
        <f t="shared" si="0"/>
        <v>97.902870481567462</v>
      </c>
    </row>
    <row r="32" spans="1:12" hidden="1">
      <c r="A32" s="422" t="s">
        <v>375</v>
      </c>
      <c r="B32" s="492">
        <f t="shared" si="0"/>
        <v>70.98264371817443</v>
      </c>
      <c r="C32" s="557">
        <f t="shared" si="0"/>
        <v>175.07564528257075</v>
      </c>
      <c r="D32" s="492">
        <f t="shared" si="0"/>
        <v>13.173132075446315</v>
      </c>
      <c r="E32" s="493">
        <f t="shared" si="0"/>
        <v>-231.26529124480396</v>
      </c>
      <c r="F32" s="493">
        <f t="shared" si="0"/>
        <v>123.79578748354112</v>
      </c>
      <c r="G32" s="534">
        <f t="shared" si="0"/>
        <v>-120.78212445537795</v>
      </c>
      <c r="H32" s="493" t="e">
        <f t="shared" si="0"/>
        <v>#NUM!</v>
      </c>
      <c r="I32" s="557">
        <f t="shared" si="0"/>
        <v>113.77403311653693</v>
      </c>
      <c r="J32" s="493"/>
      <c r="K32" s="493">
        <f t="shared" si="0"/>
        <v>167.46528662631488</v>
      </c>
      <c r="L32" s="493">
        <f t="shared" si="0"/>
        <v>87.612492762901795</v>
      </c>
    </row>
    <row r="33" spans="1:12" hidden="1">
      <c r="A33" s="422" t="s">
        <v>376</v>
      </c>
      <c r="B33" s="492">
        <f t="shared" si="0"/>
        <v>54.405292431609752</v>
      </c>
      <c r="C33" s="557">
        <f t="shared" si="0"/>
        <v>120.22041465004301</v>
      </c>
      <c r="D33" s="492">
        <f t="shared" si="0"/>
        <v>75.418294536401845</v>
      </c>
      <c r="E33" s="493">
        <f t="shared" si="0"/>
        <v>106.20674869484836</v>
      </c>
      <c r="F33" s="493">
        <f t="shared" si="0"/>
        <v>42.107967814192946</v>
      </c>
      <c r="G33" s="534">
        <f t="shared" si="0"/>
        <v>-442.71336655180909</v>
      </c>
      <c r="H33" s="493" t="e">
        <f t="shared" si="0"/>
        <v>#NUM!</v>
      </c>
      <c r="I33" s="557">
        <f t="shared" si="0"/>
        <v>88.230449958444126</v>
      </c>
      <c r="J33" s="493"/>
      <c r="K33" s="493">
        <f t="shared" si="0"/>
        <v>132.77076062712905</v>
      </c>
      <c r="L33" s="493">
        <f t="shared" si="0"/>
        <v>75.216589759787084</v>
      </c>
    </row>
    <row r="34" spans="1:12" hidden="1">
      <c r="A34" s="422" t="s">
        <v>377</v>
      </c>
      <c r="B34" s="492">
        <f t="shared" si="0"/>
        <v>86.010905065724756</v>
      </c>
      <c r="C34" s="557">
        <f t="shared" si="0"/>
        <v>148.06254701308066</v>
      </c>
      <c r="D34" s="492">
        <f t="shared" si="0"/>
        <v>32.706141022026436</v>
      </c>
      <c r="E34" s="493">
        <f t="shared" si="0"/>
        <v>-109.60614962429108</v>
      </c>
      <c r="F34" s="493">
        <f t="shared" si="0"/>
        <v>-17.996505450054485</v>
      </c>
      <c r="G34" s="534">
        <f t="shared" si="0"/>
        <v>-766.07522773758342</v>
      </c>
      <c r="H34" s="493" t="e">
        <f t="shared" si="0"/>
        <v>#NUM!</v>
      </c>
      <c r="I34" s="557">
        <f t="shared" si="0"/>
        <v>126.01934412202678</v>
      </c>
      <c r="J34" s="493"/>
      <c r="K34" s="493">
        <f t="shared" si="0"/>
        <v>204.84115604536646</v>
      </c>
      <c r="L34" s="493">
        <f t="shared" si="0"/>
        <v>158.12718809764141</v>
      </c>
    </row>
    <row r="35" spans="1:12" hidden="1">
      <c r="A35" s="422" t="s">
        <v>378</v>
      </c>
      <c r="B35" s="492">
        <f t="shared" si="0"/>
        <v>100</v>
      </c>
      <c r="C35" s="557">
        <f t="shared" si="0"/>
        <v>100</v>
      </c>
      <c r="D35" s="492">
        <f t="shared" si="0"/>
        <v>100</v>
      </c>
      <c r="E35" s="493">
        <f t="shared" si="0"/>
        <v>100</v>
      </c>
      <c r="F35" s="493">
        <f t="shared" si="0"/>
        <v>100</v>
      </c>
      <c r="G35" s="534">
        <f t="shared" si="0"/>
        <v>100</v>
      </c>
      <c r="H35" s="493" t="e">
        <f t="shared" si="0"/>
        <v>#NUM!</v>
      </c>
      <c r="I35" s="557">
        <f t="shared" si="0"/>
        <v>100</v>
      </c>
      <c r="J35" s="493"/>
      <c r="K35" s="493">
        <f t="shared" si="0"/>
        <v>100</v>
      </c>
      <c r="L35" s="493">
        <f t="shared" si="0"/>
        <v>100</v>
      </c>
    </row>
    <row r="36" spans="1:12" hidden="1">
      <c r="A36" s="423" t="s">
        <v>379</v>
      </c>
      <c r="B36" s="490">
        <f t="shared" si="0"/>
        <v>76.860105005570063</v>
      </c>
      <c r="C36" s="555">
        <f t="shared" si="0"/>
        <v>199.41668301984265</v>
      </c>
      <c r="D36" s="490">
        <f t="shared" si="0"/>
        <v>3.535247777776628</v>
      </c>
      <c r="E36" s="491">
        <f t="shared" si="0"/>
        <v>-34.696580714918852</v>
      </c>
      <c r="F36" s="491">
        <f t="shared" si="0"/>
        <v>144.81140125881936</v>
      </c>
      <c r="G36" s="533">
        <f t="shared" si="0"/>
        <v>131.04011671095046</v>
      </c>
      <c r="H36" s="491" t="e">
        <f t="shared" si="0"/>
        <v>#NUM!</v>
      </c>
      <c r="I36" s="555">
        <f t="shared" si="0"/>
        <v>122.58982894427946</v>
      </c>
      <c r="J36" s="490"/>
      <c r="K36" s="490">
        <f t="shared" si="0"/>
        <v>134.6365692596747</v>
      </c>
      <c r="L36" s="491">
        <f t="shared" si="0"/>
        <v>89.415001862438857</v>
      </c>
    </row>
    <row r="37" spans="1:12" hidden="1">
      <c r="A37" s="409" t="s">
        <v>1366</v>
      </c>
    </row>
    <row r="38" spans="1:12" hidden="1"/>
    <row r="39" spans="1:12" hidden="1"/>
    <row r="40" spans="1:12" hidden="1"/>
  </sheetData>
  <pageMargins left="0.75" right="0.75" top="1" bottom="1" header="0.5" footer="0.5"/>
  <pageSetup orientation="landscape" horizontalDpi="1200" verticalDpi="1200" r:id="rId1"/>
  <headerFooter alignWithMargins="0"/>
</worksheet>
</file>

<file path=xl/worksheets/sheet14.xml><?xml version="1.0" encoding="utf-8"?>
<worksheet xmlns="http://schemas.openxmlformats.org/spreadsheetml/2006/main" xmlns:r="http://schemas.openxmlformats.org/officeDocument/2006/relationships">
  <dimension ref="A1:EH55"/>
  <sheetViews>
    <sheetView view="pageBreakPreview" zoomScaleSheetLayoutView="100" workbookViewId="0">
      <pane xSplit="1" ySplit="4" topLeftCell="BF19" activePane="bottomRight" state="frozen"/>
      <selection activeCell="E9" sqref="E9"/>
      <selection pane="topRight" activeCell="E9" sqref="E9"/>
      <selection pane="bottomLeft" activeCell="E9" sqref="E9"/>
      <selection pane="bottomRight" activeCell="E9" sqref="E9"/>
    </sheetView>
  </sheetViews>
  <sheetFormatPr defaultRowHeight="12.75"/>
  <cols>
    <col min="1" max="1" width="8.875" style="1" customWidth="1"/>
    <col min="2" max="67" width="13.25" style="1" customWidth="1"/>
    <col min="68" max="129" width="10.75" style="1" customWidth="1"/>
    <col min="130" max="16384" width="9" style="1"/>
  </cols>
  <sheetData>
    <row r="1" spans="1:138" ht="15.75">
      <c r="B1" s="2" t="s">
        <v>164</v>
      </c>
      <c r="N1" s="2" t="s">
        <v>165</v>
      </c>
      <c r="Z1" s="2" t="s">
        <v>166</v>
      </c>
      <c r="AL1" s="2" t="s">
        <v>167</v>
      </c>
      <c r="AX1" s="2" t="s">
        <v>168</v>
      </c>
      <c r="BJ1" s="2" t="s">
        <v>169</v>
      </c>
    </row>
    <row r="3" spans="1:138" s="3" customFormat="1" ht="15">
      <c r="B3" s="3" t="s">
        <v>321</v>
      </c>
      <c r="H3" s="3" t="s">
        <v>370</v>
      </c>
      <c r="N3" s="3" t="s">
        <v>371</v>
      </c>
      <c r="T3" s="3" t="s">
        <v>372</v>
      </c>
      <c r="Z3" s="3" t="s">
        <v>373</v>
      </c>
      <c r="AF3" s="3" t="s">
        <v>374</v>
      </c>
      <c r="AL3" s="3" t="s">
        <v>375</v>
      </c>
      <c r="AR3" s="3" t="s">
        <v>376</v>
      </c>
      <c r="AX3" s="3" t="s">
        <v>377</v>
      </c>
      <c r="BD3" s="3" t="s">
        <v>378</v>
      </c>
      <c r="BJ3" s="3" t="s">
        <v>379</v>
      </c>
    </row>
    <row r="4" spans="1:138" s="4" customFormat="1" ht="51">
      <c r="B4" s="4" t="s">
        <v>688</v>
      </c>
      <c r="C4" s="4" t="s">
        <v>322</v>
      </c>
      <c r="D4" s="4" t="s">
        <v>689</v>
      </c>
      <c r="E4" s="4" t="s">
        <v>686</v>
      </c>
      <c r="F4" s="4" t="s">
        <v>369</v>
      </c>
      <c r="G4" s="4" t="s">
        <v>687</v>
      </c>
      <c r="H4" s="4" t="s">
        <v>688</v>
      </c>
      <c r="I4" s="4" t="s">
        <v>322</v>
      </c>
      <c r="J4" s="4" t="s">
        <v>689</v>
      </c>
      <c r="K4" s="4" t="s">
        <v>686</v>
      </c>
      <c r="L4" s="4" t="s">
        <v>369</v>
      </c>
      <c r="M4" s="4" t="s">
        <v>687</v>
      </c>
      <c r="N4" s="4" t="s">
        <v>688</v>
      </c>
      <c r="O4" s="4" t="s">
        <v>322</v>
      </c>
      <c r="P4" s="4" t="s">
        <v>689</v>
      </c>
      <c r="Q4" s="4" t="s">
        <v>686</v>
      </c>
      <c r="R4" s="4" t="s">
        <v>369</v>
      </c>
      <c r="S4" s="4" t="s">
        <v>687</v>
      </c>
      <c r="T4" s="4" t="s">
        <v>688</v>
      </c>
      <c r="U4" s="4" t="s">
        <v>322</v>
      </c>
      <c r="V4" s="4" t="s">
        <v>689</v>
      </c>
      <c r="W4" s="4" t="s">
        <v>686</v>
      </c>
      <c r="X4" s="4" t="s">
        <v>369</v>
      </c>
      <c r="Y4" s="4" t="s">
        <v>687</v>
      </c>
      <c r="Z4" s="4" t="s">
        <v>688</v>
      </c>
      <c r="AA4" s="4" t="s">
        <v>322</v>
      </c>
      <c r="AB4" s="4" t="s">
        <v>689</v>
      </c>
      <c r="AC4" s="4" t="s">
        <v>686</v>
      </c>
      <c r="AD4" s="4" t="s">
        <v>369</v>
      </c>
      <c r="AE4" s="4" t="s">
        <v>687</v>
      </c>
      <c r="AF4" s="4" t="s">
        <v>688</v>
      </c>
      <c r="AG4" s="4" t="s">
        <v>322</v>
      </c>
      <c r="AH4" s="4" t="s">
        <v>689</v>
      </c>
      <c r="AI4" s="4" t="s">
        <v>686</v>
      </c>
      <c r="AJ4" s="4" t="s">
        <v>369</v>
      </c>
      <c r="AK4" s="4" t="s">
        <v>687</v>
      </c>
      <c r="AL4" s="4" t="s">
        <v>688</v>
      </c>
      <c r="AM4" s="4" t="s">
        <v>322</v>
      </c>
      <c r="AN4" s="4" t="s">
        <v>689</v>
      </c>
      <c r="AO4" s="4" t="s">
        <v>686</v>
      </c>
      <c r="AP4" s="4" t="s">
        <v>369</v>
      </c>
      <c r="AQ4" s="4" t="s">
        <v>687</v>
      </c>
      <c r="AR4" s="4" t="s">
        <v>688</v>
      </c>
      <c r="AS4" s="4" t="s">
        <v>322</v>
      </c>
      <c r="AT4" s="4" t="s">
        <v>689</v>
      </c>
      <c r="AU4" s="4" t="s">
        <v>686</v>
      </c>
      <c r="AV4" s="4" t="s">
        <v>369</v>
      </c>
      <c r="AW4" s="4" t="s">
        <v>687</v>
      </c>
      <c r="AX4" s="4" t="s">
        <v>688</v>
      </c>
      <c r="AY4" s="4" t="s">
        <v>322</v>
      </c>
      <c r="AZ4" s="4" t="s">
        <v>689</v>
      </c>
      <c r="BA4" s="4" t="s">
        <v>686</v>
      </c>
      <c r="BB4" s="4" t="s">
        <v>369</v>
      </c>
      <c r="BC4" s="4" t="s">
        <v>687</v>
      </c>
      <c r="BD4" s="4" t="s">
        <v>688</v>
      </c>
      <c r="BE4" s="4" t="s">
        <v>322</v>
      </c>
      <c r="BF4" s="4" t="s">
        <v>689</v>
      </c>
      <c r="BG4" s="4" t="s">
        <v>686</v>
      </c>
      <c r="BH4" s="4" t="s">
        <v>369</v>
      </c>
      <c r="BI4" s="4" t="s">
        <v>687</v>
      </c>
      <c r="BJ4" s="4" t="s">
        <v>688</v>
      </c>
      <c r="BK4" s="4" t="s">
        <v>322</v>
      </c>
      <c r="BL4" s="4" t="s">
        <v>689</v>
      </c>
      <c r="BM4" s="4" t="s">
        <v>686</v>
      </c>
      <c r="BN4" s="4" t="s">
        <v>369</v>
      </c>
      <c r="BO4" s="4" t="s">
        <v>687</v>
      </c>
    </row>
    <row r="5" spans="1:138" s="4" customFormat="1" hidden="1"/>
    <row r="6" spans="1:138" s="4" customFormat="1">
      <c r="B6" s="4" t="s">
        <v>105</v>
      </c>
      <c r="C6" s="4" t="s">
        <v>106</v>
      </c>
      <c r="D6" s="4" t="s">
        <v>163</v>
      </c>
      <c r="E6" s="4" t="s">
        <v>107</v>
      </c>
      <c r="F6" s="4" t="s">
        <v>108</v>
      </c>
      <c r="G6" s="4" t="s">
        <v>366</v>
      </c>
      <c r="H6" s="4" t="s">
        <v>110</v>
      </c>
      <c r="I6" s="4" t="s">
        <v>111</v>
      </c>
      <c r="J6" s="4" t="s">
        <v>677</v>
      </c>
      <c r="K6" s="4" t="s">
        <v>112</v>
      </c>
      <c r="L6" s="4" t="s">
        <v>138</v>
      </c>
      <c r="M6" s="4" t="s">
        <v>367</v>
      </c>
      <c r="N6" s="4" t="s">
        <v>105</v>
      </c>
      <c r="O6" s="4" t="s">
        <v>106</v>
      </c>
      <c r="P6" s="4" t="s">
        <v>163</v>
      </c>
      <c r="Q6" s="4" t="s">
        <v>107</v>
      </c>
      <c r="R6" s="4" t="s">
        <v>108</v>
      </c>
      <c r="S6" s="4" t="s">
        <v>366</v>
      </c>
      <c r="T6" s="4" t="s">
        <v>110</v>
      </c>
      <c r="U6" s="4" t="s">
        <v>111</v>
      </c>
      <c r="V6" s="4" t="s">
        <v>677</v>
      </c>
      <c r="W6" s="4" t="s">
        <v>112</v>
      </c>
      <c r="X6" s="4" t="s">
        <v>138</v>
      </c>
      <c r="Y6" s="4" t="s">
        <v>367</v>
      </c>
      <c r="Z6" s="4" t="s">
        <v>105</v>
      </c>
      <c r="AA6" s="4" t="s">
        <v>106</v>
      </c>
      <c r="AB6" s="4" t="s">
        <v>163</v>
      </c>
      <c r="AC6" s="4" t="s">
        <v>107</v>
      </c>
      <c r="AD6" s="4" t="s">
        <v>108</v>
      </c>
      <c r="AE6" s="4" t="s">
        <v>366</v>
      </c>
      <c r="AF6" s="4" t="s">
        <v>110</v>
      </c>
      <c r="AG6" s="4" t="s">
        <v>111</v>
      </c>
      <c r="AH6" s="4" t="s">
        <v>677</v>
      </c>
      <c r="AI6" s="4" t="s">
        <v>112</v>
      </c>
      <c r="AJ6" s="4" t="s">
        <v>138</v>
      </c>
      <c r="AK6" s="4" t="s">
        <v>367</v>
      </c>
      <c r="AL6" s="4" t="s">
        <v>105</v>
      </c>
      <c r="AM6" s="4" t="s">
        <v>106</v>
      </c>
      <c r="AN6" s="4" t="s">
        <v>163</v>
      </c>
      <c r="AO6" s="4" t="s">
        <v>107</v>
      </c>
      <c r="AP6" s="4" t="s">
        <v>108</v>
      </c>
      <c r="AQ6" s="4" t="s">
        <v>366</v>
      </c>
      <c r="AR6" s="4" t="s">
        <v>110</v>
      </c>
      <c r="AS6" s="4" t="s">
        <v>111</v>
      </c>
      <c r="AT6" s="4" t="s">
        <v>677</v>
      </c>
      <c r="AU6" s="4" t="s">
        <v>112</v>
      </c>
      <c r="AV6" s="4" t="s">
        <v>138</v>
      </c>
      <c r="AW6" s="4" t="s">
        <v>367</v>
      </c>
      <c r="AX6" s="4" t="s">
        <v>105</v>
      </c>
      <c r="AY6" s="4" t="s">
        <v>106</v>
      </c>
      <c r="AZ6" s="4" t="s">
        <v>163</v>
      </c>
      <c r="BA6" s="4" t="s">
        <v>107</v>
      </c>
      <c r="BB6" s="4" t="s">
        <v>108</v>
      </c>
      <c r="BC6" s="4" t="s">
        <v>366</v>
      </c>
      <c r="BD6" s="4" t="s">
        <v>110</v>
      </c>
      <c r="BE6" s="4" t="s">
        <v>111</v>
      </c>
      <c r="BF6" s="4" t="s">
        <v>677</v>
      </c>
      <c r="BG6" s="4" t="s">
        <v>112</v>
      </c>
      <c r="BH6" s="4" t="s">
        <v>138</v>
      </c>
      <c r="BI6" s="4" t="s">
        <v>367</v>
      </c>
      <c r="BJ6" s="4" t="s">
        <v>105</v>
      </c>
      <c r="BK6" s="4" t="s">
        <v>106</v>
      </c>
      <c r="BL6" s="4" t="s">
        <v>163</v>
      </c>
      <c r="BM6" s="4" t="s">
        <v>107</v>
      </c>
      <c r="BN6" s="4" t="s">
        <v>108</v>
      </c>
      <c r="BO6" s="4" t="s">
        <v>366</v>
      </c>
    </row>
    <row r="7" spans="1:138" s="4" customFormat="1" hidden="1"/>
    <row r="8" spans="1:138" hidden="1">
      <c r="A8" s="1">
        <v>1971</v>
      </c>
      <c r="B8" s="6">
        <v>20.9</v>
      </c>
      <c r="C8" s="7">
        <v>54874.896449239714</v>
      </c>
      <c r="D8" s="7">
        <f>C8/B8*100</f>
        <v>262559.31315425702</v>
      </c>
      <c r="E8" s="117">
        <f t="shared" ref="E8:E16" si="0">E9/(D9/D8)</f>
        <v>251534.2968952673</v>
      </c>
      <c r="F8" s="7">
        <v>21962032</v>
      </c>
      <c r="G8" s="7">
        <f>E8*1000000/F8</f>
        <v>11453.143174332288</v>
      </c>
      <c r="H8" s="6">
        <v>21.945000000000004</v>
      </c>
      <c r="I8" s="7">
        <v>896.54659949622203</v>
      </c>
      <c r="J8" s="7">
        <f>I8/H8*100</f>
        <v>4085.4253793402686</v>
      </c>
      <c r="K8" s="117">
        <f t="shared" ref="K8:K16" si="1">K9/(J9/J8)</f>
        <v>3950.4919041363432</v>
      </c>
      <c r="L8" s="7">
        <v>530854</v>
      </c>
      <c r="M8" s="7">
        <f t="shared" ref="M8:M17" si="2">K8*1000000/L8</f>
        <v>7441.7672356925686</v>
      </c>
      <c r="N8" s="6">
        <v>21.997250000000001</v>
      </c>
      <c r="O8" s="7">
        <v>251.96266666666668</v>
      </c>
      <c r="P8" s="7">
        <f>O8/N8*100</f>
        <v>1145.428026988222</v>
      </c>
      <c r="Q8" s="117">
        <f t="shared" ref="Q8:Q16" si="3">Q9/(P9/P8)</f>
        <v>1115.2905749582328</v>
      </c>
      <c r="R8" s="7">
        <v>112591</v>
      </c>
      <c r="S8" s="7">
        <f t="shared" ref="S8:S17" si="4">Q8*1000000/R8</f>
        <v>9905.6814040041645</v>
      </c>
      <c r="T8" s="6">
        <v>21.422500000000003</v>
      </c>
      <c r="U8" s="7">
        <v>1749.0835168558358</v>
      </c>
      <c r="V8" s="7">
        <f t="shared" ref="V8:V17" si="5">U8/T8*100</f>
        <v>8164.7030778659609</v>
      </c>
      <c r="W8" s="117">
        <f t="shared" ref="W8:W16" si="6">W9/(V9/V8)</f>
        <v>8749.2572090750109</v>
      </c>
      <c r="X8" s="7">
        <v>797294</v>
      </c>
      <c r="Y8" s="7">
        <f t="shared" ref="Y8:Y17" si="7">W8*1000000/X8</f>
        <v>10973.690017829069</v>
      </c>
      <c r="Z8" s="6">
        <v>21.474749999999993</v>
      </c>
      <c r="AA8" s="7">
        <v>1310.3968253968255</v>
      </c>
      <c r="AB8" s="7">
        <f>AA8/Z8*100</f>
        <v>6102.0352991155942</v>
      </c>
      <c r="AC8" s="117">
        <f t="shared" ref="AC8:AC16" si="8">AC9/(AB9/AB8)</f>
        <v>5720.7837850173664</v>
      </c>
      <c r="AD8" s="7">
        <v>642471</v>
      </c>
      <c r="AE8" s="7">
        <f>AC8*1000000/AD8</f>
        <v>8904.3455424717486</v>
      </c>
      <c r="AF8" s="6">
        <v>21.161249999999995</v>
      </c>
      <c r="AG8" s="7">
        <v>13631.02937349346</v>
      </c>
      <c r="AH8" s="7">
        <f>AG8/AF8*100</f>
        <v>64415.048135121811</v>
      </c>
      <c r="AI8" s="117">
        <f t="shared" ref="AI8:AI16" si="9">AI9/(AH9/AH8)</f>
        <v>60621.181150435805</v>
      </c>
      <c r="AJ8" s="7">
        <v>6137305</v>
      </c>
      <c r="AK8" s="7">
        <f>AI8*1000000/AJ8</f>
        <v>9877.4920181473481</v>
      </c>
      <c r="AL8" s="6">
        <v>20.377499999999994</v>
      </c>
      <c r="AM8" s="7">
        <v>21543.078449053202</v>
      </c>
      <c r="AN8" s="7">
        <f>AM8/AL8*100</f>
        <v>105719.92859307182</v>
      </c>
      <c r="AO8" s="117">
        <f t="shared" ref="AO8:AO16" si="10">AO9/(AN9/AN8)</f>
        <v>101444.02007652487</v>
      </c>
      <c r="AP8" s="7">
        <v>7849027</v>
      </c>
      <c r="AQ8" s="7">
        <f>AO8*1000000/AP8</f>
        <v>12924.407073198356</v>
      </c>
      <c r="AR8" s="6">
        <v>20.9</v>
      </c>
      <c r="AS8" s="7">
        <v>2388.3357967068591</v>
      </c>
      <c r="AT8" s="7">
        <f>AS8/AR8*100</f>
        <v>11427.444003382103</v>
      </c>
      <c r="AU8" s="117">
        <f t="shared" ref="AU8:AU16" si="11">AU9/(AT9/AT8)</f>
        <v>10950.878706614143</v>
      </c>
      <c r="AV8" s="7">
        <v>998876</v>
      </c>
      <c r="AW8" s="7">
        <f>AU8*1000000/AV8</f>
        <v>10963.201344925839</v>
      </c>
      <c r="AX8" s="6">
        <v>21.004499999999993</v>
      </c>
      <c r="AY8" s="7">
        <v>1897.6632710019542</v>
      </c>
      <c r="AZ8" s="7">
        <f>AY8/AX8*100</f>
        <v>9034.5557904351681</v>
      </c>
      <c r="BA8" s="117">
        <f t="shared" ref="BA8:BA16" si="12">BA9/(AZ9/AZ8)</f>
        <v>8461.7187210531392</v>
      </c>
      <c r="BB8" s="7">
        <v>932038</v>
      </c>
      <c r="BC8" s="7">
        <f>BA8*1000000/BB8</f>
        <v>9078.7271774896944</v>
      </c>
      <c r="BD8" s="6">
        <v>20.9</v>
      </c>
      <c r="BE8" s="7">
        <v>4251.8264236471805</v>
      </c>
      <c r="BF8" s="7">
        <f>BE8/BD8*100</f>
        <v>20343.667098790338</v>
      </c>
      <c r="BG8" s="117">
        <f t="shared" ref="BG8:BG16" si="13">BG9/(BF9/BF8)</f>
        <v>19170.911443264442</v>
      </c>
      <c r="BH8" s="7">
        <v>1665717</v>
      </c>
      <c r="BI8" s="7">
        <f>BG8*1000000/BH8</f>
        <v>11509.104753847409</v>
      </c>
      <c r="BJ8" s="6">
        <v>21.683750000000003</v>
      </c>
      <c r="BK8" s="7">
        <v>6431.875</v>
      </c>
      <c r="BL8" s="7">
        <f>BK8/BJ8*100</f>
        <v>29662.189427566722</v>
      </c>
      <c r="BM8" s="117">
        <f t="shared" ref="BM8:BM16" si="14">BM9/(BL9/BL8)</f>
        <v>29920.188716120178</v>
      </c>
      <c r="BN8" s="7">
        <v>2240470</v>
      </c>
      <c r="BO8" s="7">
        <f>BM8*1000000/BN8</f>
        <v>13354.425060866773</v>
      </c>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row>
    <row r="9" spans="1:138" hidden="1">
      <c r="A9" s="1">
        <v>1972</v>
      </c>
      <c r="B9" s="6">
        <v>21.9</v>
      </c>
      <c r="C9" s="7">
        <v>61400.457475642812</v>
      </c>
      <c r="D9" s="7">
        <f t="shared" ref="D9:D41" si="15">C9/B9*100</f>
        <v>280367.38573352882</v>
      </c>
      <c r="E9" s="117">
        <f t="shared" si="0"/>
        <v>268594.5982857396</v>
      </c>
      <c r="F9" s="7">
        <v>22218463</v>
      </c>
      <c r="G9" s="7">
        <f t="shared" ref="G9:G17" si="16">E9*1000000/F9</f>
        <v>12088.80192503593</v>
      </c>
      <c r="H9" s="6">
        <v>22.995000000000001</v>
      </c>
      <c r="I9" s="7">
        <v>1032.3324937027712</v>
      </c>
      <c r="J9" s="7">
        <f t="shared" ref="J9:J45" si="17">I9/H9*100</f>
        <v>4489.3780982942862</v>
      </c>
      <c r="K9" s="117">
        <f t="shared" si="1"/>
        <v>4341.1028681626667</v>
      </c>
      <c r="L9" s="7">
        <v>539124</v>
      </c>
      <c r="M9" s="7">
        <f t="shared" si="2"/>
        <v>8052.1417487677536</v>
      </c>
      <c r="N9" s="6">
        <v>23.049750000000003</v>
      </c>
      <c r="O9" s="7">
        <v>283.72266666666673</v>
      </c>
      <c r="P9" s="7">
        <f t="shared" ref="P9:P45" si="18">O9/N9*100</f>
        <v>1230.9142904659125</v>
      </c>
      <c r="Q9" s="117">
        <f t="shared" si="3"/>
        <v>1198.5276022516507</v>
      </c>
      <c r="R9" s="7">
        <v>113460</v>
      </c>
      <c r="S9" s="7">
        <f t="shared" si="4"/>
        <v>10563.437354588848</v>
      </c>
      <c r="T9" s="6">
        <v>22.447500000000002</v>
      </c>
      <c r="U9" s="7">
        <v>1950.788412671523</v>
      </c>
      <c r="V9" s="7">
        <f t="shared" si="5"/>
        <v>8690.4484360018832</v>
      </c>
      <c r="W9" s="117">
        <f t="shared" si="6"/>
        <v>9312.6434487140814</v>
      </c>
      <c r="X9" s="7">
        <v>802255</v>
      </c>
      <c r="Y9" s="7">
        <f t="shared" si="7"/>
        <v>11608.084024049811</v>
      </c>
      <c r="Z9" s="6">
        <v>22.502249999999993</v>
      </c>
      <c r="AA9" s="7">
        <v>1449.3047171920414</v>
      </c>
      <c r="AB9" s="7">
        <f t="shared" ref="AB9:AB45" si="19">AA9/Z9*100</f>
        <v>6440.710227608537</v>
      </c>
      <c r="AC9" s="117">
        <f t="shared" si="8"/>
        <v>6038.2985066374058</v>
      </c>
      <c r="AD9" s="7">
        <v>648769</v>
      </c>
      <c r="AE9" s="7">
        <f t="shared" ref="AE9:AE41" si="20">AC9*1000000/AD9</f>
        <v>9307.316636025158</v>
      </c>
      <c r="AF9" s="6">
        <v>22.173749999999995</v>
      </c>
      <c r="AG9" s="7">
        <v>15362.014932059126</v>
      </c>
      <c r="AH9" s="7">
        <f t="shared" ref="AH9:AH45" si="21">AG9/AF9*100</f>
        <v>69280.184596918116</v>
      </c>
      <c r="AI9" s="117">
        <f t="shared" si="9"/>
        <v>65199.774620605633</v>
      </c>
      <c r="AJ9" s="7">
        <v>6174216</v>
      </c>
      <c r="AK9" s="7">
        <f t="shared" ref="AK9:AK33" si="22">AI9*1000000/AJ9</f>
        <v>10560.008691080071</v>
      </c>
      <c r="AL9" s="6">
        <v>21.352499999999996</v>
      </c>
      <c r="AM9" s="7">
        <v>24009.276465284038</v>
      </c>
      <c r="AN9" s="7">
        <f t="shared" ref="AN9:AN45" si="23">AM9/AL9*100</f>
        <v>112442.46090754733</v>
      </c>
      <c r="AO9" s="117">
        <f t="shared" si="10"/>
        <v>107894.65537443248</v>
      </c>
      <c r="AP9" s="7">
        <v>7963117</v>
      </c>
      <c r="AQ9" s="7">
        <f t="shared" ref="AQ9:AQ22" si="24">AO9*1000000/AP9</f>
        <v>13549.299272437223</v>
      </c>
      <c r="AR9" s="6">
        <v>21.9</v>
      </c>
      <c r="AS9" s="7">
        <v>2658.4334240892003</v>
      </c>
      <c r="AT9" s="7">
        <f t="shared" ref="AT9:AT45" si="25">AS9/AR9*100</f>
        <v>12138.965406800002</v>
      </c>
      <c r="AU9" s="117">
        <f t="shared" si="11"/>
        <v>11632.727122032604</v>
      </c>
      <c r="AV9" s="7">
        <v>1001652</v>
      </c>
      <c r="AW9" s="7">
        <f t="shared" ref="AW9:AW48" si="26">AU9*1000000/AV9</f>
        <v>11613.541551389708</v>
      </c>
      <c r="AX9" s="6">
        <v>22.009499999999996</v>
      </c>
      <c r="AY9" s="7">
        <v>2101.8608707786775</v>
      </c>
      <c r="AZ9" s="7">
        <f t="shared" ref="AZ9:AZ45" si="27">AY9/AX9*100</f>
        <v>9549.7892763519285</v>
      </c>
      <c r="BA9" s="117">
        <f t="shared" si="12"/>
        <v>8944.2837673735103</v>
      </c>
      <c r="BB9" s="7">
        <v>920780</v>
      </c>
      <c r="BC9" s="7">
        <f t="shared" ref="BC9:BC23" si="28">BA9*1000000/BB9</f>
        <v>9713.8119500570283</v>
      </c>
      <c r="BD9" s="6">
        <v>21.9</v>
      </c>
      <c r="BE9" s="7">
        <v>4773.650486353763</v>
      </c>
      <c r="BF9" s="7">
        <f t="shared" ref="BF9:BF45" si="29">BE9/BD9*100</f>
        <v>21797.490805268324</v>
      </c>
      <c r="BG9" s="117">
        <f t="shared" si="13"/>
        <v>20540.926268795341</v>
      </c>
      <c r="BH9" s="7">
        <v>1694090</v>
      </c>
      <c r="BI9" s="7">
        <f t="shared" ref="BI9:BI48" si="30">BG9*1000000/BH9</f>
        <v>12125.050185524584</v>
      </c>
      <c r="BJ9" s="6">
        <v>22.721250000000005</v>
      </c>
      <c r="BK9" s="7">
        <v>7228.2211538461534</v>
      </c>
      <c r="BL9" s="7">
        <f t="shared" ref="BL9:BL45" si="31">BK9/BJ9*100</f>
        <v>31812.60341682853</v>
      </c>
      <c r="BM9" s="117">
        <f t="shared" si="14"/>
        <v>32089.306829724515</v>
      </c>
      <c r="BN9" s="7">
        <v>2302086</v>
      </c>
      <c r="BO9" s="7">
        <f t="shared" ref="BO9:BO45" si="32">BM9*1000000/BN9</f>
        <v>13939.230258871525</v>
      </c>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row>
    <row r="10" spans="1:138" hidden="1">
      <c r="A10" s="1">
        <v>1973</v>
      </c>
      <c r="B10" s="6">
        <v>23.6</v>
      </c>
      <c r="C10" s="7">
        <v>70243.693711606684</v>
      </c>
      <c r="D10" s="7">
        <f>C10/B10*100</f>
        <v>297642.76996443508</v>
      </c>
      <c r="E10" s="117">
        <f t="shared" si="0"/>
        <v>285144.57921733824</v>
      </c>
      <c r="F10" s="7">
        <v>22491777</v>
      </c>
      <c r="G10" s="7">
        <f t="shared" si="16"/>
        <v>12677.725695810441</v>
      </c>
      <c r="H10" s="6">
        <v>24.78</v>
      </c>
      <c r="I10" s="7">
        <v>1205.8866498740558</v>
      </c>
      <c r="J10" s="7">
        <f t="shared" si="17"/>
        <v>4866.370661315802</v>
      </c>
      <c r="K10" s="117">
        <f t="shared" si="1"/>
        <v>4705.6441165887009</v>
      </c>
      <c r="L10" s="7">
        <v>545561</v>
      </c>
      <c r="M10" s="7">
        <f t="shared" si="2"/>
        <v>8625.33083667766</v>
      </c>
      <c r="N10" s="6">
        <v>24.839000000000009</v>
      </c>
      <c r="O10" s="7">
        <v>325.01066666666668</v>
      </c>
      <c r="P10" s="7">
        <f t="shared" si="18"/>
        <v>1308.4692083685597</v>
      </c>
      <c r="Q10" s="117">
        <f t="shared" si="3"/>
        <v>1274.041966262731</v>
      </c>
      <c r="R10" s="7">
        <v>114620</v>
      </c>
      <c r="S10" s="7">
        <f t="shared" si="4"/>
        <v>11115.354792032203</v>
      </c>
      <c r="T10" s="6">
        <v>24.190000000000005</v>
      </c>
      <c r="U10" s="7">
        <v>2224.6003726918516</v>
      </c>
      <c r="V10" s="7">
        <f t="shared" si="5"/>
        <v>9196.3636737984762</v>
      </c>
      <c r="W10" s="117">
        <f t="shared" si="6"/>
        <v>9854.7798251700005</v>
      </c>
      <c r="X10" s="7">
        <v>812386</v>
      </c>
      <c r="Y10" s="7">
        <f t="shared" si="7"/>
        <v>12130.66180998934</v>
      </c>
      <c r="Z10" s="6">
        <v>24.248999999999995</v>
      </c>
      <c r="AA10" s="7">
        <v>1641.6387212161862</v>
      </c>
      <c r="AB10" s="7">
        <f t="shared" si="19"/>
        <v>6769.9233832990503</v>
      </c>
      <c r="AC10" s="117">
        <f t="shared" si="8"/>
        <v>6346.9426213578909</v>
      </c>
      <c r="AD10" s="7">
        <v>656720</v>
      </c>
      <c r="AE10" s="7">
        <f t="shared" si="20"/>
        <v>9664.6099119227238</v>
      </c>
      <c r="AF10" s="6">
        <v>23.895</v>
      </c>
      <c r="AG10" s="7">
        <v>17713.687962627184</v>
      </c>
      <c r="AH10" s="7">
        <f t="shared" si="21"/>
        <v>74131.357868287028</v>
      </c>
      <c r="AI10" s="117">
        <f t="shared" si="9"/>
        <v>69765.227293386604</v>
      </c>
      <c r="AJ10" s="7">
        <v>6213149</v>
      </c>
      <c r="AK10" s="7">
        <f t="shared" si="22"/>
        <v>11228.64223816081</v>
      </c>
      <c r="AL10" s="6">
        <v>23.009999999999998</v>
      </c>
      <c r="AM10" s="7">
        <v>27205.307123534712</v>
      </c>
      <c r="AN10" s="7">
        <f t="shared" si="23"/>
        <v>118232.53856381885</v>
      </c>
      <c r="AO10" s="117">
        <f t="shared" si="10"/>
        <v>113450.54972495078</v>
      </c>
      <c r="AP10" s="7">
        <v>8075547</v>
      </c>
      <c r="AQ10" s="7">
        <f t="shared" si="24"/>
        <v>14048.652026290079</v>
      </c>
      <c r="AR10" s="6">
        <v>23.6</v>
      </c>
      <c r="AS10" s="7">
        <v>3030.4360171139642</v>
      </c>
      <c r="AT10" s="7">
        <f t="shared" si="25"/>
        <v>12840.830580991375</v>
      </c>
      <c r="AU10" s="117">
        <f t="shared" si="11"/>
        <v>12305.322007528568</v>
      </c>
      <c r="AV10" s="7">
        <v>1007358</v>
      </c>
      <c r="AW10" s="7">
        <f t="shared" si="26"/>
        <v>12215.440794165101</v>
      </c>
      <c r="AX10" s="6">
        <v>23.717999999999996</v>
      </c>
      <c r="AY10" s="7">
        <v>2378.7056935528885</v>
      </c>
      <c r="AZ10" s="7">
        <f t="shared" si="27"/>
        <v>10029.115834188755</v>
      </c>
      <c r="BA10" s="117">
        <f t="shared" si="12"/>
        <v>9393.2185685996901</v>
      </c>
      <c r="BB10" s="7">
        <v>911937</v>
      </c>
      <c r="BC10" s="7">
        <f t="shared" si="28"/>
        <v>10300.293297234008</v>
      </c>
      <c r="BD10" s="6">
        <v>23.6</v>
      </c>
      <c r="BE10" s="7">
        <v>5447.9620360751715</v>
      </c>
      <c r="BF10" s="7">
        <f t="shared" si="29"/>
        <v>23084.584898623605</v>
      </c>
      <c r="BG10" s="117">
        <f t="shared" si="13"/>
        <v>21753.822978274533</v>
      </c>
      <c r="BH10" s="7">
        <v>1725327</v>
      </c>
      <c r="BI10" s="7">
        <f t="shared" si="30"/>
        <v>12608.521734299951</v>
      </c>
      <c r="BJ10" s="6">
        <v>24.485000000000007</v>
      </c>
      <c r="BK10" s="7">
        <v>8406.9711538461524</v>
      </c>
      <c r="BL10" s="7">
        <f t="shared" si="31"/>
        <v>34335.189519486012</v>
      </c>
      <c r="BM10" s="117">
        <f t="shared" si="14"/>
        <v>34633.834179213751</v>
      </c>
      <c r="BN10" s="7">
        <v>2367271</v>
      </c>
      <c r="BO10" s="7">
        <f t="shared" si="32"/>
        <v>14630.278569379574</v>
      </c>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row>
    <row r="11" spans="1:138" hidden="1">
      <c r="A11" s="1">
        <v>1974</v>
      </c>
      <c r="B11" s="6">
        <v>26.2</v>
      </c>
      <c r="C11" s="7">
        <v>81894.844281423648</v>
      </c>
      <c r="D11" s="7">
        <f t="shared" si="15"/>
        <v>312575.7415321513</v>
      </c>
      <c r="E11" s="117">
        <f t="shared" si="0"/>
        <v>299450.50673793512</v>
      </c>
      <c r="F11" s="7">
        <v>22807969</v>
      </c>
      <c r="G11" s="7">
        <f t="shared" si="16"/>
        <v>13129.205267594634</v>
      </c>
      <c r="H11" s="6">
        <v>27.509999999999998</v>
      </c>
      <c r="I11" s="7">
        <v>1439.6901763224184</v>
      </c>
      <c r="J11" s="7">
        <f t="shared" si="17"/>
        <v>5233.3339742726957</v>
      </c>
      <c r="K11" s="117">
        <f t="shared" si="1"/>
        <v>5060.4873611336207</v>
      </c>
      <c r="L11" s="7">
        <v>549604</v>
      </c>
      <c r="M11" s="7">
        <f t="shared" si="2"/>
        <v>9207.5155223281126</v>
      </c>
      <c r="N11" s="6">
        <v>27.575500000000005</v>
      </c>
      <c r="O11" s="7">
        <v>383.23733333333337</v>
      </c>
      <c r="P11" s="7">
        <f t="shared" si="18"/>
        <v>1389.7747396541615</v>
      </c>
      <c r="Q11" s="117">
        <f t="shared" si="3"/>
        <v>1353.2082609562831</v>
      </c>
      <c r="R11" s="7">
        <v>115962</v>
      </c>
      <c r="S11" s="7">
        <f t="shared" si="4"/>
        <v>11669.411194669659</v>
      </c>
      <c r="T11" s="6">
        <v>26.855000000000004</v>
      </c>
      <c r="U11" s="7">
        <v>2582.2124343554124</v>
      </c>
      <c r="V11" s="7">
        <f t="shared" si="5"/>
        <v>9615.3879514258515</v>
      </c>
      <c r="W11" s="117">
        <f t="shared" si="6"/>
        <v>10303.804259597688</v>
      </c>
      <c r="X11" s="7">
        <v>818751</v>
      </c>
      <c r="Y11" s="7">
        <f t="shared" si="7"/>
        <v>12584.783724963618</v>
      </c>
      <c r="Z11" s="6">
        <v>26.920499999999993</v>
      </c>
      <c r="AA11" s="7">
        <v>1934.0252626872345</v>
      </c>
      <c r="AB11" s="7">
        <f t="shared" si="19"/>
        <v>7184.2100357988711</v>
      </c>
      <c r="AC11" s="117">
        <f t="shared" si="8"/>
        <v>6735.3448917140795</v>
      </c>
      <c r="AD11" s="7">
        <v>664744</v>
      </c>
      <c r="AE11" s="7">
        <f t="shared" si="20"/>
        <v>10132.23871402236</v>
      </c>
      <c r="AF11" s="6">
        <v>26.5275</v>
      </c>
      <c r="AG11" s="7">
        <v>20532.804198041766</v>
      </c>
      <c r="AH11" s="7">
        <f t="shared" si="21"/>
        <v>77401.957206829757</v>
      </c>
      <c r="AI11" s="117">
        <f t="shared" si="9"/>
        <v>72843.197437201336</v>
      </c>
      <c r="AJ11" s="7">
        <v>6268571</v>
      </c>
      <c r="AK11" s="7">
        <f t="shared" si="22"/>
        <v>11620.383247984482</v>
      </c>
      <c r="AL11" s="6">
        <v>25.544999999999998</v>
      </c>
      <c r="AM11" s="7">
        <v>31628.652119026145</v>
      </c>
      <c r="AN11" s="7">
        <f t="shared" si="23"/>
        <v>123815.4320572564</v>
      </c>
      <c r="AO11" s="117">
        <f t="shared" si="10"/>
        <v>118807.63960545317</v>
      </c>
      <c r="AP11" s="7">
        <v>8204275</v>
      </c>
      <c r="AQ11" s="7">
        <f t="shared" si="24"/>
        <v>14481.186894083045</v>
      </c>
      <c r="AR11" s="6">
        <v>26.2</v>
      </c>
      <c r="AS11" s="7">
        <v>3526.109684947492</v>
      </c>
      <c r="AT11" s="7">
        <f t="shared" si="25"/>
        <v>13458.433912013328</v>
      </c>
      <c r="AU11" s="117">
        <f t="shared" si="11"/>
        <v>12897.169070163098</v>
      </c>
      <c r="AV11" s="7">
        <v>1018206</v>
      </c>
      <c r="AW11" s="7">
        <f t="shared" si="26"/>
        <v>12666.561648785311</v>
      </c>
      <c r="AX11" s="6">
        <v>26.330999999999996</v>
      </c>
      <c r="AY11" s="7">
        <v>2857.7846776444321</v>
      </c>
      <c r="AZ11" s="7">
        <f t="shared" si="27"/>
        <v>10853.308562699603</v>
      </c>
      <c r="BA11" s="117">
        <f t="shared" si="12"/>
        <v>10165.153260505578</v>
      </c>
      <c r="BB11" s="7">
        <v>908457</v>
      </c>
      <c r="BC11" s="7">
        <f t="shared" si="28"/>
        <v>11189.471004687706</v>
      </c>
      <c r="BD11" s="6">
        <v>26.2</v>
      </c>
      <c r="BE11" s="7">
        <v>6481.7083766172436</v>
      </c>
      <c r="BF11" s="7">
        <f t="shared" si="29"/>
        <v>24739.344948920778</v>
      </c>
      <c r="BG11" s="117">
        <f t="shared" si="13"/>
        <v>23313.190727955476</v>
      </c>
      <c r="BH11" s="7">
        <v>1754621</v>
      </c>
      <c r="BI11" s="7">
        <f t="shared" si="30"/>
        <v>13286.738690552247</v>
      </c>
      <c r="BJ11" s="6">
        <v>27.182500000000005</v>
      </c>
      <c r="BK11" s="7">
        <v>10006.5625</v>
      </c>
      <c r="BL11" s="7">
        <f t="shared" si="31"/>
        <v>36812.517244550712</v>
      </c>
      <c r="BM11" s="117">
        <f t="shared" si="14"/>
        <v>37132.709497457348</v>
      </c>
      <c r="BN11" s="7">
        <v>2442578</v>
      </c>
      <c r="BO11" s="7">
        <f t="shared" si="32"/>
        <v>15202.261502992884</v>
      </c>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row>
    <row r="12" spans="1:138" hidden="1">
      <c r="A12" s="1">
        <v>1975</v>
      </c>
      <c r="B12" s="6">
        <v>29</v>
      </c>
      <c r="C12" s="7">
        <v>94681.91477338133</v>
      </c>
      <c r="D12" s="7">
        <f t="shared" si="15"/>
        <v>326489.36128752184</v>
      </c>
      <c r="E12" s="117">
        <f t="shared" si="0"/>
        <v>312779.88561385818</v>
      </c>
      <c r="F12" s="7">
        <v>23143275</v>
      </c>
      <c r="G12" s="7">
        <f t="shared" si="16"/>
        <v>13514.936222892316</v>
      </c>
      <c r="H12" s="6">
        <v>30.45</v>
      </c>
      <c r="I12" s="7">
        <v>1674.3929471032748</v>
      </c>
      <c r="J12" s="7">
        <f t="shared" si="17"/>
        <v>5498.8274124902291</v>
      </c>
      <c r="K12" s="117">
        <f t="shared" si="1"/>
        <v>5317.2120790989893</v>
      </c>
      <c r="L12" s="7">
        <v>556496</v>
      </c>
      <c r="M12" s="7">
        <f t="shared" si="2"/>
        <v>9554.8073644716042</v>
      </c>
      <c r="N12" s="6">
        <v>30.522500000000008</v>
      </c>
      <c r="O12" s="7">
        <v>439.34666666666669</v>
      </c>
      <c r="P12" s="7">
        <f t="shared" si="18"/>
        <v>1439.4190078357492</v>
      </c>
      <c r="Q12" s="117">
        <f t="shared" si="3"/>
        <v>1401.5463346711433</v>
      </c>
      <c r="R12" s="7">
        <v>117724</v>
      </c>
      <c r="S12" s="7">
        <f t="shared" si="4"/>
        <v>11905.357740742273</v>
      </c>
      <c r="T12" s="6">
        <v>29.725000000000005</v>
      </c>
      <c r="U12" s="7">
        <v>2912.5407419955955</v>
      </c>
      <c r="V12" s="7">
        <f t="shared" si="5"/>
        <v>9798.2867686983845</v>
      </c>
      <c r="W12" s="117">
        <f t="shared" si="6"/>
        <v>10499.797767296837</v>
      </c>
      <c r="X12" s="7">
        <v>826549</v>
      </c>
      <c r="Y12" s="7">
        <f t="shared" si="7"/>
        <v>12703.176420631853</v>
      </c>
      <c r="Z12" s="6">
        <v>29.797499999999996</v>
      </c>
      <c r="AA12" s="7">
        <v>2291.4945226917062</v>
      </c>
      <c r="AB12" s="7">
        <f t="shared" si="19"/>
        <v>7690.224088234605</v>
      </c>
      <c r="AC12" s="117">
        <f t="shared" si="8"/>
        <v>7209.7434889468477</v>
      </c>
      <c r="AD12" s="7">
        <v>677008</v>
      </c>
      <c r="AE12" s="7">
        <f t="shared" si="20"/>
        <v>10649.421408531138</v>
      </c>
      <c r="AF12" s="6">
        <v>29.362500000000001</v>
      </c>
      <c r="AG12" s="7">
        <v>23738.404402824293</v>
      </c>
      <c r="AH12" s="7">
        <f t="shared" si="21"/>
        <v>80845.992006212997</v>
      </c>
      <c r="AI12" s="117">
        <f t="shared" si="9"/>
        <v>76084.388176108492</v>
      </c>
      <c r="AJ12" s="7">
        <v>6330303</v>
      </c>
      <c r="AK12" s="7">
        <f t="shared" si="22"/>
        <v>12019.07526007973</v>
      </c>
      <c r="AL12" s="6">
        <v>28.274999999999999</v>
      </c>
      <c r="AM12" s="7">
        <v>36256.388818755629</v>
      </c>
      <c r="AN12" s="7">
        <f t="shared" si="23"/>
        <v>128227.72349692532</v>
      </c>
      <c r="AO12" s="117">
        <f t="shared" si="10"/>
        <v>123041.47316309885</v>
      </c>
      <c r="AP12" s="7">
        <v>8319795</v>
      </c>
      <c r="AQ12" s="7">
        <f t="shared" si="24"/>
        <v>14789.002993835647</v>
      </c>
      <c r="AR12" s="6">
        <v>29</v>
      </c>
      <c r="AS12" s="7">
        <v>4029.6983015687811</v>
      </c>
      <c r="AT12" s="7">
        <f t="shared" si="25"/>
        <v>13895.511384719935</v>
      </c>
      <c r="AU12" s="117">
        <f t="shared" si="11"/>
        <v>13316.018848607597</v>
      </c>
      <c r="AV12" s="7">
        <v>1024975</v>
      </c>
      <c r="AW12" s="7">
        <f t="shared" si="26"/>
        <v>12991.554768270053</v>
      </c>
      <c r="AX12" s="6">
        <v>29.145</v>
      </c>
      <c r="AY12" s="7">
        <v>3338.8271001953676</v>
      </c>
      <c r="AZ12" s="7">
        <f t="shared" si="27"/>
        <v>11455.917310672045</v>
      </c>
      <c r="BA12" s="117">
        <f t="shared" si="12"/>
        <v>10729.553530144423</v>
      </c>
      <c r="BB12" s="7">
        <v>917415</v>
      </c>
      <c r="BC12" s="7">
        <f t="shared" si="28"/>
        <v>11695.419772016397</v>
      </c>
      <c r="BD12" s="6">
        <v>29</v>
      </c>
      <c r="BE12" s="7">
        <v>7841.2234394182642</v>
      </c>
      <c r="BF12" s="7">
        <f t="shared" si="29"/>
        <v>27038.701515235392</v>
      </c>
      <c r="BG12" s="117">
        <f t="shared" si="13"/>
        <v>25479.995802736081</v>
      </c>
      <c r="BH12" s="7">
        <v>1808689</v>
      </c>
      <c r="BI12" s="7">
        <f t="shared" si="30"/>
        <v>14087.549491778896</v>
      </c>
      <c r="BJ12" s="6">
        <v>30.087500000000006</v>
      </c>
      <c r="BK12" s="7">
        <v>11390.312499999998</v>
      </c>
      <c r="BL12" s="7">
        <f t="shared" si="31"/>
        <v>37857.291233901109</v>
      </c>
      <c r="BM12" s="117">
        <f t="shared" si="14"/>
        <v>38186.570845197442</v>
      </c>
      <c r="BN12" s="7">
        <v>2499564</v>
      </c>
      <c r="BO12" s="7">
        <f t="shared" si="32"/>
        <v>15277.292697925495</v>
      </c>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row>
    <row r="13" spans="1:138" hidden="1">
      <c r="A13" s="1">
        <v>1976</v>
      </c>
      <c r="B13" s="6">
        <v>31.1</v>
      </c>
      <c r="C13" s="7">
        <v>107733.03682618751</v>
      </c>
      <c r="D13" s="7">
        <f t="shared" si="15"/>
        <v>346408.47854079586</v>
      </c>
      <c r="E13" s="117">
        <f t="shared" si="0"/>
        <v>331862.58770080731</v>
      </c>
      <c r="F13" s="7">
        <v>23449808</v>
      </c>
      <c r="G13" s="7">
        <f t="shared" si="16"/>
        <v>14152.03858815421</v>
      </c>
      <c r="H13" s="6">
        <v>32.655000000000001</v>
      </c>
      <c r="I13" s="7">
        <v>1871.3274559193956</v>
      </c>
      <c r="J13" s="7">
        <f t="shared" si="17"/>
        <v>5730.6000793734356</v>
      </c>
      <c r="K13" s="117">
        <f t="shared" si="1"/>
        <v>5541.3297557434844</v>
      </c>
      <c r="L13" s="7">
        <v>562639</v>
      </c>
      <c r="M13" s="7">
        <f t="shared" si="2"/>
        <v>9848.8191464571155</v>
      </c>
      <c r="N13" s="6">
        <v>32.73275000000001</v>
      </c>
      <c r="O13" s="7">
        <v>495.45600000000002</v>
      </c>
      <c r="P13" s="7">
        <f t="shared" si="18"/>
        <v>1513.6400088596279</v>
      </c>
      <c r="Q13" s="117">
        <f t="shared" si="3"/>
        <v>1473.8145007675789</v>
      </c>
      <c r="R13" s="7">
        <v>118648</v>
      </c>
      <c r="S13" s="7">
        <f t="shared" si="4"/>
        <v>12421.739100259412</v>
      </c>
      <c r="T13" s="6">
        <v>31.877500000000008</v>
      </c>
      <c r="U13" s="7">
        <v>3346.1575470099951</v>
      </c>
      <c r="V13" s="7">
        <f t="shared" si="5"/>
        <v>10496.92587878596</v>
      </c>
      <c r="W13" s="117">
        <f t="shared" si="6"/>
        <v>11248.456133949056</v>
      </c>
      <c r="X13" s="7">
        <v>835166</v>
      </c>
      <c r="Y13" s="7">
        <f t="shared" si="7"/>
        <v>13468.527375335028</v>
      </c>
      <c r="Z13" s="6">
        <v>31.955249999999999</v>
      </c>
      <c r="AA13" s="7">
        <v>2584.8524480214624</v>
      </c>
      <c r="AB13" s="7">
        <f t="shared" si="19"/>
        <v>8088.9758272004201</v>
      </c>
      <c r="AC13" s="117">
        <f t="shared" si="8"/>
        <v>7583.5814578707141</v>
      </c>
      <c r="AD13" s="7">
        <v>689494</v>
      </c>
      <c r="AE13" s="7">
        <f t="shared" si="20"/>
        <v>10998.763524948316</v>
      </c>
      <c r="AF13" s="6">
        <v>31.488750000000003</v>
      </c>
      <c r="AG13" s="7">
        <v>26703.054502015828</v>
      </c>
      <c r="AH13" s="7">
        <f t="shared" si="21"/>
        <v>84801.887982266126</v>
      </c>
      <c r="AI13" s="117">
        <f t="shared" si="9"/>
        <v>79807.292893552032</v>
      </c>
      <c r="AJ13" s="7">
        <v>6396761</v>
      </c>
      <c r="AK13" s="7">
        <f t="shared" si="22"/>
        <v>12476.203643305109</v>
      </c>
      <c r="AL13" s="6">
        <v>30.322499999999998</v>
      </c>
      <c r="AM13" s="7">
        <v>40922.689990982857</v>
      </c>
      <c r="AN13" s="7">
        <f t="shared" si="23"/>
        <v>134958.16634836461</v>
      </c>
      <c r="AO13" s="117">
        <f t="shared" si="10"/>
        <v>129499.69905136392</v>
      </c>
      <c r="AP13" s="7">
        <v>8413779</v>
      </c>
      <c r="AQ13" s="7">
        <f t="shared" si="24"/>
        <v>15391.383473628666</v>
      </c>
      <c r="AR13" s="6">
        <v>31.1</v>
      </c>
      <c r="AS13" s="7">
        <v>4578.7978737196945</v>
      </c>
      <c r="AT13" s="7">
        <f t="shared" si="25"/>
        <v>14722.822745079404</v>
      </c>
      <c r="AU13" s="117">
        <f t="shared" si="11"/>
        <v>14108.828365523113</v>
      </c>
      <c r="AV13" s="7">
        <v>1031758</v>
      </c>
      <c r="AW13" s="7">
        <f t="shared" si="26"/>
        <v>13674.551944858304</v>
      </c>
      <c r="AX13" s="6">
        <v>31.255499999999998</v>
      </c>
      <c r="AY13" s="7">
        <v>3895.461903432878</v>
      </c>
      <c r="AZ13" s="7">
        <f t="shared" si="27"/>
        <v>12463.284552903899</v>
      </c>
      <c r="BA13" s="117">
        <f t="shared" si="12"/>
        <v>11673.048534247815</v>
      </c>
      <c r="BB13" s="7">
        <v>931612</v>
      </c>
      <c r="BC13" s="7">
        <f t="shared" si="28"/>
        <v>12529.946516626895</v>
      </c>
      <c r="BD13" s="6">
        <v>31.1</v>
      </c>
      <c r="BE13" s="7">
        <v>9420.5581263575405</v>
      </c>
      <c r="BF13" s="7">
        <f t="shared" si="29"/>
        <v>30291.183686037108</v>
      </c>
      <c r="BG13" s="117">
        <f t="shared" si="13"/>
        <v>28544.981449839197</v>
      </c>
      <c r="BH13" s="7">
        <v>1869287</v>
      </c>
      <c r="BI13" s="7">
        <f t="shared" si="30"/>
        <v>15270.518357983121</v>
      </c>
      <c r="BJ13" s="6">
        <v>32.266250000000007</v>
      </c>
      <c r="BK13" s="7">
        <v>13220.528846153842</v>
      </c>
      <c r="BL13" s="7">
        <f t="shared" si="31"/>
        <v>40973.242462801965</v>
      </c>
      <c r="BM13" s="117">
        <f t="shared" si="14"/>
        <v>41329.624362086397</v>
      </c>
      <c r="BN13" s="7">
        <v>2533899</v>
      </c>
      <c r="BO13" s="7">
        <f t="shared" si="32"/>
        <v>16310.683402174434</v>
      </c>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row>
    <row r="14" spans="1:138" hidden="1">
      <c r="A14" s="1">
        <v>1977</v>
      </c>
      <c r="B14" s="6">
        <v>33.6</v>
      </c>
      <c r="C14" s="7">
        <v>120138.47808114528</v>
      </c>
      <c r="D14" s="7">
        <f t="shared" si="15"/>
        <v>357554.99428912287</v>
      </c>
      <c r="E14" s="117">
        <f t="shared" si="0"/>
        <v>342541.05485516129</v>
      </c>
      <c r="F14" s="7">
        <v>23725843</v>
      </c>
      <c r="G14" s="7">
        <f t="shared" si="16"/>
        <v>14437.466135772765</v>
      </c>
      <c r="H14" s="6">
        <v>35.28</v>
      </c>
      <c r="I14" s="7">
        <v>2080.8513853904283</v>
      </c>
      <c r="J14" s="7">
        <f t="shared" si="17"/>
        <v>5898.1048338730961</v>
      </c>
      <c r="K14" s="117">
        <f t="shared" si="1"/>
        <v>5703.3021613347264</v>
      </c>
      <c r="L14" s="7">
        <v>565348</v>
      </c>
      <c r="M14" s="7">
        <f t="shared" si="2"/>
        <v>10088.126536814008</v>
      </c>
      <c r="N14" s="6">
        <v>35.364000000000004</v>
      </c>
      <c r="O14" s="7">
        <v>553.68266666666671</v>
      </c>
      <c r="P14" s="7">
        <f t="shared" si="18"/>
        <v>1565.6675338385551</v>
      </c>
      <c r="Q14" s="117">
        <f t="shared" si="3"/>
        <v>1524.4731252120796</v>
      </c>
      <c r="R14" s="7">
        <v>119902</v>
      </c>
      <c r="S14" s="7">
        <f t="shared" si="4"/>
        <v>12714.326076396386</v>
      </c>
      <c r="T14" s="6">
        <v>34.440000000000005</v>
      </c>
      <c r="U14" s="7">
        <v>3673.5625952905302</v>
      </c>
      <c r="V14" s="7">
        <f t="shared" si="5"/>
        <v>10666.558058334871</v>
      </c>
      <c r="W14" s="117">
        <f t="shared" si="6"/>
        <v>11430.233175398716</v>
      </c>
      <c r="X14" s="7">
        <v>840028</v>
      </c>
      <c r="Y14" s="7">
        <f t="shared" si="7"/>
        <v>13606.966881340522</v>
      </c>
      <c r="Z14" s="6">
        <v>34.524000000000001</v>
      </c>
      <c r="AA14" s="7">
        <v>2818.9559579700431</v>
      </c>
      <c r="AB14" s="7">
        <f t="shared" si="19"/>
        <v>8165.2066909107962</v>
      </c>
      <c r="AC14" s="117">
        <f t="shared" si="8"/>
        <v>7655.0494628321721</v>
      </c>
      <c r="AD14" s="7">
        <v>695843</v>
      </c>
      <c r="AE14" s="7">
        <f t="shared" si="20"/>
        <v>11001.115859227113</v>
      </c>
      <c r="AF14" s="6">
        <v>34.020000000000003</v>
      </c>
      <c r="AG14" s="7">
        <v>29399.768083790179</v>
      </c>
      <c r="AH14" s="7">
        <f t="shared" si="21"/>
        <v>86419.071380923502</v>
      </c>
      <c r="AI14" s="117">
        <f t="shared" si="9"/>
        <v>81329.228692743534</v>
      </c>
      <c r="AJ14" s="7">
        <v>6433133</v>
      </c>
      <c r="AK14" s="7">
        <f t="shared" si="22"/>
        <v>12642.242697724971</v>
      </c>
      <c r="AL14" s="6">
        <v>32.76</v>
      </c>
      <c r="AM14" s="7">
        <v>44980.636609558154</v>
      </c>
      <c r="AN14" s="7">
        <f t="shared" si="23"/>
        <v>137303.53055420684</v>
      </c>
      <c r="AO14" s="117">
        <f t="shared" si="10"/>
        <v>131750.20353760905</v>
      </c>
      <c r="AP14" s="7">
        <v>8504080</v>
      </c>
      <c r="AQ14" s="7">
        <f t="shared" si="24"/>
        <v>15492.587503599338</v>
      </c>
      <c r="AR14" s="6">
        <v>33.6</v>
      </c>
      <c r="AS14" s="7">
        <v>5009.1732140541944</v>
      </c>
      <c r="AT14" s="7">
        <f t="shared" si="25"/>
        <v>14908.253613256531</v>
      </c>
      <c r="AU14" s="117">
        <f t="shared" si="11"/>
        <v>14286.526103115953</v>
      </c>
      <c r="AV14" s="7">
        <v>1037369</v>
      </c>
      <c r="AW14" s="7">
        <f t="shared" si="26"/>
        <v>13771.884549389806</v>
      </c>
      <c r="AX14" s="6">
        <v>33.768000000000001</v>
      </c>
      <c r="AY14" s="7">
        <v>4260.6614568797104</v>
      </c>
      <c r="AZ14" s="7">
        <f t="shared" si="27"/>
        <v>12617.452786305705</v>
      </c>
      <c r="BA14" s="117">
        <f t="shared" si="12"/>
        <v>11817.44171273135</v>
      </c>
      <c r="BB14" s="7">
        <v>944621</v>
      </c>
      <c r="BC14" s="7">
        <f t="shared" si="28"/>
        <v>12510.246662662963</v>
      </c>
      <c r="BD14" s="6">
        <v>33.6</v>
      </c>
      <c r="BE14" s="7">
        <v>10823.641042591369</v>
      </c>
      <c r="BF14" s="7">
        <f t="shared" si="29"/>
        <v>32213.217388664787</v>
      </c>
      <c r="BG14" s="117">
        <f t="shared" si="13"/>
        <v>30356.215271406985</v>
      </c>
      <c r="BH14" s="7">
        <v>1948263</v>
      </c>
      <c r="BI14" s="7">
        <f t="shared" si="30"/>
        <v>15581.16910879434</v>
      </c>
      <c r="BJ14" s="6">
        <v>34.860000000000007</v>
      </c>
      <c r="BK14" s="7">
        <v>14714.663461538461</v>
      </c>
      <c r="BL14" s="7">
        <f t="shared" si="31"/>
        <v>42210.738558630117</v>
      </c>
      <c r="BM14" s="117">
        <f t="shared" si="14"/>
        <v>42577.884097365066</v>
      </c>
      <c r="BN14" s="7">
        <v>2570315</v>
      </c>
      <c r="BO14" s="7">
        <f t="shared" si="32"/>
        <v>16565.239706948396</v>
      </c>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row>
    <row r="15" spans="1:138" hidden="1">
      <c r="A15" s="1">
        <v>1978</v>
      </c>
      <c r="B15" s="6">
        <v>36.6</v>
      </c>
      <c r="C15" s="7">
        <v>134289.64890065615</v>
      </c>
      <c r="D15" s="7">
        <f t="shared" si="15"/>
        <v>366911.60901818617</v>
      </c>
      <c r="E15" s="117">
        <f t="shared" si="0"/>
        <v>351504.77996138943</v>
      </c>
      <c r="F15" s="7">
        <v>23963203</v>
      </c>
      <c r="G15" s="7">
        <f t="shared" si="16"/>
        <v>14668.522399171321</v>
      </c>
      <c r="H15" s="6">
        <v>38.43</v>
      </c>
      <c r="I15" s="7">
        <v>2315.5541561712844</v>
      </c>
      <c r="J15" s="7">
        <f t="shared" si="17"/>
        <v>6025.3816189728968</v>
      </c>
      <c r="K15" s="117">
        <f t="shared" si="1"/>
        <v>5826.3752473501809</v>
      </c>
      <c r="L15" s="7">
        <v>567639</v>
      </c>
      <c r="M15" s="7">
        <f t="shared" si="2"/>
        <v>10264.226466733577</v>
      </c>
      <c r="N15" s="6">
        <v>38.521500000000003</v>
      </c>
      <c r="O15" s="7">
        <v>638.37599999999998</v>
      </c>
      <c r="P15" s="7">
        <f t="shared" si="18"/>
        <v>1657.194034500214</v>
      </c>
      <c r="Q15" s="117">
        <f t="shared" si="3"/>
        <v>1613.5914645068335</v>
      </c>
      <c r="R15" s="7">
        <v>121684</v>
      </c>
      <c r="S15" s="7">
        <f t="shared" si="4"/>
        <v>13260.506430646868</v>
      </c>
      <c r="T15" s="6">
        <v>37.515000000000001</v>
      </c>
      <c r="U15" s="7">
        <v>4120.8212773166188</v>
      </c>
      <c r="V15" s="7">
        <f t="shared" si="5"/>
        <v>10984.46295432925</v>
      </c>
      <c r="W15" s="117">
        <f t="shared" si="6"/>
        <v>11770.898558640803</v>
      </c>
      <c r="X15" s="7">
        <v>844628</v>
      </c>
      <c r="Y15" s="7">
        <f t="shared" si="7"/>
        <v>13936.192689137471</v>
      </c>
      <c r="Z15" s="6">
        <v>37.606500000000004</v>
      </c>
      <c r="AA15" s="7">
        <v>3157.968924659066</v>
      </c>
      <c r="AB15" s="7">
        <f t="shared" si="19"/>
        <v>8397.4018445190741</v>
      </c>
      <c r="AC15" s="117">
        <f t="shared" si="8"/>
        <v>7872.7372021860192</v>
      </c>
      <c r="AD15" s="7">
        <v>699514</v>
      </c>
      <c r="AE15" s="7">
        <f t="shared" si="20"/>
        <v>11254.581326729727</v>
      </c>
      <c r="AF15" s="6">
        <v>37.057499999999997</v>
      </c>
      <c r="AG15" s="7">
        <v>32390.440794385544</v>
      </c>
      <c r="AH15" s="7">
        <f t="shared" si="21"/>
        <v>87405.898385982728</v>
      </c>
      <c r="AI15" s="117">
        <f t="shared" si="9"/>
        <v>82257.934334821897</v>
      </c>
      <c r="AJ15" s="7">
        <v>6440459</v>
      </c>
      <c r="AK15" s="7">
        <f t="shared" si="22"/>
        <v>12772.06086318101</v>
      </c>
      <c r="AL15" s="6">
        <v>35.685000000000002</v>
      </c>
      <c r="AM15" s="7">
        <v>49762.631199278621</v>
      </c>
      <c r="AN15" s="7">
        <f t="shared" si="23"/>
        <v>139449.7161252028</v>
      </c>
      <c r="AO15" s="117">
        <f t="shared" si="10"/>
        <v>133809.58529324835</v>
      </c>
      <c r="AP15" s="7">
        <v>8590144</v>
      </c>
      <c r="AQ15" s="7">
        <f t="shared" si="24"/>
        <v>15577.106192078776</v>
      </c>
      <c r="AR15" s="6">
        <v>36.6</v>
      </c>
      <c r="AS15" s="7">
        <v>5480.1126669259702</v>
      </c>
      <c r="AT15" s="7">
        <f t="shared" si="25"/>
        <v>14972.985428759481</v>
      </c>
      <c r="AU15" s="117">
        <f t="shared" si="11"/>
        <v>14348.558370333532</v>
      </c>
      <c r="AV15" s="7">
        <v>1040881</v>
      </c>
      <c r="AW15" s="7">
        <f t="shared" si="26"/>
        <v>13785.013243909278</v>
      </c>
      <c r="AX15" s="6">
        <v>36.783000000000001</v>
      </c>
      <c r="AY15" s="7">
        <v>4829.0768908735708</v>
      </c>
      <c r="AZ15" s="7">
        <f t="shared" si="27"/>
        <v>13128.556373524645</v>
      </c>
      <c r="BA15" s="117">
        <f t="shared" si="12"/>
        <v>12296.138717065152</v>
      </c>
      <c r="BB15" s="7">
        <v>952430</v>
      </c>
      <c r="BC15" s="7">
        <f t="shared" si="28"/>
        <v>12910.280773458579</v>
      </c>
      <c r="BD15" s="6">
        <v>36.6</v>
      </c>
      <c r="BE15" s="7">
        <v>12609.923033336481</v>
      </c>
      <c r="BF15" s="7">
        <f t="shared" si="29"/>
        <v>34453.341621137923</v>
      </c>
      <c r="BG15" s="117">
        <f t="shared" si="13"/>
        <v>32467.202591151654</v>
      </c>
      <c r="BH15" s="7">
        <v>2022241</v>
      </c>
      <c r="BI15" s="7">
        <f t="shared" si="30"/>
        <v>16055.06098983833</v>
      </c>
      <c r="BJ15" s="6">
        <v>37.972500000000004</v>
      </c>
      <c r="BK15" s="7">
        <v>16437.451923076922</v>
      </c>
      <c r="BL15" s="7">
        <f t="shared" si="31"/>
        <v>43287.779111401462</v>
      </c>
      <c r="BM15" s="117">
        <f t="shared" si="14"/>
        <v>43664.292660445855</v>
      </c>
      <c r="BN15" s="7">
        <v>2615162</v>
      </c>
      <c r="BO15" s="7">
        <f t="shared" si="32"/>
        <v>16696.591897727885</v>
      </c>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row>
    <row r="16" spans="1:138" hidden="1">
      <c r="A16" s="1">
        <v>1979</v>
      </c>
      <c r="B16" s="6">
        <v>40</v>
      </c>
      <c r="C16" s="7">
        <v>150059.00739872537</v>
      </c>
      <c r="D16" s="7">
        <f t="shared" si="15"/>
        <v>375147.51849681343</v>
      </c>
      <c r="E16" s="117">
        <f t="shared" si="0"/>
        <v>359394.85887389205</v>
      </c>
      <c r="F16" s="7">
        <v>24201544</v>
      </c>
      <c r="G16" s="7">
        <f t="shared" si="16"/>
        <v>14850.079766559193</v>
      </c>
      <c r="H16" s="6">
        <v>42</v>
      </c>
      <c r="I16" s="7">
        <v>2597.0176322418133</v>
      </c>
      <c r="J16" s="7">
        <f t="shared" si="17"/>
        <v>6183.3753148614605</v>
      </c>
      <c r="K16" s="117">
        <f t="shared" si="1"/>
        <v>5979.1507256806999</v>
      </c>
      <c r="L16" s="7">
        <v>570075</v>
      </c>
      <c r="M16" s="7">
        <f t="shared" si="2"/>
        <v>10488.358068115072</v>
      </c>
      <c r="N16" s="6">
        <v>42.1</v>
      </c>
      <c r="O16" s="7">
        <v>704.01333333333332</v>
      </c>
      <c r="P16" s="7">
        <f t="shared" si="18"/>
        <v>1672.2406967537609</v>
      </c>
      <c r="Q16" s="117">
        <f t="shared" si="3"/>
        <v>1628.2422327790973</v>
      </c>
      <c r="R16" s="7">
        <v>122885</v>
      </c>
      <c r="S16" s="7">
        <f t="shared" si="4"/>
        <v>13250.130062896997</v>
      </c>
      <c r="T16" s="6">
        <v>41</v>
      </c>
      <c r="U16" s="7">
        <v>4624.5963069625614</v>
      </c>
      <c r="V16" s="7">
        <f t="shared" si="5"/>
        <v>11279.503187713564</v>
      </c>
      <c r="W16" s="117">
        <f t="shared" si="6"/>
        <v>12087.062277552133</v>
      </c>
      <c r="X16" s="7">
        <v>849396</v>
      </c>
      <c r="Y16" s="7">
        <f t="shared" si="7"/>
        <v>14230.185069805053</v>
      </c>
      <c r="Z16" s="6">
        <v>41.1</v>
      </c>
      <c r="AA16" s="7">
        <v>3563.0359937402195</v>
      </c>
      <c r="AB16" s="7">
        <f t="shared" si="19"/>
        <v>8669.1873327012636</v>
      </c>
      <c r="AC16" s="117">
        <f t="shared" si="8"/>
        <v>8127.5416957000198</v>
      </c>
      <c r="AD16" s="7">
        <v>703158</v>
      </c>
      <c r="AE16" s="7">
        <f t="shared" si="20"/>
        <v>11558.62792672489</v>
      </c>
      <c r="AF16" s="6">
        <v>40.5</v>
      </c>
      <c r="AG16" s="7">
        <v>36417.198959022164</v>
      </c>
      <c r="AH16" s="7">
        <f t="shared" si="21"/>
        <v>89919.009775363375</v>
      </c>
      <c r="AI16" s="117">
        <f t="shared" si="9"/>
        <v>84623.030460610578</v>
      </c>
      <c r="AJ16" s="7">
        <v>6465996</v>
      </c>
      <c r="AK16" s="7">
        <f t="shared" si="22"/>
        <v>13087.392949301327</v>
      </c>
      <c r="AL16" s="6">
        <v>39</v>
      </c>
      <c r="AM16" s="7">
        <v>55026.681695220919</v>
      </c>
      <c r="AN16" s="7">
        <f t="shared" si="23"/>
        <v>141094.0556287716</v>
      </c>
      <c r="AO16" s="117">
        <f t="shared" si="10"/>
        <v>135387.41845897739</v>
      </c>
      <c r="AP16" s="7">
        <v>8662088</v>
      </c>
      <c r="AQ16" s="7">
        <f t="shared" si="24"/>
        <v>15629.882594009365</v>
      </c>
      <c r="AR16" s="6">
        <v>40</v>
      </c>
      <c r="AS16" s="7">
        <v>6089.5637235835611</v>
      </c>
      <c r="AT16" s="7">
        <f t="shared" si="25"/>
        <v>15223.909308958904</v>
      </c>
      <c r="AU16" s="117">
        <f t="shared" si="11"/>
        <v>14589.017827045252</v>
      </c>
      <c r="AV16" s="7">
        <v>1037272</v>
      </c>
      <c r="AW16" s="7">
        <f t="shared" si="26"/>
        <v>14064.794795429985</v>
      </c>
      <c r="AX16" s="6">
        <v>40.200000000000003</v>
      </c>
      <c r="AY16" s="7">
        <v>5466.2126709461354</v>
      </c>
      <c r="AZ16" s="7">
        <f t="shared" si="27"/>
        <v>13597.543957577451</v>
      </c>
      <c r="BA16" s="117">
        <f t="shared" si="12"/>
        <v>12735.390088352546</v>
      </c>
      <c r="BB16" s="7">
        <v>959735</v>
      </c>
      <c r="BC16" s="7">
        <f t="shared" si="28"/>
        <v>13269.694330573069</v>
      </c>
      <c r="BD16" s="6">
        <v>40</v>
      </c>
      <c r="BE16" s="7">
        <v>14823.962130512798</v>
      </c>
      <c r="BF16" s="7">
        <f t="shared" si="29"/>
        <v>37059.905326281994</v>
      </c>
      <c r="BG16" s="117">
        <f t="shared" si="13"/>
        <v>34923.50517022382</v>
      </c>
      <c r="BH16" s="7">
        <v>2096966</v>
      </c>
      <c r="BI16" s="7">
        <f t="shared" si="30"/>
        <v>16654.302058413828</v>
      </c>
      <c r="BJ16" s="6">
        <v>41.5</v>
      </c>
      <c r="BK16" s="7">
        <v>18581.081730769234</v>
      </c>
      <c r="BL16" s="7">
        <f t="shared" si="31"/>
        <v>44773.690917516229</v>
      </c>
      <c r="BM16" s="117">
        <f t="shared" si="14"/>
        <v>45163.128805465771</v>
      </c>
      <c r="BN16" s="7">
        <v>2665238</v>
      </c>
      <c r="BO16" s="7">
        <f t="shared" si="32"/>
        <v>16945.251720659006</v>
      </c>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row>
    <row r="17" spans="1:138" hidden="1">
      <c r="A17" s="1">
        <v>1980</v>
      </c>
      <c r="B17" s="6">
        <v>44</v>
      </c>
      <c r="C17" s="7">
        <v>168521.69181744926</v>
      </c>
      <c r="D17" s="7">
        <f t="shared" si="15"/>
        <v>383003.84503965743</v>
      </c>
      <c r="E17" s="117">
        <f>E19/(D19/D17)</f>
        <v>366921.29375595198</v>
      </c>
      <c r="F17" s="7">
        <v>24515667</v>
      </c>
      <c r="G17" s="7">
        <f t="shared" si="16"/>
        <v>14966.808521095998</v>
      </c>
      <c r="H17" s="6">
        <v>46.9</v>
      </c>
      <c r="I17" s="7">
        <v>2856.8992443324937</v>
      </c>
      <c r="J17" s="7">
        <f t="shared" si="17"/>
        <v>6091.4696041204561</v>
      </c>
      <c r="K17" s="117">
        <f>K19/(J19/J17)</f>
        <v>5890.2804777838055</v>
      </c>
      <c r="L17" s="7">
        <v>572759</v>
      </c>
      <c r="M17" s="7">
        <f t="shared" si="2"/>
        <v>10284.047003685329</v>
      </c>
      <c r="N17" s="6">
        <v>46.4</v>
      </c>
      <c r="O17" s="7">
        <v>759.06400000000008</v>
      </c>
      <c r="P17" s="7">
        <f t="shared" si="18"/>
        <v>1635.9137931034486</v>
      </c>
      <c r="Q17" s="117">
        <f>Q19/(P19/P17)</f>
        <v>1592.8711293103452</v>
      </c>
      <c r="R17" s="7">
        <v>123735</v>
      </c>
      <c r="S17" s="7">
        <f t="shared" si="4"/>
        <v>12873.246286906253</v>
      </c>
      <c r="T17" s="6">
        <v>45.4</v>
      </c>
      <c r="U17" s="7">
        <v>5085.4968660003387</v>
      </c>
      <c r="V17" s="7">
        <f t="shared" si="5"/>
        <v>11201.53494713731</v>
      </c>
      <c r="W17" s="117">
        <f>W19/(V19/V17)</f>
        <v>12003.511879646054</v>
      </c>
      <c r="X17" s="7">
        <v>852659</v>
      </c>
      <c r="Y17" s="7">
        <f t="shared" si="7"/>
        <v>14077.740198187146</v>
      </c>
      <c r="Z17" s="6">
        <v>45.3</v>
      </c>
      <c r="AA17" s="7">
        <v>3939.9329309188465</v>
      </c>
      <c r="AB17" s="7">
        <f t="shared" si="19"/>
        <v>8697.423688562576</v>
      </c>
      <c r="AC17" s="117">
        <f>AC19/(AB19/AB17)</f>
        <v>8154.0138609434398</v>
      </c>
      <c r="AD17" s="7">
        <v>706219</v>
      </c>
      <c r="AE17" s="7">
        <f t="shared" si="20"/>
        <v>11546.013150231642</v>
      </c>
      <c r="AF17" s="6">
        <v>44.7</v>
      </c>
      <c r="AG17" s="7">
        <v>40316.735467906736</v>
      </c>
      <c r="AH17" s="7">
        <f t="shared" si="21"/>
        <v>90194.039078091126</v>
      </c>
      <c r="AI17" s="117">
        <f>AI19/(AH19/AH17)</f>
        <v>84881.86130317027</v>
      </c>
      <c r="AJ17" s="7">
        <v>6505997</v>
      </c>
      <c r="AK17" s="7">
        <f t="shared" si="22"/>
        <v>13046.710796695768</v>
      </c>
      <c r="AL17" s="6">
        <v>43</v>
      </c>
      <c r="AM17" s="7">
        <v>61395.604328223621</v>
      </c>
      <c r="AN17" s="7">
        <f t="shared" si="23"/>
        <v>142780.47518191539</v>
      </c>
      <c r="AO17" s="117">
        <f>AO19/(AN19/AN17)</f>
        <v>137005.62972040437</v>
      </c>
      <c r="AP17" s="7">
        <v>8746013</v>
      </c>
      <c r="AQ17" s="7">
        <f t="shared" si="24"/>
        <v>15664.924088313655</v>
      </c>
      <c r="AR17" s="6">
        <v>44</v>
      </c>
      <c r="AS17" s="7">
        <v>6716.8234150136141</v>
      </c>
      <c r="AT17" s="7">
        <f t="shared" si="25"/>
        <v>15265.507761394576</v>
      </c>
      <c r="AU17" s="117">
        <f>AU19/(AT19/AT17)</f>
        <v>14628.881475195361</v>
      </c>
      <c r="AV17" s="7">
        <v>1034435</v>
      </c>
      <c r="AW17" s="7">
        <f t="shared" si="26"/>
        <v>14141.904977301969</v>
      </c>
      <c r="AX17" s="6">
        <v>44.3</v>
      </c>
      <c r="AY17" s="7">
        <v>6099.4215740999171</v>
      </c>
      <c r="AZ17" s="7">
        <f t="shared" si="27"/>
        <v>13768.445991196202</v>
      </c>
      <c r="BA17" s="117">
        <f>BA19/(AZ19/AZ17)</f>
        <v>12895.456058487884</v>
      </c>
      <c r="BB17" s="7">
        <v>967548</v>
      </c>
      <c r="BC17" s="7">
        <f t="shared" si="28"/>
        <v>13327.975520065034</v>
      </c>
      <c r="BD17" s="6">
        <v>44.1</v>
      </c>
      <c r="BE17" s="7">
        <v>17589.53064500897</v>
      </c>
      <c r="BF17" s="7">
        <f t="shared" si="29"/>
        <v>39885.557018160929</v>
      </c>
      <c r="BG17" s="117">
        <f>BG19/(BF19/BF17)</f>
        <v>37586.265924785243</v>
      </c>
      <c r="BH17" s="7">
        <v>2191029</v>
      </c>
      <c r="BI17" s="7">
        <f t="shared" si="30"/>
        <v>17154.618183869425</v>
      </c>
      <c r="BJ17" s="6">
        <v>45.4</v>
      </c>
      <c r="BK17" s="7">
        <v>21525</v>
      </c>
      <c r="BL17" s="7">
        <f t="shared" si="31"/>
        <v>47411.894273127757</v>
      </c>
      <c r="BM17" s="117">
        <f>BM19/(BL19/BL17)</f>
        <v>47824.279037283763</v>
      </c>
      <c r="BN17" s="7">
        <v>2745861</v>
      </c>
      <c r="BO17" s="7">
        <f t="shared" si="32"/>
        <v>17416.860881626479</v>
      </c>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row>
    <row r="18" spans="1:138" hidden="1">
      <c r="B18" s="6"/>
      <c r="C18" s="7"/>
      <c r="D18" s="7"/>
      <c r="E18" s="117"/>
      <c r="G18" s="7"/>
      <c r="H18" s="6"/>
      <c r="I18" s="7"/>
      <c r="J18" s="7"/>
      <c r="K18" s="117"/>
      <c r="M18" s="7"/>
      <c r="N18" s="6"/>
      <c r="O18" s="7"/>
      <c r="P18" s="7"/>
      <c r="Q18" s="7"/>
      <c r="S18" s="7"/>
      <c r="T18" s="6"/>
      <c r="U18" s="7"/>
      <c r="V18" s="7"/>
      <c r="W18" s="117"/>
      <c r="X18" s="7"/>
      <c r="Y18" s="7"/>
      <c r="Z18" s="6"/>
      <c r="AA18" s="7"/>
      <c r="AB18" s="7"/>
      <c r="AC18" s="117"/>
      <c r="AD18" s="7"/>
      <c r="AE18" s="7"/>
      <c r="AF18" s="6"/>
      <c r="AG18" s="7"/>
      <c r="AH18" s="7"/>
      <c r="AI18" s="117"/>
      <c r="AJ18" s="7"/>
      <c r="AK18" s="7"/>
      <c r="AL18" s="6"/>
      <c r="AM18" s="7"/>
      <c r="AN18" s="7"/>
      <c r="AO18" s="117"/>
      <c r="AP18" s="7"/>
      <c r="AQ18" s="7"/>
      <c r="AR18" s="6"/>
      <c r="AS18" s="7"/>
      <c r="AT18" s="7"/>
      <c r="AU18" s="117"/>
      <c r="AV18" s="7"/>
      <c r="AW18" s="7"/>
      <c r="AX18" s="6"/>
      <c r="AY18" s="7"/>
      <c r="AZ18" s="7"/>
      <c r="BA18" s="117"/>
      <c r="BB18" s="7"/>
      <c r="BC18" s="7"/>
      <c r="BD18" s="6"/>
      <c r="BE18" s="7"/>
      <c r="BF18" s="7"/>
      <c r="BG18" s="117"/>
      <c r="BH18" s="7"/>
      <c r="BI18" s="7"/>
      <c r="BJ18" s="6"/>
      <c r="BK18" s="7"/>
      <c r="BL18" s="7"/>
      <c r="BM18" s="117"/>
      <c r="BN18" s="7"/>
      <c r="BO18" s="7"/>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row>
    <row r="19" spans="1:138" ht="15.75" customHeight="1">
      <c r="A19" s="1">
        <v>1981</v>
      </c>
      <c r="B19" s="6">
        <v>49.5</v>
      </c>
      <c r="C19" s="7">
        <v>190430</v>
      </c>
      <c r="D19" s="7">
        <f t="shared" si="15"/>
        <v>384707.0707070707</v>
      </c>
      <c r="E19" s="7">
        <v>368553</v>
      </c>
      <c r="F19" s="7">
        <v>24819915</v>
      </c>
      <c r="G19" s="7">
        <f>E19*1000000/F19</f>
        <v>14849.083890899707</v>
      </c>
      <c r="H19" s="6">
        <v>53.1</v>
      </c>
      <c r="I19" s="7">
        <v>3213</v>
      </c>
      <c r="J19" s="7">
        <f t="shared" si="17"/>
        <v>6050.8474576271183</v>
      </c>
      <c r="K19" s="7">
        <v>5851</v>
      </c>
      <c r="L19" s="7">
        <v>575302</v>
      </c>
      <c r="M19" s="7">
        <f>K19*1000000/L19</f>
        <v>10170.31054993725</v>
      </c>
      <c r="N19" s="6">
        <v>52.7</v>
      </c>
      <c r="O19" s="7">
        <v>794</v>
      </c>
      <c r="P19" s="7">
        <f t="shared" si="18"/>
        <v>1506.641366223909</v>
      </c>
      <c r="Q19" s="7">
        <v>1467</v>
      </c>
      <c r="R19" s="7">
        <v>123551</v>
      </c>
      <c r="S19" s="7">
        <f>Q19*1000000/R19</f>
        <v>11873.639225906711</v>
      </c>
      <c r="T19" s="6">
        <v>50.8</v>
      </c>
      <c r="U19" s="7">
        <v>5752</v>
      </c>
      <c r="V19" s="7">
        <f t="shared" ref="V19:V43" si="33">U19/T20*100</f>
        <v>10345.323741007194</v>
      </c>
      <c r="W19" s="7">
        <v>11086</v>
      </c>
      <c r="X19" s="7">
        <v>854871</v>
      </c>
      <c r="Y19" s="7">
        <f>W19*1000000/X19</f>
        <v>12968.038452585244</v>
      </c>
      <c r="Z19" s="6">
        <v>50.9</v>
      </c>
      <c r="AA19" s="7">
        <v>4345</v>
      </c>
      <c r="AB19" s="7">
        <f t="shared" si="19"/>
        <v>8536.3457760314341</v>
      </c>
      <c r="AC19" s="7">
        <v>8003</v>
      </c>
      <c r="AD19" s="7">
        <v>706438</v>
      </c>
      <c r="AE19" s="7">
        <f t="shared" si="20"/>
        <v>11328.665785249377</v>
      </c>
      <c r="AF19" s="6">
        <v>50.2</v>
      </c>
      <c r="AG19" s="7">
        <v>45182</v>
      </c>
      <c r="AH19" s="7">
        <f t="shared" si="21"/>
        <v>90003.984063745025</v>
      </c>
      <c r="AI19" s="7">
        <v>84703</v>
      </c>
      <c r="AJ19" s="7">
        <v>6547207</v>
      </c>
      <c r="AK19" s="7">
        <f t="shared" si="22"/>
        <v>12937.272336127451</v>
      </c>
      <c r="AL19" s="6">
        <v>48.2</v>
      </c>
      <c r="AM19" s="7">
        <v>69498</v>
      </c>
      <c r="AN19" s="7">
        <f t="shared" si="23"/>
        <v>144186.72199170123</v>
      </c>
      <c r="AO19" s="7">
        <v>138355</v>
      </c>
      <c r="AP19" s="7">
        <v>8812286</v>
      </c>
      <c r="AQ19" s="7">
        <f t="shared" si="24"/>
        <v>15700.239415742975</v>
      </c>
      <c r="AR19" s="6">
        <v>49</v>
      </c>
      <c r="AS19" s="7">
        <v>7631</v>
      </c>
      <c r="AT19" s="7">
        <f t="shared" si="25"/>
        <v>15573.469387755102</v>
      </c>
      <c r="AU19" s="7">
        <v>14924</v>
      </c>
      <c r="AV19" s="7">
        <v>1035545</v>
      </c>
      <c r="AW19" s="7">
        <f t="shared" si="26"/>
        <v>14411.734883563728</v>
      </c>
      <c r="AX19" s="6">
        <v>49.5</v>
      </c>
      <c r="AY19" s="7">
        <v>7035</v>
      </c>
      <c r="AZ19" s="7">
        <f t="shared" si="27"/>
        <v>14212.121212121212</v>
      </c>
      <c r="BA19" s="7">
        <v>13311</v>
      </c>
      <c r="BB19" s="305">
        <v>975759</v>
      </c>
      <c r="BC19" s="7">
        <f t="shared" si="28"/>
        <v>13641.688162753302</v>
      </c>
      <c r="BD19" s="6">
        <v>49.8</v>
      </c>
      <c r="BE19" s="7">
        <v>20970</v>
      </c>
      <c r="BF19" s="7">
        <f t="shared" si="29"/>
        <v>42108.433734939761</v>
      </c>
      <c r="BG19" s="7">
        <v>39681</v>
      </c>
      <c r="BH19" s="7">
        <v>2291104</v>
      </c>
      <c r="BI19" s="7">
        <f t="shared" si="30"/>
        <v>17319.597888179673</v>
      </c>
      <c r="BJ19" s="6">
        <v>51.8</v>
      </c>
      <c r="BK19" s="7">
        <v>25215</v>
      </c>
      <c r="BL19" s="7">
        <f t="shared" si="31"/>
        <v>48677.606177606176</v>
      </c>
      <c r="BM19" s="7">
        <v>49101</v>
      </c>
      <c r="BN19" s="7">
        <v>2826558</v>
      </c>
      <c r="BO19" s="7">
        <f t="shared" si="32"/>
        <v>17371.304604398705</v>
      </c>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row>
    <row r="20" spans="1:138" ht="15.75" customHeight="1">
      <c r="A20" s="1">
        <v>1982</v>
      </c>
      <c r="B20" s="6">
        <v>54.9</v>
      </c>
      <c r="C20" s="7">
        <v>204121</v>
      </c>
      <c r="D20" s="7">
        <f t="shared" si="15"/>
        <v>371805.10018214938</v>
      </c>
      <c r="E20" s="7">
        <v>359472</v>
      </c>
      <c r="F20" s="7">
        <v>25116942</v>
      </c>
      <c r="G20" s="7">
        <f t="shared" ref="G20:G43" si="34">E20*1000000/F20</f>
        <v>14311.933355581265</v>
      </c>
      <c r="H20" s="6">
        <v>58.5</v>
      </c>
      <c r="I20" s="7">
        <v>3496</v>
      </c>
      <c r="J20" s="7">
        <f t="shared" si="17"/>
        <v>5976.068376068376</v>
      </c>
      <c r="K20" s="7">
        <v>5804</v>
      </c>
      <c r="L20" s="7">
        <v>573795</v>
      </c>
      <c r="M20" s="7">
        <f t="shared" ref="M20:M44" si="35">K20*1000000/L20</f>
        <v>10115.110797410225</v>
      </c>
      <c r="N20" s="6">
        <v>57.8</v>
      </c>
      <c r="O20" s="7">
        <v>853</v>
      </c>
      <c r="P20" s="7">
        <f t="shared" si="18"/>
        <v>1475.7785467128028</v>
      </c>
      <c r="Q20" s="7">
        <v>1446</v>
      </c>
      <c r="R20" s="7">
        <v>123588</v>
      </c>
      <c r="S20" s="7">
        <f t="shared" ref="S20:S41" si="36">Q20*1000000/R20</f>
        <v>11700.165064569375</v>
      </c>
      <c r="T20" s="6">
        <v>55.6</v>
      </c>
      <c r="U20" s="7">
        <v>6202</v>
      </c>
      <c r="V20" s="7">
        <f t="shared" si="33"/>
        <v>10494.077834179358</v>
      </c>
      <c r="W20" s="7">
        <v>10917</v>
      </c>
      <c r="X20" s="7">
        <v>859038</v>
      </c>
      <c r="Y20" s="7">
        <f t="shared" ref="Y20:Y40" si="37">W20*1000000/X20</f>
        <v>12708.401723788704</v>
      </c>
      <c r="Z20" s="6">
        <v>55.6</v>
      </c>
      <c r="AA20" s="7">
        <v>4666</v>
      </c>
      <c r="AB20" s="7">
        <f t="shared" si="19"/>
        <v>8392.0863309352517</v>
      </c>
      <c r="AC20" s="7">
        <v>7907</v>
      </c>
      <c r="AD20" s="7">
        <v>707457</v>
      </c>
      <c r="AE20" s="7">
        <f t="shared" si="20"/>
        <v>11176.651019072537</v>
      </c>
      <c r="AF20" s="6">
        <v>56</v>
      </c>
      <c r="AG20" s="7">
        <v>48249</v>
      </c>
      <c r="AH20" s="7">
        <f t="shared" si="21"/>
        <v>86158.928571428565</v>
      </c>
      <c r="AI20" s="7">
        <v>81728</v>
      </c>
      <c r="AJ20" s="7">
        <v>6580631</v>
      </c>
      <c r="AK20" s="7">
        <f t="shared" si="22"/>
        <v>12419.477706621143</v>
      </c>
      <c r="AL20" s="6">
        <v>53.3</v>
      </c>
      <c r="AM20" s="7">
        <v>74726</v>
      </c>
      <c r="AN20" s="7">
        <f t="shared" si="23"/>
        <v>140198.87429643527</v>
      </c>
      <c r="AO20" s="7">
        <v>135700</v>
      </c>
      <c r="AP20" s="7">
        <v>8920288</v>
      </c>
      <c r="AQ20" s="7">
        <f t="shared" si="24"/>
        <v>15212.513317955654</v>
      </c>
      <c r="AR20" s="6">
        <v>53.3</v>
      </c>
      <c r="AS20" s="7">
        <v>8267</v>
      </c>
      <c r="AT20" s="7">
        <f t="shared" si="25"/>
        <v>15510.31894934334</v>
      </c>
      <c r="AU20" s="7">
        <v>14951</v>
      </c>
      <c r="AV20" s="7">
        <v>1045224</v>
      </c>
      <c r="AW20" s="7">
        <f t="shared" si="26"/>
        <v>14304.11088914912</v>
      </c>
      <c r="AX20" s="6">
        <v>54</v>
      </c>
      <c r="AY20" s="7">
        <v>7619</v>
      </c>
      <c r="AZ20" s="7">
        <f t="shared" si="27"/>
        <v>14109.259259259257</v>
      </c>
      <c r="BA20" s="7">
        <v>13274</v>
      </c>
      <c r="BB20" s="305">
        <v>986582</v>
      </c>
      <c r="BC20" s="7">
        <f t="shared" si="28"/>
        <v>13454.53292275756</v>
      </c>
      <c r="BD20" s="6">
        <v>55.4</v>
      </c>
      <c r="BE20" s="7">
        <v>22891</v>
      </c>
      <c r="BF20" s="7">
        <f t="shared" si="29"/>
        <v>41319.49458483755</v>
      </c>
      <c r="BG20" s="7">
        <v>39256</v>
      </c>
      <c r="BH20" s="7">
        <v>2369827</v>
      </c>
      <c r="BI20" s="7">
        <f t="shared" si="30"/>
        <v>16564.922249598811</v>
      </c>
      <c r="BJ20" s="6">
        <v>57.3</v>
      </c>
      <c r="BK20" s="7">
        <v>26258</v>
      </c>
      <c r="BL20" s="7">
        <f t="shared" si="31"/>
        <v>45825.47993019197</v>
      </c>
      <c r="BM20" s="7">
        <v>46406</v>
      </c>
      <c r="BN20" s="7">
        <v>2876513</v>
      </c>
      <c r="BO20" s="7">
        <f t="shared" si="32"/>
        <v>16132.727368171116</v>
      </c>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row>
    <row r="21" spans="1:138" ht="15.75" customHeight="1">
      <c r="A21" s="1">
        <v>1983</v>
      </c>
      <c r="B21" s="6">
        <v>58.1</v>
      </c>
      <c r="C21" s="7">
        <v>224100</v>
      </c>
      <c r="D21" s="7">
        <f t="shared" si="15"/>
        <v>385714.28571428568</v>
      </c>
      <c r="E21" s="7">
        <v>369685</v>
      </c>
      <c r="F21" s="7">
        <v>25366451</v>
      </c>
      <c r="G21" s="7">
        <f t="shared" si="34"/>
        <v>14573.776993872734</v>
      </c>
      <c r="H21" s="6">
        <v>62.4</v>
      </c>
      <c r="I21" s="7">
        <v>3841</v>
      </c>
      <c r="J21" s="7">
        <f t="shared" si="17"/>
        <v>6155.4487179487187</v>
      </c>
      <c r="K21" s="7">
        <v>5928</v>
      </c>
      <c r="L21" s="7">
        <v>579164</v>
      </c>
      <c r="M21" s="7">
        <f t="shared" si="35"/>
        <v>10235.442810671933</v>
      </c>
      <c r="N21" s="6">
        <v>60.7</v>
      </c>
      <c r="O21" s="7">
        <v>953</v>
      </c>
      <c r="P21" s="7">
        <f t="shared" si="18"/>
        <v>1570.0164744645799</v>
      </c>
      <c r="Q21" s="7">
        <v>1519</v>
      </c>
      <c r="R21" s="7">
        <v>125102</v>
      </c>
      <c r="S21" s="7">
        <f t="shared" si="36"/>
        <v>12142.092052884846</v>
      </c>
      <c r="T21" s="6">
        <v>59.1</v>
      </c>
      <c r="U21" s="7">
        <v>6974</v>
      </c>
      <c r="V21" s="7">
        <f t="shared" si="33"/>
        <v>11303.079416531604</v>
      </c>
      <c r="W21" s="7">
        <v>11445</v>
      </c>
      <c r="X21" s="7">
        <v>868289</v>
      </c>
      <c r="Y21" s="7">
        <f t="shared" si="37"/>
        <v>13181.095234420798</v>
      </c>
      <c r="Z21" s="6">
        <v>59.3</v>
      </c>
      <c r="AA21" s="7">
        <v>5234</v>
      </c>
      <c r="AB21" s="7">
        <f t="shared" si="19"/>
        <v>8826.3069139966283</v>
      </c>
      <c r="AC21" s="7">
        <v>8298</v>
      </c>
      <c r="AD21" s="7">
        <v>714842</v>
      </c>
      <c r="AE21" s="7">
        <f t="shared" si="20"/>
        <v>11608.159565330521</v>
      </c>
      <c r="AF21" s="6">
        <v>59.1</v>
      </c>
      <c r="AG21" s="7">
        <v>53089</v>
      </c>
      <c r="AH21" s="7">
        <f t="shared" si="21"/>
        <v>89829.103214890012</v>
      </c>
      <c r="AI21" s="7">
        <v>84510</v>
      </c>
      <c r="AJ21" s="7">
        <v>6602976</v>
      </c>
      <c r="AK21" s="7">
        <f t="shared" si="22"/>
        <v>12798.774370829153</v>
      </c>
      <c r="AL21" s="6">
        <v>56.6</v>
      </c>
      <c r="AM21" s="7">
        <v>83150</v>
      </c>
      <c r="AN21" s="7">
        <f t="shared" si="23"/>
        <v>146908.12720848055</v>
      </c>
      <c r="AO21" s="7">
        <v>141009</v>
      </c>
      <c r="AP21" s="7">
        <v>9039564</v>
      </c>
      <c r="AQ21" s="7">
        <f t="shared" si="24"/>
        <v>15599.093053603028</v>
      </c>
      <c r="AR21" s="6">
        <v>56.8</v>
      </c>
      <c r="AS21" s="7">
        <v>9000</v>
      </c>
      <c r="AT21" s="7">
        <f t="shared" si="25"/>
        <v>15845.070422535213</v>
      </c>
      <c r="AU21" s="7">
        <v>15116</v>
      </c>
      <c r="AV21" s="7">
        <v>1059752</v>
      </c>
      <c r="AW21" s="7">
        <f t="shared" si="26"/>
        <v>14263.714529437077</v>
      </c>
      <c r="AX21" s="6">
        <v>57.4</v>
      </c>
      <c r="AY21" s="7">
        <v>8433</v>
      </c>
      <c r="AZ21" s="7">
        <f t="shared" si="27"/>
        <v>14691.63763066202</v>
      </c>
      <c r="BA21" s="7">
        <v>13681</v>
      </c>
      <c r="BB21" s="305">
        <v>1001249</v>
      </c>
      <c r="BC21" s="7">
        <f t="shared" si="28"/>
        <v>13663.933746750308</v>
      </c>
      <c r="BD21" s="6">
        <v>58.3</v>
      </c>
      <c r="BE21" s="7">
        <v>24308</v>
      </c>
      <c r="BF21" s="7">
        <f t="shared" si="29"/>
        <v>41694.682675814758</v>
      </c>
      <c r="BG21" s="7">
        <v>39401</v>
      </c>
      <c r="BH21" s="7">
        <v>2393587</v>
      </c>
      <c r="BI21" s="7">
        <f t="shared" si="30"/>
        <v>16461.068680603628</v>
      </c>
      <c r="BJ21" s="6">
        <v>60.4</v>
      </c>
      <c r="BK21" s="7">
        <v>28166</v>
      </c>
      <c r="BL21" s="7">
        <f t="shared" si="31"/>
        <v>46632.45033112583</v>
      </c>
      <c r="BM21" s="7">
        <v>46704</v>
      </c>
      <c r="BN21" s="7">
        <v>2907502</v>
      </c>
      <c r="BO21" s="7">
        <f t="shared" si="32"/>
        <v>16063.273559227131</v>
      </c>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row>
    <row r="22" spans="1:138" ht="15.75" customHeight="1">
      <c r="A22" s="1">
        <v>1984</v>
      </c>
      <c r="B22" s="6">
        <v>60.6</v>
      </c>
      <c r="C22" s="7">
        <v>244218</v>
      </c>
      <c r="D22" s="7">
        <f t="shared" si="15"/>
        <v>403000</v>
      </c>
      <c r="E22" s="7">
        <v>386224</v>
      </c>
      <c r="F22" s="7">
        <v>25607053</v>
      </c>
      <c r="G22" s="7">
        <f t="shared" si="34"/>
        <v>15082.719592918404</v>
      </c>
      <c r="H22" s="6">
        <v>65.2</v>
      </c>
      <c r="I22" s="7">
        <v>4186</v>
      </c>
      <c r="J22" s="7">
        <f t="shared" si="17"/>
        <v>6420.245398773005</v>
      </c>
      <c r="K22" s="7">
        <v>6199</v>
      </c>
      <c r="L22" s="7">
        <v>580065</v>
      </c>
      <c r="M22" s="7">
        <f t="shared" si="35"/>
        <v>10686.73338332773</v>
      </c>
      <c r="N22" s="6">
        <v>63.3</v>
      </c>
      <c r="O22" s="7">
        <v>1054</v>
      </c>
      <c r="P22" s="7">
        <f t="shared" si="18"/>
        <v>1665.086887835703</v>
      </c>
      <c r="Q22" s="7">
        <v>1611</v>
      </c>
      <c r="R22" s="7">
        <v>126563</v>
      </c>
      <c r="S22" s="7">
        <f t="shared" si="36"/>
        <v>12728.838602119104</v>
      </c>
      <c r="T22" s="6">
        <v>61.7</v>
      </c>
      <c r="U22" s="7">
        <v>7738</v>
      </c>
      <c r="V22" s="7">
        <f t="shared" si="33"/>
        <v>11996.899224806202</v>
      </c>
      <c r="W22" s="7">
        <v>12143</v>
      </c>
      <c r="X22" s="7">
        <v>877471</v>
      </c>
      <c r="Y22" s="7">
        <f t="shared" si="37"/>
        <v>13838.633983345318</v>
      </c>
      <c r="Z22" s="6">
        <v>62.3</v>
      </c>
      <c r="AA22" s="7">
        <v>5729</v>
      </c>
      <c r="AB22" s="7">
        <f t="shared" si="19"/>
        <v>9195.8266452648477</v>
      </c>
      <c r="AC22" s="7">
        <v>8696</v>
      </c>
      <c r="AD22" s="7">
        <v>720488</v>
      </c>
      <c r="AE22" s="7">
        <f t="shared" si="20"/>
        <v>12069.597272959438</v>
      </c>
      <c r="AF22" s="6">
        <v>61.5</v>
      </c>
      <c r="AG22" s="7">
        <v>58239</v>
      </c>
      <c r="AH22" s="7">
        <f t="shared" si="21"/>
        <v>94697.560975609755</v>
      </c>
      <c r="AI22" s="7">
        <v>89041</v>
      </c>
      <c r="AJ22" s="7">
        <v>6631220</v>
      </c>
      <c r="AK22" s="7">
        <f t="shared" si="22"/>
        <v>13427.544252792095</v>
      </c>
      <c r="AL22" s="6">
        <v>59.4</v>
      </c>
      <c r="AM22" s="7">
        <v>91592</v>
      </c>
      <c r="AN22" s="7">
        <f t="shared" si="23"/>
        <v>154195.2861952862</v>
      </c>
      <c r="AO22" s="7">
        <v>148013</v>
      </c>
      <c r="AP22" s="7">
        <v>9167484</v>
      </c>
      <c r="AQ22" s="7">
        <f t="shared" si="24"/>
        <v>16145.433141743144</v>
      </c>
      <c r="AR22" s="6">
        <v>58.9</v>
      </c>
      <c r="AS22" s="7">
        <v>9949</v>
      </c>
      <c r="AT22" s="7">
        <f t="shared" si="25"/>
        <v>16891.341256366723</v>
      </c>
      <c r="AU22" s="7">
        <v>16110</v>
      </c>
      <c r="AV22" s="7">
        <v>1071810</v>
      </c>
      <c r="AW22" s="7">
        <f t="shared" si="26"/>
        <v>15030.649088924343</v>
      </c>
      <c r="AX22" s="6">
        <v>59.8</v>
      </c>
      <c r="AY22" s="7">
        <v>9121</v>
      </c>
      <c r="AZ22" s="7">
        <f t="shared" si="27"/>
        <v>15252.508361204014</v>
      </c>
      <c r="BA22" s="7">
        <v>14198</v>
      </c>
      <c r="BB22" s="305">
        <v>1014615</v>
      </c>
      <c r="BC22" s="7">
        <f t="shared" si="28"/>
        <v>13993.48521360319</v>
      </c>
      <c r="BD22" s="6">
        <v>59.8</v>
      </c>
      <c r="BE22" s="7">
        <v>25240</v>
      </c>
      <c r="BF22" s="7">
        <f t="shared" si="29"/>
        <v>42207.357859531774</v>
      </c>
      <c r="BG22" s="7">
        <v>39912</v>
      </c>
      <c r="BH22" s="7">
        <v>2393907</v>
      </c>
      <c r="BI22" s="7">
        <f t="shared" si="30"/>
        <v>16672.32686984081</v>
      </c>
      <c r="BJ22" s="6">
        <v>62.8</v>
      </c>
      <c r="BK22" s="7">
        <v>30334</v>
      </c>
      <c r="BL22" s="7">
        <f t="shared" si="31"/>
        <v>48302.547770700643</v>
      </c>
      <c r="BM22" s="7">
        <v>48149</v>
      </c>
      <c r="BN22" s="7">
        <v>2947181</v>
      </c>
      <c r="BO22" s="7">
        <f t="shared" si="32"/>
        <v>16337.306734808619</v>
      </c>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row>
    <row r="23" spans="1:138" ht="15.75" customHeight="1">
      <c r="A23" s="1">
        <v>1985</v>
      </c>
      <c r="B23" s="6">
        <v>63</v>
      </c>
      <c r="C23" s="7">
        <v>266683</v>
      </c>
      <c r="D23" s="7">
        <f t="shared" si="15"/>
        <v>423306.34920634923</v>
      </c>
      <c r="E23" s="7">
        <v>406334</v>
      </c>
      <c r="F23" s="7">
        <v>25842116</v>
      </c>
      <c r="G23" s="7">
        <f t="shared" si="34"/>
        <v>15723.712408070609</v>
      </c>
      <c r="H23" s="6">
        <v>67.900000000000006</v>
      </c>
      <c r="I23" s="7">
        <v>4508</v>
      </c>
      <c r="J23" s="7">
        <f t="shared" si="17"/>
        <v>6639.1752577319576</v>
      </c>
      <c r="K23" s="7">
        <v>6404</v>
      </c>
      <c r="L23" s="7">
        <v>579275</v>
      </c>
      <c r="M23" s="7">
        <f t="shared" si="35"/>
        <v>11055.198308230116</v>
      </c>
      <c r="N23" s="6">
        <v>65.599999999999994</v>
      </c>
      <c r="O23" s="7">
        <v>1114</v>
      </c>
      <c r="P23" s="7">
        <f t="shared" si="18"/>
        <v>1698.1707317073174</v>
      </c>
      <c r="Q23" s="7">
        <v>1640</v>
      </c>
      <c r="R23" s="7">
        <v>127619</v>
      </c>
      <c r="S23" s="7">
        <f t="shared" si="36"/>
        <v>12850.751063713084</v>
      </c>
      <c r="T23" s="6">
        <v>64.5</v>
      </c>
      <c r="U23" s="7">
        <v>8442</v>
      </c>
      <c r="V23" s="7">
        <f t="shared" si="33"/>
        <v>12694.736842105263</v>
      </c>
      <c r="W23" s="7">
        <v>12680</v>
      </c>
      <c r="X23" s="7">
        <v>885848</v>
      </c>
      <c r="Y23" s="7">
        <f t="shared" si="37"/>
        <v>14313.968084818163</v>
      </c>
      <c r="Z23" s="6">
        <v>65.2</v>
      </c>
      <c r="AA23" s="7">
        <v>6216</v>
      </c>
      <c r="AB23" s="7">
        <f t="shared" si="19"/>
        <v>9533.7423312883438</v>
      </c>
      <c r="AC23" s="7">
        <v>9057</v>
      </c>
      <c r="AD23" s="7">
        <v>723287</v>
      </c>
      <c r="AE23" s="7">
        <f t="shared" si="20"/>
        <v>12522.00025715933</v>
      </c>
      <c r="AF23" s="6">
        <v>64.2</v>
      </c>
      <c r="AG23" s="7">
        <v>63689</v>
      </c>
      <c r="AH23" s="7">
        <f t="shared" si="21"/>
        <v>99204.049844236753</v>
      </c>
      <c r="AI23" s="7">
        <v>93703</v>
      </c>
      <c r="AJ23" s="7">
        <v>6665802</v>
      </c>
      <c r="AK23" s="7">
        <f t="shared" si="22"/>
        <v>14057.273228337715</v>
      </c>
      <c r="AL23" s="6">
        <v>61.8</v>
      </c>
      <c r="AM23" s="7">
        <v>100965</v>
      </c>
      <c r="AN23" s="7">
        <f t="shared" si="23"/>
        <v>163373.78640776698</v>
      </c>
      <c r="AO23" s="7">
        <v>156856</v>
      </c>
      <c r="AP23" s="7">
        <v>9294657</v>
      </c>
      <c r="AQ23" s="7">
        <f>AO23*1000000/AP23</f>
        <v>16875.932054297431</v>
      </c>
      <c r="AR23" s="6">
        <v>61.4</v>
      </c>
      <c r="AS23" s="7">
        <v>10809</v>
      </c>
      <c r="AT23" s="7">
        <f t="shared" si="25"/>
        <v>17604.234527687295</v>
      </c>
      <c r="AU23" s="7">
        <v>16810</v>
      </c>
      <c r="AV23" s="7">
        <v>1082495</v>
      </c>
      <c r="AW23" s="7">
        <f t="shared" si="26"/>
        <v>15528.940087483083</v>
      </c>
      <c r="AX23" s="6">
        <v>62</v>
      </c>
      <c r="AY23" s="7">
        <v>9707</v>
      </c>
      <c r="AZ23" s="7">
        <f t="shared" si="27"/>
        <v>15656.451612903225</v>
      </c>
      <c r="BA23" s="7">
        <v>14595</v>
      </c>
      <c r="BB23" s="305">
        <v>1024928</v>
      </c>
      <c r="BC23" s="7">
        <f t="shared" si="28"/>
        <v>14240.02466514721</v>
      </c>
      <c r="BD23" s="6">
        <v>61.6</v>
      </c>
      <c r="BE23" s="7">
        <v>27482</v>
      </c>
      <c r="BF23" s="7">
        <f t="shared" si="29"/>
        <v>44613.63636363636</v>
      </c>
      <c r="BG23" s="7">
        <v>42240</v>
      </c>
      <c r="BH23" s="7">
        <v>2404490</v>
      </c>
      <c r="BI23" s="7">
        <f t="shared" si="30"/>
        <v>17567.134818610182</v>
      </c>
      <c r="BJ23" s="6">
        <v>64.8</v>
      </c>
      <c r="BK23" s="7">
        <v>32648</v>
      </c>
      <c r="BL23" s="7">
        <f t="shared" si="31"/>
        <v>50382.716049382718</v>
      </c>
      <c r="BM23" s="7">
        <v>50186</v>
      </c>
      <c r="BN23" s="7">
        <v>2975131</v>
      </c>
      <c r="BO23" s="7">
        <f t="shared" si="32"/>
        <v>16868.500916430236</v>
      </c>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row>
    <row r="24" spans="1:138" ht="15.75" customHeight="1">
      <c r="A24" s="1">
        <v>1986</v>
      </c>
      <c r="B24" s="6">
        <v>65.599999999999994</v>
      </c>
      <c r="C24" s="7">
        <v>288591</v>
      </c>
      <c r="D24" s="7">
        <f t="shared" si="15"/>
        <v>439925.30487804877</v>
      </c>
      <c r="E24" s="7">
        <v>422542</v>
      </c>
      <c r="F24" s="7">
        <v>26100278</v>
      </c>
      <c r="G24" s="7">
        <f t="shared" si="34"/>
        <v>16189.176222567437</v>
      </c>
      <c r="H24" s="6">
        <v>69.900000000000006</v>
      </c>
      <c r="I24" s="7">
        <v>4826</v>
      </c>
      <c r="J24" s="7">
        <f t="shared" si="17"/>
        <v>6904.1487839771089</v>
      </c>
      <c r="K24" s="7">
        <v>6623</v>
      </c>
      <c r="L24" s="7">
        <v>576306</v>
      </c>
      <c r="M24" s="7">
        <f t="shared" si="35"/>
        <v>11492.158679590357</v>
      </c>
      <c r="N24" s="6">
        <v>67</v>
      </c>
      <c r="O24" s="7">
        <v>1196</v>
      </c>
      <c r="P24" s="7">
        <f t="shared" si="18"/>
        <v>1785.0746268656717</v>
      </c>
      <c r="Q24" s="7">
        <v>1707</v>
      </c>
      <c r="R24" s="7">
        <v>128436</v>
      </c>
      <c r="S24" s="7">
        <f t="shared" si="36"/>
        <v>13290.66616836401</v>
      </c>
      <c r="T24" s="6">
        <v>66.5</v>
      </c>
      <c r="U24" s="7">
        <v>9042</v>
      </c>
      <c r="V24" s="7">
        <f t="shared" si="33"/>
        <v>13142.441860465118</v>
      </c>
      <c r="W24" s="7">
        <v>13118</v>
      </c>
      <c r="X24" s="7">
        <v>889087</v>
      </c>
      <c r="Y24" s="7">
        <f t="shared" si="37"/>
        <v>14754.461599371039</v>
      </c>
      <c r="Z24" s="6">
        <v>67.5</v>
      </c>
      <c r="AA24" s="7">
        <v>6736</v>
      </c>
      <c r="AB24" s="7">
        <f t="shared" si="19"/>
        <v>9979.2592592592591</v>
      </c>
      <c r="AC24" s="7">
        <v>9448</v>
      </c>
      <c r="AD24" s="7">
        <v>725019</v>
      </c>
      <c r="AE24" s="7">
        <f t="shared" si="20"/>
        <v>13031.382625834633</v>
      </c>
      <c r="AF24" s="6">
        <v>67.3</v>
      </c>
      <c r="AG24" s="7">
        <v>69253</v>
      </c>
      <c r="AH24" s="7">
        <f t="shared" si="21"/>
        <v>102901.93164933135</v>
      </c>
      <c r="AI24" s="7">
        <v>97286</v>
      </c>
      <c r="AJ24" s="7">
        <v>6708170</v>
      </c>
      <c r="AK24" s="7">
        <f t="shared" si="22"/>
        <v>14502.613976688128</v>
      </c>
      <c r="AL24" s="6">
        <v>64.599999999999994</v>
      </c>
      <c r="AM24" s="7">
        <v>110969</v>
      </c>
      <c r="AN24" s="7">
        <f t="shared" si="23"/>
        <v>171778.63777089785</v>
      </c>
      <c r="AO24" s="7">
        <v>165438</v>
      </c>
      <c r="AP24" s="7">
        <v>9437359</v>
      </c>
      <c r="AQ24" s="7">
        <f t="shared" ref="AQ24:AQ48" si="38">AO24*1000000/AP24</f>
        <v>17530.11621153757</v>
      </c>
      <c r="AR24" s="6">
        <v>64.099999999999994</v>
      </c>
      <c r="AS24" s="7">
        <v>11557</v>
      </c>
      <c r="AT24" s="7">
        <f t="shared" si="25"/>
        <v>18029.641185647426</v>
      </c>
      <c r="AU24" s="7">
        <v>17236</v>
      </c>
      <c r="AV24" s="7">
        <v>1091552</v>
      </c>
      <c r="AW24" s="7">
        <f t="shared" si="26"/>
        <v>15790.360880654334</v>
      </c>
      <c r="AX24" s="6">
        <v>63.7</v>
      </c>
      <c r="AY24" s="7">
        <v>10298</v>
      </c>
      <c r="AZ24" s="7">
        <f t="shared" si="27"/>
        <v>16166.405023547881</v>
      </c>
      <c r="BA24" s="7">
        <v>15119</v>
      </c>
      <c r="BB24" s="305">
        <v>1028717</v>
      </c>
      <c r="BC24" s="7">
        <f t="shared" ref="BC24:BC48" si="39">BA24*1000000/BB24</f>
        <v>14696.947751422404</v>
      </c>
      <c r="BD24" s="6">
        <v>63.7</v>
      </c>
      <c r="BE24" s="7">
        <v>28826</v>
      </c>
      <c r="BF24" s="7">
        <f t="shared" si="29"/>
        <v>45252.747252747249</v>
      </c>
      <c r="BG24" s="7">
        <v>42921</v>
      </c>
      <c r="BH24" s="7">
        <v>2432930</v>
      </c>
      <c r="BI24" s="7">
        <f t="shared" si="30"/>
        <v>17641.691294036409</v>
      </c>
      <c r="BJ24" s="6">
        <v>66.7</v>
      </c>
      <c r="BK24" s="7">
        <v>34693</v>
      </c>
      <c r="BL24" s="7">
        <f t="shared" si="31"/>
        <v>52013.493253373315</v>
      </c>
      <c r="BM24" s="7">
        <v>51547</v>
      </c>
      <c r="BN24" s="7">
        <v>3003621</v>
      </c>
      <c r="BO24" s="7">
        <f t="shared" si="32"/>
        <v>17161.619258887855</v>
      </c>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row>
    <row r="25" spans="1:138" ht="15.75" customHeight="1">
      <c r="A25" s="1">
        <v>1987</v>
      </c>
      <c r="B25" s="6">
        <v>68.5</v>
      </c>
      <c r="C25" s="7">
        <v>312325</v>
      </c>
      <c r="D25" s="7">
        <f t="shared" si="15"/>
        <v>455948.9051094891</v>
      </c>
      <c r="E25" s="7">
        <v>440135</v>
      </c>
      <c r="F25" s="7">
        <v>26446601</v>
      </c>
      <c r="G25" s="7">
        <f t="shared" si="34"/>
        <v>16642.403309219208</v>
      </c>
      <c r="H25" s="6">
        <v>71.900000000000006</v>
      </c>
      <c r="I25" s="7">
        <v>5172</v>
      </c>
      <c r="J25" s="7">
        <f t="shared" si="17"/>
        <v>7193.3240611961055</v>
      </c>
      <c r="K25" s="7">
        <v>6896</v>
      </c>
      <c r="L25" s="7">
        <v>575242</v>
      </c>
      <c r="M25" s="7">
        <f t="shared" si="35"/>
        <v>11987.99809471492</v>
      </c>
      <c r="N25" s="6">
        <v>69.400000000000006</v>
      </c>
      <c r="O25" s="7">
        <v>1280</v>
      </c>
      <c r="P25" s="7">
        <f t="shared" si="18"/>
        <v>1844.3804034582133</v>
      </c>
      <c r="Q25" s="7">
        <v>1765</v>
      </c>
      <c r="R25" s="7">
        <v>128641</v>
      </c>
      <c r="S25" s="7">
        <f t="shared" si="36"/>
        <v>13720.353542027813</v>
      </c>
      <c r="T25" s="6">
        <v>68.8</v>
      </c>
      <c r="U25" s="7">
        <v>9645</v>
      </c>
      <c r="V25" s="7">
        <f t="shared" si="33"/>
        <v>13546.348314606741</v>
      </c>
      <c r="W25" s="7">
        <v>13525</v>
      </c>
      <c r="X25" s="7">
        <v>893606</v>
      </c>
      <c r="Y25" s="7">
        <f t="shared" si="37"/>
        <v>15135.30571638955</v>
      </c>
      <c r="Z25" s="6">
        <v>69.400000000000006</v>
      </c>
      <c r="AA25" s="7">
        <v>7160</v>
      </c>
      <c r="AB25" s="7">
        <f t="shared" si="19"/>
        <v>10317.002881844379</v>
      </c>
      <c r="AC25" s="7">
        <v>9768</v>
      </c>
      <c r="AD25" s="7">
        <v>727768</v>
      </c>
      <c r="AE25" s="7">
        <f t="shared" si="20"/>
        <v>13421.859713535083</v>
      </c>
      <c r="AF25" s="6">
        <v>70.2</v>
      </c>
      <c r="AG25" s="7">
        <v>74756</v>
      </c>
      <c r="AH25" s="7">
        <f t="shared" si="21"/>
        <v>106490.02849002848</v>
      </c>
      <c r="AI25" s="7">
        <v>100898</v>
      </c>
      <c r="AJ25" s="7">
        <v>6781984</v>
      </c>
      <c r="AK25" s="7">
        <f t="shared" si="22"/>
        <v>14877.357422252839</v>
      </c>
      <c r="AL25" s="6">
        <v>67.8</v>
      </c>
      <c r="AM25" s="7">
        <v>121508</v>
      </c>
      <c r="AN25" s="7">
        <f t="shared" si="23"/>
        <v>179215.33923303836</v>
      </c>
      <c r="AO25" s="7">
        <v>173969</v>
      </c>
      <c r="AP25" s="7">
        <v>9637945</v>
      </c>
      <c r="AQ25" s="7">
        <f t="shared" si="38"/>
        <v>18050.42464965301</v>
      </c>
      <c r="AR25" s="6">
        <v>66.8</v>
      </c>
      <c r="AS25" s="7">
        <v>12219</v>
      </c>
      <c r="AT25" s="7">
        <f t="shared" si="25"/>
        <v>18291.916167664673</v>
      </c>
      <c r="AU25" s="7">
        <v>17514</v>
      </c>
      <c r="AV25" s="7">
        <v>1098373</v>
      </c>
      <c r="AW25" s="7">
        <f t="shared" si="26"/>
        <v>15945.40288226313</v>
      </c>
      <c r="AX25" s="6">
        <v>66.8</v>
      </c>
      <c r="AY25" s="7">
        <v>10951</v>
      </c>
      <c r="AZ25" s="7">
        <f t="shared" si="27"/>
        <v>16393.712574850302</v>
      </c>
      <c r="BA25" s="7">
        <v>15448</v>
      </c>
      <c r="BB25" s="305">
        <v>1032799</v>
      </c>
      <c r="BC25" s="7">
        <f t="shared" si="39"/>
        <v>14957.411848772123</v>
      </c>
      <c r="BD25" s="6">
        <v>66.3</v>
      </c>
      <c r="BE25" s="7">
        <v>30607</v>
      </c>
      <c r="BF25" s="7">
        <f t="shared" si="29"/>
        <v>46164.404223227757</v>
      </c>
      <c r="BG25" s="7">
        <v>43854</v>
      </c>
      <c r="BH25" s="7">
        <v>2440877</v>
      </c>
      <c r="BI25" s="7">
        <f t="shared" si="30"/>
        <v>17966.493190767091</v>
      </c>
      <c r="BJ25" s="6">
        <v>68.7</v>
      </c>
      <c r="BK25" s="7">
        <v>37733</v>
      </c>
      <c r="BL25" s="7">
        <f t="shared" si="31"/>
        <v>54924.30858806405</v>
      </c>
      <c r="BM25" s="7">
        <v>54365</v>
      </c>
      <c r="BN25" s="7">
        <v>3048651</v>
      </c>
      <c r="BO25" s="7">
        <f t="shared" si="32"/>
        <v>17832.477380979326</v>
      </c>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row>
    <row r="26" spans="1:138" ht="15.75" customHeight="1">
      <c r="A26" s="1">
        <v>1988</v>
      </c>
      <c r="B26" s="6">
        <v>71.2</v>
      </c>
      <c r="C26" s="7">
        <v>338518</v>
      </c>
      <c r="D26" s="7">
        <f t="shared" si="15"/>
        <v>475446.62921348307</v>
      </c>
      <c r="E26" s="7">
        <v>459410</v>
      </c>
      <c r="F26" s="7">
        <v>26791747</v>
      </c>
      <c r="G26" s="7">
        <f t="shared" si="34"/>
        <v>17147.444696308903</v>
      </c>
      <c r="H26" s="6">
        <v>73.5</v>
      </c>
      <c r="I26" s="7">
        <v>5552</v>
      </c>
      <c r="J26" s="7">
        <f t="shared" si="17"/>
        <v>7553.74149659864</v>
      </c>
      <c r="K26" s="7">
        <v>7216</v>
      </c>
      <c r="L26" s="7">
        <v>574982</v>
      </c>
      <c r="M26" s="7">
        <f t="shared" si="35"/>
        <v>12549.958085644421</v>
      </c>
      <c r="N26" s="6">
        <v>71.900000000000006</v>
      </c>
      <c r="O26" s="7">
        <v>1371</v>
      </c>
      <c r="P26" s="7">
        <f t="shared" si="18"/>
        <v>1906.8150208623088</v>
      </c>
      <c r="Q26" s="7">
        <v>1819</v>
      </c>
      <c r="R26" s="7">
        <v>129289</v>
      </c>
      <c r="S26" s="7">
        <f t="shared" si="36"/>
        <v>14069.255698473962</v>
      </c>
      <c r="T26" s="6">
        <v>71.2</v>
      </c>
      <c r="U26" s="7">
        <v>10315</v>
      </c>
      <c r="V26" s="7">
        <f t="shared" si="33"/>
        <v>13864.247311827956</v>
      </c>
      <c r="W26" s="7">
        <v>13941</v>
      </c>
      <c r="X26" s="7">
        <v>897216</v>
      </c>
      <c r="Y26" s="7">
        <f t="shared" si="37"/>
        <v>15538.064412582924</v>
      </c>
      <c r="Z26" s="6">
        <v>71.8</v>
      </c>
      <c r="AA26" s="7">
        <v>7688</v>
      </c>
      <c r="AB26" s="7">
        <f t="shared" si="19"/>
        <v>10707.520891364904</v>
      </c>
      <c r="AC26" s="7">
        <v>10142</v>
      </c>
      <c r="AD26" s="7">
        <v>730349</v>
      </c>
      <c r="AE26" s="7">
        <f t="shared" si="20"/>
        <v>13886.511790938304</v>
      </c>
      <c r="AF26" s="6">
        <v>72.8</v>
      </c>
      <c r="AG26" s="7">
        <v>80223</v>
      </c>
      <c r="AH26" s="7">
        <f t="shared" si="21"/>
        <v>110196.42857142858</v>
      </c>
      <c r="AI26" s="7">
        <v>104537</v>
      </c>
      <c r="AJ26" s="7">
        <v>6837077</v>
      </c>
      <c r="AK26" s="7">
        <f t="shared" si="22"/>
        <v>15289.721031370569</v>
      </c>
      <c r="AL26" s="6">
        <v>71</v>
      </c>
      <c r="AM26" s="7">
        <v>133728</v>
      </c>
      <c r="AN26" s="7">
        <f t="shared" si="23"/>
        <v>188349.29577464788</v>
      </c>
      <c r="AO26" s="7">
        <v>183344</v>
      </c>
      <c r="AP26" s="7">
        <v>9838620</v>
      </c>
      <c r="AQ26" s="7">
        <f t="shared" si="38"/>
        <v>18635.133789088308</v>
      </c>
      <c r="AR26" s="6">
        <v>69.599999999999994</v>
      </c>
      <c r="AS26" s="7">
        <v>12977</v>
      </c>
      <c r="AT26" s="7">
        <f t="shared" si="25"/>
        <v>18645.114942528737</v>
      </c>
      <c r="AU26" s="7">
        <v>17878</v>
      </c>
      <c r="AV26" s="7">
        <v>1102152</v>
      </c>
      <c r="AW26" s="7">
        <f t="shared" si="26"/>
        <v>16220.993111657921</v>
      </c>
      <c r="AX26" s="6">
        <v>69.8</v>
      </c>
      <c r="AY26" s="7">
        <v>11481</v>
      </c>
      <c r="AZ26" s="7">
        <f t="shared" si="27"/>
        <v>16448.424068767908</v>
      </c>
      <c r="BA26" s="7">
        <v>15611</v>
      </c>
      <c r="BB26" s="305">
        <v>1028225</v>
      </c>
      <c r="BC26" s="7">
        <f t="shared" si="39"/>
        <v>15182.474652921297</v>
      </c>
      <c r="BD26" s="6">
        <v>68.099999999999994</v>
      </c>
      <c r="BE26" s="7">
        <v>32769</v>
      </c>
      <c r="BF26" s="7">
        <f t="shared" si="29"/>
        <v>48118.942731277537</v>
      </c>
      <c r="BG26" s="7">
        <v>45539</v>
      </c>
      <c r="BH26" s="7">
        <v>2456614</v>
      </c>
      <c r="BI26" s="7">
        <f t="shared" si="30"/>
        <v>18537.303784802985</v>
      </c>
      <c r="BJ26" s="6">
        <v>71.2</v>
      </c>
      <c r="BK26" s="7">
        <v>40995</v>
      </c>
      <c r="BL26" s="7">
        <f t="shared" si="31"/>
        <v>57577.247191011236</v>
      </c>
      <c r="BM26" s="7">
        <v>57159</v>
      </c>
      <c r="BN26" s="7">
        <v>3114761</v>
      </c>
      <c r="BO26" s="7">
        <f t="shared" si="32"/>
        <v>18351.006706453561</v>
      </c>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row>
    <row r="27" spans="1:138" ht="15.75" customHeight="1">
      <c r="A27" s="1">
        <v>1989</v>
      </c>
      <c r="B27" s="6">
        <v>74.8</v>
      </c>
      <c r="C27" s="7">
        <v>365520</v>
      </c>
      <c r="D27" s="7">
        <f t="shared" si="15"/>
        <v>488663.10160427808</v>
      </c>
      <c r="E27" s="7">
        <v>475744</v>
      </c>
      <c r="F27" s="7">
        <v>27276781</v>
      </c>
      <c r="G27" s="7">
        <f t="shared" si="34"/>
        <v>17441.354241909998</v>
      </c>
      <c r="H27" s="6">
        <v>76.2</v>
      </c>
      <c r="I27" s="7">
        <v>5899</v>
      </c>
      <c r="J27" s="7">
        <f t="shared" si="17"/>
        <v>7741.4698162729646</v>
      </c>
      <c r="K27" s="7">
        <v>7406</v>
      </c>
      <c r="L27" s="7">
        <v>576551</v>
      </c>
      <c r="M27" s="7">
        <f t="shared" si="35"/>
        <v>12845.351061744754</v>
      </c>
      <c r="N27" s="6">
        <v>74.599999999999994</v>
      </c>
      <c r="O27" s="7">
        <v>1443</v>
      </c>
      <c r="P27" s="7">
        <f t="shared" si="18"/>
        <v>1934.3163538873996</v>
      </c>
      <c r="Q27" s="7">
        <v>1846</v>
      </c>
      <c r="R27" s="7">
        <v>130153</v>
      </c>
      <c r="S27" s="7">
        <f t="shared" si="36"/>
        <v>14183.307338286479</v>
      </c>
      <c r="T27" s="6">
        <v>74.400000000000006</v>
      </c>
      <c r="U27" s="7">
        <v>10923</v>
      </c>
      <c r="V27" s="7">
        <f t="shared" si="33"/>
        <v>13968.030690537084</v>
      </c>
      <c r="W27" s="7">
        <v>14197</v>
      </c>
      <c r="X27" s="7">
        <v>903841</v>
      </c>
      <c r="Y27" s="7">
        <f t="shared" si="37"/>
        <v>15707.408714585861</v>
      </c>
      <c r="Z27" s="6">
        <v>75.2</v>
      </c>
      <c r="AA27" s="7">
        <v>8147</v>
      </c>
      <c r="AB27" s="7">
        <f t="shared" si="19"/>
        <v>10833.776595744681</v>
      </c>
      <c r="AC27" s="7">
        <v>10349</v>
      </c>
      <c r="AD27" s="7">
        <v>735129</v>
      </c>
      <c r="AE27" s="7">
        <f t="shared" si="20"/>
        <v>14077.801311062412</v>
      </c>
      <c r="AF27" s="6">
        <v>75.900000000000006</v>
      </c>
      <c r="AG27" s="7">
        <v>85611</v>
      </c>
      <c r="AH27" s="7">
        <f t="shared" si="21"/>
        <v>112794.46640316205</v>
      </c>
      <c r="AI27" s="7">
        <v>107140</v>
      </c>
      <c r="AJ27" s="7">
        <v>6925128</v>
      </c>
      <c r="AK27" s="7">
        <f t="shared" si="22"/>
        <v>15471.194178649117</v>
      </c>
      <c r="AL27" s="6">
        <v>75.099999999999994</v>
      </c>
      <c r="AM27" s="7">
        <v>145575</v>
      </c>
      <c r="AN27" s="7">
        <f t="shared" si="23"/>
        <v>193841.54460719042</v>
      </c>
      <c r="AO27" s="7">
        <v>190423</v>
      </c>
      <c r="AP27" s="7">
        <v>10103305</v>
      </c>
      <c r="AQ27" s="7">
        <f t="shared" si="38"/>
        <v>18847.594920672</v>
      </c>
      <c r="AR27" s="6">
        <v>72.900000000000006</v>
      </c>
      <c r="AS27" s="7">
        <v>13791</v>
      </c>
      <c r="AT27" s="7">
        <f t="shared" si="25"/>
        <v>18917.695473251028</v>
      </c>
      <c r="AU27" s="7">
        <v>18196</v>
      </c>
      <c r="AV27" s="7">
        <v>1103792</v>
      </c>
      <c r="AW27" s="7">
        <f t="shared" si="26"/>
        <v>16484.989925638165</v>
      </c>
      <c r="AX27" s="6">
        <v>72.900000000000006</v>
      </c>
      <c r="AY27" s="7">
        <v>11999</v>
      </c>
      <c r="AZ27" s="7">
        <f t="shared" si="27"/>
        <v>16459.533607681755</v>
      </c>
      <c r="BA27" s="7">
        <v>15708</v>
      </c>
      <c r="BB27" s="305">
        <v>1019439</v>
      </c>
      <c r="BC27" s="7">
        <f t="shared" si="39"/>
        <v>15408.474661063585</v>
      </c>
      <c r="BD27" s="6">
        <v>70.900000000000006</v>
      </c>
      <c r="BE27" s="7">
        <v>35439</v>
      </c>
      <c r="BF27" s="7">
        <f t="shared" si="29"/>
        <v>49984.485190409017</v>
      </c>
      <c r="BG27" s="7">
        <v>47481</v>
      </c>
      <c r="BH27" s="7">
        <v>2498325</v>
      </c>
      <c r="BI27" s="7">
        <f t="shared" si="30"/>
        <v>19005.133439404402</v>
      </c>
      <c r="BJ27" s="6">
        <v>74.400000000000006</v>
      </c>
      <c r="BK27" s="7">
        <v>45184</v>
      </c>
      <c r="BL27" s="7">
        <f t="shared" si="31"/>
        <v>60731.182795698922</v>
      </c>
      <c r="BM27" s="7">
        <v>60779</v>
      </c>
      <c r="BN27" s="7">
        <v>3196725</v>
      </c>
      <c r="BO27" s="7">
        <f t="shared" si="32"/>
        <v>19012.896010761015</v>
      </c>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row>
    <row r="28" spans="1:138" ht="15.75" customHeight="1">
      <c r="A28" s="1">
        <v>1990</v>
      </c>
      <c r="B28" s="6">
        <v>78.400000000000006</v>
      </c>
      <c r="C28" s="7">
        <v>385413</v>
      </c>
      <c r="D28" s="7">
        <f t="shared" si="15"/>
        <v>491598.2142857142</v>
      </c>
      <c r="E28" s="7">
        <v>481942</v>
      </c>
      <c r="F28" s="7">
        <v>27691138</v>
      </c>
      <c r="G28" s="7">
        <f t="shared" si="34"/>
        <v>17404.196245022504</v>
      </c>
      <c r="H28" s="6">
        <v>79.5</v>
      </c>
      <c r="I28" s="7">
        <v>6132</v>
      </c>
      <c r="J28" s="7">
        <f t="shared" si="17"/>
        <v>7713.2075471698117</v>
      </c>
      <c r="K28" s="7">
        <v>7440</v>
      </c>
      <c r="L28" s="7">
        <v>577368</v>
      </c>
      <c r="M28" s="7">
        <f t="shared" si="35"/>
        <v>12886.062268778318</v>
      </c>
      <c r="N28" s="6">
        <v>78.400000000000006</v>
      </c>
      <c r="O28" s="7">
        <v>1544</v>
      </c>
      <c r="P28" s="7">
        <f t="shared" si="18"/>
        <v>1969.3877551020407</v>
      </c>
      <c r="Q28" s="7">
        <v>1899</v>
      </c>
      <c r="R28" s="7">
        <v>130404</v>
      </c>
      <c r="S28" s="7">
        <f t="shared" si="36"/>
        <v>14562.436735069476</v>
      </c>
      <c r="T28" s="6">
        <v>78.2</v>
      </c>
      <c r="U28" s="7">
        <v>11485</v>
      </c>
      <c r="V28" s="7">
        <f t="shared" si="33"/>
        <v>13854.041013268998</v>
      </c>
      <c r="W28" s="7">
        <v>14313</v>
      </c>
      <c r="X28" s="7">
        <v>910451</v>
      </c>
      <c r="Y28" s="7">
        <f t="shared" si="37"/>
        <v>15720.780140831303</v>
      </c>
      <c r="Z28" s="6">
        <v>78.7</v>
      </c>
      <c r="AA28" s="7">
        <v>8654</v>
      </c>
      <c r="AB28" s="7">
        <f t="shared" si="19"/>
        <v>10996.188055908513</v>
      </c>
      <c r="AC28" s="7">
        <v>10599</v>
      </c>
      <c r="AD28" s="7">
        <v>740156</v>
      </c>
      <c r="AE28" s="7">
        <f t="shared" si="20"/>
        <v>14319.954171823238</v>
      </c>
      <c r="AF28" s="6">
        <v>79.2</v>
      </c>
      <c r="AG28" s="7">
        <v>89354</v>
      </c>
      <c r="AH28" s="7">
        <f t="shared" si="21"/>
        <v>112820.70707070707</v>
      </c>
      <c r="AI28" s="7">
        <v>107716</v>
      </c>
      <c r="AJ28" s="7">
        <v>6996986</v>
      </c>
      <c r="AK28" s="7">
        <f t="shared" si="22"/>
        <v>15394.628487180051</v>
      </c>
      <c r="AL28" s="6">
        <v>78.7</v>
      </c>
      <c r="AM28" s="7">
        <v>152146</v>
      </c>
      <c r="AN28" s="7">
        <f t="shared" si="23"/>
        <v>193324.01524777635</v>
      </c>
      <c r="AO28" s="7">
        <v>191270</v>
      </c>
      <c r="AP28" s="7">
        <v>10295832</v>
      </c>
      <c r="AQ28" s="7">
        <f t="shared" si="38"/>
        <v>18577.420455190022</v>
      </c>
      <c r="AR28" s="6">
        <v>76.2</v>
      </c>
      <c r="AS28" s="7">
        <v>14490</v>
      </c>
      <c r="AT28" s="7">
        <f t="shared" si="25"/>
        <v>19015.748031496063</v>
      </c>
      <c r="AU28" s="7">
        <v>18448</v>
      </c>
      <c r="AV28" s="7">
        <v>1105421</v>
      </c>
      <c r="AW28" s="7">
        <f t="shared" si="26"/>
        <v>16688.664318843228</v>
      </c>
      <c r="AX28" s="6">
        <v>76</v>
      </c>
      <c r="AY28" s="7">
        <v>12473</v>
      </c>
      <c r="AZ28" s="7">
        <f t="shared" si="27"/>
        <v>16411.84210526316</v>
      </c>
      <c r="BA28" s="7">
        <v>15832</v>
      </c>
      <c r="BB28" s="305">
        <v>1007727</v>
      </c>
      <c r="BC28" s="7">
        <f t="shared" si="39"/>
        <v>15710.604161642985</v>
      </c>
      <c r="BD28" s="6">
        <v>75</v>
      </c>
      <c r="BE28" s="7">
        <v>38073</v>
      </c>
      <c r="BF28" s="7">
        <f t="shared" si="29"/>
        <v>50764</v>
      </c>
      <c r="BG28" s="7">
        <v>48713</v>
      </c>
      <c r="BH28" s="7">
        <v>2547788</v>
      </c>
      <c r="BI28" s="7">
        <f t="shared" si="30"/>
        <v>19119.722677083024</v>
      </c>
      <c r="BJ28" s="6">
        <v>78.400000000000006</v>
      </c>
      <c r="BK28" s="7">
        <v>49399</v>
      </c>
      <c r="BL28" s="7">
        <f t="shared" si="31"/>
        <v>63008.928571428565</v>
      </c>
      <c r="BM28" s="7">
        <v>63450</v>
      </c>
      <c r="BN28" s="7">
        <v>3292111</v>
      </c>
      <c r="BO28" s="7">
        <f t="shared" si="32"/>
        <v>19273.347709114303</v>
      </c>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row>
    <row r="29" spans="1:138" ht="15.75" customHeight="1">
      <c r="A29" s="1">
        <v>1991</v>
      </c>
      <c r="B29" s="6">
        <v>82.8</v>
      </c>
      <c r="C29" s="7">
        <v>398314</v>
      </c>
      <c r="D29" s="7">
        <f t="shared" si="15"/>
        <v>481055.55555555556</v>
      </c>
      <c r="E29" s="7">
        <v>475427</v>
      </c>
      <c r="F29" s="7">
        <v>28037420</v>
      </c>
      <c r="G29" s="7">
        <f t="shared" si="34"/>
        <v>16956.874063305397</v>
      </c>
      <c r="H29" s="6">
        <v>84.4</v>
      </c>
      <c r="I29" s="7">
        <v>6337</v>
      </c>
      <c r="J29" s="7">
        <f t="shared" si="17"/>
        <v>7508.2938388625589</v>
      </c>
      <c r="K29" s="7">
        <v>7323</v>
      </c>
      <c r="L29" s="7">
        <v>579644</v>
      </c>
      <c r="M29" s="7">
        <f t="shared" si="35"/>
        <v>12633.616495642153</v>
      </c>
      <c r="N29" s="6">
        <v>84.3</v>
      </c>
      <c r="O29" s="7">
        <v>1585</v>
      </c>
      <c r="P29" s="7">
        <f t="shared" si="18"/>
        <v>1880.1897983392646</v>
      </c>
      <c r="Q29" s="7">
        <v>1840</v>
      </c>
      <c r="R29" s="7">
        <v>130369</v>
      </c>
      <c r="S29" s="7">
        <f t="shared" si="36"/>
        <v>14113.784718759827</v>
      </c>
      <c r="T29" s="6">
        <v>82.9</v>
      </c>
      <c r="U29" s="7">
        <v>11749</v>
      </c>
      <c r="V29" s="7">
        <f t="shared" si="33"/>
        <v>14070.658682634732</v>
      </c>
      <c r="W29" s="7">
        <v>13895</v>
      </c>
      <c r="X29" s="7">
        <v>914969</v>
      </c>
      <c r="Y29" s="7">
        <f t="shared" si="37"/>
        <v>15186.306858483729</v>
      </c>
      <c r="Z29" s="6">
        <v>83.8</v>
      </c>
      <c r="AA29" s="7">
        <v>9115</v>
      </c>
      <c r="AB29" s="7">
        <f t="shared" si="19"/>
        <v>10877.08830548926</v>
      </c>
      <c r="AC29" s="7">
        <v>10634</v>
      </c>
      <c r="AD29" s="7">
        <v>745567</v>
      </c>
      <c r="AE29" s="7">
        <f t="shared" si="20"/>
        <v>14262.970329963639</v>
      </c>
      <c r="AF29" s="6">
        <v>85</v>
      </c>
      <c r="AG29" s="7">
        <v>92416</v>
      </c>
      <c r="AH29" s="7">
        <f t="shared" si="21"/>
        <v>108724.70588235294</v>
      </c>
      <c r="AI29" s="7">
        <v>105944</v>
      </c>
      <c r="AJ29" s="7">
        <v>7067396</v>
      </c>
      <c r="AK29" s="7">
        <f t="shared" si="22"/>
        <v>14990.528336037771</v>
      </c>
      <c r="AL29" s="6">
        <v>82.4</v>
      </c>
      <c r="AM29" s="7">
        <v>156339</v>
      </c>
      <c r="AN29" s="7">
        <f t="shared" si="23"/>
        <v>189731.79611650485</v>
      </c>
      <c r="AO29" s="7">
        <v>188061</v>
      </c>
      <c r="AP29" s="7">
        <v>10431316</v>
      </c>
      <c r="AQ29" s="7">
        <f t="shared" si="38"/>
        <v>18028.501868795844</v>
      </c>
      <c r="AR29" s="6">
        <v>80.099999999999994</v>
      </c>
      <c r="AS29" s="7">
        <v>14751</v>
      </c>
      <c r="AT29" s="7">
        <f t="shared" si="25"/>
        <v>18415.730337078654</v>
      </c>
      <c r="AU29" s="7">
        <v>18022</v>
      </c>
      <c r="AV29" s="7">
        <v>1109604</v>
      </c>
      <c r="AW29" s="7">
        <f t="shared" si="26"/>
        <v>16241.830418780033</v>
      </c>
      <c r="AX29" s="6">
        <v>80</v>
      </c>
      <c r="AY29" s="7">
        <v>12675</v>
      </c>
      <c r="AZ29" s="7">
        <f t="shared" si="27"/>
        <v>15843.75</v>
      </c>
      <c r="BA29" s="7">
        <v>15442</v>
      </c>
      <c r="BB29" s="305">
        <v>1002713</v>
      </c>
      <c r="BC29" s="7">
        <f t="shared" si="39"/>
        <v>15400.219205296033</v>
      </c>
      <c r="BD29" s="6">
        <v>79.400000000000006</v>
      </c>
      <c r="BE29" s="7">
        <v>39370</v>
      </c>
      <c r="BF29" s="7">
        <f t="shared" si="29"/>
        <v>49584.382871536516</v>
      </c>
      <c r="BG29" s="7">
        <v>48235</v>
      </c>
      <c r="BH29" s="7">
        <v>2592306</v>
      </c>
      <c r="BI29" s="7">
        <f t="shared" si="30"/>
        <v>18606.985440762008</v>
      </c>
      <c r="BJ29" s="6">
        <v>82.6</v>
      </c>
      <c r="BK29" s="7">
        <v>52202</v>
      </c>
      <c r="BL29" s="7">
        <f t="shared" si="31"/>
        <v>63198.547215496379</v>
      </c>
      <c r="BM29" s="7">
        <v>63737</v>
      </c>
      <c r="BN29" s="7">
        <v>3373787</v>
      </c>
      <c r="BO29" s="7">
        <f t="shared" si="32"/>
        <v>18891.826899564199</v>
      </c>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row>
    <row r="30" spans="1:138" ht="15.75" customHeight="1">
      <c r="A30" s="1">
        <v>1992</v>
      </c>
      <c r="B30" s="6">
        <v>84</v>
      </c>
      <c r="C30" s="7">
        <v>411167</v>
      </c>
      <c r="D30" s="7">
        <f t="shared" si="15"/>
        <v>489484.52380952385</v>
      </c>
      <c r="E30" s="7">
        <v>483718</v>
      </c>
      <c r="F30" s="7">
        <v>28371264</v>
      </c>
      <c r="G30" s="7">
        <f t="shared" si="34"/>
        <v>17049.575232178588</v>
      </c>
      <c r="H30" s="6">
        <v>85.3</v>
      </c>
      <c r="I30" s="7">
        <v>6450</v>
      </c>
      <c r="J30" s="7">
        <f t="shared" si="17"/>
        <v>7561.547479484173</v>
      </c>
      <c r="K30" s="7">
        <v>7394</v>
      </c>
      <c r="L30" s="7">
        <v>580109</v>
      </c>
      <c r="M30" s="7">
        <f t="shared" si="35"/>
        <v>12745.880515558283</v>
      </c>
      <c r="N30" s="6">
        <v>85</v>
      </c>
      <c r="O30" s="7">
        <v>1626</v>
      </c>
      <c r="P30" s="7">
        <f t="shared" si="18"/>
        <v>1912.9411764705883</v>
      </c>
      <c r="Q30" s="7">
        <v>1880</v>
      </c>
      <c r="R30" s="7">
        <v>130827</v>
      </c>
      <c r="S30" s="7">
        <f t="shared" si="36"/>
        <v>14370.122375350655</v>
      </c>
      <c r="T30" s="6">
        <v>83.5</v>
      </c>
      <c r="U30" s="7">
        <v>12144</v>
      </c>
      <c r="V30" s="7">
        <f t="shared" si="33"/>
        <v>14371.597633136094</v>
      </c>
      <c r="W30" s="7">
        <v>14268</v>
      </c>
      <c r="X30" s="7">
        <v>919451</v>
      </c>
      <c r="Y30" s="7">
        <f t="shared" si="37"/>
        <v>15517.955823638236</v>
      </c>
      <c r="Z30" s="6">
        <v>84.3</v>
      </c>
      <c r="AA30" s="7">
        <v>9346</v>
      </c>
      <c r="AB30" s="7">
        <f t="shared" si="19"/>
        <v>11086.595492289443</v>
      </c>
      <c r="AC30" s="7">
        <v>10835</v>
      </c>
      <c r="AD30" s="7">
        <v>748121</v>
      </c>
      <c r="AE30" s="7">
        <f t="shared" si="20"/>
        <v>14482.951287291762</v>
      </c>
      <c r="AF30" s="6">
        <v>86.6</v>
      </c>
      <c r="AG30" s="7">
        <v>94925</v>
      </c>
      <c r="AH30" s="7">
        <f t="shared" si="21"/>
        <v>109613.16397228639</v>
      </c>
      <c r="AI30" s="7">
        <v>107606</v>
      </c>
      <c r="AJ30" s="7">
        <v>7110010</v>
      </c>
      <c r="AK30" s="7">
        <f t="shared" si="22"/>
        <v>15134.437223013751</v>
      </c>
      <c r="AL30" s="6">
        <v>83.2</v>
      </c>
      <c r="AM30" s="7">
        <v>161106</v>
      </c>
      <c r="AN30" s="7">
        <f t="shared" si="23"/>
        <v>193637.01923076922</v>
      </c>
      <c r="AO30" s="7">
        <v>191056</v>
      </c>
      <c r="AP30" s="7">
        <v>10572205</v>
      </c>
      <c r="AQ30" s="7">
        <f t="shared" si="38"/>
        <v>18071.537583692334</v>
      </c>
      <c r="AR30" s="6">
        <v>81.2</v>
      </c>
      <c r="AS30" s="7">
        <v>15143</v>
      </c>
      <c r="AT30" s="7">
        <f t="shared" si="25"/>
        <v>18649.014778325123</v>
      </c>
      <c r="AU30" s="7">
        <v>18227</v>
      </c>
      <c r="AV30" s="7">
        <v>1112689</v>
      </c>
      <c r="AW30" s="7">
        <f t="shared" si="26"/>
        <v>16381.037288945969</v>
      </c>
      <c r="AX30" s="6">
        <v>80.8</v>
      </c>
      <c r="AY30" s="7">
        <v>12882</v>
      </c>
      <c r="AZ30" s="7">
        <f t="shared" si="27"/>
        <v>15943.069306930693</v>
      </c>
      <c r="BA30" s="7">
        <v>15573</v>
      </c>
      <c r="BB30" s="305">
        <v>1003995</v>
      </c>
      <c r="BC30" s="7">
        <f t="shared" si="39"/>
        <v>15511.033421481183</v>
      </c>
      <c r="BD30" s="6">
        <v>80.599999999999994</v>
      </c>
      <c r="BE30" s="7">
        <v>40525</v>
      </c>
      <c r="BF30" s="7">
        <f t="shared" si="29"/>
        <v>50279.156327543424</v>
      </c>
      <c r="BG30" s="7">
        <v>48757</v>
      </c>
      <c r="BH30" s="7">
        <v>2632672</v>
      </c>
      <c r="BI30" s="7">
        <f t="shared" si="30"/>
        <v>18519.967546279979</v>
      </c>
      <c r="BJ30" s="6">
        <v>84.8</v>
      </c>
      <c r="BK30" s="7">
        <v>55264</v>
      </c>
      <c r="BL30" s="7">
        <f t="shared" si="31"/>
        <v>65169.811320754721</v>
      </c>
      <c r="BM30" s="7">
        <v>65939</v>
      </c>
      <c r="BN30" s="7">
        <v>3468802</v>
      </c>
      <c r="BO30" s="7">
        <f t="shared" si="32"/>
        <v>19009.156475347972</v>
      </c>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row>
    <row r="31" spans="1:138" ht="15.75" customHeight="1">
      <c r="A31" s="1">
        <v>1993</v>
      </c>
      <c r="B31" s="6">
        <v>85.6</v>
      </c>
      <c r="C31" s="7">
        <v>428219</v>
      </c>
      <c r="D31" s="7">
        <f t="shared" si="15"/>
        <v>500255.84112149535</v>
      </c>
      <c r="E31" s="7">
        <v>492333</v>
      </c>
      <c r="F31" s="7">
        <v>28684764</v>
      </c>
      <c r="G31" s="7">
        <f t="shared" si="34"/>
        <v>17163.571574094178</v>
      </c>
      <c r="H31" s="6">
        <v>86.7</v>
      </c>
      <c r="I31" s="7">
        <v>6598</v>
      </c>
      <c r="J31" s="7">
        <f t="shared" si="17"/>
        <v>7610.1499423298737</v>
      </c>
      <c r="K31" s="7">
        <v>7438</v>
      </c>
      <c r="L31" s="7">
        <v>579977</v>
      </c>
      <c r="M31" s="7">
        <f t="shared" si="35"/>
        <v>12824.646494602372</v>
      </c>
      <c r="N31" s="6">
        <v>86.6</v>
      </c>
      <c r="O31" s="7">
        <v>1692</v>
      </c>
      <c r="P31" s="7">
        <f t="shared" si="18"/>
        <v>1953.810623556582</v>
      </c>
      <c r="Q31" s="7">
        <v>1919</v>
      </c>
      <c r="R31" s="7">
        <v>132177</v>
      </c>
      <c r="S31" s="7">
        <f t="shared" si="36"/>
        <v>14518.41091869236</v>
      </c>
      <c r="T31" s="6">
        <v>84.5</v>
      </c>
      <c r="U31" s="7">
        <v>12501</v>
      </c>
      <c r="V31" s="7">
        <f t="shared" si="33"/>
        <v>14621.052631578948</v>
      </c>
      <c r="W31" s="7">
        <v>14450</v>
      </c>
      <c r="X31" s="7">
        <v>923925</v>
      </c>
      <c r="Y31" s="7">
        <f t="shared" si="37"/>
        <v>15639.797602619261</v>
      </c>
      <c r="Z31" s="6">
        <v>85.4</v>
      </c>
      <c r="AA31" s="7">
        <v>9660</v>
      </c>
      <c r="AB31" s="7">
        <f t="shared" si="19"/>
        <v>11311.475409836065</v>
      </c>
      <c r="AC31" s="7">
        <v>10992</v>
      </c>
      <c r="AD31" s="7">
        <v>748812</v>
      </c>
      <c r="AE31" s="7">
        <f t="shared" si="20"/>
        <v>14679.251935065144</v>
      </c>
      <c r="AF31" s="6">
        <v>87.7</v>
      </c>
      <c r="AG31" s="7">
        <v>97917</v>
      </c>
      <c r="AH31" s="7">
        <f t="shared" si="21"/>
        <v>111649.94298745724</v>
      </c>
      <c r="AI31" s="7">
        <v>109372</v>
      </c>
      <c r="AJ31" s="7">
        <v>7156537</v>
      </c>
      <c r="AK31" s="7">
        <f t="shared" si="22"/>
        <v>15282.810666667412</v>
      </c>
      <c r="AL31" s="6">
        <v>84.7</v>
      </c>
      <c r="AM31" s="7">
        <v>167661</v>
      </c>
      <c r="AN31" s="7">
        <f t="shared" si="23"/>
        <v>197946.87131050767</v>
      </c>
      <c r="AO31" s="7">
        <v>193529</v>
      </c>
      <c r="AP31" s="7">
        <v>10690038</v>
      </c>
      <c r="AQ31" s="7">
        <f t="shared" si="38"/>
        <v>18103.677461202664</v>
      </c>
      <c r="AR31" s="6">
        <v>83.4</v>
      </c>
      <c r="AS31" s="7">
        <v>15808</v>
      </c>
      <c r="AT31" s="7">
        <f t="shared" si="25"/>
        <v>18954.436450839326</v>
      </c>
      <c r="AU31" s="7">
        <v>18536</v>
      </c>
      <c r="AV31" s="7">
        <v>1117618</v>
      </c>
      <c r="AW31" s="7">
        <f t="shared" si="26"/>
        <v>16585.27332236954</v>
      </c>
      <c r="AX31" s="6">
        <v>83.3</v>
      </c>
      <c r="AY31" s="7">
        <v>13478</v>
      </c>
      <c r="AZ31" s="7">
        <f t="shared" si="27"/>
        <v>16180.072028811526</v>
      </c>
      <c r="BA31" s="7">
        <v>15849</v>
      </c>
      <c r="BB31" s="305">
        <v>1006900</v>
      </c>
      <c r="BC31" s="7">
        <f t="shared" si="39"/>
        <v>15740.391300029794</v>
      </c>
      <c r="BD31" s="6">
        <v>81.400000000000006</v>
      </c>
      <c r="BE31" s="7">
        <v>42329</v>
      </c>
      <c r="BF31" s="7">
        <f t="shared" si="29"/>
        <v>52001.228501228499</v>
      </c>
      <c r="BG31" s="7">
        <v>50154</v>
      </c>
      <c r="BH31" s="7">
        <v>2667292</v>
      </c>
      <c r="BI31" s="7">
        <f t="shared" si="30"/>
        <v>18803.340616625403</v>
      </c>
      <c r="BJ31" s="6">
        <v>87.8</v>
      </c>
      <c r="BK31" s="7">
        <v>58849</v>
      </c>
      <c r="BL31" s="7">
        <f t="shared" si="31"/>
        <v>67026.19589977221</v>
      </c>
      <c r="BM31" s="7">
        <v>68013</v>
      </c>
      <c r="BN31" s="7">
        <v>3567772</v>
      </c>
      <c r="BO31" s="7">
        <f t="shared" si="32"/>
        <v>19063.157623301042</v>
      </c>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row>
    <row r="32" spans="1:138" ht="15.75" customHeight="1">
      <c r="A32" s="1">
        <v>1994</v>
      </c>
      <c r="B32" s="6">
        <v>85.7</v>
      </c>
      <c r="C32" s="7">
        <v>445857</v>
      </c>
      <c r="D32" s="7">
        <f t="shared" si="15"/>
        <v>520253.20886814472</v>
      </c>
      <c r="E32" s="7">
        <v>507845</v>
      </c>
      <c r="F32" s="7">
        <v>29000663</v>
      </c>
      <c r="G32" s="7">
        <f t="shared" si="34"/>
        <v>17511.496202690261</v>
      </c>
      <c r="H32" s="6">
        <v>87.8</v>
      </c>
      <c r="I32" s="7">
        <v>6780</v>
      </c>
      <c r="J32" s="7">
        <f t="shared" si="17"/>
        <v>7722.0956719817768</v>
      </c>
      <c r="K32" s="7">
        <v>7526</v>
      </c>
      <c r="L32" s="7">
        <v>574466</v>
      </c>
      <c r="M32" s="7">
        <f t="shared" si="35"/>
        <v>13100.862366093032</v>
      </c>
      <c r="N32" s="6">
        <v>86.4</v>
      </c>
      <c r="O32" s="7">
        <v>1732</v>
      </c>
      <c r="P32" s="7">
        <f t="shared" si="18"/>
        <v>2004.6296296296293</v>
      </c>
      <c r="Q32" s="7">
        <v>1957</v>
      </c>
      <c r="R32" s="7">
        <v>133437</v>
      </c>
      <c r="S32" s="7">
        <f t="shared" si="36"/>
        <v>14666.097109497367</v>
      </c>
      <c r="T32" s="6">
        <v>85.5</v>
      </c>
      <c r="U32" s="7">
        <v>12885</v>
      </c>
      <c r="V32" s="7">
        <f t="shared" si="33"/>
        <v>14878.752886836028</v>
      </c>
      <c r="W32" s="7">
        <v>14699</v>
      </c>
      <c r="X32" s="7">
        <v>926871</v>
      </c>
      <c r="Y32" s="7">
        <f t="shared" si="37"/>
        <v>15858.733308087101</v>
      </c>
      <c r="Z32" s="6">
        <v>85.9</v>
      </c>
      <c r="AA32" s="7">
        <v>9896</v>
      </c>
      <c r="AB32" s="7">
        <f t="shared" si="19"/>
        <v>11520.372526193247</v>
      </c>
      <c r="AC32" s="7">
        <v>11141</v>
      </c>
      <c r="AD32" s="7">
        <v>750185</v>
      </c>
      <c r="AE32" s="7">
        <f t="shared" si="20"/>
        <v>14851.003419156608</v>
      </c>
      <c r="AF32" s="6">
        <v>86.6</v>
      </c>
      <c r="AG32" s="7">
        <v>100677</v>
      </c>
      <c r="AH32" s="7">
        <f t="shared" si="21"/>
        <v>116255.19630484989</v>
      </c>
      <c r="AI32" s="7">
        <v>112796</v>
      </c>
      <c r="AJ32" s="7">
        <v>7192403</v>
      </c>
      <c r="AK32" s="7">
        <f t="shared" si="22"/>
        <v>15682.658493969262</v>
      </c>
      <c r="AL32" s="6">
        <v>84.7</v>
      </c>
      <c r="AM32" s="7">
        <v>174288</v>
      </c>
      <c r="AN32" s="7">
        <f t="shared" si="23"/>
        <v>205770.95631641085</v>
      </c>
      <c r="AO32" s="7">
        <v>199467</v>
      </c>
      <c r="AP32" s="7">
        <v>10819146</v>
      </c>
      <c r="AQ32" s="7">
        <f t="shared" si="38"/>
        <v>18436.482879517476</v>
      </c>
      <c r="AR32" s="6">
        <v>84.6</v>
      </c>
      <c r="AS32" s="7">
        <v>16474</v>
      </c>
      <c r="AT32" s="7">
        <f t="shared" si="25"/>
        <v>19472.813238770686</v>
      </c>
      <c r="AU32" s="7">
        <v>19010</v>
      </c>
      <c r="AV32" s="7">
        <v>1123230</v>
      </c>
      <c r="AW32" s="7">
        <f t="shared" si="26"/>
        <v>16924.405509112115</v>
      </c>
      <c r="AX32" s="6">
        <v>84.8</v>
      </c>
      <c r="AY32" s="7">
        <v>14175</v>
      </c>
      <c r="AZ32" s="7">
        <f t="shared" si="27"/>
        <v>16715.801886792455</v>
      </c>
      <c r="BA32" s="7">
        <v>16367</v>
      </c>
      <c r="BB32" s="305">
        <v>1009575</v>
      </c>
      <c r="BC32" s="7">
        <f t="shared" si="39"/>
        <v>16211.772280415025</v>
      </c>
      <c r="BD32" s="6">
        <v>82.6</v>
      </c>
      <c r="BE32" s="7">
        <v>44733</v>
      </c>
      <c r="BF32" s="7">
        <f t="shared" si="29"/>
        <v>54156.174334140436</v>
      </c>
      <c r="BG32" s="7">
        <v>52078</v>
      </c>
      <c r="BH32" s="7">
        <v>2700606</v>
      </c>
      <c r="BI32" s="7">
        <f t="shared" si="30"/>
        <v>19283.82000188106</v>
      </c>
      <c r="BJ32" s="6">
        <v>89.5</v>
      </c>
      <c r="BK32" s="7">
        <v>62512</v>
      </c>
      <c r="BL32" s="7">
        <f t="shared" si="31"/>
        <v>69845.810055865921</v>
      </c>
      <c r="BM32" s="7">
        <v>70811</v>
      </c>
      <c r="BN32" s="7">
        <v>3676075</v>
      </c>
      <c r="BO32" s="7">
        <f t="shared" si="32"/>
        <v>19262.664662717707</v>
      </c>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row>
    <row r="33" spans="1:138" ht="15.75" customHeight="1">
      <c r="A33" s="1">
        <v>1995</v>
      </c>
      <c r="B33" s="6">
        <v>87.6</v>
      </c>
      <c r="C33" s="7">
        <v>460906</v>
      </c>
      <c r="D33" s="7">
        <f t="shared" si="15"/>
        <v>526148.40182648401</v>
      </c>
      <c r="E33" s="7">
        <v>518703</v>
      </c>
      <c r="F33" s="7">
        <v>29302311</v>
      </c>
      <c r="G33" s="7">
        <f t="shared" si="34"/>
        <v>17701.777856360884</v>
      </c>
      <c r="H33" s="6">
        <v>89</v>
      </c>
      <c r="I33" s="7">
        <v>6903</v>
      </c>
      <c r="J33" s="7">
        <f t="shared" si="17"/>
        <v>7756.1797752808989</v>
      </c>
      <c r="K33" s="7">
        <v>7615</v>
      </c>
      <c r="L33" s="7">
        <v>567397</v>
      </c>
      <c r="M33" s="7">
        <f t="shared" si="35"/>
        <v>13420.938073341946</v>
      </c>
      <c r="N33" s="6">
        <v>87.8</v>
      </c>
      <c r="O33" s="7">
        <v>1781</v>
      </c>
      <c r="P33" s="7">
        <f t="shared" si="18"/>
        <v>2028.4738041002279</v>
      </c>
      <c r="Q33" s="7">
        <v>1996</v>
      </c>
      <c r="R33" s="7">
        <v>134415</v>
      </c>
      <c r="S33" s="7">
        <f t="shared" si="36"/>
        <v>14849.533162221478</v>
      </c>
      <c r="T33" s="6">
        <v>86.6</v>
      </c>
      <c r="U33" s="7">
        <v>13151</v>
      </c>
      <c r="V33" s="7">
        <f t="shared" si="33"/>
        <v>14910.430839002269</v>
      </c>
      <c r="W33" s="7">
        <v>14925</v>
      </c>
      <c r="X33" s="7">
        <v>928120</v>
      </c>
      <c r="Y33" s="7">
        <f t="shared" si="37"/>
        <v>16080.894711890704</v>
      </c>
      <c r="Z33" s="6">
        <v>87.2</v>
      </c>
      <c r="AA33" s="7">
        <v>10189</v>
      </c>
      <c r="AB33" s="7">
        <f t="shared" si="19"/>
        <v>11684.633027522936</v>
      </c>
      <c r="AC33" s="7">
        <v>11402</v>
      </c>
      <c r="AD33" s="7">
        <v>750943</v>
      </c>
      <c r="AE33" s="7">
        <f t="shared" si="20"/>
        <v>15183.575850630474</v>
      </c>
      <c r="AF33" s="6">
        <v>88.1</v>
      </c>
      <c r="AG33" s="7">
        <v>102929</v>
      </c>
      <c r="AH33" s="7">
        <f t="shared" si="21"/>
        <v>116832.00908059024</v>
      </c>
      <c r="AI33" s="7">
        <v>115070</v>
      </c>
      <c r="AJ33" s="7">
        <v>7219219</v>
      </c>
      <c r="AK33" s="7">
        <f t="shared" si="22"/>
        <v>15939.39732261897</v>
      </c>
      <c r="AL33" s="6">
        <v>86.8</v>
      </c>
      <c r="AM33" s="7">
        <v>180757</v>
      </c>
      <c r="AN33" s="7">
        <f t="shared" si="23"/>
        <v>208245.39170506914</v>
      </c>
      <c r="AO33" s="7">
        <v>203604</v>
      </c>
      <c r="AP33" s="7">
        <v>10950119</v>
      </c>
      <c r="AQ33" s="7">
        <f t="shared" si="38"/>
        <v>18593.770533452651</v>
      </c>
      <c r="AR33" s="6">
        <v>86.9</v>
      </c>
      <c r="AS33" s="7">
        <v>17146</v>
      </c>
      <c r="AT33" s="7">
        <f t="shared" si="25"/>
        <v>19730.724971231299</v>
      </c>
      <c r="AU33" s="7">
        <v>19421</v>
      </c>
      <c r="AV33" s="7">
        <v>1129150</v>
      </c>
      <c r="AW33" s="7">
        <f t="shared" si="26"/>
        <v>17199.663463667359</v>
      </c>
      <c r="AX33" s="6">
        <v>86.4</v>
      </c>
      <c r="AY33" s="7">
        <v>14711</v>
      </c>
      <c r="AZ33" s="7">
        <f t="shared" si="27"/>
        <v>17026.620370370369</v>
      </c>
      <c r="BA33" s="7">
        <v>16738</v>
      </c>
      <c r="BB33" s="305">
        <v>1014187</v>
      </c>
      <c r="BC33" s="7">
        <f t="shared" si="39"/>
        <v>16503.85974184248</v>
      </c>
      <c r="BD33" s="6">
        <v>84.5</v>
      </c>
      <c r="BE33" s="7">
        <v>46140</v>
      </c>
      <c r="BF33" s="7">
        <f t="shared" si="29"/>
        <v>54603.550295857989</v>
      </c>
      <c r="BG33" s="7">
        <v>53053</v>
      </c>
      <c r="BH33" s="7">
        <v>2734519</v>
      </c>
      <c r="BI33" s="7">
        <f t="shared" si="30"/>
        <v>19401.21827641351</v>
      </c>
      <c r="BJ33" s="6">
        <v>91.6</v>
      </c>
      <c r="BK33" s="7">
        <v>65422</v>
      </c>
      <c r="BL33" s="7">
        <f t="shared" si="31"/>
        <v>71421.397379912669</v>
      </c>
      <c r="BM33" s="7">
        <v>72857</v>
      </c>
      <c r="BN33" s="7">
        <v>3777390</v>
      </c>
      <c r="BO33" s="7">
        <f t="shared" si="32"/>
        <v>19287.656291778185</v>
      </c>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row>
    <row r="34" spans="1:138" ht="15.75" customHeight="1">
      <c r="A34" s="1">
        <v>1996</v>
      </c>
      <c r="B34" s="17">
        <v>88.9</v>
      </c>
      <c r="C34" s="7">
        <v>480427</v>
      </c>
      <c r="D34" s="7">
        <f t="shared" si="15"/>
        <v>540412.82339707529</v>
      </c>
      <c r="E34" s="7">
        <v>531743</v>
      </c>
      <c r="F34" s="7">
        <v>29610218</v>
      </c>
      <c r="G34" s="7">
        <f t="shared" si="34"/>
        <v>17958.091358868078</v>
      </c>
      <c r="H34" s="17">
        <v>90.4</v>
      </c>
      <c r="I34" s="7">
        <v>7041</v>
      </c>
      <c r="J34" s="7">
        <f t="shared" si="17"/>
        <v>7788.7168141592911</v>
      </c>
      <c r="K34" s="7">
        <v>7653</v>
      </c>
      <c r="L34" s="7">
        <v>559698</v>
      </c>
      <c r="M34" s="7">
        <f t="shared" si="35"/>
        <v>13673.44532229881</v>
      </c>
      <c r="N34" s="17">
        <v>89.4</v>
      </c>
      <c r="O34" s="7">
        <v>1882</v>
      </c>
      <c r="P34" s="7">
        <f t="shared" si="18"/>
        <v>2105.1454138702461</v>
      </c>
      <c r="Q34" s="7">
        <v>2072</v>
      </c>
      <c r="R34" s="7">
        <v>135737</v>
      </c>
      <c r="S34" s="7">
        <f t="shared" si="36"/>
        <v>15264.813573307205</v>
      </c>
      <c r="T34" s="17">
        <v>88.2</v>
      </c>
      <c r="U34" s="7">
        <v>13590</v>
      </c>
      <c r="V34" s="7">
        <f t="shared" si="33"/>
        <v>15100</v>
      </c>
      <c r="W34" s="7">
        <v>15179</v>
      </c>
      <c r="X34" s="7">
        <v>931327</v>
      </c>
      <c r="Y34" s="7">
        <f t="shared" si="37"/>
        <v>16298.249701769626</v>
      </c>
      <c r="Z34" s="17">
        <v>88.5</v>
      </c>
      <c r="AA34" s="7">
        <v>10520</v>
      </c>
      <c r="AB34" s="7">
        <f t="shared" si="19"/>
        <v>11887.005649717514</v>
      </c>
      <c r="AC34" s="7">
        <v>11615</v>
      </c>
      <c r="AD34" s="7">
        <v>752268</v>
      </c>
      <c r="AE34" s="7">
        <f t="shared" si="20"/>
        <v>15439.976178702271</v>
      </c>
      <c r="AF34" s="17">
        <v>89.5</v>
      </c>
      <c r="AG34" s="7">
        <v>107859</v>
      </c>
      <c r="AH34" s="7">
        <f t="shared" si="21"/>
        <v>120512.84916201119</v>
      </c>
      <c r="AI34" s="7">
        <v>118661</v>
      </c>
      <c r="AJ34" s="7">
        <v>7246897</v>
      </c>
      <c r="AK34" s="7">
        <f>AI34*1000000/AJ34</f>
        <v>16374.042572979855</v>
      </c>
      <c r="AL34" s="17">
        <v>88.2</v>
      </c>
      <c r="AM34" s="7">
        <v>187931</v>
      </c>
      <c r="AN34" s="7">
        <f t="shared" si="23"/>
        <v>213073.69614512473</v>
      </c>
      <c r="AO34" s="7">
        <v>208186</v>
      </c>
      <c r="AP34" s="7">
        <v>11082903</v>
      </c>
      <c r="AQ34" s="7">
        <f t="shared" si="38"/>
        <v>18784.428592400385</v>
      </c>
      <c r="AR34" s="17">
        <v>88.8</v>
      </c>
      <c r="AS34" s="7">
        <v>17595</v>
      </c>
      <c r="AT34" s="7">
        <f t="shared" si="25"/>
        <v>19814.18918918919</v>
      </c>
      <c r="AU34" s="7">
        <v>19559</v>
      </c>
      <c r="AV34" s="7">
        <v>1134196</v>
      </c>
      <c r="AW34" s="7">
        <f t="shared" si="26"/>
        <v>17244.814829182964</v>
      </c>
      <c r="AX34" s="17">
        <v>88.1</v>
      </c>
      <c r="AY34" s="7">
        <v>15248</v>
      </c>
      <c r="AZ34" s="7">
        <f t="shared" si="27"/>
        <v>17307.604994324633</v>
      </c>
      <c r="BA34" s="7">
        <v>17040</v>
      </c>
      <c r="BB34" s="305">
        <v>1018945</v>
      </c>
      <c r="BC34" s="7">
        <f t="shared" si="39"/>
        <v>16723.17936689419</v>
      </c>
      <c r="BD34" s="17">
        <v>86.4</v>
      </c>
      <c r="BE34" s="7">
        <v>48063</v>
      </c>
      <c r="BF34" s="7">
        <f t="shared" si="29"/>
        <v>55628.472222222219</v>
      </c>
      <c r="BG34" s="7">
        <v>54175</v>
      </c>
      <c r="BH34" s="7">
        <v>2775133</v>
      </c>
      <c r="BI34" s="7">
        <f t="shared" si="30"/>
        <v>19521.586893312862</v>
      </c>
      <c r="BJ34" s="17">
        <v>92.4</v>
      </c>
      <c r="BK34" s="7">
        <v>68868</v>
      </c>
      <c r="BL34" s="7">
        <f t="shared" si="31"/>
        <v>74532.467532467519</v>
      </c>
      <c r="BM34" s="7">
        <v>75515</v>
      </c>
      <c r="BN34" s="7">
        <v>3874317</v>
      </c>
      <c r="BO34" s="7">
        <f t="shared" si="32"/>
        <v>19491.177412689773</v>
      </c>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row>
    <row r="35" spans="1:138" ht="15.75" customHeight="1">
      <c r="A35" s="1">
        <v>1997</v>
      </c>
      <c r="B35" s="17">
        <v>90.4</v>
      </c>
      <c r="C35" s="7">
        <v>510695</v>
      </c>
      <c r="D35" s="7">
        <f t="shared" si="15"/>
        <v>564928.09734513261</v>
      </c>
      <c r="E35" s="7">
        <v>555404</v>
      </c>
      <c r="F35" s="7">
        <v>29905948</v>
      </c>
      <c r="G35" s="7">
        <f t="shared" si="34"/>
        <v>18571.690153410284</v>
      </c>
      <c r="H35" s="17">
        <v>92.3</v>
      </c>
      <c r="I35" s="7">
        <v>7388</v>
      </c>
      <c r="J35" s="7">
        <f t="shared" si="17"/>
        <v>8004.3336944745388</v>
      </c>
      <c r="K35" s="7">
        <v>7878</v>
      </c>
      <c r="L35" s="7">
        <v>550911</v>
      </c>
      <c r="M35" s="7">
        <f t="shared" si="35"/>
        <v>14299.950445716277</v>
      </c>
      <c r="N35" s="17">
        <v>90.5</v>
      </c>
      <c r="O35" s="7">
        <v>1968</v>
      </c>
      <c r="P35" s="7">
        <f t="shared" si="18"/>
        <v>2174.5856353591162</v>
      </c>
      <c r="Q35" s="7">
        <v>2135</v>
      </c>
      <c r="R35" s="7">
        <v>136095</v>
      </c>
      <c r="S35" s="7">
        <f t="shared" si="36"/>
        <v>15687.571181895</v>
      </c>
      <c r="T35" s="17">
        <v>90</v>
      </c>
      <c r="U35" s="7">
        <v>14352</v>
      </c>
      <c r="V35" s="7">
        <f t="shared" si="33"/>
        <v>15841.059602649008</v>
      </c>
      <c r="W35" s="7">
        <v>15675</v>
      </c>
      <c r="X35" s="7">
        <v>932402</v>
      </c>
      <c r="Y35" s="7">
        <f t="shared" si="37"/>
        <v>16811.418250926101</v>
      </c>
      <c r="Z35" s="17">
        <v>90.1</v>
      </c>
      <c r="AA35" s="7">
        <v>10999</v>
      </c>
      <c r="AB35" s="7">
        <f t="shared" si="19"/>
        <v>12207.547169811322</v>
      </c>
      <c r="AC35" s="7">
        <v>11910</v>
      </c>
      <c r="AD35" s="7">
        <v>752511</v>
      </c>
      <c r="AE35" s="7">
        <f t="shared" si="20"/>
        <v>15827.011166614177</v>
      </c>
      <c r="AF35" s="17">
        <v>90.8</v>
      </c>
      <c r="AG35" s="7">
        <v>114163</v>
      </c>
      <c r="AH35" s="7">
        <f t="shared" si="21"/>
        <v>125730.17621145376</v>
      </c>
      <c r="AI35" s="7">
        <v>123337</v>
      </c>
      <c r="AJ35" s="7">
        <v>7274611</v>
      </c>
      <c r="AK35" s="7">
        <f t="shared" ref="AK35:AK48" si="40">AI35*1000000/AJ35</f>
        <v>16954.446086533011</v>
      </c>
      <c r="AL35" s="17">
        <v>89.8</v>
      </c>
      <c r="AM35" s="7">
        <v>200084</v>
      </c>
      <c r="AN35" s="7">
        <f t="shared" si="23"/>
        <v>222810.69042316257</v>
      </c>
      <c r="AO35" s="7">
        <v>218024</v>
      </c>
      <c r="AP35" s="7">
        <v>11227651</v>
      </c>
      <c r="AQ35" s="7">
        <f t="shared" si="38"/>
        <v>19418.487446750882</v>
      </c>
      <c r="AR35" s="17">
        <v>90.6</v>
      </c>
      <c r="AS35" s="7">
        <v>18623</v>
      </c>
      <c r="AT35" s="7">
        <f t="shared" si="25"/>
        <v>20555.187637969095</v>
      </c>
      <c r="AU35" s="7">
        <v>20308</v>
      </c>
      <c r="AV35" s="7">
        <v>1136128</v>
      </c>
      <c r="AW35" s="7">
        <f t="shared" si="26"/>
        <v>17874.746507435782</v>
      </c>
      <c r="AX35" s="17">
        <v>89.2</v>
      </c>
      <c r="AY35" s="7">
        <v>16110</v>
      </c>
      <c r="AZ35" s="7">
        <f t="shared" si="27"/>
        <v>18060.538116591928</v>
      </c>
      <c r="BA35" s="7">
        <v>17697</v>
      </c>
      <c r="BB35" s="305">
        <v>1017902</v>
      </c>
      <c r="BC35" s="7">
        <f t="shared" si="39"/>
        <v>17385.760122290751</v>
      </c>
      <c r="BD35" s="17">
        <v>88.1</v>
      </c>
      <c r="BE35" s="7">
        <v>52761</v>
      </c>
      <c r="BF35" s="7">
        <f t="shared" si="29"/>
        <v>59887.627695800235</v>
      </c>
      <c r="BG35" s="7">
        <v>58144</v>
      </c>
      <c r="BH35" s="7">
        <v>2829848</v>
      </c>
      <c r="BI35" s="7">
        <f t="shared" si="30"/>
        <v>20546.686606489111</v>
      </c>
      <c r="BJ35" s="17">
        <v>93.1</v>
      </c>
      <c r="BK35" s="7">
        <v>72380</v>
      </c>
      <c r="BL35" s="7">
        <f t="shared" si="31"/>
        <v>77744.360902255648</v>
      </c>
      <c r="BM35" s="7">
        <v>78235</v>
      </c>
      <c r="BN35" s="7">
        <v>3948583</v>
      </c>
      <c r="BO35" s="7">
        <f t="shared" si="32"/>
        <v>19813.436870897738</v>
      </c>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row>
    <row r="36" spans="1:138" ht="15.75" customHeight="1">
      <c r="A36" s="1">
        <v>1998</v>
      </c>
      <c r="B36" s="17">
        <v>91.3</v>
      </c>
      <c r="C36" s="7">
        <v>531169</v>
      </c>
      <c r="D36" s="7">
        <f t="shared" si="15"/>
        <v>581784.22782037244</v>
      </c>
      <c r="E36" s="7">
        <v>570895</v>
      </c>
      <c r="F36" s="7">
        <v>30155173</v>
      </c>
      <c r="G36" s="7">
        <f t="shared" si="34"/>
        <v>18931.909294634126</v>
      </c>
      <c r="H36" s="17">
        <v>92.5</v>
      </c>
      <c r="I36" s="7">
        <v>7598</v>
      </c>
      <c r="J36" s="7">
        <f t="shared" si="17"/>
        <v>8214.0540540540533</v>
      </c>
      <c r="K36" s="7">
        <v>8061</v>
      </c>
      <c r="L36" s="7">
        <v>539843</v>
      </c>
      <c r="M36" s="7">
        <f t="shared" si="35"/>
        <v>14932.119153161197</v>
      </c>
      <c r="N36" s="17">
        <v>90.1</v>
      </c>
      <c r="O36" s="7">
        <v>2026</v>
      </c>
      <c r="P36" s="7">
        <f t="shared" si="18"/>
        <v>2248.612652608213</v>
      </c>
      <c r="Q36" s="7">
        <v>2198</v>
      </c>
      <c r="R36" s="7">
        <v>135804</v>
      </c>
      <c r="S36" s="7">
        <f t="shared" si="36"/>
        <v>16185.090277164149</v>
      </c>
      <c r="T36" s="17">
        <v>90.6</v>
      </c>
      <c r="U36" s="7">
        <v>14887</v>
      </c>
      <c r="V36" s="7">
        <f t="shared" si="33"/>
        <v>16163.952225841478</v>
      </c>
      <c r="W36" s="7">
        <v>16121</v>
      </c>
      <c r="X36" s="7">
        <v>931836</v>
      </c>
      <c r="Y36" s="7">
        <f t="shared" si="37"/>
        <v>17300.254551230046</v>
      </c>
      <c r="Z36" s="17">
        <v>90.6</v>
      </c>
      <c r="AA36" s="7">
        <v>11405</v>
      </c>
      <c r="AB36" s="7">
        <f t="shared" si="19"/>
        <v>12588.300220750552</v>
      </c>
      <c r="AC36" s="7">
        <v>12246</v>
      </c>
      <c r="AD36" s="7">
        <v>750530</v>
      </c>
      <c r="AE36" s="7">
        <f t="shared" si="20"/>
        <v>16316.469694749045</v>
      </c>
      <c r="AF36" s="17">
        <v>92.1</v>
      </c>
      <c r="AG36" s="7">
        <v>118266</v>
      </c>
      <c r="AH36" s="7">
        <f t="shared" si="21"/>
        <v>128410.42345276874</v>
      </c>
      <c r="AI36" s="7">
        <v>126261</v>
      </c>
      <c r="AJ36" s="7">
        <v>7295935</v>
      </c>
      <c r="AK36" s="7">
        <f t="shared" si="40"/>
        <v>17305.664044430221</v>
      </c>
      <c r="AL36" s="17">
        <v>90.6</v>
      </c>
      <c r="AM36" s="7">
        <v>209866</v>
      </c>
      <c r="AN36" s="7">
        <f t="shared" si="23"/>
        <v>231640.17660044151</v>
      </c>
      <c r="AO36" s="7">
        <v>225735</v>
      </c>
      <c r="AP36" s="7">
        <v>11365901</v>
      </c>
      <c r="AQ36" s="7">
        <f t="shared" si="38"/>
        <v>19860.721996434775</v>
      </c>
      <c r="AR36" s="17">
        <v>91.8</v>
      </c>
      <c r="AS36" s="7">
        <v>19022</v>
      </c>
      <c r="AT36" s="7">
        <f t="shared" si="25"/>
        <v>20721.132897603489</v>
      </c>
      <c r="AU36" s="7">
        <v>20523</v>
      </c>
      <c r="AV36" s="7">
        <v>1137489</v>
      </c>
      <c r="AW36" s="7">
        <f t="shared" si="26"/>
        <v>18042.372277885763</v>
      </c>
      <c r="AX36" s="17">
        <v>90.4</v>
      </c>
      <c r="AY36" s="7">
        <v>16422</v>
      </c>
      <c r="AZ36" s="7">
        <f t="shared" si="27"/>
        <v>18165.929203539821</v>
      </c>
      <c r="BA36" s="7">
        <v>17804</v>
      </c>
      <c r="BB36" s="305">
        <v>1017332</v>
      </c>
      <c r="BC36" s="7">
        <f t="shared" si="39"/>
        <v>17500.678244663493</v>
      </c>
      <c r="BD36" s="17">
        <v>89.2</v>
      </c>
      <c r="BE36" s="7">
        <v>55458</v>
      </c>
      <c r="BF36" s="7">
        <f t="shared" si="29"/>
        <v>62172.645739910309</v>
      </c>
      <c r="BG36" s="7">
        <v>60320</v>
      </c>
      <c r="BH36" s="7">
        <v>2899066</v>
      </c>
      <c r="BI36" s="7">
        <f t="shared" si="30"/>
        <v>20806.701192728968</v>
      </c>
      <c r="BJ36" s="17">
        <v>93.4</v>
      </c>
      <c r="BK36" s="7">
        <v>74317</v>
      </c>
      <c r="BL36" s="7">
        <f t="shared" si="31"/>
        <v>79568.522483940033</v>
      </c>
      <c r="BM36" s="7">
        <v>79555</v>
      </c>
      <c r="BN36" s="7">
        <v>3983113</v>
      </c>
      <c r="BO36" s="7">
        <f t="shared" si="32"/>
        <v>19973.071313819117</v>
      </c>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row>
    <row r="37" spans="1:138" ht="15.75" customHeight="1">
      <c r="A37" s="1">
        <v>1999</v>
      </c>
      <c r="B37" s="17">
        <v>92.9</v>
      </c>
      <c r="C37" s="7">
        <v>560884</v>
      </c>
      <c r="D37" s="7">
        <f t="shared" si="15"/>
        <v>603750.26910656621</v>
      </c>
      <c r="E37" s="7">
        <v>592925</v>
      </c>
      <c r="F37" s="7">
        <v>30401286</v>
      </c>
      <c r="G37" s="7">
        <f t="shared" si="34"/>
        <v>19503.286801749109</v>
      </c>
      <c r="H37" s="17">
        <v>93.8</v>
      </c>
      <c r="I37" s="7">
        <v>8025</v>
      </c>
      <c r="J37" s="7">
        <f t="shared" si="17"/>
        <v>8555.4371002132193</v>
      </c>
      <c r="K37" s="7">
        <v>8385</v>
      </c>
      <c r="L37" s="7">
        <v>533329</v>
      </c>
      <c r="M37" s="7">
        <f t="shared" si="35"/>
        <v>15722.002741272272</v>
      </c>
      <c r="N37" s="17">
        <v>91.2</v>
      </c>
      <c r="O37" s="7">
        <v>2130</v>
      </c>
      <c r="P37" s="7">
        <f t="shared" si="18"/>
        <v>2335.5263157894738</v>
      </c>
      <c r="Q37" s="7">
        <v>2283</v>
      </c>
      <c r="R37" s="7">
        <v>136281</v>
      </c>
      <c r="S37" s="7">
        <f t="shared" si="36"/>
        <v>16752.15180399322</v>
      </c>
      <c r="T37" s="17">
        <v>92.1</v>
      </c>
      <c r="U37" s="7">
        <v>15781</v>
      </c>
      <c r="V37" s="7">
        <f t="shared" si="33"/>
        <v>16559.286463798533</v>
      </c>
      <c r="W37" s="7">
        <v>16807</v>
      </c>
      <c r="X37" s="7">
        <v>933784</v>
      </c>
      <c r="Y37" s="7">
        <f t="shared" si="37"/>
        <v>17998.809146440719</v>
      </c>
      <c r="Z37" s="17">
        <v>92.1</v>
      </c>
      <c r="AA37" s="7">
        <v>12042</v>
      </c>
      <c r="AB37" s="7">
        <f t="shared" si="19"/>
        <v>13074.918566775244</v>
      </c>
      <c r="AC37" s="7">
        <v>12744</v>
      </c>
      <c r="AD37" s="7">
        <v>750601</v>
      </c>
      <c r="AE37" s="7">
        <f t="shared" si="20"/>
        <v>16978.394646423334</v>
      </c>
      <c r="AF37" s="17">
        <v>93.5</v>
      </c>
      <c r="AG37" s="7">
        <v>124406</v>
      </c>
      <c r="AH37" s="7">
        <f t="shared" si="21"/>
        <v>133054.54545454544</v>
      </c>
      <c r="AI37" s="7">
        <v>130733</v>
      </c>
      <c r="AJ37" s="7">
        <v>7323250</v>
      </c>
      <c r="AK37" s="7">
        <f t="shared" si="40"/>
        <v>17851.773461236473</v>
      </c>
      <c r="AL37" s="17">
        <v>92.4</v>
      </c>
      <c r="AM37" s="7">
        <v>223556</v>
      </c>
      <c r="AN37" s="7">
        <f t="shared" si="23"/>
        <v>241943.72294372291</v>
      </c>
      <c r="AO37" s="7">
        <v>236269</v>
      </c>
      <c r="AP37" s="7">
        <v>11504759</v>
      </c>
      <c r="AQ37" s="7">
        <f t="shared" si="38"/>
        <v>20536.631840788668</v>
      </c>
      <c r="AR37" s="17">
        <v>93.6</v>
      </c>
      <c r="AS37" s="7">
        <v>19775</v>
      </c>
      <c r="AT37" s="7">
        <f t="shared" si="25"/>
        <v>21127.136752136754</v>
      </c>
      <c r="AU37" s="7">
        <v>20949</v>
      </c>
      <c r="AV37" s="7">
        <v>1142448</v>
      </c>
      <c r="AW37" s="7">
        <f t="shared" si="26"/>
        <v>18336.93962438553</v>
      </c>
      <c r="AX37" s="17">
        <v>92</v>
      </c>
      <c r="AY37" s="7">
        <v>17053</v>
      </c>
      <c r="AZ37" s="7">
        <f t="shared" si="27"/>
        <v>18535.869565217392</v>
      </c>
      <c r="BA37" s="7">
        <v>18225</v>
      </c>
      <c r="BB37" s="305">
        <v>1014524</v>
      </c>
      <c r="BC37" s="7">
        <f t="shared" si="39"/>
        <v>17964.089563184312</v>
      </c>
      <c r="BD37" s="17">
        <v>91.4</v>
      </c>
      <c r="BE37" s="7">
        <v>58723</v>
      </c>
      <c r="BF37" s="7">
        <f t="shared" si="29"/>
        <v>64248.358862144414</v>
      </c>
      <c r="BG37" s="7">
        <v>62636</v>
      </c>
      <c r="BH37" s="7">
        <v>2952692</v>
      </c>
      <c r="BI37" s="7">
        <f t="shared" si="30"/>
        <v>21213.184443213177</v>
      </c>
      <c r="BJ37" s="17">
        <v>94.4</v>
      </c>
      <c r="BK37" s="7">
        <v>77426</v>
      </c>
      <c r="BL37" s="7">
        <f t="shared" si="31"/>
        <v>82019.067796610165</v>
      </c>
      <c r="BM37" s="7">
        <v>81781</v>
      </c>
      <c r="BN37" s="7">
        <v>4011375</v>
      </c>
      <c r="BO37" s="7">
        <f t="shared" si="32"/>
        <v>20387.273690442802</v>
      </c>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row>
    <row r="38" spans="1:138" ht="15.75" customHeight="1">
      <c r="A38" s="1">
        <v>2000</v>
      </c>
      <c r="B38" s="17">
        <v>95.4</v>
      </c>
      <c r="C38" s="7">
        <v>596009</v>
      </c>
      <c r="D38" s="7">
        <f t="shared" si="15"/>
        <v>624747.37945492659</v>
      </c>
      <c r="E38" s="7">
        <v>617236</v>
      </c>
      <c r="F38" s="7">
        <v>30685730</v>
      </c>
      <c r="G38" s="7">
        <f t="shared" si="34"/>
        <v>20114.756924472709</v>
      </c>
      <c r="H38" s="17">
        <v>96.6</v>
      </c>
      <c r="I38" s="7">
        <v>8459</v>
      </c>
      <c r="J38" s="7">
        <f t="shared" si="17"/>
        <v>8756.7287784679102</v>
      </c>
      <c r="K38" s="7">
        <v>8645</v>
      </c>
      <c r="L38" s="7">
        <v>527966</v>
      </c>
      <c r="M38" s="7">
        <f t="shared" si="35"/>
        <v>16374.160457302174</v>
      </c>
      <c r="N38" s="17">
        <v>94.9</v>
      </c>
      <c r="O38" s="7">
        <v>2298</v>
      </c>
      <c r="P38" s="7">
        <f t="shared" si="18"/>
        <v>2421.4963119072709</v>
      </c>
      <c r="Q38" s="7">
        <v>2385</v>
      </c>
      <c r="R38" s="7">
        <v>136470</v>
      </c>
      <c r="S38" s="7">
        <f t="shared" si="36"/>
        <v>17476.368432622556</v>
      </c>
      <c r="T38" s="17">
        <v>95.3</v>
      </c>
      <c r="U38" s="7">
        <v>16635</v>
      </c>
      <c r="V38" s="7">
        <f t="shared" si="33"/>
        <v>17131.822863027806</v>
      </c>
      <c r="W38" s="7">
        <v>17226</v>
      </c>
      <c r="X38" s="7">
        <v>933821</v>
      </c>
      <c r="Y38" s="7">
        <f t="shared" si="37"/>
        <v>18446.790123588995</v>
      </c>
      <c r="Z38" s="17">
        <v>95.1</v>
      </c>
      <c r="AA38" s="7">
        <v>12700</v>
      </c>
      <c r="AB38" s="7">
        <f t="shared" si="19"/>
        <v>13354.363827549949</v>
      </c>
      <c r="AC38" s="7">
        <v>13126</v>
      </c>
      <c r="AD38" s="7">
        <v>750517</v>
      </c>
      <c r="AE38" s="7">
        <f t="shared" si="20"/>
        <v>17489.277391451491</v>
      </c>
      <c r="AF38" s="17">
        <v>95.8</v>
      </c>
      <c r="AG38" s="7">
        <v>131187</v>
      </c>
      <c r="AH38" s="7">
        <f t="shared" si="21"/>
        <v>136938.41336116911</v>
      </c>
      <c r="AI38" s="7">
        <v>135220</v>
      </c>
      <c r="AJ38" s="7">
        <v>7356951</v>
      </c>
      <c r="AK38" s="7">
        <f t="shared" si="40"/>
        <v>18379.896780609251</v>
      </c>
      <c r="AL38" s="17">
        <v>95.1</v>
      </c>
      <c r="AM38" s="7">
        <v>239681</v>
      </c>
      <c r="AN38" s="7">
        <f t="shared" si="23"/>
        <v>252030.49421661411</v>
      </c>
      <c r="AO38" s="7">
        <v>248111</v>
      </c>
      <c r="AP38" s="7">
        <v>11683290</v>
      </c>
      <c r="AQ38" s="7">
        <f t="shared" si="38"/>
        <v>21236.398309037952</v>
      </c>
      <c r="AR38" s="17">
        <v>95.9</v>
      </c>
      <c r="AS38" s="7">
        <v>20601</v>
      </c>
      <c r="AT38" s="7">
        <f t="shared" si="25"/>
        <v>21481.751824817515</v>
      </c>
      <c r="AU38" s="7">
        <v>21433</v>
      </c>
      <c r="AV38" s="7">
        <v>1147313</v>
      </c>
      <c r="AW38" s="7">
        <f t="shared" si="26"/>
        <v>18681.039960324688</v>
      </c>
      <c r="AX38" s="17">
        <v>94.4</v>
      </c>
      <c r="AY38" s="7">
        <v>17895</v>
      </c>
      <c r="AZ38" s="7">
        <f t="shared" si="27"/>
        <v>18956.567796610168</v>
      </c>
      <c r="BA38" s="7">
        <v>18711</v>
      </c>
      <c r="BB38" s="305">
        <v>1007565</v>
      </c>
      <c r="BC38" s="7">
        <f t="shared" si="39"/>
        <v>18570.514061127571</v>
      </c>
      <c r="BD38" s="17">
        <v>94.5</v>
      </c>
      <c r="BE38" s="7">
        <v>63274</v>
      </c>
      <c r="BF38" s="7">
        <f t="shared" si="29"/>
        <v>66956.613756613748</v>
      </c>
      <c r="BG38" s="7">
        <v>65865</v>
      </c>
      <c r="BH38" s="7">
        <v>3004198</v>
      </c>
      <c r="BI38" s="7">
        <f t="shared" si="30"/>
        <v>21924.320567419323</v>
      </c>
      <c r="BJ38" s="17">
        <v>96.1</v>
      </c>
      <c r="BK38" s="7">
        <v>81210</v>
      </c>
      <c r="BL38" s="7">
        <f t="shared" si="31"/>
        <v>84505.723204994792</v>
      </c>
      <c r="BM38" s="7">
        <v>84342</v>
      </c>
      <c r="BN38" s="7">
        <v>4039230</v>
      </c>
      <c r="BO38" s="7">
        <f t="shared" si="32"/>
        <v>20880.712413009409</v>
      </c>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row>
    <row r="39" spans="1:138" ht="15.75" customHeight="1">
      <c r="A39" s="1">
        <v>2001</v>
      </c>
      <c r="B39" s="17">
        <v>97.8</v>
      </c>
      <c r="C39" s="7">
        <v>620614</v>
      </c>
      <c r="D39" s="7">
        <f t="shared" si="15"/>
        <v>634574.64212678943</v>
      </c>
      <c r="E39" s="7">
        <v>632133</v>
      </c>
      <c r="F39" s="7">
        <v>31019020</v>
      </c>
      <c r="G39" s="7">
        <f t="shared" si="34"/>
        <v>20378.883665570349</v>
      </c>
      <c r="H39" s="17">
        <v>97.7</v>
      </c>
      <c r="I39" s="7">
        <v>8771</v>
      </c>
      <c r="J39" s="7">
        <f t="shared" si="17"/>
        <v>8977.4820880245643</v>
      </c>
      <c r="K39" s="7">
        <v>8882</v>
      </c>
      <c r="L39" s="7">
        <v>522033</v>
      </c>
      <c r="M39" s="7">
        <f t="shared" si="35"/>
        <v>17014.250056988734</v>
      </c>
      <c r="N39" s="17">
        <v>97.4</v>
      </c>
      <c r="O39" s="7">
        <v>2374</v>
      </c>
      <c r="P39" s="7">
        <f t="shared" si="18"/>
        <v>2437.3716632443534</v>
      </c>
      <c r="Q39" s="7">
        <v>2419</v>
      </c>
      <c r="R39" s="7">
        <v>136663</v>
      </c>
      <c r="S39" s="7">
        <f t="shared" si="36"/>
        <v>17700.474890789752</v>
      </c>
      <c r="T39" s="17">
        <v>97.1</v>
      </c>
      <c r="U39" s="7">
        <v>17097</v>
      </c>
      <c r="V39" s="7">
        <f t="shared" si="33"/>
        <v>17097</v>
      </c>
      <c r="W39" s="7">
        <v>17418</v>
      </c>
      <c r="X39" s="7">
        <v>932454</v>
      </c>
      <c r="Y39" s="7">
        <f t="shared" si="37"/>
        <v>18679.741842493033</v>
      </c>
      <c r="Z39" s="17">
        <v>96.8</v>
      </c>
      <c r="AA39" s="7">
        <v>12993</v>
      </c>
      <c r="AB39" s="7">
        <f t="shared" si="19"/>
        <v>13422.520661157027</v>
      </c>
      <c r="AC39" s="7">
        <v>13245</v>
      </c>
      <c r="AD39" s="7">
        <v>749801</v>
      </c>
      <c r="AE39" s="7">
        <f t="shared" si="20"/>
        <v>17664.687030292036</v>
      </c>
      <c r="AF39" s="17">
        <v>98</v>
      </c>
      <c r="AG39" s="7">
        <v>135952</v>
      </c>
      <c r="AH39" s="7">
        <f t="shared" si="21"/>
        <v>138726.53061224488</v>
      </c>
      <c r="AI39" s="7">
        <v>138204</v>
      </c>
      <c r="AJ39" s="7">
        <v>7396331</v>
      </c>
      <c r="AK39" s="7">
        <f t="shared" si="40"/>
        <v>18685.480679542328</v>
      </c>
      <c r="AL39" s="17">
        <v>98</v>
      </c>
      <c r="AM39" s="7">
        <v>250261</v>
      </c>
      <c r="AN39" s="7">
        <f t="shared" si="23"/>
        <v>255368.36734693879</v>
      </c>
      <c r="AO39" s="7">
        <v>254340</v>
      </c>
      <c r="AP39" s="7">
        <v>11896663</v>
      </c>
      <c r="AQ39" s="7">
        <f t="shared" si="38"/>
        <v>21379.104375739651</v>
      </c>
      <c r="AR39" s="17">
        <v>98.5</v>
      </c>
      <c r="AS39" s="7">
        <v>21437</v>
      </c>
      <c r="AT39" s="7">
        <f t="shared" si="25"/>
        <v>21763.451776649745</v>
      </c>
      <c r="AU39" s="7">
        <v>21848</v>
      </c>
      <c r="AV39" s="7">
        <v>1151439</v>
      </c>
      <c r="AW39" s="7">
        <f t="shared" si="26"/>
        <v>18974.517972728037</v>
      </c>
      <c r="AX39" s="17">
        <v>97.2</v>
      </c>
      <c r="AY39" s="7">
        <v>18525</v>
      </c>
      <c r="AZ39" s="7">
        <f t="shared" si="27"/>
        <v>19058.641975308641</v>
      </c>
      <c r="BA39" s="7">
        <v>18972</v>
      </c>
      <c r="BB39" s="305">
        <v>1000221</v>
      </c>
      <c r="BC39" s="7">
        <f t="shared" si="39"/>
        <v>18967.808114406715</v>
      </c>
      <c r="BD39" s="17">
        <v>96.7</v>
      </c>
      <c r="BE39" s="7">
        <v>66815</v>
      </c>
      <c r="BF39" s="7">
        <f t="shared" si="29"/>
        <v>69095.139607032062</v>
      </c>
      <c r="BG39" s="7">
        <v>68366</v>
      </c>
      <c r="BH39" s="7">
        <v>3058017</v>
      </c>
      <c r="BI39" s="7">
        <f t="shared" si="30"/>
        <v>22356.317836035574</v>
      </c>
      <c r="BJ39" s="17">
        <v>97.7</v>
      </c>
      <c r="BK39" s="7">
        <v>84202</v>
      </c>
      <c r="BL39" s="7">
        <f t="shared" si="31"/>
        <v>86184.237461617187</v>
      </c>
      <c r="BM39" s="7">
        <v>86199</v>
      </c>
      <c r="BN39" s="7">
        <v>4076264</v>
      </c>
      <c r="BO39" s="7">
        <f t="shared" si="32"/>
        <v>21146.56950580237</v>
      </c>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row>
    <row r="40" spans="1:138" ht="15.75" customHeight="1">
      <c r="A40" s="1">
        <v>2002</v>
      </c>
      <c r="B40" s="17">
        <v>100</v>
      </c>
      <c r="C40" s="7">
        <v>655722</v>
      </c>
      <c r="D40" s="7">
        <f t="shared" si="15"/>
        <v>655722</v>
      </c>
      <c r="E40" s="7">
        <v>655722</v>
      </c>
      <c r="F40" s="7">
        <v>31353656</v>
      </c>
      <c r="G40" s="7">
        <f t="shared" si="34"/>
        <v>20913.733313907636</v>
      </c>
      <c r="H40" s="17">
        <v>100</v>
      </c>
      <c r="I40" s="7">
        <v>9145</v>
      </c>
      <c r="J40" s="7">
        <f t="shared" si="17"/>
        <v>9145</v>
      </c>
      <c r="K40" s="7">
        <v>9145</v>
      </c>
      <c r="L40" s="7">
        <v>519531</v>
      </c>
      <c r="M40" s="7">
        <f t="shared" si="35"/>
        <v>17602.414485372385</v>
      </c>
      <c r="N40" s="17">
        <v>100</v>
      </c>
      <c r="O40" s="7">
        <v>2505</v>
      </c>
      <c r="P40" s="7">
        <f t="shared" si="18"/>
        <v>2505</v>
      </c>
      <c r="Q40" s="7">
        <v>2505</v>
      </c>
      <c r="R40" s="7">
        <v>136876</v>
      </c>
      <c r="S40" s="7">
        <f t="shared" si="36"/>
        <v>18301.23615535229</v>
      </c>
      <c r="T40" s="17">
        <v>100</v>
      </c>
      <c r="U40" s="7">
        <v>18086</v>
      </c>
      <c r="V40" s="7">
        <f t="shared" si="33"/>
        <v>17491.295938104449</v>
      </c>
      <c r="W40" s="7">
        <v>18086</v>
      </c>
      <c r="X40" s="7">
        <v>935015</v>
      </c>
      <c r="Y40" s="7">
        <f t="shared" si="37"/>
        <v>19343.005192430068</v>
      </c>
      <c r="Z40" s="17">
        <v>100</v>
      </c>
      <c r="AA40" s="7">
        <v>13658</v>
      </c>
      <c r="AB40" s="7">
        <f t="shared" si="19"/>
        <v>13658.000000000002</v>
      </c>
      <c r="AC40" s="7">
        <v>13658</v>
      </c>
      <c r="AD40" s="7">
        <v>749331</v>
      </c>
      <c r="AE40" s="7">
        <f t="shared" si="20"/>
        <v>18226.925083841452</v>
      </c>
      <c r="AF40" s="17">
        <v>100</v>
      </c>
      <c r="AG40" s="7">
        <v>143093</v>
      </c>
      <c r="AH40" s="7">
        <f t="shared" si="21"/>
        <v>143093</v>
      </c>
      <c r="AI40" s="7">
        <v>143093</v>
      </c>
      <c r="AJ40" s="7">
        <v>7441076</v>
      </c>
      <c r="AK40" s="7">
        <f t="shared" si="40"/>
        <v>19230.148973078623</v>
      </c>
      <c r="AL40" s="17">
        <v>100</v>
      </c>
      <c r="AM40" s="7">
        <v>264488</v>
      </c>
      <c r="AN40" s="7">
        <f t="shared" si="23"/>
        <v>264488</v>
      </c>
      <c r="AO40" s="7">
        <v>264488</v>
      </c>
      <c r="AP40" s="7">
        <v>12091029</v>
      </c>
      <c r="AQ40" s="7">
        <f t="shared" si="38"/>
        <v>21874.730430304982</v>
      </c>
      <c r="AR40" s="17">
        <v>100</v>
      </c>
      <c r="AS40" s="7">
        <v>22501</v>
      </c>
      <c r="AT40" s="7">
        <f t="shared" si="25"/>
        <v>22501</v>
      </c>
      <c r="AU40" s="7">
        <v>22501</v>
      </c>
      <c r="AV40" s="7">
        <v>1156613</v>
      </c>
      <c r="AW40" s="7">
        <f t="shared" si="26"/>
        <v>19454.216751843531</v>
      </c>
      <c r="AX40" s="17">
        <v>100</v>
      </c>
      <c r="AY40" s="7">
        <v>19480</v>
      </c>
      <c r="AZ40" s="7">
        <f t="shared" si="27"/>
        <v>19480</v>
      </c>
      <c r="BA40" s="7">
        <v>19480</v>
      </c>
      <c r="BB40" s="305">
        <v>996801</v>
      </c>
      <c r="BC40" s="7">
        <f t="shared" si="39"/>
        <v>19542.516510316502</v>
      </c>
      <c r="BD40" s="17">
        <v>100</v>
      </c>
      <c r="BE40" s="7">
        <v>71241</v>
      </c>
      <c r="BF40" s="7">
        <f t="shared" si="29"/>
        <v>71241</v>
      </c>
      <c r="BG40" s="7">
        <v>71241</v>
      </c>
      <c r="BH40" s="7">
        <v>3128364</v>
      </c>
      <c r="BI40" s="7">
        <f t="shared" si="30"/>
        <v>22772.605745367226</v>
      </c>
      <c r="BJ40" s="17">
        <v>100</v>
      </c>
      <c r="BK40" s="7">
        <v>89238</v>
      </c>
      <c r="BL40" s="7">
        <f t="shared" si="31"/>
        <v>89238</v>
      </c>
      <c r="BM40" s="7">
        <v>89238</v>
      </c>
      <c r="BN40" s="7">
        <v>4098178</v>
      </c>
      <c r="BO40" s="7">
        <f t="shared" si="32"/>
        <v>21775.042470092809</v>
      </c>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row>
    <row r="41" spans="1:138" ht="15.75" customHeight="1">
      <c r="A41" s="1">
        <v>2003</v>
      </c>
      <c r="B41" s="17">
        <v>102.8</v>
      </c>
      <c r="C41" s="7">
        <v>686552</v>
      </c>
      <c r="D41" s="7">
        <f t="shared" si="15"/>
        <v>667852.1400778211</v>
      </c>
      <c r="E41" s="7">
        <v>675657</v>
      </c>
      <c r="F41" s="7">
        <v>31639670</v>
      </c>
      <c r="G41" s="7">
        <f t="shared" si="34"/>
        <v>21354.742321901587</v>
      </c>
      <c r="H41" s="17">
        <v>102.9</v>
      </c>
      <c r="I41" s="7">
        <v>9597</v>
      </c>
      <c r="J41" s="7">
        <f t="shared" si="17"/>
        <v>9326.5306122448983</v>
      </c>
      <c r="K41" s="7">
        <v>9435</v>
      </c>
      <c r="L41" s="7">
        <v>518520</v>
      </c>
      <c r="M41" s="7">
        <f t="shared" si="35"/>
        <v>18196.019439944459</v>
      </c>
      <c r="N41" s="17">
        <v>103.5</v>
      </c>
      <c r="O41" s="7">
        <v>2633</v>
      </c>
      <c r="P41" s="7">
        <f t="shared" si="18"/>
        <v>2543.9613526570051</v>
      </c>
      <c r="Q41" s="7">
        <v>2574</v>
      </c>
      <c r="R41" s="7">
        <v>137221</v>
      </c>
      <c r="S41" s="7">
        <f t="shared" si="36"/>
        <v>18758.061812696309</v>
      </c>
      <c r="T41" s="17">
        <v>103.4</v>
      </c>
      <c r="U41" s="7">
        <v>18998</v>
      </c>
      <c r="V41" s="7">
        <f t="shared" si="33"/>
        <v>18041.78537511871</v>
      </c>
      <c r="W41" s="7">
        <v>18536</v>
      </c>
      <c r="X41" s="7">
        <v>937491</v>
      </c>
      <c r="Y41" s="7">
        <f>W41*1000000/X41</f>
        <v>19771.923143795513</v>
      </c>
      <c r="Z41" s="17">
        <v>103.4</v>
      </c>
      <c r="AA41" s="7">
        <v>14174</v>
      </c>
      <c r="AB41" s="7">
        <f t="shared" si="19"/>
        <v>13707.930367504836</v>
      </c>
      <c r="AC41" s="7">
        <v>13896</v>
      </c>
      <c r="AD41" s="7">
        <v>749389</v>
      </c>
      <c r="AE41" s="7">
        <f t="shared" si="20"/>
        <v>18543.106450721854</v>
      </c>
      <c r="AF41" s="17">
        <v>102.5</v>
      </c>
      <c r="AG41" s="7">
        <v>149791</v>
      </c>
      <c r="AH41" s="7">
        <f t="shared" si="21"/>
        <v>146137.56097560975</v>
      </c>
      <c r="AI41" s="7">
        <v>147521</v>
      </c>
      <c r="AJ41" s="7">
        <v>7485838</v>
      </c>
      <c r="AK41" s="7">
        <f t="shared" si="40"/>
        <v>19706.678130090444</v>
      </c>
      <c r="AL41" s="17">
        <v>102.7</v>
      </c>
      <c r="AM41" s="7">
        <v>276607</v>
      </c>
      <c r="AN41" s="7">
        <f t="shared" si="23"/>
        <v>269334.95618305739</v>
      </c>
      <c r="AO41" s="7">
        <v>272638</v>
      </c>
      <c r="AP41" s="7">
        <v>12242273</v>
      </c>
      <c r="AQ41" s="7">
        <f t="shared" si="38"/>
        <v>22270.210768866207</v>
      </c>
      <c r="AR41" s="17">
        <v>101.8</v>
      </c>
      <c r="AS41" s="7">
        <v>23263</v>
      </c>
      <c r="AT41" s="7">
        <f t="shared" si="25"/>
        <v>22851.669941060904</v>
      </c>
      <c r="AU41" s="7">
        <v>22856</v>
      </c>
      <c r="AV41" s="7">
        <v>1163819</v>
      </c>
      <c r="AW41" s="7">
        <f t="shared" si="26"/>
        <v>19638.792630125474</v>
      </c>
      <c r="AX41" s="17">
        <v>102.3</v>
      </c>
      <c r="AY41" s="7">
        <v>20294</v>
      </c>
      <c r="AZ41" s="7">
        <f t="shared" si="27"/>
        <v>19837.732160312804</v>
      </c>
      <c r="BA41" s="7">
        <v>19886</v>
      </c>
      <c r="BB41" s="305">
        <v>996483</v>
      </c>
      <c r="BC41" s="7">
        <f t="shared" si="39"/>
        <v>19956.185905830807</v>
      </c>
      <c r="BD41" s="17">
        <v>104.4</v>
      </c>
      <c r="BE41" s="7">
        <v>75172</v>
      </c>
      <c r="BF41" s="7">
        <f t="shared" si="29"/>
        <v>72003.831417624519</v>
      </c>
      <c r="BG41" s="7">
        <v>73669</v>
      </c>
      <c r="BH41" s="7">
        <v>3183396</v>
      </c>
      <c r="BI41" s="7">
        <f t="shared" si="30"/>
        <v>23141.638677688858</v>
      </c>
      <c r="BJ41" s="17">
        <v>102.2</v>
      </c>
      <c r="BK41" s="7">
        <v>93581</v>
      </c>
      <c r="BL41" s="7">
        <f t="shared" si="31"/>
        <v>91566.536203522497</v>
      </c>
      <c r="BM41" s="7">
        <v>92250</v>
      </c>
      <c r="BN41" s="7">
        <v>4122396</v>
      </c>
      <c r="BO41" s="7">
        <f t="shared" si="32"/>
        <v>22377.762835011483</v>
      </c>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row>
    <row r="42" spans="1:138" ht="15.75" customHeight="1">
      <c r="A42" s="1">
        <v>2004</v>
      </c>
      <c r="B42" s="17">
        <v>104.7</v>
      </c>
      <c r="C42" s="7">
        <v>719917</v>
      </c>
      <c r="D42" s="7">
        <f t="shared" ref="D42:D48" si="41">C42/B42*100</f>
        <v>687599.80897803244</v>
      </c>
      <c r="E42" s="7">
        <v>698492</v>
      </c>
      <c r="F42" s="7">
        <v>31940676</v>
      </c>
      <c r="G42" s="7">
        <f t="shared" si="34"/>
        <v>21868.416310287234</v>
      </c>
      <c r="H42" s="17">
        <v>104.8</v>
      </c>
      <c r="I42" s="7">
        <v>9896</v>
      </c>
      <c r="J42" s="7">
        <f t="shared" si="17"/>
        <v>9442.7480916030527</v>
      </c>
      <c r="K42" s="7">
        <v>9571</v>
      </c>
      <c r="L42" s="7">
        <v>517447</v>
      </c>
      <c r="M42" s="7">
        <f t="shared" si="35"/>
        <v>18496.58032610103</v>
      </c>
      <c r="N42" s="17">
        <v>105.8</v>
      </c>
      <c r="O42" s="7">
        <v>2747</v>
      </c>
      <c r="P42" s="7">
        <f t="shared" si="18"/>
        <v>2596.4083175803403</v>
      </c>
      <c r="Q42" s="7">
        <v>2634</v>
      </c>
      <c r="R42" s="7">
        <v>137674</v>
      </c>
      <c r="S42" s="7">
        <f>Q42*1000000/R42</f>
        <v>19132.152766680709</v>
      </c>
      <c r="T42" s="17">
        <v>105.3</v>
      </c>
      <c r="U42" s="7">
        <v>19786</v>
      </c>
      <c r="V42" s="7">
        <f t="shared" si="33"/>
        <v>18286.506469500924</v>
      </c>
      <c r="W42" s="7">
        <v>18950</v>
      </c>
      <c r="X42" s="7">
        <v>939376</v>
      </c>
      <c r="Y42" s="7">
        <f t="shared" ref="Y42:Y48" si="42">W42*1000000/X42</f>
        <v>20172.965883735586</v>
      </c>
      <c r="Z42" s="17">
        <v>104.9</v>
      </c>
      <c r="AA42" s="7">
        <v>14755</v>
      </c>
      <c r="AB42" s="7">
        <f t="shared" si="19"/>
        <v>14065.776930409913</v>
      </c>
      <c r="AC42" s="7">
        <v>14225</v>
      </c>
      <c r="AD42" s="7">
        <v>749369</v>
      </c>
      <c r="AE42" s="7">
        <f>AC42*1000000/AD42</f>
        <v>18982.637392259356</v>
      </c>
      <c r="AF42" s="17">
        <v>104.5</v>
      </c>
      <c r="AG42" s="7">
        <v>156514</v>
      </c>
      <c r="AH42" s="7">
        <f t="shared" si="21"/>
        <v>149774.16267942582</v>
      </c>
      <c r="AI42" s="7">
        <v>151724</v>
      </c>
      <c r="AJ42" s="7">
        <v>7535929</v>
      </c>
      <c r="AK42" s="7">
        <f t="shared" si="40"/>
        <v>20133.416862075002</v>
      </c>
      <c r="AL42" s="17">
        <v>104.6</v>
      </c>
      <c r="AM42" s="7">
        <v>289469</v>
      </c>
      <c r="AN42" s="7">
        <f t="shared" si="23"/>
        <v>276739.00573613768</v>
      </c>
      <c r="AO42" s="7">
        <v>281379</v>
      </c>
      <c r="AP42" s="7">
        <v>12390599</v>
      </c>
      <c r="AQ42" s="7">
        <f t="shared" si="38"/>
        <v>22709.07161146931</v>
      </c>
      <c r="AR42" s="17">
        <v>103.8</v>
      </c>
      <c r="AS42" s="7">
        <v>24387</v>
      </c>
      <c r="AT42" s="7">
        <f t="shared" si="25"/>
        <v>23494.219653179192</v>
      </c>
      <c r="AU42" s="7">
        <v>23581</v>
      </c>
      <c r="AV42" s="7">
        <v>1173566</v>
      </c>
      <c r="AW42" s="7">
        <f t="shared" si="26"/>
        <v>20093.458740283888</v>
      </c>
      <c r="AX42" s="17">
        <v>104.6</v>
      </c>
      <c r="AY42" s="7">
        <v>21006</v>
      </c>
      <c r="AZ42" s="7">
        <f t="shared" si="27"/>
        <v>20082.21797323136</v>
      </c>
      <c r="BA42" s="7">
        <v>20247</v>
      </c>
      <c r="BB42" s="305">
        <v>997447</v>
      </c>
      <c r="BC42" s="7">
        <f t="shared" si="39"/>
        <v>20298.822894850553</v>
      </c>
      <c r="BD42" s="17">
        <v>105.9</v>
      </c>
      <c r="BE42" s="7">
        <v>79723</v>
      </c>
      <c r="BF42" s="7">
        <f t="shared" si="29"/>
        <v>75281.397544853637</v>
      </c>
      <c r="BG42" s="7">
        <v>77431</v>
      </c>
      <c r="BH42" s="7">
        <v>3239471</v>
      </c>
      <c r="BI42" s="7">
        <f t="shared" si="30"/>
        <v>23902.359366699067</v>
      </c>
      <c r="BJ42" s="17">
        <v>104.2</v>
      </c>
      <c r="BK42" s="7">
        <v>99098</v>
      </c>
      <c r="BL42" s="7">
        <f t="shared" si="31"/>
        <v>95103.646833013438</v>
      </c>
      <c r="BM42" s="7">
        <v>96283</v>
      </c>
      <c r="BN42" s="7">
        <v>4155170</v>
      </c>
      <c r="BO42" s="7">
        <f t="shared" si="32"/>
        <v>23171.85578448054</v>
      </c>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row>
    <row r="43" spans="1:138" ht="15.75" customHeight="1">
      <c r="A43" s="1">
        <v>2005</v>
      </c>
      <c r="B43" s="17">
        <v>107</v>
      </c>
      <c r="C43" s="7">
        <v>758966</v>
      </c>
      <c r="D43" s="7">
        <f t="shared" si="41"/>
        <v>709314.01869158878</v>
      </c>
      <c r="E43" s="7">
        <v>725317</v>
      </c>
      <c r="F43" s="7">
        <v>32245209</v>
      </c>
      <c r="G43" s="7">
        <f t="shared" si="34"/>
        <v>22493.791248182017</v>
      </c>
      <c r="H43" s="17">
        <v>107.6</v>
      </c>
      <c r="I43" s="7">
        <v>10234</v>
      </c>
      <c r="J43" s="7">
        <f t="shared" si="17"/>
        <v>9511.1524163568774</v>
      </c>
      <c r="K43" s="7">
        <v>9712</v>
      </c>
      <c r="L43" s="7">
        <v>514363</v>
      </c>
      <c r="M43" s="7">
        <f t="shared" si="35"/>
        <v>18881.606958509845</v>
      </c>
      <c r="N43" s="17">
        <v>109.1</v>
      </c>
      <c r="O43" s="7">
        <v>2878</v>
      </c>
      <c r="P43" s="7">
        <f t="shared" si="18"/>
        <v>2637.9468377635199</v>
      </c>
      <c r="Q43" s="7">
        <v>2692</v>
      </c>
      <c r="R43" s="7">
        <v>138055</v>
      </c>
      <c r="S43" s="7">
        <f>Q43*1000000/R43</f>
        <v>19499.474846981277</v>
      </c>
      <c r="T43" s="17">
        <v>108.2</v>
      </c>
      <c r="U43" s="7">
        <v>20649</v>
      </c>
      <c r="V43" s="7">
        <f t="shared" si="33"/>
        <v>18703.804347826084</v>
      </c>
      <c r="W43" s="7">
        <v>19333</v>
      </c>
      <c r="X43" s="7">
        <v>937941</v>
      </c>
      <c r="Y43" s="7">
        <f t="shared" si="42"/>
        <v>20612.170701568648</v>
      </c>
      <c r="Z43" s="17">
        <v>107.4</v>
      </c>
      <c r="AA43" s="7">
        <v>15346</v>
      </c>
      <c r="AB43" s="7">
        <f t="shared" si="19"/>
        <v>14288.640595903165</v>
      </c>
      <c r="AC43" s="7">
        <v>14534</v>
      </c>
      <c r="AD43" s="7">
        <v>747960</v>
      </c>
      <c r="AE43" s="7">
        <f>AC43*1000000/AD43</f>
        <v>19431.520402160542</v>
      </c>
      <c r="AF43" s="17">
        <v>106.9</v>
      </c>
      <c r="AG43" s="7">
        <v>163762</v>
      </c>
      <c r="AH43" s="7">
        <f t="shared" si="21"/>
        <v>153191.76800748362</v>
      </c>
      <c r="AI43" s="7">
        <v>156210</v>
      </c>
      <c r="AJ43" s="7">
        <v>7581911</v>
      </c>
      <c r="AK43" s="7">
        <f t="shared" si="40"/>
        <v>20602.985184078261</v>
      </c>
      <c r="AL43" s="17">
        <v>106.9</v>
      </c>
      <c r="AM43" s="7">
        <v>304303</v>
      </c>
      <c r="AN43" s="7">
        <f t="shared" si="23"/>
        <v>284661.36576239474</v>
      </c>
      <c r="AO43" s="7">
        <v>291329</v>
      </c>
      <c r="AP43" s="7">
        <v>12528480</v>
      </c>
      <c r="AQ43" s="7">
        <f t="shared" si="38"/>
        <v>23253.339591075692</v>
      </c>
      <c r="AR43" s="17">
        <v>106.6</v>
      </c>
      <c r="AS43" s="7">
        <v>25607</v>
      </c>
      <c r="AT43" s="7">
        <f t="shared" si="25"/>
        <v>24021.575984990621</v>
      </c>
      <c r="AU43" s="7">
        <v>24312</v>
      </c>
      <c r="AV43" s="7">
        <v>1178301</v>
      </c>
      <c r="AW43" s="7">
        <f t="shared" si="26"/>
        <v>20633.097994485281</v>
      </c>
      <c r="AX43" s="17">
        <v>106.9</v>
      </c>
      <c r="AY43" s="7">
        <v>21949</v>
      </c>
      <c r="AZ43" s="7">
        <f t="shared" si="27"/>
        <v>20532.273152478949</v>
      </c>
      <c r="BA43" s="7">
        <v>20838</v>
      </c>
      <c r="BB43" s="305">
        <v>993579</v>
      </c>
      <c r="BC43" s="7">
        <f t="shared" si="39"/>
        <v>20972.665485079695</v>
      </c>
      <c r="BD43" s="17">
        <v>108.1</v>
      </c>
      <c r="BE43" s="7">
        <v>86997</v>
      </c>
      <c r="BF43" s="7">
        <f t="shared" si="29"/>
        <v>80478.260869565231</v>
      </c>
      <c r="BG43" s="7">
        <v>83397</v>
      </c>
      <c r="BH43" s="7">
        <v>3322200</v>
      </c>
      <c r="BI43" s="7">
        <f t="shared" si="30"/>
        <v>25102.943832400219</v>
      </c>
      <c r="BJ43" s="17">
        <v>106.3</v>
      </c>
      <c r="BK43" s="7">
        <v>104569</v>
      </c>
      <c r="BL43" s="7">
        <f t="shared" si="31"/>
        <v>98371.589840075263</v>
      </c>
      <c r="BM43" s="7">
        <v>100399</v>
      </c>
      <c r="BN43" s="7">
        <v>4196788</v>
      </c>
      <c r="BO43" s="7">
        <f t="shared" si="32"/>
        <v>23922.819070203212</v>
      </c>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row>
    <row r="44" spans="1:138" ht="15.75" customHeight="1">
      <c r="A44" s="1">
        <v>2006</v>
      </c>
      <c r="B44" s="17">
        <v>109.1</v>
      </c>
      <c r="C44" s="7">
        <v>801742</v>
      </c>
      <c r="D44" s="159">
        <f t="shared" si="41"/>
        <v>734868.92758936761</v>
      </c>
      <c r="E44" s="7">
        <v>757736</v>
      </c>
      <c r="F44" s="7">
        <v>32576074</v>
      </c>
      <c r="G44" s="159">
        <f>E44*1000000/F44</f>
        <v>23260.507082590739</v>
      </c>
      <c r="H44" s="17">
        <v>109.5</v>
      </c>
      <c r="I44" s="7">
        <v>10647</v>
      </c>
      <c r="J44" s="7">
        <f t="shared" si="17"/>
        <v>9723.2876712328762</v>
      </c>
      <c r="K44" s="7">
        <v>9946</v>
      </c>
      <c r="L44" s="7">
        <v>510313</v>
      </c>
      <c r="M44" s="159">
        <f t="shared" si="35"/>
        <v>19489.999274954782</v>
      </c>
      <c r="N44" s="17">
        <v>111.6</v>
      </c>
      <c r="O44" s="7">
        <v>3040</v>
      </c>
      <c r="P44" s="159">
        <f t="shared" si="18"/>
        <v>2724.014336917563</v>
      </c>
      <c r="Q44" s="7">
        <v>2791</v>
      </c>
      <c r="R44" s="7">
        <v>137920</v>
      </c>
      <c r="S44" s="7">
        <f t="shared" ref="S44:S48" si="43">Q44*1000000/R44</f>
        <v>20236.368909512759</v>
      </c>
      <c r="T44" s="17">
        <v>110.4</v>
      </c>
      <c r="U44" s="7">
        <v>21611</v>
      </c>
      <c r="V44" s="159">
        <f>U44/T44*100</f>
        <v>19575.181159420288</v>
      </c>
      <c r="W44" s="7">
        <v>19953</v>
      </c>
      <c r="X44" s="7">
        <v>938010</v>
      </c>
      <c r="Y44" s="7">
        <f t="shared" si="42"/>
        <v>21271.628234240572</v>
      </c>
      <c r="Z44" s="17">
        <v>109.2</v>
      </c>
      <c r="AA44" s="7">
        <v>16111</v>
      </c>
      <c r="AB44" s="159">
        <f t="shared" si="19"/>
        <v>14753.663003663005</v>
      </c>
      <c r="AC44" s="7">
        <v>15074</v>
      </c>
      <c r="AD44" s="7">
        <v>745674</v>
      </c>
      <c r="AE44" s="7">
        <f t="shared" ref="AE44:AE48" si="44">AC44*1000000/AD44</f>
        <v>20215.268334419598</v>
      </c>
      <c r="AF44" s="17">
        <v>108.7</v>
      </c>
      <c r="AG44" s="7">
        <v>170668</v>
      </c>
      <c r="AH44" s="159">
        <f t="shared" si="21"/>
        <v>157008.27966881325</v>
      </c>
      <c r="AI44" s="7">
        <v>161206</v>
      </c>
      <c r="AJ44" s="7">
        <v>7631552</v>
      </c>
      <c r="AK44" s="7">
        <f t="shared" si="40"/>
        <v>21123.619415814766</v>
      </c>
      <c r="AL44" s="17">
        <v>108.8</v>
      </c>
      <c r="AM44" s="7">
        <v>318286</v>
      </c>
      <c r="AN44" s="159">
        <f t="shared" si="23"/>
        <v>292542.27941176476</v>
      </c>
      <c r="AO44" s="7">
        <v>301880</v>
      </c>
      <c r="AP44" s="7">
        <v>12665346</v>
      </c>
      <c r="AQ44" s="7">
        <f t="shared" si="38"/>
        <v>23835.116703483662</v>
      </c>
      <c r="AR44" s="17">
        <v>108.7</v>
      </c>
      <c r="AS44" s="7">
        <v>26828</v>
      </c>
      <c r="AT44" s="159">
        <f t="shared" si="25"/>
        <v>24680.772769089235</v>
      </c>
      <c r="AU44" s="7">
        <v>25134</v>
      </c>
      <c r="AV44" s="7">
        <v>1184031</v>
      </c>
      <c r="AW44" s="7">
        <f t="shared" si="26"/>
        <v>21227.484753355275</v>
      </c>
      <c r="AX44" s="17">
        <v>109.1</v>
      </c>
      <c r="AY44" s="7">
        <v>23157</v>
      </c>
      <c r="AZ44" s="159">
        <f t="shared" si="27"/>
        <v>21225.481209899175</v>
      </c>
      <c r="BA44" s="7">
        <v>21673</v>
      </c>
      <c r="BB44" s="7">
        <v>992122</v>
      </c>
      <c r="BC44" s="7">
        <f t="shared" si="39"/>
        <v>21845.095663638142</v>
      </c>
      <c r="BD44" s="17">
        <v>112.3</v>
      </c>
      <c r="BE44" s="7">
        <v>96306</v>
      </c>
      <c r="BF44" s="7">
        <f t="shared" si="29"/>
        <v>85757.791629563668</v>
      </c>
      <c r="BG44" s="7">
        <v>90734</v>
      </c>
      <c r="BH44" s="7">
        <v>3421253</v>
      </c>
      <c r="BI44" s="7">
        <f t="shared" si="30"/>
        <v>26520.692857266036</v>
      </c>
      <c r="BJ44" s="17">
        <v>108.1</v>
      </c>
      <c r="BK44" s="7">
        <v>112267</v>
      </c>
      <c r="BL44" s="7">
        <f t="shared" si="31"/>
        <v>103854.76410730804</v>
      </c>
      <c r="BM44" s="7">
        <v>106666</v>
      </c>
      <c r="BN44" s="7">
        <v>4243580</v>
      </c>
      <c r="BO44" s="7">
        <f t="shared" si="32"/>
        <v>25135.8522756729</v>
      </c>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row>
    <row r="45" spans="1:138" ht="15.75" customHeight="1">
      <c r="A45" s="1">
        <v>2007</v>
      </c>
      <c r="B45" s="17">
        <v>111.5</v>
      </c>
      <c r="C45" s="7">
        <v>851603</v>
      </c>
      <c r="D45" s="159">
        <f t="shared" si="41"/>
        <v>763769.50672645739</v>
      </c>
      <c r="E45" s="7">
        <v>794520</v>
      </c>
      <c r="F45" s="7">
        <v>32929733</v>
      </c>
      <c r="G45" s="159">
        <f>E45*1000000/F45</f>
        <v>24127.738903926125</v>
      </c>
      <c r="H45" s="17">
        <v>111.1</v>
      </c>
      <c r="I45" s="7">
        <v>11343</v>
      </c>
      <c r="J45" s="7">
        <f t="shared" si="17"/>
        <v>10209.72097209721</v>
      </c>
      <c r="K45" s="7">
        <v>10469</v>
      </c>
      <c r="L45" s="7">
        <v>506379</v>
      </c>
      <c r="M45" s="159">
        <f>K45*1000000/L45</f>
        <v>20674.238070694086</v>
      </c>
      <c r="N45" s="17">
        <v>113.6</v>
      </c>
      <c r="O45" s="7">
        <v>3236</v>
      </c>
      <c r="P45" s="159">
        <f t="shared" si="18"/>
        <v>2848.5915492957747</v>
      </c>
      <c r="Q45" s="7">
        <v>2924</v>
      </c>
      <c r="R45" s="7">
        <v>138161</v>
      </c>
      <c r="S45" s="7">
        <f t="shared" si="43"/>
        <v>21163.714796505526</v>
      </c>
      <c r="T45" s="17">
        <v>112.5</v>
      </c>
      <c r="U45" s="7">
        <v>22713</v>
      </c>
      <c r="V45" s="159">
        <f>U45/T45*100</f>
        <v>20189.333333333336</v>
      </c>
      <c r="W45" s="7">
        <v>20659</v>
      </c>
      <c r="X45" s="7">
        <v>935794</v>
      </c>
      <c r="Y45" s="7">
        <f t="shared" si="42"/>
        <v>22076.439900234454</v>
      </c>
      <c r="Z45" s="17">
        <v>111.3</v>
      </c>
      <c r="AA45" s="7">
        <v>17089</v>
      </c>
      <c r="AB45" s="159">
        <f t="shared" si="19"/>
        <v>15353.998203054805</v>
      </c>
      <c r="AC45" s="7">
        <v>15768</v>
      </c>
      <c r="AD45" s="7">
        <v>745515</v>
      </c>
      <c r="AE45" s="7">
        <f t="shared" si="44"/>
        <v>21150.479869620329</v>
      </c>
      <c r="AF45" s="17">
        <v>110.4</v>
      </c>
      <c r="AG45" s="7">
        <v>179821</v>
      </c>
      <c r="AH45" s="159">
        <f t="shared" si="21"/>
        <v>162881.34057971011</v>
      </c>
      <c r="AI45" s="7">
        <v>168316</v>
      </c>
      <c r="AJ45" s="7">
        <v>7687423</v>
      </c>
      <c r="AK45" s="7">
        <f t="shared" si="40"/>
        <v>21894.983533493603</v>
      </c>
      <c r="AL45" s="17">
        <v>110.8</v>
      </c>
      <c r="AM45" s="7">
        <v>334445</v>
      </c>
      <c r="AN45" s="159">
        <f t="shared" si="23"/>
        <v>301845.66787003609</v>
      </c>
      <c r="AO45" s="7">
        <v>314241</v>
      </c>
      <c r="AP45" s="7">
        <v>12792937</v>
      </c>
      <c r="AQ45" s="7">
        <f t="shared" si="38"/>
        <v>24563.632260520004</v>
      </c>
      <c r="AR45" s="17">
        <v>110.9</v>
      </c>
      <c r="AS45" s="7">
        <v>28677</v>
      </c>
      <c r="AT45" s="159">
        <f t="shared" si="25"/>
        <v>25858.431018935978</v>
      </c>
      <c r="AU45" s="7">
        <v>26522</v>
      </c>
      <c r="AV45" s="7">
        <v>1193558</v>
      </c>
      <c r="AW45" s="7">
        <f t="shared" si="26"/>
        <v>22220.95616635304</v>
      </c>
      <c r="AX45" s="17">
        <v>112.2</v>
      </c>
      <c r="AY45" s="7">
        <v>25162</v>
      </c>
      <c r="AZ45" s="159">
        <f t="shared" si="27"/>
        <v>22426.024955436718</v>
      </c>
      <c r="BA45" s="7">
        <v>23180</v>
      </c>
      <c r="BB45" s="7">
        <v>1000257</v>
      </c>
      <c r="BC45" s="7">
        <f t="shared" si="39"/>
        <v>23174.044270622449</v>
      </c>
      <c r="BD45" s="17">
        <v>117.9</v>
      </c>
      <c r="BE45" s="7">
        <v>105979</v>
      </c>
      <c r="BF45" s="159">
        <f t="shared" si="29"/>
        <v>89888.888888888876</v>
      </c>
      <c r="BG45" s="7">
        <v>97046</v>
      </c>
      <c r="BH45" s="7">
        <v>3512691</v>
      </c>
      <c r="BI45" s="7">
        <f t="shared" si="30"/>
        <v>27627.252155114129</v>
      </c>
      <c r="BJ45" s="17">
        <v>110</v>
      </c>
      <c r="BK45" s="7">
        <v>120122</v>
      </c>
      <c r="BL45" s="159">
        <f t="shared" si="31"/>
        <v>109201.81818181818</v>
      </c>
      <c r="BM45" s="7">
        <v>112579</v>
      </c>
      <c r="BN45" s="7">
        <v>4309632</v>
      </c>
      <c r="BO45" s="7">
        <f t="shared" si="32"/>
        <v>26122.648059045412</v>
      </c>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row>
    <row r="46" spans="1:138" ht="15.75" customHeight="1">
      <c r="A46" s="1">
        <v>2008</v>
      </c>
      <c r="B46" s="17">
        <v>114.1</v>
      </c>
      <c r="C46" s="7">
        <v>890351</v>
      </c>
      <c r="D46" s="159">
        <f t="shared" si="41"/>
        <v>780325.15337423317</v>
      </c>
      <c r="E46" s="7">
        <v>819998</v>
      </c>
      <c r="F46" s="7">
        <v>33315976</v>
      </c>
      <c r="G46" s="159">
        <f>E46*1000000/F46</f>
        <v>24612.756354488909</v>
      </c>
      <c r="H46" s="17">
        <v>114.3</v>
      </c>
      <c r="I46" s="7">
        <v>12123</v>
      </c>
      <c r="J46" s="7">
        <f>I46/H46*100</f>
        <v>10606.299212598426</v>
      </c>
      <c r="K46" s="7">
        <v>11044</v>
      </c>
      <c r="L46" s="7">
        <v>506193</v>
      </c>
      <c r="M46" s="159">
        <f>K46*1000000/L46</f>
        <v>21817.765160719329</v>
      </c>
      <c r="N46" s="17">
        <v>117.5</v>
      </c>
      <c r="O46" s="7">
        <v>3411</v>
      </c>
      <c r="P46" s="159">
        <f>O46/N46*100</f>
        <v>2902.9787234042556</v>
      </c>
      <c r="Q46" s="7">
        <v>3009</v>
      </c>
      <c r="R46" s="7">
        <v>139545</v>
      </c>
      <c r="S46" s="7">
        <f t="shared" si="43"/>
        <v>21562.936687090187</v>
      </c>
      <c r="T46" s="17">
        <v>115.9</v>
      </c>
      <c r="U46" s="7">
        <v>23897</v>
      </c>
      <c r="V46" s="159">
        <f>U46/T46*100</f>
        <v>20618.636755823984</v>
      </c>
      <c r="W46" s="7">
        <v>21328</v>
      </c>
      <c r="X46" s="7">
        <v>936737</v>
      </c>
      <c r="Y46" s="7">
        <f t="shared" si="42"/>
        <v>22768.397106124772</v>
      </c>
      <c r="Z46" s="17">
        <v>113.2</v>
      </c>
      <c r="AA46" s="7">
        <v>17920</v>
      </c>
      <c r="AB46" s="159">
        <f>AA46/Z46*100</f>
        <v>15830.388692579505</v>
      </c>
      <c r="AC46" s="7">
        <v>16380</v>
      </c>
      <c r="AD46" s="7">
        <v>746902</v>
      </c>
      <c r="AE46" s="7">
        <f t="shared" si="44"/>
        <v>21930.587948619766</v>
      </c>
      <c r="AF46" s="17">
        <v>112.7</v>
      </c>
      <c r="AG46" s="7">
        <v>187936</v>
      </c>
      <c r="AH46" s="159">
        <f>AG46/AF46*100</f>
        <v>166757.76397515528</v>
      </c>
      <c r="AI46" s="7">
        <v>174210</v>
      </c>
      <c r="AJ46" s="7">
        <v>7751332</v>
      </c>
      <c r="AK46" s="7">
        <f t="shared" si="40"/>
        <v>22474.846903732159</v>
      </c>
      <c r="AL46" s="17">
        <v>113.3</v>
      </c>
      <c r="AM46" s="7">
        <v>347996</v>
      </c>
      <c r="AN46" s="159">
        <f>AM46/AL46*100</f>
        <v>307145.63106796116</v>
      </c>
      <c r="AO46" s="7">
        <v>323516</v>
      </c>
      <c r="AP46" s="7">
        <v>12932297</v>
      </c>
      <c r="AQ46" s="7">
        <f t="shared" si="38"/>
        <v>25016.128225326098</v>
      </c>
      <c r="AR46" s="17">
        <v>113.4</v>
      </c>
      <c r="AS46" s="7">
        <v>30176</v>
      </c>
      <c r="AT46" s="159">
        <f>AS46/AR46*100</f>
        <v>26610.229276895945</v>
      </c>
      <c r="AU46" s="7">
        <v>27611</v>
      </c>
      <c r="AV46" s="7">
        <v>1205517</v>
      </c>
      <c r="AW46" s="7">
        <f t="shared" si="26"/>
        <v>22903.866142078459</v>
      </c>
      <c r="AX46" s="17">
        <v>115.9</v>
      </c>
      <c r="AY46" s="7">
        <v>27313</v>
      </c>
      <c r="AZ46" s="159">
        <f>AY46/AX46*100</f>
        <v>23566.005176876613</v>
      </c>
      <c r="BA46" s="7">
        <v>24635</v>
      </c>
      <c r="BB46" s="7">
        <v>1013792</v>
      </c>
      <c r="BC46" s="7">
        <f t="shared" si="39"/>
        <v>24299.85638079606</v>
      </c>
      <c r="BD46" s="17">
        <v>121.6</v>
      </c>
      <c r="BE46" s="7">
        <v>111492</v>
      </c>
      <c r="BF46" s="159">
        <f>BE46/BD46*100</f>
        <v>91687.5</v>
      </c>
      <c r="BG46" s="7">
        <v>99917</v>
      </c>
      <c r="BH46" s="7">
        <v>3591391</v>
      </c>
      <c r="BI46" s="7">
        <f t="shared" si="30"/>
        <v>27821.253659097547</v>
      </c>
      <c r="BJ46" s="17">
        <v>112.3</v>
      </c>
      <c r="BK46" s="7">
        <v>124887</v>
      </c>
      <c r="BL46" s="159">
        <f>BK46/BJ46*100</f>
        <v>111208.37043633126</v>
      </c>
      <c r="BM46" s="7">
        <v>115420</v>
      </c>
      <c r="BN46" s="7">
        <v>4383860</v>
      </c>
      <c r="BO46" s="7">
        <f>BM46*1000000/BN46</f>
        <v>26328.395523579675</v>
      </c>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row>
    <row r="47" spans="1:138" ht="15.75" customHeight="1">
      <c r="A47" s="1">
        <v>2009</v>
      </c>
      <c r="B47" s="17">
        <v>114.4</v>
      </c>
      <c r="C47" s="7">
        <v>898728</v>
      </c>
      <c r="D47" s="159">
        <f t="shared" si="41"/>
        <v>785601.39860139857</v>
      </c>
      <c r="E47" s="7">
        <v>823505</v>
      </c>
      <c r="F47" s="7">
        <v>33720184</v>
      </c>
      <c r="G47" s="159">
        <f>E47*1000000/F47</f>
        <v>24421.723202933888</v>
      </c>
      <c r="H47" s="17">
        <v>114.6</v>
      </c>
      <c r="I47" s="7">
        <v>12498</v>
      </c>
      <c r="J47" s="7">
        <f>I47/H47*100</f>
        <v>10905.759162303666</v>
      </c>
      <c r="K47" s="7">
        <v>11344</v>
      </c>
      <c r="L47" s="7">
        <v>508143</v>
      </c>
      <c r="M47" s="159">
        <f>K47*1000000/L47</f>
        <v>22324.424423833447</v>
      </c>
      <c r="N47" s="17">
        <v>117.3</v>
      </c>
      <c r="O47" s="7">
        <v>3457</v>
      </c>
      <c r="P47" s="7">
        <f>O47/N47*100</f>
        <v>2947.1440750213128</v>
      </c>
      <c r="Q47" s="7">
        <v>3048</v>
      </c>
      <c r="R47" s="7">
        <v>141097</v>
      </c>
      <c r="S47" s="7">
        <f t="shared" si="43"/>
        <v>21602.160216021603</v>
      </c>
      <c r="T47" s="17">
        <v>115.7</v>
      </c>
      <c r="U47" s="7">
        <v>24367</v>
      </c>
      <c r="V47" s="7">
        <f>U47/T47*100</f>
        <v>21060.50129645635</v>
      </c>
      <c r="W47" s="7">
        <v>21773</v>
      </c>
      <c r="X47" s="7">
        <v>939124</v>
      </c>
      <c r="Y47" s="7">
        <f t="shared" si="42"/>
        <v>23184.371818843945</v>
      </c>
      <c r="Z47" s="17">
        <v>113.5</v>
      </c>
      <c r="AA47" s="7">
        <v>18246</v>
      </c>
      <c r="AB47" s="7">
        <f>AA47/Z47*100</f>
        <v>16075.770925110131</v>
      </c>
      <c r="AC47" s="7">
        <v>16623</v>
      </c>
      <c r="AD47" s="7">
        <v>749324</v>
      </c>
      <c r="AE47" s="7">
        <f t="shared" si="44"/>
        <v>22183.995174317119</v>
      </c>
      <c r="AF47" s="17">
        <v>113.4</v>
      </c>
      <c r="AG47" s="7">
        <v>190465</v>
      </c>
      <c r="AH47" s="7">
        <f>AG47/AF47*100</f>
        <v>167958.5537918871</v>
      </c>
      <c r="AI47" s="7">
        <v>176068</v>
      </c>
      <c r="AJ47" s="7">
        <v>7828357</v>
      </c>
      <c r="AK47" s="7">
        <f t="shared" si="40"/>
        <v>22491.053997665156</v>
      </c>
      <c r="AL47" s="17">
        <v>113.7</v>
      </c>
      <c r="AM47" s="7">
        <v>349381</v>
      </c>
      <c r="AN47" s="7">
        <f>AM47/AL47*100</f>
        <v>307283.20140721195</v>
      </c>
      <c r="AO47" s="7">
        <v>324054</v>
      </c>
      <c r="AP47" s="7">
        <v>13064900</v>
      </c>
      <c r="AQ47" s="7">
        <f t="shared" si="38"/>
        <v>24803.404541940621</v>
      </c>
      <c r="AR47" s="17">
        <v>114.1</v>
      </c>
      <c r="AS47" s="7">
        <v>31008</v>
      </c>
      <c r="AT47" s="7">
        <f>AS47/AR47*100</f>
        <v>27176.161262050835</v>
      </c>
      <c r="AU47" s="7">
        <v>28044</v>
      </c>
      <c r="AV47" s="7">
        <v>1219562</v>
      </c>
      <c r="AW47" s="7">
        <f t="shared" si="26"/>
        <v>22995.140878446524</v>
      </c>
      <c r="AX47" s="17">
        <v>117.1</v>
      </c>
      <c r="AY47" s="7">
        <v>28367</v>
      </c>
      <c r="AZ47" s="7">
        <f>AY47/AX47*100</f>
        <v>24224.594363791632</v>
      </c>
      <c r="BA47" s="7">
        <v>25033</v>
      </c>
      <c r="BB47" s="7">
        <v>1029124</v>
      </c>
      <c r="BC47" s="7">
        <f t="shared" si="39"/>
        <v>24324.571188700294</v>
      </c>
      <c r="BD47" s="17">
        <v>121.5</v>
      </c>
      <c r="BE47" s="7">
        <v>110853</v>
      </c>
      <c r="BF47" s="7">
        <f>BE47/BD47*100</f>
        <v>91237.037037037036</v>
      </c>
      <c r="BG47" s="7">
        <v>98872</v>
      </c>
      <c r="BH47" s="7">
        <v>3670742</v>
      </c>
      <c r="BI47" s="7">
        <f t="shared" si="30"/>
        <v>26935.153710067338</v>
      </c>
      <c r="BJ47" s="17">
        <v>112.3</v>
      </c>
      <c r="BK47" s="7">
        <v>126802</v>
      </c>
      <c r="BL47" s="7">
        <f>BK47/BJ47*100</f>
        <v>112913.62422083705</v>
      </c>
      <c r="BM47" s="7">
        <v>115678</v>
      </c>
      <c r="BN47" s="7">
        <v>4460292</v>
      </c>
      <c r="BO47" s="7">
        <f t="shared" ref="BO47:BO48" si="45">BM47*1000000/BN47</f>
        <v>25935.073309101736</v>
      </c>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row>
    <row r="48" spans="1:138" ht="15.75" customHeight="1">
      <c r="A48" s="1">
        <v>2010</v>
      </c>
      <c r="B48" s="17">
        <v>116.5</v>
      </c>
      <c r="C48" s="205">
        <f>C47*POWER(C47/C42,1/5)</f>
        <v>939501.4205072819</v>
      </c>
      <c r="D48" s="159">
        <f t="shared" si="41"/>
        <v>806438.98755989864</v>
      </c>
      <c r="E48" s="205">
        <f>E47*POWER(E47/E42,1/5)</f>
        <v>851073.76091247657</v>
      </c>
      <c r="F48" s="7">
        <v>34108752</v>
      </c>
      <c r="G48" s="159">
        <f>E48*1000000/F48</f>
        <v>24951.77076289618</v>
      </c>
      <c r="H48" s="17">
        <v>117.4</v>
      </c>
      <c r="I48" s="205">
        <f>I47*POWER(I47/I42,1/5)</f>
        <v>13095.337237658516</v>
      </c>
      <c r="J48" s="7">
        <f>I48/H48*100</f>
        <v>11154.461020152057</v>
      </c>
      <c r="K48" s="205">
        <f>K47*POWER(K47/K42,1/5)</f>
        <v>11736.213412466095</v>
      </c>
      <c r="L48" s="7">
        <v>509739</v>
      </c>
      <c r="M48" s="159">
        <f>K48*1000000/L48</f>
        <v>23023.966014894082</v>
      </c>
      <c r="N48" s="17">
        <v>119.5</v>
      </c>
      <c r="O48" s="205">
        <f>O47*POWER(O47/O42,1/5)</f>
        <v>3619.6578750069007</v>
      </c>
      <c r="P48" s="7">
        <f>O48/N48*100</f>
        <v>3029.0024058635149</v>
      </c>
      <c r="Q48" s="205">
        <f>Q47*POWER(Q47/Q42,1/5)</f>
        <v>3138.3024876980489</v>
      </c>
      <c r="R48" s="7">
        <v>142266</v>
      </c>
      <c r="S48" s="7">
        <f t="shared" si="43"/>
        <v>22059.399207808256</v>
      </c>
      <c r="T48" s="17">
        <v>118.2</v>
      </c>
      <c r="U48" s="205">
        <f>U47*POWER(U47/U42,1/5)</f>
        <v>25403.343166239429</v>
      </c>
      <c r="V48" s="7">
        <f>U48/T48*100</f>
        <v>21491.830089881074</v>
      </c>
      <c r="W48" s="205">
        <f>W47*POWER(W47/W42,1/5)</f>
        <v>22386.184781778862</v>
      </c>
      <c r="X48" s="7">
        <v>942506</v>
      </c>
      <c r="Y48" s="7">
        <f t="shared" si="42"/>
        <v>23751.768987973406</v>
      </c>
      <c r="Z48" s="17">
        <v>115.9</v>
      </c>
      <c r="AA48" s="205">
        <f>AA47*POWER(AA47/AA42,1/5)</f>
        <v>19037.651036655308</v>
      </c>
      <c r="AB48" s="7">
        <f>AA48/Z48*100</f>
        <v>16425.928418166786</v>
      </c>
      <c r="AC48" s="205">
        <f>AC47*POWER(AC47/AC42,1/5)</f>
        <v>17149.080178407632</v>
      </c>
      <c r="AD48" s="7">
        <v>751755</v>
      </c>
      <c r="AE48" s="7">
        <f t="shared" si="44"/>
        <v>22812.060017436044</v>
      </c>
      <c r="AF48" s="17">
        <v>114.8</v>
      </c>
      <c r="AG48" s="205">
        <f>AG47*POWER(AG47/AG42,1/5)</f>
        <v>198092.29297218914</v>
      </c>
      <c r="AH48" s="7">
        <f>AG48/AF48*100</f>
        <v>172554.26217089646</v>
      </c>
      <c r="AI48" s="205">
        <f>AI47*POWER(AI47/AI42,1/5)</f>
        <v>181386.7922062141</v>
      </c>
      <c r="AJ48" s="7">
        <v>7907375</v>
      </c>
      <c r="AK48" s="7">
        <f t="shared" si="40"/>
        <v>22938.938928053129</v>
      </c>
      <c r="AL48" s="17">
        <v>116.5</v>
      </c>
      <c r="AM48" s="205">
        <f>AM47*POWER(AM47/AM42,1/5)</f>
        <v>362776.15048654348</v>
      </c>
      <c r="AN48" s="7">
        <f>AM48/AL48*100</f>
        <v>311395.83732750511</v>
      </c>
      <c r="AO48" s="205">
        <f>AO47*POWER(AO47/AO42,1/5)</f>
        <v>333336.23633463238</v>
      </c>
      <c r="AP48" s="7">
        <v>13210667</v>
      </c>
      <c r="AQ48" s="7">
        <f t="shared" si="38"/>
        <v>25232.354758062738</v>
      </c>
      <c r="AR48" s="17">
        <v>115</v>
      </c>
      <c r="AS48" s="205">
        <f>AS47*POWER(AS47/AS42,1/5)</f>
        <v>32533.952689718077</v>
      </c>
      <c r="AT48" s="7">
        <f>AS48/AR48*100</f>
        <v>28290.393643233107</v>
      </c>
      <c r="AU48" s="205">
        <f>AU47*POWER(AU47/AU42,1/5)</f>
        <v>29033.240154399675</v>
      </c>
      <c r="AV48" s="7">
        <v>1235412</v>
      </c>
      <c r="AW48" s="7">
        <f t="shared" si="26"/>
        <v>23500.85651944426</v>
      </c>
      <c r="AX48" s="17">
        <v>118.7</v>
      </c>
      <c r="AY48" s="205">
        <f>AY47*POWER(AY47/AY42,1/5)</f>
        <v>30123.63787521554</v>
      </c>
      <c r="AZ48" s="7">
        <f>AY48/AX48*100</f>
        <v>25377.959456794895</v>
      </c>
      <c r="BA48" s="205">
        <f>BA47*POWER(BA47/BA42,1/5)</f>
        <v>26118.205983992906</v>
      </c>
      <c r="BB48" s="7">
        <v>1045622</v>
      </c>
      <c r="BC48" s="7">
        <f t="shared" si="39"/>
        <v>24978.630885724386</v>
      </c>
      <c r="BD48" s="17">
        <v>122.7</v>
      </c>
      <c r="BE48" s="205">
        <f>BE47*POWER(BE47/BE42,1/5)</f>
        <v>118407.77338510002</v>
      </c>
      <c r="BF48" s="7">
        <f>BE48/BD48*100</f>
        <v>96501.852799592525</v>
      </c>
      <c r="BG48" s="205">
        <f>BG47*POWER(BG47/BG42,1/5)</f>
        <v>103825.73385709664</v>
      </c>
      <c r="BH48" s="7">
        <v>3720946</v>
      </c>
      <c r="BI48" s="7">
        <f t="shared" si="30"/>
        <v>27903.047734929944</v>
      </c>
      <c r="BJ48" s="17">
        <v>113.8</v>
      </c>
      <c r="BK48" s="205">
        <f>BK47*POWER(BK47/BK42,1/5)</f>
        <v>133210.46562789532</v>
      </c>
      <c r="BL48" s="7">
        <f>BK48/BJ48*100</f>
        <v>117056.64817916989</v>
      </c>
      <c r="BM48" s="205">
        <f>BM47*POWER(BM47/BM42,1/5)</f>
        <v>120002.69594229721</v>
      </c>
      <c r="BN48" s="7">
        <v>4530960</v>
      </c>
      <c r="BO48" s="7">
        <f t="shared" si="45"/>
        <v>26485.048630377936</v>
      </c>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row>
    <row r="49" spans="1:138" ht="15.75" customHeight="1">
      <c r="B49" s="257" t="s">
        <v>967</v>
      </c>
      <c r="C49" s="205"/>
      <c r="D49" s="159"/>
      <c r="E49" s="205"/>
      <c r="F49" s="586"/>
      <c r="G49" s="159"/>
      <c r="H49" s="160"/>
      <c r="I49" s="205"/>
      <c r="J49" s="7"/>
      <c r="K49" s="205"/>
      <c r="L49" s="159"/>
      <c r="M49" s="159"/>
      <c r="N49" s="257" t="s">
        <v>967</v>
      </c>
      <c r="O49" s="205"/>
      <c r="P49" s="7"/>
      <c r="Q49" s="205"/>
      <c r="R49" s="159"/>
      <c r="S49" s="7"/>
      <c r="T49" s="160"/>
      <c r="U49" s="205"/>
      <c r="V49" s="7"/>
      <c r="W49" s="205"/>
      <c r="X49" s="159"/>
      <c r="Y49" s="7"/>
      <c r="Z49" s="257" t="s">
        <v>967</v>
      </c>
      <c r="AA49" s="205"/>
      <c r="AB49" s="7"/>
      <c r="AC49" s="205"/>
      <c r="AD49" s="159"/>
      <c r="AE49" s="7"/>
      <c r="AF49" s="160"/>
      <c r="AG49" s="205"/>
      <c r="AH49" s="7"/>
      <c r="AI49" s="205"/>
      <c r="AJ49" s="159"/>
      <c r="AK49" s="7"/>
      <c r="AL49" s="257" t="s">
        <v>967</v>
      </c>
      <c r="AM49" s="205"/>
      <c r="AN49" s="7"/>
      <c r="AO49" s="205"/>
      <c r="AP49" s="159"/>
      <c r="AQ49" s="7"/>
      <c r="AR49" s="160"/>
      <c r="AS49" s="205"/>
      <c r="AT49" s="7"/>
      <c r="AU49" s="205"/>
      <c r="AV49" s="159"/>
      <c r="AW49" s="7"/>
      <c r="AX49" s="257" t="s">
        <v>967</v>
      </c>
      <c r="AY49" s="205"/>
      <c r="AZ49" s="7"/>
      <c r="BA49" s="205"/>
      <c r="BB49" s="7"/>
      <c r="BC49" s="7"/>
      <c r="BD49" s="160"/>
      <c r="BE49" s="205"/>
      <c r="BF49" s="7"/>
      <c r="BG49" s="205"/>
      <c r="BH49" s="159"/>
      <c r="BI49" s="7"/>
      <c r="BJ49" s="257" t="s">
        <v>967</v>
      </c>
      <c r="BK49" s="205"/>
      <c r="BL49" s="7"/>
      <c r="BM49" s="205"/>
      <c r="BN49" s="159"/>
      <c r="BO49" s="7"/>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row>
    <row r="50" spans="1:138" s="252" customFormat="1" ht="15.75" customHeight="1">
      <c r="A50" s="252" t="s">
        <v>988</v>
      </c>
      <c r="B50" s="254">
        <f t="shared" ref="B50:AG50" si="46">(POWER(B48/B19, 1/29)-1)*100</f>
        <v>2.995430234407026</v>
      </c>
      <c r="C50" s="254">
        <f t="shared" si="46"/>
        <v>5.6579403465913947</v>
      </c>
      <c r="D50" s="254">
        <f t="shared" si="46"/>
        <v>2.5850759651421029</v>
      </c>
      <c r="E50" s="254">
        <f t="shared" si="46"/>
        <v>2.9279571998623632</v>
      </c>
      <c r="F50" s="254">
        <f t="shared" si="46"/>
        <v>1.1022639403056589</v>
      </c>
      <c r="G50" s="254">
        <f t="shared" si="46"/>
        <v>1.8057887018580132</v>
      </c>
      <c r="H50" s="254">
        <f t="shared" si="46"/>
        <v>2.7736657838458356</v>
      </c>
      <c r="I50" s="254">
        <f t="shared" si="46"/>
        <v>4.9642930011364106</v>
      </c>
      <c r="J50" s="254">
        <f t="shared" si="46"/>
        <v>2.1315063548457136</v>
      </c>
      <c r="K50" s="254">
        <f t="shared" si="46"/>
        <v>2.429267158175108</v>
      </c>
      <c r="L50" s="254">
        <f t="shared" si="46"/>
        <v>-0.41635939800632737</v>
      </c>
      <c r="M50" s="254">
        <f t="shared" si="46"/>
        <v>2.8575241264321427</v>
      </c>
      <c r="N50" s="254">
        <f t="shared" si="46"/>
        <v>2.8633339219254816</v>
      </c>
      <c r="O50" s="254">
        <f t="shared" si="46"/>
        <v>5.3704567994254493</v>
      </c>
      <c r="P50" s="254">
        <f t="shared" si="46"/>
        <v>2.4373338700094171</v>
      </c>
      <c r="Q50" s="254">
        <f t="shared" si="46"/>
        <v>2.6569690343920094</v>
      </c>
      <c r="R50" s="254">
        <f t="shared" si="46"/>
        <v>0.48754506036630119</v>
      </c>
      <c r="S50" s="254">
        <f t="shared" si="46"/>
        <v>2.1588983716563703</v>
      </c>
      <c r="T50" s="254">
        <f t="shared" si="46"/>
        <v>2.9548194980286935</v>
      </c>
      <c r="U50" s="254">
        <f t="shared" si="46"/>
        <v>5.2552729937825005</v>
      </c>
      <c r="V50" s="254">
        <f t="shared" si="46"/>
        <v>2.5532166003933376</v>
      </c>
      <c r="W50" s="254">
        <f t="shared" si="46"/>
        <v>2.4529145481470005</v>
      </c>
      <c r="X50" s="254">
        <f t="shared" si="46"/>
        <v>0.33708999541517404</v>
      </c>
      <c r="Y50" s="254">
        <f t="shared" si="46"/>
        <v>2.1087162811165072</v>
      </c>
      <c r="Z50" s="254">
        <f t="shared" si="46"/>
        <v>2.8781044224358343</v>
      </c>
      <c r="AA50" s="254">
        <f t="shared" si="46"/>
        <v>5.2264577817321634</v>
      </c>
      <c r="AB50" s="254">
        <f t="shared" si="46"/>
        <v>2.2826561322062844</v>
      </c>
      <c r="AC50" s="254">
        <f t="shared" si="46"/>
        <v>2.6628649750696454</v>
      </c>
      <c r="AD50" s="254">
        <f t="shared" si="46"/>
        <v>0.21462665351468235</v>
      </c>
      <c r="AE50" s="254">
        <f t="shared" si="46"/>
        <v>2.4429950031342074</v>
      </c>
      <c r="AF50" s="254">
        <f t="shared" si="46"/>
        <v>2.8934011582459007</v>
      </c>
      <c r="AG50" s="254">
        <f t="shared" si="46"/>
        <v>5.2287850453986096</v>
      </c>
      <c r="AH50" s="254">
        <f t="shared" ref="AH50:BO50" si="47">(POWER(AH48/AH19, 1/29)-1)*100</f>
        <v>2.2697120134662407</v>
      </c>
      <c r="AI50" s="254">
        <f t="shared" si="47"/>
        <v>2.6605732740350385</v>
      </c>
      <c r="AJ50" s="254">
        <f t="shared" si="47"/>
        <v>0.65301019139258898</v>
      </c>
      <c r="AK50" s="254">
        <f t="shared" si="47"/>
        <v>1.994538542687474</v>
      </c>
      <c r="AL50" s="254">
        <f t="shared" si="47"/>
        <v>3.0899937629248697</v>
      </c>
      <c r="AM50" s="254">
        <f t="shared" si="47"/>
        <v>5.8637119939006555</v>
      </c>
      <c r="AN50" s="254">
        <f t="shared" si="47"/>
        <v>2.6905794924718451</v>
      </c>
      <c r="AO50" s="254">
        <f t="shared" si="47"/>
        <v>3.0786068632733476</v>
      </c>
      <c r="AP50" s="254">
        <f t="shared" si="47"/>
        <v>1.405921496714857</v>
      </c>
      <c r="AQ50" s="254">
        <f t="shared" si="47"/>
        <v>1.6494947650692149</v>
      </c>
      <c r="AR50" s="254">
        <f t="shared" si="47"/>
        <v>2.985462275029005</v>
      </c>
      <c r="AS50" s="254">
        <f t="shared" si="47"/>
        <v>5.1273465141008723</v>
      </c>
      <c r="AT50" s="254">
        <f t="shared" si="47"/>
        <v>2.079792809349934</v>
      </c>
      <c r="AU50" s="254">
        <f t="shared" si="47"/>
        <v>2.3212580612641309</v>
      </c>
      <c r="AV50" s="254">
        <f t="shared" si="47"/>
        <v>0.6103955727545296</v>
      </c>
      <c r="AW50" s="254">
        <f t="shared" si="47"/>
        <v>1.700482816681137</v>
      </c>
      <c r="AX50" s="254">
        <f t="shared" si="47"/>
        <v>3.0618944791022784</v>
      </c>
      <c r="AY50" s="254">
        <f t="shared" si="47"/>
        <v>5.1431064317296382</v>
      </c>
      <c r="AZ50" s="254">
        <f t="shared" si="47"/>
        <v>2.0193806480525822</v>
      </c>
      <c r="BA50" s="254">
        <f t="shared" si="47"/>
        <v>2.3515042028157129</v>
      </c>
      <c r="BB50" s="254">
        <f t="shared" si="47"/>
        <v>0.23873822676299117</v>
      </c>
      <c r="BC50" s="254">
        <f t="shared" si="47"/>
        <v>2.1077340092541696</v>
      </c>
      <c r="BD50" s="254">
        <f t="shared" si="47"/>
        <v>3.1582516732209687</v>
      </c>
      <c r="BE50" s="254">
        <f t="shared" si="47"/>
        <v>6.1508582309680149</v>
      </c>
      <c r="BF50" s="254">
        <f t="shared" si="47"/>
        <v>2.900986115223092</v>
      </c>
      <c r="BG50" s="254">
        <f t="shared" si="47"/>
        <v>3.3723098634423687</v>
      </c>
      <c r="BH50" s="254">
        <f t="shared" si="47"/>
        <v>1.6862810505691828</v>
      </c>
      <c r="BI50" s="254">
        <f t="shared" si="47"/>
        <v>1.6580691077046295</v>
      </c>
      <c r="BJ50" s="254">
        <f t="shared" si="47"/>
        <v>2.7511374068714067</v>
      </c>
      <c r="BK50" s="254">
        <f t="shared" si="47"/>
        <v>5.9075386623569148</v>
      </c>
      <c r="BL50" s="254">
        <f t="shared" si="47"/>
        <v>3.0718893582529105</v>
      </c>
      <c r="BM50" s="254">
        <f t="shared" si="47"/>
        <v>3.1294689873688553</v>
      </c>
      <c r="BN50" s="254">
        <f t="shared" si="47"/>
        <v>1.6404623548224029</v>
      </c>
      <c r="BO50" s="254">
        <f t="shared" si="47"/>
        <v>1.4649742809594635</v>
      </c>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269"/>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c r="B51" s="123" t="s">
        <v>956</v>
      </c>
      <c r="C51" s="5"/>
      <c r="D51" s="5"/>
      <c r="E51" s="5"/>
      <c r="F51" s="5"/>
      <c r="G51" s="5"/>
      <c r="H51" s="5"/>
      <c r="I51" s="5"/>
      <c r="J51" s="5"/>
      <c r="K51" s="5"/>
      <c r="L51" s="5"/>
      <c r="M51" s="5"/>
      <c r="N51" s="5"/>
      <c r="O51" s="5"/>
      <c r="P51" s="5"/>
      <c r="Q51" s="5"/>
      <c r="R51" s="5"/>
      <c r="S51" s="5" t="s">
        <v>946</v>
      </c>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row>
    <row r="52" spans="1:138">
      <c r="B52" s="1" t="s">
        <v>685</v>
      </c>
      <c r="C52" s="5"/>
      <c r="D52" s="5"/>
      <c r="E52" s="5"/>
      <c r="F52" s="5"/>
      <c r="G52" s="5"/>
      <c r="H52" s="5"/>
      <c r="I52" s="5"/>
      <c r="J52" s="5"/>
      <c r="K52" s="5"/>
      <c r="L52" s="5"/>
      <c r="M52" s="5"/>
      <c r="N52" s="8" t="s">
        <v>380</v>
      </c>
      <c r="O52" s="5"/>
      <c r="P52" s="5"/>
      <c r="Q52" s="5"/>
      <c r="R52" s="5"/>
      <c r="S52" s="5"/>
      <c r="T52" s="5"/>
      <c r="U52" s="5"/>
      <c r="V52" s="5"/>
      <c r="W52" s="5"/>
      <c r="X52" s="5"/>
      <c r="Y52" s="5"/>
      <c r="Z52" s="8" t="s">
        <v>380</v>
      </c>
      <c r="AA52" s="5"/>
      <c r="AB52" s="5"/>
      <c r="AC52" s="5"/>
      <c r="AD52" s="5"/>
      <c r="AE52" s="5"/>
      <c r="AF52" s="5"/>
      <c r="AG52" s="5"/>
      <c r="AH52" s="5"/>
      <c r="AI52" s="5"/>
      <c r="AJ52" s="5"/>
      <c r="AK52" s="5"/>
      <c r="AL52" s="8" t="s">
        <v>380</v>
      </c>
      <c r="AM52" s="5"/>
      <c r="AN52" s="5"/>
      <c r="AO52" s="5"/>
      <c r="AP52" s="5"/>
      <c r="AQ52" s="5"/>
      <c r="AR52" s="5"/>
      <c r="AS52" s="5"/>
      <c r="AT52" s="5"/>
      <c r="AU52" s="5"/>
      <c r="AV52" s="5"/>
      <c r="AW52" s="5"/>
      <c r="AX52" s="8" t="s">
        <v>380</v>
      </c>
      <c r="AY52" s="5"/>
      <c r="AZ52" s="5"/>
      <c r="BA52" s="5"/>
      <c r="BB52" s="5"/>
      <c r="BC52" s="5"/>
      <c r="BD52" s="5"/>
      <c r="BE52" s="5"/>
      <c r="BF52" s="5"/>
      <c r="BG52" s="5"/>
      <c r="BH52" s="5"/>
      <c r="BI52" s="5"/>
      <c r="BJ52" s="8" t="s">
        <v>380</v>
      </c>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row>
    <row r="53" spans="1:138" ht="12" customHeight="1">
      <c r="B53" s="1" t="s">
        <v>1008</v>
      </c>
      <c r="C53" s="5"/>
      <c r="D53" s="5"/>
      <c r="E53" s="5"/>
      <c r="F53" s="5"/>
      <c r="G53" s="5"/>
      <c r="H53" s="5"/>
      <c r="I53" s="5"/>
      <c r="J53" s="5"/>
      <c r="K53" s="5"/>
      <c r="L53" s="5"/>
      <c r="M53" s="5"/>
      <c r="N53" s="8"/>
      <c r="O53" s="5"/>
      <c r="P53" s="5"/>
      <c r="Q53" s="5"/>
      <c r="R53" s="5"/>
      <c r="S53" s="5"/>
      <c r="T53" s="5"/>
      <c r="U53" s="5"/>
      <c r="V53" s="5"/>
      <c r="W53" s="5"/>
      <c r="X53" s="5"/>
      <c r="Y53" s="5"/>
      <c r="Z53" s="8"/>
      <c r="AA53" s="5"/>
      <c r="AB53" s="5"/>
      <c r="AC53" s="5"/>
      <c r="AD53" s="5"/>
      <c r="AE53" s="5"/>
      <c r="AF53" s="5"/>
      <c r="AG53" s="5"/>
      <c r="AH53" s="5"/>
      <c r="AI53" s="5"/>
      <c r="AJ53" s="5"/>
      <c r="AK53" s="5"/>
      <c r="AL53" s="8"/>
      <c r="AM53" s="5"/>
      <c r="AN53" s="5"/>
      <c r="AO53" s="5"/>
      <c r="AP53" s="5"/>
      <c r="AQ53" s="5"/>
      <c r="AR53" s="5"/>
      <c r="AS53" s="5"/>
      <c r="AT53" s="5"/>
      <c r="AU53" s="5"/>
      <c r="AV53" s="5"/>
      <c r="AW53" s="5"/>
      <c r="AX53" s="8"/>
      <c r="AY53" s="5"/>
      <c r="AZ53" s="5"/>
      <c r="BA53" s="5"/>
      <c r="BB53" s="5"/>
      <c r="BC53" s="5"/>
      <c r="BD53" s="5"/>
      <c r="BE53" s="5"/>
      <c r="BF53" s="5"/>
      <c r="BG53" s="5"/>
      <c r="BH53" s="5"/>
      <c r="BI53" s="5"/>
      <c r="BJ53" s="8"/>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row>
    <row r="54" spans="1:138">
      <c r="B54" s="1" t="s">
        <v>690</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row>
    <row r="55" spans="1:138">
      <c r="B55" s="1" t="s">
        <v>1009</v>
      </c>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row>
  </sheetData>
  <phoneticPr fontId="0" type="noConversion"/>
  <pageMargins left="0.35433070866141736" right="0.35433070866141736" top="0.59055118110236227" bottom="0.39370078740157483" header="0.51181102362204722" footer="0.51181102362204722"/>
  <pageSetup scale="78" orientation="landscape" r:id="rId1"/>
  <headerFooter alignWithMargins="0"/>
  <rowBreaks count="1" manualBreakCount="1">
    <brk id="59" max="16383" man="1"/>
  </rowBreaks>
  <colBreaks count="5" manualBreakCount="5">
    <brk id="13" max="1048575" man="1"/>
    <brk id="25" max="1048575" man="1"/>
    <brk id="37" max="1048575" man="1"/>
    <brk id="49" max="1048575" man="1"/>
    <brk id="61" max="1048575" man="1"/>
  </colBreaks>
</worksheet>
</file>

<file path=xl/worksheets/sheet140.xml><?xml version="1.0" encoding="utf-8"?>
<worksheet xmlns="http://schemas.openxmlformats.org/spreadsheetml/2006/main" xmlns:r="http://schemas.openxmlformats.org/officeDocument/2006/relationships">
  <sheetPr>
    <pageSetUpPr fitToPage="1"/>
  </sheetPr>
  <dimension ref="A1:I39"/>
  <sheetViews>
    <sheetView view="pageBreakPreview" zoomScaleSheetLayoutView="100" workbookViewId="0">
      <selection activeCell="I24" sqref="I24"/>
    </sheetView>
  </sheetViews>
  <sheetFormatPr defaultRowHeight="12.75"/>
  <cols>
    <col min="1" max="1" width="15.625" style="409" customWidth="1"/>
    <col min="2" max="7" width="11.25" style="409" customWidth="1"/>
    <col min="8" max="8" width="10.375" style="409" customWidth="1"/>
    <col min="9" max="16384" width="9" style="409"/>
  </cols>
  <sheetData>
    <row r="1" spans="1:9" ht="27" customHeight="1">
      <c r="A1" s="663" t="s">
        <v>1367</v>
      </c>
      <c r="B1" s="664"/>
      <c r="C1" s="664"/>
      <c r="D1" s="664"/>
      <c r="E1" s="664"/>
      <c r="F1" s="664"/>
      <c r="G1" s="664"/>
      <c r="H1" s="664"/>
    </row>
    <row r="2" spans="1:9">
      <c r="A2" s="409" t="s">
        <v>1282</v>
      </c>
    </row>
    <row r="3" spans="1:9" s="414" customFormat="1" ht="38.25">
      <c r="A3" s="410"/>
      <c r="B3" s="477" t="s">
        <v>1231</v>
      </c>
      <c r="C3" s="413" t="s">
        <v>1321</v>
      </c>
      <c r="D3" s="412" t="s">
        <v>1232</v>
      </c>
      <c r="E3" s="412" t="s">
        <v>1233</v>
      </c>
      <c r="F3" s="412" t="s">
        <v>1278</v>
      </c>
      <c r="G3" s="413" t="s">
        <v>1322</v>
      </c>
      <c r="H3" s="413" t="s">
        <v>1323</v>
      </c>
    </row>
    <row r="4" spans="1:9" s="540" customFormat="1" ht="45.75" customHeight="1">
      <c r="A4" s="537"/>
      <c r="B4" s="558" t="s">
        <v>1283</v>
      </c>
      <c r="C4" s="559" t="s">
        <v>1284</v>
      </c>
      <c r="D4" s="559" t="s">
        <v>1283</v>
      </c>
      <c r="E4" s="559" t="s">
        <v>1283</v>
      </c>
      <c r="F4" s="559" t="s">
        <v>1283</v>
      </c>
      <c r="G4" s="559" t="s">
        <v>1284</v>
      </c>
      <c r="H4" s="559" t="s">
        <v>1284</v>
      </c>
    </row>
    <row r="5" spans="1:9" s="414" customFormat="1" ht="25.5">
      <c r="A5" s="432"/>
      <c r="B5" s="448" t="s">
        <v>105</v>
      </c>
      <c r="C5" s="449" t="s">
        <v>106</v>
      </c>
      <c r="D5" s="449" t="s">
        <v>107</v>
      </c>
      <c r="E5" s="449" t="s">
        <v>108</v>
      </c>
      <c r="F5" s="449" t="s">
        <v>1325</v>
      </c>
      <c r="G5" s="449" t="s">
        <v>110</v>
      </c>
      <c r="H5" s="449" t="s">
        <v>1326</v>
      </c>
    </row>
    <row r="6" spans="1:9" ht="16.5" customHeight="1">
      <c r="A6" s="423" t="s">
        <v>321</v>
      </c>
      <c r="B6" s="560">
        <f>[5]a17!B$47</f>
        <v>0.43525568394275904</v>
      </c>
      <c r="C6" s="561">
        <f>[5]a17!C$44</f>
        <v>0.21774193548387052</v>
      </c>
      <c r="D6" s="503" t="str">
        <f>[5]a18!B$48</f>
        <v>Poverty intensity is the product of the poverty rate and the poverty gap. Last updated: November 2, 2009.</v>
      </c>
      <c r="E6" s="503">
        <f>[5]a18!C$48</f>
        <v>0</v>
      </c>
      <c r="F6" s="503">
        <f>[5]a18!D$48</f>
        <v>0</v>
      </c>
      <c r="G6" s="503">
        <f>[5]a18!E$50</f>
        <v>0</v>
      </c>
      <c r="H6" s="503">
        <f>'[5]3'!$D$49</f>
        <v>-3.9842981910031217E-2</v>
      </c>
    </row>
    <row r="7" spans="1:9" ht="16.5" customHeight="1">
      <c r="A7" s="409" t="s">
        <v>370</v>
      </c>
      <c r="B7" s="562">
        <f>[5]a17!D$47</f>
        <v>0.44219923788750837</v>
      </c>
      <c r="C7" s="36">
        <f>[5]a17!E$44</f>
        <v>0.42383512544802854</v>
      </c>
      <c r="D7" s="437">
        <f>[5]a18!F$48</f>
        <v>0</v>
      </c>
      <c r="E7" s="437">
        <f>[5]a18!G$48</f>
        <v>0</v>
      </c>
      <c r="F7" s="437">
        <f>[5]a18!H$48</f>
        <v>0</v>
      </c>
      <c r="G7" s="437">
        <f>[5]a18!I$50</f>
        <v>0</v>
      </c>
      <c r="H7" s="437">
        <f>'[5]3'!$G$49</f>
        <v>0.19186625763403714</v>
      </c>
    </row>
    <row r="8" spans="1:9" ht="16.5" customHeight="1">
      <c r="A8" s="409" t="s">
        <v>371</v>
      </c>
      <c r="B8" s="562">
        <f>[5]a17!F$47</f>
        <v>-0.10687983068996543</v>
      </c>
      <c r="C8" s="36">
        <f>[5]a17!G$44</f>
        <v>0.79121863799283154</v>
      </c>
      <c r="D8" s="437">
        <f>[5]a18!J$48</f>
        <v>0</v>
      </c>
      <c r="E8" s="437">
        <f>[5]a18!K$48</f>
        <v>0</v>
      </c>
      <c r="F8" s="437">
        <f>[5]a18!L$48</f>
        <v>0</v>
      </c>
      <c r="G8" s="437">
        <f>[5]a18!M$50</f>
        <v>0</v>
      </c>
      <c r="H8" s="437">
        <f>'[5]3'!$J$49</f>
        <v>0.28961201364472222</v>
      </c>
    </row>
    <row r="9" spans="1:9" ht="16.5" customHeight="1">
      <c r="A9" s="409" t="s">
        <v>372</v>
      </c>
      <c r="B9" s="562">
        <f>[5]a17!H$47</f>
        <v>0.30074818983880647</v>
      </c>
      <c r="C9" s="36">
        <f>[5]a17!I$44</f>
        <v>0.40591397849462352</v>
      </c>
      <c r="D9" s="437">
        <f>[5]a18!N$48</f>
        <v>0</v>
      </c>
      <c r="E9" s="437">
        <f>[5]a18!O$48</f>
        <v>0</v>
      </c>
      <c r="F9" s="437">
        <f>[5]a18!P$48</f>
        <v>0</v>
      </c>
      <c r="G9" s="437">
        <f>[5]a18!Q$50</f>
        <v>0</v>
      </c>
      <c r="H9" s="437">
        <f>'[5]3'!$M$49</f>
        <v>0.11952702215558353</v>
      </c>
    </row>
    <row r="10" spans="1:9" ht="16.5" customHeight="1">
      <c r="A10" s="409" t="s">
        <v>373</v>
      </c>
      <c r="B10" s="562">
        <f>[5]a17!J$47</f>
        <v>0.13939047907132185</v>
      </c>
      <c r="C10" s="36">
        <f>[5]a17!K$44</f>
        <v>0.45967741935483863</v>
      </c>
      <c r="D10" s="437">
        <f>[5]a18!R$48</f>
        <v>0</v>
      </c>
      <c r="E10" s="437">
        <f>[5]a18!S$48</f>
        <v>0</v>
      </c>
      <c r="F10" s="437">
        <f>[5]a18!T$48</f>
        <v>0</v>
      </c>
      <c r="G10" s="437">
        <f>[5]a18!U$50</f>
        <v>0</v>
      </c>
      <c r="H10" s="437">
        <f>'[5]3'!$P$49</f>
        <v>8.6079440465181456E-2</v>
      </c>
    </row>
    <row r="11" spans="1:9" ht="16.5" customHeight="1">
      <c r="A11" s="409" t="s">
        <v>374</v>
      </c>
      <c r="B11" s="562">
        <f>[5]a17!L$47</f>
        <v>0.30777525259932936</v>
      </c>
      <c r="C11" s="36">
        <f>[5]a17!M$44</f>
        <v>0.37007168458781342</v>
      </c>
      <c r="D11" s="437">
        <f>[5]a18!V$48</f>
        <v>0</v>
      </c>
      <c r="E11" s="437">
        <f>[5]a18!W$48</f>
        <v>0</v>
      </c>
      <c r="F11" s="437">
        <f>[5]a18!X$48</f>
        <v>0</v>
      </c>
      <c r="G11" s="437">
        <f>[5]a18!Y$50</f>
        <v>0</v>
      </c>
      <c r="H11" s="437">
        <f>'[5]3'!$S$49</f>
        <v>4.3306479260627473E-2</v>
      </c>
    </row>
    <row r="12" spans="1:9" ht="16.5" customHeight="1">
      <c r="A12" s="409" t="s">
        <v>375</v>
      </c>
      <c r="B12" s="562">
        <f>[5]a17!N$47</f>
        <v>0.53074615182733265</v>
      </c>
      <c r="C12" s="36">
        <f>[5]a17!O$44</f>
        <v>0.22670250896057303</v>
      </c>
      <c r="D12" s="437">
        <f>[5]a18!Z$48</f>
        <v>0</v>
      </c>
      <c r="E12" s="437">
        <f>[5]a18!AA$48</f>
        <v>0</v>
      </c>
      <c r="F12" s="437">
        <f>[5]a18!AB$48</f>
        <v>0</v>
      </c>
      <c r="G12" s="437">
        <f>[5]a18!AC$50</f>
        <v>0</v>
      </c>
      <c r="H12" s="437">
        <f>'[5]3'!$V$49</f>
        <v>-0.14369608187929506</v>
      </c>
    </row>
    <row r="13" spans="1:9" ht="16.5" customHeight="1">
      <c r="A13" s="409" t="s">
        <v>376</v>
      </c>
      <c r="B13" s="562">
        <f>[5]a17!P$47</f>
        <v>0.20379029459767217</v>
      </c>
      <c r="C13" s="36">
        <f>[5]a17!Q$44</f>
        <v>0.34318996415770586</v>
      </c>
      <c r="D13" s="437">
        <f>[5]a18!AD$48</f>
        <v>0</v>
      </c>
      <c r="E13" s="437">
        <f>[5]a18!AE$48</f>
        <v>0</v>
      </c>
      <c r="F13" s="437">
        <f>[5]a18!AF$48</f>
        <v>0</v>
      </c>
      <c r="G13" s="437">
        <f>[5]a18!AG$50</f>
        <v>0</v>
      </c>
      <c r="H13" s="437">
        <f>'[5]3'!$Y$49</f>
        <v>7.814651228914099E-2</v>
      </c>
    </row>
    <row r="14" spans="1:9" ht="16.5" customHeight="1">
      <c r="A14" s="409" t="s">
        <v>377</v>
      </c>
      <c r="B14" s="562">
        <f>[5]a17!R$47</f>
        <v>8.4514946978431205E-2</v>
      </c>
      <c r="C14" s="36">
        <f>[5]a17!S$44</f>
        <v>0.28942652329749069</v>
      </c>
      <c r="D14" s="437">
        <f>[5]a18!AH$48</f>
        <v>0</v>
      </c>
      <c r="E14" s="437">
        <f>[5]a18!AI$48</f>
        <v>0</v>
      </c>
      <c r="F14" s="437">
        <f>[5]a18!AJ$48</f>
        <v>0</v>
      </c>
      <c r="G14" s="437">
        <f>[5]a18!AK$50</f>
        <v>0</v>
      </c>
      <c r="H14" s="437">
        <f>'[5]3'!$AB$49</f>
        <v>7.5492994837090155E-2</v>
      </c>
    </row>
    <row r="15" spans="1:9" ht="16.5" customHeight="1">
      <c r="A15" s="409" t="s">
        <v>378</v>
      </c>
      <c r="B15" s="562">
        <f>[5]a17!T$47</f>
        <v>0.46504992424383218</v>
      </c>
      <c r="C15" s="36">
        <f>[5]a17!U$44</f>
        <v>0.20878136200716799</v>
      </c>
      <c r="D15" s="437">
        <f>[5]a18!AL$48</f>
        <v>0</v>
      </c>
      <c r="E15" s="437">
        <f>[5]a18!AM$48</f>
        <v>0</v>
      </c>
      <c r="F15" s="437">
        <f>[5]a18!AN$48</f>
        <v>0</v>
      </c>
      <c r="G15" s="437">
        <f>[5]a18!AO$50</f>
        <v>0</v>
      </c>
      <c r="H15" s="437">
        <f>'[5]3'!$AE$49</f>
        <v>1.4877001573380122E-3</v>
      </c>
    </row>
    <row r="16" spans="1:9" ht="16.5" customHeight="1">
      <c r="A16" s="423" t="s">
        <v>379</v>
      </c>
      <c r="B16" s="563">
        <f>[5]a17!V$47</f>
        <v>0.44622303094663529</v>
      </c>
      <c r="C16" s="564">
        <f>[5]a17!W$44</f>
        <v>0.14605734767025033</v>
      </c>
      <c r="D16" s="440">
        <f>[5]a18!AP$48</f>
        <v>0</v>
      </c>
      <c r="E16" s="440">
        <f>[5]a18!AQ$48</f>
        <v>0</v>
      </c>
      <c r="F16" s="440">
        <f>[5]a18!AR$48</f>
        <v>0</v>
      </c>
      <c r="G16" s="440">
        <f>[5]a18!AS$50</f>
        <v>0</v>
      </c>
      <c r="H16" s="440">
        <f>'[5]3'!$AH$49</f>
        <v>-0.13658094183467745</v>
      </c>
      <c r="I16" s="422"/>
    </row>
    <row r="18" spans="1:8">
      <c r="A18" s="408" t="s">
        <v>1327</v>
      </c>
    </row>
    <row r="19" spans="1:8">
      <c r="A19" s="408" t="s">
        <v>1368</v>
      </c>
    </row>
    <row r="20" spans="1:8">
      <c r="A20" s="476" t="s">
        <v>1329</v>
      </c>
    </row>
    <row r="21" spans="1:8">
      <c r="A21" s="408" t="s">
        <v>1369</v>
      </c>
    </row>
    <row r="24" spans="1:8" ht="35.25" hidden="1" customHeight="1">
      <c r="A24" s="666" t="s">
        <v>1370</v>
      </c>
      <c r="B24" s="666"/>
      <c r="C24" s="666"/>
      <c r="D24" s="666"/>
      <c r="E24" s="666"/>
      <c r="F24" s="666"/>
      <c r="G24" s="666"/>
      <c r="H24" s="666"/>
    </row>
    <row r="25" spans="1:8" s="414" customFormat="1" ht="38.25" hidden="1">
      <c r="A25" s="410"/>
      <c r="B25" s="477" t="s">
        <v>1231</v>
      </c>
      <c r="C25" s="412" t="s">
        <v>620</v>
      </c>
      <c r="D25" s="412" t="s">
        <v>1232</v>
      </c>
      <c r="E25" s="412" t="s">
        <v>1233</v>
      </c>
      <c r="F25" s="412" t="s">
        <v>1278</v>
      </c>
      <c r="G25" s="412" t="s">
        <v>621</v>
      </c>
      <c r="H25" s="413" t="s">
        <v>628</v>
      </c>
    </row>
    <row r="26" spans="1:8" s="414" customFormat="1" hidden="1">
      <c r="A26" s="415"/>
      <c r="B26" s="500"/>
      <c r="C26" s="417"/>
      <c r="D26" s="417"/>
      <c r="E26" s="417"/>
      <c r="F26" s="417"/>
      <c r="G26" s="417"/>
      <c r="H26" s="417"/>
    </row>
    <row r="27" spans="1:8" hidden="1">
      <c r="A27" s="423" t="s">
        <v>321</v>
      </c>
      <c r="B27" s="507">
        <f t="shared" ref="B27:H37" si="0">B6/B$15*100</f>
        <v>93.593324340495627</v>
      </c>
      <c r="C27" s="491">
        <f t="shared" si="0"/>
        <v>104.29184549356225</v>
      </c>
      <c r="D27" s="491" t="e">
        <f t="shared" si="0"/>
        <v>#VALUE!</v>
      </c>
      <c r="E27" s="491" t="e">
        <f t="shared" si="0"/>
        <v>#DIV/0!</v>
      </c>
      <c r="F27" s="491" t="e">
        <f t="shared" si="0"/>
        <v>#DIV/0!</v>
      </c>
      <c r="G27" s="491" t="e">
        <f t="shared" si="0"/>
        <v>#DIV/0!</v>
      </c>
      <c r="H27" s="491">
        <f t="shared" si="0"/>
        <v>-2678.1594203312779</v>
      </c>
    </row>
    <row r="28" spans="1:8" hidden="1">
      <c r="A28" s="409" t="s">
        <v>370</v>
      </c>
      <c r="B28" s="492">
        <f t="shared" si="0"/>
        <v>95.086401445290235</v>
      </c>
      <c r="C28" s="493">
        <f t="shared" si="0"/>
        <v>203.00429184549395</v>
      </c>
      <c r="D28" s="493" t="e">
        <f t="shared" si="0"/>
        <v>#DIV/0!</v>
      </c>
      <c r="E28" s="493" t="e">
        <f t="shared" si="0"/>
        <v>#DIV/0!</v>
      </c>
      <c r="F28" s="493" t="e">
        <f t="shared" si="0"/>
        <v>#DIV/0!</v>
      </c>
      <c r="G28" s="493" t="e">
        <f t="shared" si="0"/>
        <v>#DIV/0!</v>
      </c>
      <c r="H28" s="508">
        <f t="shared" si="0"/>
        <v>12896.836549197476</v>
      </c>
    </row>
    <row r="29" spans="1:8" hidden="1">
      <c r="A29" s="409" t="s">
        <v>371</v>
      </c>
      <c r="B29" s="492">
        <f t="shared" si="0"/>
        <v>-22.98244233965875</v>
      </c>
      <c r="C29" s="493">
        <f t="shared" si="0"/>
        <v>378.96995708154589</v>
      </c>
      <c r="D29" s="493" t="e">
        <f t="shared" si="0"/>
        <v>#DIV/0!</v>
      </c>
      <c r="E29" s="493" t="e">
        <f t="shared" si="0"/>
        <v>#DIV/0!</v>
      </c>
      <c r="F29" s="493" t="e">
        <f t="shared" si="0"/>
        <v>#DIV/0!</v>
      </c>
      <c r="G29" s="493" t="e">
        <f t="shared" si="0"/>
        <v>#DIV/0!</v>
      </c>
      <c r="H29" s="508">
        <f t="shared" si="0"/>
        <v>19467.095719270066</v>
      </c>
    </row>
    <row r="30" spans="1:8" hidden="1">
      <c r="A30" s="409" t="s">
        <v>372</v>
      </c>
      <c r="B30" s="492">
        <f t="shared" si="0"/>
        <v>64.670086835907099</v>
      </c>
      <c r="C30" s="493">
        <f t="shared" si="0"/>
        <v>194.42060085836948</v>
      </c>
      <c r="D30" s="493" t="e">
        <f t="shared" si="0"/>
        <v>#DIV/0!</v>
      </c>
      <c r="E30" s="493" t="e">
        <f t="shared" si="0"/>
        <v>#DIV/0!</v>
      </c>
      <c r="F30" s="493" t="e">
        <f t="shared" si="0"/>
        <v>#DIV/0!</v>
      </c>
      <c r="G30" s="493" t="e">
        <f t="shared" si="0"/>
        <v>#DIV/0!</v>
      </c>
      <c r="H30" s="508">
        <f t="shared" si="0"/>
        <v>8034.3489624587337</v>
      </c>
    </row>
    <row r="31" spans="1:8" hidden="1">
      <c r="A31" s="409" t="s">
        <v>373</v>
      </c>
      <c r="B31" s="492">
        <f t="shared" si="0"/>
        <v>29.97322906738879</v>
      </c>
      <c r="C31" s="493">
        <f t="shared" si="0"/>
        <v>220.17167381974298</v>
      </c>
      <c r="D31" s="493" t="e">
        <f t="shared" si="0"/>
        <v>#DIV/0!</v>
      </c>
      <c r="E31" s="493" t="e">
        <f t="shared" si="0"/>
        <v>#DIV/0!</v>
      </c>
      <c r="F31" s="493" t="e">
        <f t="shared" si="0"/>
        <v>#DIV/0!</v>
      </c>
      <c r="G31" s="493" t="e">
        <f t="shared" si="0"/>
        <v>#DIV/0!</v>
      </c>
      <c r="H31" s="508">
        <f t="shared" si="0"/>
        <v>5786.0745688974084</v>
      </c>
    </row>
    <row r="32" spans="1:8" hidden="1">
      <c r="A32" s="409" t="s">
        <v>374</v>
      </c>
      <c r="B32" s="492">
        <f t="shared" si="0"/>
        <v>66.181120897884185</v>
      </c>
      <c r="C32" s="493">
        <f t="shared" si="0"/>
        <v>177.25321888412046</v>
      </c>
      <c r="D32" s="493" t="e">
        <f t="shared" si="0"/>
        <v>#DIV/0!</v>
      </c>
      <c r="E32" s="493" t="e">
        <f t="shared" si="0"/>
        <v>#DIV/0!</v>
      </c>
      <c r="F32" s="493" t="e">
        <f t="shared" si="0"/>
        <v>#DIV/0!</v>
      </c>
      <c r="G32" s="493" t="e">
        <f t="shared" si="0"/>
        <v>#DIV/0!</v>
      </c>
      <c r="H32" s="508">
        <f t="shared" si="0"/>
        <v>2910.9682517018146</v>
      </c>
    </row>
    <row r="33" spans="1:9" hidden="1">
      <c r="A33" s="409" t="s">
        <v>375</v>
      </c>
      <c r="B33" s="492">
        <f t="shared" si="0"/>
        <v>114.12670428671117</v>
      </c>
      <c r="C33" s="493">
        <f t="shared" si="0"/>
        <v>108.5836909871245</v>
      </c>
      <c r="D33" s="493" t="e">
        <f t="shared" si="0"/>
        <v>#DIV/0!</v>
      </c>
      <c r="E33" s="493" t="e">
        <f t="shared" si="0"/>
        <v>#DIV/0!</v>
      </c>
      <c r="F33" s="493" t="e">
        <f t="shared" si="0"/>
        <v>#DIV/0!</v>
      </c>
      <c r="G33" s="493" t="e">
        <f t="shared" si="0"/>
        <v>#DIV/0!</v>
      </c>
      <c r="H33" s="508">
        <f t="shared" si="0"/>
        <v>-9658.9410957927776</v>
      </c>
    </row>
    <row r="34" spans="1:9" hidden="1">
      <c r="A34" s="409" t="s">
        <v>376</v>
      </c>
      <c r="B34" s="492">
        <f t="shared" si="0"/>
        <v>43.821164991916447</v>
      </c>
      <c r="C34" s="493">
        <f t="shared" si="0"/>
        <v>164.37768240343374</v>
      </c>
      <c r="D34" s="493" t="e">
        <f t="shared" si="0"/>
        <v>#DIV/0!</v>
      </c>
      <c r="E34" s="493" t="e">
        <f t="shared" si="0"/>
        <v>#DIV/0!</v>
      </c>
      <c r="F34" s="493" t="e">
        <f t="shared" si="0"/>
        <v>#DIV/0!</v>
      </c>
      <c r="G34" s="493" t="e">
        <f t="shared" si="0"/>
        <v>#DIV/0!</v>
      </c>
      <c r="H34" s="508">
        <f t="shared" si="0"/>
        <v>5252.8402248051752</v>
      </c>
    </row>
    <row r="35" spans="1:9" hidden="1">
      <c r="A35" s="409" t="s">
        <v>377</v>
      </c>
      <c r="B35" s="492">
        <f t="shared" si="0"/>
        <v>18.173306256495341</v>
      </c>
      <c r="C35" s="493">
        <f t="shared" si="0"/>
        <v>138.62660944206021</v>
      </c>
      <c r="D35" s="493" t="e">
        <f t="shared" si="0"/>
        <v>#DIV/0!</v>
      </c>
      <c r="E35" s="493" t="e">
        <f t="shared" si="0"/>
        <v>#DIV/0!</v>
      </c>
      <c r="F35" s="493" t="e">
        <f t="shared" si="0"/>
        <v>#DIV/0!</v>
      </c>
      <c r="G35" s="493" t="e">
        <f t="shared" si="0"/>
        <v>#DIV/0!</v>
      </c>
      <c r="H35" s="508">
        <f t="shared" si="0"/>
        <v>5074.4764974799828</v>
      </c>
    </row>
    <row r="36" spans="1:9" hidden="1">
      <c r="A36" s="409" t="s">
        <v>378</v>
      </c>
      <c r="B36" s="492">
        <f t="shared" si="0"/>
        <v>100</v>
      </c>
      <c r="C36" s="493">
        <f t="shared" si="0"/>
        <v>100</v>
      </c>
      <c r="D36" s="493" t="e">
        <f t="shared" si="0"/>
        <v>#DIV/0!</v>
      </c>
      <c r="E36" s="493" t="e">
        <f t="shared" si="0"/>
        <v>#DIV/0!</v>
      </c>
      <c r="F36" s="493" t="e">
        <f t="shared" si="0"/>
        <v>#DIV/0!</v>
      </c>
      <c r="G36" s="493" t="e">
        <f t="shared" si="0"/>
        <v>#DIV/0!</v>
      </c>
      <c r="H36" s="508">
        <f t="shared" si="0"/>
        <v>100</v>
      </c>
    </row>
    <row r="37" spans="1:9" hidden="1">
      <c r="A37" s="423" t="s">
        <v>379</v>
      </c>
      <c r="B37" s="490">
        <f t="shared" si="0"/>
        <v>95.951640390478659</v>
      </c>
      <c r="C37" s="491">
        <f t="shared" si="0"/>
        <v>69.95708154506427</v>
      </c>
      <c r="D37" s="491" t="e">
        <f t="shared" si="0"/>
        <v>#DIV/0!</v>
      </c>
      <c r="E37" s="491" t="e">
        <f t="shared" si="0"/>
        <v>#DIV/0!</v>
      </c>
      <c r="F37" s="491" t="e">
        <f t="shared" si="0"/>
        <v>#DIV/0!</v>
      </c>
      <c r="G37" s="491" t="e">
        <f t="shared" si="0"/>
        <v>#DIV/0!</v>
      </c>
      <c r="H37" s="491">
        <f t="shared" si="0"/>
        <v>-9180.6767083406066</v>
      </c>
      <c r="I37" s="422"/>
    </row>
    <row r="38" spans="1:9" hidden="1">
      <c r="A38" s="409" t="s">
        <v>1371</v>
      </c>
    </row>
    <row r="39" spans="1:9" hidden="1"/>
  </sheetData>
  <mergeCells count="2">
    <mergeCell ref="A1:H1"/>
    <mergeCell ref="A24:H24"/>
  </mergeCells>
  <pageMargins left="0.75" right="0.75" top="1" bottom="1" header="0.5" footer="0.5"/>
  <pageSetup orientation="landscape" horizontalDpi="1200" verticalDpi="1200" r:id="rId1"/>
  <headerFooter alignWithMargins="0"/>
</worksheet>
</file>

<file path=xl/worksheets/sheet141.xml><?xml version="1.0" encoding="utf-8"?>
<worksheet xmlns="http://schemas.openxmlformats.org/spreadsheetml/2006/main" xmlns:r="http://schemas.openxmlformats.org/officeDocument/2006/relationships">
  <dimension ref="A1:T39"/>
  <sheetViews>
    <sheetView view="pageBreakPreview" zoomScaleSheetLayoutView="100" workbookViewId="0">
      <selection activeCell="I24" sqref="I24"/>
    </sheetView>
  </sheetViews>
  <sheetFormatPr defaultRowHeight="12.75"/>
  <cols>
    <col min="1" max="1" width="15.25" style="409" customWidth="1"/>
    <col min="2" max="2" width="9.875" style="409" customWidth="1"/>
    <col min="3" max="3" width="9.875" style="409" hidden="1" customWidth="1"/>
    <col min="4" max="4" width="8.375" style="409" customWidth="1"/>
    <col min="5" max="5" width="8" style="409" customWidth="1"/>
    <col min="6" max="7" width="8" style="409" hidden="1" customWidth="1"/>
    <col min="8" max="8" width="7.625" style="409" customWidth="1"/>
    <col min="9" max="9" width="9.125" style="409" customWidth="1"/>
    <col min="10" max="10" width="6.625" style="409" customWidth="1"/>
    <col min="11" max="11" width="6.5" style="409" customWidth="1"/>
    <col min="12" max="15" width="6.625" style="409" customWidth="1"/>
    <col min="16" max="16" width="7.25" style="409" bestFit="1" customWidth="1"/>
    <col min="17" max="20" width="7.125" style="409" bestFit="1" customWidth="1"/>
    <col min="21" max="16384" width="9" style="409"/>
  </cols>
  <sheetData>
    <row r="1" spans="1:20">
      <c r="A1" s="408" t="s">
        <v>1372</v>
      </c>
    </row>
    <row r="2" spans="1:20">
      <c r="A2" s="409" t="s">
        <v>1282</v>
      </c>
    </row>
    <row r="3" spans="1:20" s="414" customFormat="1" ht="127.5">
      <c r="A3" s="410"/>
      <c r="B3" s="511" t="s">
        <v>1333</v>
      </c>
      <c r="C3" s="494" t="s">
        <v>521</v>
      </c>
      <c r="D3" s="512" t="s">
        <v>441</v>
      </c>
      <c r="E3" s="512" t="s">
        <v>442</v>
      </c>
      <c r="F3" s="494" t="s">
        <v>522</v>
      </c>
      <c r="G3" s="494" t="s">
        <v>524</v>
      </c>
      <c r="H3" s="513" t="s">
        <v>1334</v>
      </c>
      <c r="I3" s="511" t="s">
        <v>1335</v>
      </c>
      <c r="J3" s="513" t="s">
        <v>1336</v>
      </c>
      <c r="K3" s="511" t="s">
        <v>382</v>
      </c>
      <c r="L3" s="512" t="s">
        <v>1337</v>
      </c>
      <c r="M3" s="512" t="s">
        <v>1338</v>
      </c>
      <c r="N3" s="512" t="s">
        <v>383</v>
      </c>
      <c r="O3" s="513" t="s">
        <v>1339</v>
      </c>
      <c r="P3" s="511" t="s">
        <v>1340</v>
      </c>
      <c r="Q3" s="512" t="s">
        <v>1341</v>
      </c>
      <c r="R3" s="512" t="s">
        <v>1342</v>
      </c>
      <c r="S3" s="512" t="s">
        <v>1343</v>
      </c>
      <c r="T3" s="511" t="s">
        <v>1280</v>
      </c>
    </row>
    <row r="4" spans="1:20" s="540" customFormat="1" ht="76.5">
      <c r="A4" s="565"/>
      <c r="B4" s="538" t="s">
        <v>1283</v>
      </c>
      <c r="C4" s="539"/>
      <c r="D4" s="539" t="s">
        <v>1283</v>
      </c>
      <c r="E4" s="539" t="s">
        <v>1283</v>
      </c>
      <c r="F4" s="539"/>
      <c r="G4" s="539"/>
      <c r="H4" s="566" t="s">
        <v>1284</v>
      </c>
      <c r="I4" s="538" t="s">
        <v>1283</v>
      </c>
      <c r="J4" s="539" t="s">
        <v>1284</v>
      </c>
      <c r="K4" s="538" t="s">
        <v>1283</v>
      </c>
      <c r="L4" s="539" t="s">
        <v>1283</v>
      </c>
      <c r="M4" s="539" t="s">
        <v>1283</v>
      </c>
      <c r="N4" s="539" t="s">
        <v>1283</v>
      </c>
      <c r="O4" s="566" t="s">
        <v>1284</v>
      </c>
      <c r="P4" s="538" t="s">
        <v>1283</v>
      </c>
      <c r="Q4" s="539" t="s">
        <v>1283</v>
      </c>
      <c r="R4" s="539" t="s">
        <v>1283</v>
      </c>
      <c r="S4" s="566" t="s">
        <v>1284</v>
      </c>
      <c r="T4" s="539" t="s">
        <v>1284</v>
      </c>
    </row>
    <row r="5" spans="1:20" s="414" customFormat="1" ht="25.5">
      <c r="A5" s="432"/>
      <c r="B5" s="454" t="s">
        <v>105</v>
      </c>
      <c r="C5" s="449"/>
      <c r="D5" s="449" t="s">
        <v>106</v>
      </c>
      <c r="E5" s="449" t="s">
        <v>107</v>
      </c>
      <c r="F5" s="449"/>
      <c r="G5" s="449"/>
      <c r="H5" s="455" t="s">
        <v>108</v>
      </c>
      <c r="I5" s="454" t="s">
        <v>109</v>
      </c>
      <c r="J5" s="457" t="s">
        <v>110</v>
      </c>
      <c r="K5" s="454" t="s">
        <v>111</v>
      </c>
      <c r="L5" s="449" t="s">
        <v>112</v>
      </c>
      <c r="M5" s="449" t="s">
        <v>138</v>
      </c>
      <c r="N5" s="449" t="s">
        <v>113</v>
      </c>
      <c r="O5" s="457" t="s">
        <v>114</v>
      </c>
      <c r="P5" s="454" t="s">
        <v>115</v>
      </c>
      <c r="Q5" s="449" t="s">
        <v>116</v>
      </c>
      <c r="R5" s="449" t="s">
        <v>1345</v>
      </c>
      <c r="S5" s="449" t="s">
        <v>170</v>
      </c>
      <c r="T5" s="454" t="s">
        <v>347</v>
      </c>
    </row>
    <row r="6" spans="1:20">
      <c r="A6" s="423" t="s">
        <v>321</v>
      </c>
      <c r="B6" s="541">
        <f>'[5]4'!B$49</f>
        <v>-0.81098796016809693</v>
      </c>
      <c r="C6" s="503">
        <f>'[5]4'!C$50</f>
        <v>0</v>
      </c>
      <c r="D6" s="503">
        <f>'[5]4'!D$49</f>
        <v>-1.5805399023100075</v>
      </c>
      <c r="E6" s="503">
        <f>'[5]4'!E$49</f>
        <v>0.19861635698266156</v>
      </c>
      <c r="F6" s="503">
        <f>'[5]4'!F$48</f>
        <v>0</v>
      </c>
      <c r="G6" s="503">
        <f>'[5]4'!G$50</f>
        <v>0</v>
      </c>
      <c r="H6" s="567">
        <f>'[5]4'!H$51</f>
        <v>3.8120685056413195E-2</v>
      </c>
      <c r="I6" s="541">
        <f>'[5]5'!B$47</f>
        <v>2.4901010494415843</v>
      </c>
      <c r="J6" s="567">
        <f>'[5]5'!C$49</f>
        <v>-0.47920396908894786</v>
      </c>
      <c r="K6" s="568">
        <f>'[5]6'!B$49</f>
        <v>-0.82962595287231489</v>
      </c>
      <c r="L6" s="569">
        <f>'[5]6'!C$49</f>
        <v>-2.2267685614974386</v>
      </c>
      <c r="M6" s="569">
        <f>'[5]6'!D$49</f>
        <v>-0.16933306818894822</v>
      </c>
      <c r="N6" s="569">
        <f>'[5]6'!E$49</f>
        <v>-3.2021095283918277</v>
      </c>
      <c r="O6" s="570">
        <f>'[5]6'!F$51</f>
        <v>0.34231128871739747</v>
      </c>
      <c r="P6" s="568">
        <f>'[5]7'!B$49</f>
        <v>-3.5022781028557048</v>
      </c>
      <c r="Q6" s="569">
        <f>'[5]7'!C$49</f>
        <v>-1.5488395212997053</v>
      </c>
      <c r="R6" s="569">
        <f>'[5]7'!D$49</f>
        <v>-4.9968729567525632</v>
      </c>
      <c r="S6" s="570">
        <f>'[5]7'!E$51</f>
        <v>0.25358605505045351</v>
      </c>
      <c r="T6" s="568">
        <f>'[5]8'!$F$48</f>
        <v>-0.10413640874020624</v>
      </c>
    </row>
    <row r="7" spans="1:20">
      <c r="A7" s="409" t="s">
        <v>370</v>
      </c>
      <c r="B7" s="474">
        <f>'[5]4'!I$49</f>
        <v>-8.3198170565745855E-2</v>
      </c>
      <c r="C7" s="437">
        <f>'[5]4'!J$50</f>
        <v>0</v>
      </c>
      <c r="D7" s="437">
        <f>'[5]4'!K$49</f>
        <v>-0.7730257425145215</v>
      </c>
      <c r="E7" s="437">
        <f>'[5]4'!L$49</f>
        <v>0.6835911741100098</v>
      </c>
      <c r="F7" s="437">
        <f>'[5]4'!M$48</f>
        <v>0</v>
      </c>
      <c r="G7" s="437">
        <f>'[5]4'!N$50</f>
        <v>0</v>
      </c>
      <c r="H7" s="478">
        <f>'[5]4'!O$51</f>
        <v>8.8226118737032566E-3</v>
      </c>
      <c r="I7" s="474">
        <f>'[5]5'!D$47</f>
        <v>-0.1953417956451764</v>
      </c>
      <c r="J7" s="478">
        <f>'[5]5'!E$49</f>
        <v>5.2997883727716077E-2</v>
      </c>
      <c r="K7" s="479">
        <f>'[5]6'!G$49</f>
        <v>0.54454854687158161</v>
      </c>
      <c r="L7" s="480">
        <f>'[5]6'!H$49</f>
        <v>-0.24604958384178977</v>
      </c>
      <c r="M7" s="480">
        <f>'[5]6'!I$49</f>
        <v>-1.5976140998738342</v>
      </c>
      <c r="N7" s="480">
        <f>'[5]6'!J$49</f>
        <v>-1.3052024520155525</v>
      </c>
      <c r="O7" s="481">
        <f>'[5]6'!K$51</f>
        <v>8.4171935597629699E-2</v>
      </c>
      <c r="P7" s="479">
        <f>'[5]7'!F$49</f>
        <v>-3.6079150663166915</v>
      </c>
      <c r="Q7" s="480">
        <f>'[5]7'!G$49</f>
        <v>0.29643824465122037</v>
      </c>
      <c r="R7" s="480">
        <f>'[5]7'!H$49</f>
        <v>-3.3221720617565786</v>
      </c>
      <c r="S7" s="481">
        <f>'[5]7'!I$51</f>
        <v>0.19262930704365855</v>
      </c>
      <c r="T7" s="479">
        <f>'[5]8'!$K$48</f>
        <v>5.8592890566560862E-2</v>
      </c>
    </row>
    <row r="8" spans="1:20">
      <c r="A8" s="409" t="s">
        <v>371</v>
      </c>
      <c r="B8" s="474">
        <f>'[5]4'!P$49</f>
        <v>-0.16747660703370082</v>
      </c>
      <c r="C8" s="437">
        <f>'[5]4'!Q$50</f>
        <v>0</v>
      </c>
      <c r="D8" s="437">
        <f>'[5]4'!R$49</f>
        <v>-0.89879712229139486</v>
      </c>
      <c r="E8" s="437">
        <f>'[5]4'!S$49</f>
        <v>0.53313354513080391</v>
      </c>
      <c r="F8" s="437">
        <f>'[5]4'!T$48</f>
        <v>0</v>
      </c>
      <c r="G8" s="437">
        <f>'[5]4'!U$50</f>
        <v>0</v>
      </c>
      <c r="H8" s="478">
        <f>'[5]4'!V$51</f>
        <v>7.1065064419953972E-3</v>
      </c>
      <c r="I8" s="474">
        <f>'[5]5'!F$47</f>
        <v>0.40850427845007253</v>
      </c>
      <c r="J8" s="478">
        <f>'[5]5'!G$49</f>
        <v>-0.11853351983360902</v>
      </c>
      <c r="K8" s="479">
        <f>'[5]6'!L$49</f>
        <v>0.77419755278185232</v>
      </c>
      <c r="L8" s="480">
        <f>'[5]6'!M$49</f>
        <v>-5.9402307389566644E-2</v>
      </c>
      <c r="M8" s="480">
        <f>'[5]6'!N$49</f>
        <v>-2.277499072646183</v>
      </c>
      <c r="N8" s="480">
        <f>'[5]6'!O$49</f>
        <v>-1.5794326995310914</v>
      </c>
      <c r="O8" s="481">
        <f>'[5]6'!P$51</f>
        <v>0.11816897348326905</v>
      </c>
      <c r="P8" s="479">
        <f>'[5]7'!J$49</f>
        <v>-2.3315051503975281</v>
      </c>
      <c r="Q8" s="480">
        <f>'[5]7'!K$49</f>
        <v>-2.340370202050579</v>
      </c>
      <c r="R8" s="480">
        <f>'[5]7'!L$49</f>
        <v>-4.6173095006489362</v>
      </c>
      <c r="S8" s="481">
        <f>'[5]7'!M$51</f>
        <v>0.36172980400714067</v>
      </c>
      <c r="T8" s="479">
        <f>'[5]8'!$P$48</f>
        <v>4.9354930078392978E-3</v>
      </c>
    </row>
    <row r="9" spans="1:20">
      <c r="A9" s="409" t="s">
        <v>372</v>
      </c>
      <c r="B9" s="474">
        <f>'[5]4'!W$49</f>
        <v>-0.96334743576902415</v>
      </c>
      <c r="C9" s="437">
        <f>'[5]4'!X$50</f>
        <v>0</v>
      </c>
      <c r="D9" s="437">
        <f>'[5]4'!Y$49</f>
        <v>-0.77256068909530295</v>
      </c>
      <c r="E9" s="437">
        <f>'[5]4'!Z$49</f>
        <v>0.66251019167540282</v>
      </c>
      <c r="F9" s="437">
        <f>'[5]4'!AA$48</f>
        <v>0</v>
      </c>
      <c r="G9" s="437">
        <f>'[5]4'!AB$50</f>
        <v>0</v>
      </c>
      <c r="H9" s="478">
        <f>'[5]4'!AC$51</f>
        <v>8.8543287590201358E-2</v>
      </c>
      <c r="I9" s="474">
        <f>'[5]5'!H$47</f>
        <v>3.2045181244846122</v>
      </c>
      <c r="J9" s="478">
        <f>'[5]5'!I$49</f>
        <v>-0.62279850124800362</v>
      </c>
      <c r="K9" s="479">
        <f>'[5]6'!Q$49</f>
        <v>-1.1847251292769645</v>
      </c>
      <c r="L9" s="480">
        <f>'[5]6'!R$49</f>
        <v>-2.1641546163817305</v>
      </c>
      <c r="M9" s="480">
        <f>'[5]6'!S$49</f>
        <v>-2.7912780573372653</v>
      </c>
      <c r="N9" s="480">
        <f>'[5]6'!T$49</f>
        <v>-6.0217576376086264</v>
      </c>
      <c r="O9" s="481">
        <f>'[5]6'!U$51</f>
        <v>0.40868628207361846</v>
      </c>
      <c r="P9" s="479">
        <f>'[5]7'!N$49</f>
        <v>-0.75213839413161843</v>
      </c>
      <c r="Q9" s="480">
        <f>'[5]7'!O$49</f>
        <v>-1.3981587580052079</v>
      </c>
      <c r="R9" s="480">
        <f>'[5]7'!P$49</f>
        <v>-2.1397810633069558</v>
      </c>
      <c r="S9" s="481">
        <f>'[5]7'!Q$51</f>
        <v>9.7072924420862905E-2</v>
      </c>
      <c r="T9" s="479">
        <f>'[5]8'!$U$48</f>
        <v>-0.15928263316132407</v>
      </c>
    </row>
    <row r="10" spans="1:20">
      <c r="A10" s="409" t="s">
        <v>373</v>
      </c>
      <c r="B10" s="474">
        <f>'[5]4'!AD$49</f>
        <v>-1.1021879227271048</v>
      </c>
      <c r="C10" s="437">
        <f>'[5]4'!AE$50</f>
        <v>0</v>
      </c>
      <c r="D10" s="437">
        <f>'[5]4'!AF$49</f>
        <v>-1.1320022274917019</v>
      </c>
      <c r="E10" s="437">
        <f>'[5]4'!AG$49</f>
        <v>0.53858175267640362</v>
      </c>
      <c r="F10" s="437">
        <f>'[5]4'!AH$48</f>
        <v>0</v>
      </c>
      <c r="G10" s="437">
        <f>'[5]4'!AI$50</f>
        <v>0</v>
      </c>
      <c r="H10" s="478">
        <f>'[5]4'!AJ$51</f>
        <v>0.1011345365798022</v>
      </c>
      <c r="I10" s="474">
        <f>'[5]5'!J$47</f>
        <v>2.5535016105044717</v>
      </c>
      <c r="J10" s="478">
        <f>'[5]5'!K$49</f>
        <v>-0.6289707564962671</v>
      </c>
      <c r="K10" s="479">
        <f>'[5]6'!V$49</f>
        <v>-0.66640241218848262</v>
      </c>
      <c r="L10" s="480">
        <f>'[5]6'!W$49</f>
        <v>-1.7225836228075497</v>
      </c>
      <c r="M10" s="480">
        <f>'[5]6'!X$49</f>
        <v>-0.52018230901659246</v>
      </c>
      <c r="N10" s="480">
        <f>'[5]6'!Y$49</f>
        <v>-2.8853216359690514</v>
      </c>
      <c r="O10" s="481">
        <f>'[5]6'!Z$51</f>
        <v>0.29121561925194578</v>
      </c>
      <c r="P10" s="479">
        <f>'[5]7'!R$49</f>
        <v>-1.4549735858297108</v>
      </c>
      <c r="Q10" s="480">
        <f>'[5]7'!S$49</f>
        <v>-6.0340675274184292</v>
      </c>
      <c r="R10" s="480">
        <f>'[5]7'!T$49</f>
        <v>-7.4012470245730766</v>
      </c>
      <c r="S10" s="481">
        <f>'[5]7'!U$51</f>
        <v>0.75044825703820328</v>
      </c>
      <c r="T10" s="479">
        <f>'[5]8'!$Z$48</f>
        <v>-0.10692900907815955</v>
      </c>
    </row>
    <row r="11" spans="1:20">
      <c r="A11" s="409" t="s">
        <v>374</v>
      </c>
      <c r="B11" s="474">
        <f>'[5]4'!AK$49</f>
        <v>-1.387667921734892</v>
      </c>
      <c r="C11" s="437">
        <f>'[5]4'!AL$50</f>
        <v>0</v>
      </c>
      <c r="D11" s="437">
        <f>'[5]4'!AM$49</f>
        <v>-1.3145044391177363</v>
      </c>
      <c r="E11" s="437">
        <f>'[5]4'!AN$49</f>
        <v>0.77102641982349507</v>
      </c>
      <c r="F11" s="437">
        <f>'[5]4'!AO$48</f>
        <v>0</v>
      </c>
      <c r="G11" s="437">
        <f>'[5]4'!AP$50</f>
        <v>0</v>
      </c>
      <c r="H11" s="478">
        <f>'[5]4'!AQ$51</f>
        <v>0.12126602468611114</v>
      </c>
      <c r="I11" s="474">
        <f>'[5]5'!L$47</f>
        <v>2.674214285770149</v>
      </c>
      <c r="J11" s="478">
        <f>'[5]5'!M$49</f>
        <v>-0.49216094093907453</v>
      </c>
      <c r="K11" s="479">
        <f>'[5]6'!AA$49</f>
        <v>-1.5417338751951615</v>
      </c>
      <c r="L11" s="480">
        <f>'[5]6'!AB$49</f>
        <v>-1.8521135136074451</v>
      </c>
      <c r="M11" s="480">
        <f>'[5]6'!AC$49</f>
        <v>-0.98635094717961502</v>
      </c>
      <c r="N11" s="480">
        <f>'[5]6'!AD$49</f>
        <v>-4.3184500778442159</v>
      </c>
      <c r="O11" s="481">
        <f>'[5]6'!AE$51</f>
        <v>0.36382237970469888</v>
      </c>
      <c r="P11" s="479">
        <f>'[5]7'!V$49</f>
        <v>-2.8939175257331584</v>
      </c>
      <c r="Q11" s="480">
        <f>'[5]7'!W$49</f>
        <v>4.3218992974902948</v>
      </c>
      <c r="R11" s="480">
        <f>'[5]7'!X$49</f>
        <v>1.302909570542532</v>
      </c>
      <c r="S11" s="481">
        <f>'[5]7'!Y$51</f>
        <v>-0.21219284328067764</v>
      </c>
      <c r="T11" s="479">
        <f>'[5]8'!$AE$48</f>
        <v>-6.6534724947385104E-2</v>
      </c>
    </row>
    <row r="12" spans="1:20">
      <c r="A12" s="409" t="s">
        <v>375</v>
      </c>
      <c r="B12" s="474">
        <f>'[5]4'!AR$49</f>
        <v>-5.6530208730221077E-2</v>
      </c>
      <c r="C12" s="437">
        <f>'[5]4'!AS$50</f>
        <v>0</v>
      </c>
      <c r="D12" s="437">
        <f>'[5]4'!AT$49</f>
        <v>-1.9002303837401424</v>
      </c>
      <c r="E12" s="437">
        <f>'[5]4'!AU$49</f>
        <v>0.43133797817589414</v>
      </c>
      <c r="F12" s="437">
        <f>'[5]4'!AV$48</f>
        <v>0</v>
      </c>
      <c r="G12" s="437">
        <f>'[5]4'!AW$50</f>
        <v>0</v>
      </c>
      <c r="H12" s="478">
        <f>'[5]4'!AX$51</f>
        <v>-1.2112715935823415E-2</v>
      </c>
      <c r="I12" s="474">
        <f>'[5]5'!N$47</f>
        <v>2.9597432881695251</v>
      </c>
      <c r="J12" s="478">
        <f>'[5]5'!O$49</f>
        <v>-0.61221140601910551</v>
      </c>
      <c r="K12" s="479">
        <f>'[5]6'!AF$49</f>
        <v>-4.705127005962817E-2</v>
      </c>
      <c r="L12" s="480">
        <f>'[5]6'!AG$49</f>
        <v>-0.43786857958403314</v>
      </c>
      <c r="M12" s="480">
        <f>'[5]6'!AH$49</f>
        <v>-0.47359810176089701</v>
      </c>
      <c r="N12" s="480">
        <f>'[5]6'!AI$49</f>
        <v>-0.95601633319342127</v>
      </c>
      <c r="O12" s="481">
        <f>'[5]6'!AJ$51</f>
        <v>7.6191836101921484E-2</v>
      </c>
      <c r="P12" s="479">
        <f>'[5]7'!Z$49</f>
        <v>-2.488723907235868</v>
      </c>
      <c r="Q12" s="480">
        <f>'[5]7'!AA$49</f>
        <v>0.47744190402754239</v>
      </c>
      <c r="R12" s="480">
        <f>'[5]7'!AB$49</f>
        <v>-2.0231642140170369</v>
      </c>
      <c r="S12" s="481">
        <f>'[5]7'!AC$51</f>
        <v>6.3847641516347697E-2</v>
      </c>
      <c r="T12" s="479">
        <f>'[5]8'!$AJ$48</f>
        <v>-0.23807752733221865</v>
      </c>
    </row>
    <row r="13" spans="1:20">
      <c r="A13" s="409" t="s">
        <v>376</v>
      </c>
      <c r="B13" s="474">
        <f>'[5]4'!AY$49</f>
        <v>-1.3123311590249043</v>
      </c>
      <c r="C13" s="437">
        <f>'[5]4'!AZ$50</f>
        <v>0</v>
      </c>
      <c r="D13" s="437">
        <f>'[5]4'!BA$49</f>
        <v>-1.1587214461168727</v>
      </c>
      <c r="E13" s="437">
        <f>'[5]4'!BB$49</f>
        <v>0.30802856558764802</v>
      </c>
      <c r="F13" s="437">
        <f>'[5]4'!BC$48</f>
        <v>0</v>
      </c>
      <c r="G13" s="437">
        <f>'[5]4'!BD$50</f>
        <v>0</v>
      </c>
      <c r="H13" s="478">
        <f>'[5]4'!BE$51</f>
        <v>5.9489404288633585E-2</v>
      </c>
      <c r="I13" s="474">
        <f>'[5]5'!P$47</f>
        <v>1.8310524827094721</v>
      </c>
      <c r="J13" s="478">
        <f>'[5]5'!Q$49</f>
        <v>-0.36291718766177367</v>
      </c>
      <c r="K13" s="479">
        <f>'[5]6'!AK$49</f>
        <v>-0.25851540118152494</v>
      </c>
      <c r="L13" s="480">
        <f>'[5]6'!AL$49</f>
        <v>-2.1097978245766202</v>
      </c>
      <c r="M13" s="480">
        <f>'[5]6'!AM$49</f>
        <v>-0.68532641311882525</v>
      </c>
      <c r="N13" s="480">
        <f>'[5]6'!AN$49</f>
        <v>-3.031992189231536</v>
      </c>
      <c r="O13" s="481">
        <f>'[5]6'!AO$51</f>
        <v>0.26789713338010257</v>
      </c>
      <c r="P13" s="479">
        <f>'[5]7'!AD$49</f>
        <v>-2.6354317391392379</v>
      </c>
      <c r="Q13" s="480">
        <f>'[5]7'!AE$49</f>
        <v>-1.2109066074767028</v>
      </c>
      <c r="R13" s="480">
        <f>'[5]7'!AF$49</f>
        <v>-3.814425729551163</v>
      </c>
      <c r="S13" s="481">
        <f>'[5]7'!AG$51</f>
        <v>0.20899400582748617</v>
      </c>
      <c r="T13" s="479">
        <f>'[5]8'!$AO$48</f>
        <v>-8.052579721294062E-2</v>
      </c>
    </row>
    <row r="14" spans="1:20">
      <c r="A14" s="409" t="s">
        <v>377</v>
      </c>
      <c r="B14" s="474">
        <f>'[5]4'!BF$49</f>
        <v>-0.34418566319934785</v>
      </c>
      <c r="C14" s="437">
        <f>'[5]4'!BG$50</f>
        <v>0</v>
      </c>
      <c r="D14" s="437">
        <f>'[5]4'!BH$49</f>
        <v>-1.1267872294268955</v>
      </c>
      <c r="E14" s="437">
        <f>'[5]4'!BI$49</f>
        <v>0.54882829835580793</v>
      </c>
      <c r="F14" s="437">
        <f>'[5]4'!BJ$48</f>
        <v>0</v>
      </c>
      <c r="G14" s="437">
        <f>'[5]4'!BK$50</f>
        <v>0</v>
      </c>
      <c r="H14" s="478">
        <f>'[5]4'!BL$51</f>
        <v>8.3034381981147432E-3</v>
      </c>
      <c r="I14" s="474">
        <f>'[5]5'!R$47</f>
        <v>2.2978865313382446</v>
      </c>
      <c r="J14" s="478">
        <f>'[5]5'!S$49</f>
        <v>-0.33510642582710615</v>
      </c>
      <c r="K14" s="479">
        <f>'[5]6'!AP$49</f>
        <v>-0.33185952390802909</v>
      </c>
      <c r="L14" s="480">
        <f>'[5]6'!AQ$49</f>
        <v>-0.91611823628798827</v>
      </c>
      <c r="M14" s="480">
        <f>'[5]6'!AR$49</f>
        <v>-6.2510936046067389E-2</v>
      </c>
      <c r="N14" s="480">
        <f>'[5]6'!AS$49</f>
        <v>-1.3066702485186377</v>
      </c>
      <c r="O14" s="481">
        <f>'[5]6'!AT$51</f>
        <v>0.12789313577928108</v>
      </c>
      <c r="P14" s="479">
        <f>'[5]7'!AH$49</f>
        <v>-3.89589982847659</v>
      </c>
      <c r="Q14" s="480">
        <f>'[5]7'!AI$49</f>
        <v>-1.826951763031448</v>
      </c>
      <c r="R14" s="480">
        <f>'[5]7'!AJ$49</f>
        <v>-5.6516753809057523</v>
      </c>
      <c r="S14" s="481">
        <f>'[5]7'!AK$51</f>
        <v>0.52693889883132927</v>
      </c>
      <c r="T14" s="479">
        <f>'[5]8'!$AT$48</f>
        <v>-7.8330964883139398E-2</v>
      </c>
    </row>
    <row r="15" spans="1:20">
      <c r="A15" s="409" t="s">
        <v>378</v>
      </c>
      <c r="B15" s="474">
        <f>'[5]4'!BM$49</f>
        <v>-0.29601548050385285</v>
      </c>
      <c r="C15" s="437">
        <f>'[5]4'!BN$50</f>
        <v>0</v>
      </c>
      <c r="D15" s="437">
        <f>'[5]4'!BO$49</f>
        <v>-1.0914197574084961</v>
      </c>
      <c r="E15" s="437">
        <f>'[5]4'!BP$49</f>
        <v>0.27572227768049018</v>
      </c>
      <c r="F15" s="437">
        <f>'[5]4'!BQ$48</f>
        <v>0</v>
      </c>
      <c r="G15" s="437">
        <f>'[5]4'!BR$50</f>
        <v>0</v>
      </c>
      <c r="H15" s="478">
        <f>'[5]4'!BS$51</f>
        <v>5.75730714274858E-3</v>
      </c>
      <c r="I15" s="474">
        <f>'[5]5'!T$47</f>
        <v>1.8793481632455755</v>
      </c>
      <c r="J15" s="478">
        <f>'[5]5'!U$49</f>
        <v>-0.28062070793213256</v>
      </c>
      <c r="K15" s="479">
        <f>'[5]6'!AU$49</f>
        <v>-1.7468544225534344</v>
      </c>
      <c r="L15" s="480">
        <f>'[5]6'!AV$49</f>
        <v>0.7230092146561784</v>
      </c>
      <c r="M15" s="480">
        <f>'[5]6'!AW$49</f>
        <v>-0.89940187856275555</v>
      </c>
      <c r="N15" s="480">
        <f>'[5]6'!AX$49</f>
        <v>-1.9265549281445749</v>
      </c>
      <c r="O15" s="481">
        <f>'[5]6'!AY$51</f>
        <v>0.11844986711210581</v>
      </c>
      <c r="P15" s="479">
        <f>'[5]7'!AL$49</f>
        <v>-10.172412513249885</v>
      </c>
      <c r="Q15" s="480">
        <f>'[5]7'!AM$49</f>
        <v>1.3483435250150277</v>
      </c>
      <c r="R15" s="480">
        <f>'[5]7'!AN$49</f>
        <v>-8.9612280536950699</v>
      </c>
      <c r="S15" s="481">
        <f>'[5]7'!AO$51</f>
        <v>0.3899460041885956</v>
      </c>
      <c r="T15" s="479">
        <f>'[5]8'!$AY$48</f>
        <v>-7.3731998839937862E-2</v>
      </c>
    </row>
    <row r="16" spans="1:20">
      <c r="A16" s="423" t="s">
        <v>379</v>
      </c>
      <c r="B16" s="475">
        <f>'[5]4'!BT$49</f>
        <v>-1.4372248807827948</v>
      </c>
      <c r="C16" s="440">
        <f>'[5]4'!BU$50</f>
        <v>0</v>
      </c>
      <c r="D16" s="440">
        <f>'[5]4'!BV$49</f>
        <v>-1.4946984990484413</v>
      </c>
      <c r="E16" s="440">
        <f>'[5]4'!BW$49</f>
        <v>0.9190820103951669</v>
      </c>
      <c r="F16" s="440">
        <f>'[5]4'!BX$48</f>
        <v>0</v>
      </c>
      <c r="G16" s="440">
        <f>'[5]4'!BY$50</f>
        <v>0</v>
      </c>
      <c r="H16" s="482">
        <f>'[5]4'!BZ$51</f>
        <v>7.9723451084451447E-2</v>
      </c>
      <c r="I16" s="475">
        <f>'[5]5'!V$47</f>
        <v>2.0454052909257836</v>
      </c>
      <c r="J16" s="482">
        <f>'[5]5'!W$49</f>
        <v>-0.40076710508579882</v>
      </c>
      <c r="K16" s="483">
        <f>'[5]6'!AZ$49</f>
        <v>-1.3871432906169323</v>
      </c>
      <c r="L16" s="484">
        <f>'[5]6'!BA$49</f>
        <v>-0.84343518650694671</v>
      </c>
      <c r="M16" s="484">
        <f>'[5]6'!BB$49</f>
        <v>9.7098641100457073E-2</v>
      </c>
      <c r="N16" s="484">
        <f>'[5]6'!BC$49</f>
        <v>-2.1239346826074312</v>
      </c>
      <c r="O16" s="485">
        <f>'[5]6'!BD$51</f>
        <v>0.31101256904198155</v>
      </c>
      <c r="P16" s="483">
        <f>'[5]7'!AP$49</f>
        <v>-6.4914617765658438</v>
      </c>
      <c r="Q16" s="484">
        <f>'[5]7'!AQ$49</f>
        <v>0.63464810774773728</v>
      </c>
      <c r="R16" s="484">
        <f>'[5]7'!AR$49</f>
        <v>-5.8980116081482459</v>
      </c>
      <c r="S16" s="485">
        <f>'[5]7'!AS$51</f>
        <v>0.25272207537749369</v>
      </c>
      <c r="T16" s="483">
        <f>'[5]8'!$BD$48</f>
        <v>-6.2057127795228206E-2</v>
      </c>
    </row>
    <row r="18" spans="1:20">
      <c r="A18" s="409" t="s">
        <v>1346</v>
      </c>
    </row>
    <row r="19" spans="1:20">
      <c r="A19" s="408" t="s">
        <v>1373</v>
      </c>
    </row>
    <row r="20" spans="1:20">
      <c r="A20" s="408" t="s">
        <v>1369</v>
      </c>
    </row>
    <row r="24" spans="1:20" hidden="1">
      <c r="A24" s="409" t="s">
        <v>1374</v>
      </c>
    </row>
    <row r="25" spans="1:20" s="414" customFormat="1" ht="114.75" hidden="1">
      <c r="A25" s="410"/>
      <c r="B25" s="511" t="s">
        <v>1375</v>
      </c>
      <c r="C25" s="512"/>
      <c r="D25" s="512" t="s">
        <v>441</v>
      </c>
      <c r="E25" s="512" t="s">
        <v>442</v>
      </c>
      <c r="F25" s="512"/>
      <c r="G25" s="512"/>
      <c r="H25" s="512" t="s">
        <v>635</v>
      </c>
      <c r="I25" s="511" t="s">
        <v>1376</v>
      </c>
      <c r="J25" s="513" t="s">
        <v>647</v>
      </c>
      <c r="K25" s="512" t="s">
        <v>382</v>
      </c>
      <c r="L25" s="512" t="s">
        <v>1337</v>
      </c>
      <c r="M25" s="512" t="s">
        <v>1338</v>
      </c>
      <c r="N25" s="512" t="s">
        <v>383</v>
      </c>
      <c r="O25" s="513" t="s">
        <v>653</v>
      </c>
      <c r="P25" s="511" t="s">
        <v>1340</v>
      </c>
      <c r="Q25" s="512" t="s">
        <v>1341</v>
      </c>
      <c r="R25" s="512" t="s">
        <v>1342</v>
      </c>
      <c r="S25" s="512" t="s">
        <v>656</v>
      </c>
      <c r="T25" s="571" t="s">
        <v>1286</v>
      </c>
    </row>
    <row r="26" spans="1:20" s="414" customFormat="1" hidden="1">
      <c r="A26" s="415"/>
      <c r="B26" s="416"/>
      <c r="C26" s="417"/>
      <c r="D26" s="417"/>
      <c r="E26" s="417"/>
      <c r="F26" s="417"/>
      <c r="G26" s="417"/>
      <c r="H26" s="418"/>
      <c r="I26" s="416"/>
      <c r="J26" s="515"/>
      <c r="K26" s="415"/>
      <c r="L26" s="415"/>
      <c r="M26" s="415"/>
      <c r="N26" s="415"/>
      <c r="O26" s="415"/>
      <c r="P26" s="500"/>
      <c r="Q26" s="415"/>
      <c r="R26" s="415"/>
      <c r="S26" s="443"/>
      <c r="T26" s="415"/>
    </row>
    <row r="27" spans="1:20" hidden="1">
      <c r="A27" s="423" t="s">
        <v>321</v>
      </c>
      <c r="B27" s="490">
        <f t="shared" ref="B27:T37" si="0">B6/B$15*100</f>
        <v>273.96809071866812</v>
      </c>
      <c r="C27" s="491"/>
      <c r="D27" s="491">
        <f t="shared" si="0"/>
        <v>144.8150348737405</v>
      </c>
      <c r="E27" s="491">
        <f t="shared" si="0"/>
        <v>72.034932633488637</v>
      </c>
      <c r="F27" s="491"/>
      <c r="G27" s="491"/>
      <c r="H27" s="491">
        <f t="shared" si="0"/>
        <v>662.12699984969197</v>
      </c>
      <c r="I27" s="490">
        <f t="shared" si="0"/>
        <v>132.49812345261549</v>
      </c>
      <c r="J27" s="533">
        <f t="shared" si="0"/>
        <v>170.76571883100021</v>
      </c>
      <c r="K27" s="490">
        <f t="shared" si="0"/>
        <v>47.492563900065775</v>
      </c>
      <c r="L27" s="491">
        <f t="shared" si="0"/>
        <v>-307.98619386287652</v>
      </c>
      <c r="M27" s="491">
        <f t="shared" si="0"/>
        <v>18.827297587986198</v>
      </c>
      <c r="N27" s="491">
        <f t="shared" si="0"/>
        <v>166.20909591587471</v>
      </c>
      <c r="O27" s="533">
        <f t="shared" si="0"/>
        <v>288.99254770241328</v>
      </c>
      <c r="P27" s="490">
        <f t="shared" si="0"/>
        <v>34.429178902191374</v>
      </c>
      <c r="Q27" s="491">
        <f t="shared" si="0"/>
        <v>-114.86980080113062</v>
      </c>
      <c r="R27" s="491">
        <f t="shared" si="0"/>
        <v>55.761028810020676</v>
      </c>
      <c r="S27" s="533">
        <f t="shared" si="0"/>
        <v>65.031069000980906</v>
      </c>
      <c r="T27" s="490">
        <f t="shared" si="0"/>
        <v>141.23638363076554</v>
      </c>
    </row>
    <row r="28" spans="1:20" hidden="1">
      <c r="A28" s="422" t="s">
        <v>370</v>
      </c>
      <c r="B28" s="492">
        <f t="shared" si="0"/>
        <v>28.106020139261929</v>
      </c>
      <c r="C28" s="493"/>
      <c r="D28" s="493">
        <f t="shared" si="0"/>
        <v>70.827537917218947</v>
      </c>
      <c r="E28" s="493">
        <f t="shared" si="0"/>
        <v>247.92743620889505</v>
      </c>
      <c r="F28" s="493"/>
      <c r="G28" s="493"/>
      <c r="H28" s="493">
        <f t="shared" si="0"/>
        <v>153.24198718172394</v>
      </c>
      <c r="I28" s="492">
        <f t="shared" si="0"/>
        <v>-10.39412491338631</v>
      </c>
      <c r="J28" s="534">
        <f t="shared" si="0"/>
        <v>-18.885948980120702</v>
      </c>
      <c r="K28" s="535">
        <f t="shared" si="0"/>
        <v>-31.173092608117692</v>
      </c>
      <c r="L28" s="486">
        <f t="shared" si="0"/>
        <v>-34.031320604786039</v>
      </c>
      <c r="M28" s="486">
        <f t="shared" si="0"/>
        <v>177.6307274815594</v>
      </c>
      <c r="N28" s="486">
        <f t="shared" si="0"/>
        <v>67.748001001589202</v>
      </c>
      <c r="O28" s="536">
        <f t="shared" si="0"/>
        <v>71.06123261241477</v>
      </c>
      <c r="P28" s="535">
        <f t="shared" si="0"/>
        <v>35.467644097378766</v>
      </c>
      <c r="Q28" s="486">
        <f t="shared" si="0"/>
        <v>21.98536494235892</v>
      </c>
      <c r="R28" s="486">
        <f t="shared" si="0"/>
        <v>37.07273201675428</v>
      </c>
      <c r="S28" s="536">
        <f t="shared" si="0"/>
        <v>49.398969337943072</v>
      </c>
      <c r="T28" s="535">
        <f t="shared" si="0"/>
        <v>-79.467383888178659</v>
      </c>
    </row>
    <row r="29" spans="1:20" hidden="1">
      <c r="A29" s="422" t="s">
        <v>371</v>
      </c>
      <c r="B29" s="492">
        <f t="shared" si="0"/>
        <v>56.576975889448789</v>
      </c>
      <c r="C29" s="493"/>
      <c r="D29" s="493">
        <f t="shared" si="0"/>
        <v>82.351186717155372</v>
      </c>
      <c r="E29" s="493">
        <f t="shared" si="0"/>
        <v>193.35889345459586</v>
      </c>
      <c r="F29" s="493"/>
      <c r="G29" s="493"/>
      <c r="H29" s="493">
        <f t="shared" si="0"/>
        <v>123.43455483256882</v>
      </c>
      <c r="I29" s="492">
        <f t="shared" si="0"/>
        <v>21.736487492801675</v>
      </c>
      <c r="J29" s="534">
        <f t="shared" si="0"/>
        <v>42.239762242448649</v>
      </c>
      <c r="K29" s="492">
        <f t="shared" si="0"/>
        <v>-44.319523297779007</v>
      </c>
      <c r="L29" s="493">
        <f t="shared" si="0"/>
        <v>-8.2159820629416132</v>
      </c>
      <c r="M29" s="493">
        <f t="shared" si="0"/>
        <v>253.22373979089602</v>
      </c>
      <c r="N29" s="493">
        <f t="shared" si="0"/>
        <v>81.982230377008264</v>
      </c>
      <c r="O29" s="534">
        <f t="shared" si="0"/>
        <v>99.762858637425978</v>
      </c>
      <c r="P29" s="492">
        <f t="shared" si="0"/>
        <v>22.919884023191841</v>
      </c>
      <c r="Q29" s="493">
        <f t="shared" si="0"/>
        <v>-173.57373389133119</v>
      </c>
      <c r="R29" s="493">
        <f t="shared" si="0"/>
        <v>51.525410055210422</v>
      </c>
      <c r="S29" s="534">
        <f t="shared" si="0"/>
        <v>92.764075056963975</v>
      </c>
      <c r="T29" s="492">
        <f t="shared" si="0"/>
        <v>-6.6938277620190139</v>
      </c>
    </row>
    <row r="30" spans="1:20" hidden="1">
      <c r="A30" s="422" t="s">
        <v>372</v>
      </c>
      <c r="B30" s="492">
        <f t="shared" si="0"/>
        <v>325.43819469484993</v>
      </c>
      <c r="C30" s="493"/>
      <c r="D30" s="493">
        <f t="shared" si="0"/>
        <v>70.784927966642016</v>
      </c>
      <c r="E30" s="493">
        <f t="shared" si="0"/>
        <v>240.28170565278967</v>
      </c>
      <c r="F30" s="493"/>
      <c r="G30" s="493"/>
      <c r="H30" s="493">
        <f t="shared" si="0"/>
        <v>1537.9288510206206</v>
      </c>
      <c r="I30" s="492">
        <f t="shared" si="0"/>
        <v>170.51221200815232</v>
      </c>
      <c r="J30" s="534">
        <f t="shared" si="0"/>
        <v>221.93604521824025</v>
      </c>
      <c r="K30" s="492">
        <f t="shared" si="0"/>
        <v>67.820484293431434</v>
      </c>
      <c r="L30" s="493">
        <f t="shared" si="0"/>
        <v>-299.32600754070307</v>
      </c>
      <c r="M30" s="493">
        <f t="shared" si="0"/>
        <v>310.34825742166873</v>
      </c>
      <c r="N30" s="493">
        <f t="shared" si="0"/>
        <v>312.56610178294039</v>
      </c>
      <c r="O30" s="534">
        <f t="shared" si="0"/>
        <v>345.02890719735547</v>
      </c>
      <c r="P30" s="492">
        <f t="shared" si="0"/>
        <v>7.3939037878372975</v>
      </c>
      <c r="Q30" s="493">
        <f t="shared" si="0"/>
        <v>-103.69455054042145</v>
      </c>
      <c r="R30" s="493">
        <f t="shared" si="0"/>
        <v>23.878212344173512</v>
      </c>
      <c r="S30" s="534">
        <f t="shared" si="0"/>
        <v>24.893940027120788</v>
      </c>
      <c r="T30" s="492">
        <f t="shared" si="0"/>
        <v>216.02918090842076</v>
      </c>
    </row>
    <row r="31" spans="1:20" hidden="1">
      <c r="A31" s="422" t="s">
        <v>373</v>
      </c>
      <c r="B31" s="492">
        <f t="shared" si="0"/>
        <v>372.3413116270313</v>
      </c>
      <c r="C31" s="493"/>
      <c r="D31" s="493">
        <f t="shared" si="0"/>
        <v>103.71831917167837</v>
      </c>
      <c r="E31" s="493">
        <f t="shared" si="0"/>
        <v>195.33487000296643</v>
      </c>
      <c r="F31" s="493"/>
      <c r="G31" s="493"/>
      <c r="H31" s="493">
        <f t="shared" si="0"/>
        <v>1756.6291683288562</v>
      </c>
      <c r="I31" s="492">
        <f t="shared" si="0"/>
        <v>135.87166340134945</v>
      </c>
      <c r="J31" s="534">
        <f t="shared" si="0"/>
        <v>224.13554620793778</v>
      </c>
      <c r="K31" s="492">
        <f t="shared" si="0"/>
        <v>38.1487091073325</v>
      </c>
      <c r="L31" s="493">
        <f t="shared" si="0"/>
        <v>-238.25195971073637</v>
      </c>
      <c r="M31" s="493">
        <f t="shared" si="0"/>
        <v>57.83647126108341</v>
      </c>
      <c r="N31" s="493">
        <f t="shared" si="0"/>
        <v>149.76586412450982</v>
      </c>
      <c r="O31" s="534">
        <f t="shared" si="0"/>
        <v>245.85558967012378</v>
      </c>
      <c r="P31" s="492">
        <f t="shared" si="0"/>
        <v>14.303131965348065</v>
      </c>
      <c r="Q31" s="493">
        <f t="shared" si="0"/>
        <v>-447.51707672947651</v>
      </c>
      <c r="R31" s="493">
        <f t="shared" si="0"/>
        <v>82.591883391710454</v>
      </c>
      <c r="S31" s="534">
        <f t="shared" si="0"/>
        <v>192.4492747655525</v>
      </c>
      <c r="T31" s="492">
        <f t="shared" si="0"/>
        <v>145.02388482684142</v>
      </c>
    </row>
    <row r="32" spans="1:20" hidden="1">
      <c r="A32" s="422" t="s">
        <v>374</v>
      </c>
      <c r="B32" s="492">
        <f t="shared" si="0"/>
        <v>468.78221347509236</v>
      </c>
      <c r="C32" s="493"/>
      <c r="D32" s="493">
        <f t="shared" si="0"/>
        <v>120.4398610337548</v>
      </c>
      <c r="E32" s="493">
        <f t="shared" si="0"/>
        <v>279.6387822956288</v>
      </c>
      <c r="F32" s="493"/>
      <c r="G32" s="493"/>
      <c r="H32" s="493">
        <f t="shared" si="0"/>
        <v>2106.2976436622394</v>
      </c>
      <c r="I32" s="492">
        <f t="shared" si="0"/>
        <v>142.29477741643487</v>
      </c>
      <c r="J32" s="534">
        <f t="shared" si="0"/>
        <v>175.3829731831845</v>
      </c>
      <c r="K32" s="492">
        <f t="shared" si="0"/>
        <v>88.257719435003551</v>
      </c>
      <c r="L32" s="493">
        <f t="shared" si="0"/>
        <v>-256.16734559713791</v>
      </c>
      <c r="M32" s="493">
        <f t="shared" si="0"/>
        <v>109.66743240027519</v>
      </c>
      <c r="N32" s="493">
        <f t="shared" si="0"/>
        <v>224.15400748543544</v>
      </c>
      <c r="O32" s="534">
        <f t="shared" si="0"/>
        <v>307.15305012572315</v>
      </c>
      <c r="P32" s="492">
        <f t="shared" si="0"/>
        <v>28.448684340747494</v>
      </c>
      <c r="Q32" s="493">
        <f t="shared" si="0"/>
        <v>320.53398984076597</v>
      </c>
      <c r="R32" s="493">
        <f t="shared" si="0"/>
        <v>-14.539408691929124</v>
      </c>
      <c r="S32" s="534">
        <f t="shared" si="0"/>
        <v>-54.415955286478976</v>
      </c>
      <c r="T32" s="492">
        <f t="shared" si="0"/>
        <v>90.238601956014975</v>
      </c>
    </row>
    <row r="33" spans="1:20" hidden="1">
      <c r="A33" s="422" t="s">
        <v>375</v>
      </c>
      <c r="B33" s="492">
        <f t="shared" si="0"/>
        <v>19.097044733606523</v>
      </c>
      <c r="C33" s="493"/>
      <c r="D33" s="493">
        <f t="shared" si="0"/>
        <v>174.1062841167649</v>
      </c>
      <c r="E33" s="493">
        <f t="shared" si="0"/>
        <v>156.43929166860178</v>
      </c>
      <c r="F33" s="493"/>
      <c r="G33" s="493"/>
      <c r="H33" s="493">
        <f t="shared" si="0"/>
        <v>-210.38856596489862</v>
      </c>
      <c r="I33" s="492">
        <f t="shared" si="0"/>
        <v>157.48775804575459</v>
      </c>
      <c r="J33" s="534">
        <f t="shared" si="0"/>
        <v>218.16330324673237</v>
      </c>
      <c r="K33" s="492">
        <f t="shared" si="0"/>
        <v>2.6934854703491427</v>
      </c>
      <c r="L33" s="493">
        <f t="shared" si="0"/>
        <v>-60.561963901422509</v>
      </c>
      <c r="M33" s="493">
        <f t="shared" si="0"/>
        <v>52.657006066932709</v>
      </c>
      <c r="N33" s="493">
        <f t="shared" si="0"/>
        <v>49.623102836426305</v>
      </c>
      <c r="O33" s="534">
        <f t="shared" si="0"/>
        <v>64.32412121645558</v>
      </c>
      <c r="P33" s="492">
        <f t="shared" si="0"/>
        <v>24.465424539107389</v>
      </c>
      <c r="Q33" s="493">
        <f t="shared" si="0"/>
        <v>35.409515095362742</v>
      </c>
      <c r="R33" s="493">
        <f t="shared" si="0"/>
        <v>22.576863370671678</v>
      </c>
      <c r="S33" s="534">
        <f t="shared" si="0"/>
        <v>16.37345705059926</v>
      </c>
      <c r="T33" s="492">
        <f t="shared" si="0"/>
        <v>322.89579975859948</v>
      </c>
    </row>
    <row r="34" spans="1:20" hidden="1">
      <c r="A34" s="422" t="s">
        <v>376</v>
      </c>
      <c r="B34" s="492">
        <f t="shared" si="0"/>
        <v>443.3319354755244</v>
      </c>
      <c r="C34" s="493"/>
      <c r="D34" s="493">
        <f t="shared" si="0"/>
        <v>106.1664348891924</v>
      </c>
      <c r="E34" s="493">
        <f t="shared" si="0"/>
        <v>111.71696686206644</v>
      </c>
      <c r="F34" s="493"/>
      <c r="G34" s="493"/>
      <c r="H34" s="493">
        <f t="shared" si="0"/>
        <v>1033.2852289036107</v>
      </c>
      <c r="I34" s="492">
        <f t="shared" si="0"/>
        <v>97.430189813648028</v>
      </c>
      <c r="J34" s="534">
        <f t="shared" si="0"/>
        <v>129.32658831063327</v>
      </c>
      <c r="K34" s="492">
        <f t="shared" si="0"/>
        <v>14.798909276231759</v>
      </c>
      <c r="L34" s="493">
        <f t="shared" si="0"/>
        <v>-291.80787489408675</v>
      </c>
      <c r="M34" s="493">
        <f t="shared" si="0"/>
        <v>76.198018867158368</v>
      </c>
      <c r="N34" s="493">
        <f t="shared" si="0"/>
        <v>157.3789641259585</v>
      </c>
      <c r="O34" s="534">
        <f t="shared" si="0"/>
        <v>226.16921395661316</v>
      </c>
      <c r="P34" s="492">
        <f t="shared" si="0"/>
        <v>25.907637305373783</v>
      </c>
      <c r="Q34" s="493">
        <f t="shared" si="0"/>
        <v>-89.806980566262354</v>
      </c>
      <c r="R34" s="493">
        <f t="shared" si="0"/>
        <v>42.565881670407038</v>
      </c>
      <c r="S34" s="534">
        <f t="shared" si="0"/>
        <v>53.595626979782352</v>
      </c>
      <c r="T34" s="492">
        <f t="shared" si="0"/>
        <v>109.21417902660033</v>
      </c>
    </row>
    <row r="35" spans="1:20" hidden="1">
      <c r="A35" s="422" t="s">
        <v>377</v>
      </c>
      <c r="B35" s="492">
        <f t="shared" si="0"/>
        <v>116.27285931583839</v>
      </c>
      <c r="C35" s="493"/>
      <c r="D35" s="493">
        <f t="shared" si="0"/>
        <v>103.24050135416067</v>
      </c>
      <c r="E35" s="493">
        <f t="shared" si="0"/>
        <v>199.05112599998026</v>
      </c>
      <c r="F35" s="493"/>
      <c r="G35" s="493"/>
      <c r="H35" s="493">
        <f t="shared" si="0"/>
        <v>144.22433947393367</v>
      </c>
      <c r="I35" s="492">
        <f t="shared" si="0"/>
        <v>122.2704007845926</v>
      </c>
      <c r="J35" s="534">
        <f t="shared" si="0"/>
        <v>119.41614298405621</v>
      </c>
      <c r="K35" s="492">
        <f t="shared" si="0"/>
        <v>18.997548944172411</v>
      </c>
      <c r="L35" s="493">
        <f t="shared" si="0"/>
        <v>-126.70906783997786</v>
      </c>
      <c r="M35" s="493">
        <f t="shared" si="0"/>
        <v>6.9502785724619436</v>
      </c>
      <c r="N35" s="493">
        <f t="shared" si="0"/>
        <v>67.824188629652241</v>
      </c>
      <c r="O35" s="534">
        <f t="shared" si="0"/>
        <v>107.97237590670976</v>
      </c>
      <c r="P35" s="492">
        <f t="shared" si="0"/>
        <v>38.298681098530551</v>
      </c>
      <c r="Q35" s="493">
        <f t="shared" si="0"/>
        <v>-135.49601634428333</v>
      </c>
      <c r="R35" s="493">
        <f t="shared" si="0"/>
        <v>63.068090076954817</v>
      </c>
      <c r="S35" s="534">
        <f t="shared" si="0"/>
        <v>135.13124719095151</v>
      </c>
      <c r="T35" s="492">
        <f t="shared" si="0"/>
        <v>106.23740860896132</v>
      </c>
    </row>
    <row r="36" spans="1:20" hidden="1">
      <c r="A36" s="422" t="s">
        <v>378</v>
      </c>
      <c r="B36" s="492">
        <f t="shared" si="0"/>
        <v>100</v>
      </c>
      <c r="C36" s="493"/>
      <c r="D36" s="493">
        <f t="shared" si="0"/>
        <v>100</v>
      </c>
      <c r="E36" s="493">
        <f t="shared" si="0"/>
        <v>100</v>
      </c>
      <c r="F36" s="493"/>
      <c r="G36" s="493"/>
      <c r="H36" s="493">
        <f t="shared" si="0"/>
        <v>100</v>
      </c>
      <c r="I36" s="492">
        <f t="shared" si="0"/>
        <v>100</v>
      </c>
      <c r="J36" s="534">
        <f t="shared" si="0"/>
        <v>100</v>
      </c>
      <c r="K36" s="492">
        <f t="shared" si="0"/>
        <v>100</v>
      </c>
      <c r="L36" s="493">
        <f t="shared" si="0"/>
        <v>100</v>
      </c>
      <c r="M36" s="493">
        <f t="shared" si="0"/>
        <v>100</v>
      </c>
      <c r="N36" s="493">
        <f t="shared" si="0"/>
        <v>100</v>
      </c>
      <c r="O36" s="534">
        <f t="shared" si="0"/>
        <v>100</v>
      </c>
      <c r="P36" s="492">
        <f t="shared" si="0"/>
        <v>100</v>
      </c>
      <c r="Q36" s="493">
        <f t="shared" si="0"/>
        <v>100</v>
      </c>
      <c r="R36" s="493">
        <f t="shared" si="0"/>
        <v>100</v>
      </c>
      <c r="S36" s="534">
        <f t="shared" si="0"/>
        <v>100</v>
      </c>
      <c r="T36" s="492">
        <f t="shared" si="0"/>
        <v>100</v>
      </c>
    </row>
    <row r="37" spans="1:20" hidden="1">
      <c r="A37" s="423" t="s">
        <v>379</v>
      </c>
      <c r="B37" s="490">
        <f t="shared" si="0"/>
        <v>485.52355381430408</v>
      </c>
      <c r="C37" s="491"/>
      <c r="D37" s="491">
        <f t="shared" si="0"/>
        <v>136.94992132060207</v>
      </c>
      <c r="E37" s="491">
        <f t="shared" si="0"/>
        <v>333.33614466227812</v>
      </c>
      <c r="F37" s="491"/>
      <c r="G37" s="491"/>
      <c r="H37" s="491">
        <f t="shared" si="0"/>
        <v>1384.7350698470968</v>
      </c>
      <c r="I37" s="490">
        <f t="shared" si="0"/>
        <v>108.83588953488174</v>
      </c>
      <c r="J37" s="533">
        <f t="shared" si="0"/>
        <v>142.81451573514076</v>
      </c>
      <c r="K37" s="490">
        <f t="shared" si="0"/>
        <v>79.408064730963645</v>
      </c>
      <c r="L37" s="491">
        <f t="shared" si="0"/>
        <v>-116.65621535792403</v>
      </c>
      <c r="M37" s="491">
        <f t="shared" si="0"/>
        <v>-10.795912640923181</v>
      </c>
      <c r="N37" s="491">
        <f t="shared" si="0"/>
        <v>110.24521811339937</v>
      </c>
      <c r="O37" s="533">
        <f t="shared" si="0"/>
        <v>262.56894720500321</v>
      </c>
      <c r="P37" s="490">
        <f t="shared" si="0"/>
        <v>63.814378035795457</v>
      </c>
      <c r="Q37" s="491">
        <f t="shared" si="0"/>
        <v>47.068725141144121</v>
      </c>
      <c r="R37" s="491">
        <f t="shared" si="0"/>
        <v>65.817001562818859</v>
      </c>
      <c r="S37" s="533">
        <f t="shared" si="0"/>
        <v>64.809505075801681</v>
      </c>
      <c r="T37" s="490">
        <f t="shared" si="0"/>
        <v>84.165801513052401</v>
      </c>
    </row>
    <row r="38" spans="1:20" hidden="1">
      <c r="A38" s="409" t="s">
        <v>1377</v>
      </c>
    </row>
    <row r="39" spans="1:20" hidden="1"/>
  </sheetData>
  <pageMargins left="0.75" right="0.75" top="1" bottom="1" header="0.5" footer="0.5"/>
  <pageSetup scale="71" orientation="landscape" horizontalDpi="1200" verticalDpi="1200" r:id="rId1"/>
  <headerFooter alignWithMargins="0"/>
</worksheet>
</file>

<file path=xl/worksheets/sheet142.xml><?xml version="1.0" encoding="utf-8"?>
<worksheet xmlns="http://schemas.openxmlformats.org/spreadsheetml/2006/main" xmlns:r="http://schemas.openxmlformats.org/officeDocument/2006/relationships">
  <dimension ref="A1:L49"/>
  <sheetViews>
    <sheetView topLeftCell="A13" workbookViewId="0">
      <selection activeCell="E9" sqref="E9"/>
    </sheetView>
  </sheetViews>
  <sheetFormatPr defaultRowHeight="11.25"/>
  <cols>
    <col min="1" max="2" width="9" style="611"/>
    <col min="3" max="3" width="10.75" style="611" bestFit="1" customWidth="1"/>
    <col min="4" max="4" width="10.375" style="611" bestFit="1" customWidth="1"/>
    <col min="5" max="5" width="9" style="611"/>
    <col min="6" max="6" width="11.25" style="611" bestFit="1" customWidth="1"/>
    <col min="7" max="7" width="6" style="611" bestFit="1" customWidth="1"/>
    <col min="8" max="8" width="5.875" style="611" bestFit="1" customWidth="1"/>
    <col min="9" max="9" width="7.375" style="611" bestFit="1" customWidth="1"/>
    <col min="10" max="10" width="10.375" style="611" bestFit="1" customWidth="1"/>
    <col min="11" max="11" width="5.875" style="611" bestFit="1" customWidth="1"/>
    <col min="12" max="12" width="11.875" style="611" bestFit="1" customWidth="1"/>
    <col min="13" max="16384" width="9" style="611"/>
  </cols>
  <sheetData>
    <row r="1" spans="1:12">
      <c r="A1" s="611" t="s">
        <v>1482</v>
      </c>
    </row>
    <row r="3" spans="1:12">
      <c r="D3" s="613" t="s">
        <v>1479</v>
      </c>
    </row>
    <row r="4" spans="1:12">
      <c r="B4" s="612" t="s">
        <v>321</v>
      </c>
      <c r="C4" s="612" t="s">
        <v>370</v>
      </c>
      <c r="D4" s="613" t="s">
        <v>1480</v>
      </c>
      <c r="E4" s="612" t="s">
        <v>372</v>
      </c>
      <c r="F4" s="612" t="s">
        <v>373</v>
      </c>
      <c r="G4" s="612" t="s">
        <v>374</v>
      </c>
      <c r="H4" s="612" t="s">
        <v>375</v>
      </c>
      <c r="I4" s="612" t="s">
        <v>376</v>
      </c>
      <c r="J4" s="612" t="s">
        <v>377</v>
      </c>
      <c r="K4" s="612" t="s">
        <v>378</v>
      </c>
      <c r="L4" s="612" t="s">
        <v>379</v>
      </c>
    </row>
    <row r="5" spans="1:12">
      <c r="A5" s="611">
        <v>1981</v>
      </c>
      <c r="B5" s="614">
        <f>'9'!H19</f>
        <v>0.44780458265691525</v>
      </c>
      <c r="C5" s="614">
        <f>'9'!P19</f>
        <v>0.27850604237112947</v>
      </c>
      <c r="D5" s="614">
        <f>'9'!X19</f>
        <v>0.29290615513228102</v>
      </c>
      <c r="E5" s="614">
        <f>'9'!AF19</f>
        <v>0.38080016714420584</v>
      </c>
      <c r="F5" s="614">
        <f>'9'!AN19</f>
        <v>0.28130398038846005</v>
      </c>
      <c r="G5" s="614">
        <f>'9'!AV19</f>
        <v>0.3866258603521715</v>
      </c>
      <c r="H5" s="614">
        <f>'9'!BD19</f>
        <v>0.47965220498776856</v>
      </c>
      <c r="I5" s="614">
        <f>'9'!BL19</f>
        <v>0.38852384641052429</v>
      </c>
      <c r="J5" s="614">
        <f>'9'!BT19</f>
        <v>0.42000045746120829</v>
      </c>
      <c r="K5" s="614">
        <f>'9'!CB19</f>
        <v>0.60195610498675134</v>
      </c>
      <c r="L5" s="614">
        <f>'9'!CJ19</f>
        <v>0.48714717707506339</v>
      </c>
    </row>
    <row r="6" spans="1:12">
      <c r="A6" s="611">
        <f>A5+1</f>
        <v>1982</v>
      </c>
      <c r="B6" s="614">
        <f>'9'!H20</f>
        <v>0.43301562693507134</v>
      </c>
      <c r="C6" s="614">
        <f>'9'!P20</f>
        <v>0.26995627895790081</v>
      </c>
      <c r="D6" s="614">
        <f>'9'!X20</f>
        <v>0.33609955194112973</v>
      </c>
      <c r="E6" s="614">
        <f>'9'!AF20</f>
        <v>0.38216591999241573</v>
      </c>
      <c r="F6" s="614">
        <f>'9'!AN20</f>
        <v>0.27462929228780336</v>
      </c>
      <c r="G6" s="614">
        <f>'9'!AV20</f>
        <v>0.38574398124065179</v>
      </c>
      <c r="H6" s="614">
        <f>'9'!BD20</f>
        <v>0.45753180657801484</v>
      </c>
      <c r="I6" s="614">
        <f>'9'!BL20</f>
        <v>0.40424838584957756</v>
      </c>
      <c r="J6" s="614">
        <f>'9'!BT20</f>
        <v>0.45753673182437132</v>
      </c>
      <c r="K6" s="614">
        <f>'9'!CB20</f>
        <v>0.57861388408677195</v>
      </c>
      <c r="L6" s="614">
        <f>'9'!CJ20</f>
        <v>0.43388575616581077</v>
      </c>
    </row>
    <row r="7" spans="1:12">
      <c r="A7" s="611">
        <f t="shared" ref="A7:A34" si="0">A6+1</f>
        <v>1983</v>
      </c>
      <c r="B7" s="614">
        <f>'9'!H21</f>
        <v>0.42340958261067185</v>
      </c>
      <c r="C7" s="614">
        <f>'9'!P21</f>
        <v>0.21285738239423002</v>
      </c>
      <c r="D7" s="614">
        <f>'9'!X21</f>
        <v>0.35877455042684925</v>
      </c>
      <c r="E7" s="614">
        <f>'9'!AF21</f>
        <v>0.38924355996785065</v>
      </c>
      <c r="F7" s="614">
        <f>'9'!AN21</f>
        <v>0.24268828689987026</v>
      </c>
      <c r="G7" s="614">
        <f>'9'!AV21</f>
        <v>0.39549664744504109</v>
      </c>
      <c r="H7" s="614">
        <f>'9'!BD21</f>
        <v>0.43249207132465084</v>
      </c>
      <c r="I7" s="614">
        <f>'9'!BL21</f>
        <v>0.39695818472445765</v>
      </c>
      <c r="J7" s="614">
        <f>'9'!BT21</f>
        <v>0.45381943335303176</v>
      </c>
      <c r="K7" s="614">
        <f>'9'!CB21</f>
        <v>0.54456750634871676</v>
      </c>
      <c r="L7" s="614">
        <f>'9'!CJ21</f>
        <v>0.4510615411191502</v>
      </c>
    </row>
    <row r="8" spans="1:12">
      <c r="A8" s="611">
        <f t="shared" si="0"/>
        <v>1984</v>
      </c>
      <c r="B8" s="614">
        <f>'9'!H22</f>
        <v>0.42844030729926186</v>
      </c>
      <c r="C8" s="614">
        <f>'9'!P22</f>
        <v>0.27390888253798257</v>
      </c>
      <c r="D8" s="614">
        <f>'9'!X22</f>
        <v>0.36926483618399697</v>
      </c>
      <c r="E8" s="614">
        <f>'9'!AF22</f>
        <v>0.3917244242177329</v>
      </c>
      <c r="F8" s="614">
        <f>'9'!AN22</f>
        <v>0.29470905072151476</v>
      </c>
      <c r="G8" s="614">
        <f>'9'!AV22</f>
        <v>0.39257963908802296</v>
      </c>
      <c r="H8" s="614">
        <f>'9'!BD22</f>
        <v>0.45519007436214837</v>
      </c>
      <c r="I8" s="614">
        <f>'9'!BL22</f>
        <v>0.42829431942762175</v>
      </c>
      <c r="J8" s="614">
        <f>'9'!BT22</f>
        <v>0.41701653346756906</v>
      </c>
      <c r="K8" s="614">
        <f>'9'!CB22</f>
        <v>0.52861840875986132</v>
      </c>
      <c r="L8" s="614">
        <f>'9'!CJ22</f>
        <v>0.41658165521982549</v>
      </c>
    </row>
    <row r="9" spans="1:12">
      <c r="A9" s="611">
        <f t="shared" si="0"/>
        <v>1985</v>
      </c>
      <c r="B9" s="614">
        <f>'9'!H23</f>
        <v>0.44705988924508555</v>
      </c>
      <c r="C9" s="614">
        <f>'9'!P23</f>
        <v>0.2700635315883495</v>
      </c>
      <c r="D9" s="614">
        <f>'9'!X23</f>
        <v>0.38308443719567775</v>
      </c>
      <c r="E9" s="614">
        <f>'9'!AF23</f>
        <v>0.39541727754183831</v>
      </c>
      <c r="F9" s="614">
        <f>'9'!AN23</f>
        <v>0.34415307125392819</v>
      </c>
      <c r="G9" s="614">
        <f>'9'!AV23</f>
        <v>0.41466556783867087</v>
      </c>
      <c r="H9" s="614">
        <f>'9'!BD23</f>
        <v>0.47874484802561373</v>
      </c>
      <c r="I9" s="614">
        <f>'9'!BL23</f>
        <v>0.44528903176181989</v>
      </c>
      <c r="J9" s="614">
        <f>'9'!BT23</f>
        <v>0.38882899451719211</v>
      </c>
      <c r="K9" s="614">
        <f>'9'!CB23</f>
        <v>0.58321672859398366</v>
      </c>
      <c r="L9" s="614">
        <f>'9'!CJ23</f>
        <v>0.40925802247346976</v>
      </c>
    </row>
    <row r="10" spans="1:12">
      <c r="A10" s="611">
        <f t="shared" si="0"/>
        <v>1986</v>
      </c>
      <c r="B10" s="614">
        <f>'9'!H24</f>
        <v>0.45172672744933806</v>
      </c>
      <c r="C10" s="614">
        <f>'9'!P24</f>
        <v>0.31658893884146694</v>
      </c>
      <c r="D10" s="614">
        <f>'9'!X24</f>
        <v>0.41347670244195317</v>
      </c>
      <c r="E10" s="614">
        <f>'9'!AF24</f>
        <v>0.39321152229900869</v>
      </c>
      <c r="F10" s="614">
        <f>'9'!AN24</f>
        <v>0.36960807540334273</v>
      </c>
      <c r="G10" s="614">
        <f>'9'!AV24</f>
        <v>0.41423863982971298</v>
      </c>
      <c r="H10" s="614">
        <f>'9'!BD24</f>
        <v>0.49428935489483916</v>
      </c>
      <c r="I10" s="614">
        <f>'9'!BL24</f>
        <v>0.4410727569854464</v>
      </c>
      <c r="J10" s="614">
        <f>'9'!BT24</f>
        <v>0.36945885897375641</v>
      </c>
      <c r="K10" s="614">
        <f>'9'!CB24</f>
        <v>0.54524662010978098</v>
      </c>
      <c r="L10" s="614">
        <f>'9'!CJ24</f>
        <v>0.43963508283326436</v>
      </c>
    </row>
    <row r="11" spans="1:12">
      <c r="A11" s="611">
        <f t="shared" si="0"/>
        <v>1987</v>
      </c>
      <c r="B11" s="614">
        <f>'9'!H25</f>
        <v>0.46232821572107063</v>
      </c>
      <c r="C11" s="614">
        <f>'9'!P25</f>
        <v>0.31540800559137294</v>
      </c>
      <c r="D11" s="614">
        <f>'9'!X25</f>
        <v>0.41209202652884758</v>
      </c>
      <c r="E11" s="614">
        <f>'9'!AF25</f>
        <v>0.42180760205839757</v>
      </c>
      <c r="F11" s="614">
        <f>'9'!AN25</f>
        <v>0.35793312782237163</v>
      </c>
      <c r="G11" s="614">
        <f>'9'!AV25</f>
        <v>0.41971394853868882</v>
      </c>
      <c r="H11" s="614">
        <f>'9'!BD25</f>
        <v>0.5150462531402753</v>
      </c>
      <c r="I11" s="614">
        <f>'9'!BL25</f>
        <v>0.46146396626025021</v>
      </c>
      <c r="J11" s="614">
        <f>'9'!BT25</f>
        <v>0.42813149939011591</v>
      </c>
      <c r="K11" s="614">
        <f>'9'!CB25</f>
        <v>0.52506657744655394</v>
      </c>
      <c r="L11" s="614">
        <f>'9'!CJ25</f>
        <v>0.44888413434419072</v>
      </c>
    </row>
    <row r="12" spans="1:12">
      <c r="A12" s="611">
        <f t="shared" si="0"/>
        <v>1988</v>
      </c>
      <c r="B12" s="614">
        <f>'9'!H26</f>
        <v>0.48738294963598849</v>
      </c>
      <c r="C12" s="614">
        <f>'9'!P26</f>
        <v>0.38066435996083492</v>
      </c>
      <c r="D12" s="614">
        <f>'9'!X26</f>
        <v>0.44063183762459412</v>
      </c>
      <c r="E12" s="614">
        <f>'9'!AF26</f>
        <v>0.45548130432178591</v>
      </c>
      <c r="F12" s="614">
        <f>'9'!AN26</f>
        <v>0.40380854445095876</v>
      </c>
      <c r="G12" s="614">
        <f>'9'!AV26</f>
        <v>0.44791545220064555</v>
      </c>
      <c r="H12" s="614">
        <f>'9'!BD26</f>
        <v>0.52883749247287304</v>
      </c>
      <c r="I12" s="614">
        <f>'9'!BL26</f>
        <v>0.47609090816418254</v>
      </c>
      <c r="J12" s="614">
        <f>'9'!BT26</f>
        <v>0.42475229195879094</v>
      </c>
      <c r="K12" s="614">
        <f>'9'!CB26</f>
        <v>0.54074254165416114</v>
      </c>
      <c r="L12" s="614">
        <f>'9'!CJ26</f>
        <v>0.5095834601591841</v>
      </c>
    </row>
    <row r="13" spans="1:12">
      <c r="A13" s="611">
        <f t="shared" si="0"/>
        <v>1989</v>
      </c>
      <c r="B13" s="614">
        <f>'9'!H27</f>
        <v>0.50357121370456881</v>
      </c>
      <c r="C13" s="614">
        <f>'9'!P27</f>
        <v>0.41197645661104093</v>
      </c>
      <c r="D13" s="614">
        <f>'9'!X27</f>
        <v>0.43240882769558631</v>
      </c>
      <c r="E13" s="614">
        <f>'9'!AF27</f>
        <v>0.4557900269846985</v>
      </c>
      <c r="F13" s="614">
        <f>'9'!AN27</f>
        <v>0.41385266395175652</v>
      </c>
      <c r="G13" s="614">
        <f>'9'!AV27</f>
        <v>0.46191438307693566</v>
      </c>
      <c r="H13" s="614">
        <f>'9'!BD27</f>
        <v>0.55151724166249072</v>
      </c>
      <c r="I13" s="614">
        <f>'9'!BL27</f>
        <v>0.4867209997516504</v>
      </c>
      <c r="J13" s="614">
        <f>'9'!BT27</f>
        <v>0.43399234863153791</v>
      </c>
      <c r="K13" s="614">
        <f>'9'!CB27</f>
        <v>0.53258536331413042</v>
      </c>
      <c r="L13" s="614">
        <f>'9'!CJ27</f>
        <v>0.52218174192939437</v>
      </c>
    </row>
    <row r="14" spans="1:12">
      <c r="A14" s="611">
        <f t="shared" si="0"/>
        <v>1990</v>
      </c>
      <c r="B14" s="614">
        <f>'9'!H28</f>
        <v>0.49054495517693048</v>
      </c>
      <c r="C14" s="614">
        <f>'9'!P28</f>
        <v>0.37220835957029164</v>
      </c>
      <c r="D14" s="614">
        <f>'9'!X28</f>
        <v>0.46080263474290867</v>
      </c>
      <c r="E14" s="614">
        <f>'9'!AF28</f>
        <v>0.47229130781295481</v>
      </c>
      <c r="F14" s="614">
        <f>'9'!AN28</f>
        <v>0.41739782463458652</v>
      </c>
      <c r="G14" s="614">
        <f>'9'!AV28</f>
        <v>0.44965337879768102</v>
      </c>
      <c r="H14" s="614">
        <f>'9'!BD28</f>
        <v>0.531323873540128</v>
      </c>
      <c r="I14" s="614">
        <f>'9'!BL28</f>
        <v>0.4702166714532906</v>
      </c>
      <c r="J14" s="614">
        <f>'9'!BT28</f>
        <v>0.40760136723534202</v>
      </c>
      <c r="K14" s="614">
        <f>'9'!CB28</f>
        <v>0.55411704066093448</v>
      </c>
      <c r="L14" s="614">
        <f>'9'!CJ28</f>
        <v>0.49559549931264402</v>
      </c>
    </row>
    <row r="15" spans="1:12">
      <c r="A15" s="611">
        <f t="shared" si="0"/>
        <v>1991</v>
      </c>
      <c r="B15" s="614">
        <f>'9'!H29</f>
        <v>0.48104437061629834</v>
      </c>
      <c r="C15" s="614">
        <f>'9'!P29</f>
        <v>0.36053894578025203</v>
      </c>
      <c r="D15" s="614">
        <f>'9'!X29</f>
        <v>0.4318685531095634</v>
      </c>
      <c r="E15" s="614">
        <f>'9'!AF29</f>
        <v>0.46413717160320112</v>
      </c>
      <c r="F15" s="614">
        <f>'9'!AN29</f>
        <v>0.40938665075852987</v>
      </c>
      <c r="G15" s="614">
        <f>'9'!AV29</f>
        <v>0.44040110326575899</v>
      </c>
      <c r="H15" s="614">
        <f>'9'!BD29</f>
        <v>0.51218079256969695</v>
      </c>
      <c r="I15" s="614">
        <f>'9'!BL29</f>
        <v>0.47377724778432956</v>
      </c>
      <c r="J15" s="614">
        <f>'9'!BT29</f>
        <v>0.41303709184964121</v>
      </c>
      <c r="K15" s="614">
        <f>'9'!CB29</f>
        <v>0.52577273541678871</v>
      </c>
      <c r="L15" s="614">
        <f>'9'!CJ29</f>
        <v>0.52444377594262515</v>
      </c>
    </row>
    <row r="16" spans="1:12">
      <c r="A16" s="611">
        <f t="shared" si="0"/>
        <v>1992</v>
      </c>
      <c r="B16" s="614">
        <f>'9'!H30</f>
        <v>0.47966464196689351</v>
      </c>
      <c r="C16" s="614">
        <f>'9'!P30</f>
        <v>0.33283212970909887</v>
      </c>
      <c r="D16" s="614">
        <f>'9'!X30</f>
        <v>0.4572355473082873</v>
      </c>
      <c r="E16" s="614">
        <f>'9'!AF30</f>
        <v>0.46213621970955721</v>
      </c>
      <c r="F16" s="614">
        <f>'9'!AN30</f>
        <v>0.40098644095645836</v>
      </c>
      <c r="G16" s="614">
        <f>'9'!AV30</f>
        <v>0.45098452066506756</v>
      </c>
      <c r="H16" s="614">
        <f>'9'!BD30</f>
        <v>0.51594158793257106</v>
      </c>
      <c r="I16" s="614">
        <f>'9'!BL30</f>
        <v>0.45725662668998879</v>
      </c>
      <c r="J16" s="614">
        <f>'9'!BT30</f>
        <v>0.41307745424116582</v>
      </c>
      <c r="K16" s="614">
        <f>'9'!CB30</f>
        <v>0.49169642704363126</v>
      </c>
      <c r="L16" s="614">
        <f>'9'!CJ30</f>
        <v>0.5091729388997468</v>
      </c>
    </row>
    <row r="17" spans="1:12">
      <c r="A17" s="611">
        <f t="shared" si="0"/>
        <v>1993</v>
      </c>
      <c r="B17" s="614">
        <f>'9'!H31</f>
        <v>0.4798713663978178</v>
      </c>
      <c r="C17" s="614">
        <f>'9'!P31</f>
        <v>0.35849260290326629</v>
      </c>
      <c r="D17" s="614">
        <f>'9'!X31</f>
        <v>0.45390992593033713</v>
      </c>
      <c r="E17" s="614">
        <f>'9'!AF31</f>
        <v>0.45570929881332423</v>
      </c>
      <c r="F17" s="614">
        <f>'9'!AN31</f>
        <v>0.40114877132092819</v>
      </c>
      <c r="G17" s="614">
        <f>'9'!AV31</f>
        <v>0.4335529352984141</v>
      </c>
      <c r="H17" s="614">
        <f>'9'!BD31</f>
        <v>0.51605659257133374</v>
      </c>
      <c r="I17" s="614">
        <f>'9'!BL31</f>
        <v>0.4606973002867828</v>
      </c>
      <c r="J17" s="614">
        <f>'9'!BT31</f>
        <v>0.43443784503537247</v>
      </c>
      <c r="K17" s="614">
        <f>'9'!CB31</f>
        <v>0.52407738679007254</v>
      </c>
      <c r="L17" s="614">
        <f>'9'!CJ31</f>
        <v>0.5130124998629364</v>
      </c>
    </row>
    <row r="18" spans="1:12">
      <c r="A18" s="611">
        <f t="shared" si="0"/>
        <v>1994</v>
      </c>
      <c r="B18" s="614">
        <f>'9'!H32</f>
        <v>0.48615136049483088</v>
      </c>
      <c r="C18" s="614">
        <f>'9'!P32</f>
        <v>0.36371292624511775</v>
      </c>
      <c r="D18" s="614">
        <f>'9'!X32</f>
        <v>0.46212257508033794</v>
      </c>
      <c r="E18" s="614">
        <f>'9'!AF32</f>
        <v>0.43569596580968523</v>
      </c>
      <c r="F18" s="614">
        <f>'9'!AN32</f>
        <v>0.38570111332822571</v>
      </c>
      <c r="G18" s="614">
        <f>'9'!AV32</f>
        <v>0.44223822482210551</v>
      </c>
      <c r="H18" s="614">
        <f>'9'!BD32</f>
        <v>0.52051368910231044</v>
      </c>
      <c r="I18" s="614">
        <f>'9'!BL32</f>
        <v>0.46448998216467507</v>
      </c>
      <c r="J18" s="614">
        <f>'9'!BT32</f>
        <v>0.44272543617206195</v>
      </c>
      <c r="K18" s="614">
        <f>'9'!CB32</f>
        <v>0.53599264605012564</v>
      </c>
      <c r="L18" s="614">
        <f>'9'!CJ32</f>
        <v>0.52177844146689401</v>
      </c>
    </row>
    <row r="19" spans="1:12">
      <c r="A19" s="611">
        <f t="shared" si="0"/>
        <v>1995</v>
      </c>
      <c r="B19" s="614">
        <f>'9'!H33</f>
        <v>0.4878403706788994</v>
      </c>
      <c r="C19" s="614">
        <f>'9'!P33</f>
        <v>0.35884799456378336</v>
      </c>
      <c r="D19" s="614">
        <f>'9'!X33</f>
        <v>0.43485337393324952</v>
      </c>
      <c r="E19" s="614">
        <f>'9'!AF33</f>
        <v>0.45135885615333537</v>
      </c>
      <c r="F19" s="614">
        <f>'9'!AN33</f>
        <v>0.41837029399779413</v>
      </c>
      <c r="G19" s="614">
        <f>'9'!AV33</f>
        <v>0.43569349256613327</v>
      </c>
      <c r="H19" s="614">
        <f>'9'!BD33</f>
        <v>0.52181129803983928</v>
      </c>
      <c r="I19" s="614">
        <f>'9'!BL33</f>
        <v>0.50388329103713203</v>
      </c>
      <c r="J19" s="614">
        <f>'9'!BT33</f>
        <v>0.43764502040807268</v>
      </c>
      <c r="K19" s="614">
        <f>'9'!CB33</f>
        <v>0.53855872167942265</v>
      </c>
      <c r="L19" s="614">
        <f>'9'!CJ33</f>
        <v>0.52705893370228019</v>
      </c>
    </row>
    <row r="20" spans="1:12">
      <c r="A20" s="611">
        <f t="shared" si="0"/>
        <v>1996</v>
      </c>
      <c r="B20" s="614">
        <f>'9'!H34</f>
        <v>0.47679488956266264</v>
      </c>
      <c r="C20" s="614">
        <f>'9'!P34</f>
        <v>0.35816327985032459</v>
      </c>
      <c r="D20" s="614">
        <f>'9'!X34</f>
        <v>0.43187705919459146</v>
      </c>
      <c r="E20" s="614">
        <f>'9'!AF34</f>
        <v>0.42837338682574905</v>
      </c>
      <c r="F20" s="614">
        <f>'9'!AN34</f>
        <v>0.42930919566229225</v>
      </c>
      <c r="G20" s="614">
        <f>'9'!AV34</f>
        <v>0.44936967275429407</v>
      </c>
      <c r="H20" s="614">
        <f>'9'!BD34</f>
        <v>0.49214303814983368</v>
      </c>
      <c r="I20" s="614">
        <f>'9'!BL34</f>
        <v>0.48082784410049906</v>
      </c>
      <c r="J20" s="614">
        <f>'9'!BT34</f>
        <v>0.45721666838279867</v>
      </c>
      <c r="K20" s="614">
        <f>'9'!CB34</f>
        <v>0.53851716252852877</v>
      </c>
      <c r="L20" s="614">
        <f>'9'!CJ34</f>
        <v>0.50818493895900785</v>
      </c>
    </row>
    <row r="21" spans="1:12">
      <c r="A21" s="611">
        <f t="shared" si="0"/>
        <v>1997</v>
      </c>
      <c r="B21" s="614">
        <f>'9'!H35</f>
        <v>0.47766802820173043</v>
      </c>
      <c r="C21" s="614">
        <f>'9'!P35</f>
        <v>0.38634440343370596</v>
      </c>
      <c r="D21" s="614">
        <f>'9'!X35</f>
        <v>0.43318713656712765</v>
      </c>
      <c r="E21" s="614">
        <f>'9'!AF35</f>
        <v>0.41833596530782657</v>
      </c>
      <c r="F21" s="614">
        <f>'9'!AN35</f>
        <v>0.41347284761594705</v>
      </c>
      <c r="G21" s="614">
        <f>'9'!AV35</f>
        <v>0.4361326463249936</v>
      </c>
      <c r="H21" s="614">
        <f>'9'!BD35</f>
        <v>0.49923147584485261</v>
      </c>
      <c r="I21" s="614">
        <f>'9'!BL35</f>
        <v>0.48044871530172639</v>
      </c>
      <c r="J21" s="614">
        <f>'9'!BT35</f>
        <v>0.49598779441050578</v>
      </c>
      <c r="K21" s="614">
        <f>'9'!CB35</f>
        <v>0.5447404653690564</v>
      </c>
      <c r="L21" s="614">
        <f>'9'!CJ35</f>
        <v>0.50680707756286802</v>
      </c>
    </row>
    <row r="22" spans="1:12">
      <c r="A22" s="611">
        <f t="shared" si="0"/>
        <v>1998</v>
      </c>
      <c r="B22" s="614">
        <f>'9'!H36</f>
        <v>0.48422154380221771</v>
      </c>
      <c r="C22" s="614">
        <f>'9'!P36</f>
        <v>0.38169018757026812</v>
      </c>
      <c r="D22" s="614">
        <f>'9'!X36</f>
        <v>0.4508239866130298</v>
      </c>
      <c r="E22" s="614">
        <f>'9'!AF36</f>
        <v>0.41830649843385531</v>
      </c>
      <c r="F22" s="614">
        <f>'9'!AN36</f>
        <v>0.43131786219393403</v>
      </c>
      <c r="G22" s="614">
        <f>'9'!AV36</f>
        <v>0.46054054826625379</v>
      </c>
      <c r="H22" s="614">
        <f>'9'!BD36</f>
        <v>0.50952163067361622</v>
      </c>
      <c r="I22" s="614">
        <f>'9'!BL36</f>
        <v>0.47986232620777669</v>
      </c>
      <c r="J22" s="614">
        <f>'9'!BT36</f>
        <v>0.48766806641011873</v>
      </c>
      <c r="K22" s="614">
        <f>'9'!CB36</f>
        <v>0.5415961826831881</v>
      </c>
      <c r="L22" s="614">
        <f>'9'!CJ36</f>
        <v>0.48871671710560183</v>
      </c>
    </row>
    <row r="23" spans="1:12">
      <c r="A23" s="611">
        <f t="shared" si="0"/>
        <v>1999</v>
      </c>
      <c r="B23" s="614">
        <f>'9'!H37</f>
        <v>0.49477781532887766</v>
      </c>
      <c r="C23" s="614">
        <f>'9'!P37</f>
        <v>0.39195520982527254</v>
      </c>
      <c r="D23" s="614">
        <f>'9'!X37</f>
        <v>0.41605287812937597</v>
      </c>
      <c r="E23" s="614">
        <f>'9'!AF37</f>
        <v>0.45933663963543203</v>
      </c>
      <c r="F23" s="614">
        <f>'9'!AN37</f>
        <v>0.44076766451187394</v>
      </c>
      <c r="G23" s="614">
        <f>'9'!AV37</f>
        <v>0.47787911343651368</v>
      </c>
      <c r="H23" s="614">
        <f>'9'!BD37</f>
        <v>0.51258732841946719</v>
      </c>
      <c r="I23" s="614">
        <f>'9'!BL37</f>
        <v>0.46560213126807515</v>
      </c>
      <c r="J23" s="614">
        <f>'9'!BT37</f>
        <v>0.50942045634897903</v>
      </c>
      <c r="K23" s="614">
        <f>'9'!CB37</f>
        <v>0.57675611940943061</v>
      </c>
      <c r="L23" s="614">
        <f>'9'!CJ37</f>
        <v>0.4922604402640095</v>
      </c>
    </row>
    <row r="24" spans="1:12">
      <c r="A24" s="611">
        <f t="shared" si="0"/>
        <v>2000</v>
      </c>
      <c r="B24" s="614">
        <f>'9'!H38</f>
        <v>0.50968985488856333</v>
      </c>
      <c r="C24" s="614">
        <f>'9'!P38</f>
        <v>0.41681240907817868</v>
      </c>
      <c r="D24" s="614">
        <f>'9'!X38</f>
        <v>0.42927106491595002</v>
      </c>
      <c r="E24" s="614">
        <f>'9'!AF38</f>
        <v>0.46768984552034831</v>
      </c>
      <c r="F24" s="614">
        <f>'9'!AN38</f>
        <v>0.45600621274366865</v>
      </c>
      <c r="G24" s="614">
        <f>'9'!AV38</f>
        <v>0.47528548083889144</v>
      </c>
      <c r="H24" s="614">
        <f>'9'!BD38</f>
        <v>0.52980179527969162</v>
      </c>
      <c r="I24" s="614">
        <f>'9'!BL38</f>
        <v>0.47808946511251493</v>
      </c>
      <c r="J24" s="614">
        <f>'9'!BT38</f>
        <v>0.49268301107416157</v>
      </c>
      <c r="K24" s="614">
        <f>'9'!CB38</f>
        <v>0.62092943073852591</v>
      </c>
      <c r="L24" s="614">
        <f>'9'!CJ38</f>
        <v>0.51437440751838115</v>
      </c>
    </row>
    <row r="25" spans="1:12">
      <c r="A25" s="611">
        <f t="shared" si="0"/>
        <v>2001</v>
      </c>
      <c r="B25" s="614">
        <f>'9'!H39</f>
        <v>0.50968640160868317</v>
      </c>
      <c r="C25" s="614">
        <f>'9'!P39</f>
        <v>0.45404325933352452</v>
      </c>
      <c r="D25" s="614">
        <f>'9'!X39</f>
        <v>0.43422191658711706</v>
      </c>
      <c r="E25" s="614">
        <f>'9'!AF39</f>
        <v>0.46311807053413828</v>
      </c>
      <c r="F25" s="614">
        <f>'9'!AN39</f>
        <v>0.442299570398904</v>
      </c>
      <c r="G25" s="614">
        <f>'9'!AV39</f>
        <v>0.48449779986462294</v>
      </c>
      <c r="H25" s="614">
        <f>'9'!BD39</f>
        <v>0.52919438261129426</v>
      </c>
      <c r="I25" s="614">
        <f>'9'!BL39</f>
        <v>0.48937166386042164</v>
      </c>
      <c r="J25" s="614">
        <f>'9'!BT39</f>
        <v>0.51197316136139814</v>
      </c>
      <c r="K25" s="614">
        <f>'9'!CB39</f>
        <v>0.62165405253544703</v>
      </c>
      <c r="L25" s="614">
        <f>'9'!CJ39</f>
        <v>0.48981146764811007</v>
      </c>
    </row>
    <row r="26" spans="1:12">
      <c r="A26" s="611">
        <f t="shared" si="0"/>
        <v>2002</v>
      </c>
      <c r="B26" s="614">
        <f>'9'!H40</f>
        <v>0.50226432094820594</v>
      </c>
      <c r="C26" s="614">
        <f>'9'!P40</f>
        <v>0.43783193096399053</v>
      </c>
      <c r="D26" s="614">
        <f>'9'!X40</f>
        <v>0.46573982280694903</v>
      </c>
      <c r="E26" s="614">
        <f>'9'!AF40</f>
        <v>0.45835420067275767</v>
      </c>
      <c r="F26" s="614">
        <f>'9'!AN40</f>
        <v>0.43131378613933219</v>
      </c>
      <c r="G26" s="614">
        <f>'9'!AV40</f>
        <v>0.48618984366274454</v>
      </c>
      <c r="H26" s="614">
        <f>'9'!BD40</f>
        <v>0.51337763544650294</v>
      </c>
      <c r="I26" s="614">
        <f>'9'!BL40</f>
        <v>0.48327147046041447</v>
      </c>
      <c r="J26" s="614">
        <f>'9'!BT40</f>
        <v>0.50773495004032076</v>
      </c>
      <c r="K26" s="614">
        <f>'9'!CB40</f>
        <v>0.63587699511149864</v>
      </c>
      <c r="L26" s="614">
        <f>'9'!CJ40</f>
        <v>0.46986702739262526</v>
      </c>
    </row>
    <row r="27" spans="1:12">
      <c r="A27" s="611">
        <f t="shared" si="0"/>
        <v>2003</v>
      </c>
      <c r="B27" s="614">
        <f>'9'!H41</f>
        <v>0.5105743605227403</v>
      </c>
      <c r="C27" s="614">
        <f>'9'!P41</f>
        <v>0.43908920706917842</v>
      </c>
      <c r="D27" s="614">
        <f>'9'!X41</f>
        <v>0.48079268954475668</v>
      </c>
      <c r="E27" s="614">
        <f>'9'!AF41</f>
        <v>0.45623289194660438</v>
      </c>
      <c r="F27" s="614">
        <f>'9'!AN41</f>
        <v>0.41932942816918373</v>
      </c>
      <c r="G27" s="614">
        <f>'9'!AV41</f>
        <v>0.49859697699079775</v>
      </c>
      <c r="H27" s="614">
        <f>'9'!BD41</f>
        <v>0.52576883138735897</v>
      </c>
      <c r="I27" s="614">
        <f>'9'!BL41</f>
        <v>0.49931454844795731</v>
      </c>
      <c r="J27" s="614">
        <f>'9'!BT41</f>
        <v>0.51921920290300994</v>
      </c>
      <c r="K27" s="614">
        <f>'9'!CB41</f>
        <v>0.61513028257223967</v>
      </c>
      <c r="L27" s="614">
        <f>'9'!CJ41</f>
        <v>0.48201217547305542</v>
      </c>
    </row>
    <row r="28" spans="1:12">
      <c r="A28" s="611">
        <f t="shared" si="0"/>
        <v>2004</v>
      </c>
      <c r="B28" s="614">
        <f>'9'!H42</f>
        <v>0.51589996617088774</v>
      </c>
      <c r="C28" s="614">
        <f>'9'!P42</f>
        <v>0.44386407668138417</v>
      </c>
      <c r="D28" s="614">
        <f>'9'!X42</f>
        <v>0.48872217375184324</v>
      </c>
      <c r="E28" s="614">
        <f>'9'!AF42</f>
        <v>0.47500192095937038</v>
      </c>
      <c r="F28" s="614">
        <f>'9'!AN42</f>
        <v>0.44169119798704182</v>
      </c>
      <c r="G28" s="614">
        <f>'9'!AV42</f>
        <v>0.52248577313944111</v>
      </c>
      <c r="H28" s="614">
        <f>'9'!BD42</f>
        <v>0.51030998604874223</v>
      </c>
      <c r="I28" s="614">
        <f>'9'!BL42</f>
        <v>0.50633961277938422</v>
      </c>
      <c r="J28" s="614">
        <f>'9'!BT42</f>
        <v>0.50825336106653851</v>
      </c>
      <c r="K28" s="614">
        <f>'9'!CB42</f>
        <v>0.63029717717276101</v>
      </c>
      <c r="L28" s="614">
        <f>'9'!CJ42</f>
        <v>0.50035665338436996</v>
      </c>
    </row>
    <row r="29" spans="1:12">
      <c r="A29" s="611">
        <f t="shared" si="0"/>
        <v>2005</v>
      </c>
      <c r="B29" s="614">
        <f>'9'!H43</f>
        <v>0.53118336100478869</v>
      </c>
      <c r="C29" s="614">
        <f>'9'!P43</f>
        <v>0.51897240051845728</v>
      </c>
      <c r="D29" s="614">
        <f>'9'!X43</f>
        <v>0.52722746786119312</v>
      </c>
      <c r="E29" s="614">
        <f>'9'!AF43</f>
        <v>0.50083922110962531</v>
      </c>
      <c r="F29" s="614">
        <f>'9'!AN43</f>
        <v>0.43475959301325384</v>
      </c>
      <c r="G29" s="614">
        <f>'9'!AV43</f>
        <v>0.50694673689245684</v>
      </c>
      <c r="H29" s="614">
        <f>'9'!BD43</f>
        <v>0.52388130310462433</v>
      </c>
      <c r="I29" s="614">
        <f>'9'!BL43</f>
        <v>0.49963395524259685</v>
      </c>
      <c r="J29" s="614">
        <f>'9'!BT43</f>
        <v>0.48690094776734316</v>
      </c>
      <c r="K29" s="614">
        <f>'9'!CB43</f>
        <v>0.69226794468586839</v>
      </c>
      <c r="L29" s="614">
        <f>'9'!CJ43</f>
        <v>0.53443515709350564</v>
      </c>
    </row>
    <row r="30" spans="1:12">
      <c r="A30" s="611">
        <f t="shared" si="0"/>
        <v>2006</v>
      </c>
      <c r="B30" s="614">
        <f>'9'!H44</f>
        <v>0.55580840623949612</v>
      </c>
      <c r="C30" s="614">
        <f>'9'!P44</f>
        <v>0.56018862518247858</v>
      </c>
      <c r="D30" s="614">
        <f>'9'!X44</f>
        <v>0.51493144362179144</v>
      </c>
      <c r="E30" s="614">
        <f>'9'!AF44</f>
        <v>0.50807122794016368</v>
      </c>
      <c r="F30" s="614">
        <f>'9'!AN44</f>
        <v>0.45433861719066171</v>
      </c>
      <c r="G30" s="614">
        <f>'9'!AV44</f>
        <v>0.53458099537136172</v>
      </c>
      <c r="H30" s="614">
        <f>'9'!BD44</f>
        <v>0.54364005304224972</v>
      </c>
      <c r="I30" s="614">
        <f>'9'!BL44</f>
        <v>0.52345907733648178</v>
      </c>
      <c r="J30" s="614">
        <f>'9'!BT44</f>
        <v>0.51252479395428718</v>
      </c>
      <c r="K30" s="614">
        <f>'9'!CB44</f>
        <v>0.74001546395321327</v>
      </c>
      <c r="L30" s="614">
        <f>'9'!CJ44</f>
        <v>0.54706353360353654</v>
      </c>
    </row>
    <row r="31" spans="1:12">
      <c r="A31" s="611">
        <f t="shared" si="0"/>
        <v>2007</v>
      </c>
      <c r="B31" s="614">
        <f>'9'!H45</f>
        <v>0.56882926438580561</v>
      </c>
      <c r="C31" s="614">
        <f>'9'!P45</f>
        <v>0.59305666568979809</v>
      </c>
      <c r="D31" s="614">
        <f>'9'!X45</f>
        <v>0.54827280924306199</v>
      </c>
      <c r="E31" s="614">
        <f>'9'!AF45</f>
        <v>0.50609660015947477</v>
      </c>
      <c r="F31" s="614">
        <f>'9'!AN45</f>
        <v>0.47511848920639321</v>
      </c>
      <c r="G31" s="614">
        <f>'9'!AV45</f>
        <v>0.53861036054613454</v>
      </c>
      <c r="H31" s="614">
        <f>'9'!BD45</f>
        <v>0.55907116028317083</v>
      </c>
      <c r="I31" s="614">
        <f>'9'!BL45</f>
        <v>0.53537954842512958</v>
      </c>
      <c r="J31" s="614">
        <f>'9'!BT45</f>
        <v>0.57140722249253773</v>
      </c>
      <c r="K31" s="614">
        <f>'9'!CB45</f>
        <v>0.73178216902539095</v>
      </c>
      <c r="L31" s="614">
        <f>'9'!CJ45</f>
        <v>0.57847824602954079</v>
      </c>
    </row>
    <row r="32" spans="1:12">
      <c r="A32" s="611">
        <f t="shared" si="0"/>
        <v>2008</v>
      </c>
      <c r="B32" s="614">
        <f>'9'!H46</f>
        <v>0.5748443538431145</v>
      </c>
      <c r="C32" s="614">
        <f>'9'!P46</f>
        <v>0.60291335866506623</v>
      </c>
      <c r="D32" s="614">
        <f>'9'!X46</f>
        <v>0.51673339305795085</v>
      </c>
      <c r="E32" s="614">
        <f>'9'!AF46</f>
        <v>0.49631571730555829</v>
      </c>
      <c r="F32" s="614">
        <f>'9'!AN46</f>
        <v>0.49022849102908311</v>
      </c>
      <c r="G32" s="614">
        <f>'9'!AV46</f>
        <v>0.53168229309134341</v>
      </c>
      <c r="H32" s="614">
        <f>'9'!BD46</f>
        <v>0.54858195273282151</v>
      </c>
      <c r="I32" s="614">
        <f>'9'!BL46</f>
        <v>0.56546695444248929</v>
      </c>
      <c r="J32" s="614">
        <f>'9'!BT46</f>
        <v>0.63127372339400556</v>
      </c>
      <c r="K32" s="614">
        <f>'9'!CB46</f>
        <v>0.79894237839691451</v>
      </c>
      <c r="L32" s="614">
        <f>'9'!CJ46</f>
        <v>0.55882763748495012</v>
      </c>
    </row>
    <row r="33" spans="1:12">
      <c r="A33" s="611">
        <f t="shared" si="0"/>
        <v>2009</v>
      </c>
      <c r="B33" s="614">
        <f>'9'!H47</f>
        <v>0.55360366467963618</v>
      </c>
      <c r="C33" s="614">
        <f>'9'!P47</f>
        <v>0.62686368233656364</v>
      </c>
      <c r="D33" s="614">
        <f>'9'!X47</f>
        <v>0.55155845916179125</v>
      </c>
      <c r="E33" s="614">
        <f>'9'!AF47</f>
        <v>0.49218325636458399</v>
      </c>
      <c r="F33" s="614">
        <f>'9'!AN47</f>
        <v>0.49739648959821714</v>
      </c>
      <c r="G33" s="614">
        <f>'9'!AV47</f>
        <v>0.54191733924433649</v>
      </c>
      <c r="H33" s="614">
        <f>'9'!BD47</f>
        <v>0.5330824699832839</v>
      </c>
      <c r="I33" s="614">
        <f>'9'!BL47</f>
        <v>0.55574664528221629</v>
      </c>
      <c r="J33" s="614">
        <f>'9'!BT47</f>
        <v>0.61284026680336678</v>
      </c>
      <c r="K33" s="614">
        <f>'9'!CB47</f>
        <v>0.72599439422254564</v>
      </c>
      <c r="L33" s="614">
        <f>'9'!CJ47</f>
        <v>0.53844696776556267</v>
      </c>
    </row>
    <row r="34" spans="1:12">
      <c r="A34" s="611">
        <f t="shared" si="0"/>
        <v>2010</v>
      </c>
      <c r="B34" s="614">
        <f>'9'!H48</f>
        <v>0.56162138366182712</v>
      </c>
      <c r="C34" s="614">
        <f>'9'!P48</f>
        <v>0.63856541411118495</v>
      </c>
      <c r="D34" s="614">
        <f>'9'!X48</f>
        <v>0.56836563021432185</v>
      </c>
      <c r="E34" s="614">
        <f>'9'!AF48</f>
        <v>0.49889698445646014</v>
      </c>
      <c r="F34" s="614">
        <f>'9'!AN48</f>
        <v>0.50238519565860762</v>
      </c>
      <c r="G34" s="614">
        <f>'9'!AV48</f>
        <v>0.54971034428564569</v>
      </c>
      <c r="H34" s="614">
        <f>'9'!BD48</f>
        <v>0.53759246691193852</v>
      </c>
      <c r="I34" s="614">
        <f>'9'!BL48</f>
        <v>0.56237817775561116</v>
      </c>
      <c r="J34" s="614">
        <f>'9'!BT48</f>
        <v>0.61760886781323132</v>
      </c>
      <c r="K34" s="614">
        <f>'9'!CB48</f>
        <v>0.73266148590496349</v>
      </c>
      <c r="L34" s="614">
        <f>'9'!CJ48</f>
        <v>0.5439423494896477</v>
      </c>
    </row>
    <row r="35" spans="1:12">
      <c r="A35" s="611" t="s">
        <v>1499</v>
      </c>
    </row>
    <row r="36" spans="1:12">
      <c r="A36" s="611" t="s">
        <v>1498</v>
      </c>
      <c r="B36" s="615">
        <f>B34-B5</f>
        <v>0.11381680100491187</v>
      </c>
      <c r="C36" s="615">
        <f t="shared" ref="C36:L36" si="1">C34-C5</f>
        <v>0.36005937174005548</v>
      </c>
      <c r="D36" s="615">
        <f t="shared" si="1"/>
        <v>0.27545947508204083</v>
      </c>
      <c r="E36" s="615">
        <f t="shared" si="1"/>
        <v>0.1180968173122543</v>
      </c>
      <c r="F36" s="615">
        <f t="shared" si="1"/>
        <v>0.22108121527014757</v>
      </c>
      <c r="G36" s="615">
        <f t="shared" si="1"/>
        <v>0.16308448393347419</v>
      </c>
      <c r="H36" s="615">
        <f t="shared" si="1"/>
        <v>5.7940261924169956E-2</v>
      </c>
      <c r="I36" s="615">
        <f t="shared" si="1"/>
        <v>0.17385433134508688</v>
      </c>
      <c r="J36" s="615">
        <f t="shared" si="1"/>
        <v>0.19760841035202303</v>
      </c>
      <c r="K36" s="615">
        <f t="shared" si="1"/>
        <v>0.13070538091821216</v>
      </c>
      <c r="L36" s="615">
        <f t="shared" si="1"/>
        <v>5.6795172414584316E-2</v>
      </c>
    </row>
    <row r="37" spans="1:12">
      <c r="A37" s="611" t="s">
        <v>1472</v>
      </c>
      <c r="B37" s="615">
        <f>B13-B5</f>
        <v>5.5766631047653559E-2</v>
      </c>
      <c r="C37" s="615">
        <f t="shared" ref="C37:L37" si="2">C13-C5</f>
        <v>0.13347041423991146</v>
      </c>
      <c r="D37" s="615">
        <f t="shared" si="2"/>
        <v>0.13950267256330529</v>
      </c>
      <c r="E37" s="615">
        <f t="shared" si="2"/>
        <v>7.4989859840492668E-2</v>
      </c>
      <c r="F37" s="615">
        <f t="shared" si="2"/>
        <v>0.13254868356329647</v>
      </c>
      <c r="G37" s="615">
        <f t="shared" si="2"/>
        <v>7.5288522724764162E-2</v>
      </c>
      <c r="H37" s="615">
        <f t="shared" si="2"/>
        <v>7.186503667472216E-2</v>
      </c>
      <c r="I37" s="615">
        <f t="shared" si="2"/>
        <v>9.8197153341126109E-2</v>
      </c>
      <c r="J37" s="615">
        <f t="shared" si="2"/>
        <v>1.3991891170329618E-2</v>
      </c>
      <c r="K37" s="615">
        <f t="shared" si="2"/>
        <v>-6.9370741672620917E-2</v>
      </c>
      <c r="L37" s="615">
        <f t="shared" si="2"/>
        <v>3.5034564854330985E-2</v>
      </c>
    </row>
    <row r="38" spans="1:12">
      <c r="A38" s="611" t="s">
        <v>1473</v>
      </c>
      <c r="B38" s="615">
        <f>B24-B13</f>
        <v>6.1186411839945221E-3</v>
      </c>
      <c r="C38" s="615">
        <f t="shared" ref="C38:L38" si="3">C24-C13</f>
        <v>4.8359524671377496E-3</v>
      </c>
      <c r="D38" s="615">
        <f t="shared" si="3"/>
        <v>-3.1377627796362884E-3</v>
      </c>
      <c r="E38" s="615">
        <f t="shared" si="3"/>
        <v>1.1899818535649809E-2</v>
      </c>
      <c r="F38" s="615">
        <f t="shared" si="3"/>
        <v>4.2153548791912132E-2</v>
      </c>
      <c r="G38" s="615">
        <f t="shared" si="3"/>
        <v>1.3371097761955775E-2</v>
      </c>
      <c r="H38" s="615">
        <f t="shared" si="3"/>
        <v>-2.1715446382799097E-2</v>
      </c>
      <c r="I38" s="615">
        <f t="shared" si="3"/>
        <v>-8.631534639135463E-3</v>
      </c>
      <c r="J38" s="615">
        <f t="shared" si="3"/>
        <v>5.8690662442623664E-2</v>
      </c>
      <c r="K38" s="615">
        <f t="shared" si="3"/>
        <v>8.8344067424395489E-2</v>
      </c>
      <c r="L38" s="615">
        <f t="shared" si="3"/>
        <v>-7.8073344110132226E-3</v>
      </c>
    </row>
    <row r="39" spans="1:12">
      <c r="A39" s="611" t="s">
        <v>1474</v>
      </c>
      <c r="B39" s="615">
        <f>B32-B24</f>
        <v>6.5154498954551165E-2</v>
      </c>
      <c r="C39" s="615">
        <f t="shared" ref="C39:L39" si="4">C32-C24</f>
        <v>0.18610094958688755</v>
      </c>
      <c r="D39" s="615">
        <f t="shared" si="4"/>
        <v>8.7462328142000834E-2</v>
      </c>
      <c r="E39" s="615">
        <f t="shared" si="4"/>
        <v>2.8625871785209978E-2</v>
      </c>
      <c r="F39" s="615">
        <f t="shared" si="4"/>
        <v>3.4222278285414465E-2</v>
      </c>
      <c r="G39" s="615">
        <f t="shared" si="4"/>
        <v>5.6396812252451967E-2</v>
      </c>
      <c r="H39" s="615">
        <f t="shared" si="4"/>
        <v>1.8780157453129886E-2</v>
      </c>
      <c r="I39" s="615">
        <f t="shared" si="4"/>
        <v>8.7377489329974356E-2</v>
      </c>
      <c r="J39" s="615">
        <f t="shared" si="4"/>
        <v>0.13859071231984399</v>
      </c>
      <c r="K39" s="615">
        <f t="shared" si="4"/>
        <v>0.1780129476583886</v>
      </c>
      <c r="L39" s="615">
        <f t="shared" si="4"/>
        <v>4.4453229966568975E-2</v>
      </c>
    </row>
    <row r="40" spans="1:12">
      <c r="A40" s="611" t="s">
        <v>1500</v>
      </c>
    </row>
    <row r="41" spans="1:12">
      <c r="A41" s="611" t="s">
        <v>1498</v>
      </c>
      <c r="B41" s="616">
        <f>100*(B34-B5)/B5</f>
        <v>25.416622654822724</v>
      </c>
      <c r="C41" s="616">
        <f t="shared" ref="C41:L41" si="5">100*(C34-C5)/C5</f>
        <v>129.28242729479106</v>
      </c>
      <c r="D41" s="616">
        <f t="shared" si="5"/>
        <v>94.043593914111838</v>
      </c>
      <c r="E41" s="616">
        <f t="shared" si="5"/>
        <v>31.012806059912265</v>
      </c>
      <c r="F41" s="616">
        <f t="shared" si="5"/>
        <v>78.591570216976919</v>
      </c>
      <c r="G41" s="616">
        <f t="shared" si="5"/>
        <v>42.181473268477973</v>
      </c>
      <c r="H41" s="616">
        <f t="shared" si="5"/>
        <v>12.079640481512531</v>
      </c>
      <c r="I41" s="616">
        <f t="shared" si="5"/>
        <v>44.747403010467451</v>
      </c>
      <c r="J41" s="616">
        <f>100*(J34-J5)/J5</f>
        <v>47.049570266307242</v>
      </c>
      <c r="K41" s="616">
        <f t="shared" si="5"/>
        <v>21.71344053751044</v>
      </c>
      <c r="L41" s="616">
        <f t="shared" si="5"/>
        <v>11.658729658579727</v>
      </c>
    </row>
    <row r="42" spans="1:12">
      <c r="A42" s="611" t="s">
        <v>1472</v>
      </c>
      <c r="B42" s="616">
        <f>100*(B13-B5)/B5</f>
        <v>12.453340856133906</v>
      </c>
      <c r="C42" s="616">
        <f t="shared" ref="C42:L42" si="6">100*(C13-C5)/C5</f>
        <v>47.923705031164992</v>
      </c>
      <c r="D42" s="616">
        <f t="shared" si="6"/>
        <v>47.627088102776021</v>
      </c>
      <c r="E42" s="616">
        <f t="shared" si="6"/>
        <v>19.692706650544782</v>
      </c>
      <c r="F42" s="616">
        <f t="shared" si="6"/>
        <v>47.119377187715763</v>
      </c>
      <c r="G42" s="616">
        <f t="shared" si="6"/>
        <v>19.473224749163187</v>
      </c>
      <c r="H42" s="616">
        <f t="shared" si="6"/>
        <v>14.982738727648456</v>
      </c>
      <c r="I42" s="616">
        <f t="shared" si="6"/>
        <v>25.274421183756242</v>
      </c>
      <c r="J42" s="616">
        <f t="shared" si="6"/>
        <v>3.3313990310646089</v>
      </c>
      <c r="K42" s="616">
        <f t="shared" si="6"/>
        <v>-11.524219307344298</v>
      </c>
      <c r="L42" s="616">
        <f t="shared" si="6"/>
        <v>7.1917823818021613</v>
      </c>
    </row>
    <row r="43" spans="1:12">
      <c r="A43" s="611" t="s">
        <v>1473</v>
      </c>
      <c r="B43" s="616">
        <f>100*(B24-B13)/B13</f>
        <v>1.2150498315783711</v>
      </c>
      <c r="C43" s="616">
        <f t="shared" ref="C43:L43" si="7">100*(C24-C13)/C13</f>
        <v>1.1738419488625085</v>
      </c>
      <c r="D43" s="616">
        <f t="shared" si="7"/>
        <v>-0.72564725293842935</v>
      </c>
      <c r="E43" s="616">
        <f t="shared" si="7"/>
        <v>2.6108115209044058</v>
      </c>
      <c r="F43" s="616">
        <f t="shared" si="7"/>
        <v>10.185641525029798</v>
      </c>
      <c r="G43" s="616">
        <f t="shared" si="7"/>
        <v>2.8947134473032219</v>
      </c>
      <c r="H43" s="616">
        <f t="shared" si="7"/>
        <v>-3.9374011803040223</v>
      </c>
      <c r="I43" s="616">
        <f t="shared" si="7"/>
        <v>-1.7734050192080695</v>
      </c>
      <c r="J43" s="616">
        <f t="shared" si="7"/>
        <v>13.523432527713153</v>
      </c>
      <c r="K43" s="616">
        <f t="shared" si="7"/>
        <v>16.587776065540922</v>
      </c>
      <c r="L43" s="616">
        <f t="shared" si="7"/>
        <v>-1.4951373792132461</v>
      </c>
    </row>
    <row r="44" spans="1:12">
      <c r="A44" s="611" t="s">
        <v>1474</v>
      </c>
      <c r="B44" s="616">
        <f>100*(B32-B24)/B24</f>
        <v>12.783165748668139</v>
      </c>
      <c r="C44" s="616">
        <f t="shared" ref="C44:L44" si="8">100*(C32-C24)/C24</f>
        <v>44.648610630011703</v>
      </c>
      <c r="D44" s="616">
        <f t="shared" si="8"/>
        <v>20.374615316577582</v>
      </c>
      <c r="E44" s="616">
        <f t="shared" si="8"/>
        <v>6.1206955976050832</v>
      </c>
      <c r="F44" s="616">
        <f t="shared" si="8"/>
        <v>7.5047833404523319</v>
      </c>
      <c r="G44" s="616">
        <f t="shared" si="8"/>
        <v>11.865881565098539</v>
      </c>
      <c r="H44" s="616">
        <f t="shared" si="8"/>
        <v>3.5447515694459875</v>
      </c>
      <c r="I44" s="616">
        <f t="shared" si="8"/>
        <v>18.276388773680818</v>
      </c>
      <c r="J44" s="616">
        <f t="shared" si="8"/>
        <v>28.129793235144145</v>
      </c>
      <c r="K44" s="616">
        <f t="shared" si="8"/>
        <v>28.668788890657378</v>
      </c>
      <c r="L44" s="616">
        <f t="shared" si="8"/>
        <v>8.64219318006805</v>
      </c>
    </row>
    <row r="45" spans="1:12">
      <c r="A45" s="611" t="s">
        <v>1501</v>
      </c>
    </row>
    <row r="46" spans="1:12">
      <c r="A46" s="611" t="s">
        <v>1498</v>
      </c>
      <c r="B46" s="617">
        <f>100*(POWER(B34/B5, 1/29)-1)</f>
        <v>0.78399169619405296</v>
      </c>
      <c r="C46" s="617">
        <f t="shared" ref="C46:L46" si="9">100*(POWER(C34/C5, 1/29)-1)</f>
        <v>2.9026545559239114</v>
      </c>
      <c r="D46" s="617">
        <f t="shared" si="9"/>
        <v>2.3122327656535102</v>
      </c>
      <c r="E46" s="617">
        <f t="shared" si="9"/>
        <v>0.93581677047003264</v>
      </c>
      <c r="F46" s="617">
        <f t="shared" si="9"/>
        <v>2.0198922578372525</v>
      </c>
      <c r="G46" s="617">
        <f t="shared" si="9"/>
        <v>1.2209592291991145</v>
      </c>
      <c r="H46" s="617">
        <f t="shared" si="9"/>
        <v>0.39401388566711049</v>
      </c>
      <c r="I46" s="617">
        <f t="shared" si="9"/>
        <v>1.2834072187437151</v>
      </c>
      <c r="J46" s="617">
        <f t="shared" si="9"/>
        <v>1.3385328482346859</v>
      </c>
      <c r="K46" s="617">
        <f t="shared" si="9"/>
        <v>0.67988440460025057</v>
      </c>
      <c r="L46" s="617">
        <f t="shared" si="9"/>
        <v>0.38098936412638285</v>
      </c>
    </row>
    <row r="47" spans="1:12">
      <c r="A47" s="611" t="s">
        <v>1472</v>
      </c>
      <c r="B47" s="617">
        <f>100*(POWER(B13/B5, 1/8)-1)</f>
        <v>1.4779172932342322</v>
      </c>
      <c r="C47" s="617">
        <f t="shared" ref="C47:L47" si="10">100*(POWER(C13/C5, 1/8)-1)</f>
        <v>5.0158185877279493</v>
      </c>
      <c r="D47" s="617">
        <f t="shared" si="10"/>
        <v>4.9894732239881279</v>
      </c>
      <c r="E47" s="617">
        <f t="shared" si="10"/>
        <v>2.2724031666895739</v>
      </c>
      <c r="F47" s="617">
        <f t="shared" si="10"/>
        <v>4.9442709189297496</v>
      </c>
      <c r="G47" s="617">
        <f t="shared" si="10"/>
        <v>2.2489420774214341</v>
      </c>
      <c r="H47" s="617">
        <f t="shared" si="10"/>
        <v>1.7604645896364346</v>
      </c>
      <c r="I47" s="617">
        <f t="shared" si="10"/>
        <v>2.8567506989400915</v>
      </c>
      <c r="J47" s="617">
        <f t="shared" si="10"/>
        <v>0.4104789614554738</v>
      </c>
      <c r="K47" s="617">
        <f t="shared" si="10"/>
        <v>-1.5188638176440672</v>
      </c>
      <c r="L47" s="617">
        <f t="shared" si="10"/>
        <v>0.87189660324544782</v>
      </c>
    </row>
    <row r="48" spans="1:12">
      <c r="A48" s="611" t="s">
        <v>1473</v>
      </c>
      <c r="B48" s="617">
        <f>100*(POWER(B24/B13, 1/11)-1)</f>
        <v>0.10985369100686704</v>
      </c>
      <c r="C48" s="617">
        <f t="shared" ref="C48:L48" si="11">100*(POWER(C24/C13, 1/11)-1)</f>
        <v>0.10614773949340073</v>
      </c>
      <c r="D48" s="617">
        <f t="shared" si="11"/>
        <v>-6.6186530591350046E-2</v>
      </c>
      <c r="E48" s="617">
        <f t="shared" si="11"/>
        <v>0.23457575983738543</v>
      </c>
      <c r="F48" s="617">
        <f t="shared" si="11"/>
        <v>0.88568470410794742</v>
      </c>
      <c r="G48" s="617">
        <f t="shared" si="11"/>
        <v>0.25975569018061861</v>
      </c>
      <c r="H48" s="617">
        <f t="shared" si="11"/>
        <v>-0.36451707204899764</v>
      </c>
      <c r="I48" s="617">
        <f t="shared" si="11"/>
        <v>-0.16253306846146787</v>
      </c>
      <c r="J48" s="617">
        <f t="shared" si="11"/>
        <v>1.1597562015939866</v>
      </c>
      <c r="K48" s="617">
        <f t="shared" si="11"/>
        <v>1.4049990426158843</v>
      </c>
      <c r="L48" s="617">
        <f t="shared" si="11"/>
        <v>-0.13685419929674314</v>
      </c>
    </row>
    <row r="49" spans="1:12">
      <c r="A49" s="611" t="s">
        <v>1474</v>
      </c>
      <c r="B49" s="617">
        <f>100*(POWER(B32/B24, 1/8)-1)</f>
        <v>1.5150738967648847</v>
      </c>
      <c r="C49" s="617">
        <f t="shared" ref="C49:L49" si="12">100*(POWER(C32/C24, 1/8)-1)</f>
        <v>4.7223268444673394</v>
      </c>
      <c r="D49" s="617">
        <f t="shared" si="12"/>
        <v>2.3450550723358887</v>
      </c>
      <c r="E49" s="617">
        <f t="shared" si="12"/>
        <v>0.74535023500823527</v>
      </c>
      <c r="F49" s="617">
        <f t="shared" si="12"/>
        <v>0.9086680078052467</v>
      </c>
      <c r="G49" s="617">
        <f t="shared" si="12"/>
        <v>1.4114999237505144</v>
      </c>
      <c r="H49" s="617">
        <f t="shared" si="12"/>
        <v>0.43637078130085438</v>
      </c>
      <c r="I49" s="617">
        <f t="shared" si="12"/>
        <v>2.1203411615663192</v>
      </c>
      <c r="J49" s="617">
        <f t="shared" si="12"/>
        <v>3.146920316890256</v>
      </c>
      <c r="K49" s="617">
        <f t="shared" si="12"/>
        <v>3.2010584783757068</v>
      </c>
      <c r="L49" s="617">
        <f t="shared" si="12"/>
        <v>1.041507133706987</v>
      </c>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dimension ref="A1:L49"/>
  <sheetViews>
    <sheetView workbookViewId="0">
      <selection activeCell="E9" sqref="E9"/>
    </sheetView>
  </sheetViews>
  <sheetFormatPr defaultRowHeight="12.75"/>
  <cols>
    <col min="1" max="16384" width="9" style="618"/>
  </cols>
  <sheetData>
    <row r="1" spans="1:12">
      <c r="A1" s="611" t="s">
        <v>1481</v>
      </c>
      <c r="B1" s="611"/>
      <c r="C1" s="611"/>
      <c r="D1" s="611"/>
      <c r="E1" s="611"/>
      <c r="F1" s="611"/>
      <c r="G1" s="611"/>
      <c r="H1" s="611"/>
      <c r="I1" s="611"/>
      <c r="J1" s="611"/>
      <c r="K1" s="611"/>
      <c r="L1" s="611"/>
    </row>
    <row r="2" spans="1:12">
      <c r="A2" s="611"/>
      <c r="B2" s="611"/>
      <c r="C2" s="611"/>
      <c r="D2" s="611"/>
      <c r="E2" s="611"/>
      <c r="F2" s="611"/>
      <c r="G2" s="611"/>
      <c r="H2" s="611"/>
      <c r="I2" s="611"/>
      <c r="J2" s="611"/>
      <c r="K2" s="611"/>
      <c r="L2" s="611"/>
    </row>
    <row r="3" spans="1:12">
      <c r="A3" s="611"/>
      <c r="B3" s="611"/>
      <c r="C3" s="611"/>
      <c r="D3" s="612"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5">
        <f>'a30'!B4</f>
        <v>26080.790365317527</v>
      </c>
      <c r="C5" s="625">
        <f>'a30'!C4</f>
        <v>16278.406819374868</v>
      </c>
      <c r="D5" s="625">
        <f>'a30'!D4</f>
        <v>17094.155449976122</v>
      </c>
      <c r="E5" s="625">
        <f>'a30'!E4</f>
        <v>18687.029972943285</v>
      </c>
      <c r="F5" s="625">
        <f>'a30'!F4</f>
        <v>17131.015035997498</v>
      </c>
      <c r="G5" s="625">
        <f>'a30'!G4</f>
        <v>23706.139121613232</v>
      </c>
      <c r="H5" s="625">
        <f>'a30'!H4</f>
        <v>28533.458855057586</v>
      </c>
      <c r="I5" s="625">
        <f>'a30'!I4</f>
        <v>23783.611528229096</v>
      </c>
      <c r="J5" s="625">
        <f>'a30'!J4</f>
        <v>23970.058180349861</v>
      </c>
      <c r="K5" s="625">
        <f>'a30'!K4</f>
        <v>35785.804572817295</v>
      </c>
      <c r="L5" s="625">
        <f>'a30'!L4</f>
        <v>29888.649021176992</v>
      </c>
    </row>
    <row r="6" spans="1:12">
      <c r="A6" s="611">
        <f>A5+1</f>
        <v>1982</v>
      </c>
      <c r="B6" s="625">
        <f>'a30'!B5</f>
        <v>25035.531793639529</v>
      </c>
      <c r="C6" s="625">
        <f>'a30'!C5</f>
        <v>16483.238787371796</v>
      </c>
      <c r="D6" s="625">
        <f>'a30'!D5</f>
        <v>17242.774379389586</v>
      </c>
      <c r="E6" s="625">
        <f>'a30'!E5</f>
        <v>19290.18273929675</v>
      </c>
      <c r="F6" s="625">
        <f>'a30'!F5</f>
        <v>17428.621103473426</v>
      </c>
      <c r="G6" s="625">
        <f>'a30'!G5</f>
        <v>22735.053826905048</v>
      </c>
      <c r="H6" s="625">
        <f>'a30'!H5</f>
        <v>27426.468741816407</v>
      </c>
      <c r="I6" s="625">
        <f>'a30'!I5</f>
        <v>22943.407346176515</v>
      </c>
      <c r="J6" s="625">
        <f>'a30'!J5</f>
        <v>23265.172078955424</v>
      </c>
      <c r="K6" s="625">
        <f>'a30'!K5</f>
        <v>33496.537932937717</v>
      </c>
      <c r="L6" s="625">
        <f>'a30'!L5</f>
        <v>27576.44411827793</v>
      </c>
    </row>
    <row r="7" spans="1:12">
      <c r="A7" s="611">
        <f t="shared" ref="A7:A34" si="0">A6+1</f>
        <v>1983</v>
      </c>
      <c r="B7" s="625">
        <f>'a30'!B6</f>
        <v>25463.00229385656</v>
      </c>
      <c r="C7" s="625">
        <f>'a30'!C6</f>
        <v>16843.243019248435</v>
      </c>
      <c r="D7" s="625">
        <f>'a30'!D6</f>
        <v>18648.782593403783</v>
      </c>
      <c r="E7" s="625">
        <f>'a30'!E6</f>
        <v>19558.004305018261</v>
      </c>
      <c r="F7" s="625">
        <f>'a30'!F6</f>
        <v>18454.427691713692</v>
      </c>
      <c r="G7" s="625">
        <f>'a30'!G6</f>
        <v>23080.350435924651</v>
      </c>
      <c r="H7" s="625">
        <f>'a30'!H6</f>
        <v>28279.018766834328</v>
      </c>
      <c r="I7" s="625">
        <f>'a30'!I6</f>
        <v>22790.237715993931</v>
      </c>
      <c r="J7" s="625">
        <f>'a30'!J6</f>
        <v>23586.540411026628</v>
      </c>
      <c r="K7" s="625">
        <f>'a30'!K6</f>
        <v>32772.988823886495</v>
      </c>
      <c r="L7" s="625">
        <f>'a30'!L6</f>
        <v>27454.495302152845</v>
      </c>
    </row>
    <row r="8" spans="1:12">
      <c r="A8" s="611">
        <f t="shared" si="0"/>
        <v>1984</v>
      </c>
      <c r="B8" s="625">
        <f>'a30'!B7</f>
        <v>26690.380966525121</v>
      </c>
      <c r="C8" s="625">
        <f>'a30'!C7</f>
        <v>17280.821976847423</v>
      </c>
      <c r="D8" s="625">
        <f>'a30'!D7</f>
        <v>18852.271200903899</v>
      </c>
      <c r="E8" s="625">
        <f>'a30'!E7</f>
        <v>20562.502920324434</v>
      </c>
      <c r="F8" s="625">
        <f>'a30'!F7</f>
        <v>18697.049777373115</v>
      </c>
      <c r="G8" s="625">
        <f>'a30'!G7</f>
        <v>23972.964250922152</v>
      </c>
      <c r="H8" s="625">
        <f>'a30'!H7</f>
        <v>30096.152881204918</v>
      </c>
      <c r="I8" s="625">
        <f>'a30'!I7</f>
        <v>24392.382978326383</v>
      </c>
      <c r="J8" s="625">
        <f>'a30'!J7</f>
        <v>23751.866471518755</v>
      </c>
      <c r="K8" s="625">
        <f>'a30'!K7</f>
        <v>34162.145814352858</v>
      </c>
      <c r="L8" s="625">
        <f>'a30'!L7</f>
        <v>27293.878455378206</v>
      </c>
    </row>
    <row r="9" spans="1:12">
      <c r="A9" s="611">
        <f t="shared" si="0"/>
        <v>1985</v>
      </c>
      <c r="B9" s="625">
        <f>'a30'!B8</f>
        <v>27711.817406902748</v>
      </c>
      <c r="C9" s="625">
        <f>'a30'!C8</f>
        <v>17540.891631781105</v>
      </c>
      <c r="D9" s="625">
        <f>'a30'!D8</f>
        <v>18633.58904238397</v>
      </c>
      <c r="E9" s="625">
        <f>'a30'!E8</f>
        <v>21358.065943593032</v>
      </c>
      <c r="F9" s="625">
        <f>'a30'!F8</f>
        <v>19194.317055332114</v>
      </c>
      <c r="G9" s="625">
        <f>'a30'!G8</f>
        <v>24616.5427655967</v>
      </c>
      <c r="H9" s="625">
        <f>'a30'!H8</f>
        <v>30920.990414170206</v>
      </c>
      <c r="I9" s="625">
        <f>'a30'!I8</f>
        <v>25713.744636233885</v>
      </c>
      <c r="J9" s="625">
        <f>'a30'!J8</f>
        <v>24127.548471697522</v>
      </c>
      <c r="K9" s="625">
        <f>'a30'!K8</f>
        <v>36736.272556758398</v>
      </c>
      <c r="L9" s="625">
        <f>'a30'!L8</f>
        <v>28915.029287785983</v>
      </c>
    </row>
    <row r="10" spans="1:12">
      <c r="A10" s="611">
        <f t="shared" si="0"/>
        <v>1986</v>
      </c>
      <c r="B10" s="625">
        <f>'a30'!B9</f>
        <v>28101.922899058776</v>
      </c>
      <c r="C10" s="625">
        <f>'a30'!C9</f>
        <v>17643.404719020797</v>
      </c>
      <c r="D10" s="625">
        <f>'a30'!D9</f>
        <v>19317.013921330468</v>
      </c>
      <c r="E10" s="625">
        <f>'a30'!E9</f>
        <v>21707.661904852957</v>
      </c>
      <c r="F10" s="625">
        <f>'a30'!F9</f>
        <v>20469.808377435627</v>
      </c>
      <c r="G10" s="625">
        <f>'a30'!G9</f>
        <v>24947.787548616092</v>
      </c>
      <c r="H10" s="625">
        <f>'a30'!H9</f>
        <v>31695.837786821503</v>
      </c>
      <c r="I10" s="625">
        <f>'a30'!I9</f>
        <v>25557.188297030283</v>
      </c>
      <c r="J10" s="625">
        <f>'a30'!J9</f>
        <v>25414.180965221727</v>
      </c>
      <c r="K10" s="625">
        <f>'a30'!K9</f>
        <v>35488.074050630312</v>
      </c>
      <c r="L10" s="625">
        <f>'a30'!L9</f>
        <v>28694.365900358269</v>
      </c>
    </row>
    <row r="11" spans="1:12">
      <c r="A11" s="611">
        <f t="shared" si="0"/>
        <v>1987</v>
      </c>
      <c r="B11" s="625">
        <f>'a30'!B10</f>
        <v>28913.507637522114</v>
      </c>
      <c r="C11" s="625">
        <f>'a30'!C10</f>
        <v>18282.740133717634</v>
      </c>
      <c r="D11" s="625">
        <f>'a30'!D10</f>
        <v>19573.852815198887</v>
      </c>
      <c r="E11" s="625">
        <f>'a30'!E10</f>
        <v>22308.48942375051</v>
      </c>
      <c r="F11" s="625">
        <f>'a30'!F10</f>
        <v>21468.380033197394</v>
      </c>
      <c r="G11" s="625">
        <f>'a30'!G10</f>
        <v>25742.467101072489</v>
      </c>
      <c r="H11" s="625">
        <f>'a30'!H10</f>
        <v>32589.934887571988</v>
      </c>
      <c r="I11" s="625">
        <f>'a30'!I10</f>
        <v>25779.949070124629</v>
      </c>
      <c r="J11" s="625">
        <f>'a30'!J10</f>
        <v>25425.082712125011</v>
      </c>
      <c r="K11" s="625">
        <f>'a30'!K10</f>
        <v>36107.923504543651</v>
      </c>
      <c r="L11" s="625">
        <f>'a30'!L10</f>
        <v>30014.258765598293</v>
      </c>
    </row>
    <row r="12" spans="1:12">
      <c r="A12" s="611">
        <f t="shared" si="0"/>
        <v>1988</v>
      </c>
      <c r="B12" s="625">
        <f>'a30'!B11</f>
        <v>29960.793523468252</v>
      </c>
      <c r="C12" s="625">
        <f>'a30'!C11</f>
        <v>19430.173466299813</v>
      </c>
      <c r="D12" s="625">
        <f>'a30'!D11</f>
        <v>20109.986155047995</v>
      </c>
      <c r="E12" s="625">
        <f>'a30'!E11</f>
        <v>22486.224053070833</v>
      </c>
      <c r="F12" s="625">
        <f>'a30'!F11</f>
        <v>21519.848729853809</v>
      </c>
      <c r="G12" s="625">
        <f>'a30'!G11</f>
        <v>26699.713927457597</v>
      </c>
      <c r="H12" s="625">
        <f>'a30'!H11</f>
        <v>33641.709914601845</v>
      </c>
      <c r="I12" s="625">
        <f>'a30'!I11</f>
        <v>25556.36609106548</v>
      </c>
      <c r="J12" s="625">
        <f>'a30'!J11</f>
        <v>24665.807581025554</v>
      </c>
      <c r="K12" s="625">
        <f>'a30'!K11</f>
        <v>38741.536114342751</v>
      </c>
      <c r="L12" s="625">
        <f>'a30'!L11</f>
        <v>31085.53112100736</v>
      </c>
    </row>
    <row r="13" spans="1:12">
      <c r="A13" s="611">
        <f t="shared" si="0"/>
        <v>1989</v>
      </c>
      <c r="B13" s="625">
        <f>'a30'!B12</f>
        <v>30198.871340426864</v>
      </c>
      <c r="C13" s="625">
        <f>'a30'!C12</f>
        <v>20202.896187848084</v>
      </c>
      <c r="D13" s="625">
        <f>'a30'!D12</f>
        <v>20514.317764477193</v>
      </c>
      <c r="E13" s="625">
        <f>'a30'!E12</f>
        <v>22828.130168912452</v>
      </c>
      <c r="F13" s="625">
        <f>'a30'!F12</f>
        <v>21579.885979195489</v>
      </c>
      <c r="G13" s="625">
        <f>'a30'!G12</f>
        <v>26517.632598271106</v>
      </c>
      <c r="H13" s="625">
        <f>'a30'!H12</f>
        <v>33863.770320701988</v>
      </c>
      <c r="I13" s="625">
        <f>'a30'!I12</f>
        <v>26196.964645512922</v>
      </c>
      <c r="J13" s="625">
        <f>'a30'!J12</f>
        <v>25481.661972908631</v>
      </c>
      <c r="K13" s="625">
        <f>'a30'!K12</f>
        <v>38634.6852391102</v>
      </c>
      <c r="L13" s="625">
        <f>'a30'!L12</f>
        <v>31284.204928481493</v>
      </c>
    </row>
    <row r="14" spans="1:12">
      <c r="A14" s="611">
        <f t="shared" si="0"/>
        <v>1990</v>
      </c>
      <c r="B14" s="625">
        <f>'a30'!B13</f>
        <v>29804.408905116143</v>
      </c>
      <c r="C14" s="625">
        <f>'a30'!C13</f>
        <v>20198.556206786659</v>
      </c>
      <c r="D14" s="625">
        <f>'a30'!D13</f>
        <v>20605.196159627005</v>
      </c>
      <c r="E14" s="625">
        <f>'a30'!E13</f>
        <v>22599.788456490245</v>
      </c>
      <c r="F14" s="625">
        <f>'a30'!F13</f>
        <v>21309.02134144694</v>
      </c>
      <c r="G14" s="625">
        <f>'a30'!G13</f>
        <v>26339.483886347636</v>
      </c>
      <c r="H14" s="625">
        <f>'a30'!H13</f>
        <v>32656.612889565407</v>
      </c>
      <c r="I14" s="625">
        <f>'a30'!I13</f>
        <v>26803.362700726691</v>
      </c>
      <c r="J14" s="625">
        <f>'a30'!J13</f>
        <v>27579.890188513356</v>
      </c>
      <c r="K14" s="625">
        <f>'a30'!K13</f>
        <v>38732.814504189519</v>
      </c>
      <c r="L14" s="625">
        <f>'a30'!L13</f>
        <v>30803.335610494301</v>
      </c>
    </row>
    <row r="15" spans="1:12">
      <c r="A15" s="611">
        <f t="shared" si="0"/>
        <v>1991</v>
      </c>
      <c r="B15" s="625">
        <f>'a30'!B14</f>
        <v>28820.447815811869</v>
      </c>
      <c r="C15" s="625">
        <f>'a30'!C14</f>
        <v>20210.681038706516</v>
      </c>
      <c r="D15" s="625">
        <f>'a30'!D14</f>
        <v>20557.034264280617</v>
      </c>
      <c r="E15" s="625">
        <f>'a30'!E14</f>
        <v>22295.837345308966</v>
      </c>
      <c r="F15" s="625">
        <f>'a30'!F14</f>
        <v>21153.028500456698</v>
      </c>
      <c r="G15" s="625">
        <f>'a30'!G14</f>
        <v>25373.41900750998</v>
      </c>
      <c r="H15" s="625">
        <f>'a30'!H14</f>
        <v>30965.220495669004</v>
      </c>
      <c r="I15" s="625">
        <f>'a30'!I14</f>
        <v>25805.602719528768</v>
      </c>
      <c r="J15" s="625">
        <f>'a30'!J14</f>
        <v>28021.976378086252</v>
      </c>
      <c r="K15" s="625">
        <f>'a30'!K14</f>
        <v>38255.128831241374</v>
      </c>
      <c r="L15" s="625">
        <f>'a30'!L14</f>
        <v>30112.452268029963</v>
      </c>
    </row>
    <row r="16" spans="1:12">
      <c r="A16" s="611">
        <f t="shared" si="0"/>
        <v>1992</v>
      </c>
      <c r="B16" s="625">
        <f>'a30'!B15</f>
        <v>28730.584580228784</v>
      </c>
      <c r="C16" s="625">
        <f>'a30'!C15</f>
        <v>19894.537061138511</v>
      </c>
      <c r="D16" s="625">
        <f>'a30'!D15</f>
        <v>21043.056861351251</v>
      </c>
      <c r="E16" s="625">
        <f>'a30'!E15</f>
        <v>22499.295775413808</v>
      </c>
      <c r="F16" s="625">
        <f>'a30'!F15</f>
        <v>21423.005102115832</v>
      </c>
      <c r="G16" s="625">
        <f>'a30'!G15</f>
        <v>25325.984070345894</v>
      </c>
      <c r="H16" s="625">
        <f>'a30'!H15</f>
        <v>30829.992418800051</v>
      </c>
      <c r="I16" s="625">
        <f>'a30'!I15</f>
        <v>26002.773461407454</v>
      </c>
      <c r="J16" s="625">
        <f>'a30'!J15</f>
        <v>26912.484623927408</v>
      </c>
      <c r="K16" s="625">
        <f>'a30'!K15</f>
        <v>38016.509462629605</v>
      </c>
      <c r="L16" s="625">
        <f>'a30'!L15</f>
        <v>30043.801865889145</v>
      </c>
    </row>
    <row r="17" spans="1:12">
      <c r="A17" s="611">
        <f t="shared" si="0"/>
        <v>1993</v>
      </c>
      <c r="B17" s="625">
        <f>'a30'!B16</f>
        <v>29081.11776690929</v>
      </c>
      <c r="C17" s="625">
        <f>'a30'!C16</f>
        <v>20061.140355565825</v>
      </c>
      <c r="D17" s="625">
        <f>'a30'!D16</f>
        <v>21070.231583407098</v>
      </c>
      <c r="E17" s="625">
        <f>'a30'!E16</f>
        <v>22604.64864572341</v>
      </c>
      <c r="F17" s="625">
        <f>'a30'!F16</f>
        <v>22018.877902597716</v>
      </c>
      <c r="G17" s="625">
        <f>'a30'!G16</f>
        <v>25663.11052398667</v>
      </c>
      <c r="H17" s="625">
        <f>'a30'!H16</f>
        <v>30781.649232678126</v>
      </c>
      <c r="I17" s="625">
        <f>'a30'!I16</f>
        <v>25982.04395419544</v>
      </c>
      <c r="J17" s="625">
        <f>'a30'!J16</f>
        <v>28599.662329923529</v>
      </c>
      <c r="K17" s="625">
        <f>'a30'!K16</f>
        <v>40215.31950757547</v>
      </c>
      <c r="L17" s="625">
        <f>'a30'!L16</f>
        <v>30515.963464033015</v>
      </c>
    </row>
    <row r="18" spans="1:12">
      <c r="A18" s="611">
        <f t="shared" si="0"/>
        <v>1994</v>
      </c>
      <c r="B18" s="625">
        <f>'a30'!B17</f>
        <v>30146.241829023013</v>
      </c>
      <c r="C18" s="625">
        <f>'a30'!C17</f>
        <v>21127.4470551782</v>
      </c>
      <c r="D18" s="625">
        <f>'a30'!D17</f>
        <v>21897.974324962343</v>
      </c>
      <c r="E18" s="625">
        <f>'a30'!E17</f>
        <v>22626.665415144071</v>
      </c>
      <c r="F18" s="625">
        <f>'a30'!F17</f>
        <v>22443.797196691481</v>
      </c>
      <c r="G18" s="625">
        <f>'a30'!G17</f>
        <v>26663.411380035297</v>
      </c>
      <c r="H18" s="625">
        <f>'a30'!H17</f>
        <v>32211.692124313693</v>
      </c>
      <c r="I18" s="625">
        <f>'a30'!I17</f>
        <v>26860.927859832802</v>
      </c>
      <c r="J18" s="625">
        <f>'a30'!J17</f>
        <v>29762.028576381152</v>
      </c>
      <c r="K18" s="625">
        <f>'a30'!K17</f>
        <v>42191.271144328348</v>
      </c>
      <c r="L18" s="625">
        <f>'a30'!L17</f>
        <v>30452.316669273612</v>
      </c>
    </row>
    <row r="19" spans="1:12">
      <c r="A19" s="611">
        <f t="shared" si="0"/>
        <v>1995</v>
      </c>
      <c r="B19" s="625">
        <f>'a30'!B18</f>
        <v>30673.826374991379</v>
      </c>
      <c r="C19" s="625">
        <f>'a30'!C18</f>
        <v>21873.573529645029</v>
      </c>
      <c r="D19" s="625">
        <f>'a30'!D18</f>
        <v>23122.419372837852</v>
      </c>
      <c r="E19" s="625">
        <f>'a30'!E18</f>
        <v>22974.399862086801</v>
      </c>
      <c r="F19" s="625">
        <f>'a30'!F18</f>
        <v>23149.559953285403</v>
      </c>
      <c r="G19" s="625">
        <f>'a30'!G18</f>
        <v>27012.47877367344</v>
      </c>
      <c r="H19" s="625">
        <f>'a30'!H18</f>
        <v>32948.409053819414</v>
      </c>
      <c r="I19" s="625">
        <f>'a30'!I18</f>
        <v>26792.720187751849</v>
      </c>
      <c r="J19" s="625">
        <f>'a30'!J18</f>
        <v>29957.000040426468</v>
      </c>
      <c r="K19" s="625">
        <f>'a30'!K18</f>
        <v>42975.748202883209</v>
      </c>
      <c r="L19" s="625">
        <f>'a30'!L18</f>
        <v>30343.702927153405</v>
      </c>
    </row>
    <row r="20" spans="1:12">
      <c r="A20" s="611">
        <f t="shared" si="0"/>
        <v>1996</v>
      </c>
      <c r="B20" s="625">
        <f>'a30'!B19</f>
        <v>30846.243685203532</v>
      </c>
      <c r="C20" s="625">
        <f>'a30'!C19</f>
        <v>21145.331946871349</v>
      </c>
      <c r="D20" s="625">
        <f>'a30'!D19</f>
        <v>23582.368845635308</v>
      </c>
      <c r="E20" s="625">
        <f>'a30'!E19</f>
        <v>23035.947631712599</v>
      </c>
      <c r="F20" s="625">
        <f>'a30'!F19</f>
        <v>23274.949884881451</v>
      </c>
      <c r="G20" s="625">
        <f>'a30'!G19</f>
        <v>27174.665239481117</v>
      </c>
      <c r="H20" s="625">
        <f>'a30'!H19</f>
        <v>32912.13502455088</v>
      </c>
      <c r="I20" s="625">
        <f>'a30'!I19</f>
        <v>27492.602689482243</v>
      </c>
      <c r="J20" s="625">
        <f>'a30'!J19</f>
        <v>30685.660168115061</v>
      </c>
      <c r="K20" s="625">
        <f>'a30'!K19</f>
        <v>43206.938189989451</v>
      </c>
      <c r="L20" s="625">
        <f>'a30'!L19</f>
        <v>30312.955806145961</v>
      </c>
    </row>
    <row r="21" spans="1:12">
      <c r="A21" s="611">
        <f t="shared" si="0"/>
        <v>1997</v>
      </c>
      <c r="B21" s="625">
        <f>'a30'!B20</f>
        <v>31831.861675142351</v>
      </c>
      <c r="C21" s="625">
        <f>'a30'!C20</f>
        <v>21743.984055500798</v>
      </c>
      <c r="D21" s="625">
        <f>'a30'!D20</f>
        <v>23608.508762261656</v>
      </c>
      <c r="E21" s="625">
        <f>'a30'!E20</f>
        <v>23998.232522023762</v>
      </c>
      <c r="F21" s="625">
        <f>'a30'!F20</f>
        <v>23537.19746289423</v>
      </c>
      <c r="G21" s="625">
        <f>'a30'!G20</f>
        <v>27940.050677623862</v>
      </c>
      <c r="H21" s="625">
        <f>'a30'!H20</f>
        <v>33955.009823515175</v>
      </c>
      <c r="I21" s="625">
        <f>'a30'!I20</f>
        <v>28467.743071203244</v>
      </c>
      <c r="J21" s="625">
        <f>'a30'!J20</f>
        <v>31914.663690610687</v>
      </c>
      <c r="K21" s="625">
        <f>'a30'!K20</f>
        <v>45238.47217235696</v>
      </c>
      <c r="L21" s="625">
        <f>'a30'!L20</f>
        <v>30688.730615514476</v>
      </c>
    </row>
    <row r="22" spans="1:12">
      <c r="A22" s="611">
        <f t="shared" si="0"/>
        <v>1998</v>
      </c>
      <c r="B22" s="625">
        <f>'a30'!B21</f>
        <v>32862.288669343732</v>
      </c>
      <c r="C22" s="625">
        <f>'a30'!C21</f>
        <v>23397.543359828691</v>
      </c>
      <c r="D22" s="625">
        <f>'a30'!D21</f>
        <v>24741.539277193602</v>
      </c>
      <c r="E22" s="625">
        <f>'a30'!E21</f>
        <v>24907.816396876704</v>
      </c>
      <c r="F22" s="625">
        <f>'a30'!F21</f>
        <v>24464.045407911741</v>
      </c>
      <c r="G22" s="625">
        <f>'a30'!G21</f>
        <v>28744.088317672788</v>
      </c>
      <c r="H22" s="625">
        <f>'a30'!H21</f>
        <v>35162.632509292489</v>
      </c>
      <c r="I22" s="625">
        <f>'a30'!I21</f>
        <v>29640.726196033545</v>
      </c>
      <c r="J22" s="625">
        <f>'a30'!J21</f>
        <v>33291.000381389749</v>
      </c>
      <c r="K22" s="625">
        <f>'a30'!K21</f>
        <v>46480.48716379689</v>
      </c>
      <c r="L22" s="625">
        <f>'a30'!L21</f>
        <v>30821.621179213344</v>
      </c>
    </row>
    <row r="23" spans="1:12">
      <c r="A23" s="611">
        <f t="shared" si="0"/>
        <v>1999</v>
      </c>
      <c r="B23" s="625">
        <f>'a30'!B22</f>
        <v>34399.400078009858</v>
      </c>
      <c r="C23" s="625">
        <f>'a30'!C22</f>
        <v>24980.827969227252</v>
      </c>
      <c r="D23" s="625">
        <f>'a30'!D22</f>
        <v>25696.905658162181</v>
      </c>
      <c r="E23" s="625">
        <f>'a30'!E22</f>
        <v>26218.054710725391</v>
      </c>
      <c r="F23" s="625">
        <f>'a30'!F22</f>
        <v>25989.840141433331</v>
      </c>
      <c r="G23" s="625">
        <f>'a30'!G22</f>
        <v>30412.180384392177</v>
      </c>
      <c r="H23" s="625">
        <f>'a30'!H22</f>
        <v>37349.5003241702</v>
      </c>
      <c r="I23" s="625">
        <f>'a30'!I22</f>
        <v>29977.732028066046</v>
      </c>
      <c r="J23" s="625">
        <f>'a30'!J22</f>
        <v>33450.169734772171</v>
      </c>
      <c r="K23" s="625">
        <f>'a30'!K22</f>
        <v>46263.883940485495</v>
      </c>
      <c r="L23" s="625">
        <f>'a30'!L22</f>
        <v>31587.173974011406</v>
      </c>
    </row>
    <row r="24" spans="1:12">
      <c r="A24" s="611">
        <f t="shared" si="0"/>
        <v>2000</v>
      </c>
      <c r="B24" s="625">
        <f>'a30'!B23</f>
        <v>35864.064501642948</v>
      </c>
      <c r="C24" s="625">
        <f>'a30'!C23</f>
        <v>26541.481837845618</v>
      </c>
      <c r="D24" s="625">
        <f>'a30'!D23</f>
        <v>26159.595515497913</v>
      </c>
      <c r="E24" s="625">
        <f>'a30'!E23</f>
        <v>27022.309414759358</v>
      </c>
      <c r="F24" s="625">
        <f>'a30'!F23</f>
        <v>26537.706674199253</v>
      </c>
      <c r="G24" s="625">
        <f>'a30'!G23</f>
        <v>31586.182917352584</v>
      </c>
      <c r="H24" s="625">
        <f>'a30'!H23</f>
        <v>38964.538242224582</v>
      </c>
      <c r="I24" s="625">
        <f>'a30'!I23</f>
        <v>31123.154710179351</v>
      </c>
      <c r="J24" s="625">
        <f>'a30'!J23</f>
        <v>34558.564459861147</v>
      </c>
      <c r="K24" s="625">
        <f>'a30'!K23</f>
        <v>48227.846500130814</v>
      </c>
      <c r="L24" s="625">
        <f>'a30'!L23</f>
        <v>32822.592424793831</v>
      </c>
    </row>
    <row r="25" spans="1:12">
      <c r="A25" s="611">
        <f t="shared" si="0"/>
        <v>2001</v>
      </c>
      <c r="B25" s="625">
        <f>'a30'!B24</f>
        <v>36111.585730303537</v>
      </c>
      <c r="C25" s="625">
        <f>'a30'!C24</f>
        <v>27264.559903301131</v>
      </c>
      <c r="D25" s="625">
        <f>'a30'!D24</f>
        <v>25844.595830619844</v>
      </c>
      <c r="E25" s="625">
        <f>'a30'!E24</f>
        <v>27922.020818185134</v>
      </c>
      <c r="F25" s="625">
        <f>'a30'!F24</f>
        <v>27004.498526942483</v>
      </c>
      <c r="G25" s="625">
        <f>'a30'!G24</f>
        <v>31884.998115957762</v>
      </c>
      <c r="H25" s="625">
        <f>'a30'!H24</f>
        <v>38948.484965910189</v>
      </c>
      <c r="I25" s="625">
        <f>'a30'!I24</f>
        <v>31261.751599520252</v>
      </c>
      <c r="J25" s="625">
        <f>'a30'!J24</f>
        <v>34479.380057007402</v>
      </c>
      <c r="K25" s="625">
        <f>'a30'!K24</f>
        <v>48199.208833698438</v>
      </c>
      <c r="L25" s="625">
        <f>'a30'!L24</f>
        <v>32726.781189834612</v>
      </c>
    </row>
    <row r="26" spans="1:12">
      <c r="A26" s="611">
        <f t="shared" si="0"/>
        <v>2002</v>
      </c>
      <c r="B26" s="625">
        <f>'a30'!B25</f>
        <v>36770.990917295261</v>
      </c>
      <c r="C26" s="625">
        <f>'a30'!C25</f>
        <v>31676.646821845086</v>
      </c>
      <c r="D26" s="625">
        <f>'a30'!D25</f>
        <v>27039.071860662207</v>
      </c>
      <c r="E26" s="625">
        <f>'a30'!E25</f>
        <v>28964.241215381571</v>
      </c>
      <c r="F26" s="625">
        <f>'a30'!F25</f>
        <v>28250.532808598604</v>
      </c>
      <c r="G26" s="625">
        <f>'a30'!G25</f>
        <v>32447.995424317665</v>
      </c>
      <c r="H26" s="625">
        <f>'a30'!H25</f>
        <v>39513.841212356696</v>
      </c>
      <c r="I26" s="625">
        <f>'a30'!I25</f>
        <v>31608.671180420763</v>
      </c>
      <c r="J26" s="625">
        <f>'a30'!J25</f>
        <v>34453.215837464049</v>
      </c>
      <c r="K26" s="625">
        <f>'a30'!K25</f>
        <v>48138.260125739842</v>
      </c>
      <c r="L26" s="625">
        <f>'a30'!L25</f>
        <v>33720.594859471697</v>
      </c>
    </row>
    <row r="27" spans="1:12">
      <c r="A27" s="611">
        <f t="shared" si="0"/>
        <v>2003</v>
      </c>
      <c r="B27" s="625">
        <f>'a30'!B26</f>
        <v>37124.028158321496</v>
      </c>
      <c r="C27" s="625">
        <f>'a30'!C26</f>
        <v>33593.689732315048</v>
      </c>
      <c r="D27" s="625">
        <f>'a30'!D26</f>
        <v>27532.229031999475</v>
      </c>
      <c r="E27" s="625">
        <f>'a30'!E26</f>
        <v>29295.214567393181</v>
      </c>
      <c r="F27" s="625">
        <f>'a30'!F26</f>
        <v>29043.660902415166</v>
      </c>
      <c r="G27" s="625">
        <f>'a30'!G26</f>
        <v>32651.254275072475</v>
      </c>
      <c r="H27" s="625">
        <f>'a30'!H26</f>
        <v>39562.996185430595</v>
      </c>
      <c r="I27" s="625">
        <f>'a30'!I26</f>
        <v>31842.580332508751</v>
      </c>
      <c r="J27" s="625">
        <f>'a30'!J26</f>
        <v>36047.780042409155</v>
      </c>
      <c r="K27" s="625">
        <f>'a30'!K26</f>
        <v>48802.913618035585</v>
      </c>
      <c r="L27" s="625">
        <f>'a30'!L26</f>
        <v>34308.931019727359</v>
      </c>
    </row>
    <row r="28" spans="1:12">
      <c r="A28" s="611">
        <f t="shared" si="0"/>
        <v>2004</v>
      </c>
      <c r="B28" s="625">
        <f>'a30'!B27</f>
        <v>37921.520508833317</v>
      </c>
      <c r="C28" s="625">
        <f>'a30'!C27</f>
        <v>33257.512363585061</v>
      </c>
      <c r="D28" s="625">
        <f>'a30'!D27</f>
        <v>28160.727515725554</v>
      </c>
      <c r="E28" s="625">
        <f>'a30'!E27</f>
        <v>29498.305257958473</v>
      </c>
      <c r="F28" s="625">
        <f>'a30'!F27</f>
        <v>29846.444141671192</v>
      </c>
      <c r="G28" s="625">
        <f>'a30'!G27</f>
        <v>33310.823390188525</v>
      </c>
      <c r="H28" s="625">
        <f>'a30'!H27</f>
        <v>40093.299767024982</v>
      </c>
      <c r="I28" s="625">
        <f>'a30'!I27</f>
        <v>32261.500418382944</v>
      </c>
      <c r="J28" s="625">
        <f>'a30'!J27</f>
        <v>37837.599391245851</v>
      </c>
      <c r="K28" s="625">
        <f>'a30'!K27</f>
        <v>50490.959789422406</v>
      </c>
      <c r="L28" s="625">
        <f>'a30'!L27</f>
        <v>35267.149117845962</v>
      </c>
    </row>
    <row r="29" spans="1:12">
      <c r="A29" s="611">
        <f t="shared" si="0"/>
        <v>2005</v>
      </c>
      <c r="B29" s="625">
        <f>'a30'!B28</f>
        <v>38697.438741984894</v>
      </c>
      <c r="C29" s="625">
        <f>'a30'!C28</f>
        <v>34203.471089483501</v>
      </c>
      <c r="D29" s="625">
        <f>'a30'!D28</f>
        <v>28401.7239505994</v>
      </c>
      <c r="E29" s="625">
        <f>'a30'!E28</f>
        <v>29869.682634622008</v>
      </c>
      <c r="F29" s="625">
        <f>'a30'!F28</f>
        <v>30266.324402374459</v>
      </c>
      <c r="G29" s="625">
        <f>'a30'!G28</f>
        <v>33706.409901144973</v>
      </c>
      <c r="H29" s="625">
        <f>'a30'!H28</f>
        <v>40747.880030139328</v>
      </c>
      <c r="I29" s="625">
        <f>'a30'!I28</f>
        <v>32979.688551567044</v>
      </c>
      <c r="J29" s="625">
        <f>'a30'!J28</f>
        <v>39155.416932121152</v>
      </c>
      <c r="K29" s="625">
        <f>'a30'!K28</f>
        <v>51433.387514297756</v>
      </c>
      <c r="L29" s="625">
        <f>'a30'!L28</f>
        <v>36572.96961390473</v>
      </c>
    </row>
    <row r="30" spans="1:12">
      <c r="A30" s="611">
        <f t="shared" si="0"/>
        <v>2006</v>
      </c>
      <c r="B30" s="625">
        <f>'a30'!B29</f>
        <v>39385.746729332699</v>
      </c>
      <c r="C30" s="625">
        <f>'a30'!C29</f>
        <v>35525.256068334529</v>
      </c>
      <c r="D30" s="625">
        <f>'a30'!D29</f>
        <v>29560.614849187936</v>
      </c>
      <c r="E30" s="625">
        <f>'a30'!E29</f>
        <v>30035.927122312129</v>
      </c>
      <c r="F30" s="625">
        <f>'a30'!F29</f>
        <v>31077.924133066193</v>
      </c>
      <c r="G30" s="625">
        <f>'a30'!G29</f>
        <v>34073.409969557964</v>
      </c>
      <c r="H30" s="625">
        <f>'a30'!H29</f>
        <v>41293.621192820159</v>
      </c>
      <c r="I30" s="625">
        <f>'a30'!I29</f>
        <v>33935.766884481913</v>
      </c>
      <c r="J30" s="625">
        <f>'a30'!J29</f>
        <v>38569.853304331526</v>
      </c>
      <c r="K30" s="625">
        <f>'a30'!K29</f>
        <v>52861.334721518695</v>
      </c>
      <c r="L30" s="625">
        <f>'a30'!L29</f>
        <v>37640.152889777026</v>
      </c>
    </row>
    <row r="31" spans="1:12">
      <c r="A31" s="611">
        <f t="shared" si="0"/>
        <v>2007</v>
      </c>
      <c r="B31" s="625">
        <f>'a30'!B30</f>
        <v>39819.94023455945</v>
      </c>
      <c r="C31" s="625">
        <f>'a30'!C30</f>
        <v>39083.374310546053</v>
      </c>
      <c r="D31" s="625">
        <f>'a30'!D30</f>
        <v>30030.182178762458</v>
      </c>
      <c r="E31" s="625">
        <f>'a30'!E30</f>
        <v>30574.03659352379</v>
      </c>
      <c r="F31" s="625">
        <f>'a30'!F30</f>
        <v>31440.011267378926</v>
      </c>
      <c r="G31" s="625">
        <f>'a30'!G30</f>
        <v>34547.988318061849</v>
      </c>
      <c r="H31" s="625">
        <f>'a30'!H30</f>
        <v>41681.828027449832</v>
      </c>
      <c r="I31" s="625">
        <f>'a30'!I30</f>
        <v>34571.424262582965</v>
      </c>
      <c r="J31" s="625">
        <f>'a30'!J30</f>
        <v>39615.818734585213</v>
      </c>
      <c r="K31" s="625">
        <f>'a30'!K30</f>
        <v>52383.770733036297</v>
      </c>
      <c r="L31" s="625">
        <f>'a30'!L30</f>
        <v>38169.384300098012</v>
      </c>
    </row>
    <row r="32" spans="1:12">
      <c r="A32" s="611">
        <f t="shared" si="0"/>
        <v>2008</v>
      </c>
      <c r="B32" s="625">
        <f>'a30'!B31</f>
        <v>39562.250855265353</v>
      </c>
      <c r="C32" s="625">
        <f>'a30'!C31</f>
        <v>39878.070222227492</v>
      </c>
      <c r="D32" s="625">
        <f>'a30'!D31</f>
        <v>29861.335053208641</v>
      </c>
      <c r="E32" s="625">
        <f>'a30'!E31</f>
        <v>30925.435848055538</v>
      </c>
      <c r="F32" s="625">
        <f>'a30'!F31</f>
        <v>31318.700445306076</v>
      </c>
      <c r="G32" s="625">
        <f>'a30'!G31</f>
        <v>34627.080868165627</v>
      </c>
      <c r="H32" s="625">
        <f>'a30'!H31</f>
        <v>40877.115643106554</v>
      </c>
      <c r="I32" s="625">
        <f>'a30'!I31</f>
        <v>34887.106527738724</v>
      </c>
      <c r="J32" s="625">
        <f>'a30'!J31</f>
        <v>40870.316593541873</v>
      </c>
      <c r="K32" s="625">
        <f>'a30'!K31</f>
        <v>51937.536180271098</v>
      </c>
      <c r="L32" s="625">
        <f>'a30'!L31</f>
        <v>37608.180918186255</v>
      </c>
    </row>
    <row r="33" spans="1:12">
      <c r="A33" s="611">
        <f t="shared" si="0"/>
        <v>2009</v>
      </c>
      <c r="B33" s="625">
        <f>'a30'!B32</f>
        <v>38125.651983393684</v>
      </c>
      <c r="C33" s="625">
        <f>'a30'!C32</f>
        <v>35657.285449174742</v>
      </c>
      <c r="D33" s="625">
        <f>'a30'!D32</f>
        <v>29511.612578580694</v>
      </c>
      <c r="E33" s="625">
        <f>'a30'!E32</f>
        <v>30806.368488080381</v>
      </c>
      <c r="F33" s="625">
        <f>'a30'!F32</f>
        <v>31113.376857007115</v>
      </c>
      <c r="G33" s="625">
        <f>'a30'!G32</f>
        <v>34167.705943916459</v>
      </c>
      <c r="H33" s="625">
        <f>'a30'!H32</f>
        <v>38991.572840205437</v>
      </c>
      <c r="I33" s="625">
        <f>'a30'!I32</f>
        <v>34501.730949308032</v>
      </c>
      <c r="J33" s="625">
        <f>'a30'!J32</f>
        <v>38683.38509256416</v>
      </c>
      <c r="K33" s="625">
        <f>'a30'!K32</f>
        <v>48552.853891665502</v>
      </c>
      <c r="L33" s="625">
        <f>'a30'!L32</f>
        <v>36287.086136961436</v>
      </c>
    </row>
    <row r="34" spans="1:12">
      <c r="A34" s="611">
        <f t="shared" si="0"/>
        <v>2010</v>
      </c>
      <c r="B34" s="625">
        <f>'a30'!B33</f>
        <v>38166.60995020315</v>
      </c>
      <c r="C34" s="625">
        <f>'a30'!C33</f>
        <v>36157.63205672655</v>
      </c>
      <c r="D34" s="625">
        <f>'a30'!D33</f>
        <v>29789.468527637211</v>
      </c>
      <c r="E34" s="625">
        <f>'a30'!E33</f>
        <v>31074.860948380618</v>
      </c>
      <c r="F34" s="625">
        <f>'a30'!F33</f>
        <v>31373.14521877225</v>
      </c>
      <c r="G34" s="625">
        <f>'a30'!G33</f>
        <v>34341.70959527338</v>
      </c>
      <c r="H34" s="625">
        <f>'a30'!H33</f>
        <v>38774.88734329251</v>
      </c>
      <c r="I34" s="625">
        <f>'a30'!I33</f>
        <v>34968.109112462422</v>
      </c>
      <c r="J34" s="625">
        <f>'a30'!J33</f>
        <v>38854.797550517134</v>
      </c>
      <c r="K34" s="625">
        <f>'a30'!K33</f>
        <v>48174.25305752267</v>
      </c>
      <c r="L34" s="625">
        <f>'a30'!L33</f>
        <v>36494.586220324229</v>
      </c>
    </row>
    <row r="35" spans="1:12">
      <c r="A35" s="611" t="s">
        <v>1499</v>
      </c>
      <c r="B35" s="611"/>
      <c r="C35" s="611"/>
      <c r="D35" s="611"/>
      <c r="E35" s="611"/>
      <c r="F35" s="611"/>
      <c r="G35" s="611"/>
      <c r="H35" s="611"/>
      <c r="I35" s="611"/>
      <c r="J35" s="611"/>
      <c r="K35" s="611"/>
      <c r="L35" s="611"/>
    </row>
    <row r="36" spans="1:12">
      <c r="A36" s="611" t="s">
        <v>1498</v>
      </c>
      <c r="B36" s="626">
        <f>B34-B5</f>
        <v>12085.819584885623</v>
      </c>
      <c r="C36" s="626">
        <f t="shared" ref="C36:L36" si="1">C34-C5</f>
        <v>19879.225237351682</v>
      </c>
      <c r="D36" s="626">
        <f t="shared" si="1"/>
        <v>12695.313077661089</v>
      </c>
      <c r="E36" s="626">
        <f t="shared" si="1"/>
        <v>12387.830975437333</v>
      </c>
      <c r="F36" s="626">
        <f t="shared" si="1"/>
        <v>14242.130182774752</v>
      </c>
      <c r="G36" s="626">
        <f t="shared" si="1"/>
        <v>10635.570473660147</v>
      </c>
      <c r="H36" s="626">
        <f t="shared" si="1"/>
        <v>10241.428488234924</v>
      </c>
      <c r="I36" s="626">
        <f t="shared" si="1"/>
        <v>11184.497584233326</v>
      </c>
      <c r="J36" s="626">
        <f t="shared" si="1"/>
        <v>14884.739370167274</v>
      </c>
      <c r="K36" s="626">
        <f t="shared" si="1"/>
        <v>12388.448484705375</v>
      </c>
      <c r="L36" s="626">
        <f t="shared" si="1"/>
        <v>6605.9371991472362</v>
      </c>
    </row>
    <row r="37" spans="1:12">
      <c r="A37" s="611" t="s">
        <v>1472</v>
      </c>
      <c r="B37" s="626">
        <f>B13-B5</f>
        <v>4118.0809751093366</v>
      </c>
      <c r="C37" s="626">
        <f t="shared" ref="C37:L37" si="2">C13-C5</f>
        <v>3924.489368473216</v>
      </c>
      <c r="D37" s="626">
        <f t="shared" si="2"/>
        <v>3420.1623145010708</v>
      </c>
      <c r="E37" s="626">
        <f t="shared" si="2"/>
        <v>4141.1001959691675</v>
      </c>
      <c r="F37" s="626">
        <f t="shared" si="2"/>
        <v>4448.8709431979914</v>
      </c>
      <c r="G37" s="626">
        <f t="shared" si="2"/>
        <v>2811.4934766578735</v>
      </c>
      <c r="H37" s="626">
        <f t="shared" si="2"/>
        <v>5330.3114656444013</v>
      </c>
      <c r="I37" s="626">
        <f t="shared" si="2"/>
        <v>2413.3531172838266</v>
      </c>
      <c r="J37" s="626">
        <f t="shared" si="2"/>
        <v>1511.6037925587698</v>
      </c>
      <c r="K37" s="626">
        <f t="shared" si="2"/>
        <v>2848.8806662929055</v>
      </c>
      <c r="L37" s="626">
        <f t="shared" si="2"/>
        <v>1395.5559073045006</v>
      </c>
    </row>
    <row r="38" spans="1:12">
      <c r="A38" s="611" t="s">
        <v>1473</v>
      </c>
      <c r="B38" s="626">
        <f>B24-B13</f>
        <v>5665.1931612160843</v>
      </c>
      <c r="C38" s="626">
        <f t="shared" ref="C38:L38" si="3">C24-C13</f>
        <v>6338.5856499975343</v>
      </c>
      <c r="D38" s="626">
        <f t="shared" si="3"/>
        <v>5645.2777510207197</v>
      </c>
      <c r="E38" s="626">
        <f t="shared" si="3"/>
        <v>4194.1792458469063</v>
      </c>
      <c r="F38" s="626">
        <f t="shared" si="3"/>
        <v>4957.8206950037638</v>
      </c>
      <c r="G38" s="626">
        <f t="shared" si="3"/>
        <v>5068.5503190814779</v>
      </c>
      <c r="H38" s="626">
        <f t="shared" si="3"/>
        <v>5100.7679215225944</v>
      </c>
      <c r="I38" s="626">
        <f t="shared" si="3"/>
        <v>4926.190064666429</v>
      </c>
      <c r="J38" s="626">
        <f t="shared" si="3"/>
        <v>9076.9024869525165</v>
      </c>
      <c r="K38" s="626">
        <f t="shared" si="3"/>
        <v>9593.1612610206139</v>
      </c>
      <c r="L38" s="626">
        <f t="shared" si="3"/>
        <v>1538.387496312338</v>
      </c>
    </row>
    <row r="39" spans="1:12">
      <c r="A39" s="611" t="s">
        <v>1474</v>
      </c>
      <c r="B39" s="626">
        <f>B32-B24</f>
        <v>3698.1863536224046</v>
      </c>
      <c r="C39" s="626">
        <f t="shared" ref="C39:L39" si="4">C32-C24</f>
        <v>13336.588384381874</v>
      </c>
      <c r="D39" s="626">
        <f t="shared" si="4"/>
        <v>3701.7395377107277</v>
      </c>
      <c r="E39" s="626">
        <f t="shared" si="4"/>
        <v>3903.12643329618</v>
      </c>
      <c r="F39" s="626">
        <f t="shared" si="4"/>
        <v>4780.9937711068233</v>
      </c>
      <c r="G39" s="626">
        <f t="shared" si="4"/>
        <v>3040.8979508130433</v>
      </c>
      <c r="H39" s="626">
        <f t="shared" si="4"/>
        <v>1912.5774008819717</v>
      </c>
      <c r="I39" s="626">
        <f t="shared" si="4"/>
        <v>3763.951817559373</v>
      </c>
      <c r="J39" s="626">
        <f t="shared" si="4"/>
        <v>6311.7521336807258</v>
      </c>
      <c r="K39" s="626">
        <f t="shared" si="4"/>
        <v>3709.6896801402836</v>
      </c>
      <c r="L39" s="626">
        <f t="shared" si="4"/>
        <v>4785.5884933924244</v>
      </c>
    </row>
    <row r="40" spans="1:12">
      <c r="A40" s="611" t="s">
        <v>1500</v>
      </c>
      <c r="B40" s="611"/>
      <c r="C40" s="611"/>
      <c r="D40" s="611"/>
      <c r="E40" s="611"/>
      <c r="F40" s="611"/>
      <c r="G40" s="611"/>
      <c r="H40" s="611"/>
      <c r="I40" s="611"/>
      <c r="J40" s="611"/>
      <c r="K40" s="611"/>
      <c r="L40" s="611"/>
    </row>
    <row r="41" spans="1:12">
      <c r="A41" s="611" t="s">
        <v>1498</v>
      </c>
      <c r="B41" s="616">
        <f>100*(B34-B5)/B5</f>
        <v>46.339928413202756</v>
      </c>
      <c r="C41" s="616">
        <f t="shared" ref="C41:L41" si="5">100*(C34-C5)/C5</f>
        <v>122.12021396154722</v>
      </c>
      <c r="D41" s="616">
        <f t="shared" si="5"/>
        <v>74.26698040047846</v>
      </c>
      <c r="E41" s="616">
        <f t="shared" si="5"/>
        <v>66.291063873571758</v>
      </c>
      <c r="F41" s="616">
        <f t="shared" si="5"/>
        <v>83.136522575268799</v>
      </c>
      <c r="G41" s="616">
        <f t="shared" si="5"/>
        <v>44.864203399378276</v>
      </c>
      <c r="H41" s="616">
        <f t="shared" si="5"/>
        <v>35.892698954790824</v>
      </c>
      <c r="I41" s="616">
        <f t="shared" si="5"/>
        <v>47.026069068435177</v>
      </c>
      <c r="J41" s="616">
        <f>100*(J34-J5)/J5</f>
        <v>62.097218363739579</v>
      </c>
      <c r="K41" s="616">
        <f t="shared" si="5"/>
        <v>34.618331577531649</v>
      </c>
      <c r="L41" s="616">
        <f t="shared" si="5"/>
        <v>22.101825995770952</v>
      </c>
    </row>
    <row r="42" spans="1:12">
      <c r="A42" s="611" t="s">
        <v>1472</v>
      </c>
      <c r="B42" s="616">
        <f>100*(B13-B5)/B5</f>
        <v>15.789709274246528</v>
      </c>
      <c r="C42" s="616">
        <f t="shared" ref="C42:L42" si="6">100*(C13-C5)/C5</f>
        <v>24.108559345022723</v>
      </c>
      <c r="D42" s="616">
        <f t="shared" si="6"/>
        <v>20.007787600327738</v>
      </c>
      <c r="E42" s="616">
        <f t="shared" si="6"/>
        <v>22.160290864653263</v>
      </c>
      <c r="F42" s="616">
        <f t="shared" si="6"/>
        <v>25.9696867573203</v>
      </c>
      <c r="G42" s="616">
        <f t="shared" si="6"/>
        <v>11.859769582194824</v>
      </c>
      <c r="H42" s="616">
        <f t="shared" si="6"/>
        <v>18.680915947558169</v>
      </c>
      <c r="I42" s="616">
        <f t="shared" si="6"/>
        <v>10.147126370691787</v>
      </c>
      <c r="J42" s="616">
        <f t="shared" si="6"/>
        <v>6.3062166190232709</v>
      </c>
      <c r="K42" s="616">
        <f t="shared" si="6"/>
        <v>7.9609238923103609</v>
      </c>
      <c r="L42" s="616">
        <f t="shared" si="6"/>
        <v>4.6691836299315765</v>
      </c>
    </row>
    <row r="43" spans="1:12">
      <c r="A43" s="611" t="s">
        <v>1473</v>
      </c>
      <c r="B43" s="616">
        <f>100*(B24-B13)/B13</f>
        <v>18.759618852483932</v>
      </c>
      <c r="C43" s="616">
        <f t="shared" ref="C43:L43" si="7">100*(C24-C13)/C13</f>
        <v>31.374638522422114</v>
      </c>
      <c r="D43" s="616">
        <f t="shared" si="7"/>
        <v>27.518720416801486</v>
      </c>
      <c r="E43" s="616">
        <f t="shared" si="7"/>
        <v>18.372854959266775</v>
      </c>
      <c r="F43" s="616">
        <f t="shared" si="7"/>
        <v>22.974267332938865</v>
      </c>
      <c r="G43" s="616">
        <f t="shared" si="7"/>
        <v>19.113886959169715</v>
      </c>
      <c r="H43" s="616">
        <f t="shared" si="7"/>
        <v>15.062610787920253</v>
      </c>
      <c r="I43" s="616">
        <f t="shared" si="7"/>
        <v>18.804430709151635</v>
      </c>
      <c r="J43" s="616">
        <f t="shared" si="7"/>
        <v>35.62131267812444</v>
      </c>
      <c r="K43" s="616">
        <f t="shared" si="7"/>
        <v>24.83043721373296</v>
      </c>
      <c r="L43" s="616">
        <f t="shared" si="7"/>
        <v>4.91745754712076</v>
      </c>
    </row>
    <row r="44" spans="1:12">
      <c r="A44" s="611" t="s">
        <v>1474</v>
      </c>
      <c r="B44" s="616">
        <f>100*(B32-B24)/B24</f>
        <v>10.311676618396081</v>
      </c>
      <c r="C44" s="616">
        <f t="shared" ref="C44:L44" si="8">100*(C32-C24)/C24</f>
        <v>50.248092649315346</v>
      </c>
      <c r="D44" s="616">
        <f t="shared" si="8"/>
        <v>14.150599291635379</v>
      </c>
      <c r="E44" s="616">
        <f t="shared" si="8"/>
        <v>14.444089042827425</v>
      </c>
      <c r="F44" s="616">
        <f t="shared" si="8"/>
        <v>18.015851293416574</v>
      </c>
      <c r="G44" s="616">
        <f t="shared" si="8"/>
        <v>9.6273043145788186</v>
      </c>
      <c r="H44" s="616">
        <f t="shared" si="8"/>
        <v>4.9085078052057467</v>
      </c>
      <c r="I44" s="616">
        <f t="shared" si="8"/>
        <v>12.093734881985819</v>
      </c>
      <c r="J44" s="616">
        <f t="shared" si="8"/>
        <v>18.263930323297018</v>
      </c>
      <c r="K44" s="616">
        <f t="shared" si="8"/>
        <v>7.6920077286267006</v>
      </c>
      <c r="L44" s="616">
        <f t="shared" si="8"/>
        <v>14.580166098572526</v>
      </c>
    </row>
    <row r="45" spans="1:12">
      <c r="A45" s="611" t="s">
        <v>1501</v>
      </c>
      <c r="B45" s="611"/>
      <c r="C45" s="611"/>
      <c r="D45" s="611"/>
      <c r="E45" s="611"/>
      <c r="F45" s="611"/>
      <c r="G45" s="611"/>
      <c r="H45" s="611"/>
      <c r="I45" s="611"/>
      <c r="J45" s="611"/>
      <c r="K45" s="611"/>
      <c r="L45" s="611"/>
    </row>
    <row r="46" spans="1:12">
      <c r="A46" s="611" t="s">
        <v>1498</v>
      </c>
      <c r="B46" s="617">
        <f>100*(POWER(B34/B5, 1/29)-1)</f>
        <v>1.3216297665156418</v>
      </c>
      <c r="C46" s="617">
        <f t="shared" ref="C46:L46" si="9">100*(POWER(C34/C5, 1/29)-1)</f>
        <v>2.790105833310097</v>
      </c>
      <c r="D46" s="617">
        <f t="shared" si="9"/>
        <v>1.9336938302620288</v>
      </c>
      <c r="E46" s="617">
        <f t="shared" si="9"/>
        <v>1.7691551950665962</v>
      </c>
      <c r="F46" s="617">
        <f t="shared" si="9"/>
        <v>2.1083376060971437</v>
      </c>
      <c r="G46" s="617">
        <f t="shared" si="9"/>
        <v>1.2862243344832436</v>
      </c>
      <c r="H46" s="617">
        <f t="shared" si="9"/>
        <v>1.0631824213967134</v>
      </c>
      <c r="I46" s="617">
        <f t="shared" si="9"/>
        <v>1.3379743312771808</v>
      </c>
      <c r="J46" s="617">
        <f t="shared" si="9"/>
        <v>1.6795557530022931</v>
      </c>
      <c r="K46" s="617">
        <f t="shared" si="9"/>
        <v>1.0303526923468587</v>
      </c>
      <c r="L46" s="617">
        <f t="shared" si="9"/>
        <v>0.69094557274957946</v>
      </c>
    </row>
    <row r="47" spans="1:12">
      <c r="A47" s="611" t="s">
        <v>1472</v>
      </c>
      <c r="B47" s="617">
        <f>100*(POWER(B13/B5, 1/8)-1)</f>
        <v>1.8494634473792182</v>
      </c>
      <c r="C47" s="617">
        <f t="shared" ref="C47:L47" si="10">100*(POWER(C13/C5, 1/8)-1)</f>
        <v>2.7366065896691438</v>
      </c>
      <c r="D47" s="617">
        <f t="shared" si="10"/>
        <v>2.3060174067257799</v>
      </c>
      <c r="E47" s="617">
        <f t="shared" si="10"/>
        <v>2.5336121235247866</v>
      </c>
      <c r="F47" s="617">
        <f t="shared" si="10"/>
        <v>2.9279341426149852</v>
      </c>
      <c r="G47" s="617">
        <f t="shared" si="10"/>
        <v>1.4108073084490025</v>
      </c>
      <c r="H47" s="617">
        <f t="shared" si="10"/>
        <v>2.1639347848673829</v>
      </c>
      <c r="I47" s="617">
        <f t="shared" si="10"/>
        <v>1.2154118040418771</v>
      </c>
      <c r="J47" s="617">
        <f t="shared" si="10"/>
        <v>0.76734889017897601</v>
      </c>
      <c r="K47" s="617">
        <f t="shared" si="10"/>
        <v>0.96208809416484797</v>
      </c>
      <c r="L47" s="617">
        <f t="shared" si="10"/>
        <v>0.57206204099042868</v>
      </c>
    </row>
    <row r="48" spans="1:12">
      <c r="A48" s="611" t="s">
        <v>1473</v>
      </c>
      <c r="B48" s="617">
        <f>100*(POWER(B24/B13, 1/11)-1)</f>
        <v>1.5752903180778155</v>
      </c>
      <c r="C48" s="617">
        <f t="shared" ref="C48:L48" si="11">100*(POWER(C24/C13, 1/11)-1)</f>
        <v>2.5117802864197403</v>
      </c>
      <c r="D48" s="617">
        <f t="shared" si="11"/>
        <v>2.234536287764155</v>
      </c>
      <c r="E48" s="617">
        <f t="shared" si="11"/>
        <v>1.5451730020215715</v>
      </c>
      <c r="F48" s="617">
        <f t="shared" si="11"/>
        <v>1.897829017460495</v>
      </c>
      <c r="G48" s="617">
        <f t="shared" si="11"/>
        <v>1.6027990447591067</v>
      </c>
      <c r="H48" s="617">
        <f t="shared" si="11"/>
        <v>1.2836805762671766</v>
      </c>
      <c r="I48" s="617">
        <f t="shared" si="11"/>
        <v>1.5787740526128413</v>
      </c>
      <c r="J48" s="617">
        <f t="shared" si="11"/>
        <v>2.8086870880306591</v>
      </c>
      <c r="K48" s="617">
        <f t="shared" si="11"/>
        <v>2.0367008960652022</v>
      </c>
      <c r="L48" s="617">
        <f t="shared" si="11"/>
        <v>0.43735120479622136</v>
      </c>
    </row>
    <row r="49" spans="1:12">
      <c r="A49" s="611" t="s">
        <v>1474</v>
      </c>
      <c r="B49" s="617">
        <f>100*(POWER(B32/B24, 1/8)-1)</f>
        <v>1.234300342353456</v>
      </c>
      <c r="C49" s="617">
        <f t="shared" ref="C49:L49" si="12">100*(POWER(C32/C24, 1/8)-1)</f>
        <v>5.2206840679098976</v>
      </c>
      <c r="D49" s="617">
        <f t="shared" si="12"/>
        <v>1.6681156989573065</v>
      </c>
      <c r="E49" s="617">
        <f t="shared" si="12"/>
        <v>1.7007535478248181</v>
      </c>
      <c r="F49" s="617">
        <f t="shared" si="12"/>
        <v>2.0921953785532299</v>
      </c>
      <c r="G49" s="617">
        <f t="shared" si="12"/>
        <v>1.1555793786355517</v>
      </c>
      <c r="H49" s="617">
        <f t="shared" si="12"/>
        <v>0.60077785054621913</v>
      </c>
      <c r="I49" s="617">
        <f t="shared" si="12"/>
        <v>1.4372968663010299</v>
      </c>
      <c r="J49" s="617">
        <f t="shared" si="12"/>
        <v>2.1189965146648504</v>
      </c>
      <c r="K49" s="617">
        <f t="shared" si="12"/>
        <v>0.93061840847494803</v>
      </c>
      <c r="L49" s="617">
        <f t="shared" si="12"/>
        <v>1.7158613020382907</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dimension ref="A1:L49"/>
  <sheetViews>
    <sheetView workbookViewId="0">
      <selection activeCell="E9" sqref="E9"/>
    </sheetView>
  </sheetViews>
  <sheetFormatPr defaultRowHeight="12.75"/>
  <cols>
    <col min="1" max="16384" width="9" style="618"/>
  </cols>
  <sheetData>
    <row r="1" spans="1:12">
      <c r="A1" s="611" t="s">
        <v>1483</v>
      </c>
      <c r="B1" s="611"/>
      <c r="C1" s="611"/>
      <c r="D1" s="611"/>
      <c r="E1" s="611"/>
      <c r="F1" s="611"/>
      <c r="G1" s="611"/>
      <c r="H1" s="611"/>
      <c r="I1" s="611"/>
      <c r="J1" s="611"/>
      <c r="K1" s="611"/>
      <c r="L1" s="611"/>
    </row>
    <row r="2" spans="1:12">
      <c r="A2" s="611"/>
      <c r="B2" s="611"/>
      <c r="C2" s="611"/>
      <c r="D2" s="611"/>
      <c r="E2" s="611"/>
      <c r="F2" s="611"/>
      <c r="G2" s="611"/>
      <c r="H2" s="611"/>
      <c r="I2" s="611"/>
      <c r="J2" s="611"/>
      <c r="K2" s="611"/>
      <c r="L2" s="611"/>
    </row>
    <row r="3" spans="1:12">
      <c r="A3" s="611"/>
      <c r="B3" s="611"/>
      <c r="C3" s="611"/>
      <c r="D3" s="612"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14">
        <f>'9'!B19</f>
        <v>0.26502024105489891</v>
      </c>
      <c r="C5" s="614">
        <f>'9'!J19</f>
        <v>8.3333333333333315E-2</v>
      </c>
      <c r="D5" s="614">
        <f>'9'!R19</f>
        <v>0.19516874738276771</v>
      </c>
      <c r="E5" s="614">
        <f>'9'!Z19</f>
        <v>0.23002808436799582</v>
      </c>
      <c r="F5" s="614">
        <f>'9'!AH19</f>
        <v>9.6809081306642272E-2</v>
      </c>
      <c r="G5" s="614">
        <f>'9'!AP19</f>
        <v>0.188111806241578</v>
      </c>
      <c r="H5" s="614">
        <f>'9'!AX19</f>
        <v>0.27753848440949125</v>
      </c>
      <c r="I5" s="614">
        <f>'9'!BF19</f>
        <v>0.21362570375886047</v>
      </c>
      <c r="J5" s="614">
        <f>'9'!BN19</f>
        <v>0.23938063782464369</v>
      </c>
      <c r="K5" s="614">
        <f>'9'!BV19</f>
        <v>0.40135810621035933</v>
      </c>
      <c r="L5" s="614">
        <f>'9'!CD19</f>
        <v>0.36764837310457554</v>
      </c>
    </row>
    <row r="6" spans="1:12">
      <c r="A6" s="611">
        <f>A5+1</f>
        <v>1982</v>
      </c>
      <c r="B6" s="614">
        <f>'9'!B20</f>
        <v>0.24478856353058198</v>
      </c>
      <c r="C6" s="614">
        <f>'9'!J20</f>
        <v>8.7466334539934174E-2</v>
      </c>
      <c r="D6" s="614">
        <f>'9'!R20</f>
        <v>0.17999325186694534</v>
      </c>
      <c r="E6" s="614">
        <f>'9'!Z20</f>
        <v>0.21691283683106291</v>
      </c>
      <c r="F6" s="614">
        <f>'9'!AH20</f>
        <v>0.1117113878130612</v>
      </c>
      <c r="G6" s="614">
        <f>'9'!AP20</f>
        <v>0.1688607542450852</v>
      </c>
      <c r="H6" s="614">
        <f>'9'!AX20</f>
        <v>0.25968459506712777</v>
      </c>
      <c r="I6" s="614">
        <f>'9'!BF20</f>
        <v>0.23036416368652973</v>
      </c>
      <c r="J6" s="614">
        <f>'9'!BN20</f>
        <v>0.21783472983496147</v>
      </c>
      <c r="K6" s="614">
        <f>'9'!BV20</f>
        <v>0.37475517484536675</v>
      </c>
      <c r="L6" s="614">
        <f>'9'!CD20</f>
        <v>0.31496722849577508</v>
      </c>
    </row>
    <row r="7" spans="1:12">
      <c r="A7" s="611">
        <f t="shared" ref="A7:A34" si="0">A6+1</f>
        <v>1983</v>
      </c>
      <c r="B7" s="614">
        <f>'9'!B21</f>
        <v>0.25449385343764758</v>
      </c>
      <c r="C7" s="614">
        <f>'9'!J21</f>
        <v>0.1012860766753356</v>
      </c>
      <c r="D7" s="614">
        <f>'9'!R21</f>
        <v>0.18853152565688744</v>
      </c>
      <c r="E7" s="614">
        <f>'9'!Z21</f>
        <v>0.21913810381994009</v>
      </c>
      <c r="F7" s="614">
        <f>'9'!AH21</f>
        <v>0.1322248716609048</v>
      </c>
      <c r="G7" s="614">
        <f>'9'!AP21</f>
        <v>0.18707762604829281</v>
      </c>
      <c r="H7" s="614">
        <f>'9'!AX21</f>
        <v>0.27078232783297135</v>
      </c>
      <c r="I7" s="614">
        <f>'9'!BF21</f>
        <v>0.23832159975295916</v>
      </c>
      <c r="J7" s="614">
        <f>'9'!BN21</f>
        <v>0.22109435720565673</v>
      </c>
      <c r="K7" s="614">
        <f>'9'!BV21</f>
        <v>0.37828773270750471</v>
      </c>
      <c r="L7" s="614">
        <f>'9'!CD21</f>
        <v>0.30962657179109354</v>
      </c>
    </row>
    <row r="8" spans="1:12">
      <c r="A8" s="611">
        <f t="shared" si="0"/>
        <v>1984</v>
      </c>
      <c r="B8" s="614">
        <f>'9'!B22</f>
        <v>0.27404016142312027</v>
      </c>
      <c r="C8" s="614">
        <f>'9'!J22</f>
        <v>0.13184549093481235</v>
      </c>
      <c r="D8" s="614">
        <f>'9'!R22</f>
        <v>0.22211688697315826</v>
      </c>
      <c r="E8" s="614">
        <f>'9'!Z22</f>
        <v>0.26105707218938345</v>
      </c>
      <c r="F8" s="614">
        <f>'9'!AH22</f>
        <v>0.1618565386204231</v>
      </c>
      <c r="G8" s="614">
        <f>'9'!AP22</f>
        <v>0.21514370265068819</v>
      </c>
      <c r="H8" s="614">
        <f>'9'!AX22</f>
        <v>0.29170422250463268</v>
      </c>
      <c r="I8" s="614">
        <f>'9'!BF22</f>
        <v>0.28708622703446462</v>
      </c>
      <c r="J8" s="614">
        <f>'9'!BN22</f>
        <v>0.22748730331968453</v>
      </c>
      <c r="K8" s="614">
        <f>'9'!BV22</f>
        <v>0.37629400613310432</v>
      </c>
      <c r="L8" s="614">
        <f>'9'!CD22</f>
        <v>0.30552942895581869</v>
      </c>
    </row>
    <row r="9" spans="1:12">
      <c r="A9" s="611">
        <f t="shared" si="0"/>
        <v>1985</v>
      </c>
      <c r="B9" s="614">
        <f>'9'!B23</f>
        <v>0.30292426979507547</v>
      </c>
      <c r="C9" s="614">
        <f>'9'!J23</f>
        <v>0.16012008057354765</v>
      </c>
      <c r="D9" s="614">
        <f>'9'!R23</f>
        <v>0.232458709554414</v>
      </c>
      <c r="E9" s="614">
        <f>'9'!Z23</f>
        <v>0.2941726649126169</v>
      </c>
      <c r="F9" s="614">
        <f>'9'!AH23</f>
        <v>0.20490621429382325</v>
      </c>
      <c r="G9" s="614">
        <f>'9'!AP23</f>
        <v>0.24761751876682772</v>
      </c>
      <c r="H9" s="614">
        <f>'9'!AX23</f>
        <v>0.3204168209382543</v>
      </c>
      <c r="I9" s="614">
        <f>'9'!BF23</f>
        <v>0.32226396899777598</v>
      </c>
      <c r="J9" s="614">
        <f>'9'!BN23</f>
        <v>0.23303855465586082</v>
      </c>
      <c r="K9" s="614">
        <f>'9'!BV23</f>
        <v>0.41099399635570755</v>
      </c>
      <c r="L9" s="614">
        <f>'9'!CD23</f>
        <v>0.32123530301798991</v>
      </c>
    </row>
    <row r="10" spans="1:12">
      <c r="A10" s="611">
        <f t="shared" si="0"/>
        <v>1986</v>
      </c>
      <c r="B10" s="614">
        <f>'9'!B24</f>
        <v>0.32553926355574225</v>
      </c>
      <c r="C10" s="614">
        <f>'9'!J24</f>
        <v>0.19430746991861012</v>
      </c>
      <c r="D10" s="614">
        <f>'9'!R24</f>
        <v>0.23904445868748284</v>
      </c>
      <c r="E10" s="614">
        <f>'9'!Z24</f>
        <v>0.32152266660074758</v>
      </c>
      <c r="F10" s="614">
        <f>'9'!AH24</f>
        <v>0.24181540089177453</v>
      </c>
      <c r="G10" s="614">
        <f>'9'!AP24</f>
        <v>0.27632761952857293</v>
      </c>
      <c r="H10" s="614">
        <f>'9'!AX24</f>
        <v>0.34453304975147464</v>
      </c>
      <c r="I10" s="614">
        <f>'9'!BF24</f>
        <v>0.35378228072788942</v>
      </c>
      <c r="J10" s="614">
        <f>'9'!BN24</f>
        <v>0.25606133156464017</v>
      </c>
      <c r="K10" s="614">
        <f>'9'!BV24</f>
        <v>0.41344234509665334</v>
      </c>
      <c r="L10" s="614">
        <f>'9'!CD24</f>
        <v>0.32883566666357544</v>
      </c>
    </row>
    <row r="11" spans="1:12">
      <c r="A11" s="611">
        <f t="shared" si="0"/>
        <v>1987</v>
      </c>
      <c r="B11" s="614">
        <f>'9'!B25</f>
        <v>0.35170871528965209</v>
      </c>
      <c r="C11" s="614">
        <f>'9'!J25</f>
        <v>0.2136348075064117</v>
      </c>
      <c r="D11" s="614">
        <f>'9'!R25</f>
        <v>0.28725709234027469</v>
      </c>
      <c r="E11" s="614">
        <f>'9'!Z25</f>
        <v>0.34912294921748643</v>
      </c>
      <c r="F11" s="614">
        <f>'9'!AH25</f>
        <v>0.2660904988975562</v>
      </c>
      <c r="G11" s="614">
        <f>'9'!AP25</f>
        <v>0.28917651502903846</v>
      </c>
      <c r="H11" s="614">
        <f>'9'!AX25</f>
        <v>0.37817344894894789</v>
      </c>
      <c r="I11" s="614">
        <f>'9'!BF25</f>
        <v>0.36559993760567655</v>
      </c>
      <c r="J11" s="614">
        <f>'9'!BN25</f>
        <v>0.27030354203810419</v>
      </c>
      <c r="K11" s="614">
        <f>'9'!BV25</f>
        <v>0.44034859780562285</v>
      </c>
      <c r="L11" s="614">
        <f>'9'!CD25</f>
        <v>0.36847119782639448</v>
      </c>
    </row>
    <row r="12" spans="1:12">
      <c r="A12" s="611">
        <f t="shared" si="0"/>
        <v>1988</v>
      </c>
      <c r="B12" s="614">
        <f>'9'!B26</f>
        <v>0.38220464420613254</v>
      </c>
      <c r="C12" s="614">
        <f>'9'!J26</f>
        <v>0.25193918788364705</v>
      </c>
      <c r="D12" s="614">
        <f>'9'!R26</f>
        <v>0.33397498697491473</v>
      </c>
      <c r="E12" s="614">
        <f>'9'!Z26</f>
        <v>0.37943724858124939</v>
      </c>
      <c r="F12" s="614">
        <f>'9'!AH26</f>
        <v>0.28621764169728453</v>
      </c>
      <c r="G12" s="614">
        <f>'9'!AP26</f>
        <v>0.31771903418119962</v>
      </c>
      <c r="H12" s="614">
        <f>'9'!AX26</f>
        <v>0.41123218682154333</v>
      </c>
      <c r="I12" s="614">
        <f>'9'!BF26</f>
        <v>0.37378385421783744</v>
      </c>
      <c r="J12" s="614">
        <f>'9'!BN26</f>
        <v>0.2790427901229216</v>
      </c>
      <c r="K12" s="614">
        <f>'9'!BV26</f>
        <v>0.46737932974309893</v>
      </c>
      <c r="L12" s="614">
        <f>'9'!CD26</f>
        <v>0.40485237537592844</v>
      </c>
    </row>
    <row r="13" spans="1:12">
      <c r="A13" s="611">
        <f t="shared" si="0"/>
        <v>1989</v>
      </c>
      <c r="B13" s="614">
        <f>'9'!B27</f>
        <v>0.4057939045173144</v>
      </c>
      <c r="C13" s="614">
        <f>'9'!J27</f>
        <v>0.26839700876410905</v>
      </c>
      <c r="D13" s="614">
        <f>'9'!R27</f>
        <v>0.3652161508303452</v>
      </c>
      <c r="E13" s="614">
        <f>'9'!Z27</f>
        <v>0.39852032734179016</v>
      </c>
      <c r="F13" s="614">
        <f>'9'!AH27</f>
        <v>0.29134489863561314</v>
      </c>
      <c r="G13" s="614">
        <f>'9'!AP27</f>
        <v>0.33355672811851089</v>
      </c>
      <c r="H13" s="614">
        <f>'9'!AX27</f>
        <v>0.43669180336965502</v>
      </c>
      <c r="I13" s="614">
        <f>'9'!BF27</f>
        <v>0.39440459595715349</v>
      </c>
      <c r="J13" s="614">
        <f>'9'!BN27</f>
        <v>0.30907095838751047</v>
      </c>
      <c r="K13" s="614">
        <f>'9'!BV27</f>
        <v>0.49211481047097233</v>
      </c>
      <c r="L13" s="614">
        <f>'9'!CD27</f>
        <v>0.44374009541263632</v>
      </c>
    </row>
    <row r="14" spans="1:12">
      <c r="A14" s="611">
        <f t="shared" si="0"/>
        <v>1990</v>
      </c>
      <c r="B14" s="614">
        <f>'9'!B28</f>
        <v>0.41954931627629088</v>
      </c>
      <c r="C14" s="614">
        <f>'9'!J28</f>
        <v>0.26595320069704886</v>
      </c>
      <c r="D14" s="614">
        <f>'9'!R28</f>
        <v>0.38919860665377942</v>
      </c>
      <c r="E14" s="614">
        <f>'9'!Z28</f>
        <v>0.41151360940395154</v>
      </c>
      <c r="F14" s="614">
        <f>'9'!AH28</f>
        <v>0.30510195914057053</v>
      </c>
      <c r="G14" s="614">
        <f>'9'!AP28</f>
        <v>0.34301383877430669</v>
      </c>
      <c r="H14" s="614">
        <f>'9'!AX28</f>
        <v>0.45243011087831597</v>
      </c>
      <c r="I14" s="614">
        <f>'9'!BF28</f>
        <v>0.40798327837411341</v>
      </c>
      <c r="J14" s="614">
        <f>'9'!BN28</f>
        <v>0.32987400633150493</v>
      </c>
      <c r="K14" s="614">
        <f>'9'!BV28</f>
        <v>0.50040585534866278</v>
      </c>
      <c r="L14" s="614">
        <f>'9'!CD28</f>
        <v>0.46478946085388284</v>
      </c>
    </row>
    <row r="15" spans="1:12">
      <c r="A15" s="611">
        <f t="shared" si="0"/>
        <v>1991</v>
      </c>
      <c r="B15" s="614">
        <f>'9'!B29</f>
        <v>0.42347896147781944</v>
      </c>
      <c r="C15" s="614">
        <f>'9'!J29</f>
        <v>0.25729492876995846</v>
      </c>
      <c r="D15" s="614">
        <f>'9'!R29</f>
        <v>0.38675869167230209</v>
      </c>
      <c r="E15" s="614">
        <f>'9'!Z29</f>
        <v>0.41201149475507004</v>
      </c>
      <c r="F15" s="614">
        <f>'9'!AH29</f>
        <v>0.30055364812503199</v>
      </c>
      <c r="G15" s="614">
        <f>'9'!AP29</f>
        <v>0.33843250671196068</v>
      </c>
      <c r="H15" s="614">
        <f>'9'!AX29</f>
        <v>0.46399565381733415</v>
      </c>
      <c r="I15" s="614">
        <f>'9'!BF29</f>
        <v>0.40417736884116567</v>
      </c>
      <c r="J15" s="614">
        <f>'9'!BN29</f>
        <v>0.32360921333398046</v>
      </c>
      <c r="K15" s="614">
        <f>'9'!BV29</f>
        <v>0.48322988937001005</v>
      </c>
      <c r="L15" s="614">
        <f>'9'!CD29</f>
        <v>0.48688943795566952</v>
      </c>
    </row>
    <row r="16" spans="1:12">
      <c r="A16" s="611">
        <f t="shared" si="0"/>
        <v>1992</v>
      </c>
      <c r="B16" s="614">
        <f>'9'!B30</f>
        <v>0.44639853153233605</v>
      </c>
      <c r="C16" s="614">
        <f>'9'!J30</f>
        <v>0.26830211607008103</v>
      </c>
      <c r="D16" s="614">
        <f>'9'!R30</f>
        <v>0.43687803884460563</v>
      </c>
      <c r="E16" s="614">
        <f>'9'!Z30</f>
        <v>0.44574648722445809</v>
      </c>
      <c r="F16" s="614">
        <f>'9'!AH30</f>
        <v>0.31204363893246867</v>
      </c>
      <c r="G16" s="614">
        <f>'9'!AP30</f>
        <v>0.36085866877954903</v>
      </c>
      <c r="H16" s="614">
        <f>'9'!AX30</f>
        <v>0.49398113478618055</v>
      </c>
      <c r="I16" s="614">
        <f>'9'!BF30</f>
        <v>0.41966602307329459</v>
      </c>
      <c r="J16" s="614">
        <f>'9'!BN30</f>
        <v>0.33253479081719994</v>
      </c>
      <c r="K16" s="614">
        <f>'9'!BV30</f>
        <v>0.49304559250598951</v>
      </c>
      <c r="L16" s="614">
        <f>'9'!CD30</f>
        <v>0.51299539769274249</v>
      </c>
    </row>
    <row r="17" spans="1:12">
      <c r="A17" s="611">
        <f t="shared" si="0"/>
        <v>1993</v>
      </c>
      <c r="B17" s="614">
        <f>'9'!B31</f>
        <v>0.45409767595013772</v>
      </c>
      <c r="C17" s="614">
        <f>'9'!J31</f>
        <v>0.26815036630862493</v>
      </c>
      <c r="D17" s="614">
        <f>'9'!R31</f>
        <v>0.30279743633291778</v>
      </c>
      <c r="E17" s="614">
        <f>'9'!Z31</f>
        <v>0.46562080291503388</v>
      </c>
      <c r="F17" s="614">
        <f>'9'!AH31</f>
        <v>0.32731999924413729</v>
      </c>
      <c r="G17" s="614">
        <f>'9'!AP31</f>
        <v>0.36818067300640384</v>
      </c>
      <c r="H17" s="614">
        <f>'9'!AX31</f>
        <v>0.5005129155213297</v>
      </c>
      <c r="I17" s="614">
        <f>'9'!BF31</f>
        <v>0.42460178446498964</v>
      </c>
      <c r="J17" s="614">
        <f>'9'!BN31</f>
        <v>0.34608927812798596</v>
      </c>
      <c r="K17" s="614">
        <f>'9'!BV31</f>
        <v>0.50344067261904746</v>
      </c>
      <c r="L17" s="614">
        <f>'9'!CD31</f>
        <v>0.51830455403552589</v>
      </c>
    </row>
    <row r="18" spans="1:12">
      <c r="A18" s="611">
        <f t="shared" si="0"/>
        <v>1994</v>
      </c>
      <c r="B18" s="614">
        <f>'9'!B32</f>
        <v>0.4707879554041452</v>
      </c>
      <c r="C18" s="614">
        <f>'9'!J32</f>
        <v>0.27757566852670645</v>
      </c>
      <c r="D18" s="614">
        <f>'9'!R32</f>
        <v>0.31711266141564254</v>
      </c>
      <c r="E18" s="614">
        <f>'9'!Z32</f>
        <v>0.4650720912873213</v>
      </c>
      <c r="F18" s="614">
        <f>'9'!AH32</f>
        <v>0.33489440688660105</v>
      </c>
      <c r="G18" s="614">
        <f>'9'!AP32</f>
        <v>0.38804205042598833</v>
      </c>
      <c r="H18" s="614">
        <f>'9'!AX32</f>
        <v>0.52297506604949962</v>
      </c>
      <c r="I18" s="614">
        <f>'9'!BF32</f>
        <v>0.43994270390035312</v>
      </c>
      <c r="J18" s="614">
        <f>'9'!BN32</f>
        <v>0.35565706530771451</v>
      </c>
      <c r="K18" s="614">
        <f>'9'!BV32</f>
        <v>0.51245994212043267</v>
      </c>
      <c r="L18" s="614">
        <f>'9'!CD32</f>
        <v>0.53677516123955482</v>
      </c>
    </row>
    <row r="19" spans="1:12">
      <c r="A19" s="611">
        <f t="shared" si="0"/>
        <v>1995</v>
      </c>
      <c r="B19" s="614">
        <f>'9'!B33</f>
        <v>0.48340105029325475</v>
      </c>
      <c r="C19" s="614">
        <f>'9'!J33</f>
        <v>0.2894416490761122</v>
      </c>
      <c r="D19" s="614">
        <f>'9'!R33</f>
        <v>0.32331548031576229</v>
      </c>
      <c r="E19" s="614">
        <f>'9'!Z33</f>
        <v>0.48317739461380826</v>
      </c>
      <c r="F19" s="614">
        <f>'9'!AH33</f>
        <v>0.34730560175309128</v>
      </c>
      <c r="G19" s="614">
        <f>'9'!AP33</f>
        <v>0.39794716737729335</v>
      </c>
      <c r="H19" s="614">
        <f>'9'!AX33</f>
        <v>0.54030514795659623</v>
      </c>
      <c r="I19" s="614">
        <f>'9'!BF33</f>
        <v>0.44973709011830881</v>
      </c>
      <c r="J19" s="614">
        <f>'9'!BN33</f>
        <v>0.36306438150549847</v>
      </c>
      <c r="K19" s="614">
        <f>'9'!BV33</f>
        <v>0.52296322516338223</v>
      </c>
      <c r="L19" s="614">
        <f>'9'!CD33</f>
        <v>0.5397287013939136</v>
      </c>
    </row>
    <row r="20" spans="1:12">
      <c r="A20" s="611">
        <f t="shared" si="0"/>
        <v>1996</v>
      </c>
      <c r="B20" s="614">
        <f>'9'!B34</f>
        <v>0.49807269871500515</v>
      </c>
      <c r="C20" s="614">
        <f>'9'!J34</f>
        <v>0.29832970321722241</v>
      </c>
      <c r="D20" s="614">
        <f>'9'!R34</f>
        <v>0.34776052329327711</v>
      </c>
      <c r="E20" s="614">
        <f>'9'!Z34</f>
        <v>0.47756329188992874</v>
      </c>
      <c r="F20" s="614">
        <f>'9'!AH34</f>
        <v>0.35902531597675047</v>
      </c>
      <c r="G20" s="614">
        <f>'9'!AP34</f>
        <v>0.42021762001627372</v>
      </c>
      <c r="H20" s="614">
        <f>'9'!AX34</f>
        <v>0.55118973271723748</v>
      </c>
      <c r="I20" s="614">
        <f>'9'!BF34</f>
        <v>0.46273097696448295</v>
      </c>
      <c r="J20" s="614">
        <f>'9'!BN34</f>
        <v>0.37772546104340987</v>
      </c>
      <c r="K20" s="614">
        <f>'9'!BV34</f>
        <v>0.53599961616756442</v>
      </c>
      <c r="L20" s="614">
        <f>'9'!CD34</f>
        <v>0.56183546143676799</v>
      </c>
    </row>
    <row r="21" spans="1:12">
      <c r="A21" s="611">
        <f t="shared" si="0"/>
        <v>1997</v>
      </c>
      <c r="B21" s="614">
        <f>'9'!B35</f>
        <v>0.52409770210052486</v>
      </c>
      <c r="C21" s="614">
        <f>'9'!J35</f>
        <v>0.31298798306272024</v>
      </c>
      <c r="D21" s="614">
        <f>'9'!R35</f>
        <v>0.39906276422322268</v>
      </c>
      <c r="E21" s="614">
        <f>'9'!Z35</f>
        <v>0.49540636560141593</v>
      </c>
      <c r="F21" s="614">
        <f>'9'!AH35</f>
        <v>0.3776320805114618</v>
      </c>
      <c r="G21" s="614">
        <f>'9'!AP35</f>
        <v>0.43637490854377176</v>
      </c>
      <c r="H21" s="614">
        <f>'9'!AX35</f>
        <v>0.58419461992966959</v>
      </c>
      <c r="I21" s="614">
        <f>'9'!BF35</f>
        <v>0.48694301949763352</v>
      </c>
      <c r="J21" s="614">
        <f>'9'!BN35</f>
        <v>0.40754346280351528</v>
      </c>
      <c r="K21" s="614">
        <f>'9'!BV35</f>
        <v>0.57368774764415209</v>
      </c>
      <c r="L21" s="614">
        <f>'9'!CD35</f>
        <v>0.58400882809251697</v>
      </c>
    </row>
    <row r="22" spans="1:12">
      <c r="A22" s="611">
        <f t="shared" si="0"/>
        <v>1998</v>
      </c>
      <c r="B22" s="614">
        <f>'9'!B36</f>
        <v>0.55382919037071332</v>
      </c>
      <c r="C22" s="614">
        <f>'9'!J36</f>
        <v>0.3676298882097111</v>
      </c>
      <c r="D22" s="614">
        <f>'9'!R36</f>
        <v>0.41535381927562864</v>
      </c>
      <c r="E22" s="614">
        <f>'9'!Z36</f>
        <v>0.52222617770002555</v>
      </c>
      <c r="F22" s="614">
        <f>'9'!AH36</f>
        <v>0.41105147910938672</v>
      </c>
      <c r="G22" s="614">
        <f>'9'!AP36</f>
        <v>0.46405455932897854</v>
      </c>
      <c r="H22" s="614">
        <f>'9'!AX36</f>
        <v>0.61761527515092574</v>
      </c>
      <c r="I22" s="614">
        <f>'9'!BF36</f>
        <v>0.50160515315104226</v>
      </c>
      <c r="J22" s="614">
        <f>'9'!BN36</f>
        <v>0.43038322958225916</v>
      </c>
      <c r="K22" s="614">
        <f>'9'!BV36</f>
        <v>0.60505800788423514</v>
      </c>
      <c r="L22" s="614">
        <f>'9'!CD36</f>
        <v>0.61579884007801267</v>
      </c>
    </row>
    <row r="23" spans="1:12">
      <c r="A23" s="611">
        <f t="shared" si="0"/>
        <v>1999</v>
      </c>
      <c r="B23" s="614">
        <f>'9'!B37</f>
        <v>0.57870379700417096</v>
      </c>
      <c r="C23" s="614">
        <f>'9'!J37</f>
        <v>0.4133066520219208</v>
      </c>
      <c r="D23" s="614">
        <f>'9'!R37</f>
        <v>0.46549630466318914</v>
      </c>
      <c r="E23" s="614">
        <f>'9'!Z37</f>
        <v>0.56241420575957657</v>
      </c>
      <c r="F23" s="614">
        <f>'9'!AH37</f>
        <v>0.45169032682381477</v>
      </c>
      <c r="G23" s="614">
        <f>'9'!AP37</f>
        <v>0.48723200500675606</v>
      </c>
      <c r="H23" s="614">
        <f>'9'!AX37</f>
        <v>0.64566743464818133</v>
      </c>
      <c r="I23" s="614">
        <f>'9'!BF37</f>
        <v>0.5268606498470787</v>
      </c>
      <c r="J23" s="614">
        <f>'9'!BN37</f>
        <v>0.44570382870967756</v>
      </c>
      <c r="K23" s="614">
        <f>'9'!BV37</f>
        <v>0.62148496077463289</v>
      </c>
      <c r="L23" s="614">
        <f>'9'!CD37</f>
        <v>0.63710844007810286</v>
      </c>
    </row>
    <row r="24" spans="1:12">
      <c r="A24" s="611">
        <f t="shared" si="0"/>
        <v>2000</v>
      </c>
      <c r="B24" s="614">
        <f>'9'!B38</f>
        <v>0.60769764491524347</v>
      </c>
      <c r="C24" s="614">
        <f>'9'!J38</f>
        <v>0.44040329454067229</v>
      </c>
      <c r="D24" s="614">
        <f>'9'!R38</f>
        <v>0.4783148072775002</v>
      </c>
      <c r="E24" s="614">
        <f>'9'!Z38</f>
        <v>0.58290400183654201</v>
      </c>
      <c r="F24" s="614">
        <f>'9'!AH38</f>
        <v>0.46761771480012659</v>
      </c>
      <c r="G24" s="614">
        <f>'9'!AP38</f>
        <v>0.51893058272233095</v>
      </c>
      <c r="H24" s="614">
        <f>'9'!AX38</f>
        <v>0.67084626602538422</v>
      </c>
      <c r="I24" s="614">
        <f>'9'!BF38</f>
        <v>0.54173693135950862</v>
      </c>
      <c r="J24" s="614">
        <f>'9'!BN38</f>
        <v>0.46776011599062156</v>
      </c>
      <c r="K24" s="614">
        <f>'9'!BV38</f>
        <v>0.65856412862737246</v>
      </c>
      <c r="L24" s="614">
        <f>'9'!CD38</f>
        <v>0.66790133193502976</v>
      </c>
    </row>
    <row r="25" spans="1:12">
      <c r="A25" s="611">
        <f t="shared" si="0"/>
        <v>2001</v>
      </c>
      <c r="B25" s="614">
        <f>'9'!B39</f>
        <v>0.62648184541481788</v>
      </c>
      <c r="C25" s="614">
        <f>'9'!J39</f>
        <v>0.4825548466815337</v>
      </c>
      <c r="D25" s="614">
        <f>'9'!R39</f>
        <v>0.51415455480124672</v>
      </c>
      <c r="E25" s="614">
        <f>'9'!Z39</f>
        <v>0.60626015081086526</v>
      </c>
      <c r="F25" s="614">
        <f>'9'!AH39</f>
        <v>0.47658532289306299</v>
      </c>
      <c r="G25" s="614">
        <f>'9'!AP39</f>
        <v>0.54265827780181919</v>
      </c>
      <c r="H25" s="614">
        <f>'9'!AX39</f>
        <v>0.68598462591857168</v>
      </c>
      <c r="I25" s="614">
        <f>'9'!BF39</f>
        <v>0.56740661016170135</v>
      </c>
      <c r="J25" s="614">
        <f>'9'!BN39</f>
        <v>0.50243188642159942</v>
      </c>
      <c r="K25" s="614">
        <f>'9'!BV39</f>
        <v>0.68439814576899927</v>
      </c>
      <c r="L25" s="614">
        <f>'9'!CD39</f>
        <v>0.68251591287710278</v>
      </c>
    </row>
    <row r="26" spans="1:12">
      <c r="A26" s="611">
        <f t="shared" si="0"/>
        <v>2002</v>
      </c>
      <c r="B26" s="614">
        <f>'9'!B40</f>
        <v>0.64603724803837104</v>
      </c>
      <c r="C26" s="614">
        <f>'9'!J40</f>
        <v>0.51817309037159864</v>
      </c>
      <c r="D26" s="614">
        <f>'9'!R40</f>
        <v>0.53624046823867666</v>
      </c>
      <c r="E26" s="614">
        <f>'9'!Z40</f>
        <v>0.64146109227636638</v>
      </c>
      <c r="F26" s="614">
        <f>'9'!AH40</f>
        <v>0.4999476600642816</v>
      </c>
      <c r="G26" s="614">
        <f>'9'!AP40</f>
        <v>0.56300589110130783</v>
      </c>
      <c r="H26" s="614">
        <f>'9'!AX40</f>
        <v>0.70615839029193861</v>
      </c>
      <c r="I26" s="614">
        <f>'9'!BF40</f>
        <v>0.58768660768432635</v>
      </c>
      <c r="J26" s="614">
        <f>'9'!BN40</f>
        <v>0.52290842253150849</v>
      </c>
      <c r="K26" s="614">
        <f>'9'!BV40</f>
        <v>0.69899179728158278</v>
      </c>
      <c r="L26" s="614">
        <f>'9'!CD40</f>
        <v>0.69977640301901978</v>
      </c>
    </row>
    <row r="27" spans="1:12">
      <c r="A27" s="611">
        <f t="shared" si="0"/>
        <v>2003</v>
      </c>
      <c r="B27" s="614">
        <f>'9'!B41</f>
        <v>0.66790011172971175</v>
      </c>
      <c r="C27" s="614">
        <f>'9'!J41</f>
        <v>0.53172913282398937</v>
      </c>
      <c r="D27" s="614">
        <f>'9'!R41</f>
        <v>0.56484597538070591</v>
      </c>
      <c r="E27" s="614">
        <f>'9'!Z41</f>
        <v>0.66216294347264948</v>
      </c>
      <c r="F27" s="614">
        <f>'9'!AH41</f>
        <v>0.51812443683337017</v>
      </c>
      <c r="G27" s="614">
        <f>'9'!AP41</f>
        <v>0.59300707319132673</v>
      </c>
      <c r="H27" s="614">
        <f>'9'!AX41</f>
        <v>0.72814586378270407</v>
      </c>
      <c r="I27" s="614">
        <f>'9'!BF41</f>
        <v>0.60406633948456723</v>
      </c>
      <c r="J27" s="614">
        <f>'9'!BN41</f>
        <v>0.53560443588310236</v>
      </c>
      <c r="K27" s="614">
        <f>'9'!BV41</f>
        <v>0.71339040960749223</v>
      </c>
      <c r="L27" s="614">
        <f>'9'!CD41</f>
        <v>0.71973601901368522</v>
      </c>
    </row>
    <row r="28" spans="1:12">
      <c r="A28" s="611">
        <f t="shared" si="0"/>
        <v>2004</v>
      </c>
      <c r="B28" s="614">
        <f>'9'!B42</f>
        <v>0.6899340129521192</v>
      </c>
      <c r="C28" s="614">
        <f>'9'!J42</f>
        <v>0.54784729185012326</v>
      </c>
      <c r="D28" s="614">
        <f>'9'!R42</f>
        <v>0.56770374652001532</v>
      </c>
      <c r="E28" s="614">
        <f>'9'!Z42</f>
        <v>0.67988602680818677</v>
      </c>
      <c r="F28" s="614">
        <f>'9'!AH42</f>
        <v>0.55061841542550904</v>
      </c>
      <c r="G28" s="614">
        <f>'9'!AP42</f>
        <v>0.61255407428745345</v>
      </c>
      <c r="H28" s="614">
        <f>'9'!AX42</f>
        <v>0.75127092994033673</v>
      </c>
      <c r="I28" s="614">
        <f>'9'!BF42</f>
        <v>0.62366146387753496</v>
      </c>
      <c r="J28" s="614">
        <f>'9'!BN42</f>
        <v>0.55339212990848174</v>
      </c>
      <c r="K28" s="614">
        <f>'9'!BV42</f>
        <v>0.73684749328894783</v>
      </c>
      <c r="L28" s="614">
        <f>'9'!CD42</f>
        <v>0.7440893030786524</v>
      </c>
    </row>
    <row r="29" spans="1:12">
      <c r="A29" s="611">
        <f t="shared" si="0"/>
        <v>2005</v>
      </c>
      <c r="B29" s="614">
        <f>'9'!B43</f>
        <v>0.71372649724491843</v>
      </c>
      <c r="C29" s="614">
        <f>'9'!J43</f>
        <v>0.56734103853214679</v>
      </c>
      <c r="D29" s="614">
        <f>'9'!R43</f>
        <v>0.60345604697787936</v>
      </c>
      <c r="E29" s="614">
        <f>'9'!Z43</f>
        <v>0.71271455410885742</v>
      </c>
      <c r="F29" s="614">
        <f>'9'!AH43</f>
        <v>0.57481853634458058</v>
      </c>
      <c r="G29" s="614">
        <f>'9'!AP43</f>
        <v>0.63530967005613881</v>
      </c>
      <c r="H29" s="614">
        <f>'9'!AX43</f>
        <v>0.7671852223443808</v>
      </c>
      <c r="I29" s="614">
        <f>'9'!BF43</f>
        <v>0.64673864136269321</v>
      </c>
      <c r="J29" s="614">
        <f>'9'!BN43</f>
        <v>0.58230504715343268</v>
      </c>
      <c r="K29" s="614">
        <f>'9'!BV43</f>
        <v>0.77732575418068017</v>
      </c>
      <c r="L29" s="614">
        <f>'9'!CD43</f>
        <v>0.77521463590000705</v>
      </c>
    </row>
    <row r="30" spans="1:12">
      <c r="A30" s="611">
        <f t="shared" si="0"/>
        <v>2006</v>
      </c>
      <c r="B30" s="614">
        <f>'9'!B44</f>
        <v>0.74822394374285328</v>
      </c>
      <c r="C30" s="614">
        <f>'9'!J44</f>
        <v>0.60711570287657335</v>
      </c>
      <c r="D30" s="614">
        <f>'9'!R44</f>
        <v>0.64175689758933185</v>
      </c>
      <c r="E30" s="614">
        <f>'9'!Z44</f>
        <v>0.7397523396094019</v>
      </c>
      <c r="F30" s="614">
        <f>'9'!AH44</f>
        <v>0.61433476782738228</v>
      </c>
      <c r="G30" s="614">
        <f>'9'!AP44</f>
        <v>0.66398235260167537</v>
      </c>
      <c r="H30" s="614">
        <f>'9'!AX44</f>
        <v>0.80030932253686493</v>
      </c>
      <c r="I30" s="614">
        <f>'9'!BF44</f>
        <v>0.67944169860101478</v>
      </c>
      <c r="J30" s="614">
        <f>'9'!BN44</f>
        <v>0.61691535423387922</v>
      </c>
      <c r="K30" s="614">
        <f>'9'!BV44</f>
        <v>0.82155636121690789</v>
      </c>
      <c r="L30" s="614">
        <f>'9'!CD44</f>
        <v>0.81287046766392557</v>
      </c>
    </row>
    <row r="31" spans="1:12">
      <c r="A31" s="611">
        <f t="shared" si="0"/>
        <v>2007</v>
      </c>
      <c r="B31" s="614">
        <f>'9'!B45</f>
        <v>0.78274165438300747</v>
      </c>
      <c r="C31" s="614">
        <f>'9'!J45</f>
        <v>0.6559587064521144</v>
      </c>
      <c r="D31" s="614">
        <f>'9'!R45</f>
        <v>0.66853084073780777</v>
      </c>
      <c r="E31" s="614">
        <f>'9'!Z45</f>
        <v>0.77687106671694695</v>
      </c>
      <c r="F31" s="614">
        <f>'9'!AH45</f>
        <v>0.66373896871061133</v>
      </c>
      <c r="G31" s="614">
        <f>'9'!AP45</f>
        <v>0.6945657394459801</v>
      </c>
      <c r="H31" s="614">
        <f>'9'!AX45</f>
        <v>0.83102631976755947</v>
      </c>
      <c r="I31" s="614">
        <f>'9'!BF45</f>
        <v>0.71962194070955743</v>
      </c>
      <c r="J31" s="614">
        <f>'9'!BN45</f>
        <v>0.65693432593297085</v>
      </c>
      <c r="K31" s="614">
        <f>'9'!BV45</f>
        <v>0.86475982217625125</v>
      </c>
      <c r="L31" s="614">
        <f>'9'!CD45</f>
        <v>0.84963062949886803</v>
      </c>
    </row>
    <row r="32" spans="1:12">
      <c r="A32" s="611">
        <f t="shared" si="0"/>
        <v>2008</v>
      </c>
      <c r="B32" s="614">
        <f>'9'!B46</f>
        <v>0.80583389411014994</v>
      </c>
      <c r="C32" s="614">
        <f>'9'!J46</f>
        <v>0.71512018986386705</v>
      </c>
      <c r="D32" s="614">
        <f>'9'!R46</f>
        <v>0.68491238251049869</v>
      </c>
      <c r="E32" s="614">
        <f>'9'!Z46</f>
        <v>0.80989374454177732</v>
      </c>
      <c r="F32" s="614">
        <f>'9'!AH46</f>
        <v>0.68107601312331356</v>
      </c>
      <c r="G32" s="614">
        <f>'9'!AP46</f>
        <v>0.72529580636546875</v>
      </c>
      <c r="H32" s="614">
        <f>'9'!AX46</f>
        <v>0.84862489336049207</v>
      </c>
      <c r="I32" s="614">
        <f>'9'!BF46</f>
        <v>0.74282601191343089</v>
      </c>
      <c r="J32" s="614">
        <f>'9'!BN46</f>
        <v>0.69936242887256606</v>
      </c>
      <c r="K32" s="614">
        <f>'9'!BV46</f>
        <v>0.88906274999430579</v>
      </c>
      <c r="L32" s="614">
        <f>'9'!CD46</f>
        <v>0.86222999470382578</v>
      </c>
    </row>
    <row r="33" spans="1:12">
      <c r="A33" s="611">
        <f t="shared" si="0"/>
        <v>2009</v>
      </c>
      <c r="B33" s="614">
        <f>'9'!B47</f>
        <v>0.81159519848141226</v>
      </c>
      <c r="C33" s="614">
        <f>'9'!J47</f>
        <v>0.74530987547333027</v>
      </c>
      <c r="D33" s="614">
        <f>'9'!R47</f>
        <v>0.71683542809959488</v>
      </c>
      <c r="E33" s="614">
        <f>'9'!Z47</f>
        <v>0.83727019376457168</v>
      </c>
      <c r="F33" s="614">
        <f>'9'!AH47</f>
        <v>0.70272834587279165</v>
      </c>
      <c r="G33" s="614">
        <f>'9'!AP47</f>
        <v>0.74223082043253719</v>
      </c>
      <c r="H33" s="614">
        <f>'9'!AX47</f>
        <v>0.85186627990389541</v>
      </c>
      <c r="I33" s="614">
        <f>'9'!BF47</f>
        <v>0.7565639608261242</v>
      </c>
      <c r="J33" s="614">
        <f>'9'!BN47</f>
        <v>0.69374528402758773</v>
      </c>
      <c r="K33" s="614">
        <f>'9'!BV47</f>
        <v>0.87700599972243976</v>
      </c>
      <c r="L33" s="614">
        <f>'9'!CD47</f>
        <v>0.85586079389294423</v>
      </c>
    </row>
    <row r="34" spans="1:12">
      <c r="A34" s="611">
        <f t="shared" si="0"/>
        <v>2010</v>
      </c>
      <c r="B34" s="614">
        <f>'9'!B48</f>
        <v>0.83603513861958567</v>
      </c>
      <c r="C34" s="614">
        <f>'9'!J48</f>
        <v>0.78807770795431809</v>
      </c>
      <c r="D34" s="614">
        <f>'9'!R48</f>
        <v>0.74860183445626904</v>
      </c>
      <c r="E34" s="614">
        <f>'9'!Z48</f>
        <v>0.86656261342980634</v>
      </c>
      <c r="F34" s="614">
        <f>'9'!AH48</f>
        <v>0.73322971093990053</v>
      </c>
      <c r="G34" s="614">
        <f>'9'!AP48</f>
        <v>0.76730257696181658</v>
      </c>
      <c r="H34" s="614">
        <f>'9'!AX48</f>
        <v>0.87205048722580303</v>
      </c>
      <c r="I34" s="614">
        <f>'9'!BF48</f>
        <v>0.78270217470703973</v>
      </c>
      <c r="J34" s="614">
        <f>'9'!BN48</f>
        <v>0.71898537493791903</v>
      </c>
      <c r="K34" s="614">
        <f>'9'!BV48</f>
        <v>0.91666666666666674</v>
      </c>
      <c r="L34" s="614">
        <f>'9'!CD48</f>
        <v>0.87741125227275085</v>
      </c>
    </row>
    <row r="35" spans="1:12">
      <c r="A35" s="611" t="s">
        <v>1499</v>
      </c>
      <c r="B35" s="611"/>
      <c r="C35" s="611"/>
      <c r="D35" s="611"/>
      <c r="E35" s="611"/>
      <c r="F35" s="611"/>
      <c r="G35" s="611"/>
      <c r="H35" s="611"/>
      <c r="I35" s="611"/>
      <c r="J35" s="611"/>
      <c r="K35" s="611"/>
      <c r="L35" s="611"/>
    </row>
    <row r="36" spans="1:12">
      <c r="A36" s="611" t="s">
        <v>1498</v>
      </c>
      <c r="B36" s="615">
        <f>B34-B5</f>
        <v>0.57101489756468671</v>
      </c>
      <c r="C36" s="615">
        <f t="shared" ref="C36:L36" si="1">C34-C5</f>
        <v>0.70474437462098471</v>
      </c>
      <c r="D36" s="615">
        <f t="shared" si="1"/>
        <v>0.55343308707350136</v>
      </c>
      <c r="E36" s="615">
        <f t="shared" si="1"/>
        <v>0.63653452906181052</v>
      </c>
      <c r="F36" s="615">
        <f t="shared" si="1"/>
        <v>0.63642062963325829</v>
      </c>
      <c r="G36" s="615">
        <f t="shared" si="1"/>
        <v>0.57919077072023861</v>
      </c>
      <c r="H36" s="615">
        <f t="shared" si="1"/>
        <v>0.59451200281631178</v>
      </c>
      <c r="I36" s="615">
        <f t="shared" si="1"/>
        <v>0.56907647094817926</v>
      </c>
      <c r="J36" s="615">
        <f t="shared" si="1"/>
        <v>0.47960473711327534</v>
      </c>
      <c r="K36" s="615">
        <f t="shared" si="1"/>
        <v>0.51530856045630746</v>
      </c>
      <c r="L36" s="615">
        <f t="shared" si="1"/>
        <v>0.50976287916817531</v>
      </c>
    </row>
    <row r="37" spans="1:12">
      <c r="A37" s="611" t="s">
        <v>1472</v>
      </c>
      <c r="B37" s="615">
        <f>B13-B5</f>
        <v>0.14077366346241549</v>
      </c>
      <c r="C37" s="615">
        <f t="shared" ref="C37:L37" si="2">C13-C5</f>
        <v>0.18506367543077573</v>
      </c>
      <c r="D37" s="615">
        <f t="shared" si="2"/>
        <v>0.17004740344757749</v>
      </c>
      <c r="E37" s="615">
        <f t="shared" si="2"/>
        <v>0.16849224297379434</v>
      </c>
      <c r="F37" s="615">
        <f t="shared" si="2"/>
        <v>0.19453581732897085</v>
      </c>
      <c r="G37" s="615">
        <f t="shared" si="2"/>
        <v>0.14544492187693289</v>
      </c>
      <c r="H37" s="615">
        <f t="shared" si="2"/>
        <v>0.15915331896016377</v>
      </c>
      <c r="I37" s="615">
        <f t="shared" si="2"/>
        <v>0.18077889219829302</v>
      </c>
      <c r="J37" s="615">
        <f t="shared" si="2"/>
        <v>6.9690320562866781E-2</v>
      </c>
      <c r="K37" s="615">
        <f t="shared" si="2"/>
        <v>9.0756704260612997E-2</v>
      </c>
      <c r="L37" s="615">
        <f t="shared" si="2"/>
        <v>7.6091722308060772E-2</v>
      </c>
    </row>
    <row r="38" spans="1:12">
      <c r="A38" s="611" t="s">
        <v>1473</v>
      </c>
      <c r="B38" s="615">
        <f>B24-B13</f>
        <v>0.20190374039792908</v>
      </c>
      <c r="C38" s="615">
        <f t="shared" ref="C38:L38" si="3">C24-C13</f>
        <v>0.17200628577656324</v>
      </c>
      <c r="D38" s="615">
        <f t="shared" si="3"/>
        <v>0.113098656447155</v>
      </c>
      <c r="E38" s="615">
        <f t="shared" si="3"/>
        <v>0.18438367449475185</v>
      </c>
      <c r="F38" s="615">
        <f t="shared" si="3"/>
        <v>0.17627281616451346</v>
      </c>
      <c r="G38" s="615">
        <f t="shared" si="3"/>
        <v>0.18537385460382005</v>
      </c>
      <c r="H38" s="615">
        <f t="shared" si="3"/>
        <v>0.2341544626557292</v>
      </c>
      <c r="I38" s="615">
        <f t="shared" si="3"/>
        <v>0.14733233540235513</v>
      </c>
      <c r="J38" s="615">
        <f t="shared" si="3"/>
        <v>0.15868915760311109</v>
      </c>
      <c r="K38" s="615">
        <f t="shared" si="3"/>
        <v>0.16644931815640013</v>
      </c>
      <c r="L38" s="615">
        <f t="shared" si="3"/>
        <v>0.22416123652239345</v>
      </c>
    </row>
    <row r="39" spans="1:12">
      <c r="A39" s="611" t="s">
        <v>1474</v>
      </c>
      <c r="B39" s="615">
        <f>B32-B24</f>
        <v>0.19813624919490647</v>
      </c>
      <c r="C39" s="615">
        <f t="shared" ref="C39:L39" si="4">C32-C24</f>
        <v>0.27471689532319477</v>
      </c>
      <c r="D39" s="615">
        <f t="shared" si="4"/>
        <v>0.20659757523299849</v>
      </c>
      <c r="E39" s="615">
        <f t="shared" si="4"/>
        <v>0.22698974270523531</v>
      </c>
      <c r="F39" s="615">
        <f t="shared" si="4"/>
        <v>0.21345829832318697</v>
      </c>
      <c r="G39" s="615">
        <f t="shared" si="4"/>
        <v>0.20636522364313781</v>
      </c>
      <c r="H39" s="615">
        <f t="shared" si="4"/>
        <v>0.17777862733510785</v>
      </c>
      <c r="I39" s="615">
        <f t="shared" si="4"/>
        <v>0.20108908055392227</v>
      </c>
      <c r="J39" s="615">
        <f t="shared" si="4"/>
        <v>0.23160231288194449</v>
      </c>
      <c r="K39" s="615">
        <f t="shared" si="4"/>
        <v>0.23049862136693333</v>
      </c>
      <c r="L39" s="615">
        <f t="shared" si="4"/>
        <v>0.19432866276879601</v>
      </c>
    </row>
    <row r="40" spans="1:12">
      <c r="A40" s="611" t="s">
        <v>1500</v>
      </c>
      <c r="B40" s="611"/>
      <c r="C40" s="611"/>
      <c r="D40" s="611"/>
      <c r="E40" s="611"/>
      <c r="F40" s="611"/>
      <c r="G40" s="611"/>
      <c r="H40" s="611"/>
      <c r="I40" s="611"/>
      <c r="J40" s="611"/>
      <c r="K40" s="611"/>
      <c r="L40" s="611"/>
    </row>
    <row r="41" spans="1:12">
      <c r="A41" s="611" t="s">
        <v>1498</v>
      </c>
      <c r="B41" s="616">
        <f>100*(B34-B5)/B5</f>
        <v>215.46086264648784</v>
      </c>
      <c r="C41" s="616">
        <f t="shared" ref="C41:L41" si="5">100*(C34-C5)/C5</f>
        <v>845.69324954518197</v>
      </c>
      <c r="D41" s="616">
        <f t="shared" si="5"/>
        <v>283.56644928816422</v>
      </c>
      <c r="E41" s="616">
        <f t="shared" si="5"/>
        <v>276.72035386926547</v>
      </c>
      <c r="F41" s="616">
        <f t="shared" si="5"/>
        <v>657.39765427315558</v>
      </c>
      <c r="G41" s="616">
        <f t="shared" si="5"/>
        <v>307.89708646804814</v>
      </c>
      <c r="H41" s="616">
        <f t="shared" si="5"/>
        <v>214.20885254210199</v>
      </c>
      <c r="I41" s="616">
        <f t="shared" si="5"/>
        <v>266.38951256097425</v>
      </c>
      <c r="J41" s="616">
        <f>100*(J34-J5)/J5</f>
        <v>200.35235158183752</v>
      </c>
      <c r="K41" s="616">
        <f t="shared" si="5"/>
        <v>128.39121783832232</v>
      </c>
      <c r="L41" s="616">
        <f t="shared" si="5"/>
        <v>138.65500746366041</v>
      </c>
    </row>
    <row r="42" spans="1:12">
      <c r="A42" s="611" t="s">
        <v>1472</v>
      </c>
      <c r="B42" s="616">
        <f>100*(B13-B5)/B5</f>
        <v>53.118079925545857</v>
      </c>
      <c r="C42" s="616">
        <f t="shared" ref="C42:L42" si="6">100*(C13-C5)/C5</f>
        <v>222.07641051693093</v>
      </c>
      <c r="D42" s="616">
        <f t="shared" si="6"/>
        <v>87.128398233800269</v>
      </c>
      <c r="E42" s="616">
        <f t="shared" si="6"/>
        <v>73.248552861155304</v>
      </c>
      <c r="F42" s="616">
        <f t="shared" si="6"/>
        <v>200.94790148124599</v>
      </c>
      <c r="G42" s="616">
        <f t="shared" si="6"/>
        <v>77.318337845392222</v>
      </c>
      <c r="H42" s="616">
        <f t="shared" si="6"/>
        <v>57.344594678027669</v>
      </c>
      <c r="I42" s="616">
        <f t="shared" si="6"/>
        <v>84.62412950192325</v>
      </c>
      <c r="J42" s="616">
        <f t="shared" si="6"/>
        <v>29.112764171811527</v>
      </c>
      <c r="K42" s="616">
        <f t="shared" si="6"/>
        <v>22.612400959716933</v>
      </c>
      <c r="L42" s="616">
        <f t="shared" si="6"/>
        <v>20.696874479685757</v>
      </c>
    </row>
    <row r="43" spans="1:12">
      <c r="A43" s="611" t="s">
        <v>1473</v>
      </c>
      <c r="B43" s="616">
        <f>100*(B24-B13)/B13</f>
        <v>49.755242291795994</v>
      </c>
      <c r="C43" s="616">
        <f t="shared" ref="C43:L43" si="7">100*(C24-C13)/C13</f>
        <v>64.086513694248183</v>
      </c>
      <c r="D43" s="616">
        <f t="shared" si="7"/>
        <v>30.967594447840565</v>
      </c>
      <c r="E43" s="616">
        <f t="shared" si="7"/>
        <v>46.26706891581356</v>
      </c>
      <c r="F43" s="616">
        <f t="shared" si="7"/>
        <v>60.503141462236123</v>
      </c>
      <c r="G43" s="616">
        <f t="shared" si="7"/>
        <v>55.574910945270375</v>
      </c>
      <c r="H43" s="616">
        <f t="shared" si="7"/>
        <v>53.620072749000038</v>
      </c>
      <c r="I43" s="616">
        <f t="shared" si="7"/>
        <v>37.355633507465697</v>
      </c>
      <c r="J43" s="616">
        <f t="shared" si="7"/>
        <v>51.343923877877906</v>
      </c>
      <c r="K43" s="616">
        <f t="shared" si="7"/>
        <v>33.823269410872207</v>
      </c>
      <c r="L43" s="616">
        <f t="shared" si="7"/>
        <v>50.516335764958249</v>
      </c>
    </row>
    <row r="44" spans="1:12">
      <c r="A44" s="611" t="s">
        <v>1474</v>
      </c>
      <c r="B44" s="616">
        <f>100*(B32-B24)/B24</f>
        <v>32.604412877482986</v>
      </c>
      <c r="C44" s="616">
        <f t="shared" ref="C44:L44" si="8">100*(C32-C24)/C24</f>
        <v>62.378483251292757</v>
      </c>
      <c r="D44" s="616">
        <f t="shared" si="8"/>
        <v>43.192803586600732</v>
      </c>
      <c r="E44" s="616">
        <f t="shared" si="8"/>
        <v>38.94118791260037</v>
      </c>
      <c r="F44" s="616">
        <f t="shared" si="8"/>
        <v>45.648035043844573</v>
      </c>
      <c r="G44" s="616">
        <f t="shared" si="8"/>
        <v>39.767404449461708</v>
      </c>
      <c r="H44" s="616">
        <f t="shared" si="8"/>
        <v>26.500650944724924</v>
      </c>
      <c r="I44" s="616">
        <f t="shared" si="8"/>
        <v>37.119322850905121</v>
      </c>
      <c r="J44" s="616">
        <f t="shared" si="8"/>
        <v>49.513052730341812</v>
      </c>
      <c r="K44" s="616">
        <f t="shared" si="8"/>
        <v>35.000178623053074</v>
      </c>
      <c r="L44" s="616">
        <f t="shared" si="8"/>
        <v>29.095414768195038</v>
      </c>
    </row>
    <row r="45" spans="1:12">
      <c r="A45" s="611" t="s">
        <v>1501</v>
      </c>
      <c r="B45" s="611"/>
      <c r="C45" s="611"/>
      <c r="D45" s="611"/>
      <c r="E45" s="611"/>
      <c r="F45" s="611"/>
      <c r="G45" s="611"/>
      <c r="H45" s="611"/>
      <c r="I45" s="611"/>
      <c r="J45" s="611"/>
      <c r="K45" s="611"/>
      <c r="L45" s="611"/>
    </row>
    <row r="46" spans="1:12">
      <c r="A46" s="611" t="s">
        <v>1498</v>
      </c>
      <c r="B46" s="617">
        <f>100*(POWER(B34/B5, 1/29)-1)</f>
        <v>4.0411195354607798</v>
      </c>
      <c r="C46" s="617">
        <f t="shared" ref="C46:L46" si="9">100*(POWER(C34/C5, 1/29)-1)</f>
        <v>8.0554214813355998</v>
      </c>
      <c r="D46" s="617">
        <f t="shared" si="9"/>
        <v>4.744791088404976</v>
      </c>
      <c r="E46" s="617">
        <f t="shared" si="9"/>
        <v>4.6797621266941869</v>
      </c>
      <c r="F46" s="617">
        <f t="shared" si="9"/>
        <v>7.2312863214976542</v>
      </c>
      <c r="G46" s="617">
        <f t="shared" si="9"/>
        <v>4.9671653227764567</v>
      </c>
      <c r="H46" s="617">
        <f t="shared" si="9"/>
        <v>4.0268535151431806</v>
      </c>
      <c r="I46" s="617">
        <f t="shared" si="9"/>
        <v>4.5794398966031657</v>
      </c>
      <c r="J46" s="617">
        <f t="shared" si="9"/>
        <v>3.865193790033028</v>
      </c>
      <c r="K46" s="617">
        <f t="shared" si="9"/>
        <v>2.8888362804825762</v>
      </c>
      <c r="L46" s="617">
        <f t="shared" si="9"/>
        <v>3.0449162801498009</v>
      </c>
    </row>
    <row r="47" spans="1:12">
      <c r="A47" s="611" t="s">
        <v>1472</v>
      </c>
      <c r="B47" s="617">
        <f>100*(POWER(B13/B5, 1/8)-1)</f>
        <v>5.4698453753357246</v>
      </c>
      <c r="C47" s="617">
        <f t="shared" ref="C47:L47" si="10">100*(POWER(C13/C5, 1/8)-1)</f>
        <v>15.743034596262916</v>
      </c>
      <c r="D47" s="617">
        <f t="shared" si="10"/>
        <v>8.1477435485898475</v>
      </c>
      <c r="E47" s="617">
        <f t="shared" si="10"/>
        <v>7.1109082544186242</v>
      </c>
      <c r="F47" s="617">
        <f t="shared" si="10"/>
        <v>14.765516330177597</v>
      </c>
      <c r="G47" s="617">
        <f t="shared" si="10"/>
        <v>7.4222405652073498</v>
      </c>
      <c r="H47" s="617">
        <f t="shared" si="10"/>
        <v>5.8294352366819346</v>
      </c>
      <c r="I47" s="617">
        <f t="shared" si="10"/>
        <v>7.9657628238740452</v>
      </c>
      <c r="J47" s="617">
        <f t="shared" si="10"/>
        <v>3.2455036969181172</v>
      </c>
      <c r="K47" s="617">
        <f t="shared" si="10"/>
        <v>2.5809695698089996</v>
      </c>
      <c r="L47" s="617">
        <f t="shared" si="10"/>
        <v>2.3792639736371024</v>
      </c>
    </row>
    <row r="48" spans="1:12">
      <c r="A48" s="611" t="s">
        <v>1473</v>
      </c>
      <c r="B48" s="617">
        <f>100*(POWER(B24/B13, 1/11)-1)</f>
        <v>3.7394213687980349</v>
      </c>
      <c r="C48" s="617">
        <f t="shared" ref="C48:L48" si="11">100*(POWER(C24/C13, 1/11)-1)</f>
        <v>4.6049125421562698</v>
      </c>
      <c r="D48" s="617">
        <f t="shared" si="11"/>
        <v>2.4828652726030187</v>
      </c>
      <c r="E48" s="617">
        <f t="shared" si="11"/>
        <v>3.5173923775920324</v>
      </c>
      <c r="F48" s="617">
        <f t="shared" si="11"/>
        <v>4.3951497389631111</v>
      </c>
      <c r="G48" s="617">
        <f t="shared" si="11"/>
        <v>4.0995976645241461</v>
      </c>
      <c r="H48" s="617">
        <f t="shared" si="11"/>
        <v>3.9800004868599803</v>
      </c>
      <c r="I48" s="617">
        <f t="shared" si="11"/>
        <v>2.9275174179051344</v>
      </c>
      <c r="J48" s="617">
        <f t="shared" si="11"/>
        <v>3.838989602670595</v>
      </c>
      <c r="K48" s="617">
        <f t="shared" si="11"/>
        <v>2.6840231588007413</v>
      </c>
      <c r="L48" s="617">
        <f t="shared" si="11"/>
        <v>3.7872409655801853</v>
      </c>
    </row>
    <row r="49" spans="1:12">
      <c r="A49" s="611" t="s">
        <v>1474</v>
      </c>
      <c r="B49" s="617">
        <f>100*(POWER(B32/B24, 1/8)-1)</f>
        <v>3.5904565502813401</v>
      </c>
      <c r="C49" s="617">
        <f t="shared" ref="C49:L49" si="12">100*(POWER(C32/C24, 1/8)-1)</f>
        <v>6.2468492844484969</v>
      </c>
      <c r="D49" s="617">
        <f t="shared" si="12"/>
        <v>4.5899966370062328</v>
      </c>
      <c r="E49" s="617">
        <f t="shared" si="12"/>
        <v>4.1966787093892677</v>
      </c>
      <c r="F49" s="617">
        <f t="shared" si="12"/>
        <v>4.8124997067680031</v>
      </c>
      <c r="G49" s="617">
        <f t="shared" si="12"/>
        <v>4.2739289112377676</v>
      </c>
      <c r="H49" s="617">
        <f t="shared" si="12"/>
        <v>2.9820647559912317</v>
      </c>
      <c r="I49" s="617">
        <f t="shared" si="12"/>
        <v>4.0249061101113925</v>
      </c>
      <c r="J49" s="617">
        <f t="shared" si="12"/>
        <v>5.1562011803861996</v>
      </c>
      <c r="K49" s="617">
        <f t="shared" si="12"/>
        <v>3.8225742526458939</v>
      </c>
      <c r="L49" s="617">
        <f t="shared" si="12"/>
        <v>3.2437694055405419</v>
      </c>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dimension ref="A1:L49"/>
  <sheetViews>
    <sheetView topLeftCell="A14" workbookViewId="0">
      <selection activeCell="E9" sqref="E9"/>
    </sheetView>
  </sheetViews>
  <sheetFormatPr defaultRowHeight="12.75"/>
  <cols>
    <col min="1" max="1" width="9" style="618"/>
    <col min="2" max="2" width="9.125" style="618" bestFit="1" customWidth="1"/>
    <col min="3" max="3" width="10.875" style="618" bestFit="1" customWidth="1"/>
    <col min="4" max="4" width="10.5" style="618" bestFit="1" customWidth="1"/>
    <col min="5" max="5" width="9.125" style="618" bestFit="1" customWidth="1"/>
    <col min="6" max="6" width="11.375" style="618" bestFit="1" customWidth="1"/>
    <col min="7" max="8" width="7.25" style="618" bestFit="1" customWidth="1"/>
    <col min="9" max="9" width="7.5" style="618" bestFit="1" customWidth="1"/>
    <col min="10" max="10" width="10.5" style="618" bestFit="1" customWidth="1"/>
    <col min="11" max="11" width="7.25" style="618" bestFit="1" customWidth="1"/>
    <col min="12" max="12" width="12" style="618" bestFit="1" customWidth="1"/>
    <col min="13" max="16384" width="9" style="618"/>
  </cols>
  <sheetData>
    <row r="1" spans="1:12">
      <c r="A1" s="611" t="s">
        <v>1484</v>
      </c>
    </row>
    <row r="2" spans="1:12">
      <c r="A2" s="611"/>
      <c r="B2" s="611"/>
      <c r="C2" s="611"/>
      <c r="D2" s="611"/>
      <c r="E2" s="611"/>
      <c r="F2" s="611"/>
      <c r="G2" s="611"/>
      <c r="H2" s="611"/>
      <c r="I2" s="611"/>
      <c r="J2" s="611"/>
      <c r="K2" s="611"/>
      <c r="L2" s="611"/>
    </row>
    <row r="3" spans="1:12">
      <c r="A3" s="611"/>
      <c r="B3" s="611"/>
      <c r="C3" s="611"/>
      <c r="D3" s="612"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5">
        <f>'1'!H19</f>
        <v>26544.414111916678</v>
      </c>
      <c r="C5" s="625">
        <f>'1'!R19</f>
        <v>20635.085640164769</v>
      </c>
      <c r="D5" s="625">
        <f>'1'!AB19</f>
        <v>24272.508967360529</v>
      </c>
      <c r="E5" s="625">
        <f>'1'!AL19</f>
        <v>25406.301573203596</v>
      </c>
      <c r="F5" s="625">
        <f>'1'!AV19</f>
        <v>21073.381509555998</v>
      </c>
      <c r="G5" s="625">
        <f>'1'!BF19</f>
        <v>24042.983440551423</v>
      </c>
      <c r="H5" s="625">
        <f>'1'!BP19</f>
        <v>26951.567344911193</v>
      </c>
      <c r="I5" s="625">
        <f>'1'!BZ19</f>
        <v>24872.81759269238</v>
      </c>
      <c r="J5" s="625">
        <f>'1'!CJ19</f>
        <v>25710.491407892445</v>
      </c>
      <c r="K5" s="625">
        <f>'1'!CT19</f>
        <v>30978.774509396244</v>
      </c>
      <c r="L5" s="625">
        <f>'1'!DD19</f>
        <v>29882.372528013842</v>
      </c>
    </row>
    <row r="6" spans="1:12">
      <c r="A6" s="611">
        <f>A5+1</f>
        <v>1982</v>
      </c>
      <c r="B6" s="625">
        <f>'1'!H20</f>
        <v>25886.383054395639</v>
      </c>
      <c r="C6" s="625">
        <f>'1'!R20</f>
        <v>20769.510635395465</v>
      </c>
      <c r="D6" s="625">
        <f>'1'!AB20</f>
        <v>23778.929166541737</v>
      </c>
      <c r="E6" s="625">
        <f>'1'!AL20</f>
        <v>24979.730904705877</v>
      </c>
      <c r="F6" s="625">
        <f>'1'!AV20</f>
        <v>21558.07589528527</v>
      </c>
      <c r="G6" s="625">
        <f>'1'!BF20</f>
        <v>23416.847022134367</v>
      </c>
      <c r="H6" s="625">
        <f>'1'!BP20</f>
        <v>26370.873348049176</v>
      </c>
      <c r="I6" s="625">
        <f>'1'!BZ20</f>
        <v>25417.232482374129</v>
      </c>
      <c r="J6" s="625">
        <f>'1'!CJ20</f>
        <v>25009.715280818411</v>
      </c>
      <c r="K6" s="625">
        <f>'1'!CT20</f>
        <v>30113.519760341187</v>
      </c>
      <c r="L6" s="625">
        <f>'1'!DD20</f>
        <v>28168.929376466866</v>
      </c>
    </row>
    <row r="7" spans="1:12">
      <c r="A7" s="611">
        <f t="shared" ref="A7:A34" si="0">A6+1</f>
        <v>1983</v>
      </c>
      <c r="B7" s="625">
        <f>'1'!H21</f>
        <v>26202.045567967176</v>
      </c>
      <c r="C7" s="625">
        <f>'1'!R21</f>
        <v>21218.994842579777</v>
      </c>
      <c r="D7" s="625">
        <f>'1'!AB21</f>
        <v>24056.634726283228</v>
      </c>
      <c r="E7" s="625">
        <f>'1'!AL21</f>
        <v>25052.107245629537</v>
      </c>
      <c r="F7" s="625">
        <f>'1'!AV21</f>
        <v>22225.272644225792</v>
      </c>
      <c r="G7" s="625">
        <f>'1'!BF21</f>
        <v>24009.346947213842</v>
      </c>
      <c r="H7" s="625">
        <f>'1'!BP21</f>
        <v>26731.824772824344</v>
      </c>
      <c r="I7" s="625">
        <f>'1'!BZ21</f>
        <v>25676.046417286598</v>
      </c>
      <c r="J7" s="625">
        <f>'1'!CJ21</f>
        <v>25115.733975673797</v>
      </c>
      <c r="K7" s="625">
        <f>'1'!CT21</f>
        <v>30228.415462043777</v>
      </c>
      <c r="L7" s="625">
        <f>'1'!DD21</f>
        <v>27995.225640085417</v>
      </c>
    </row>
    <row r="8" spans="1:12">
      <c r="A8" s="611">
        <f t="shared" si="0"/>
        <v>1984</v>
      </c>
      <c r="B8" s="625">
        <f>'1'!H22</f>
        <v>26837.785125344624</v>
      </c>
      <c r="C8" s="625">
        <f>'1'!R22</f>
        <v>22212.933365879067</v>
      </c>
      <c r="D8" s="625">
        <f>'1'!AB22</f>
        <v>25148.991541362408</v>
      </c>
      <c r="E8" s="625">
        <f>'1'!AL22</f>
        <v>26415.51287787046</v>
      </c>
      <c r="F8" s="625">
        <f>'1'!AV22</f>
        <v>23189.036381664137</v>
      </c>
      <c r="G8" s="625">
        <f>'1'!BF22</f>
        <v>24922.190187471264</v>
      </c>
      <c r="H8" s="625">
        <f>'1'!BP22</f>
        <v>27412.304997936171</v>
      </c>
      <c r="I8" s="625">
        <f>'1'!BZ22</f>
        <v>27262.105666258922</v>
      </c>
      <c r="J8" s="625">
        <f>'1'!CJ22</f>
        <v>25323.663203837528</v>
      </c>
      <c r="K8" s="625">
        <f>'1'!CT22</f>
        <v>30163.569924416774</v>
      </c>
      <c r="L8" s="625">
        <f>'1'!DD22</f>
        <v>27861.966930842438</v>
      </c>
    </row>
    <row r="9" spans="1:12">
      <c r="A9" s="611">
        <f t="shared" si="0"/>
        <v>1985</v>
      </c>
      <c r="B9" s="625">
        <f>'1'!H23</f>
        <v>27777.234676905806</v>
      </c>
      <c r="C9" s="625">
        <f>'1'!R23</f>
        <v>23132.558448801032</v>
      </c>
      <c r="D9" s="625">
        <f>'1'!AB23</f>
        <v>25485.357146323207</v>
      </c>
      <c r="E9" s="625">
        <f>'1'!AL23</f>
        <v>27492.590568235686</v>
      </c>
      <c r="F9" s="625">
        <f>'1'!AV23</f>
        <v>24589.218031221229</v>
      </c>
      <c r="G9" s="625">
        <f>'1'!BF23</f>
        <v>25978.394228632133</v>
      </c>
      <c r="H9" s="625">
        <f>'1'!BP23</f>
        <v>28346.176224815114</v>
      </c>
      <c r="I9" s="625">
        <f>'1'!BZ23</f>
        <v>28406.25432706561</v>
      </c>
      <c r="J9" s="625">
        <f>'1'!CJ23</f>
        <v>25504.216486328249</v>
      </c>
      <c r="K9" s="625">
        <f>'1'!CT23</f>
        <v>31292.17981031007</v>
      </c>
      <c r="L9" s="625">
        <f>'1'!DD23</f>
        <v>28372.797182362658</v>
      </c>
    </row>
    <row r="10" spans="1:12">
      <c r="A10" s="611">
        <f t="shared" si="0"/>
        <v>1986</v>
      </c>
      <c r="B10" s="625">
        <f>'1'!H24</f>
        <v>28512.782593892767</v>
      </c>
      <c r="C10" s="625">
        <f>'1'!R24</f>
        <v>24244.496098932912</v>
      </c>
      <c r="D10" s="625">
        <f>'1'!AB24</f>
        <v>25699.557252142058</v>
      </c>
      <c r="E10" s="625">
        <f>'1'!AL24</f>
        <v>28382.143622470147</v>
      </c>
      <c r="F10" s="625">
        <f>'1'!AV24</f>
        <v>25789.681564712195</v>
      </c>
      <c r="G10" s="625">
        <f>'1'!BF24</f>
        <v>26912.184219258459</v>
      </c>
      <c r="H10" s="625">
        <f>'1'!BP24</f>
        <v>29130.551496233369</v>
      </c>
      <c r="I10" s="625">
        <f>'1'!BZ24</f>
        <v>29431.380788977451</v>
      </c>
      <c r="J10" s="625">
        <f>'1'!CJ24</f>
        <v>26253.027464466184</v>
      </c>
      <c r="K10" s="625">
        <f>'1'!CT24</f>
        <v>31371.811838314097</v>
      </c>
      <c r="L10" s="625">
        <f>'1'!DD24</f>
        <v>28619.997411866018</v>
      </c>
    </row>
    <row r="11" spans="1:12">
      <c r="A11" s="611">
        <f t="shared" si="0"/>
        <v>1987</v>
      </c>
      <c r="B11" s="625">
        <f>'1'!H25</f>
        <v>29363.938509091247</v>
      </c>
      <c r="C11" s="625">
        <f>'1'!R25</f>
        <v>24873.113690167309</v>
      </c>
      <c r="D11" s="625">
        <f>'1'!AB25</f>
        <v>27267.663024403875</v>
      </c>
      <c r="E11" s="625">
        <f>'1'!AL25</f>
        <v>29279.837011282965</v>
      </c>
      <c r="F11" s="625">
        <f>'1'!AV25</f>
        <v>26579.224023214319</v>
      </c>
      <c r="G11" s="625">
        <f>'1'!BF25</f>
        <v>27330.091843773847</v>
      </c>
      <c r="H11" s="625">
        <f>'1'!BP25</f>
        <v>30224.698406826272</v>
      </c>
      <c r="I11" s="625">
        <f>'1'!BZ25</f>
        <v>29815.747594120741</v>
      </c>
      <c r="J11" s="625">
        <f>'1'!CJ25</f>
        <v>26716.252365516852</v>
      </c>
      <c r="K11" s="625">
        <f>'1'!CT25</f>
        <v>32246.932050304986</v>
      </c>
      <c r="L11" s="625">
        <f>'1'!DD25</f>
        <v>29909.134729082052</v>
      </c>
    </row>
    <row r="12" spans="1:12">
      <c r="A12" s="611">
        <f t="shared" si="0"/>
        <v>1988</v>
      </c>
      <c r="B12" s="625">
        <f>'1'!H26</f>
        <v>30355.812184958151</v>
      </c>
      <c r="C12" s="625">
        <f>'1'!R26</f>
        <v>26118.955607972952</v>
      </c>
      <c r="D12" s="625">
        <f>'1'!AB26</f>
        <v>28787.152724387444</v>
      </c>
      <c r="E12" s="625">
        <f>'1'!AL26</f>
        <v>30265.803224137566</v>
      </c>
      <c r="F12" s="625">
        <f>'1'!AV26</f>
        <v>27233.855110797816</v>
      </c>
      <c r="G12" s="625">
        <f>'1'!BF26</f>
        <v>28258.431277784533</v>
      </c>
      <c r="H12" s="625">
        <f>'1'!BP26</f>
        <v>31299.926905128923</v>
      </c>
      <c r="I12" s="625">
        <f>'1'!BZ26</f>
        <v>30081.927761162824</v>
      </c>
      <c r="J12" s="625">
        <f>'1'!CJ26</f>
        <v>27000.494571941861</v>
      </c>
      <c r="K12" s="625">
        <f>'1'!CT26</f>
        <v>33126.100923029771</v>
      </c>
      <c r="L12" s="625">
        <f>'1'!DD26</f>
        <v>31092.424879293598</v>
      </c>
    </row>
    <row r="13" spans="1:12">
      <c r="A13" s="611">
        <f t="shared" si="0"/>
        <v>1989</v>
      </c>
      <c r="B13" s="625">
        <f>'1'!H27</f>
        <v>31123.047916649171</v>
      </c>
      <c r="C13" s="625">
        <f>'1'!R27</f>
        <v>26654.242771652072</v>
      </c>
      <c r="D13" s="625">
        <f>'1'!AB27</f>
        <v>29803.265009948947</v>
      </c>
      <c r="E13" s="625">
        <f>'1'!AL27</f>
        <v>30886.476348373708</v>
      </c>
      <c r="F13" s="625">
        <f>'1'!AV27</f>
        <v>27400.618064648545</v>
      </c>
      <c r="G13" s="625">
        <f>'1'!BF27</f>
        <v>28773.548943026944</v>
      </c>
      <c r="H13" s="625">
        <f>'1'!BP27</f>
        <v>32127.995580160838</v>
      </c>
      <c r="I13" s="625">
        <f>'1'!BZ27</f>
        <v>30752.613050471205</v>
      </c>
      <c r="J13" s="625">
        <f>'1'!CJ27</f>
        <v>27977.154430958384</v>
      </c>
      <c r="K13" s="625">
        <f>'1'!CT27</f>
        <v>33930.617232766839</v>
      </c>
      <c r="L13" s="625">
        <f>'1'!DD27</f>
        <v>32357.239796869293</v>
      </c>
    </row>
    <row r="14" spans="1:12">
      <c r="A14" s="611">
        <f t="shared" si="0"/>
        <v>1990</v>
      </c>
      <c r="B14" s="625">
        <f>'1'!H28</f>
        <v>31570.439791866509</v>
      </c>
      <c r="C14" s="625">
        <f>'1'!R28</f>
        <v>26574.758428111443</v>
      </c>
      <c r="D14" s="625">
        <f>'1'!AB28</f>
        <v>30583.289343001816</v>
      </c>
      <c r="E14" s="625">
        <f>'1'!AL28</f>
        <v>31309.080115449215</v>
      </c>
      <c r="F14" s="625">
        <f>'1'!AV28</f>
        <v>27848.063564982243</v>
      </c>
      <c r="G14" s="625">
        <f>'1'!BF28</f>
        <v>29081.13947863365</v>
      </c>
      <c r="H14" s="625">
        <f>'1'!BP28</f>
        <v>32639.880722708607</v>
      </c>
      <c r="I14" s="625">
        <f>'1'!BZ28</f>
        <v>31194.256840998958</v>
      </c>
      <c r="J14" s="625">
        <f>'1'!CJ28</f>
        <v>28653.769191241823</v>
      </c>
      <c r="K14" s="625">
        <f>'1'!CT28</f>
        <v>34200.281724120243</v>
      </c>
      <c r="L14" s="625">
        <f>'1'!DD28</f>
        <v>33041.865981959592</v>
      </c>
    </row>
    <row r="15" spans="1:12">
      <c r="A15" s="611">
        <f t="shared" si="0"/>
        <v>1991</v>
      </c>
      <c r="B15" s="625">
        <f>'1'!H29</f>
        <v>31698.250675790314</v>
      </c>
      <c r="C15" s="625">
        <f>'1'!R29</f>
        <v>26293.149954190278</v>
      </c>
      <c r="D15" s="625">
        <f>'1'!AB29</f>
        <v>30503.931621251199</v>
      </c>
      <c r="E15" s="625">
        <f>'1'!AL29</f>
        <v>31325.273731807865</v>
      </c>
      <c r="F15" s="625">
        <f>'1'!AV29</f>
        <v>27700.13070553981</v>
      </c>
      <c r="G15" s="625">
        <f>'1'!BF29</f>
        <v>28932.132616586881</v>
      </c>
      <c r="H15" s="625">
        <f>'1'!BP29</f>
        <v>33016.047575003475</v>
      </c>
      <c r="I15" s="625">
        <f>'1'!BZ29</f>
        <v>31070.470433678809</v>
      </c>
      <c r="J15" s="625">
        <f>'1'!CJ29</f>
        <v>28450.008116246605</v>
      </c>
      <c r="K15" s="625">
        <f>'1'!CT29</f>
        <v>33641.637042121249</v>
      </c>
      <c r="L15" s="625">
        <f>'1'!DD29</f>
        <v>33760.663090405025</v>
      </c>
    </row>
    <row r="16" spans="1:12">
      <c r="A16" s="611">
        <f t="shared" si="0"/>
        <v>1992</v>
      </c>
      <c r="B16" s="625">
        <f>'1'!H30</f>
        <v>32443.704872693856</v>
      </c>
      <c r="C16" s="625">
        <f>'1'!R30</f>
        <v>26651.156406731159</v>
      </c>
      <c r="D16" s="625">
        <f>'1'!AB30</f>
        <v>32134.052849825322</v>
      </c>
      <c r="E16" s="625">
        <f>'1'!AL30</f>
        <v>32422.497268680407</v>
      </c>
      <c r="F16" s="625">
        <f>'1'!AV30</f>
        <v>28073.840240640748</v>
      </c>
      <c r="G16" s="625">
        <f>'1'!BF30</f>
        <v>29661.538822460639</v>
      </c>
      <c r="H16" s="625">
        <f>'1'!BP30</f>
        <v>33991.319038701498</v>
      </c>
      <c r="I16" s="625">
        <f>'1'!BZ30</f>
        <v>31574.235655900025</v>
      </c>
      <c r="J16" s="625">
        <f>'1'!CJ30</f>
        <v>28740.310647176608</v>
      </c>
      <c r="K16" s="625">
        <f>'1'!CT30</f>
        <v>33960.890722747477</v>
      </c>
      <c r="L16" s="625">
        <f>'1'!DD30</f>
        <v>34609.753941756353</v>
      </c>
    </row>
    <row r="17" spans="1:12">
      <c r="A17" s="611">
        <f t="shared" si="0"/>
        <v>1993</v>
      </c>
      <c r="B17" s="625">
        <f>'1'!H31</f>
        <v>32694.11792604368</v>
      </c>
      <c r="C17" s="625">
        <f>'1'!R31</f>
        <v>26646.220777647042</v>
      </c>
      <c r="D17" s="625">
        <f>'1'!AB31</f>
        <v>27773.109445217411</v>
      </c>
      <c r="E17" s="625">
        <f>'1'!AL31</f>
        <v>33068.905207698706</v>
      </c>
      <c r="F17" s="625">
        <f>'1'!AV31</f>
        <v>28570.700647736383</v>
      </c>
      <c r="G17" s="625">
        <f>'1'!BF31</f>
        <v>29899.68547039825</v>
      </c>
      <c r="H17" s="625">
        <f>'1'!BP31</f>
        <v>34203.763833725527</v>
      </c>
      <c r="I17" s="625">
        <f>'1'!BZ31</f>
        <v>31734.770257360775</v>
      </c>
      <c r="J17" s="625">
        <f>'1'!CJ31</f>
        <v>29181.167496963371</v>
      </c>
      <c r="K17" s="625">
        <f>'1'!CT31</f>
        <v>34298.988517732098</v>
      </c>
      <c r="L17" s="625">
        <f>'1'!DD31</f>
        <v>34782.433135490399</v>
      </c>
    </row>
    <row r="18" spans="1:12">
      <c r="A18" s="611">
        <f t="shared" si="0"/>
        <v>1994</v>
      </c>
      <c r="B18" s="625">
        <f>'1'!H32</f>
        <v>33236.965755950114</v>
      </c>
      <c r="C18" s="625">
        <f>'1'!R32</f>
        <v>26952.776750505203</v>
      </c>
      <c r="D18" s="625">
        <f>'1'!AB32</f>
        <v>28238.709131082072</v>
      </c>
      <c r="E18" s="625">
        <f>'1'!AL32</f>
        <v>33051.058477380677</v>
      </c>
      <c r="F18" s="625">
        <f>'1'!AV32</f>
        <v>28817.056663695774</v>
      </c>
      <c r="G18" s="625">
        <f>'1'!BF32</f>
        <v>30545.672594872987</v>
      </c>
      <c r="H18" s="625">
        <f>'1'!BP32</f>
        <v>34934.340556712683</v>
      </c>
      <c r="I18" s="625">
        <f>'1'!BZ32</f>
        <v>32233.73043638024</v>
      </c>
      <c r="J18" s="625">
        <f>'1'!CJ32</f>
        <v>29492.357763239899</v>
      </c>
      <c r="K18" s="625">
        <f>'1'!CT32</f>
        <v>34592.33836185305</v>
      </c>
      <c r="L18" s="625">
        <f>'1'!DD32</f>
        <v>35383.185751130623</v>
      </c>
    </row>
    <row r="19" spans="1:12">
      <c r="A19" s="611">
        <f t="shared" si="0"/>
        <v>1995</v>
      </c>
      <c r="B19" s="625">
        <f>'1'!H33</f>
        <v>33647.204015161107</v>
      </c>
      <c r="C19" s="625">
        <f>'1'!R33</f>
        <v>27338.715272907248</v>
      </c>
      <c r="D19" s="625">
        <f>'1'!AB33</f>
        <v>28440.454511590015</v>
      </c>
      <c r="E19" s="625">
        <f>'1'!AL33</f>
        <v>33639.929661213449</v>
      </c>
      <c r="F19" s="625">
        <f>'1'!AV33</f>
        <v>29220.728167123019</v>
      </c>
      <c r="G19" s="625">
        <f>'1'!BF33</f>
        <v>30867.834441042334</v>
      </c>
      <c r="H19" s="625">
        <f>'1'!BP33</f>
        <v>35497.99782687956</v>
      </c>
      <c r="I19" s="625">
        <f>'1'!BZ33</f>
        <v>32552.29078872989</v>
      </c>
      <c r="J19" s="625">
        <f>'1'!CJ33</f>
        <v>29733.279165094096</v>
      </c>
      <c r="K19" s="625">
        <f>'1'!CT33</f>
        <v>34933.955434381409</v>
      </c>
      <c r="L19" s="625">
        <f>'1'!DD33</f>
        <v>35479.249023633238</v>
      </c>
    </row>
    <row r="20" spans="1:12">
      <c r="A20" s="611">
        <f t="shared" si="0"/>
        <v>1996</v>
      </c>
      <c r="B20" s="625">
        <f>'1'!H34</f>
        <v>34124.396295185215</v>
      </c>
      <c r="C20" s="625">
        <f>'1'!R34</f>
        <v>27627.79736502489</v>
      </c>
      <c r="D20" s="625">
        <f>'1'!AB34</f>
        <v>29235.524394564753</v>
      </c>
      <c r="E20" s="625">
        <f>'1'!AL34</f>
        <v>33457.332150552953</v>
      </c>
      <c r="F20" s="625">
        <f>'1'!AV34</f>
        <v>29601.90940803444</v>
      </c>
      <c r="G20" s="625">
        <f>'1'!BF34</f>
        <v>31592.176230490426</v>
      </c>
      <c r="H20" s="625">
        <f>'1'!BP34</f>
        <v>35852.016657602493</v>
      </c>
      <c r="I20" s="625">
        <f>'1'!BZ34</f>
        <v>32974.914226278248</v>
      </c>
      <c r="J20" s="625">
        <f>'1'!CJ34</f>
        <v>30210.127694393577</v>
      </c>
      <c r="K20" s="625">
        <f>'1'!CT34</f>
        <v>35357.96131073196</v>
      </c>
      <c r="L20" s="625">
        <f>'1'!DD34</f>
        <v>36198.266745810703</v>
      </c>
    </row>
    <row r="21" spans="1:12">
      <c r="A21" s="611">
        <f t="shared" si="0"/>
        <v>1997</v>
      </c>
      <c r="B21" s="625">
        <f>'1'!H35</f>
        <v>34970.854058224337</v>
      </c>
      <c r="C21" s="625">
        <f>'1'!R35</f>
        <v>28104.55483491729</v>
      </c>
      <c r="D21" s="625">
        <f>'1'!AB35</f>
        <v>30904.118993888318</v>
      </c>
      <c r="E21" s="625">
        <f>'1'!AL35</f>
        <v>34037.674371294837</v>
      </c>
      <c r="F21" s="625">
        <f>'1'!AV35</f>
        <v>30207.090512226365</v>
      </c>
      <c r="G21" s="625">
        <f>'1'!BF35</f>
        <v>32117.688642579993</v>
      </c>
      <c r="H21" s="625">
        <f>'1'!BP35</f>
        <v>36925.493674506091</v>
      </c>
      <c r="I21" s="625">
        <f>'1'!BZ35</f>
        <v>33762.405818791231</v>
      </c>
      <c r="J21" s="625">
        <f>'1'!CJ35</f>
        <v>31179.951932041851</v>
      </c>
      <c r="K21" s="625">
        <f>'1'!CT35</f>
        <v>36583.759862617895</v>
      </c>
      <c r="L21" s="625">
        <f>'1'!DD35</f>
        <v>36919.450834067706</v>
      </c>
    </row>
    <row r="22" spans="1:12">
      <c r="A22" s="611">
        <f t="shared" si="0"/>
        <v>1998</v>
      </c>
      <c r="B22" s="625">
        <f>'1'!H36</f>
        <v>35937.864462803576</v>
      </c>
      <c r="C22" s="625">
        <f>'1'!R36</f>
        <v>29881.77131069505</v>
      </c>
      <c r="D22" s="625">
        <f>'1'!AB36</f>
        <v>31433.982134074471</v>
      </c>
      <c r="E22" s="625">
        <f>'1'!AL36</f>
        <v>34909.983120608966</v>
      </c>
      <c r="F22" s="625">
        <f>'1'!AV36</f>
        <v>31294.049424787034</v>
      </c>
      <c r="G22" s="625">
        <f>'1'!BF36</f>
        <v>33017.963464384105</v>
      </c>
      <c r="H22" s="625">
        <f>'1'!BP36</f>
        <v>38012.493458476391</v>
      </c>
      <c r="I22" s="625">
        <f>'1'!BZ36</f>
        <v>34239.288632975622</v>
      </c>
      <c r="J22" s="625">
        <f>'1'!CJ36</f>
        <v>31922.810544180498</v>
      </c>
      <c r="K22" s="625">
        <f>'1'!CT36</f>
        <v>37604.070980946133</v>
      </c>
      <c r="L22" s="625">
        <f>'1'!DD36</f>
        <v>37953.414289657558</v>
      </c>
    </row>
    <row r="23" spans="1:12">
      <c r="A23" s="611">
        <f t="shared" si="0"/>
        <v>1999</v>
      </c>
      <c r="B23" s="625">
        <f>'1'!H37</f>
        <v>36746.905813366851</v>
      </c>
      <c r="C23" s="625">
        <f>'1'!R37</f>
        <v>31367.398449589549</v>
      </c>
      <c r="D23" s="625">
        <f>'1'!AB37</f>
        <v>33064.855928234734</v>
      </c>
      <c r="E23" s="625">
        <f>'1'!AL37</f>
        <v>36217.090283221987</v>
      </c>
      <c r="F23" s="625">
        <f>'1'!AV37</f>
        <v>32615.81940188459</v>
      </c>
      <c r="G23" s="625">
        <f>'1'!BF37</f>
        <v>33771.805011712706</v>
      </c>
      <c r="H23" s="625">
        <f>'1'!BP37</f>
        <v>38924.88404781538</v>
      </c>
      <c r="I23" s="625">
        <f>'1'!BZ37</f>
        <v>35060.71835273748</v>
      </c>
      <c r="J23" s="625">
        <f>'1'!CJ37</f>
        <v>32421.109809456644</v>
      </c>
      <c r="K23" s="625">
        <f>'1'!CT37</f>
        <v>38138.354169738785</v>
      </c>
      <c r="L23" s="625">
        <f>'1'!DD37</f>
        <v>38646.50454905675</v>
      </c>
    </row>
    <row r="24" spans="1:12">
      <c r="A24" s="611">
        <f t="shared" si="0"/>
        <v>2000</v>
      </c>
      <c r="B24" s="625">
        <f>'1'!H38</f>
        <v>37689.924620363745</v>
      </c>
      <c r="C24" s="625">
        <f>'1'!R38</f>
        <v>32248.711050111811</v>
      </c>
      <c r="D24" s="625">
        <f>'1'!AB38</f>
        <v>33481.775030518424</v>
      </c>
      <c r="E24" s="625">
        <f>'1'!AL38</f>
        <v>36883.516592395339</v>
      </c>
      <c r="F24" s="625">
        <f>'1'!AV38</f>
        <v>33133.854346886226</v>
      </c>
      <c r="G24" s="625">
        <f>'1'!BF38</f>
        <v>34802.794586898555</v>
      </c>
      <c r="H24" s="625">
        <f>'1'!BP38</f>
        <v>39743.820244201997</v>
      </c>
      <c r="I24" s="625">
        <f>'1'!BZ38</f>
        <v>35544.566281009334</v>
      </c>
      <c r="J24" s="625">
        <f>'1'!CJ38</f>
        <v>33138.485915665486</v>
      </c>
      <c r="K24" s="625">
        <f>'1'!CT38</f>
        <v>39344.346307801105</v>
      </c>
      <c r="L24" s="625">
        <f>'1'!DD38</f>
        <v>39648.036882121589</v>
      </c>
    </row>
    <row r="25" spans="1:12">
      <c r="A25" s="611">
        <f t="shared" si="0"/>
        <v>2001</v>
      </c>
      <c r="B25" s="625">
        <f>'1'!H39</f>
        <v>38300.876792004761</v>
      </c>
      <c r="C25" s="625">
        <f>'1'!R39</f>
        <v>33619.681420614528</v>
      </c>
      <c r="D25" s="625">
        <f>'1'!AB39</f>
        <v>34647.455282983508</v>
      </c>
      <c r="E25" s="625">
        <f>'1'!AL39</f>
        <v>37643.170426869539</v>
      </c>
      <c r="F25" s="625">
        <f>'1'!AV39</f>
        <v>33425.523914559824</v>
      </c>
      <c r="G25" s="625">
        <f>'1'!BF39</f>
        <v>35574.532880321138</v>
      </c>
      <c r="H25" s="625">
        <f>'1'!BP39</f>
        <v>40236.19221670281</v>
      </c>
      <c r="I25" s="625">
        <f>'1'!BZ39</f>
        <v>36379.467186687078</v>
      </c>
      <c r="J25" s="625">
        <f>'1'!CJ39</f>
        <v>34266.177958769724</v>
      </c>
      <c r="K25" s="625">
        <f>'1'!CT39</f>
        <v>40184.5922834148</v>
      </c>
      <c r="L25" s="625">
        <f>'1'!DD39</f>
        <v>40123.373054368327</v>
      </c>
    </row>
    <row r="26" spans="1:12">
      <c r="A26" s="611">
        <f t="shared" si="0"/>
        <v>2002</v>
      </c>
      <c r="B26" s="625">
        <f>'1'!H40</f>
        <v>38936.912150573517</v>
      </c>
      <c r="C26" s="625">
        <f>'1'!R40</f>
        <v>34778.157307463007</v>
      </c>
      <c r="D26" s="625">
        <f>'1'!AB40</f>
        <v>35365.794973702796</v>
      </c>
      <c r="E26" s="625">
        <f>'1'!AL40</f>
        <v>38788.073646606972</v>
      </c>
      <c r="F26" s="625">
        <f>'1'!AV40</f>
        <v>34185.379018836902</v>
      </c>
      <c r="G26" s="625">
        <f>'1'!BF40</f>
        <v>36236.334724552726</v>
      </c>
      <c r="H26" s="625">
        <f>'1'!BP40</f>
        <v>40892.339661166145</v>
      </c>
      <c r="I26" s="625">
        <f>'1'!BZ40</f>
        <v>37039.069841993216</v>
      </c>
      <c r="J26" s="625">
        <f>'1'!CJ40</f>
        <v>34932.172990302635</v>
      </c>
      <c r="K26" s="625">
        <f>'1'!CT40</f>
        <v>40659.247730368057</v>
      </c>
      <c r="L26" s="625">
        <f>'1'!DD40</f>
        <v>40684.766867005252</v>
      </c>
    </row>
    <row r="27" spans="1:12">
      <c r="A27" s="611">
        <f t="shared" si="0"/>
        <v>2003</v>
      </c>
      <c r="B27" s="625">
        <f>'1'!H41</f>
        <v>39647.997195200187</v>
      </c>
      <c r="C27" s="625">
        <f>'1'!R41</f>
        <v>35219.064737903478</v>
      </c>
      <c r="D27" s="625">
        <f>'1'!AB41</f>
        <v>36296.183078839946</v>
      </c>
      <c r="E27" s="625">
        <f>'1'!AL41</f>
        <v>39461.39700394895</v>
      </c>
      <c r="F27" s="625">
        <f>'1'!AV41</f>
        <v>34776.574861362125</v>
      </c>
      <c r="G27" s="625">
        <f>'1'!BF41</f>
        <v>37212.116863915529</v>
      </c>
      <c r="H27" s="625">
        <f>'1'!BP41</f>
        <v>41607.47761331837</v>
      </c>
      <c r="I27" s="625">
        <f>'1'!BZ41</f>
        <v>37571.817174757329</v>
      </c>
      <c r="J27" s="625">
        <f>'1'!CJ41</f>
        <v>35345.108155071313</v>
      </c>
      <c r="K27" s="625">
        <f>'1'!CT41</f>
        <v>41127.559568784112</v>
      </c>
      <c r="L27" s="625">
        <f>'1'!DD41</f>
        <v>41333.949180478638</v>
      </c>
    </row>
    <row r="28" spans="1:12">
      <c r="A28" s="611">
        <f t="shared" si="0"/>
        <v>2004</v>
      </c>
      <c r="B28" s="625">
        <f>'1'!H42</f>
        <v>40364.645199562066</v>
      </c>
      <c r="C28" s="625">
        <f>'1'!R42</f>
        <v>35743.304471188632</v>
      </c>
      <c r="D28" s="625">
        <f>'1'!AB42</f>
        <v>36389.13148426469</v>
      </c>
      <c r="E28" s="625">
        <f>'1'!AL42</f>
        <v>40037.83656294251</v>
      </c>
      <c r="F28" s="625">
        <f>'1'!AV42</f>
        <v>35833.434682815467</v>
      </c>
      <c r="G28" s="625">
        <f>'1'!BF42</f>
        <v>37847.878964571268</v>
      </c>
      <c r="H28" s="625">
        <f>'1'!BP42</f>
        <v>42359.615527767695</v>
      </c>
      <c r="I28" s="625">
        <f>'1'!BZ42</f>
        <v>38209.144475524306</v>
      </c>
      <c r="J28" s="625">
        <f>'1'!CJ42</f>
        <v>35923.649163166796</v>
      </c>
      <c r="K28" s="625">
        <f>'1'!CT42</f>
        <v>41890.496283385037</v>
      </c>
      <c r="L28" s="625">
        <f>'1'!DD42</f>
        <v>42126.034624116197</v>
      </c>
    </row>
    <row r="29" spans="1:12">
      <c r="A29" s="611">
        <f t="shared" si="0"/>
        <v>2005</v>
      </c>
      <c r="B29" s="625">
        <f>'1'!H43</f>
        <v>41138.49074852487</v>
      </c>
      <c r="C29" s="625">
        <f>'1'!R43</f>
        <v>36377.33448322305</v>
      </c>
      <c r="D29" s="625">
        <f>'1'!AB43</f>
        <v>37551.967539298763</v>
      </c>
      <c r="E29" s="625">
        <f>'1'!AL43</f>
        <v>41105.577510797892</v>
      </c>
      <c r="F29" s="625">
        <f>'1'!AV43</f>
        <v>36620.538527337194</v>
      </c>
      <c r="G29" s="625">
        <f>'1'!BF43</f>
        <v>38587.999932305742</v>
      </c>
      <c r="H29" s="625">
        <f>'1'!BP43</f>
        <v>42877.224542034826</v>
      </c>
      <c r="I29" s="625">
        <f>'1'!BZ43</f>
        <v>38959.724820970579</v>
      </c>
      <c r="J29" s="625">
        <f>'1'!CJ43</f>
        <v>36864.035717264749</v>
      </c>
      <c r="K29" s="625">
        <f>'1'!CT43</f>
        <v>43207.043207839757</v>
      </c>
      <c r="L29" s="625">
        <f>'1'!DD43</f>
        <v>43138.379529649275</v>
      </c>
    </row>
    <row r="30" spans="1:12">
      <c r="A30" s="611">
        <f t="shared" si="0"/>
        <v>2006</v>
      </c>
      <c r="B30" s="625">
        <f>'1'!H44</f>
        <v>42260.512942360619</v>
      </c>
      <c r="C30" s="625">
        <f>'1'!R44</f>
        <v>37670.997077916421</v>
      </c>
      <c r="D30" s="625">
        <f>'1'!AB44</f>
        <v>38797.694652214494</v>
      </c>
      <c r="E30" s="625">
        <f>'1'!AL44</f>
        <v>41984.975799178377</v>
      </c>
      <c r="F30" s="625">
        <f>'1'!AV44</f>
        <v>37905.795647544881</v>
      </c>
      <c r="G30" s="625">
        <f>'1'!BF44</f>
        <v>39520.572903317523</v>
      </c>
      <c r="H30" s="625">
        <f>'1'!BP44</f>
        <v>43954.578936048631</v>
      </c>
      <c r="I30" s="625">
        <f>'1'!BZ44</f>
        <v>40023.384881429673</v>
      </c>
      <c r="J30" s="625">
        <f>'1'!CJ44</f>
        <v>37989.728677816376</v>
      </c>
      <c r="K30" s="625">
        <f>'1'!CT44</f>
        <v>44645.634401667572</v>
      </c>
      <c r="L30" s="625">
        <f>'1'!DD44</f>
        <v>44363.127540172056</v>
      </c>
    </row>
    <row r="31" spans="1:12">
      <c r="A31" s="611">
        <f t="shared" si="0"/>
        <v>2007</v>
      </c>
      <c r="B31" s="625">
        <f>'1'!H45</f>
        <v>43383.19422316127</v>
      </c>
      <c r="C31" s="625">
        <f>'1'!R45</f>
        <v>39259.605499372679</v>
      </c>
      <c r="D31" s="625">
        <f>'1'!AB45</f>
        <v>39668.511523570029</v>
      </c>
      <c r="E31" s="625">
        <f>'1'!AL45</f>
        <v>43192.254593685429</v>
      </c>
      <c r="F31" s="625">
        <f>'1'!AV45</f>
        <v>39512.656893435102</v>
      </c>
      <c r="G31" s="625">
        <f>'1'!BF45</f>
        <v>40515.291129897814</v>
      </c>
      <c r="H31" s="625">
        <f>'1'!BP45</f>
        <v>44953.642812353035</v>
      </c>
      <c r="I31" s="625">
        <f>'1'!BZ45</f>
        <v>41330.238807623238</v>
      </c>
      <c r="J31" s="625">
        <f>'1'!CJ45</f>
        <v>39291.337317851619</v>
      </c>
      <c r="K31" s="625">
        <f>'1'!CT45</f>
        <v>46050.817885314733</v>
      </c>
      <c r="L31" s="625">
        <f>'1'!DD45</f>
        <v>45558.744074580434</v>
      </c>
    </row>
    <row r="32" spans="1:12">
      <c r="A32" s="611">
        <f t="shared" si="0"/>
        <v>2008</v>
      </c>
      <c r="B32" s="625">
        <f>'1'!H46</f>
        <v>44134.264464861059</v>
      </c>
      <c r="C32" s="625">
        <f>'1'!R46</f>
        <v>41183.820307915274</v>
      </c>
      <c r="D32" s="625">
        <f>'1'!AB46</f>
        <v>40201.317725307512</v>
      </c>
      <c r="E32" s="625">
        <f>'1'!AL46</f>
        <v>44266.310246516587</v>
      </c>
      <c r="F32" s="625">
        <f>'1'!AV46</f>
        <v>40076.540617632847</v>
      </c>
      <c r="G32" s="625">
        <f>'1'!BF46</f>
        <v>41514.780095082184</v>
      </c>
      <c r="H32" s="625">
        <f>'1'!BP46</f>
        <v>45526.032718148068</v>
      </c>
      <c r="I32" s="625">
        <f>'1'!BZ46</f>
        <v>42084.946344589771</v>
      </c>
      <c r="J32" s="625">
        <f>'1'!CJ46</f>
        <v>40671.302444934969</v>
      </c>
      <c r="K32" s="625">
        <f>'1'!CT46</f>
        <v>46841.265502609473</v>
      </c>
      <c r="L32" s="625">
        <f>'1'!DD46</f>
        <v>45968.535778701225</v>
      </c>
    </row>
    <row r="33" spans="1:12">
      <c r="A33" s="611">
        <f t="shared" si="0"/>
        <v>2009</v>
      </c>
      <c r="B33" s="625">
        <f>'1'!H47</f>
        <v>44321.649678151734</v>
      </c>
      <c r="C33" s="625">
        <f>'1'!R47</f>
        <v>42165.733484612836</v>
      </c>
      <c r="D33" s="625">
        <f>'1'!AB47</f>
        <v>41239.608070882525</v>
      </c>
      <c r="E33" s="625">
        <f>'1'!AL47</f>
        <v>45156.723501255066</v>
      </c>
      <c r="F33" s="625">
        <f>'1'!AV47</f>
        <v>40780.778187642136</v>
      </c>
      <c r="G33" s="625">
        <f>'1'!BF47</f>
        <v>42065.58786681998</v>
      </c>
      <c r="H33" s="625">
        <f>'1'!BP47</f>
        <v>45631.458133931141</v>
      </c>
      <c r="I33" s="625">
        <f>'1'!BZ47</f>
        <v>42531.770244403524</v>
      </c>
      <c r="J33" s="625">
        <f>'1'!CJ47</f>
        <v>40488.605989925374</v>
      </c>
      <c r="K33" s="625">
        <f>'1'!CT47</f>
        <v>46449.122235096074</v>
      </c>
      <c r="L33" s="625">
        <f>'1'!DD47</f>
        <v>45761.378861529585</v>
      </c>
    </row>
    <row r="34" spans="1:12">
      <c r="A34" s="611">
        <f t="shared" si="0"/>
        <v>2010</v>
      </c>
      <c r="B34" s="625">
        <f>'1'!H48</f>
        <v>45116.553592349832</v>
      </c>
      <c r="C34" s="625">
        <f>'1'!R48</f>
        <v>43556.748243597693</v>
      </c>
      <c r="D34" s="625">
        <f>'1'!AB48</f>
        <v>42272.803758358328</v>
      </c>
      <c r="E34" s="625">
        <f>'1'!AL48</f>
        <v>46109.453291777725</v>
      </c>
      <c r="F34" s="625">
        <f>'1'!AV48</f>
        <v>41772.828673165212</v>
      </c>
      <c r="G34" s="625">
        <f>'1'!BF48</f>
        <v>42881.041476291684</v>
      </c>
      <c r="H34" s="625">
        <f>'1'!BP48</f>
        <v>46287.945233100007</v>
      </c>
      <c r="I34" s="625">
        <f>'1'!BZ48</f>
        <v>43381.910155001504</v>
      </c>
      <c r="J34" s="625">
        <f>'1'!CJ48</f>
        <v>41309.534639746431</v>
      </c>
      <c r="K34" s="625">
        <f>'1'!CT48</f>
        <v>47739.077088317295</v>
      </c>
      <c r="L34" s="625">
        <f>'1'!DD48</f>
        <v>46462.302989085641</v>
      </c>
    </row>
    <row r="35" spans="1:12">
      <c r="A35" s="611" t="s">
        <v>1499</v>
      </c>
      <c r="B35" s="611"/>
      <c r="C35" s="611"/>
      <c r="D35" s="611"/>
      <c r="E35" s="611"/>
      <c r="F35" s="611"/>
      <c r="G35" s="611"/>
      <c r="H35" s="611"/>
      <c r="I35" s="611"/>
      <c r="J35" s="611"/>
      <c r="K35" s="611"/>
      <c r="L35" s="611"/>
    </row>
    <row r="36" spans="1:12">
      <c r="A36" s="611" t="s">
        <v>1498</v>
      </c>
      <c r="B36" s="626">
        <f>B34-B5</f>
        <v>18572.139480433154</v>
      </c>
      <c r="C36" s="626">
        <f t="shared" ref="C36:L36" si="1">C34-C5</f>
        <v>22921.662603432924</v>
      </c>
      <c r="D36" s="626">
        <f t="shared" si="1"/>
        <v>18000.294790997799</v>
      </c>
      <c r="E36" s="626">
        <f t="shared" si="1"/>
        <v>20703.151718574129</v>
      </c>
      <c r="F36" s="626">
        <f t="shared" si="1"/>
        <v>20699.447163609213</v>
      </c>
      <c r="G36" s="626">
        <f t="shared" si="1"/>
        <v>18838.058035740261</v>
      </c>
      <c r="H36" s="626">
        <f t="shared" si="1"/>
        <v>19336.377888188814</v>
      </c>
      <c r="I36" s="626">
        <f t="shared" si="1"/>
        <v>18509.092562309124</v>
      </c>
      <c r="J36" s="626">
        <f t="shared" si="1"/>
        <v>15599.043231853986</v>
      </c>
      <c r="K36" s="626">
        <f t="shared" si="1"/>
        <v>16760.302578921051</v>
      </c>
      <c r="L36" s="626">
        <f t="shared" si="1"/>
        <v>16579.930461071799</v>
      </c>
    </row>
    <row r="37" spans="1:12">
      <c r="A37" s="611" t="s">
        <v>1472</v>
      </c>
      <c r="B37" s="626">
        <f>B13-B5</f>
        <v>4578.6338047324934</v>
      </c>
      <c r="C37" s="626">
        <f t="shared" ref="C37:L37" si="2">C13-C5</f>
        <v>6019.1571314873036</v>
      </c>
      <c r="D37" s="626">
        <f t="shared" si="2"/>
        <v>5530.7560425884185</v>
      </c>
      <c r="E37" s="626">
        <f t="shared" si="2"/>
        <v>5480.1747751701114</v>
      </c>
      <c r="F37" s="626">
        <f t="shared" si="2"/>
        <v>6327.236555092546</v>
      </c>
      <c r="G37" s="626">
        <f t="shared" si="2"/>
        <v>4730.5655024755215</v>
      </c>
      <c r="H37" s="626">
        <f t="shared" si="2"/>
        <v>5176.4282352496448</v>
      </c>
      <c r="I37" s="626">
        <f t="shared" si="2"/>
        <v>5879.7954577788259</v>
      </c>
      <c r="J37" s="626">
        <f t="shared" si="2"/>
        <v>2266.6630230659393</v>
      </c>
      <c r="K37" s="626">
        <f t="shared" si="2"/>
        <v>2951.8427233705952</v>
      </c>
      <c r="L37" s="626">
        <f t="shared" si="2"/>
        <v>2474.8672688554507</v>
      </c>
    </row>
    <row r="38" spans="1:12">
      <c r="A38" s="611" t="s">
        <v>1473</v>
      </c>
      <c r="B38" s="626">
        <f>B24-B13</f>
        <v>6566.8767037145735</v>
      </c>
      <c r="C38" s="626">
        <f t="shared" ref="C38:L38" si="3">C24-C13</f>
        <v>5594.4682784597389</v>
      </c>
      <c r="D38" s="626">
        <f t="shared" si="3"/>
        <v>3678.5100205694762</v>
      </c>
      <c r="E38" s="626">
        <f t="shared" si="3"/>
        <v>5997.0402440216312</v>
      </c>
      <c r="F38" s="626">
        <f t="shared" si="3"/>
        <v>5733.2362822376817</v>
      </c>
      <c r="G38" s="626">
        <f t="shared" si="3"/>
        <v>6029.2456438716108</v>
      </c>
      <c r="H38" s="626">
        <f t="shared" si="3"/>
        <v>7615.8246640411598</v>
      </c>
      <c r="I38" s="626">
        <f t="shared" si="3"/>
        <v>4791.953230538129</v>
      </c>
      <c r="J38" s="626">
        <f t="shared" si="3"/>
        <v>5161.3314847071015</v>
      </c>
      <c r="K38" s="626">
        <f t="shared" si="3"/>
        <v>5413.7290750342654</v>
      </c>
      <c r="L38" s="626">
        <f t="shared" si="3"/>
        <v>7290.7970852522958</v>
      </c>
    </row>
    <row r="39" spans="1:12">
      <c r="A39" s="611" t="s">
        <v>1474</v>
      </c>
      <c r="B39" s="626">
        <f>B32-B24</f>
        <v>6444.3398444973136</v>
      </c>
      <c r="C39" s="626">
        <f t="shared" ref="C39:L39" si="4">C32-C24</f>
        <v>8935.1092578034622</v>
      </c>
      <c r="D39" s="626">
        <f t="shared" si="4"/>
        <v>6719.5426947890883</v>
      </c>
      <c r="E39" s="626">
        <f t="shared" si="4"/>
        <v>7382.7936541212475</v>
      </c>
      <c r="F39" s="626">
        <f t="shared" si="4"/>
        <v>6942.6862707466207</v>
      </c>
      <c r="G39" s="626">
        <f t="shared" si="4"/>
        <v>6711.9855081836286</v>
      </c>
      <c r="H39" s="626">
        <f t="shared" si="4"/>
        <v>5782.2124739460705</v>
      </c>
      <c r="I39" s="626">
        <f t="shared" si="4"/>
        <v>6540.3800635804364</v>
      </c>
      <c r="J39" s="626">
        <f t="shared" si="4"/>
        <v>7532.816529269483</v>
      </c>
      <c r="K39" s="626">
        <f t="shared" si="4"/>
        <v>7496.919194808368</v>
      </c>
      <c r="L39" s="626">
        <f t="shared" si="4"/>
        <v>6320.4988965796365</v>
      </c>
    </row>
    <row r="40" spans="1:12">
      <c r="A40" s="611" t="s">
        <v>1500</v>
      </c>
      <c r="B40" s="611"/>
      <c r="C40" s="611"/>
      <c r="D40" s="611"/>
      <c r="E40" s="611"/>
      <c r="F40" s="611"/>
      <c r="G40" s="611"/>
      <c r="H40" s="611"/>
      <c r="I40" s="611"/>
      <c r="J40" s="611"/>
      <c r="K40" s="611"/>
      <c r="L40" s="611"/>
    </row>
    <row r="41" spans="1:12">
      <c r="A41" s="611" t="s">
        <v>1498</v>
      </c>
      <c r="B41" s="616">
        <f>100*(B34-B5)/B5</f>
        <v>69.966281426025134</v>
      </c>
      <c r="C41" s="616">
        <f t="shared" ref="C41:L41" si="5">100*(C34-C5)/C5</f>
        <v>111.08101513675082</v>
      </c>
      <c r="D41" s="616">
        <f t="shared" si="5"/>
        <v>74.159184842419734</v>
      </c>
      <c r="E41" s="616">
        <f t="shared" si="5"/>
        <v>81.488254632110838</v>
      </c>
      <c r="F41" s="616">
        <f t="shared" si="5"/>
        <v>98.22556078255775</v>
      </c>
      <c r="G41" s="616">
        <f t="shared" si="5"/>
        <v>78.351582624174583</v>
      </c>
      <c r="H41" s="616">
        <f t="shared" si="5"/>
        <v>71.744910567658593</v>
      </c>
      <c r="I41" s="616">
        <f t="shared" si="5"/>
        <v>74.414941103202906</v>
      </c>
      <c r="J41" s="616">
        <f>100*(J34-J5)/J5</f>
        <v>60.671898426124564</v>
      </c>
      <c r="K41" s="616">
        <f t="shared" si="5"/>
        <v>54.102535830903982</v>
      </c>
      <c r="L41" s="616">
        <f t="shared" si="5"/>
        <v>55.48398289168172</v>
      </c>
    </row>
    <row r="42" spans="1:12">
      <c r="A42" s="611" t="s">
        <v>1472</v>
      </c>
      <c r="B42" s="616">
        <f>100*(B13-B5)/B5</f>
        <v>17.248954094176039</v>
      </c>
      <c r="C42" s="616">
        <f t="shared" ref="C42:L42" si="6">100*(C13-C5)/C5</f>
        <v>29.169528231913077</v>
      </c>
      <c r="D42" s="616">
        <f t="shared" si="6"/>
        <v>22.786091252559338</v>
      </c>
      <c r="E42" s="616">
        <f t="shared" si="6"/>
        <v>21.570139830781716</v>
      </c>
      <c r="F42" s="616">
        <f t="shared" si="6"/>
        <v>30.024780561313232</v>
      </c>
      <c r="G42" s="616">
        <f t="shared" si="6"/>
        <v>19.675451318977519</v>
      </c>
      <c r="H42" s="616">
        <f t="shared" si="6"/>
        <v>19.206408922362812</v>
      </c>
      <c r="I42" s="616">
        <f t="shared" si="6"/>
        <v>23.639442680214511</v>
      </c>
      <c r="J42" s="616">
        <f t="shared" si="6"/>
        <v>8.8161015171033768</v>
      </c>
      <c r="K42" s="616">
        <f t="shared" si="6"/>
        <v>9.5285974675184928</v>
      </c>
      <c r="L42" s="616">
        <f t="shared" si="6"/>
        <v>8.2820307073520869</v>
      </c>
    </row>
    <row r="43" spans="1:12">
      <c r="A43" s="611" t="s">
        <v>1473</v>
      </c>
      <c r="B43" s="616">
        <f>100*(B24-B13)/B13</f>
        <v>21.099722370705358</v>
      </c>
      <c r="C43" s="616">
        <f t="shared" ref="C43:L43" si="7">100*(C24-C13)/C13</f>
        <v>20.989034752882553</v>
      </c>
      <c r="D43" s="616">
        <f t="shared" si="7"/>
        <v>12.342641047353414</v>
      </c>
      <c r="E43" s="616">
        <f t="shared" si="7"/>
        <v>19.416394982645532</v>
      </c>
      <c r="F43" s="616">
        <f t="shared" si="7"/>
        <v>20.923748029007168</v>
      </c>
      <c r="G43" s="616">
        <f t="shared" si="7"/>
        <v>20.954125804257988</v>
      </c>
      <c r="H43" s="616">
        <f t="shared" si="7"/>
        <v>23.704636802004423</v>
      </c>
      <c r="I43" s="616">
        <f t="shared" si="7"/>
        <v>15.582263603660516</v>
      </c>
      <c r="J43" s="616">
        <f t="shared" si="7"/>
        <v>18.448379006679041</v>
      </c>
      <c r="K43" s="616">
        <f t="shared" si="7"/>
        <v>15.955292053473817</v>
      </c>
      <c r="L43" s="616">
        <f t="shared" si="7"/>
        <v>22.53219721775438</v>
      </c>
    </row>
    <row r="44" spans="1:12">
      <c r="A44" s="611" t="s">
        <v>1474</v>
      </c>
      <c r="B44" s="616">
        <f>100*(B32-B24)/B24</f>
        <v>17.098309188486564</v>
      </c>
      <c r="C44" s="616">
        <f t="shared" ref="C44:L44" si="8">100*(C32-C24)/C24</f>
        <v>27.7068725131961</v>
      </c>
      <c r="D44" s="616">
        <f t="shared" si="8"/>
        <v>20.069254657688454</v>
      </c>
      <c r="E44" s="616">
        <f t="shared" si="8"/>
        <v>20.016512350786627</v>
      </c>
      <c r="F44" s="616">
        <f t="shared" si="8"/>
        <v>20.953452013345572</v>
      </c>
      <c r="G44" s="616">
        <f t="shared" si="8"/>
        <v>19.285765950273266</v>
      </c>
      <c r="H44" s="616">
        <f t="shared" si="8"/>
        <v>14.548708298341312</v>
      </c>
      <c r="I44" s="616">
        <f t="shared" si="8"/>
        <v>18.400506034799516</v>
      </c>
      <c r="J44" s="616">
        <f t="shared" si="8"/>
        <v>22.731323779969411</v>
      </c>
      <c r="K44" s="616">
        <f t="shared" si="8"/>
        <v>19.054628932345221</v>
      </c>
      <c r="L44" s="616">
        <f t="shared" si="8"/>
        <v>15.941517900044445</v>
      </c>
    </row>
    <row r="45" spans="1:12">
      <c r="A45" s="611" t="s">
        <v>1501</v>
      </c>
      <c r="B45" s="611"/>
      <c r="C45" s="611"/>
      <c r="D45" s="611"/>
      <c r="E45" s="611"/>
      <c r="F45" s="611"/>
      <c r="G45" s="611"/>
      <c r="H45" s="611"/>
      <c r="I45" s="611"/>
      <c r="J45" s="611"/>
      <c r="K45" s="611"/>
      <c r="L45" s="611"/>
    </row>
    <row r="46" spans="1:12">
      <c r="A46" s="611" t="s">
        <v>1498</v>
      </c>
      <c r="B46" s="617">
        <f>100*(POWER(B34/B5, 1/29)-1)</f>
        <v>1.8458984881885909</v>
      </c>
      <c r="C46" s="617">
        <f t="shared" ref="C46:L46" si="9">100*(POWER(C34/C5, 1/29)-1)</f>
        <v>2.6095782493324116</v>
      </c>
      <c r="D46" s="617">
        <f t="shared" si="9"/>
        <v>1.9315189505360708</v>
      </c>
      <c r="E46" s="617">
        <f t="shared" si="9"/>
        <v>2.0765095509714504</v>
      </c>
      <c r="F46" s="617">
        <f t="shared" si="9"/>
        <v>2.3874872030866578</v>
      </c>
      <c r="G46" s="617">
        <f t="shared" si="9"/>
        <v>2.0151618717444642</v>
      </c>
      <c r="H46" s="617">
        <f t="shared" si="9"/>
        <v>1.8824650069688476</v>
      </c>
      <c r="I46" s="617">
        <f t="shared" si="9"/>
        <v>1.9366769665538852</v>
      </c>
      <c r="J46" s="617">
        <f t="shared" si="9"/>
        <v>1.6485942013702237</v>
      </c>
      <c r="K46" s="617">
        <f t="shared" si="9"/>
        <v>1.502373901474674</v>
      </c>
      <c r="L46" s="617">
        <f t="shared" si="9"/>
        <v>1.5336152745411669</v>
      </c>
    </row>
    <row r="47" spans="1:12">
      <c r="A47" s="611" t="s">
        <v>1472</v>
      </c>
      <c r="B47" s="617">
        <f>100*(POWER(B13/B5, 1/8)-1)</f>
        <v>2.0090310032256253</v>
      </c>
      <c r="C47" s="617">
        <f t="shared" ref="C47:L47" si="10">100*(POWER(C13/C5, 1/8)-1)</f>
        <v>3.251176554920332</v>
      </c>
      <c r="D47" s="617">
        <f t="shared" si="10"/>
        <v>2.5991225929949069</v>
      </c>
      <c r="E47" s="617">
        <f t="shared" si="10"/>
        <v>2.4715639372362652</v>
      </c>
      <c r="F47" s="617">
        <f t="shared" si="10"/>
        <v>3.3363853725842274</v>
      </c>
      <c r="G47" s="617">
        <f t="shared" si="10"/>
        <v>2.2705600557020311</v>
      </c>
      <c r="H47" s="617">
        <f t="shared" si="10"/>
        <v>2.2203704780060063</v>
      </c>
      <c r="I47" s="617">
        <f t="shared" si="10"/>
        <v>2.6879844960365551</v>
      </c>
      <c r="J47" s="617">
        <f t="shared" si="10"/>
        <v>1.0617106869593718</v>
      </c>
      <c r="K47" s="617">
        <f t="shared" si="10"/>
        <v>1.1441900129121052</v>
      </c>
      <c r="L47" s="617">
        <f t="shared" si="10"/>
        <v>0.99957562389660914</v>
      </c>
    </row>
    <row r="48" spans="1:12">
      <c r="A48" s="611" t="s">
        <v>1473</v>
      </c>
      <c r="B48" s="617">
        <f>100*(POWER(B24/B13, 1/11)-1)</f>
        <v>1.7556347965273389</v>
      </c>
      <c r="C48" s="617">
        <f t="shared" ref="C48:L48" si="11">100*(POWER(C24/C13, 1/11)-1)</f>
        <v>1.7471761246729001</v>
      </c>
      <c r="D48" s="617">
        <f t="shared" si="11"/>
        <v>1.0636470237167961</v>
      </c>
      <c r="E48" s="617">
        <f t="shared" si="11"/>
        <v>1.6262298203258529</v>
      </c>
      <c r="F48" s="617">
        <f t="shared" si="11"/>
        <v>1.7421836589770701</v>
      </c>
      <c r="G48" s="617">
        <f t="shared" si="11"/>
        <v>1.7445069475058084</v>
      </c>
      <c r="H48" s="617">
        <f t="shared" si="11"/>
        <v>1.9526985187881429</v>
      </c>
      <c r="I48" s="617">
        <f t="shared" si="11"/>
        <v>1.3251794159271579</v>
      </c>
      <c r="J48" s="617">
        <f t="shared" si="11"/>
        <v>1.5510610835738792</v>
      </c>
      <c r="K48" s="617">
        <f t="shared" si="11"/>
        <v>1.3548645618883359</v>
      </c>
      <c r="L48" s="617">
        <f t="shared" si="11"/>
        <v>1.8644741018933431</v>
      </c>
    </row>
    <row r="49" spans="1:12">
      <c r="A49" s="611" t="s">
        <v>1474</v>
      </c>
      <c r="B49" s="617">
        <f>100*(POWER(B32/B24, 1/8)-1)</f>
        <v>1.9926387611963303</v>
      </c>
      <c r="C49" s="617">
        <f t="shared" ref="C49:L49" si="12">100*(POWER(C32/C24, 1/8)-1)</f>
        <v>3.1043013311002898</v>
      </c>
      <c r="D49" s="617">
        <f t="shared" si="12"/>
        <v>2.3125659829424494</v>
      </c>
      <c r="E49" s="617">
        <f t="shared" si="12"/>
        <v>2.3069471027279853</v>
      </c>
      <c r="F49" s="617">
        <f t="shared" si="12"/>
        <v>2.4064434481790187</v>
      </c>
      <c r="G49" s="617">
        <f t="shared" si="12"/>
        <v>2.2288741558576852</v>
      </c>
      <c r="H49" s="617">
        <f t="shared" si="12"/>
        <v>1.7123701419201165</v>
      </c>
      <c r="I49" s="617">
        <f t="shared" si="12"/>
        <v>2.1337304376125799</v>
      </c>
      <c r="J49" s="617">
        <f t="shared" si="12"/>
        <v>2.5934010660223938</v>
      </c>
      <c r="K49" s="617">
        <f t="shared" si="12"/>
        <v>2.2040923512199218</v>
      </c>
      <c r="L49" s="617">
        <f t="shared" si="12"/>
        <v>1.8661453763542113</v>
      </c>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dimension ref="A1:L49"/>
  <sheetViews>
    <sheetView workbookViewId="0">
      <selection activeCell="E9" sqref="E9"/>
    </sheetView>
  </sheetViews>
  <sheetFormatPr defaultRowHeight="12.75"/>
  <cols>
    <col min="1" max="16384" width="9" style="618"/>
  </cols>
  <sheetData>
    <row r="1" spans="1:12">
      <c r="A1" s="611" t="s">
        <v>1485</v>
      </c>
      <c r="B1" s="611"/>
      <c r="C1" s="611"/>
      <c r="D1" s="611"/>
      <c r="E1" s="611"/>
      <c r="F1" s="611"/>
      <c r="G1" s="611"/>
      <c r="H1" s="611"/>
      <c r="I1" s="611"/>
      <c r="J1" s="611"/>
      <c r="K1" s="611"/>
      <c r="L1" s="611"/>
    </row>
    <row r="2" spans="1:12">
      <c r="A2" s="611"/>
      <c r="B2" s="611"/>
      <c r="C2" s="611"/>
      <c r="D2" s="611"/>
      <c r="E2" s="611"/>
      <c r="F2" s="611"/>
      <c r="G2" s="611"/>
      <c r="H2" s="611"/>
      <c r="I2" s="611"/>
      <c r="J2" s="611"/>
      <c r="K2" s="611"/>
      <c r="L2" s="611"/>
    </row>
    <row r="3" spans="1:12">
      <c r="A3" s="611"/>
      <c r="B3" s="611"/>
      <c r="C3" s="611"/>
      <c r="D3" s="612"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14">
        <f>'9'!D19</f>
        <v>0.25267986708165169</v>
      </c>
      <c r="C5" s="614">
        <f>'9'!L19</f>
        <v>0.17423122566164023</v>
      </c>
      <c r="D5" s="614">
        <f>'9'!T19</f>
        <v>8.3333333333333329E-2</v>
      </c>
      <c r="E5" s="614">
        <f>'9'!AB19</f>
        <v>0.13918839018427517</v>
      </c>
      <c r="F5" s="614">
        <f>'9'!AJ19</f>
        <v>0.15780172121188507</v>
      </c>
      <c r="G5" s="614">
        <f>'9'!AR19</f>
        <v>0.19975876004372442</v>
      </c>
      <c r="H5" s="614">
        <f>'9'!AZ19</f>
        <v>0.1964830485415941</v>
      </c>
      <c r="I5" s="614">
        <f>'9'!BH19</f>
        <v>0.24237508530571805</v>
      </c>
      <c r="J5" s="614">
        <f>'9'!BP19</f>
        <v>0.34372283562385231</v>
      </c>
      <c r="K5" s="614">
        <f>'9'!BX19</f>
        <v>0.57940196497283902</v>
      </c>
      <c r="L5" s="614">
        <f>'9'!CF19</f>
        <v>0.31093925165954012</v>
      </c>
    </row>
    <row r="6" spans="1:12">
      <c r="A6" s="611">
        <f t="shared" ref="A6:A34" si="0">A5+1</f>
        <v>1982</v>
      </c>
      <c r="B6" s="614">
        <f>'9'!D20</f>
        <v>0.25213587905563967</v>
      </c>
      <c r="C6" s="614">
        <f>'9'!L20</f>
        <v>0.17192099883548367</v>
      </c>
      <c r="D6" s="614">
        <f>'9'!T20</f>
        <v>8.8554849676685463E-2</v>
      </c>
      <c r="E6" s="614">
        <f>'9'!AB20</f>
        <v>0.14247628863851514</v>
      </c>
      <c r="F6" s="614">
        <f>'9'!AJ20</f>
        <v>0.15021683481130779</v>
      </c>
      <c r="G6" s="614">
        <f>'9'!AR20</f>
        <v>0.20022856321087612</v>
      </c>
      <c r="H6" s="614">
        <f>'9'!AZ20</f>
        <v>0.1966969268541173</v>
      </c>
      <c r="I6" s="614">
        <f>'9'!BH20</f>
        <v>0.23655071191279708</v>
      </c>
      <c r="J6" s="614">
        <f>'9'!BP20</f>
        <v>0.33032409623529557</v>
      </c>
      <c r="K6" s="614">
        <f>'9'!BX20</f>
        <v>0.58281227586298545</v>
      </c>
      <c r="L6" s="614">
        <f>'9'!CF20</f>
        <v>0.29677007627738905</v>
      </c>
    </row>
    <row r="7" spans="1:12">
      <c r="A7" s="611">
        <f t="shared" si="0"/>
        <v>1983</v>
      </c>
      <c r="B7" s="614">
        <f>'9'!D21</f>
        <v>0.26155044305366026</v>
      </c>
      <c r="C7" s="614">
        <f>'9'!L21</f>
        <v>0.17335665356942101</v>
      </c>
      <c r="D7" s="614">
        <f>'9'!T21</f>
        <v>9.3876826678976497E-2</v>
      </c>
      <c r="E7" s="614">
        <f>'9'!AB21</f>
        <v>0.14935443507237858</v>
      </c>
      <c r="F7" s="614">
        <f>'9'!AJ21</f>
        <v>0.14843292782374889</v>
      </c>
      <c r="G7" s="614">
        <f>'9'!AR21</f>
        <v>0.20409905194775241</v>
      </c>
      <c r="H7" s="614">
        <f>'9'!AZ21</f>
        <v>0.20118175447870573</v>
      </c>
      <c r="I7" s="614">
        <f>'9'!BH21</f>
        <v>0.23626078627920308</v>
      </c>
      <c r="J7" s="614">
        <f>'9'!BP21</f>
        <v>0.34264978558856035</v>
      </c>
      <c r="K7" s="614">
        <f>'9'!BX21</f>
        <v>0.64573445984009481</v>
      </c>
      <c r="L7" s="614">
        <f>'9'!CF21</f>
        <v>0.29234823858125308</v>
      </c>
    </row>
    <row r="8" spans="1:12">
      <c r="A8" s="611">
        <f t="shared" si="0"/>
        <v>1984</v>
      </c>
      <c r="B8" s="614">
        <f>'9'!D22</f>
        <v>0.26197048084309882</v>
      </c>
      <c r="C8" s="614">
        <f>'9'!L22</f>
        <v>0.17951969995066791</v>
      </c>
      <c r="D8" s="614">
        <f>'9'!T22</f>
        <v>9.6323565249441898E-2</v>
      </c>
      <c r="E8" s="614">
        <f>'9'!AB22</f>
        <v>0.15865884616511211</v>
      </c>
      <c r="F8" s="614">
        <f>'9'!AJ22</f>
        <v>0.14857153031966308</v>
      </c>
      <c r="G8" s="614">
        <f>'9'!AR22</f>
        <v>0.20834088472275455</v>
      </c>
      <c r="H8" s="614">
        <f>'9'!AZ22</f>
        <v>0.20574985146448668</v>
      </c>
      <c r="I8" s="614">
        <f>'9'!BH22</f>
        <v>0.24133118722514368</v>
      </c>
      <c r="J8" s="614">
        <f>'9'!BP22</f>
        <v>0.3590251009599465</v>
      </c>
      <c r="K8" s="614">
        <f>'9'!BX22</f>
        <v>0.62221602152750144</v>
      </c>
      <c r="L8" s="614">
        <f>'9'!CF22</f>
        <v>0.28939480861255956</v>
      </c>
    </row>
    <row r="9" spans="1:12">
      <c r="A9" s="611">
        <f t="shared" si="0"/>
        <v>1985</v>
      </c>
      <c r="B9" s="614">
        <f>'9'!D23</f>
        <v>0.25766914460604035</v>
      </c>
      <c r="C9" s="614">
        <f>'9'!L23</f>
        <v>0.17606800093250471</v>
      </c>
      <c r="D9" s="614">
        <f>'9'!T23</f>
        <v>9.9251967392188695E-2</v>
      </c>
      <c r="E9" s="614">
        <f>'9'!AB23</f>
        <v>0.15718713515518212</v>
      </c>
      <c r="F9" s="614">
        <f>'9'!AJ23</f>
        <v>0.14604121910447213</v>
      </c>
      <c r="G9" s="614">
        <f>'9'!AR23</f>
        <v>0.20903861041290089</v>
      </c>
      <c r="H9" s="614">
        <f>'9'!AZ23</f>
        <v>0.20635208737036076</v>
      </c>
      <c r="I9" s="614">
        <f>'9'!BH23</f>
        <v>0.23632867842537861</v>
      </c>
      <c r="J9" s="614">
        <f>'9'!BP23</f>
        <v>0.35100489924667277</v>
      </c>
      <c r="K9" s="614">
        <f>'9'!BX23</f>
        <v>0.60843397916877917</v>
      </c>
      <c r="L9" s="614">
        <f>'9'!CF23</f>
        <v>0.28318051422973378</v>
      </c>
    </row>
    <row r="10" spans="1:12">
      <c r="A10" s="611">
        <f t="shared" si="0"/>
        <v>1986</v>
      </c>
      <c r="B10" s="614">
        <f>'9'!D24</f>
        <v>0.24123711194910621</v>
      </c>
      <c r="C10" s="614">
        <f>'9'!L24</f>
        <v>0.17819992730765696</v>
      </c>
      <c r="D10" s="614">
        <f>'9'!T24</f>
        <v>0.10181351197257678</v>
      </c>
      <c r="E10" s="614">
        <f>'9'!AB24</f>
        <v>0.15783692687311154</v>
      </c>
      <c r="F10" s="614">
        <f>'9'!AJ24</f>
        <v>0.14920101401944477</v>
      </c>
      <c r="G10" s="614">
        <f>'9'!AR24</f>
        <v>0.21363947240771014</v>
      </c>
      <c r="H10" s="614">
        <f>'9'!AZ24</f>
        <v>0.20881956124984066</v>
      </c>
      <c r="I10" s="614">
        <f>'9'!BH24</f>
        <v>0.23762840977170077</v>
      </c>
      <c r="J10" s="614">
        <f>'9'!BP24</f>
        <v>0.3184936245095224</v>
      </c>
      <c r="K10" s="614">
        <f>'9'!BX24</f>
        <v>0.4759015112563188</v>
      </c>
      <c r="L10" s="614">
        <f>'9'!CF24</f>
        <v>0.28294181154944653</v>
      </c>
    </row>
    <row r="11" spans="1:12">
      <c r="A11" s="611">
        <f t="shared" si="0"/>
        <v>1987</v>
      </c>
      <c r="B11" s="614">
        <f>'9'!D25</f>
        <v>0.24846321299635038</v>
      </c>
      <c r="C11" s="614">
        <f>'9'!L25</f>
        <v>0.18742049606747793</v>
      </c>
      <c r="D11" s="614">
        <f>'9'!T25</f>
        <v>0.10169859053067337</v>
      </c>
      <c r="E11" s="614">
        <f>'9'!AB25</f>
        <v>0.16797427195003378</v>
      </c>
      <c r="F11" s="614">
        <f>'9'!AJ25</f>
        <v>0.16581552261934299</v>
      </c>
      <c r="G11" s="614">
        <f>'9'!AR25</f>
        <v>0.22100448017792335</v>
      </c>
      <c r="H11" s="614">
        <f>'9'!AZ25</f>
        <v>0.21828176994961038</v>
      </c>
      <c r="I11" s="614">
        <f>'9'!BH25</f>
        <v>0.24475704736966836</v>
      </c>
      <c r="J11" s="614">
        <f>'9'!BP25</f>
        <v>0.34852765264501168</v>
      </c>
      <c r="K11" s="614">
        <f>'9'!BX25</f>
        <v>0.45487016154575283</v>
      </c>
      <c r="L11" s="614">
        <f>'9'!CF25</f>
        <v>0.30120837912337806</v>
      </c>
    </row>
    <row r="12" spans="1:12">
      <c r="A12" s="611">
        <f t="shared" si="0"/>
        <v>1988</v>
      </c>
      <c r="B12" s="614">
        <f>'9'!D26</f>
        <v>0.25681141822596482</v>
      </c>
      <c r="C12" s="614">
        <f>'9'!L26</f>
        <v>0.20693463651034158</v>
      </c>
      <c r="D12" s="614">
        <f>'9'!T26</f>
        <v>0.11083898552922813</v>
      </c>
      <c r="E12" s="614">
        <f>'9'!AB26</f>
        <v>0.17921775044155613</v>
      </c>
      <c r="F12" s="614">
        <f>'9'!AJ26</f>
        <v>0.19006527403957815</v>
      </c>
      <c r="G12" s="614">
        <f>'9'!AR26</f>
        <v>0.23453286793879127</v>
      </c>
      <c r="H12" s="614">
        <f>'9'!AZ26</f>
        <v>0.23234233433806753</v>
      </c>
      <c r="I12" s="614">
        <f>'9'!BH26</f>
        <v>0.25599671444673244</v>
      </c>
      <c r="J12" s="614">
        <f>'9'!BP26</f>
        <v>0.36607072664653678</v>
      </c>
      <c r="K12" s="614">
        <f>'9'!BX26</f>
        <v>0.39898019819529273</v>
      </c>
      <c r="L12" s="614">
        <f>'9'!CF26</f>
        <v>0.32453860795380257</v>
      </c>
    </row>
    <row r="13" spans="1:12">
      <c r="A13" s="611">
        <f t="shared" si="0"/>
        <v>1989</v>
      </c>
      <c r="B13" s="614">
        <f>'9'!D27</f>
        <v>0.26094061492035886</v>
      </c>
      <c r="C13" s="614">
        <f>'9'!L27</f>
        <v>0.21645169179699814</v>
      </c>
      <c r="D13" s="614">
        <f>'9'!T27</f>
        <v>0.11601203213914742</v>
      </c>
      <c r="E13" s="614">
        <f>'9'!AB27</f>
        <v>0.18621128840200088</v>
      </c>
      <c r="F13" s="614">
        <f>'9'!AJ27</f>
        <v>0.20377737284441291</v>
      </c>
      <c r="G13" s="614">
        <f>'9'!AR27</f>
        <v>0.23798653734463676</v>
      </c>
      <c r="H13" s="614">
        <f>'9'!AZ27</f>
        <v>0.23588131510733157</v>
      </c>
      <c r="I13" s="614">
        <f>'9'!BH27</f>
        <v>0.26123046650381937</v>
      </c>
      <c r="J13" s="614">
        <f>'9'!BP27</f>
        <v>0.3792016768781894</v>
      </c>
      <c r="K13" s="614">
        <f>'9'!BX27</f>
        <v>0.40554578857723245</v>
      </c>
      <c r="L13" s="614">
        <f>'9'!CF27</f>
        <v>0.32999030546746566</v>
      </c>
    </row>
    <row r="14" spans="1:12">
      <c r="A14" s="611">
        <f t="shared" si="0"/>
        <v>1990</v>
      </c>
      <c r="B14" s="614">
        <f>'9'!D28</f>
        <v>0.27594805873625794</v>
      </c>
      <c r="C14" s="614">
        <f>'9'!L28</f>
        <v>0.22284073523676026</v>
      </c>
      <c r="D14" s="614">
        <f>'9'!T28</f>
        <v>0.1346357747444179</v>
      </c>
      <c r="E14" s="614">
        <f>'9'!AB28</f>
        <v>0.20350055441485559</v>
      </c>
      <c r="F14" s="614">
        <f>'9'!AJ28</f>
        <v>0.22081366862078933</v>
      </c>
      <c r="G14" s="614">
        <f>'9'!AR28</f>
        <v>0.25049604463273756</v>
      </c>
      <c r="H14" s="614">
        <f>'9'!AZ28</f>
        <v>0.24671554015213698</v>
      </c>
      <c r="I14" s="614">
        <f>'9'!BH28</f>
        <v>0.2734696952953013</v>
      </c>
      <c r="J14" s="614">
        <f>'9'!BP28</f>
        <v>0.38478753751752898</v>
      </c>
      <c r="K14" s="614">
        <f>'9'!BX28</f>
        <v>0.43747838995719013</v>
      </c>
      <c r="L14" s="614">
        <f>'9'!CF28</f>
        <v>0.34741394543150828</v>
      </c>
    </row>
    <row r="15" spans="1:12">
      <c r="A15" s="611">
        <f t="shared" si="0"/>
        <v>1991</v>
      </c>
      <c r="B15" s="614">
        <f>'9'!D29</f>
        <v>0.26829177037425173</v>
      </c>
      <c r="C15" s="614">
        <f>'9'!L29</f>
        <v>0.2210490981914463</v>
      </c>
      <c r="D15" s="614">
        <f>'9'!T29</f>
        <v>0.14111961569670195</v>
      </c>
      <c r="E15" s="614">
        <f>'9'!AB29</f>
        <v>0.20133914249113</v>
      </c>
      <c r="F15" s="614">
        <f>'9'!AJ29</f>
        <v>0.21579494180731787</v>
      </c>
      <c r="G15" s="614">
        <f>'9'!AR29</f>
        <v>0.24956865636656225</v>
      </c>
      <c r="H15" s="614">
        <f>'9'!AZ29</f>
        <v>0.24716512928624149</v>
      </c>
      <c r="I15" s="614">
        <f>'9'!BH29</f>
        <v>0.27125868851480334</v>
      </c>
      <c r="J15" s="614">
        <f>'9'!BP29</f>
        <v>0.36045562696262606</v>
      </c>
      <c r="K15" s="614">
        <f>'9'!BX29</f>
        <v>0.3768181812967567</v>
      </c>
      <c r="L15" s="614">
        <f>'9'!CF29</f>
        <v>0.33295891415461165</v>
      </c>
    </row>
    <row r="16" spans="1:12">
      <c r="A16" s="611">
        <f t="shared" si="0"/>
        <v>1992</v>
      </c>
      <c r="B16" s="614">
        <f>'9'!D30</f>
        <v>0.26547490353597075</v>
      </c>
      <c r="C16" s="614">
        <f>'9'!L30</f>
        <v>0.22355036374478418</v>
      </c>
      <c r="D16" s="614">
        <f>'9'!T30</f>
        <v>0.14794380348655806</v>
      </c>
      <c r="E16" s="614">
        <f>'9'!AB30</f>
        <v>0.194832323392721</v>
      </c>
      <c r="F16" s="614">
        <f>'9'!AJ30</f>
        <v>0.20855263742318508</v>
      </c>
      <c r="G16" s="614">
        <f>'9'!AR30</f>
        <v>0.25004559047027025</v>
      </c>
      <c r="H16" s="614">
        <f>'9'!AZ30</f>
        <v>0.24566092614168619</v>
      </c>
      <c r="I16" s="614">
        <f>'9'!BH30</f>
        <v>0.26959247663949737</v>
      </c>
      <c r="J16" s="614">
        <f>'9'!BP30</f>
        <v>0.36150648813285241</v>
      </c>
      <c r="K16" s="614">
        <f>'9'!BX30</f>
        <v>0.37524340184243815</v>
      </c>
      <c r="L16" s="614">
        <f>'9'!CF30</f>
        <v>0.31680111586390736</v>
      </c>
    </row>
    <row r="17" spans="1:12">
      <c r="A17" s="611">
        <f t="shared" si="0"/>
        <v>1993</v>
      </c>
      <c r="B17" s="614">
        <f>'9'!D31</f>
        <v>0.26425017342839102</v>
      </c>
      <c r="C17" s="614">
        <f>'9'!L31</f>
        <v>0.22244543142849407</v>
      </c>
      <c r="D17" s="614">
        <f>'9'!T31</f>
        <v>0.15662747461210255</v>
      </c>
      <c r="E17" s="614">
        <f>'9'!AB31</f>
        <v>0.19201023935816144</v>
      </c>
      <c r="F17" s="614">
        <f>'9'!AJ31</f>
        <v>0.20001778841048812</v>
      </c>
      <c r="G17" s="614">
        <f>'9'!AR31</f>
        <v>0.2491520854682657</v>
      </c>
      <c r="H17" s="614">
        <f>'9'!AZ31</f>
        <v>0.243171096495473</v>
      </c>
      <c r="I17" s="614">
        <f>'9'!BH31</f>
        <v>0.26590867524211659</v>
      </c>
      <c r="J17" s="614">
        <f>'9'!BP31</f>
        <v>0.35023220259348753</v>
      </c>
      <c r="K17" s="614">
        <f>'9'!BX31</f>
        <v>0.38468220772343198</v>
      </c>
      <c r="L17" s="614">
        <f>'9'!CF31</f>
        <v>0.31277812030136992</v>
      </c>
    </row>
    <row r="18" spans="1:12">
      <c r="A18" s="611">
        <f t="shared" si="0"/>
        <v>1994</v>
      </c>
      <c r="B18" s="614">
        <f>'9'!D32</f>
        <v>0.27042889032161399</v>
      </c>
      <c r="C18" s="614">
        <f>'9'!L32</f>
        <v>0.23795497044475625</v>
      </c>
      <c r="D18" s="614">
        <f>'9'!T32</f>
        <v>0.159852292631428</v>
      </c>
      <c r="E18" s="614">
        <f>'9'!AB32</f>
        <v>0.193130370726005</v>
      </c>
      <c r="F18" s="614">
        <f>'9'!AJ32</f>
        <v>0.20508401775922594</v>
      </c>
      <c r="G18" s="614">
        <f>'9'!AR32</f>
        <v>0.25435065921878725</v>
      </c>
      <c r="H18" s="614">
        <f>'9'!AZ32</f>
        <v>0.24746453953453088</v>
      </c>
      <c r="I18" s="614">
        <f>'9'!BH32</f>
        <v>0.27010946210724635</v>
      </c>
      <c r="J18" s="614">
        <f>'9'!BP32</f>
        <v>0.37509014852380773</v>
      </c>
      <c r="K18" s="614">
        <f>'9'!BX32</f>
        <v>0.39162633030657706</v>
      </c>
      <c r="L18" s="614">
        <f>'9'!CF32</f>
        <v>0.32091156878904892</v>
      </c>
    </row>
    <row r="19" spans="1:12">
      <c r="A19" s="611">
        <f t="shared" si="0"/>
        <v>1995</v>
      </c>
      <c r="B19" s="614">
        <f>'9'!D33</f>
        <v>0.27966740692347536</v>
      </c>
      <c r="C19" s="614">
        <f>'9'!L33</f>
        <v>0.26199034358642942</v>
      </c>
      <c r="D19" s="614">
        <f>'9'!T33</f>
        <v>0.1673345311087519</v>
      </c>
      <c r="E19" s="614">
        <f>'9'!AB33</f>
        <v>0.2034849870365717</v>
      </c>
      <c r="F19" s="614">
        <f>'9'!AJ33</f>
        <v>0.22997667222976872</v>
      </c>
      <c r="G19" s="614">
        <f>'9'!AR33</f>
        <v>0.26904836663429765</v>
      </c>
      <c r="H19" s="614">
        <f>'9'!AZ33</f>
        <v>0.25363037668895105</v>
      </c>
      <c r="I19" s="614">
        <f>'9'!BH33</f>
        <v>0.27912860320331073</v>
      </c>
      <c r="J19" s="614">
        <f>'9'!BP33</f>
        <v>0.39553219627414382</v>
      </c>
      <c r="K19" s="614">
        <f>'9'!BX33</f>
        <v>0.38173085177549065</v>
      </c>
      <c r="L19" s="614">
        <f>'9'!CF33</f>
        <v>0.33306173062269906</v>
      </c>
    </row>
    <row r="20" spans="1:12">
      <c r="A20" s="611">
        <f t="shared" si="0"/>
        <v>1996</v>
      </c>
      <c r="B20" s="614">
        <f>'9'!D34</f>
        <v>0.29092897677022855</v>
      </c>
      <c r="C20" s="614">
        <f>'9'!L34</f>
        <v>0.27306820372706886</v>
      </c>
      <c r="D20" s="614">
        <f>'9'!T34</f>
        <v>0.17325125730859611</v>
      </c>
      <c r="E20" s="614">
        <f>'9'!AB34</f>
        <v>0.2076882057813666</v>
      </c>
      <c r="F20" s="614">
        <f>'9'!AJ34</f>
        <v>0.24507566642408657</v>
      </c>
      <c r="G20" s="614">
        <f>'9'!AR34</f>
        <v>0.27957372057277452</v>
      </c>
      <c r="H20" s="614">
        <f>'9'!AZ34</f>
        <v>0.25952948205783533</v>
      </c>
      <c r="I20" s="614">
        <f>'9'!BH34</f>
        <v>0.2833063571434738</v>
      </c>
      <c r="J20" s="614">
        <f>'9'!BP34</f>
        <v>0.39726459152482069</v>
      </c>
      <c r="K20" s="614">
        <f>'9'!BX34</f>
        <v>0.42315713441968528</v>
      </c>
      <c r="L20" s="614">
        <f>'9'!CF34</f>
        <v>0.34720763513546604</v>
      </c>
    </row>
    <row r="21" spans="1:12">
      <c r="A21" s="611">
        <f t="shared" si="0"/>
        <v>1997</v>
      </c>
      <c r="B21" s="614">
        <f>'9'!D35</f>
        <v>0.30185091473476916</v>
      </c>
      <c r="C21" s="614">
        <f>'9'!L35</f>
        <v>0.28937920209203533</v>
      </c>
      <c r="D21" s="614">
        <f>'9'!T35</f>
        <v>0.18192223587520631</v>
      </c>
      <c r="E21" s="614">
        <f>'9'!AB35</f>
        <v>0.21656613232070399</v>
      </c>
      <c r="F21" s="614">
        <f>'9'!AJ35</f>
        <v>0.25870349116934471</v>
      </c>
      <c r="G21" s="614">
        <f>'9'!AR35</f>
        <v>0.29276113138129567</v>
      </c>
      <c r="H21" s="614">
        <f>'9'!AZ35</f>
        <v>0.2675791276542438</v>
      </c>
      <c r="I21" s="614">
        <f>'9'!BH35</f>
        <v>0.29222782408990738</v>
      </c>
      <c r="J21" s="614">
        <f>'9'!BP35</f>
        <v>0.40802956252027583</v>
      </c>
      <c r="K21" s="614">
        <f>'9'!BX35</f>
        <v>0.43353368510349943</v>
      </c>
      <c r="L21" s="614">
        <f>'9'!CF35</f>
        <v>0.36129966195937352</v>
      </c>
    </row>
    <row r="22" spans="1:12">
      <c r="A22" s="611">
        <f t="shared" si="0"/>
        <v>1998</v>
      </c>
      <c r="B22" s="614">
        <f>'9'!D36</f>
        <v>0.30286039128744413</v>
      </c>
      <c r="C22" s="614">
        <f>'9'!L36</f>
        <v>0.3075984438103615</v>
      </c>
      <c r="D22" s="614">
        <f>'9'!T36</f>
        <v>0.18587969157102738</v>
      </c>
      <c r="E22" s="614">
        <f>'9'!AB36</f>
        <v>0.22278556129178911</v>
      </c>
      <c r="F22" s="614">
        <f>'9'!AJ36</f>
        <v>0.26684587271975196</v>
      </c>
      <c r="G22" s="614">
        <f>'9'!AR36</f>
        <v>0.29778306670670068</v>
      </c>
      <c r="H22" s="614">
        <f>'9'!AZ36</f>
        <v>0.26934092976383051</v>
      </c>
      <c r="I22" s="614">
        <f>'9'!BH36</f>
        <v>0.29460233054373774</v>
      </c>
      <c r="J22" s="614">
        <f>'9'!BP36</f>
        <v>0.3964654452790094</v>
      </c>
      <c r="K22" s="614">
        <f>'9'!BX36</f>
        <v>0.40115014012401523</v>
      </c>
      <c r="L22" s="614">
        <f>'9'!CF36</f>
        <v>0.36934787131137803</v>
      </c>
    </row>
    <row r="23" spans="1:12">
      <c r="A23" s="611">
        <f t="shared" si="0"/>
        <v>1999</v>
      </c>
      <c r="B23" s="614">
        <f>'9'!D37</f>
        <v>0.32161106042480536</v>
      </c>
      <c r="C23" s="614">
        <f>'9'!L37</f>
        <v>0.35546528639434349</v>
      </c>
      <c r="D23" s="614">
        <f>'9'!T37</f>
        <v>0.19462809022624322</v>
      </c>
      <c r="E23" s="614">
        <f>'9'!AB37</f>
        <v>0.22970007146667343</v>
      </c>
      <c r="F23" s="614">
        <f>'9'!AJ37</f>
        <v>0.28011198509709245</v>
      </c>
      <c r="G23" s="614">
        <f>'9'!AR37</f>
        <v>0.30800298892170802</v>
      </c>
      <c r="H23" s="614">
        <f>'9'!AZ37</f>
        <v>0.28106565278443429</v>
      </c>
      <c r="I23" s="614">
        <f>'9'!BH37</f>
        <v>0.30426274544837378</v>
      </c>
      <c r="J23" s="614">
        <f>'9'!BP37</f>
        <v>0.43376404841294114</v>
      </c>
      <c r="K23" s="614">
        <f>'9'!BX37</f>
        <v>0.48247866513571297</v>
      </c>
      <c r="L23" s="614">
        <f>'9'!CF37</f>
        <v>0.38172764205768306</v>
      </c>
    </row>
    <row r="24" spans="1:12">
      <c r="A24" s="611">
        <f t="shared" si="0"/>
        <v>2000</v>
      </c>
      <c r="B24" s="614">
        <f>'9'!D38</f>
        <v>0.35005266596543333</v>
      </c>
      <c r="C24" s="614">
        <f>'9'!L38</f>
        <v>0.43606835142159517</v>
      </c>
      <c r="D24" s="614">
        <f>'9'!T38</f>
        <v>0.20264730453669488</v>
      </c>
      <c r="E24" s="614">
        <f>'9'!AB38</f>
        <v>0.26186311179892163</v>
      </c>
      <c r="F24" s="614">
        <f>'9'!AJ38</f>
        <v>0.28951855379795449</v>
      </c>
      <c r="G24" s="614">
        <f>'9'!AR38</f>
        <v>0.31609377067851258</v>
      </c>
      <c r="H24" s="614">
        <f>'9'!AZ38</f>
        <v>0.29166660330602429</v>
      </c>
      <c r="I24" s="614">
        <f>'9'!BH38</f>
        <v>0.31516512868186242</v>
      </c>
      <c r="J24" s="614">
        <f>'9'!BP38</f>
        <v>0.49016243808522564</v>
      </c>
      <c r="K24" s="614">
        <f>'9'!BX38</f>
        <v>0.60823375030767857</v>
      </c>
      <c r="L24" s="614">
        <f>'9'!CF38</f>
        <v>0.40643735320748853</v>
      </c>
    </row>
    <row r="25" spans="1:12">
      <c r="A25" s="611">
        <f t="shared" si="0"/>
        <v>2001</v>
      </c>
      <c r="B25" s="614">
        <f>'9'!D39</f>
        <v>0.34979103379749987</v>
      </c>
      <c r="C25" s="614">
        <f>'9'!L39</f>
        <v>0.42286743197028021</v>
      </c>
      <c r="D25" s="614">
        <f>'9'!T39</f>
        <v>0.21425197494443562</v>
      </c>
      <c r="E25" s="614">
        <f>'9'!AB39</f>
        <v>0.26322769278266067</v>
      </c>
      <c r="F25" s="614">
        <f>'9'!AJ39</f>
        <v>0.294099573542283</v>
      </c>
      <c r="G25" s="614">
        <f>'9'!AR39</f>
        <v>0.32139137955585945</v>
      </c>
      <c r="H25" s="614">
        <f>'9'!AZ39</f>
        <v>0.29470094381073564</v>
      </c>
      <c r="I25" s="614">
        <f>'9'!BH39</f>
        <v>0.31561857671371757</v>
      </c>
      <c r="J25" s="614">
        <f>'9'!BP39</f>
        <v>0.46786132598999519</v>
      </c>
      <c r="K25" s="614">
        <f>'9'!BX39</f>
        <v>0.5773731881112002</v>
      </c>
      <c r="L25" s="614">
        <f>'9'!CF39</f>
        <v>0.41220797351981675</v>
      </c>
    </row>
    <row r="26" spans="1:12">
      <c r="A26" s="611">
        <f t="shared" si="0"/>
        <v>2002</v>
      </c>
      <c r="B26" s="614">
        <f>'9'!D40</f>
        <v>0.35157732960737681</v>
      </c>
      <c r="C26" s="614">
        <f>'9'!L40</f>
        <v>0.43528803154789669</v>
      </c>
      <c r="D26" s="614">
        <f>'9'!T40</f>
        <v>0.22170022458170222</v>
      </c>
      <c r="E26" s="614">
        <f>'9'!AB40</f>
        <v>0.26048139799075898</v>
      </c>
      <c r="F26" s="614">
        <f>'9'!AJ40</f>
        <v>0.29950969283697348</v>
      </c>
      <c r="G26" s="614">
        <f>'9'!AR40</f>
        <v>0.32574163288715241</v>
      </c>
      <c r="H26" s="614">
        <f>'9'!AZ40</f>
        <v>0.29758483743233022</v>
      </c>
      <c r="I26" s="614">
        <f>'9'!BH40</f>
        <v>0.31784881029076906</v>
      </c>
      <c r="J26" s="614">
        <f>'9'!BP40</f>
        <v>0.47033701053853599</v>
      </c>
      <c r="K26" s="614">
        <f>'9'!BX40</f>
        <v>0.58103322241899913</v>
      </c>
      <c r="L26" s="614">
        <f>'9'!CF40</f>
        <v>0.4088294434636604</v>
      </c>
    </row>
    <row r="27" spans="1:12">
      <c r="A27" s="611">
        <f t="shared" si="0"/>
        <v>2003</v>
      </c>
      <c r="B27" s="614">
        <f>'9'!D41</f>
        <v>0.36351439297037474</v>
      </c>
      <c r="C27" s="614">
        <f>'9'!L41</f>
        <v>0.43504105123682457</v>
      </c>
      <c r="D27" s="614">
        <f>'9'!T41</f>
        <v>0.22900414900116234</v>
      </c>
      <c r="E27" s="614">
        <f>'9'!AB41</f>
        <v>0.2616420657755083</v>
      </c>
      <c r="F27" s="614">
        <f>'9'!AJ41</f>
        <v>0.30359612753296683</v>
      </c>
      <c r="G27" s="614">
        <f>'9'!AR41</f>
        <v>0.33198937478293461</v>
      </c>
      <c r="H27" s="614">
        <f>'9'!AZ41</f>
        <v>0.30341941194699057</v>
      </c>
      <c r="I27" s="614">
        <f>'9'!BH41</f>
        <v>0.32238280986879825</v>
      </c>
      <c r="J27" s="614">
        <f>'9'!BP41</f>
        <v>0.49710904465845734</v>
      </c>
      <c r="K27" s="614">
        <f>'9'!BX41</f>
        <v>0.62127111995067152</v>
      </c>
      <c r="L27" s="614">
        <f>'9'!CF41</f>
        <v>0.42497449107229696</v>
      </c>
    </row>
    <row r="28" spans="1:12">
      <c r="A28" s="611">
        <f t="shared" si="0"/>
        <v>2004</v>
      </c>
      <c r="B28" s="614">
        <f>'9'!D42</f>
        <v>0.37961828068370757</v>
      </c>
      <c r="C28" s="614">
        <f>'9'!L42</f>
        <v>0.48431866550680364</v>
      </c>
      <c r="D28" s="614">
        <f>'9'!T42</f>
        <v>0.23897996945008093</v>
      </c>
      <c r="E28" s="614">
        <f>'9'!AB42</f>
        <v>0.26984703651749492</v>
      </c>
      <c r="F28" s="614">
        <f>'9'!AJ42</f>
        <v>0.31874962048666344</v>
      </c>
      <c r="G28" s="614">
        <f>'9'!AR42</f>
        <v>0.34386656268445254</v>
      </c>
      <c r="H28" s="614">
        <f>'9'!AZ42</f>
        <v>0.3138672498996436</v>
      </c>
      <c r="I28" s="614">
        <f>'9'!BH42</f>
        <v>0.33293516459729988</v>
      </c>
      <c r="J28" s="614">
        <f>'9'!BP42</f>
        <v>0.52583069429502505</v>
      </c>
      <c r="K28" s="614">
        <f>'9'!BX42</f>
        <v>0.64915590754528329</v>
      </c>
      <c r="L28" s="614">
        <f>'9'!CF42</f>
        <v>0.43697907497870775</v>
      </c>
    </row>
    <row r="29" spans="1:12">
      <c r="A29" s="611">
        <f t="shared" si="0"/>
        <v>2005</v>
      </c>
      <c r="B29" s="614">
        <f>'9'!D43</f>
        <v>0.40536908875496142</v>
      </c>
      <c r="C29" s="614">
        <f>'9'!L43</f>
        <v>0.66885863556400604</v>
      </c>
      <c r="D29" s="614">
        <f>'9'!T43</f>
        <v>0.24750011277354897</v>
      </c>
      <c r="E29" s="614">
        <f>'9'!AB43</f>
        <v>0.27722613294341197</v>
      </c>
      <c r="F29" s="614">
        <f>'9'!AJ43</f>
        <v>0.32378230106263473</v>
      </c>
      <c r="G29" s="614">
        <f>'9'!AR43</f>
        <v>0.35302359087848501</v>
      </c>
      <c r="H29" s="614">
        <f>'9'!AZ43</f>
        <v>0.3241234001951937</v>
      </c>
      <c r="I29" s="614">
        <f>'9'!BH43</f>
        <v>0.34387012601600742</v>
      </c>
      <c r="J29" s="614">
        <f>'9'!BP43</f>
        <v>0.57852148042930429</v>
      </c>
      <c r="K29" s="614">
        <f>'9'!BX43</f>
        <v>0.70766384053771147</v>
      </c>
      <c r="L29" s="614">
        <f>'9'!CF43</f>
        <v>0.4581115591036915</v>
      </c>
    </row>
    <row r="30" spans="1:12">
      <c r="A30" s="611">
        <f t="shared" si="0"/>
        <v>2006</v>
      </c>
      <c r="B30" s="614">
        <f>'9'!D44</f>
        <v>0.42590721115943969</v>
      </c>
      <c r="C30" s="614">
        <f>'9'!L44</f>
        <v>0.66147399510555338</v>
      </c>
      <c r="D30" s="614">
        <f>'9'!T44</f>
        <v>0.26151208445577279</v>
      </c>
      <c r="E30" s="614">
        <f>'9'!AB44</f>
        <v>0.29129625222689898</v>
      </c>
      <c r="F30" s="614">
        <f>'9'!AJ44</f>
        <v>0.34199372268447509</v>
      </c>
      <c r="G30" s="614">
        <f>'9'!AR44</f>
        <v>0.36578628677586084</v>
      </c>
      <c r="H30" s="614">
        <f>'9'!AZ44</f>
        <v>0.340401199053396</v>
      </c>
      <c r="I30" s="614">
        <f>'9'!BH44</f>
        <v>0.36160520935213802</v>
      </c>
      <c r="J30" s="614">
        <f>'9'!BP44</f>
        <v>0.6055595697044075</v>
      </c>
      <c r="K30" s="614">
        <f>'9'!BX44</f>
        <v>0.76764795213749204</v>
      </c>
      <c r="L30" s="614">
        <f>'9'!CF44</f>
        <v>0.46242942920911284</v>
      </c>
    </row>
    <row r="31" spans="1:12">
      <c r="A31" s="611">
        <f t="shared" si="0"/>
        <v>2007</v>
      </c>
      <c r="B31" s="614">
        <f>'9'!D45</f>
        <v>0.42768292531287988</v>
      </c>
      <c r="C31" s="614">
        <f>'9'!L45</f>
        <v>0.71947291479627407</v>
      </c>
      <c r="D31" s="614">
        <f>'9'!T45</f>
        <v>0.265891661587077</v>
      </c>
      <c r="E31" s="614">
        <f>'9'!AB45</f>
        <v>0.29846217273990971</v>
      </c>
      <c r="F31" s="614">
        <f>'9'!AJ45</f>
        <v>0.35078395762648368</v>
      </c>
      <c r="G31" s="614">
        <f>'9'!AR45</f>
        <v>0.37177909528293296</v>
      </c>
      <c r="H31" s="614">
        <f>'9'!AZ45</f>
        <v>0.34695529269353176</v>
      </c>
      <c r="I31" s="614">
        <f>'9'!BH45</f>
        <v>0.36849160125548541</v>
      </c>
      <c r="J31" s="614">
        <f>'9'!BP45</f>
        <v>0.61600344737637414</v>
      </c>
      <c r="K31" s="614">
        <f>'9'!BX45</f>
        <v>0.72240354424069397</v>
      </c>
      <c r="L31" s="614">
        <f>'9'!CF45</f>
        <v>0.46386250113812744</v>
      </c>
    </row>
    <row r="32" spans="1:12">
      <c r="A32" s="611">
        <f t="shared" si="0"/>
        <v>2008</v>
      </c>
      <c r="B32" s="614">
        <f>'9'!D46</f>
        <v>0.47911064987499741</v>
      </c>
      <c r="C32" s="614">
        <f>'9'!L46</f>
        <v>0.78818108483662708</v>
      </c>
      <c r="D32" s="614">
        <f>'9'!T46</f>
        <v>0.27622545623768457</v>
      </c>
      <c r="E32" s="614">
        <f>'9'!AB46</f>
        <v>0.30962992660515748</v>
      </c>
      <c r="F32" s="614">
        <f>'9'!AJ46</f>
        <v>0.37018756012340487</v>
      </c>
      <c r="G32" s="614">
        <f>'9'!AR46</f>
        <v>0.38465959997018262</v>
      </c>
      <c r="H32" s="614">
        <f>'9'!AZ46</f>
        <v>0.36273031146914259</v>
      </c>
      <c r="I32" s="614">
        <f>'9'!BH46</f>
        <v>0.38952076550397019</v>
      </c>
      <c r="J32" s="614">
        <f>'9'!BP46</f>
        <v>0.6745406667701751</v>
      </c>
      <c r="K32" s="614">
        <f>'9'!BX46</f>
        <v>0.91666666666666663</v>
      </c>
      <c r="L32" s="614">
        <f>'9'!CF46</f>
        <v>0.49466415723318619</v>
      </c>
    </row>
    <row r="33" spans="1:12">
      <c r="A33" s="611">
        <f t="shared" si="0"/>
        <v>2009</v>
      </c>
      <c r="B33" s="614">
        <f>'9'!D47</f>
        <v>0.42718276285445739</v>
      </c>
      <c r="C33" s="614">
        <f>'9'!L47</f>
        <v>0.8126686150603466</v>
      </c>
      <c r="D33" s="614">
        <f>'9'!T47</f>
        <v>0.27521788818408738</v>
      </c>
      <c r="E33" s="614">
        <f>'9'!AB47</f>
        <v>0.29485160884337808</v>
      </c>
      <c r="F33" s="614">
        <f>'9'!AJ47</f>
        <v>0.34405645382478789</v>
      </c>
      <c r="G33" s="614">
        <f>'9'!AR47</f>
        <v>0.37003909407371349</v>
      </c>
      <c r="H33" s="614">
        <f>'9'!AZ47</f>
        <v>0.3451465160515671</v>
      </c>
      <c r="I33" s="614">
        <f>'9'!BH47</f>
        <v>0.37044831612751117</v>
      </c>
      <c r="J33" s="614">
        <f>'9'!BP47</f>
        <v>0.63891609895147317</v>
      </c>
      <c r="K33" s="614">
        <f>'9'!BX47</f>
        <v>0.84782283136184522</v>
      </c>
      <c r="L33" s="614">
        <f>'9'!CF47</f>
        <v>0.47230914776830207</v>
      </c>
    </row>
    <row r="34" spans="1:12">
      <c r="A34" s="611">
        <f t="shared" si="0"/>
        <v>2010</v>
      </c>
      <c r="B34" s="614">
        <f>'9'!D48</f>
        <v>0.43582687101768375</v>
      </c>
      <c r="C34" s="614">
        <f>'9'!L48</f>
        <v>0.80272982683000638</v>
      </c>
      <c r="D34" s="614">
        <f>'9'!T48</f>
        <v>0.28464226347746752</v>
      </c>
      <c r="E34" s="614">
        <f>'9'!AB48</f>
        <v>0.30164917372179045</v>
      </c>
      <c r="F34" s="614">
        <f>'9'!AJ48</f>
        <v>0.34582441076233233</v>
      </c>
      <c r="G34" s="614">
        <f>'9'!AR48</f>
        <v>0.37458867321138462</v>
      </c>
      <c r="H34" s="614">
        <f>'9'!AZ48</f>
        <v>0.34987624280597179</v>
      </c>
      <c r="I34" s="614">
        <f>'9'!BH48</f>
        <v>0.37551026795015141</v>
      </c>
      <c r="J34" s="614">
        <f>'9'!BP48</f>
        <v>0.6326724544753124</v>
      </c>
      <c r="K34" s="614">
        <f>'9'!BX48</f>
        <v>0.83053411157346535</v>
      </c>
      <c r="L34" s="614">
        <f>'9'!CF48</f>
        <v>0.47356861023263919</v>
      </c>
    </row>
    <row r="35" spans="1:12">
      <c r="A35" s="611" t="s">
        <v>1499</v>
      </c>
      <c r="B35" s="611"/>
      <c r="C35" s="611"/>
      <c r="D35" s="611"/>
      <c r="E35" s="611"/>
      <c r="F35" s="611"/>
      <c r="G35" s="611"/>
      <c r="H35" s="611"/>
      <c r="I35" s="611"/>
      <c r="J35" s="611"/>
      <c r="K35" s="611"/>
      <c r="L35" s="611"/>
    </row>
    <row r="36" spans="1:12">
      <c r="A36" s="611" t="s">
        <v>1498</v>
      </c>
      <c r="B36" s="615">
        <f>B34-B5</f>
        <v>0.18314700393603206</v>
      </c>
      <c r="C36" s="615">
        <f t="shared" ref="C36:L36" si="1">C34-C5</f>
        <v>0.6284986011683662</v>
      </c>
      <c r="D36" s="615">
        <f t="shared" si="1"/>
        <v>0.2013089301441342</v>
      </c>
      <c r="E36" s="615">
        <f t="shared" si="1"/>
        <v>0.16246078353751528</v>
      </c>
      <c r="F36" s="615">
        <f t="shared" si="1"/>
        <v>0.18802268955044726</v>
      </c>
      <c r="G36" s="615">
        <f t="shared" si="1"/>
        <v>0.17482991316766019</v>
      </c>
      <c r="H36" s="615">
        <f t="shared" si="1"/>
        <v>0.1533931942643777</v>
      </c>
      <c r="I36" s="615">
        <f t="shared" si="1"/>
        <v>0.13313518264443336</v>
      </c>
      <c r="J36" s="615">
        <f t="shared" si="1"/>
        <v>0.28894961885146009</v>
      </c>
      <c r="K36" s="615">
        <f t="shared" si="1"/>
        <v>0.25113214660062633</v>
      </c>
      <c r="L36" s="615">
        <f t="shared" si="1"/>
        <v>0.16262935857309907</v>
      </c>
    </row>
    <row r="37" spans="1:12">
      <c r="A37" s="611" t="s">
        <v>1472</v>
      </c>
      <c r="B37" s="615">
        <f>B13-B5</f>
        <v>8.260747838707172E-3</v>
      </c>
      <c r="C37" s="615">
        <f t="shared" ref="C37:L37" si="2">C13-C5</f>
        <v>4.2220466135357904E-2</v>
      </c>
      <c r="D37" s="615">
        <f t="shared" si="2"/>
        <v>3.2678698805814088E-2</v>
      </c>
      <c r="E37" s="615">
        <f t="shared" si="2"/>
        <v>4.7022898217725706E-2</v>
      </c>
      <c r="F37" s="615">
        <f t="shared" si="2"/>
        <v>4.5975651632527842E-2</v>
      </c>
      <c r="G37" s="615">
        <f t="shared" si="2"/>
        <v>3.8227777300912341E-2</v>
      </c>
      <c r="H37" s="615">
        <f t="shared" si="2"/>
        <v>3.9398266565737472E-2</v>
      </c>
      <c r="I37" s="615">
        <f t="shared" si="2"/>
        <v>1.8855381198101318E-2</v>
      </c>
      <c r="J37" s="615">
        <f t="shared" si="2"/>
        <v>3.547884125433709E-2</v>
      </c>
      <c r="K37" s="615">
        <f t="shared" si="2"/>
        <v>-0.17385617639560658</v>
      </c>
      <c r="L37" s="615">
        <f t="shared" si="2"/>
        <v>1.9051053807925544E-2</v>
      </c>
    </row>
    <row r="38" spans="1:12">
      <c r="A38" s="611" t="s">
        <v>1473</v>
      </c>
      <c r="B38" s="615">
        <f>B24-B13</f>
        <v>8.911205104507447E-2</v>
      </c>
      <c r="C38" s="615">
        <f t="shared" ref="C38:L38" si="3">C24-C13</f>
        <v>0.21961665962459703</v>
      </c>
      <c r="D38" s="615">
        <f t="shared" si="3"/>
        <v>8.6635272397547466E-2</v>
      </c>
      <c r="E38" s="615">
        <f t="shared" si="3"/>
        <v>7.5651823396920753E-2</v>
      </c>
      <c r="F38" s="615">
        <f t="shared" si="3"/>
        <v>8.5741180953541579E-2</v>
      </c>
      <c r="G38" s="615">
        <f t="shared" si="3"/>
        <v>7.8107233333875814E-2</v>
      </c>
      <c r="H38" s="615">
        <f t="shared" si="3"/>
        <v>5.5785288198692717E-2</v>
      </c>
      <c r="I38" s="615">
        <f t="shared" si="3"/>
        <v>5.3934662178043047E-2</v>
      </c>
      <c r="J38" s="615">
        <f t="shared" si="3"/>
        <v>0.11096076120703624</v>
      </c>
      <c r="K38" s="615">
        <f t="shared" si="3"/>
        <v>0.20268796173044612</v>
      </c>
      <c r="L38" s="615">
        <f t="shared" si="3"/>
        <v>7.6447047740022867E-2</v>
      </c>
    </row>
    <row r="39" spans="1:12">
      <c r="A39" s="611" t="s">
        <v>1474</v>
      </c>
      <c r="B39" s="615">
        <f>B32-B24</f>
        <v>0.12905798390956408</v>
      </c>
      <c r="C39" s="615">
        <f t="shared" ref="C39:L39" si="4">C32-C24</f>
        <v>0.35211273341503191</v>
      </c>
      <c r="D39" s="615">
        <f t="shared" si="4"/>
        <v>7.3578151700989691E-2</v>
      </c>
      <c r="E39" s="615">
        <f t="shared" si="4"/>
        <v>4.7766814806235847E-2</v>
      </c>
      <c r="F39" s="615">
        <f t="shared" si="4"/>
        <v>8.0669006325450376E-2</v>
      </c>
      <c r="G39" s="615">
        <f t="shared" si="4"/>
        <v>6.8565829291670044E-2</v>
      </c>
      <c r="H39" s="615">
        <f t="shared" si="4"/>
        <v>7.10637081631183E-2</v>
      </c>
      <c r="I39" s="615">
        <f t="shared" si="4"/>
        <v>7.4355636822107773E-2</v>
      </c>
      <c r="J39" s="615">
        <f t="shared" si="4"/>
        <v>0.18437822868494946</v>
      </c>
      <c r="K39" s="615">
        <f t="shared" si="4"/>
        <v>0.30843291635898806</v>
      </c>
      <c r="L39" s="615">
        <f t="shared" si="4"/>
        <v>8.8226804025697658E-2</v>
      </c>
    </row>
    <row r="40" spans="1:12">
      <c r="A40" s="611" t="s">
        <v>1500</v>
      </c>
      <c r="B40" s="611"/>
      <c r="C40" s="611"/>
      <c r="D40" s="611"/>
      <c r="E40" s="611"/>
      <c r="F40" s="611"/>
      <c r="G40" s="611"/>
      <c r="H40" s="611"/>
      <c r="I40" s="611"/>
      <c r="J40" s="611"/>
      <c r="K40" s="611"/>
      <c r="L40" s="611"/>
    </row>
    <row r="41" spans="1:12">
      <c r="A41" s="611" t="s">
        <v>1498</v>
      </c>
      <c r="B41" s="616">
        <f>100*(B34-B5)/B5</f>
        <v>72.481834841574226</v>
      </c>
      <c r="C41" s="616">
        <f t="shared" ref="C41:L41" si="5">100*(C34-C5)/C5</f>
        <v>360.72672896701096</v>
      </c>
      <c r="D41" s="616">
        <f t="shared" si="5"/>
        <v>241.57071617296106</v>
      </c>
      <c r="E41" s="616">
        <f t="shared" si="5"/>
        <v>116.72006790396037</v>
      </c>
      <c r="F41" s="616">
        <f t="shared" si="5"/>
        <v>119.15122858386545</v>
      </c>
      <c r="G41" s="616">
        <f t="shared" si="5"/>
        <v>87.520523820528496</v>
      </c>
      <c r="H41" s="616">
        <f t="shared" si="5"/>
        <v>78.069429094747292</v>
      </c>
      <c r="I41" s="616">
        <f t="shared" si="5"/>
        <v>54.92940104652434</v>
      </c>
      <c r="J41" s="616">
        <f>100*(J34-J5)/J5</f>
        <v>84.064714038280414</v>
      </c>
      <c r="K41" s="616">
        <f t="shared" si="5"/>
        <v>43.343337058306105</v>
      </c>
      <c r="L41" s="616">
        <f t="shared" si="5"/>
        <v>52.302614644216249</v>
      </c>
    </row>
    <row r="42" spans="1:12">
      <c r="A42" s="611" t="s">
        <v>1472</v>
      </c>
      <c r="B42" s="616">
        <f>100*(B13-B5)/B5</f>
        <v>3.269254465785266</v>
      </c>
      <c r="C42" s="616">
        <f t="shared" ref="C42:L42" si="6">100*(C13-C5)/C5</f>
        <v>24.232433638130232</v>
      </c>
      <c r="D42" s="616">
        <f t="shared" si="6"/>
        <v>39.214438566976909</v>
      </c>
      <c r="E42" s="616">
        <f t="shared" si="6"/>
        <v>33.783635370357288</v>
      </c>
      <c r="F42" s="616">
        <f t="shared" si="6"/>
        <v>29.135076144571936</v>
      </c>
      <c r="G42" s="616">
        <f t="shared" si="6"/>
        <v>19.136971661490495</v>
      </c>
      <c r="H42" s="616">
        <f t="shared" si="6"/>
        <v>20.05173823297898</v>
      </c>
      <c r="I42" s="616">
        <f t="shared" si="6"/>
        <v>7.779422201881113</v>
      </c>
      <c r="J42" s="616">
        <f t="shared" si="6"/>
        <v>10.321933132532051</v>
      </c>
      <c r="K42" s="616">
        <f t="shared" si="6"/>
        <v>-30.006142006052141</v>
      </c>
      <c r="L42" s="616">
        <f t="shared" si="6"/>
        <v>6.1269375629633629</v>
      </c>
    </row>
    <row r="43" spans="1:12">
      <c r="A43" s="611" t="s">
        <v>1473</v>
      </c>
      <c r="B43" s="616">
        <f>100*(B24-B13)/B13</f>
        <v>34.150318482338278</v>
      </c>
      <c r="C43" s="616">
        <f t="shared" ref="C43:L43" si="7">100*(C24-C13)/C13</f>
        <v>101.46220516981093</v>
      </c>
      <c r="D43" s="616">
        <f t="shared" si="7"/>
        <v>74.67783366955868</v>
      </c>
      <c r="E43" s="616">
        <f t="shared" si="7"/>
        <v>40.626872863690394</v>
      </c>
      <c r="F43" s="616">
        <f t="shared" si="7"/>
        <v>42.075908505801706</v>
      </c>
      <c r="G43" s="616">
        <f t="shared" si="7"/>
        <v>32.820021756426485</v>
      </c>
      <c r="H43" s="616">
        <f t="shared" si="7"/>
        <v>23.649727479817166</v>
      </c>
      <c r="I43" s="616">
        <f t="shared" si="7"/>
        <v>20.646390484187449</v>
      </c>
      <c r="J43" s="616">
        <f t="shared" si="7"/>
        <v>29.261674716348914</v>
      </c>
      <c r="K43" s="616">
        <f t="shared" si="7"/>
        <v>49.979057221018607</v>
      </c>
      <c r="L43" s="616">
        <f t="shared" si="7"/>
        <v>23.16645261191163</v>
      </c>
    </row>
    <row r="44" spans="1:12">
      <c r="A44" s="611" t="s">
        <v>1474</v>
      </c>
      <c r="B44" s="616">
        <f>100*(B32-B24)/B24</f>
        <v>36.868161981748244</v>
      </c>
      <c r="C44" s="616">
        <f t="shared" ref="C44:L44" si="8">100*(C32-C24)/C24</f>
        <v>80.747142567704003</v>
      </c>
      <c r="D44" s="616">
        <f t="shared" si="8"/>
        <v>36.308477859702464</v>
      </c>
      <c r="E44" s="616">
        <f t="shared" si="8"/>
        <v>18.241139226556978</v>
      </c>
      <c r="F44" s="616">
        <f t="shared" si="8"/>
        <v>27.863156010977669</v>
      </c>
      <c r="G44" s="616">
        <f t="shared" si="8"/>
        <v>21.691610418164753</v>
      </c>
      <c r="H44" s="616">
        <f t="shared" si="8"/>
        <v>24.36470523454356</v>
      </c>
      <c r="I44" s="616">
        <f t="shared" si="8"/>
        <v>23.592596405919224</v>
      </c>
      <c r="J44" s="616">
        <f t="shared" si="8"/>
        <v>37.615740081024164</v>
      </c>
      <c r="K44" s="616">
        <f t="shared" si="8"/>
        <v>50.70960238608356</v>
      </c>
      <c r="L44" s="616">
        <f t="shared" si="8"/>
        <v>21.707356208635034</v>
      </c>
    </row>
    <row r="45" spans="1:12">
      <c r="A45" s="611" t="s">
        <v>1501</v>
      </c>
      <c r="B45" s="611"/>
      <c r="C45" s="611"/>
      <c r="D45" s="611"/>
      <c r="E45" s="611"/>
      <c r="F45" s="611"/>
      <c r="G45" s="611"/>
      <c r="H45" s="611"/>
      <c r="I45" s="611"/>
      <c r="J45" s="611"/>
      <c r="K45" s="611"/>
      <c r="L45" s="611"/>
    </row>
    <row r="46" spans="1:12">
      <c r="A46" s="611" t="s">
        <v>1498</v>
      </c>
      <c r="B46" s="617">
        <f>100*(POWER(B34/B5, 1/29)-1)</f>
        <v>1.8975082827485945</v>
      </c>
      <c r="C46" s="617">
        <f t="shared" ref="C46:L46" si="9">100*(POWER(C34/C5, 1/29)-1)</f>
        <v>5.4089188491278861</v>
      </c>
      <c r="D46" s="617">
        <f t="shared" si="9"/>
        <v>4.3267993432064333</v>
      </c>
      <c r="E46" s="617">
        <f t="shared" si="9"/>
        <v>2.7029051325208275</v>
      </c>
      <c r="F46" s="617">
        <f t="shared" si="9"/>
        <v>2.7424197840505871</v>
      </c>
      <c r="G46" s="617">
        <f t="shared" si="9"/>
        <v>2.1916652326124497</v>
      </c>
      <c r="H46" s="617">
        <f t="shared" si="9"/>
        <v>2.0095924879741434</v>
      </c>
      <c r="I46" s="617">
        <f t="shared" si="9"/>
        <v>1.5211057511061998</v>
      </c>
      <c r="J46" s="617">
        <f t="shared" si="9"/>
        <v>2.1261394676155287</v>
      </c>
      <c r="K46" s="617">
        <f t="shared" si="9"/>
        <v>1.249369616207896</v>
      </c>
      <c r="L46" s="617">
        <f t="shared" si="9"/>
        <v>1.461260571800449</v>
      </c>
    </row>
    <row r="47" spans="1:12">
      <c r="A47" s="611" t="s">
        <v>1472</v>
      </c>
      <c r="B47" s="617">
        <f>100*(POWER(B13/B5, 1/8)-1)</f>
        <v>0.4029284878319439</v>
      </c>
      <c r="C47" s="617">
        <f t="shared" ref="C47:L47" si="10">100*(POWER(C13/C5, 1/8)-1)</f>
        <v>2.7494188311736778</v>
      </c>
      <c r="D47" s="617">
        <f t="shared" si="10"/>
        <v>4.2222716810887517</v>
      </c>
      <c r="E47" s="617">
        <f t="shared" si="10"/>
        <v>3.7051619722333617</v>
      </c>
      <c r="F47" s="617">
        <f t="shared" si="10"/>
        <v>3.247733759856386</v>
      </c>
      <c r="G47" s="617">
        <f t="shared" si="10"/>
        <v>2.2129257104614997</v>
      </c>
      <c r="H47" s="617">
        <f t="shared" si="10"/>
        <v>2.3107001173232389</v>
      </c>
      <c r="I47" s="617">
        <f t="shared" si="10"/>
        <v>0.94085554845200203</v>
      </c>
      <c r="J47" s="617">
        <f t="shared" si="10"/>
        <v>1.2354768596890331</v>
      </c>
      <c r="K47" s="617">
        <f t="shared" si="10"/>
        <v>-4.3615582444248897</v>
      </c>
      <c r="L47" s="617">
        <f t="shared" si="10"/>
        <v>0.74609093973214691</v>
      </c>
    </row>
    <row r="48" spans="1:12">
      <c r="A48" s="611" t="s">
        <v>1473</v>
      </c>
      <c r="B48" s="617">
        <f>100*(POWER(B24/B13, 1/11)-1)</f>
        <v>2.7068113323096332</v>
      </c>
      <c r="C48" s="617">
        <f t="shared" ref="C48:L48" si="11">100*(POWER(C24/C13, 1/11)-1)</f>
        <v>6.5746615485194004</v>
      </c>
      <c r="D48" s="617">
        <f t="shared" si="11"/>
        <v>5.2014238760774933</v>
      </c>
      <c r="E48" s="617">
        <f t="shared" si="11"/>
        <v>3.147986871128805</v>
      </c>
      <c r="F48" s="617">
        <f t="shared" si="11"/>
        <v>3.2441598884499045</v>
      </c>
      <c r="G48" s="617">
        <f t="shared" si="11"/>
        <v>2.6138014834409695</v>
      </c>
      <c r="H48" s="617">
        <f t="shared" si="11"/>
        <v>1.9485836709139059</v>
      </c>
      <c r="I48" s="617">
        <f t="shared" si="11"/>
        <v>1.7209468156888841</v>
      </c>
      <c r="J48" s="617">
        <f t="shared" si="11"/>
        <v>2.3607869802821702</v>
      </c>
      <c r="K48" s="617">
        <f t="shared" si="11"/>
        <v>3.7535065780280652</v>
      </c>
      <c r="L48" s="617">
        <f t="shared" si="11"/>
        <v>1.912295728573965</v>
      </c>
    </row>
    <row r="49" spans="1:12">
      <c r="A49" s="611" t="s">
        <v>1474</v>
      </c>
      <c r="B49" s="617">
        <f>100*(POWER(B32/B24, 1/8)-1)</f>
        <v>4.0010692552920224</v>
      </c>
      <c r="C49" s="617">
        <f t="shared" ref="C49:L49" si="12">100*(POWER(C32/C24, 1/8)-1)</f>
        <v>7.6797230864994459</v>
      </c>
      <c r="D49" s="617">
        <f t="shared" si="12"/>
        <v>3.9478134899751272</v>
      </c>
      <c r="E49" s="617">
        <f t="shared" si="12"/>
        <v>2.1165363391757674</v>
      </c>
      <c r="F49" s="617">
        <f t="shared" si="12"/>
        <v>3.1200648526562347</v>
      </c>
      <c r="G49" s="617">
        <f t="shared" si="12"/>
        <v>2.4843568023760199</v>
      </c>
      <c r="H49" s="617">
        <f t="shared" si="12"/>
        <v>2.7630872657304684</v>
      </c>
      <c r="I49" s="617">
        <f t="shared" si="12"/>
        <v>2.6831202037445712</v>
      </c>
      <c r="J49" s="617">
        <f t="shared" si="12"/>
        <v>4.0719072797401168</v>
      </c>
      <c r="K49" s="617">
        <f t="shared" si="12"/>
        <v>5.2610300355597106</v>
      </c>
      <c r="L49" s="617">
        <f t="shared" si="12"/>
        <v>2.4860142768123206</v>
      </c>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dimension ref="A1:L49"/>
  <sheetViews>
    <sheetView workbookViewId="0">
      <selection activeCell="E9" sqref="E9"/>
    </sheetView>
  </sheetViews>
  <sheetFormatPr defaultRowHeight="12.75"/>
  <cols>
    <col min="1" max="2" width="9" style="618"/>
    <col min="3" max="3" width="10.75" style="618" bestFit="1" customWidth="1"/>
    <col min="4" max="16384" width="9" style="618"/>
  </cols>
  <sheetData>
    <row r="1" spans="1:12">
      <c r="A1" s="611" t="s">
        <v>1486</v>
      </c>
      <c r="B1" s="611"/>
      <c r="C1" s="611"/>
      <c r="D1" s="611"/>
      <c r="E1" s="611"/>
      <c r="F1" s="611"/>
      <c r="G1" s="611"/>
      <c r="H1" s="611"/>
      <c r="I1" s="611"/>
      <c r="J1" s="611"/>
      <c r="K1" s="611"/>
      <c r="L1" s="611"/>
    </row>
    <row r="2" spans="1:12">
      <c r="A2" s="611"/>
      <c r="B2" s="611"/>
      <c r="C2" s="611"/>
      <c r="D2" s="611"/>
      <c r="E2" s="611"/>
      <c r="F2" s="611"/>
      <c r="G2" s="611"/>
      <c r="H2" s="611"/>
      <c r="I2" s="611"/>
      <c r="J2" s="611"/>
      <c r="K2" s="611"/>
      <c r="L2" s="611"/>
    </row>
    <row r="3" spans="1:12">
      <c r="A3" s="611"/>
      <c r="B3" s="611"/>
      <c r="C3" s="611"/>
      <c r="D3" s="612"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5">
        <f>'2'!H19</f>
        <v>147742.11551907114</v>
      </c>
      <c r="C5" s="625">
        <f>'2'!R19</f>
        <v>119765.95061164149</v>
      </c>
      <c r="D5" s="625">
        <f>'2'!AB19</f>
        <v>87350.1639328194</v>
      </c>
      <c r="E5" s="625">
        <f>'2'!AL19</f>
        <v>107269.05931571893</v>
      </c>
      <c r="F5" s="625">
        <f>'2'!AV19</f>
        <v>113906.90044182616</v>
      </c>
      <c r="G5" s="625">
        <f>'2'!BF19</f>
        <v>128869.51822767787</v>
      </c>
      <c r="H5" s="625">
        <f>'2'!BP19</f>
        <v>127701.34190857357</v>
      </c>
      <c r="I5" s="625">
        <f>'2'!BZ19</f>
        <v>144067.24914687854</v>
      </c>
      <c r="J5" s="625">
        <f>'2'!CJ19</f>
        <v>180209.63892666978</v>
      </c>
      <c r="K5" s="625">
        <f>'2'!CT19</f>
        <v>264256.96044248616</v>
      </c>
      <c r="L5" s="625">
        <f>'2'!DD19</f>
        <v>168518.43644514144</v>
      </c>
    </row>
    <row r="6" spans="1:12">
      <c r="A6" s="611">
        <f>A5+1</f>
        <v>1982</v>
      </c>
      <c r="B6" s="625">
        <f>'2'!H20</f>
        <v>147548.11982395261</v>
      </c>
      <c r="C6" s="625">
        <f>'2'!R20</f>
        <v>118942.08310428607</v>
      </c>
      <c r="D6" s="625">
        <f>'2'!AB20</f>
        <v>89212.248471751838</v>
      </c>
      <c r="E6" s="625">
        <f>'2'!AL20</f>
        <v>108441.58171623097</v>
      </c>
      <c r="F6" s="625">
        <f>'2'!AV20</f>
        <v>111201.99658491193</v>
      </c>
      <c r="G6" s="625">
        <f>'2'!BF20</f>
        <v>129037.05829772065</v>
      </c>
      <c r="H6" s="625">
        <f>'2'!BP20</f>
        <v>127777.6146754815</v>
      </c>
      <c r="I6" s="625">
        <f>'2'!BZ20</f>
        <v>141990.17518392223</v>
      </c>
      <c r="J6" s="625">
        <f>'2'!CJ20</f>
        <v>175431.4128681836</v>
      </c>
      <c r="K6" s="625">
        <f>'2'!CT20</f>
        <v>265473.13727004308</v>
      </c>
      <c r="L6" s="625">
        <f>'2'!DD20</f>
        <v>163465.45936462015</v>
      </c>
    </row>
    <row r="7" spans="1:12">
      <c r="A7" s="611">
        <f t="shared" ref="A7:A34" si="0">A6+1</f>
        <v>1983</v>
      </c>
      <c r="B7" s="625">
        <f>'2'!H21</f>
        <v>150905.51888367665</v>
      </c>
      <c r="C7" s="625">
        <f>'2'!R21</f>
        <v>119454.06282579234</v>
      </c>
      <c r="D7" s="625">
        <f>'2'!AB21</f>
        <v>91110.159048080342</v>
      </c>
      <c r="E7" s="625">
        <f>'2'!AL21</f>
        <v>110894.44967427476</v>
      </c>
      <c r="F7" s="625">
        <f>'2'!AV21</f>
        <v>110565.82398638006</v>
      </c>
      <c r="G7" s="625">
        <f>'2'!BF21</f>
        <v>130417.34263681411</v>
      </c>
      <c r="H7" s="625">
        <f>'2'!BP21</f>
        <v>129376.98306396804</v>
      </c>
      <c r="I7" s="625">
        <f>'2'!BZ21</f>
        <v>141886.78260516626</v>
      </c>
      <c r="J7" s="625">
        <f>'2'!CJ21</f>
        <v>179826.9704164463</v>
      </c>
      <c r="K7" s="625">
        <f>'2'!CT21</f>
        <v>287912.29444874468</v>
      </c>
      <c r="L7" s="625">
        <f>'2'!DD21</f>
        <v>161888.5542921834</v>
      </c>
    </row>
    <row r="8" spans="1:12">
      <c r="A8" s="611">
        <f t="shared" si="0"/>
        <v>1984</v>
      </c>
      <c r="B8" s="625">
        <f>'2'!H22</f>
        <v>151055.311744993</v>
      </c>
      <c r="C8" s="625">
        <f>'2'!R22</f>
        <v>121651.91353133584</v>
      </c>
      <c r="D8" s="625">
        <f>'2'!AB22</f>
        <v>91982.709043767682</v>
      </c>
      <c r="E8" s="625">
        <f>'2'!AL22</f>
        <v>114212.5662711344</v>
      </c>
      <c r="F8" s="625">
        <f>'2'!AV22</f>
        <v>110615.25207349652</v>
      </c>
      <c r="G8" s="625">
        <f>'2'!BF22</f>
        <v>131930.05478931454</v>
      </c>
      <c r="H8" s="625">
        <f>'2'!BP22</f>
        <v>131006.04677079649</v>
      </c>
      <c r="I8" s="625">
        <f>'2'!BZ22</f>
        <v>143694.9767362916</v>
      </c>
      <c r="J8" s="625">
        <f>'2'!CJ22</f>
        <v>185666.69580809859</v>
      </c>
      <c r="K8" s="625">
        <f>'2'!CT22</f>
        <v>279525.20581739862</v>
      </c>
      <c r="L8" s="625">
        <f>'2'!DD22</f>
        <v>160835.30923463881</v>
      </c>
    </row>
    <row r="9" spans="1:12">
      <c r="A9" s="611">
        <f t="shared" si="0"/>
        <v>1985</v>
      </c>
      <c r="B9" s="625">
        <f>'2'!H23</f>
        <v>149521.37961166285</v>
      </c>
      <c r="C9" s="625">
        <f>'2'!R23</f>
        <v>120420.97696959299</v>
      </c>
      <c r="D9" s="625">
        <f>'2'!AB23</f>
        <v>93027.028738510751</v>
      </c>
      <c r="E9" s="625">
        <f>'2'!AL23</f>
        <v>113687.72824762494</v>
      </c>
      <c r="F9" s="625">
        <f>'2'!AV23</f>
        <v>109712.8986032267</v>
      </c>
      <c r="G9" s="625">
        <f>'2'!BF23</f>
        <v>132178.87603866131</v>
      </c>
      <c r="H9" s="625">
        <f>'2'!BP23</f>
        <v>131220.81468405714</v>
      </c>
      <c r="I9" s="625">
        <f>'2'!BZ23</f>
        <v>141910.99413825269</v>
      </c>
      <c r="J9" s="625">
        <f>'2'!CJ23</f>
        <v>182806.5508564467</v>
      </c>
      <c r="K9" s="625">
        <f>'2'!CT23</f>
        <v>274610.28718006401</v>
      </c>
      <c r="L9" s="625">
        <f>'2'!DD23</f>
        <v>158619.18259062915</v>
      </c>
    </row>
    <row r="10" spans="1:12">
      <c r="A10" s="611">
        <f t="shared" si="0"/>
        <v>1986</v>
      </c>
      <c r="B10" s="625">
        <f>'2'!H24</f>
        <v>143661.42783871357</v>
      </c>
      <c r="C10" s="625">
        <f>'2'!R24</f>
        <v>121181.25940103027</v>
      </c>
      <c r="D10" s="625">
        <f>'2'!AB24</f>
        <v>93940.520575991948</v>
      </c>
      <c r="E10" s="625">
        <f>'2'!AL24</f>
        <v>113919.45539964721</v>
      </c>
      <c r="F10" s="625">
        <f>'2'!AV24</f>
        <v>110839.73702916765</v>
      </c>
      <c r="G10" s="625">
        <f>'2'!BF24</f>
        <v>133819.6243238225</v>
      </c>
      <c r="H10" s="625">
        <f>'2'!BP24</f>
        <v>132100.75925553186</v>
      </c>
      <c r="I10" s="625">
        <f>'2'!BZ24</f>
        <v>142374.50118976919</v>
      </c>
      <c r="J10" s="625">
        <f>'2'!CJ24</f>
        <v>171212.45863338807</v>
      </c>
      <c r="K10" s="625">
        <f>'2'!CT24</f>
        <v>227346.87877944624</v>
      </c>
      <c r="L10" s="625">
        <f>'2'!DD24</f>
        <v>158534.05701768509</v>
      </c>
    </row>
    <row r="11" spans="1:12">
      <c r="A11" s="611">
        <f t="shared" si="0"/>
        <v>1987</v>
      </c>
      <c r="B11" s="625">
        <f>'2'!H25</f>
        <v>146238.38253003961</v>
      </c>
      <c r="C11" s="625">
        <f>'2'!R25</f>
        <v>124469.47634775795</v>
      </c>
      <c r="D11" s="625">
        <f>'2'!AB25</f>
        <v>93899.537569124106</v>
      </c>
      <c r="E11" s="625">
        <f>'2'!AL25</f>
        <v>117534.61090090172</v>
      </c>
      <c r="F11" s="625">
        <f>'2'!AV25</f>
        <v>116764.76293188638</v>
      </c>
      <c r="G11" s="625">
        <f>'2'!BF25</f>
        <v>136446.11559498205</v>
      </c>
      <c r="H11" s="625">
        <f>'2'!BP25</f>
        <v>135475.14925364527</v>
      </c>
      <c r="I11" s="625">
        <f>'2'!BZ25</f>
        <v>144916.69870136524</v>
      </c>
      <c r="J11" s="625">
        <f>'2'!CJ25</f>
        <v>181923.12116040659</v>
      </c>
      <c r="K11" s="625">
        <f>'2'!CT25</f>
        <v>219846.72967452463</v>
      </c>
      <c r="L11" s="625">
        <f>'2'!DD25</f>
        <v>165048.23619900431</v>
      </c>
    </row>
    <row r="12" spans="1:12">
      <c r="A12" s="611">
        <f t="shared" si="0"/>
        <v>1988</v>
      </c>
      <c r="B12" s="625">
        <f>'2'!H26</f>
        <v>149215.49930296544</v>
      </c>
      <c r="C12" s="625">
        <f>'2'!R26</f>
        <v>131428.56195044419</v>
      </c>
      <c r="D12" s="625">
        <f>'2'!AB26</f>
        <v>97159.163142874109</v>
      </c>
      <c r="E12" s="625">
        <f>'2'!AL26</f>
        <v>121544.23302715219</v>
      </c>
      <c r="F12" s="625">
        <f>'2'!AV26</f>
        <v>125412.65067623192</v>
      </c>
      <c r="G12" s="625">
        <f>'2'!BF26</f>
        <v>141270.57654266583</v>
      </c>
      <c r="H12" s="625">
        <f>'2'!BP26</f>
        <v>140489.39374408801</v>
      </c>
      <c r="I12" s="625">
        <f>'2'!BZ26</f>
        <v>148924.96161020309</v>
      </c>
      <c r="J12" s="625">
        <f>'2'!CJ26</f>
        <v>188179.28981248362</v>
      </c>
      <c r="K12" s="625">
        <f>'2'!CT26</f>
        <v>199915.3860201294</v>
      </c>
      <c r="L12" s="625">
        <f>'2'!DD26</f>
        <v>173368.20601968665</v>
      </c>
    </row>
    <row r="13" spans="1:12">
      <c r="A13" s="611">
        <f t="shared" si="0"/>
        <v>1989</v>
      </c>
      <c r="B13" s="625">
        <f>'2'!H27</f>
        <v>150688.04344861986</v>
      </c>
      <c r="C13" s="625">
        <f>'2'!R27</f>
        <v>134822.5112058192</v>
      </c>
      <c r="D13" s="625">
        <f>'2'!AB27</f>
        <v>99003.962522612055</v>
      </c>
      <c r="E13" s="625">
        <f>'2'!AL27</f>
        <v>124038.25163252556</v>
      </c>
      <c r="F13" s="625">
        <f>'2'!AV27</f>
        <v>130302.62621241974</v>
      </c>
      <c r="G13" s="625">
        <f>'2'!BF27</f>
        <v>142502.21577930189</v>
      </c>
      <c r="H13" s="625">
        <f>'2'!BP27</f>
        <v>141751.45651296468</v>
      </c>
      <c r="I13" s="625">
        <f>'2'!BZ27</f>
        <v>150791.40961979618</v>
      </c>
      <c r="J13" s="625">
        <f>'2'!CJ27</f>
        <v>192862.01754903124</v>
      </c>
      <c r="K13" s="625">
        <f>'2'!CT27</f>
        <v>202256.790994326</v>
      </c>
      <c r="L13" s="625">
        <f>'2'!DD27</f>
        <v>175312.3772112703</v>
      </c>
    </row>
    <row r="14" spans="1:12">
      <c r="A14" s="611">
        <f t="shared" si="0"/>
        <v>1990</v>
      </c>
      <c r="B14" s="625">
        <f>'2'!H28</f>
        <v>156039.96179204548</v>
      </c>
      <c r="C14" s="625">
        <f>'2'!R28</f>
        <v>137100.95643617754</v>
      </c>
      <c r="D14" s="625">
        <f>'2'!AB28</f>
        <v>105645.51660038176</v>
      </c>
      <c r="E14" s="625">
        <f>'2'!AL28</f>
        <v>130203.90789308966</v>
      </c>
      <c r="F14" s="625">
        <f>'2'!AV28</f>
        <v>136378.06883863296</v>
      </c>
      <c r="G14" s="625">
        <f>'2'!BF28</f>
        <v>146963.32603523205</v>
      </c>
      <c r="H14" s="625">
        <f>'2'!BP28</f>
        <v>145615.13166413642</v>
      </c>
      <c r="I14" s="625">
        <f>'2'!BZ28</f>
        <v>155156.13381147498</v>
      </c>
      <c r="J14" s="625">
        <f>'2'!CJ28</f>
        <v>194854.03367024631</v>
      </c>
      <c r="K14" s="625">
        <f>'2'!CT28</f>
        <v>213644.51812328844</v>
      </c>
      <c r="L14" s="625">
        <f>'2'!DD28</f>
        <v>181525.95358555019</v>
      </c>
    </row>
    <row r="15" spans="1:12">
      <c r="A15" s="611">
        <f t="shared" si="0"/>
        <v>1991</v>
      </c>
      <c r="B15" s="625">
        <f>'2'!H29</f>
        <v>153309.59474021173</v>
      </c>
      <c r="C15" s="625">
        <f>'2'!R29</f>
        <v>136462.02716313116</v>
      </c>
      <c r="D15" s="625">
        <f>'2'!AB29</f>
        <v>107957.76829054771</v>
      </c>
      <c r="E15" s="625">
        <f>'2'!AL29</f>
        <v>129433.11039658122</v>
      </c>
      <c r="F15" s="625">
        <f>'2'!AV29</f>
        <v>134588.30261174199</v>
      </c>
      <c r="G15" s="625">
        <f>'2'!BF29</f>
        <v>146632.60307307355</v>
      </c>
      <c r="H15" s="625">
        <f>'2'!BP29</f>
        <v>145775.46305456746</v>
      </c>
      <c r="I15" s="625">
        <f>'2'!BZ29</f>
        <v>154367.64991700594</v>
      </c>
      <c r="J15" s="625">
        <f>'2'!CJ29</f>
        <v>186176.84653385892</v>
      </c>
      <c r="K15" s="625">
        <f>'2'!CT29</f>
        <v>192012.0211152462</v>
      </c>
      <c r="L15" s="625">
        <f>'2'!DD29</f>
        <v>176371.03526670526</v>
      </c>
    </row>
    <row r="16" spans="1:12">
      <c r="A16" s="611">
        <f t="shared" si="0"/>
        <v>1992</v>
      </c>
      <c r="B16" s="625">
        <f>'2'!H30</f>
        <v>152305.05049618718</v>
      </c>
      <c r="C16" s="625">
        <f>'2'!R30</f>
        <v>137354.02243966892</v>
      </c>
      <c r="D16" s="625">
        <f>'2'!AB30</f>
        <v>110391.39364737361</v>
      </c>
      <c r="E16" s="625">
        <f>'2'!AL30</f>
        <v>127112.6642954781</v>
      </c>
      <c r="F16" s="625">
        <f>'2'!AV30</f>
        <v>132005.56952557518</v>
      </c>
      <c r="G16" s="625">
        <f>'2'!BF30</f>
        <v>146802.68616047688</v>
      </c>
      <c r="H16" s="625">
        <f>'2'!BP30</f>
        <v>145239.03776453537</v>
      </c>
      <c r="I16" s="625">
        <f>'2'!BZ30</f>
        <v>153773.44946495851</v>
      </c>
      <c r="J16" s="625">
        <f>'2'!CJ30</f>
        <v>186551.60210464904</v>
      </c>
      <c r="K16" s="625">
        <f>'2'!CT30</f>
        <v>191450.42707219615</v>
      </c>
      <c r="L16" s="625">
        <f>'2'!DD30</f>
        <v>170608.88029066741</v>
      </c>
    </row>
    <row r="17" spans="1:12">
      <c r="A17" s="611">
        <f t="shared" si="0"/>
        <v>1993</v>
      </c>
      <c r="B17" s="625">
        <f>'2'!H31</f>
        <v>151868.29020516697</v>
      </c>
      <c r="C17" s="625">
        <f>'2'!R31</f>
        <v>136959.98414744943</v>
      </c>
      <c r="D17" s="625">
        <f>'2'!AB31</f>
        <v>113488.14345734734</v>
      </c>
      <c r="E17" s="625">
        <f>'2'!AL31</f>
        <v>126106.25950752568</v>
      </c>
      <c r="F17" s="625">
        <f>'2'!AV31</f>
        <v>128961.89229780977</v>
      </c>
      <c r="G17" s="625">
        <f>'2'!BF31</f>
        <v>146484.04656609742</v>
      </c>
      <c r="H17" s="625">
        <f>'2'!BP31</f>
        <v>144351.12073355797</v>
      </c>
      <c r="I17" s="625">
        <f>'2'!BZ31</f>
        <v>152459.74111368737</v>
      </c>
      <c r="J17" s="625">
        <f>'2'!CJ31</f>
        <v>182530.99364345186</v>
      </c>
      <c r="K17" s="625">
        <f>'2'!CT31</f>
        <v>194816.47121363797</v>
      </c>
      <c r="L17" s="625">
        <f>'2'!DD31</f>
        <v>169174.20933598731</v>
      </c>
    </row>
    <row r="18" spans="1:12">
      <c r="A18" s="611">
        <f t="shared" si="0"/>
        <v>1994</v>
      </c>
      <c r="B18" s="625">
        <f>'2'!H32</f>
        <v>154071.72929081865</v>
      </c>
      <c r="C18" s="625">
        <f>'2'!R32</f>
        <v>142490.95846775782</v>
      </c>
      <c r="D18" s="625">
        <f>'2'!AB32</f>
        <v>114638.17026561385</v>
      </c>
      <c r="E18" s="625">
        <f>'2'!AL32</f>
        <v>126505.71804877688</v>
      </c>
      <c r="F18" s="625">
        <f>'2'!AV32</f>
        <v>130768.59876402262</v>
      </c>
      <c r="G18" s="625">
        <f>'2'!BF32</f>
        <v>148337.94937302259</v>
      </c>
      <c r="H18" s="625">
        <f>'2'!BP32</f>
        <v>145882.23801369354</v>
      </c>
      <c r="I18" s="625">
        <f>'2'!BZ32</f>
        <v>153957.81557300943</v>
      </c>
      <c r="J18" s="625">
        <f>'2'!CJ32</f>
        <v>191395.77424409092</v>
      </c>
      <c r="K18" s="625">
        <f>'2'!CT32</f>
        <v>197292.86742658648</v>
      </c>
      <c r="L18" s="625">
        <f>'2'!DD32</f>
        <v>172074.74007863124</v>
      </c>
    </row>
    <row r="19" spans="1:12">
      <c r="A19" s="611">
        <f t="shared" si="0"/>
        <v>1995</v>
      </c>
      <c r="B19" s="625">
        <f>'2'!H33</f>
        <v>157366.34675359819</v>
      </c>
      <c r="C19" s="625">
        <f>'2'!R33</f>
        <v>151062.395148515</v>
      </c>
      <c r="D19" s="625">
        <f>'2'!AB33</f>
        <v>117306.4680682184</v>
      </c>
      <c r="E19" s="625">
        <f>'2'!AL33</f>
        <v>130198.35629226951</v>
      </c>
      <c r="F19" s="625">
        <f>'2'!AV33</f>
        <v>139645.75704039179</v>
      </c>
      <c r="G19" s="625">
        <f>'2'!BF33</f>
        <v>153579.41026991687</v>
      </c>
      <c r="H19" s="625">
        <f>'2'!BP33</f>
        <v>148081.08395802131</v>
      </c>
      <c r="I19" s="625">
        <f>'2'!BZ33</f>
        <v>157174.19987310146</v>
      </c>
      <c r="J19" s="625">
        <f>'2'!CJ33</f>
        <v>198685.7679081886</v>
      </c>
      <c r="K19" s="625">
        <f>'2'!CT33</f>
        <v>193763.9657883615</v>
      </c>
      <c r="L19" s="625">
        <f>'2'!DD33</f>
        <v>176407.70142706632</v>
      </c>
    </row>
    <row r="20" spans="1:12">
      <c r="A20" s="611">
        <f t="shared" si="0"/>
        <v>1996</v>
      </c>
      <c r="B20" s="625">
        <f>'2'!H34</f>
        <v>161382.42057522765</v>
      </c>
      <c r="C20" s="625">
        <f>'2'!R34</f>
        <v>155012.95485874236</v>
      </c>
      <c r="D20" s="625">
        <f>'2'!AB34</f>
        <v>119416.47666598012</v>
      </c>
      <c r="E20" s="625">
        <f>'2'!AL34</f>
        <v>131697.29800264037</v>
      </c>
      <c r="F20" s="625">
        <f>'2'!AV34</f>
        <v>145030.32385850887</v>
      </c>
      <c r="G20" s="625">
        <f>'2'!BF34</f>
        <v>157332.93655363374</v>
      </c>
      <c r="H20" s="625">
        <f>'2'!BP34</f>
        <v>150184.80865763238</v>
      </c>
      <c r="I20" s="625">
        <f>'2'!BZ34</f>
        <v>158664.06038638818</v>
      </c>
      <c r="J20" s="625">
        <f>'2'!CJ34</f>
        <v>199303.57051560789</v>
      </c>
      <c r="K20" s="625">
        <f>'2'!CT34</f>
        <v>208537.30658531433</v>
      </c>
      <c r="L20" s="625">
        <f>'2'!DD34</f>
        <v>181452.37970638921</v>
      </c>
    </row>
    <row r="21" spans="1:12">
      <c r="A21" s="611">
        <f t="shared" si="0"/>
        <v>1997</v>
      </c>
      <c r="B21" s="625">
        <f>'2'!H35</f>
        <v>165277.37569584954</v>
      </c>
      <c r="C21" s="625">
        <f>'2'!R35</f>
        <v>160829.74367500751</v>
      </c>
      <c r="D21" s="625">
        <f>'2'!AB35</f>
        <v>122508.70008626227</v>
      </c>
      <c r="E21" s="625">
        <f>'2'!AL35</f>
        <v>134863.32270880172</v>
      </c>
      <c r="F21" s="625">
        <f>'2'!AV35</f>
        <v>149890.24578324519</v>
      </c>
      <c r="G21" s="625">
        <f>'2'!BF35</f>
        <v>162035.79912464949</v>
      </c>
      <c r="H21" s="625">
        <f>'2'!BP35</f>
        <v>153055.45381572741</v>
      </c>
      <c r="I21" s="625">
        <f>'2'!BZ35</f>
        <v>161845.61236729912</v>
      </c>
      <c r="J21" s="625">
        <f>'2'!CJ35</f>
        <v>203142.54845507449</v>
      </c>
      <c r="K21" s="625">
        <f>'2'!CT35</f>
        <v>212237.76701198317</v>
      </c>
      <c r="L21" s="625">
        <f>'2'!DD35</f>
        <v>186477.8442545234</v>
      </c>
    </row>
    <row r="22" spans="1:12">
      <c r="A22" s="611">
        <f t="shared" si="0"/>
        <v>1998</v>
      </c>
      <c r="B22" s="625">
        <f>'2'!H36</f>
        <v>165637.37278434742</v>
      </c>
      <c r="C22" s="625">
        <f>'2'!R36</f>
        <v>167327.04562407854</v>
      </c>
      <c r="D22" s="625">
        <f>'2'!AB36</f>
        <v>123919.99837207166</v>
      </c>
      <c r="E22" s="625">
        <f>'2'!AL36</f>
        <v>137081.28043726709</v>
      </c>
      <c r="F22" s="625">
        <f>'2'!AV36</f>
        <v>152793.96221312971</v>
      </c>
      <c r="G22" s="625">
        <f>'2'!BF36</f>
        <v>163826.70956331183</v>
      </c>
      <c r="H22" s="625">
        <f>'2'!BP36</f>
        <v>153683.74342610021</v>
      </c>
      <c r="I22" s="625">
        <f>'2'!BZ36</f>
        <v>162692.40312012366</v>
      </c>
      <c r="J22" s="625">
        <f>'2'!CJ36</f>
        <v>199018.5809128145</v>
      </c>
      <c r="K22" s="625">
        <f>'2'!CT36</f>
        <v>200689.2254664044</v>
      </c>
      <c r="L22" s="625">
        <f>'2'!DD36</f>
        <v>189347.97722261021</v>
      </c>
    </row>
    <row r="23" spans="1:12">
      <c r="A23" s="611">
        <f t="shared" si="0"/>
        <v>1999</v>
      </c>
      <c r="B23" s="625">
        <f>'2'!H37</f>
        <v>172324.19109523352</v>
      </c>
      <c r="C23" s="625">
        <f>'2'!R37</f>
        <v>184397.20334112292</v>
      </c>
      <c r="D23" s="625">
        <f>'2'!AB37</f>
        <v>127039.83115724237</v>
      </c>
      <c r="E23" s="625">
        <f>'2'!AL37</f>
        <v>139547.11634474935</v>
      </c>
      <c r="F23" s="625">
        <f>'2'!AV37</f>
        <v>157524.89114741076</v>
      </c>
      <c r="G23" s="625">
        <f>'2'!BF37</f>
        <v>167471.31352397666</v>
      </c>
      <c r="H23" s="625">
        <f>'2'!BP37</f>
        <v>157864.98581323319</v>
      </c>
      <c r="I23" s="625">
        <f>'2'!BZ37</f>
        <v>166137.47693598899</v>
      </c>
      <c r="J23" s="625">
        <f>'2'!CJ37</f>
        <v>212319.91861865102</v>
      </c>
      <c r="K23" s="625">
        <f>'2'!CT37</f>
        <v>229692.40750015821</v>
      </c>
      <c r="L23" s="625">
        <f>'2'!DD37</f>
        <v>193762.82114655426</v>
      </c>
    </row>
    <row r="24" spans="1:12">
      <c r="A24" s="611">
        <f t="shared" si="0"/>
        <v>2000</v>
      </c>
      <c r="B24" s="625">
        <f>'2'!H38</f>
        <v>182466.96772506181</v>
      </c>
      <c r="C24" s="625">
        <f>'2'!R38</f>
        <v>213141.67358852545</v>
      </c>
      <c r="D24" s="625">
        <f>'2'!AB38</f>
        <v>129899.62398368622</v>
      </c>
      <c r="E24" s="625">
        <f>'2'!AL38</f>
        <v>151017.02205594955</v>
      </c>
      <c r="F24" s="625">
        <f>'2'!AV38</f>
        <v>160879.43894358526</v>
      </c>
      <c r="G24" s="625">
        <f>'2'!BF38</f>
        <v>170356.62856017367</v>
      </c>
      <c r="H24" s="625">
        <f>'2'!BP38</f>
        <v>161645.47116771698</v>
      </c>
      <c r="I24" s="625">
        <f>'2'!BZ38</f>
        <v>170025.45849568327</v>
      </c>
      <c r="J24" s="625">
        <f>'2'!CJ38</f>
        <v>232432.5760391634</v>
      </c>
      <c r="K24" s="625">
        <f>'2'!CT38</f>
        <v>274538.88204753422</v>
      </c>
      <c r="L24" s="625">
        <f>'2'!DD38</f>
        <v>202574.73861802203</v>
      </c>
    </row>
    <row r="25" spans="1:12">
      <c r="A25" s="611">
        <f t="shared" si="0"/>
        <v>2001</v>
      </c>
      <c r="B25" s="625">
        <f>'2'!H39</f>
        <v>182373.66509364967</v>
      </c>
      <c r="C25" s="625">
        <f>'2'!R39</f>
        <v>208433.99359796444</v>
      </c>
      <c r="D25" s="625">
        <f>'2'!AB39</f>
        <v>134038.05349816484</v>
      </c>
      <c r="E25" s="625">
        <f>'2'!AL39</f>
        <v>151503.65562843214</v>
      </c>
      <c r="F25" s="625">
        <f>'2'!AV39</f>
        <v>162513.11113333504</v>
      </c>
      <c r="G25" s="625">
        <f>'2'!BF39</f>
        <v>172245.84903467781</v>
      </c>
      <c r="H25" s="625">
        <f>'2'!BP39</f>
        <v>162727.57034507053</v>
      </c>
      <c r="I25" s="625">
        <f>'2'!BZ39</f>
        <v>170187.16603690392</v>
      </c>
      <c r="J25" s="625">
        <f>'2'!CJ39</f>
        <v>224479.60734140224</v>
      </c>
      <c r="K25" s="625">
        <f>'2'!CT39</f>
        <v>263533.46294126485</v>
      </c>
      <c r="L25" s="625">
        <f>'2'!DD39</f>
        <v>204632.64328728858</v>
      </c>
    </row>
    <row r="26" spans="1:12">
      <c r="A26" s="611">
        <f t="shared" si="0"/>
        <v>2002</v>
      </c>
      <c r="B26" s="625">
        <f>'2'!H40</f>
        <v>183010.68958822326</v>
      </c>
      <c r="C26" s="625">
        <f>'2'!R40</f>
        <v>212863.39780105508</v>
      </c>
      <c r="D26" s="625">
        <f>'2'!AB40</f>
        <v>136694.23028277286</v>
      </c>
      <c r="E26" s="625">
        <f>'2'!AL40</f>
        <v>150524.27861702786</v>
      </c>
      <c r="F26" s="625">
        <f>'2'!AV40</f>
        <v>164442.45480095551</v>
      </c>
      <c r="G26" s="625">
        <f>'2'!BF40</f>
        <v>173797.22586393036</v>
      </c>
      <c r="H26" s="625">
        <f>'2'!BP40</f>
        <v>163756.0175185691</v>
      </c>
      <c r="I26" s="625">
        <f>'2'!BZ40</f>
        <v>170982.50654509227</v>
      </c>
      <c r="J26" s="625">
        <f>'2'!CJ40</f>
        <v>225362.47998183378</v>
      </c>
      <c r="K26" s="625">
        <f>'2'!CT40</f>
        <v>264838.69553048996</v>
      </c>
      <c r="L26" s="625">
        <f>'2'!DD40</f>
        <v>203427.80006394084</v>
      </c>
    </row>
    <row r="27" spans="1:12">
      <c r="A27" s="611">
        <f t="shared" si="0"/>
        <v>2003</v>
      </c>
      <c r="B27" s="625">
        <f>'2'!H41</f>
        <v>187267.65627507374</v>
      </c>
      <c r="C27" s="625">
        <f>'2'!R41</f>
        <v>212775.32027942603</v>
      </c>
      <c r="D27" s="625">
        <f>'2'!AB41</f>
        <v>139298.93815701394</v>
      </c>
      <c r="E27" s="625">
        <f>'2'!AL41</f>
        <v>150938.19315730702</v>
      </c>
      <c r="F27" s="625">
        <f>'2'!AV41</f>
        <v>165899.74926608807</v>
      </c>
      <c r="G27" s="625">
        <f>'2'!BF41</f>
        <v>176025.28047917414</v>
      </c>
      <c r="H27" s="625">
        <f>'2'!BP41</f>
        <v>165836.72938090592</v>
      </c>
      <c r="I27" s="625">
        <f>'2'!BZ41</f>
        <v>172599.41051677539</v>
      </c>
      <c r="J27" s="625">
        <f>'2'!CJ41</f>
        <v>234909.85808665326</v>
      </c>
      <c r="K27" s="625">
        <f>'2'!CT41</f>
        <v>279188.23730072088</v>
      </c>
      <c r="L27" s="625">
        <f>'2'!DD41</f>
        <v>209185.40792255572</v>
      </c>
    </row>
    <row r="28" spans="1:12">
      <c r="A28" s="611">
        <f t="shared" si="0"/>
        <v>2004</v>
      </c>
      <c r="B28" s="625">
        <f>'2'!H42</f>
        <v>193010.58579130122</v>
      </c>
      <c r="C28" s="625">
        <f>'2'!R42</f>
        <v>230348.58398555793</v>
      </c>
      <c r="D28" s="625">
        <f>'2'!AB42</f>
        <v>142856.49113580477</v>
      </c>
      <c r="E28" s="625">
        <f>'2'!AL42</f>
        <v>153864.22999342612</v>
      </c>
      <c r="F28" s="625">
        <f>'2'!AV42</f>
        <v>171303.75130006144</v>
      </c>
      <c r="G28" s="625">
        <f>'2'!BF42</f>
        <v>180260.89452365946</v>
      </c>
      <c r="H28" s="625">
        <f>'2'!BP42</f>
        <v>169562.61210110001</v>
      </c>
      <c r="I28" s="625">
        <f>'2'!BZ42</f>
        <v>176362.565756975</v>
      </c>
      <c r="J28" s="625">
        <f>'2'!CJ42</f>
        <v>245152.5033651611</v>
      </c>
      <c r="K28" s="625">
        <f>'2'!CT42</f>
        <v>289132.44286036631</v>
      </c>
      <c r="L28" s="625">
        <f>'2'!DD42</f>
        <v>213466.45362241348</v>
      </c>
    </row>
    <row r="29" spans="1:12">
      <c r="A29" s="611">
        <f t="shared" si="0"/>
        <v>2005</v>
      </c>
      <c r="B29" s="625">
        <f>'2'!H43</f>
        <v>202193.77673075831</v>
      </c>
      <c r="C29" s="625">
        <f>'2'!R43</f>
        <v>296158.78210857429</v>
      </c>
      <c r="D29" s="625">
        <f>'2'!AB43</f>
        <v>145894.92405621827</v>
      </c>
      <c r="E29" s="625">
        <f>'2'!AL43</f>
        <v>156495.74552693311</v>
      </c>
      <c r="F29" s="625">
        <f>'2'!AV43</f>
        <v>173098.49368401145</v>
      </c>
      <c r="G29" s="625">
        <f>'2'!BF43</f>
        <v>183526.45178738137</v>
      </c>
      <c r="H29" s="625">
        <f>'2'!BP43</f>
        <v>173220.13563229147</v>
      </c>
      <c r="I29" s="625">
        <f>'2'!BZ43</f>
        <v>180262.16527034665</v>
      </c>
      <c r="J29" s="625">
        <f>'2'!CJ43</f>
        <v>263942.9641725382</v>
      </c>
      <c r="K29" s="625">
        <f>'2'!CT43</f>
        <v>309997.40052133449</v>
      </c>
      <c r="L29" s="625">
        <f>'2'!DD43</f>
        <v>221002.66903778171</v>
      </c>
    </row>
    <row r="30" spans="1:12">
      <c r="A30" s="611">
        <f t="shared" si="0"/>
        <v>2006</v>
      </c>
      <c r="B30" s="625">
        <f>'2'!H44</f>
        <v>209518.0323058216</v>
      </c>
      <c r="C30" s="625">
        <f>'2'!R44</f>
        <v>293525.28947558335</v>
      </c>
      <c r="D30" s="625">
        <f>'2'!AB44</f>
        <v>150891.8395332036</v>
      </c>
      <c r="E30" s="625">
        <f>'2'!AL44</f>
        <v>161513.397460949</v>
      </c>
      <c r="F30" s="625">
        <f>'2'!AV44</f>
        <v>179593.00684917343</v>
      </c>
      <c r="G30" s="625">
        <f>'2'!BF44</f>
        <v>188077.85355324144</v>
      </c>
      <c r="H30" s="625">
        <f>'2'!BP44</f>
        <v>179025.08492069141</v>
      </c>
      <c r="I30" s="625">
        <f>'2'!BZ44</f>
        <v>186586.80782727984</v>
      </c>
      <c r="J30" s="625">
        <f>'2'!CJ44</f>
        <v>273585.22222379281</v>
      </c>
      <c r="K30" s="625">
        <f>'2'!CT44</f>
        <v>331388.78942960751</v>
      </c>
      <c r="L30" s="625">
        <f>'2'!DD44</f>
        <v>222542.49743928816</v>
      </c>
    </row>
    <row r="31" spans="1:12">
      <c r="A31" s="611">
        <f t="shared" si="0"/>
        <v>2007</v>
      </c>
      <c r="B31" s="625">
        <f>'2'!H45</f>
        <v>210151.28319565061</v>
      </c>
      <c r="C31" s="625">
        <f>'2'!R45</f>
        <v>314208.7240430871</v>
      </c>
      <c r="D31" s="625">
        <f>'2'!AB45</f>
        <v>152453.67374514599</v>
      </c>
      <c r="E31" s="625">
        <f>'2'!AL45</f>
        <v>164068.89071560185</v>
      </c>
      <c r="F31" s="625">
        <f>'2'!AV45</f>
        <v>182727.75918982967</v>
      </c>
      <c r="G31" s="625">
        <f>'2'!BF45</f>
        <v>190214.99443952998</v>
      </c>
      <c r="H31" s="625">
        <f>'2'!BP45</f>
        <v>181362.38995461137</v>
      </c>
      <c r="I31" s="625">
        <f>'2'!BZ45</f>
        <v>189042.61626472324</v>
      </c>
      <c r="J31" s="625">
        <f>'2'!CJ45</f>
        <v>277309.69263825979</v>
      </c>
      <c r="K31" s="625">
        <f>'2'!CT45</f>
        <v>315253.83803276985</v>
      </c>
      <c r="L31" s="625">
        <f>'2'!DD45</f>
        <v>223053.55608714503</v>
      </c>
    </row>
    <row r="32" spans="1:12">
      <c r="A32" s="611">
        <f t="shared" si="0"/>
        <v>2008</v>
      </c>
      <c r="B32" s="625">
        <f>'2'!H46</f>
        <v>228491.31403774826</v>
      </c>
      <c r="C32" s="625">
        <f>'2'!R46</f>
        <v>338711.26558801049</v>
      </c>
      <c r="D32" s="625">
        <f>'2'!AB46</f>
        <v>156138.88661858608</v>
      </c>
      <c r="E32" s="625">
        <f>'2'!AL46</f>
        <v>168051.50810864262</v>
      </c>
      <c r="F32" s="625">
        <f>'2'!AV46</f>
        <v>189647.42501738353</v>
      </c>
      <c r="G32" s="625">
        <f>'2'!BF46</f>
        <v>194808.40889131292</v>
      </c>
      <c r="H32" s="625">
        <f>'2'!BP46</f>
        <v>186988.03902508348</v>
      </c>
      <c r="I32" s="625">
        <f>'2'!BZ46</f>
        <v>196541.98599543932</v>
      </c>
      <c r="J32" s="625">
        <f>'2'!CJ46</f>
        <v>298185.09434490575</v>
      </c>
      <c r="K32" s="625">
        <f>'2'!CT46</f>
        <v>384531.48325448629</v>
      </c>
      <c r="L32" s="625">
        <f>'2'!DD46</f>
        <v>234037.96824189121</v>
      </c>
    </row>
    <row r="33" spans="1:12">
      <c r="A33" s="611">
        <f t="shared" si="0"/>
        <v>2009</v>
      </c>
      <c r="B33" s="625">
        <f>'2'!H47</f>
        <v>209972.9164685276</v>
      </c>
      <c r="C33" s="625">
        <f>'2'!R47</f>
        <v>347443.9494345875</v>
      </c>
      <c r="D33" s="625">
        <f>'2'!AB47</f>
        <v>155779.57013441683</v>
      </c>
      <c r="E33" s="625">
        <f>'2'!AL47</f>
        <v>162781.30014488212</v>
      </c>
      <c r="F33" s="625">
        <f>'2'!AV47</f>
        <v>180328.61304319429</v>
      </c>
      <c r="G33" s="625">
        <f>'2'!BF47</f>
        <v>189594.47941355742</v>
      </c>
      <c r="H33" s="625">
        <f>'2'!BP47</f>
        <v>180717.34840003063</v>
      </c>
      <c r="I33" s="625">
        <f>'2'!BZ47</f>
        <v>189740.41519336918</v>
      </c>
      <c r="J33" s="625">
        <f>'2'!CJ47</f>
        <v>285480.7470673545</v>
      </c>
      <c r="K33" s="625">
        <f>'2'!CT47</f>
        <v>359980.56109082582</v>
      </c>
      <c r="L33" s="625">
        <f>'2'!DD47</f>
        <v>226065.77879442408</v>
      </c>
    </row>
    <row r="34" spans="1:12">
      <c r="A34" s="611">
        <f t="shared" si="0"/>
        <v>2010</v>
      </c>
      <c r="B34" s="625">
        <f>'2'!H48</f>
        <v>213055.55743049577</v>
      </c>
      <c r="C34" s="625">
        <f>'2'!R48</f>
        <v>343899.60279608611</v>
      </c>
      <c r="D34" s="625">
        <f>'2'!AB48</f>
        <v>159140.4680745799</v>
      </c>
      <c r="E34" s="625">
        <f>'2'!AL48</f>
        <v>165205.43130337159</v>
      </c>
      <c r="F34" s="625">
        <f>'2'!AV48</f>
        <v>180959.09757343831</v>
      </c>
      <c r="G34" s="625">
        <f>'2'!BF48</f>
        <v>191216.93933014714</v>
      </c>
      <c r="H34" s="625">
        <f>'2'!BP48</f>
        <v>182404.0521243166</v>
      </c>
      <c r="I34" s="625">
        <f>'2'!BZ48</f>
        <v>191545.59621856309</v>
      </c>
      <c r="J34" s="625">
        <f>'2'!CJ48</f>
        <v>283254.15366399341</v>
      </c>
      <c r="K34" s="625">
        <f>'2'!CT48</f>
        <v>353815.09962351382</v>
      </c>
      <c r="L34" s="625">
        <f>'2'!DD48</f>
        <v>226514.92525456948</v>
      </c>
    </row>
    <row r="35" spans="1:12">
      <c r="A35" s="611" t="s">
        <v>1499</v>
      </c>
      <c r="B35" s="611"/>
      <c r="C35" s="611"/>
      <c r="D35" s="611"/>
      <c r="E35" s="611"/>
      <c r="F35" s="611"/>
      <c r="G35" s="611"/>
      <c r="H35" s="611"/>
      <c r="I35" s="611"/>
      <c r="J35" s="611"/>
      <c r="K35" s="611"/>
      <c r="L35" s="611"/>
    </row>
    <row r="36" spans="1:12">
      <c r="A36" s="611" t="s">
        <v>1498</v>
      </c>
      <c r="B36" s="626">
        <f>B34-B5</f>
        <v>65313.441911424627</v>
      </c>
      <c r="C36" s="626">
        <f t="shared" ref="C36:L36" si="1">C34-C5</f>
        <v>224133.65218444463</v>
      </c>
      <c r="D36" s="626">
        <f t="shared" si="1"/>
        <v>71790.304141760498</v>
      </c>
      <c r="E36" s="626">
        <f t="shared" si="1"/>
        <v>57936.371987652659</v>
      </c>
      <c r="F36" s="626">
        <f t="shared" si="1"/>
        <v>67052.197131612149</v>
      </c>
      <c r="G36" s="626">
        <f t="shared" si="1"/>
        <v>62347.421102469278</v>
      </c>
      <c r="H36" s="626">
        <f t="shared" si="1"/>
        <v>54702.710215743034</v>
      </c>
      <c r="I36" s="626">
        <f t="shared" si="1"/>
        <v>47478.347071684548</v>
      </c>
      <c r="J36" s="626">
        <f t="shared" si="1"/>
        <v>103044.51473732363</v>
      </c>
      <c r="K36" s="626">
        <f t="shared" si="1"/>
        <v>89558.139181027655</v>
      </c>
      <c r="L36" s="626">
        <f t="shared" si="1"/>
        <v>57996.488809428032</v>
      </c>
    </row>
    <row r="37" spans="1:12">
      <c r="A37" s="611" t="s">
        <v>1472</v>
      </c>
      <c r="B37" s="626">
        <f>B13-B5</f>
        <v>2945.9279295487213</v>
      </c>
      <c r="C37" s="626">
        <f t="shared" ref="C37:L37" si="2">C13-C5</f>
        <v>15056.560594177718</v>
      </c>
      <c r="D37" s="626">
        <f t="shared" si="2"/>
        <v>11653.798589792656</v>
      </c>
      <c r="E37" s="626">
        <f t="shared" si="2"/>
        <v>16769.192316806628</v>
      </c>
      <c r="F37" s="626">
        <f t="shared" si="2"/>
        <v>16395.725770593577</v>
      </c>
      <c r="G37" s="626">
        <f t="shared" si="2"/>
        <v>13632.69755162402</v>
      </c>
      <c r="H37" s="626">
        <f t="shared" si="2"/>
        <v>14050.114604391114</v>
      </c>
      <c r="I37" s="626">
        <f t="shared" si="2"/>
        <v>6724.1604729176324</v>
      </c>
      <c r="J37" s="626">
        <f t="shared" si="2"/>
        <v>12652.378622361459</v>
      </c>
      <c r="K37" s="626">
        <f t="shared" si="2"/>
        <v>-62000.169448160159</v>
      </c>
      <c r="L37" s="626">
        <f t="shared" si="2"/>
        <v>6793.9407661288569</v>
      </c>
    </row>
    <row r="38" spans="1:12">
      <c r="A38" s="611" t="s">
        <v>1473</v>
      </c>
      <c r="B38" s="626">
        <f>B24-B13</f>
        <v>31778.924276441947</v>
      </c>
      <c r="C38" s="626">
        <f t="shared" ref="C38:L38" si="3">C24-C13</f>
        <v>78319.162382706243</v>
      </c>
      <c r="D38" s="626">
        <f t="shared" si="3"/>
        <v>30895.661461074167</v>
      </c>
      <c r="E38" s="626">
        <f t="shared" si="3"/>
        <v>26978.770423423994</v>
      </c>
      <c r="F38" s="626">
        <f t="shared" si="3"/>
        <v>30576.812731165526</v>
      </c>
      <c r="G38" s="626">
        <f t="shared" si="3"/>
        <v>27854.412780871789</v>
      </c>
      <c r="H38" s="626">
        <f t="shared" si="3"/>
        <v>19894.014654752304</v>
      </c>
      <c r="I38" s="626">
        <f t="shared" si="3"/>
        <v>19234.048875887092</v>
      </c>
      <c r="J38" s="626">
        <f t="shared" si="3"/>
        <v>39570.558490132156</v>
      </c>
      <c r="K38" s="626">
        <f t="shared" si="3"/>
        <v>72282.09105320822</v>
      </c>
      <c r="L38" s="626">
        <f t="shared" si="3"/>
        <v>27262.361406751734</v>
      </c>
    </row>
    <row r="39" spans="1:12">
      <c r="A39" s="611" t="s">
        <v>1474</v>
      </c>
      <c r="B39" s="626">
        <f>B32-B24</f>
        <v>46024.346312686452</v>
      </c>
      <c r="C39" s="626">
        <f t="shared" ref="C39:L39" si="4">C32-C24</f>
        <v>125569.59199948504</v>
      </c>
      <c r="D39" s="626">
        <f t="shared" si="4"/>
        <v>26239.26263489986</v>
      </c>
      <c r="E39" s="626">
        <f t="shared" si="4"/>
        <v>17034.486052693072</v>
      </c>
      <c r="F39" s="626">
        <f t="shared" si="4"/>
        <v>28767.986073798267</v>
      </c>
      <c r="G39" s="626">
        <f t="shared" si="4"/>
        <v>24451.780331139249</v>
      </c>
      <c r="H39" s="626">
        <f t="shared" si="4"/>
        <v>25342.567857366492</v>
      </c>
      <c r="I39" s="626">
        <f t="shared" si="4"/>
        <v>26516.527499756048</v>
      </c>
      <c r="J39" s="626">
        <f t="shared" si="4"/>
        <v>65752.518305742356</v>
      </c>
      <c r="K39" s="626">
        <f t="shared" si="4"/>
        <v>109992.60120695207</v>
      </c>
      <c r="L39" s="626">
        <f t="shared" si="4"/>
        <v>31463.229623869178</v>
      </c>
    </row>
    <row r="40" spans="1:12">
      <c r="A40" s="611" t="s">
        <v>1500</v>
      </c>
      <c r="B40" s="611"/>
      <c r="C40" s="611"/>
      <c r="D40" s="611"/>
      <c r="E40" s="611"/>
      <c r="F40" s="611"/>
      <c r="G40" s="611"/>
      <c r="H40" s="611"/>
      <c r="I40" s="611"/>
      <c r="J40" s="611"/>
      <c r="K40" s="611"/>
      <c r="L40" s="611"/>
    </row>
    <row r="41" spans="1:12">
      <c r="A41" s="611" t="s">
        <v>1498</v>
      </c>
      <c r="B41" s="616">
        <f>100*(B34-B5)/B5</f>
        <v>44.207734322711588</v>
      </c>
      <c r="C41" s="616">
        <f t="shared" ref="C41:L41" si="5">100*(C34-C5)/C5</f>
        <v>187.14304945587631</v>
      </c>
      <c r="D41" s="616">
        <f t="shared" si="5"/>
        <v>82.186799554233332</v>
      </c>
      <c r="E41" s="616">
        <f t="shared" si="5"/>
        <v>54.010329126809836</v>
      </c>
      <c r="F41" s="616">
        <f t="shared" si="5"/>
        <v>58.865790282702534</v>
      </c>
      <c r="G41" s="616">
        <f t="shared" si="5"/>
        <v>48.380270183301306</v>
      </c>
      <c r="H41" s="616">
        <f t="shared" si="5"/>
        <v>42.836441182354108</v>
      </c>
      <c r="I41" s="616">
        <f t="shared" si="5"/>
        <v>32.955683788533861</v>
      </c>
      <c r="J41" s="616">
        <f>100*(J34-J5)/J5</f>
        <v>57.180356917120349</v>
      </c>
      <c r="K41" s="616">
        <f t="shared" si="5"/>
        <v>33.890550709077502</v>
      </c>
      <c r="L41" s="616">
        <f t="shared" si="5"/>
        <v>34.415515615294638</v>
      </c>
    </row>
    <row r="42" spans="1:12">
      <c r="A42" s="611" t="s">
        <v>1472</v>
      </c>
      <c r="B42" s="616">
        <f>100*(B13-B5)/B5</f>
        <v>1.993966256133952</v>
      </c>
      <c r="C42" s="616">
        <f t="shared" ref="C42:L42" si="6">100*(C13-C5)/C5</f>
        <v>12.571653727360962</v>
      </c>
      <c r="D42" s="616">
        <f t="shared" si="6"/>
        <v>13.341473060949879</v>
      </c>
      <c r="E42" s="616">
        <f t="shared" si="6"/>
        <v>15.632832453066282</v>
      </c>
      <c r="F42" s="616">
        <f t="shared" si="6"/>
        <v>14.393970608450628</v>
      </c>
      <c r="G42" s="616">
        <f t="shared" si="6"/>
        <v>10.578682794125685</v>
      </c>
      <c r="H42" s="616">
        <f t="shared" si="6"/>
        <v>11.002323385489673</v>
      </c>
      <c r="I42" s="616">
        <f t="shared" si="6"/>
        <v>4.6673761821205169</v>
      </c>
      <c r="J42" s="616">
        <f t="shared" si="6"/>
        <v>7.0209222424056446</v>
      </c>
      <c r="K42" s="616">
        <f t="shared" si="6"/>
        <v>-23.462076209589227</v>
      </c>
      <c r="L42" s="616">
        <f t="shared" si="6"/>
        <v>4.0315712093261196</v>
      </c>
    </row>
    <row r="43" spans="1:12">
      <c r="A43" s="611" t="s">
        <v>1473</v>
      </c>
      <c r="B43" s="616">
        <f>100*(B24-B13)/B13</f>
        <v>21.089214213122101</v>
      </c>
      <c r="C43" s="616">
        <f t="shared" ref="C43:L43" si="7">100*(C24-C13)/C13</f>
        <v>58.090567874933512</v>
      </c>
      <c r="D43" s="616">
        <f t="shared" si="7"/>
        <v>31.206489794807695</v>
      </c>
      <c r="E43" s="616">
        <f t="shared" si="7"/>
        <v>21.750363350292151</v>
      </c>
      <c r="F43" s="616">
        <f t="shared" si="7"/>
        <v>23.465998821327755</v>
      </c>
      <c r="G43" s="616">
        <f t="shared" si="7"/>
        <v>19.54665240013593</v>
      </c>
      <c r="H43" s="616">
        <f t="shared" si="7"/>
        <v>14.034434032734461</v>
      </c>
      <c r="I43" s="616">
        <f t="shared" si="7"/>
        <v>12.755400937217587</v>
      </c>
      <c r="J43" s="616">
        <f t="shared" si="7"/>
        <v>20.517548759994771</v>
      </c>
      <c r="K43" s="616">
        <f t="shared" si="7"/>
        <v>35.737782003688558</v>
      </c>
      <c r="L43" s="616">
        <f t="shared" si="7"/>
        <v>15.550733975786347</v>
      </c>
    </row>
    <row r="44" spans="1:12">
      <c r="A44" s="611" t="s">
        <v>1474</v>
      </c>
      <c r="B44" s="616">
        <f>100*(B32-B24)/B24</f>
        <v>25.223385298995687</v>
      </c>
      <c r="C44" s="616">
        <f t="shared" ref="C44:L44" si="8">100*(C32-C24)/C24</f>
        <v>58.913674592749906</v>
      </c>
      <c r="D44" s="616">
        <f t="shared" si="8"/>
        <v>20.199644795119024</v>
      </c>
      <c r="E44" s="616">
        <f t="shared" si="8"/>
        <v>11.279845027259277</v>
      </c>
      <c r="F44" s="616">
        <f t="shared" si="8"/>
        <v>17.881704624719745</v>
      </c>
      <c r="G44" s="616">
        <f t="shared" si="8"/>
        <v>14.353289647606724</v>
      </c>
      <c r="H44" s="616">
        <f t="shared" si="8"/>
        <v>15.677870635219987</v>
      </c>
      <c r="I44" s="616">
        <f t="shared" si="8"/>
        <v>15.595621817087627</v>
      </c>
      <c r="J44" s="616">
        <f t="shared" si="8"/>
        <v>28.288856676726535</v>
      </c>
      <c r="K44" s="616">
        <f t="shared" si="8"/>
        <v>40.064489367268472</v>
      </c>
      <c r="L44" s="616">
        <f t="shared" si="8"/>
        <v>15.531664924517916</v>
      </c>
    </row>
    <row r="45" spans="1:12">
      <c r="A45" s="611" t="s">
        <v>1501</v>
      </c>
      <c r="B45" s="611"/>
      <c r="C45" s="611"/>
      <c r="D45" s="611"/>
      <c r="E45" s="611"/>
      <c r="F45" s="611"/>
      <c r="G45" s="611"/>
      <c r="H45" s="611"/>
      <c r="I45" s="611"/>
      <c r="J45" s="611"/>
      <c r="K45" s="611"/>
      <c r="L45" s="611"/>
    </row>
    <row r="46" spans="1:12">
      <c r="A46" s="611" t="s">
        <v>1498</v>
      </c>
      <c r="B46" s="617">
        <f>100*(POWER(B34/B5, 1/29)-1)</f>
        <v>1.2703623523113938</v>
      </c>
      <c r="C46" s="617">
        <f t="shared" ref="C46:L46" si="9">100*(POWER(C34/C5, 1/29)-1)</f>
        <v>3.7042352931155653</v>
      </c>
      <c r="D46" s="617">
        <f t="shared" si="9"/>
        <v>2.090032391806429</v>
      </c>
      <c r="E46" s="617">
        <f t="shared" si="9"/>
        <v>1.500279034766927</v>
      </c>
      <c r="F46" s="617">
        <f t="shared" si="9"/>
        <v>1.6089778006131761</v>
      </c>
      <c r="G46" s="617">
        <f t="shared" si="9"/>
        <v>1.3700177812745906</v>
      </c>
      <c r="H46" s="617">
        <f t="shared" si="9"/>
        <v>1.2370022258304081</v>
      </c>
      <c r="I46" s="617">
        <f t="shared" si="9"/>
        <v>0.9870661669784786</v>
      </c>
      <c r="J46" s="617">
        <f t="shared" si="9"/>
        <v>1.5716141396775685</v>
      </c>
      <c r="K46" s="617">
        <f t="shared" si="9"/>
        <v>1.0114690260066173</v>
      </c>
      <c r="L46" s="617">
        <f t="shared" si="9"/>
        <v>1.0251001704725926</v>
      </c>
    </row>
    <row r="47" spans="1:12">
      <c r="A47" s="611" t="s">
        <v>1472</v>
      </c>
      <c r="B47" s="617">
        <f>100*(POWER(B13/B5, 1/8)-1)</f>
        <v>0.24709817550101487</v>
      </c>
      <c r="C47" s="617">
        <f t="shared" ref="C47:L47" si="10">100*(POWER(C13/C5, 1/8)-1)</f>
        <v>1.4912568491278311</v>
      </c>
      <c r="D47" s="617">
        <f t="shared" si="10"/>
        <v>1.5777541725569444</v>
      </c>
      <c r="E47" s="617">
        <f t="shared" si="10"/>
        <v>1.8322044666990944</v>
      </c>
      <c r="F47" s="617">
        <f t="shared" si="10"/>
        <v>1.6951852617911767</v>
      </c>
      <c r="G47" s="617">
        <f t="shared" si="10"/>
        <v>1.264897287832234</v>
      </c>
      <c r="H47" s="617">
        <f t="shared" si="10"/>
        <v>1.3133109900975937</v>
      </c>
      <c r="I47" s="617">
        <f t="shared" si="10"/>
        <v>0.57184495211048958</v>
      </c>
      <c r="J47" s="617">
        <f t="shared" si="10"/>
        <v>0.85178426706975507</v>
      </c>
      <c r="K47" s="617">
        <f t="shared" si="10"/>
        <v>-3.287060238431605</v>
      </c>
      <c r="L47" s="617">
        <f t="shared" si="10"/>
        <v>0.4952754090464806</v>
      </c>
    </row>
    <row r="48" spans="1:12">
      <c r="A48" s="611" t="s">
        <v>1473</v>
      </c>
      <c r="B48" s="617">
        <f>100*(POWER(B24/B13, 1/11)-1)</f>
        <v>1.7548320723524968</v>
      </c>
      <c r="C48" s="617">
        <f t="shared" ref="C48:L48" si="11">100*(POWER(C24/C13, 1/11)-1)</f>
        <v>4.2515114048389924</v>
      </c>
      <c r="D48" s="617">
        <f t="shared" si="11"/>
        <v>2.4998454646302237</v>
      </c>
      <c r="E48" s="617">
        <f t="shared" si="11"/>
        <v>1.805214708578684</v>
      </c>
      <c r="F48" s="617">
        <f t="shared" si="11"/>
        <v>1.9348031462423032</v>
      </c>
      <c r="G48" s="617">
        <f t="shared" si="11"/>
        <v>1.6363023001115584</v>
      </c>
      <c r="H48" s="617">
        <f t="shared" si="11"/>
        <v>1.2010671154506269</v>
      </c>
      <c r="I48" s="617">
        <f t="shared" si="11"/>
        <v>1.0973471037865057</v>
      </c>
      <c r="J48" s="617">
        <f t="shared" si="11"/>
        <v>1.7110665002084025</v>
      </c>
      <c r="K48" s="617">
        <f t="shared" si="11"/>
        <v>2.8167103555844175</v>
      </c>
      <c r="L48" s="617">
        <f t="shared" si="11"/>
        <v>1.3226663365736746</v>
      </c>
    </row>
    <row r="49" spans="1:12">
      <c r="A49" s="611" t="s">
        <v>1474</v>
      </c>
      <c r="B49" s="617">
        <f>100*(POWER(B32/B24, 1/8)-1)</f>
        <v>2.8515118789511851</v>
      </c>
      <c r="C49" s="617">
        <f t="shared" ref="C49:L49" si="12">100*(POWER(C32/C24, 1/8)-1)</f>
        <v>5.9607829728296258</v>
      </c>
      <c r="D49" s="617">
        <f t="shared" si="12"/>
        <v>2.326447779425167</v>
      </c>
      <c r="E49" s="617">
        <f t="shared" si="12"/>
        <v>1.3449386276854991</v>
      </c>
      <c r="F49" s="617">
        <f t="shared" si="12"/>
        <v>2.0776823456900129</v>
      </c>
      <c r="G49" s="617">
        <f t="shared" si="12"/>
        <v>1.6906639334024032</v>
      </c>
      <c r="H49" s="617">
        <f t="shared" si="12"/>
        <v>1.8371614887881416</v>
      </c>
      <c r="I49" s="617">
        <f t="shared" si="12"/>
        <v>1.8281076905111826</v>
      </c>
      <c r="J49" s="617">
        <f t="shared" si="12"/>
        <v>3.1629177672672038</v>
      </c>
      <c r="K49" s="617">
        <f t="shared" si="12"/>
        <v>4.3016083281587125</v>
      </c>
      <c r="L49" s="617">
        <f t="shared" si="12"/>
        <v>1.8210635371157746</v>
      </c>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dimension ref="A1:L49"/>
  <sheetViews>
    <sheetView workbookViewId="0">
      <selection activeCell="E9" sqref="E9"/>
    </sheetView>
  </sheetViews>
  <sheetFormatPr defaultRowHeight="12.75"/>
  <cols>
    <col min="1" max="2" width="9" style="618"/>
    <col min="3" max="3" width="10.75" style="618" bestFit="1" customWidth="1"/>
    <col min="4" max="5" width="9" style="618"/>
    <col min="6" max="6" width="11.25" style="618" bestFit="1" customWidth="1"/>
    <col min="7" max="7" width="6" style="618" bestFit="1" customWidth="1"/>
    <col min="8" max="8" width="5.875" style="618" bestFit="1" customWidth="1"/>
    <col min="9" max="9" width="7.375" style="618" bestFit="1" customWidth="1"/>
    <col min="10" max="10" width="10.375" style="618" bestFit="1" customWidth="1"/>
    <col min="11" max="11" width="5.875" style="618" bestFit="1" customWidth="1"/>
    <col min="12" max="12" width="11.875" style="618" bestFit="1" customWidth="1"/>
    <col min="13" max="16384" width="9" style="618"/>
  </cols>
  <sheetData>
    <row r="1" spans="1:12">
      <c r="A1" s="611" t="s">
        <v>1487</v>
      </c>
      <c r="B1" s="611"/>
      <c r="C1" s="611"/>
      <c r="D1" s="611"/>
      <c r="E1" s="611"/>
      <c r="F1" s="611"/>
      <c r="G1" s="611"/>
      <c r="H1" s="611"/>
      <c r="I1" s="611"/>
      <c r="J1" s="611"/>
    </row>
    <row r="2" spans="1:12">
      <c r="A2" s="611"/>
      <c r="B2" s="611"/>
      <c r="C2" s="611"/>
      <c r="D2" s="611"/>
      <c r="E2" s="611"/>
      <c r="F2" s="611"/>
      <c r="G2" s="611"/>
      <c r="H2" s="611"/>
      <c r="I2" s="611"/>
      <c r="J2" s="611"/>
    </row>
    <row r="3" spans="1:12">
      <c r="A3" s="611"/>
      <c r="B3" s="611"/>
      <c r="C3" s="611"/>
      <c r="D3" s="612"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14">
        <f>'9'!F19</f>
        <v>0.6415022695162006</v>
      </c>
      <c r="C5" s="614">
        <f>'9'!N19</f>
        <v>0.44335753567434699</v>
      </c>
      <c r="D5" s="614">
        <f>'9'!V19</f>
        <v>0.44198121002238394</v>
      </c>
      <c r="E5" s="614">
        <f>'9'!AD19</f>
        <v>0.52454765506693046</v>
      </c>
      <c r="F5" s="614">
        <f>'9'!AL19</f>
        <v>0.35043375775672592</v>
      </c>
      <c r="G5" s="614">
        <f>'9'!AT19</f>
        <v>0.59749980492452193</v>
      </c>
      <c r="H5" s="614">
        <f>'9'!BB19</f>
        <v>0.76271200423824892</v>
      </c>
      <c r="I5" s="614">
        <f>'9'!BJ19</f>
        <v>0.48355227539159917</v>
      </c>
      <c r="J5" s="614">
        <f>'9'!BR19</f>
        <v>0.37606661066813751</v>
      </c>
      <c r="K5" s="614">
        <f>'9'!BZ19</f>
        <v>0.7141753287934689</v>
      </c>
      <c r="L5" s="614">
        <f>'9'!CH19</f>
        <v>0.66047047631749756</v>
      </c>
    </row>
    <row r="6" spans="1:12">
      <c r="A6" s="611">
        <f t="shared" ref="A6:A34" si="0">A5+1</f>
        <v>1982</v>
      </c>
      <c r="B6" s="614">
        <f>'9'!F20</f>
        <v>0.63333307819238305</v>
      </c>
      <c r="C6" s="614">
        <f>'9'!N20</f>
        <v>0.40885941266959336</v>
      </c>
      <c r="D6" s="614">
        <f>'9'!V20</f>
        <v>0.5757024128558178</v>
      </c>
      <c r="E6" s="614">
        <f>'9'!AD20</f>
        <v>0.51883087090194802</v>
      </c>
      <c r="F6" s="614">
        <f>'9'!AL20</f>
        <v>0.35992118980643312</v>
      </c>
      <c r="G6" s="614">
        <f>'9'!AT20</f>
        <v>0.61605476410599769</v>
      </c>
      <c r="H6" s="614">
        <f>'9'!BB20</f>
        <v>0.73808586794813802</v>
      </c>
      <c r="I6" s="614">
        <f>'9'!BJ20</f>
        <v>0.51464060519526611</v>
      </c>
      <c r="J6" s="614">
        <f>'9'!BR20</f>
        <v>0.51827543171596335</v>
      </c>
      <c r="K6" s="614">
        <f>'9'!BZ20</f>
        <v>0.71213847018311682</v>
      </c>
      <c r="L6" s="614">
        <f>'9'!CH20</f>
        <v>0.57084594300491354</v>
      </c>
    </row>
    <row r="7" spans="1:12">
      <c r="A7" s="611">
        <f t="shared" si="0"/>
        <v>1983</v>
      </c>
      <c r="B7" s="614">
        <f>'9'!F21</f>
        <v>0.60013558735999839</v>
      </c>
      <c r="C7" s="614">
        <f>'9'!N21</f>
        <v>0.24238351254480286</v>
      </c>
      <c r="D7" s="614">
        <f>'9'!V21</f>
        <v>0.64336692878912549</v>
      </c>
      <c r="E7" s="614">
        <f>'9'!AD21</f>
        <v>0.53755030279422311</v>
      </c>
      <c r="F7" s="614">
        <f>'9'!AL21</f>
        <v>0.27145798470311339</v>
      </c>
      <c r="G7" s="614">
        <f>'9'!AT21</f>
        <v>0.61597300000268285</v>
      </c>
      <c r="H7" s="614">
        <f>'9'!BB21</f>
        <v>0.66969336398326762</v>
      </c>
      <c r="I7" s="614">
        <f>'9'!BJ21</f>
        <v>0.5652200559241003</v>
      </c>
      <c r="J7" s="614">
        <f>'9'!BR21</f>
        <v>0.49912954994953801</v>
      </c>
      <c r="K7" s="614">
        <f>'9'!BZ21</f>
        <v>0.57882041668042217</v>
      </c>
      <c r="L7" s="614">
        <f>'9'!CH21</f>
        <v>0.62531379257892206</v>
      </c>
    </row>
    <row r="8" spans="1:12">
      <c r="A8" s="611">
        <f t="shared" si="0"/>
        <v>1984</v>
      </c>
      <c r="B8" s="614">
        <f>'9'!F22</f>
        <v>0.57898096574614399</v>
      </c>
      <c r="C8" s="614">
        <f>'9'!N22</f>
        <v>0.32385081270531235</v>
      </c>
      <c r="D8" s="614">
        <f>'9'!V22</f>
        <v>0.57243536460880062</v>
      </c>
      <c r="E8" s="614">
        <f>'9'!AD22</f>
        <v>0.54081003633493385</v>
      </c>
      <c r="F8" s="614">
        <f>'9'!AL22</f>
        <v>0.39077901066278808</v>
      </c>
      <c r="G8" s="614">
        <f>'9'!AT22</f>
        <v>0.5450508350951373</v>
      </c>
      <c r="H8" s="614">
        <f>'9'!BB22</f>
        <v>0.69538436423292294</v>
      </c>
      <c r="I8" s="614">
        <f>'9'!BJ22</f>
        <v>0.53172476750368269</v>
      </c>
      <c r="J8" s="614">
        <f>'9'!BR22</f>
        <v>0.38175936614772821</v>
      </c>
      <c r="K8" s="614">
        <f>'9'!BZ22</f>
        <v>0.52423218651320747</v>
      </c>
      <c r="L8" s="614">
        <f>'9'!CH22</f>
        <v>0.55510391696181638</v>
      </c>
    </row>
    <row r="9" spans="1:12">
      <c r="A9" s="611">
        <f t="shared" si="0"/>
        <v>1985</v>
      </c>
      <c r="B9" s="614">
        <f>'9'!F23</f>
        <v>0.62312174818864408</v>
      </c>
      <c r="C9" s="614">
        <f>'9'!N23</f>
        <v>0.27627680337235294</v>
      </c>
      <c r="D9" s="614">
        <f>'9'!V23</f>
        <v>0.65071956921236351</v>
      </c>
      <c r="E9" s="614">
        <f>'9'!AD23</f>
        <v>0.53924779731142203</v>
      </c>
      <c r="F9" s="614">
        <f>'9'!AL23</f>
        <v>0.52854800054075879</v>
      </c>
      <c r="G9" s="614">
        <f>'9'!AT23</f>
        <v>0.60980448487394967</v>
      </c>
      <c r="H9" s="614">
        <f>'9'!BB23</f>
        <v>0.74410758965338442</v>
      </c>
      <c r="I9" s="614">
        <f>'9'!BJ23</f>
        <v>0.59439845266683344</v>
      </c>
      <c r="J9" s="614">
        <f>'9'!BR23</f>
        <v>0.30368179575610416</v>
      </c>
      <c r="K9" s="614">
        <f>'9'!BZ23</f>
        <v>0.67581879391074784</v>
      </c>
      <c r="L9" s="614">
        <f>'9'!CH23</f>
        <v>0.51651369843274342</v>
      </c>
    </row>
    <row r="10" spans="1:12">
      <c r="A10" s="611">
        <f t="shared" si="0"/>
        <v>1986</v>
      </c>
      <c r="B10" s="614">
        <f>'9'!F24</f>
        <v>0.6457171797083503</v>
      </c>
      <c r="C10" s="614">
        <f>'9'!N24</f>
        <v>0.3640919163431402</v>
      </c>
      <c r="D10" s="614">
        <f>'9'!V24</f>
        <v>0.72109728779744076</v>
      </c>
      <c r="E10" s="614">
        <f>'9'!AD24</f>
        <v>0.54998120927676664</v>
      </c>
      <c r="F10" s="614">
        <f>'9'!AL24</f>
        <v>0.58463015337036794</v>
      </c>
      <c r="G10" s="614">
        <f>'9'!AT24</f>
        <v>0.59827622896069943</v>
      </c>
      <c r="H10" s="614">
        <f>'9'!BB24</f>
        <v>0.77408148775221253</v>
      </c>
      <c r="I10" s="614">
        <f>'9'!BJ24</f>
        <v>0.59885652899434094</v>
      </c>
      <c r="J10" s="614">
        <f>'9'!BR24</f>
        <v>0.26564202343942789</v>
      </c>
      <c r="K10" s="614">
        <f>'9'!BZ24</f>
        <v>0.66544327829219063</v>
      </c>
      <c r="L10" s="614">
        <f>'9'!CH24</f>
        <v>0.63174365658849596</v>
      </c>
    </row>
    <row r="11" spans="1:12">
      <c r="A11" s="611">
        <f t="shared" si="0"/>
        <v>1987</v>
      </c>
      <c r="B11" s="614">
        <f>'9'!F25</f>
        <v>0.66683467440276667</v>
      </c>
      <c r="C11" s="614">
        <f>'9'!N25</f>
        <v>0.37273323076700415</v>
      </c>
      <c r="D11" s="614">
        <f>'9'!V25</f>
        <v>0.67854189929346687</v>
      </c>
      <c r="E11" s="614">
        <f>'9'!AD25</f>
        <v>0.60245604687014798</v>
      </c>
      <c r="F11" s="614">
        <f>'9'!AL25</f>
        <v>0.51600665780407207</v>
      </c>
      <c r="G11" s="614">
        <f>'9'!AT25</f>
        <v>0.59860376802807147</v>
      </c>
      <c r="H11" s="614">
        <f>'9'!BB25</f>
        <v>0.82186408271762157</v>
      </c>
      <c r="I11" s="614">
        <f>'9'!BJ25</f>
        <v>0.62683505177171051</v>
      </c>
      <c r="J11" s="614">
        <f>'9'!BR25</f>
        <v>0.5007472026582539</v>
      </c>
      <c r="K11" s="614">
        <f>'9'!BZ25</f>
        <v>0.59797887241866676</v>
      </c>
      <c r="L11" s="614">
        <f>'9'!CH25</f>
        <v>0.62624645091947895</v>
      </c>
    </row>
    <row r="12" spans="1:12">
      <c r="A12" s="611">
        <f t="shared" si="0"/>
        <v>1988</v>
      </c>
      <c r="B12" s="614">
        <f>'9'!F26</f>
        <v>0.69125665216367604</v>
      </c>
      <c r="C12" s="614">
        <f>'9'!N26</f>
        <v>0.51624936208937289</v>
      </c>
      <c r="D12" s="614">
        <f>'9'!V26</f>
        <v>0.7155403952899908</v>
      </c>
      <c r="E12" s="614">
        <f>'9'!AD26</f>
        <v>0.65029999299851959</v>
      </c>
      <c r="F12" s="614">
        <f>'9'!AL26</f>
        <v>0.60434979021422308</v>
      </c>
      <c r="G12" s="614">
        <f>'9'!AT26</f>
        <v>0.64034289272744704</v>
      </c>
      <c r="H12" s="614">
        <f>'9'!BB26</f>
        <v>0.80790183955726469</v>
      </c>
      <c r="I12" s="614">
        <f>'9'!BJ26</f>
        <v>0.62706523201492803</v>
      </c>
      <c r="J12" s="614">
        <f>'9'!BR26</f>
        <v>0.42519769129694535</v>
      </c>
      <c r="K12" s="614">
        <f>'9'!BZ26</f>
        <v>0.68625117117684975</v>
      </c>
      <c r="L12" s="614">
        <f>'9'!CH26</f>
        <v>0.7355727462304732</v>
      </c>
    </row>
    <row r="13" spans="1:12">
      <c r="A13" s="611">
        <f t="shared" si="0"/>
        <v>1989</v>
      </c>
      <c r="B13" s="614">
        <f>'9'!F27</f>
        <v>0.71080697727316267</v>
      </c>
      <c r="C13" s="614">
        <f>'9'!N27</f>
        <v>0.59032159403358042</v>
      </c>
      <c r="D13" s="614">
        <f>'9'!V27</f>
        <v>0.6808433730215484</v>
      </c>
      <c r="E13" s="614">
        <f>'9'!AD27</f>
        <v>0.63142892865918843</v>
      </c>
      <c r="F13" s="614">
        <f>'9'!AL27</f>
        <v>0.60799307150352921</v>
      </c>
      <c r="G13" s="614">
        <f>'9'!AT27</f>
        <v>0.67821501763428393</v>
      </c>
      <c r="H13" s="614">
        <f>'9'!BB27</f>
        <v>0.83602150537634412</v>
      </c>
      <c r="I13" s="614">
        <f>'9'!BJ27</f>
        <v>0.65031160166211155</v>
      </c>
      <c r="J13" s="614">
        <f>'9'!BR27</f>
        <v>0.43346439539493647</v>
      </c>
      <c r="K13" s="614">
        <f>'9'!BZ27</f>
        <v>0.6003624805622706</v>
      </c>
      <c r="L13" s="614">
        <f>'9'!CH27</f>
        <v>0.73103526914048256</v>
      </c>
    </row>
    <row r="14" spans="1:12">
      <c r="A14" s="611">
        <f t="shared" si="0"/>
        <v>1990</v>
      </c>
      <c r="B14" s="614">
        <f>'9'!F28</f>
        <v>0.64545797780615266</v>
      </c>
      <c r="C14" s="614">
        <f>'9'!N28</f>
        <v>0.46110468581983322</v>
      </c>
      <c r="D14" s="614">
        <f>'9'!V28</f>
        <v>0.75161033134511135</v>
      </c>
      <c r="E14" s="614">
        <f>'9'!AD28</f>
        <v>0.66856574250653356</v>
      </c>
      <c r="F14" s="614">
        <f>'9'!AL28</f>
        <v>0.60267945747334273</v>
      </c>
      <c r="G14" s="614">
        <f>'9'!AT28</f>
        <v>0.62369589438233819</v>
      </c>
      <c r="H14" s="614">
        <f>'9'!BB28</f>
        <v>0.76761546213142751</v>
      </c>
      <c r="I14" s="614">
        <f>'9'!BJ28</f>
        <v>0.57291631278966348</v>
      </c>
      <c r="J14" s="614">
        <f>'9'!BR28</f>
        <v>0.29210351024750231</v>
      </c>
      <c r="K14" s="614">
        <f>'9'!BZ28</f>
        <v>0.65083129947882878</v>
      </c>
      <c r="L14" s="614">
        <f>'9'!CH28</f>
        <v>0.55505879712382611</v>
      </c>
    </row>
    <row r="15" spans="1:12">
      <c r="A15" s="611">
        <f t="shared" si="0"/>
        <v>1991</v>
      </c>
      <c r="B15" s="614">
        <f>'9'!F29</f>
        <v>0.63719491025725805</v>
      </c>
      <c r="C15" s="614">
        <f>'9'!N29</f>
        <v>0.43431714951484063</v>
      </c>
      <c r="D15" s="614">
        <f>'9'!V29</f>
        <v>0.67495944490489657</v>
      </c>
      <c r="E15" s="614">
        <f>'9'!AD29</f>
        <v>0.64761376904737034</v>
      </c>
      <c r="F15" s="614">
        <f>'9'!AL29</f>
        <v>0.58682349177296744</v>
      </c>
      <c r="G15" s="614">
        <f>'9'!AT29</f>
        <v>0.59071152030593421</v>
      </c>
      <c r="H15" s="614">
        <f>'9'!BB29</f>
        <v>0.73458745778748735</v>
      </c>
      <c r="I15" s="614">
        <f>'9'!BJ29</f>
        <v>0.58764372083075722</v>
      </c>
      <c r="J15" s="614">
        <f>'9'!BR29</f>
        <v>0.36252118094290631</v>
      </c>
      <c r="K15" s="614">
        <f>'9'!BZ29</f>
        <v>0.63713172001569063</v>
      </c>
      <c r="L15" s="614">
        <f>'9'!CH29</f>
        <v>0.67062420404927625</v>
      </c>
    </row>
    <row r="16" spans="1:12">
      <c r="A16" s="611">
        <f t="shared" si="0"/>
        <v>1992</v>
      </c>
      <c r="B16" s="614">
        <f>'9'!F30</f>
        <v>0.62715689884919212</v>
      </c>
      <c r="C16" s="614">
        <f>'9'!N30</f>
        <v>0.34585350336552034</v>
      </c>
      <c r="D16" s="614">
        <f>'9'!V30</f>
        <v>0.74553104897601818</v>
      </c>
      <c r="E16" s="614">
        <f>'9'!AD30</f>
        <v>0.63830888011204023</v>
      </c>
      <c r="F16" s="614">
        <f>'9'!AL30</f>
        <v>0.59230475321299347</v>
      </c>
      <c r="G16" s="614">
        <f>'9'!AT30</f>
        <v>0.6354163298489901</v>
      </c>
      <c r="H16" s="614">
        <f>'9'!BB30</f>
        <v>0.72365974009415523</v>
      </c>
      <c r="I16" s="614">
        <f>'9'!BJ30</f>
        <v>0.53989358851529268</v>
      </c>
      <c r="J16" s="614">
        <f>'9'!BR30</f>
        <v>0.3630023954156939</v>
      </c>
      <c r="K16" s="614">
        <f>'9'!BZ30</f>
        <v>0.50524267219712382</v>
      </c>
      <c r="L16" s="614">
        <f>'9'!CH30</f>
        <v>0.61668801046372801</v>
      </c>
    </row>
    <row r="17" spans="1:12">
      <c r="A17" s="611">
        <f t="shared" si="0"/>
        <v>1993</v>
      </c>
      <c r="B17" s="614">
        <f>'9'!F31</f>
        <v>0.63523635395519973</v>
      </c>
      <c r="C17" s="614">
        <f>'9'!N31</f>
        <v>0.45028668456028575</v>
      </c>
      <c r="D17" s="614">
        <f>'9'!V31</f>
        <v>0.8339066440361137</v>
      </c>
      <c r="E17" s="614">
        <f>'9'!AD31</f>
        <v>0.6299583065402049</v>
      </c>
      <c r="F17" s="614">
        <f>'9'!AL31</f>
        <v>0.57621448806619058</v>
      </c>
      <c r="G17" s="614">
        <f>'9'!AT31</f>
        <v>0.58534402376911077</v>
      </c>
      <c r="H17" s="614">
        <f>'9'!BB31</f>
        <v>0.74324817823536315</v>
      </c>
      <c r="I17" s="614">
        <f>'9'!BJ31</f>
        <v>0.54619709284578843</v>
      </c>
      <c r="J17" s="614">
        <f>'9'!BR31</f>
        <v>0.4641391072665747</v>
      </c>
      <c r="K17" s="614">
        <f>'9'!BZ31</f>
        <v>0.59819387818298819</v>
      </c>
      <c r="L17" s="614">
        <f>'9'!CH31</f>
        <v>0.62813183103279413</v>
      </c>
    </row>
    <row r="18" spans="1:12">
      <c r="A18" s="611">
        <f t="shared" si="0"/>
        <v>1994</v>
      </c>
      <c r="B18" s="614">
        <f>'9'!F32</f>
        <v>0.63273304343063508</v>
      </c>
      <c r="C18" s="614">
        <f>'9'!N32</f>
        <v>0.44964490021771963</v>
      </c>
      <c r="D18" s="614">
        <f>'9'!V32</f>
        <v>0.87321690760793291</v>
      </c>
      <c r="E18" s="614">
        <f>'9'!AD32</f>
        <v>0.54544220100820917</v>
      </c>
      <c r="F18" s="614">
        <f>'9'!AL32</f>
        <v>0.50823481147919769</v>
      </c>
      <c r="G18" s="614">
        <f>'9'!AT32</f>
        <v>0.58162708363694771</v>
      </c>
      <c r="H18" s="614">
        <f>'9'!BB32</f>
        <v>0.72691778850627997</v>
      </c>
      <c r="I18" s="614">
        <f>'9'!BJ32</f>
        <v>0.57094678442814573</v>
      </c>
      <c r="J18" s="614">
        <f>'9'!BR32</f>
        <v>0.47567945449753046</v>
      </c>
      <c r="K18" s="614">
        <f>'9'!BZ32</f>
        <v>0.64712447843980414</v>
      </c>
      <c r="L18" s="614">
        <f>'9'!CH32</f>
        <v>0.61995105184944088</v>
      </c>
    </row>
    <row r="19" spans="1:12">
      <c r="A19" s="611">
        <f t="shared" si="0"/>
        <v>1995</v>
      </c>
      <c r="B19" s="614">
        <f>'9'!F33</f>
        <v>0.61180974212230088</v>
      </c>
      <c r="C19" s="614">
        <f>'9'!N33</f>
        <v>0.38154979440299513</v>
      </c>
      <c r="D19" s="614">
        <f>'9'!V33</f>
        <v>0.7597872992252922</v>
      </c>
      <c r="E19" s="614">
        <f>'9'!AD33</f>
        <v>0.56626617126782153</v>
      </c>
      <c r="F19" s="614">
        <f>'9'!AL33</f>
        <v>0.54404786736483879</v>
      </c>
      <c r="G19" s="614">
        <f>'9'!AT33</f>
        <v>0.52285638512347121</v>
      </c>
      <c r="H19" s="614">
        <f>'9'!BB33</f>
        <v>0.72105009171460044</v>
      </c>
      <c r="I19" s="614">
        <f>'9'!BJ33</f>
        <v>0.66890068781806122</v>
      </c>
      <c r="J19" s="614">
        <f>'9'!BR33</f>
        <v>0.41795982269324999</v>
      </c>
      <c r="K19" s="614">
        <f>'9'!BZ33</f>
        <v>0.64330489941391744</v>
      </c>
      <c r="L19" s="614">
        <f>'9'!CH33</f>
        <v>0.60381251296966498</v>
      </c>
    </row>
    <row r="20" spans="1:12">
      <c r="A20" s="611">
        <f t="shared" si="0"/>
        <v>1996</v>
      </c>
      <c r="B20" s="614">
        <f>'9'!F34</f>
        <v>0.55444102066259571</v>
      </c>
      <c r="C20" s="614">
        <f>'9'!N34</f>
        <v>0.3630737741339457</v>
      </c>
      <c r="D20" s="614">
        <f>'9'!V34</f>
        <v>0.7285334273823153</v>
      </c>
      <c r="E20" s="614">
        <f>'9'!AD34</f>
        <v>0.49720139253500784</v>
      </c>
      <c r="F20" s="614">
        <f>'9'!AL34</f>
        <v>0.56109865164481953</v>
      </c>
      <c r="G20" s="614">
        <f>'9'!AT34</f>
        <v>0.54786011088036246</v>
      </c>
      <c r="H20" s="614">
        <f>'9'!BB34</f>
        <v>0.61022297095522682</v>
      </c>
      <c r="I20" s="614">
        <f>'9'!BJ34</f>
        <v>0.59241350433855122</v>
      </c>
      <c r="J20" s="614">
        <f>'9'!BR34</f>
        <v>0.46234355490891876</v>
      </c>
      <c r="K20" s="614">
        <f>'9'!BZ34</f>
        <v>0.57518452083121474</v>
      </c>
      <c r="L20" s="614">
        <f>'9'!CH34</f>
        <v>0.51395296039029437</v>
      </c>
    </row>
    <row r="21" spans="1:12">
      <c r="A21" s="611">
        <f t="shared" si="0"/>
        <v>1997</v>
      </c>
      <c r="B21" s="614">
        <f>'9'!F35</f>
        <v>0.52192430097487674</v>
      </c>
      <c r="C21" s="614">
        <f>'9'!N35</f>
        <v>0.41654095690631732</v>
      </c>
      <c r="D21" s="614">
        <f>'9'!V35</f>
        <v>0.70131937046937987</v>
      </c>
      <c r="E21" s="614">
        <f>'9'!AD35</f>
        <v>0.45299691639277045</v>
      </c>
      <c r="F21" s="614">
        <f>'9'!AL35</f>
        <v>0.50505863951229335</v>
      </c>
      <c r="G21" s="614">
        <f>'9'!AT35</f>
        <v>0.47277954792006055</v>
      </c>
      <c r="H21" s="614">
        <f>'9'!BB35</f>
        <v>0.59175290896799237</v>
      </c>
      <c r="I21" s="614">
        <f>'9'!BJ35</f>
        <v>0.56982569542518924</v>
      </c>
      <c r="J21" s="614">
        <f>'9'!BR35</f>
        <v>0.58067232722745243</v>
      </c>
      <c r="K21" s="614">
        <f>'9'!BZ35</f>
        <v>0.55229385894406235</v>
      </c>
      <c r="L21" s="614">
        <f>'9'!CH35</f>
        <v>0.47343257061401095</v>
      </c>
    </row>
    <row r="22" spans="1:12">
      <c r="A22" s="611">
        <f t="shared" si="0"/>
        <v>1998</v>
      </c>
      <c r="B22" s="614">
        <f>'9'!F36</f>
        <v>0.51388214754238271</v>
      </c>
      <c r="C22" s="614">
        <f>'9'!N36</f>
        <v>0.35710490721493937</v>
      </c>
      <c r="D22" s="614">
        <f>'9'!V36</f>
        <v>0.74429299956676298</v>
      </c>
      <c r="E22" s="614">
        <f>'9'!AD36</f>
        <v>0.41713841196504475</v>
      </c>
      <c r="F22" s="614">
        <f>'9'!AL36</f>
        <v>0.52108755349613367</v>
      </c>
      <c r="G22" s="614">
        <f>'9'!AT36</f>
        <v>0.51405399737165869</v>
      </c>
      <c r="H22" s="614">
        <f>'9'!BB36</f>
        <v>0.59687182615392664</v>
      </c>
      <c r="I22" s="614">
        <f>'9'!BJ36</f>
        <v>0.51948056494683947</v>
      </c>
      <c r="J22" s="614">
        <f>'9'!BR36</f>
        <v>0.48472140096128324</v>
      </c>
      <c r="K22" s="614">
        <f>'9'!BZ36</f>
        <v>0.51925792409373972</v>
      </c>
      <c r="L22" s="614">
        <f>'9'!CH36</f>
        <v>0.41092854669338014</v>
      </c>
    </row>
    <row r="23" spans="1:12">
      <c r="A23" s="611">
        <f t="shared" si="0"/>
        <v>1999</v>
      </c>
      <c r="B23" s="614">
        <f>'9'!F37</f>
        <v>0.50846554511032127</v>
      </c>
      <c r="C23" s="614">
        <f>'9'!N37</f>
        <v>0.29417997146002983</v>
      </c>
      <c r="D23" s="614">
        <f>'9'!V37</f>
        <v>0.55400788436464887</v>
      </c>
      <c r="E23" s="614">
        <f>'9'!AD37</f>
        <v>0.46894472368148532</v>
      </c>
      <c r="F23" s="614">
        <f>'9'!AL37</f>
        <v>0.51328009062633184</v>
      </c>
      <c r="G23" s="614">
        <f>'9'!AT37</f>
        <v>0.54764451844164452</v>
      </c>
      <c r="H23" s="614">
        <f>'9'!BB37</f>
        <v>0.56094066979968427</v>
      </c>
      <c r="I23" s="614">
        <f>'9'!BJ37</f>
        <v>0.47704794118096033</v>
      </c>
      <c r="J23" s="614">
        <f>'9'!BR37</f>
        <v>0.54691185781896579</v>
      </c>
      <c r="K23" s="614">
        <f>'9'!BZ37</f>
        <v>0.56297404581095867</v>
      </c>
      <c r="L23" s="614">
        <f>'9'!CH37</f>
        <v>0.37930919750538505</v>
      </c>
    </row>
    <row r="24" spans="1:12">
      <c r="A24" s="611">
        <f t="shared" si="0"/>
        <v>2000</v>
      </c>
      <c r="B24" s="614">
        <f>'9'!F38</f>
        <v>0.50214776087536384</v>
      </c>
      <c r="C24" s="614">
        <f>'9'!N38</f>
        <v>0.31700490501070799</v>
      </c>
      <c r="D24" s="614">
        <f>'9'!V38</f>
        <v>0.53867965100765636</v>
      </c>
      <c r="E24" s="614">
        <f>'9'!AD38</f>
        <v>0.4826130928988871</v>
      </c>
      <c r="F24" s="614">
        <f>'9'!AL38</f>
        <v>0.53234695026410461</v>
      </c>
      <c r="G24" s="614">
        <f>'9'!AT38</f>
        <v>0.49279288395279519</v>
      </c>
      <c r="H24" s="614">
        <f>'9'!BB38</f>
        <v>0.58537622844875314</v>
      </c>
      <c r="I24" s="614">
        <f>'9'!BJ38</f>
        <v>0.4876973796521773</v>
      </c>
      <c r="J24" s="614">
        <f>'9'!BR38</f>
        <v>0.4202178617119271</v>
      </c>
      <c r="K24" s="614">
        <f>'9'!BZ38</f>
        <v>0.58082201657562027</v>
      </c>
      <c r="L24" s="614">
        <f>'9'!CH38</f>
        <v>0.37611648631347033</v>
      </c>
    </row>
    <row r="25" spans="1:12">
      <c r="A25" s="611">
        <f t="shared" si="0"/>
        <v>2001</v>
      </c>
      <c r="B25" s="614">
        <f>'9'!F39</f>
        <v>0.51107598404402743</v>
      </c>
      <c r="C25" s="614">
        <f>'9'!N39</f>
        <v>0.41124604988384045</v>
      </c>
      <c r="D25" s="614">
        <f>'9'!V39</f>
        <v>0.57684878294837461</v>
      </c>
      <c r="E25" s="614">
        <f>'9'!AD39</f>
        <v>0.4669450335986845</v>
      </c>
      <c r="F25" s="614">
        <f>'9'!AL39</f>
        <v>0.52521390914088895</v>
      </c>
      <c r="G25" s="614">
        <f>'9'!AT39</f>
        <v>0.51484303698776857</v>
      </c>
      <c r="H25" s="614">
        <f>'9'!BB39</f>
        <v>0.59613962738130466</v>
      </c>
      <c r="I25" s="614">
        <f>'9'!BJ39</f>
        <v>0.54659327697837279</v>
      </c>
      <c r="J25" s="614">
        <f>'9'!BR39</f>
        <v>0.50956411580239591</v>
      </c>
      <c r="K25" s="614">
        <f>'9'!BZ39</f>
        <v>0.59874778619040558</v>
      </c>
      <c r="L25" s="614">
        <f>'9'!CH39</f>
        <v>0.31449866527497178</v>
      </c>
    </row>
    <row r="26" spans="1:12">
      <c r="A26" s="611">
        <f t="shared" si="0"/>
        <v>2002</v>
      </c>
      <c r="B26" s="614">
        <f>'9'!F40</f>
        <v>0.4993868919690741</v>
      </c>
      <c r="C26" s="614">
        <f>'9'!N40</f>
        <v>0.32051670050138581</v>
      </c>
      <c r="D26" s="614">
        <f>'9'!V40</f>
        <v>0.63100468817585098</v>
      </c>
      <c r="E26" s="614">
        <f>'9'!AD40</f>
        <v>0.45948878897349577</v>
      </c>
      <c r="F26" s="614">
        <f>'9'!AL40</f>
        <v>0.45548182780966318</v>
      </c>
      <c r="G26" s="614">
        <f>'9'!AT40</f>
        <v>0.52167806416076257</v>
      </c>
      <c r="H26" s="614">
        <f>'9'!BB40</f>
        <v>0.56244896390438914</v>
      </c>
      <c r="I26" s="614">
        <f>'9'!BJ40</f>
        <v>0.49264812516604545</v>
      </c>
      <c r="J26" s="614">
        <f>'9'!BR40</f>
        <v>0.50039360026875235</v>
      </c>
      <c r="K26" s="614">
        <f>'9'!BZ40</f>
        <v>0.66093077439176251</v>
      </c>
      <c r="L26" s="614">
        <f>'9'!CH40</f>
        <v>0.27951742630665571</v>
      </c>
    </row>
    <row r="27" spans="1:12">
      <c r="A27" s="611">
        <f t="shared" si="0"/>
        <v>2003</v>
      </c>
      <c r="B27" s="614">
        <f>'9'!F41</f>
        <v>0.50314279809928009</v>
      </c>
      <c r="C27" s="614">
        <f>'9'!N41</f>
        <v>0.33795374537894463</v>
      </c>
      <c r="D27" s="614">
        <f>'9'!V41</f>
        <v>0.68916827438751882</v>
      </c>
      <c r="E27" s="614">
        <f>'9'!AD41</f>
        <v>0.42297176542006165</v>
      </c>
      <c r="F27" s="614">
        <f>'9'!AL41</f>
        <v>0.41160953420023483</v>
      </c>
      <c r="G27" s="614">
        <f>'9'!AT41</f>
        <v>0.54527135809527338</v>
      </c>
      <c r="H27" s="614">
        <f>'9'!BB41</f>
        <v>0.582872589220094</v>
      </c>
      <c r="I27" s="614">
        <f>'9'!BJ41</f>
        <v>0.5280502759686404</v>
      </c>
      <c r="J27" s="614">
        <f>'9'!BR41</f>
        <v>0.49367216324488522</v>
      </c>
      <c r="K27" s="614">
        <f>'9'!BZ41</f>
        <v>0.53860890889353696</v>
      </c>
      <c r="L27" s="614">
        <f>'9'!CH41</f>
        <v>0.30568836782083347</v>
      </c>
    </row>
    <row r="28" spans="1:12">
      <c r="A28" s="611">
        <f t="shared" si="0"/>
        <v>2004</v>
      </c>
      <c r="B28" s="614">
        <f>'9'!F42</f>
        <v>0.47808133692446614</v>
      </c>
      <c r="C28" s="614">
        <f>'9'!N42</f>
        <v>0.31268665690853231</v>
      </c>
      <c r="D28" s="614">
        <f>'9'!V42</f>
        <v>0.71652592922084468</v>
      </c>
      <c r="E28" s="614">
        <f>'9'!AD42</f>
        <v>0.44957251458312769</v>
      </c>
      <c r="F28" s="614">
        <f>'9'!AL42</f>
        <v>0.43961543511611179</v>
      </c>
      <c r="G28" s="614">
        <f>'9'!AT42</f>
        <v>0.58104128717154824</v>
      </c>
      <c r="H28" s="614">
        <f>'9'!BB42</f>
        <v>0.49364007922877107</v>
      </c>
      <c r="I28" s="614">
        <f>'9'!BJ42</f>
        <v>0.52659501140425125</v>
      </c>
      <c r="J28" s="614">
        <f>'9'!BR42</f>
        <v>0.39251773049857858</v>
      </c>
      <c r="K28" s="614">
        <f>'9'!BZ42</f>
        <v>0.53870975031676926</v>
      </c>
      <c r="L28" s="614">
        <f>'9'!CH42</f>
        <v>0.32658628401928419</v>
      </c>
    </row>
    <row r="29" spans="1:12">
      <c r="A29" s="611">
        <f t="shared" si="0"/>
        <v>2005</v>
      </c>
      <c r="B29" s="614">
        <f>'9'!F43</f>
        <v>0.48807374584042851</v>
      </c>
      <c r="C29" s="614">
        <f>'9'!N43</f>
        <v>0.41717623790078512</v>
      </c>
      <c r="D29" s="614">
        <f>'9'!V43</f>
        <v>0.79981263567032657</v>
      </c>
      <c r="E29" s="614">
        <f>'9'!AD43</f>
        <v>0.51561518787071703</v>
      </c>
      <c r="F29" s="614">
        <f>'9'!AL43</f>
        <v>0.42016097926032597</v>
      </c>
      <c r="G29" s="614">
        <f>'9'!AT43</f>
        <v>0.51263688744710445</v>
      </c>
      <c r="H29" s="614">
        <f>'9'!BB43</f>
        <v>0.52630836895137612</v>
      </c>
      <c r="I29" s="614">
        <f>'9'!BJ43</f>
        <v>0.48161275480134491</v>
      </c>
      <c r="J29" s="614">
        <f>'9'!BR43</f>
        <v>0.24171567320173007</v>
      </c>
      <c r="K29" s="614">
        <f>'9'!BZ43</f>
        <v>0.64714629773438359</v>
      </c>
      <c r="L29" s="614">
        <f>'9'!CH43</f>
        <v>0.36152238234555356</v>
      </c>
    </row>
    <row r="30" spans="1:12">
      <c r="A30" s="611">
        <f t="shared" si="0"/>
        <v>2006</v>
      </c>
      <c r="B30" s="614">
        <f>'9'!F44</f>
        <v>0.52715282225268989</v>
      </c>
      <c r="C30" s="614">
        <f>'9'!N44</f>
        <v>0.4691003005776756</v>
      </c>
      <c r="D30" s="614">
        <f>'9'!V44</f>
        <v>0.7375042739021751</v>
      </c>
      <c r="E30" s="614">
        <f>'9'!AD44</f>
        <v>0.5268125760675364</v>
      </c>
      <c r="F30" s="614">
        <f>'9'!AL44</f>
        <v>0.43131973016319719</v>
      </c>
      <c r="G30" s="614">
        <f>'9'!AT44</f>
        <v>0.57410892197845653</v>
      </c>
      <c r="H30" s="614">
        <f>'9'!BB44</f>
        <v>0.55441660086093891</v>
      </c>
      <c r="I30" s="614">
        <f>'9'!BJ44</f>
        <v>0.50298529058663566</v>
      </c>
      <c r="J30" s="614">
        <f>'9'!BR44</f>
        <v>0.28804552089360047</v>
      </c>
      <c r="K30" s="614">
        <f>'9'!BZ44</f>
        <v>0.71123737991806979</v>
      </c>
      <c r="L30" s="614">
        <f>'9'!CH44</f>
        <v>0.38694136955494662</v>
      </c>
    </row>
    <row r="31" spans="1:12">
      <c r="A31" s="611">
        <f t="shared" si="0"/>
        <v>2007</v>
      </c>
      <c r="B31" s="614">
        <f>'9'!F45</f>
        <v>0.53518203140115705</v>
      </c>
      <c r="C31" s="614">
        <f>'9'!N45</f>
        <v>0.5225744277441462</v>
      </c>
      <c r="D31" s="614">
        <f>'9'!V45</f>
        <v>0.80264168779177147</v>
      </c>
      <c r="E31" s="614">
        <f>'9'!AD45</f>
        <v>0.48664826436349179</v>
      </c>
      <c r="F31" s="614">
        <f>'9'!AL45</f>
        <v>0.42375287452978916</v>
      </c>
      <c r="G31" s="614">
        <f>'9'!AT45</f>
        <v>0.54629721444866153</v>
      </c>
      <c r="H31" s="614">
        <f>'9'!BB45</f>
        <v>0.5745115262429128</v>
      </c>
      <c r="I31" s="614">
        <f>'9'!BJ45</f>
        <v>0.50809557824988527</v>
      </c>
      <c r="J31" s="614">
        <f>'9'!BR45</f>
        <v>0.43136279456039345</v>
      </c>
      <c r="K31" s="614">
        <f>'9'!BZ45</f>
        <v>0.69283348731330996</v>
      </c>
      <c r="L31" s="614">
        <f>'9'!CH45</f>
        <v>0.44873461455964792</v>
      </c>
    </row>
    <row r="32" spans="1:12">
      <c r="A32" s="611">
        <f t="shared" si="0"/>
        <v>2008</v>
      </c>
      <c r="B32" s="614">
        <f>'9'!F46</f>
        <v>0.49344838232948285</v>
      </c>
      <c r="C32" s="614">
        <f>'9'!N46</f>
        <v>0.4347167122262191</v>
      </c>
      <c r="D32" s="614">
        <f>'9'!V46</f>
        <v>0.68180358425468834</v>
      </c>
      <c r="E32" s="614">
        <f>'9'!AD46</f>
        <v>0.42745334617073449</v>
      </c>
      <c r="F32" s="614">
        <f>'9'!AL46</f>
        <v>0.46664458557383881</v>
      </c>
      <c r="G32" s="614">
        <f>'9'!AT46</f>
        <v>0.48578140509320167</v>
      </c>
      <c r="H32" s="614">
        <f>'9'!BB46</f>
        <v>0.51894797277583138</v>
      </c>
      <c r="I32" s="614">
        <f>'9'!BJ46</f>
        <v>0.57295653119191481</v>
      </c>
      <c r="J32" s="614">
        <f>'9'!BR46</f>
        <v>0.51635645721202372</v>
      </c>
      <c r="K32" s="614">
        <f>'9'!BZ46</f>
        <v>0.73403482298833467</v>
      </c>
      <c r="L32" s="614">
        <f>'9'!CH46</f>
        <v>0.3433856429534306</v>
      </c>
    </row>
    <row r="33" spans="1:12">
      <c r="A33" s="611">
        <f t="shared" si="0"/>
        <v>2009</v>
      </c>
      <c r="B33" s="614">
        <f>'9'!F47</f>
        <v>0.48990011732755612</v>
      </c>
      <c r="C33" s="614">
        <f>'9'!N47</f>
        <v>0.4904809624274809</v>
      </c>
      <c r="D33" s="614">
        <f>'9'!V47</f>
        <v>0.7859903746853204</v>
      </c>
      <c r="E33" s="614">
        <f>'9'!AD47</f>
        <v>0.43435666890078939</v>
      </c>
      <c r="F33" s="614">
        <f>'9'!AL47</f>
        <v>0.51945171804193502</v>
      </c>
      <c r="G33" s="614">
        <f>'9'!AT47</f>
        <v>0.55743456629889687</v>
      </c>
      <c r="H33" s="614">
        <f>'9'!BB47</f>
        <v>0.50214907569174194</v>
      </c>
      <c r="I33" s="614">
        <f>'9'!BJ47</f>
        <v>0.57044824849781883</v>
      </c>
      <c r="J33" s="614">
        <f>'9'!BR47</f>
        <v>0.52324420602529553</v>
      </c>
      <c r="K33" s="614">
        <f>'9'!BZ47</f>
        <v>0.56330550852340866</v>
      </c>
      <c r="L33" s="614">
        <f>'9'!CH47</f>
        <v>0.33362442119702618</v>
      </c>
    </row>
    <row r="34" spans="1:12">
      <c r="A34" s="611">
        <f t="shared" si="0"/>
        <v>2010</v>
      </c>
      <c r="B34" s="614">
        <f>'9'!F48</f>
        <v>0.48990011732755612</v>
      </c>
      <c r="C34" s="614">
        <f>'9'!N48</f>
        <v>0.4904809624274809</v>
      </c>
      <c r="D34" s="614">
        <f>'9'!V48</f>
        <v>0.7859903746853204</v>
      </c>
      <c r="E34" s="614">
        <f>'9'!AD48</f>
        <v>0.43435666890078939</v>
      </c>
      <c r="F34" s="614">
        <f>'9'!AL48</f>
        <v>0.51945171804193502</v>
      </c>
      <c r="G34" s="614">
        <f>'9'!AT48</f>
        <v>0.55743456629889687</v>
      </c>
      <c r="H34" s="614">
        <f>'9'!BB48</f>
        <v>0.50214907569174194</v>
      </c>
      <c r="I34" s="614">
        <f>'9'!BJ48</f>
        <v>0.57044824849781883</v>
      </c>
      <c r="J34" s="614">
        <f>'9'!BR48</f>
        <v>0.52324420602529553</v>
      </c>
      <c r="K34" s="614">
        <f>'9'!BZ48</f>
        <v>0.56330550852340866</v>
      </c>
      <c r="L34" s="614">
        <f>'9'!CH48</f>
        <v>0.33362442119702618</v>
      </c>
    </row>
    <row r="35" spans="1:12">
      <c r="A35" s="611" t="s">
        <v>1499</v>
      </c>
      <c r="B35" s="611"/>
      <c r="C35" s="611"/>
      <c r="D35" s="611"/>
      <c r="E35" s="611"/>
      <c r="F35" s="611"/>
      <c r="G35" s="611"/>
      <c r="H35" s="611"/>
      <c r="I35" s="611"/>
      <c r="J35" s="611"/>
      <c r="K35" s="611"/>
      <c r="L35" s="611"/>
    </row>
    <row r="36" spans="1:12">
      <c r="A36" s="611" t="s">
        <v>1498</v>
      </c>
      <c r="B36" s="615">
        <f>B34-B5</f>
        <v>-0.15160215218864448</v>
      </c>
      <c r="C36" s="615">
        <f t="shared" ref="C36:L36" si="1">C34-C5</f>
        <v>4.7123426753133912E-2</v>
      </c>
      <c r="D36" s="615">
        <f t="shared" si="1"/>
        <v>0.34400916466293646</v>
      </c>
      <c r="E36" s="615">
        <f t="shared" si="1"/>
        <v>-9.0190986166141074E-2</v>
      </c>
      <c r="F36" s="615">
        <f t="shared" si="1"/>
        <v>0.1690179602852091</v>
      </c>
      <c r="G36" s="615">
        <f t="shared" si="1"/>
        <v>-4.0065238625625055E-2</v>
      </c>
      <c r="H36" s="615">
        <f t="shared" si="1"/>
        <v>-0.26056292854650698</v>
      </c>
      <c r="I36" s="615">
        <f t="shared" si="1"/>
        <v>8.6895973106219659E-2</v>
      </c>
      <c r="J36" s="615">
        <f t="shared" si="1"/>
        <v>0.14717759535715802</v>
      </c>
      <c r="K36" s="615">
        <f t="shared" si="1"/>
        <v>-0.15086982027006024</v>
      </c>
      <c r="L36" s="615">
        <f t="shared" si="1"/>
        <v>-0.32684605512047138</v>
      </c>
    </row>
    <row r="37" spans="1:12">
      <c r="A37" s="611" t="s">
        <v>1472</v>
      </c>
      <c r="B37" s="615">
        <f>B13-B5</f>
        <v>6.930470775696207E-2</v>
      </c>
      <c r="C37" s="615">
        <f t="shared" ref="C37:L37" si="2">C13-C5</f>
        <v>0.14696405835923343</v>
      </c>
      <c r="D37" s="615">
        <f t="shared" si="2"/>
        <v>0.23886216299916446</v>
      </c>
      <c r="E37" s="615">
        <f t="shared" si="2"/>
        <v>0.10688127359225796</v>
      </c>
      <c r="F37" s="615">
        <f t="shared" si="2"/>
        <v>0.2575593137468033</v>
      </c>
      <c r="G37" s="615">
        <f t="shared" si="2"/>
        <v>8.0715212709762008E-2</v>
      </c>
      <c r="H37" s="615">
        <f t="shared" si="2"/>
        <v>7.3309501138095201E-2</v>
      </c>
      <c r="I37" s="615">
        <f t="shared" si="2"/>
        <v>0.16675932627051238</v>
      </c>
      <c r="J37" s="615">
        <f t="shared" si="2"/>
        <v>5.7397784726798962E-2</v>
      </c>
      <c r="K37" s="615">
        <f t="shared" si="2"/>
        <v>-0.1138128482311983</v>
      </c>
      <c r="L37" s="615">
        <f t="shared" si="2"/>
        <v>7.0564792822985001E-2</v>
      </c>
    </row>
    <row r="38" spans="1:12">
      <c r="A38" s="611" t="s">
        <v>1473</v>
      </c>
      <c r="B38" s="615">
        <f>B24-B13</f>
        <v>-0.20865921639779883</v>
      </c>
      <c r="C38" s="615">
        <f t="shared" ref="C38:L38" si="3">C24-C13</f>
        <v>-0.27331668902287243</v>
      </c>
      <c r="D38" s="615">
        <f t="shared" si="3"/>
        <v>-0.14216372201389205</v>
      </c>
      <c r="E38" s="615">
        <f t="shared" si="3"/>
        <v>-0.14881583576030133</v>
      </c>
      <c r="F38" s="615">
        <f t="shared" si="3"/>
        <v>-7.5646121239424602E-2</v>
      </c>
      <c r="G38" s="615">
        <f t="shared" si="3"/>
        <v>-0.18542213368148874</v>
      </c>
      <c r="H38" s="615">
        <f t="shared" si="3"/>
        <v>-0.25064527692759098</v>
      </c>
      <c r="I38" s="615">
        <f t="shared" si="3"/>
        <v>-0.16261422200993425</v>
      </c>
      <c r="J38" s="615">
        <f t="shared" si="3"/>
        <v>-1.3246533683009376E-2</v>
      </c>
      <c r="K38" s="615">
        <f t="shared" si="3"/>
        <v>-1.9540463986650325E-2</v>
      </c>
      <c r="L38" s="615">
        <f t="shared" si="3"/>
        <v>-0.35491878282701222</v>
      </c>
    </row>
    <row r="39" spans="1:12">
      <c r="A39" s="611" t="s">
        <v>1474</v>
      </c>
      <c r="B39" s="615">
        <f>B32-B24</f>
        <v>-8.6993785458809869E-3</v>
      </c>
      <c r="C39" s="615">
        <f t="shared" ref="C39:L39" si="4">C32-C24</f>
        <v>0.11771180721551111</v>
      </c>
      <c r="D39" s="615">
        <f t="shared" si="4"/>
        <v>0.14312393324703199</v>
      </c>
      <c r="E39" s="615">
        <f t="shared" si="4"/>
        <v>-5.5159746728152603E-2</v>
      </c>
      <c r="F39" s="615">
        <f t="shared" si="4"/>
        <v>-6.5702364690265802E-2</v>
      </c>
      <c r="G39" s="615">
        <f t="shared" si="4"/>
        <v>-7.0114788595935229E-3</v>
      </c>
      <c r="H39" s="615">
        <f t="shared" si="4"/>
        <v>-6.6428255672921765E-2</v>
      </c>
      <c r="I39" s="615">
        <f t="shared" si="4"/>
        <v>8.525915153973751E-2</v>
      </c>
      <c r="J39" s="615">
        <f t="shared" si="4"/>
        <v>9.6138595500096624E-2</v>
      </c>
      <c r="K39" s="615">
        <f t="shared" si="4"/>
        <v>0.1532128064127144</v>
      </c>
      <c r="L39" s="615">
        <f t="shared" si="4"/>
        <v>-3.273084336003973E-2</v>
      </c>
    </row>
    <row r="40" spans="1:12">
      <c r="A40" s="611" t="s">
        <v>1500</v>
      </c>
      <c r="B40" s="611"/>
      <c r="C40" s="611"/>
      <c r="D40" s="611"/>
      <c r="E40" s="611"/>
      <c r="F40" s="611"/>
      <c r="G40" s="611"/>
      <c r="H40" s="611"/>
      <c r="I40" s="611"/>
      <c r="J40" s="611"/>
      <c r="K40" s="611"/>
      <c r="L40" s="611"/>
    </row>
    <row r="41" spans="1:12">
      <c r="A41" s="611" t="s">
        <v>1498</v>
      </c>
      <c r="B41" s="616">
        <f>100*(B34-B5)/B5</f>
        <v>-23.632364122885754</v>
      </c>
      <c r="C41" s="616">
        <f t="shared" ref="C41:L41" si="5">100*(C34-C5)/C5</f>
        <v>10.628764137607172</v>
      </c>
      <c r="D41" s="616">
        <f t="shared" si="5"/>
        <v>77.833436549375989</v>
      </c>
      <c r="E41" s="616">
        <f t="shared" si="5"/>
        <v>-17.194050015271351</v>
      </c>
      <c r="F41" s="616">
        <f t="shared" si="5"/>
        <v>48.23107264755663</v>
      </c>
      <c r="G41" s="616">
        <f t="shared" si="5"/>
        <v>-6.7054814571339021</v>
      </c>
      <c r="H41" s="616">
        <f t="shared" si="5"/>
        <v>-34.162688812894935</v>
      </c>
      <c r="I41" s="616">
        <f t="shared" si="5"/>
        <v>17.970336927036062</v>
      </c>
      <c r="J41" s="616">
        <f>100*(J34-J5)/J5</f>
        <v>39.136044302278108</v>
      </c>
      <c r="K41" s="616">
        <f t="shared" si="5"/>
        <v>-21.125039494845112</v>
      </c>
      <c r="L41" s="616">
        <f t="shared" si="5"/>
        <v>-49.486853211490377</v>
      </c>
    </row>
    <row r="42" spans="1:12">
      <c r="A42" s="611" t="s">
        <v>1472</v>
      </c>
      <c r="B42" s="616">
        <f>100*(B13-B5)/B5</f>
        <v>10.803501569718428</v>
      </c>
      <c r="C42" s="616">
        <f t="shared" ref="C42:L42" si="6">100*(C13-C5)/C5</f>
        <v>33.147977993810578</v>
      </c>
      <c r="D42" s="616">
        <f t="shared" si="6"/>
        <v>54.043510806051543</v>
      </c>
      <c r="E42" s="616">
        <f t="shared" si="6"/>
        <v>20.375893888729763</v>
      </c>
      <c r="F42" s="616">
        <f t="shared" si="6"/>
        <v>73.497289586354057</v>
      </c>
      <c r="G42" s="616">
        <f t="shared" si="6"/>
        <v>13.508826621283701</v>
      </c>
      <c r="H42" s="616">
        <f t="shared" si="6"/>
        <v>9.6116883870619478</v>
      </c>
      <c r="I42" s="616">
        <f t="shared" si="6"/>
        <v>34.486307842407378</v>
      </c>
      <c r="J42" s="616">
        <f t="shared" si="6"/>
        <v>15.262664405335899</v>
      </c>
      <c r="K42" s="616">
        <f t="shared" si="6"/>
        <v>-15.936261537271843</v>
      </c>
      <c r="L42" s="616">
        <f t="shared" si="6"/>
        <v>10.684019248888198</v>
      </c>
    </row>
    <row r="43" spans="1:12">
      <c r="A43" s="611" t="s">
        <v>1473</v>
      </c>
      <c r="B43" s="616">
        <f>100*(B24-B13)/B13</f>
        <v>-29.355257203336546</v>
      </c>
      <c r="C43" s="616">
        <f t="shared" ref="C43:L43" si="7">100*(C24-C13)/C13</f>
        <v>-46.299625794702813</v>
      </c>
      <c r="D43" s="616">
        <f t="shared" si="7"/>
        <v>-20.880532534667505</v>
      </c>
      <c r="E43" s="616">
        <f t="shared" si="7"/>
        <v>-23.568105451916054</v>
      </c>
      <c r="F43" s="616">
        <f t="shared" si="7"/>
        <v>-12.441938039253708</v>
      </c>
      <c r="G43" s="616">
        <f t="shared" si="7"/>
        <v>-27.339726909656036</v>
      </c>
      <c r="H43" s="616">
        <f t="shared" si="7"/>
        <v>-29.980721227351715</v>
      </c>
      <c r="I43" s="616">
        <f t="shared" si="7"/>
        <v>-25.005585260098933</v>
      </c>
      <c r="J43" s="616">
        <f t="shared" si="7"/>
        <v>-3.0559681080473156</v>
      </c>
      <c r="K43" s="616">
        <f t="shared" si="7"/>
        <v>-3.2547776750388642</v>
      </c>
      <c r="L43" s="616">
        <f t="shared" si="7"/>
        <v>-48.550158632470541</v>
      </c>
    </row>
    <row r="44" spans="1:12">
      <c r="A44" s="611" t="s">
        <v>1474</v>
      </c>
      <c r="B44" s="616">
        <f>100*(B32-B24)/B24</f>
        <v>-1.7324340012421615</v>
      </c>
      <c r="C44" s="616">
        <f t="shared" ref="C44:L44" si="8">100*(C32-C24)/C24</f>
        <v>37.132487653948118</v>
      </c>
      <c r="D44" s="616">
        <f t="shared" si="8"/>
        <v>26.569396668187441</v>
      </c>
      <c r="E44" s="616">
        <f t="shared" si="8"/>
        <v>-11.429392931888234</v>
      </c>
      <c r="F44" s="616">
        <f t="shared" si="8"/>
        <v>-12.342019552787889</v>
      </c>
      <c r="G44" s="616">
        <f t="shared" si="8"/>
        <v>-1.4228044048349437</v>
      </c>
      <c r="H44" s="616">
        <f t="shared" si="8"/>
        <v>-11.347959217434678</v>
      </c>
      <c r="I44" s="616">
        <f t="shared" si="8"/>
        <v>17.481978599217367</v>
      </c>
      <c r="J44" s="616">
        <f t="shared" si="8"/>
        <v>22.878274404718841</v>
      </c>
      <c r="K44" s="616">
        <f t="shared" si="8"/>
        <v>26.37861548637883</v>
      </c>
      <c r="L44" s="616">
        <f t="shared" si="8"/>
        <v>-8.7023155195490567</v>
      </c>
    </row>
    <row r="45" spans="1:12">
      <c r="A45" s="611" t="s">
        <v>1501</v>
      </c>
      <c r="B45" s="611"/>
      <c r="C45" s="611"/>
      <c r="D45" s="611"/>
      <c r="E45" s="611"/>
      <c r="F45" s="611"/>
      <c r="G45" s="611"/>
      <c r="H45" s="611"/>
      <c r="I45" s="611"/>
      <c r="J45" s="611"/>
      <c r="K45" s="611"/>
      <c r="L45" s="611"/>
    </row>
    <row r="46" spans="1:12">
      <c r="A46" s="611" t="s">
        <v>1498</v>
      </c>
      <c r="B46" s="617">
        <f>100*(POWER(B34/B5, 1/29)-1)</f>
        <v>-0.92538548061250614</v>
      </c>
      <c r="C46" s="617">
        <f t="shared" ref="C46:L46" si="9">100*(POWER(C34/C5, 1/29)-1)</f>
        <v>0.34891745249807649</v>
      </c>
      <c r="D46" s="617">
        <f t="shared" si="9"/>
        <v>2.0049277211076744</v>
      </c>
      <c r="E46" s="617">
        <f t="shared" si="9"/>
        <v>-0.64847539315090463</v>
      </c>
      <c r="F46" s="617">
        <f t="shared" si="9"/>
        <v>1.3665013031566975</v>
      </c>
      <c r="G46" s="617">
        <f t="shared" si="9"/>
        <v>-0.2390546039463759</v>
      </c>
      <c r="H46" s="617">
        <f t="shared" si="9"/>
        <v>-1.4309849814100661</v>
      </c>
      <c r="I46" s="617">
        <f t="shared" si="9"/>
        <v>0.57149936186853267</v>
      </c>
      <c r="J46" s="617">
        <f t="shared" si="9"/>
        <v>1.1454136607026211</v>
      </c>
      <c r="K46" s="617">
        <f t="shared" si="9"/>
        <v>-0.81495887043898652</v>
      </c>
      <c r="L46" s="617">
        <f t="shared" si="9"/>
        <v>-2.3274409848905941</v>
      </c>
    </row>
    <row r="47" spans="1:12">
      <c r="A47" s="611" t="s">
        <v>1472</v>
      </c>
      <c r="B47" s="617">
        <f>100*(POWER(B13/B5, 1/8)-1)</f>
        <v>1.2906097772024561</v>
      </c>
      <c r="C47" s="617">
        <f t="shared" ref="C47:L47" si="10">100*(POWER(C13/C5, 1/8)-1)</f>
        <v>3.6434406794730645</v>
      </c>
      <c r="D47" s="617">
        <f t="shared" si="10"/>
        <v>5.5493166684906559</v>
      </c>
      <c r="E47" s="617">
        <f t="shared" si="10"/>
        <v>2.3451909553550365</v>
      </c>
      <c r="F47" s="617">
        <f t="shared" si="10"/>
        <v>7.130118874260849</v>
      </c>
      <c r="G47" s="617">
        <f t="shared" si="10"/>
        <v>1.5964900631754819</v>
      </c>
      <c r="H47" s="617">
        <f t="shared" si="10"/>
        <v>1.1537781204349562</v>
      </c>
      <c r="I47" s="617">
        <f t="shared" si="10"/>
        <v>3.773092423348734</v>
      </c>
      <c r="J47" s="617">
        <f t="shared" si="10"/>
        <v>1.7913986604824794</v>
      </c>
      <c r="K47" s="617">
        <f t="shared" si="10"/>
        <v>-2.146562303873667</v>
      </c>
      <c r="L47" s="617">
        <f t="shared" si="10"/>
        <v>1.2769502917697961</v>
      </c>
    </row>
    <row r="48" spans="1:12">
      <c r="A48" s="611" t="s">
        <v>1473</v>
      </c>
      <c r="B48" s="617">
        <f>100*(POWER(B24/B13, 1/11)-1)</f>
        <v>-3.109770141944157</v>
      </c>
      <c r="C48" s="617">
        <f t="shared" ref="C48:L48" si="11">100*(POWER(C24/C13, 1/11)-1)</f>
        <v>-5.4955012606597524</v>
      </c>
      <c r="D48" s="617">
        <f t="shared" si="11"/>
        <v>-2.1066857049043874</v>
      </c>
      <c r="E48" s="617">
        <f t="shared" si="11"/>
        <v>-2.4137561121842399</v>
      </c>
      <c r="F48" s="617">
        <f t="shared" si="11"/>
        <v>-1.2006256161814943</v>
      </c>
      <c r="G48" s="617">
        <f t="shared" si="11"/>
        <v>-2.861668682708074</v>
      </c>
      <c r="H48" s="617">
        <f t="shared" si="11"/>
        <v>-3.1880705310904589</v>
      </c>
      <c r="I48" s="617">
        <f t="shared" si="11"/>
        <v>-2.5820485585718256</v>
      </c>
      <c r="J48" s="617">
        <f t="shared" si="11"/>
        <v>-0.28175110546917459</v>
      </c>
      <c r="K48" s="617">
        <f t="shared" si="11"/>
        <v>-0.30035926130900226</v>
      </c>
      <c r="L48" s="617">
        <f t="shared" si="11"/>
        <v>-5.8626029930569645</v>
      </c>
    </row>
    <row r="49" spans="1:12">
      <c r="A49" s="611" t="s">
        <v>1474</v>
      </c>
      <c r="B49" s="617">
        <f>100*(POWER(B32/B24, 1/8)-1)</f>
        <v>-0.21821359755550551</v>
      </c>
      <c r="C49" s="617">
        <f t="shared" ref="C49:L49" si="12">100*(POWER(C32/C24, 1/8)-1)</f>
        <v>4.0261544843849473</v>
      </c>
      <c r="D49" s="617">
        <f t="shared" si="12"/>
        <v>2.9890586863130064</v>
      </c>
      <c r="E49" s="617">
        <f t="shared" si="12"/>
        <v>-1.5056762634440668</v>
      </c>
      <c r="F49" s="617">
        <f t="shared" si="12"/>
        <v>-1.6331118615195317</v>
      </c>
      <c r="G49" s="617">
        <f t="shared" si="12"/>
        <v>-0.17896757577323674</v>
      </c>
      <c r="H49" s="617">
        <f t="shared" si="12"/>
        <v>-1.4943610901214877</v>
      </c>
      <c r="I49" s="617">
        <f t="shared" si="12"/>
        <v>2.0343510169388068</v>
      </c>
      <c r="J49" s="617">
        <f t="shared" si="12"/>
        <v>2.6087478744083237</v>
      </c>
      <c r="K49" s="617">
        <f t="shared" si="12"/>
        <v>2.9696411332973627</v>
      </c>
      <c r="L49" s="617">
        <f t="shared" si="12"/>
        <v>-1.1316081042128889</v>
      </c>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dimension ref="A1:L49"/>
  <sheetViews>
    <sheetView workbookViewId="0">
      <selection activeCell="E9" sqref="E9"/>
    </sheetView>
  </sheetViews>
  <sheetFormatPr defaultRowHeight="12.75"/>
  <cols>
    <col min="1" max="1" width="9" style="618"/>
    <col min="2" max="2" width="5.875" style="618" bestFit="1" customWidth="1"/>
    <col min="3" max="3" width="10.75" style="618" bestFit="1" customWidth="1"/>
    <col min="4" max="4" width="10.375" style="618" bestFit="1" customWidth="1"/>
    <col min="5" max="5" width="9" style="618"/>
    <col min="6" max="6" width="11.25" style="618" bestFit="1" customWidth="1"/>
    <col min="7" max="7" width="6" style="618" bestFit="1" customWidth="1"/>
    <col min="8" max="8" width="5.875" style="618" bestFit="1" customWidth="1"/>
    <col min="9" max="9" width="7.375" style="618" bestFit="1" customWidth="1"/>
    <col min="10" max="10" width="10.375" style="618" bestFit="1" customWidth="1"/>
    <col min="11" max="11" width="5.875" style="618" bestFit="1" customWidth="1"/>
    <col min="12" max="12" width="11.875" style="618" bestFit="1" customWidth="1"/>
    <col min="13" max="16384" width="9" style="618"/>
  </cols>
  <sheetData>
    <row r="1" spans="1:12">
      <c r="A1" s="611" t="s">
        <v>1488</v>
      </c>
      <c r="B1" s="611"/>
      <c r="C1" s="611"/>
      <c r="D1" s="611"/>
      <c r="E1" s="611"/>
      <c r="F1" s="611"/>
      <c r="G1" s="611"/>
      <c r="H1" s="611"/>
      <c r="I1" s="611"/>
      <c r="J1" s="611"/>
      <c r="K1" s="611"/>
    </row>
    <row r="2" spans="1:12">
      <c r="A2" s="611"/>
      <c r="B2" s="611"/>
      <c r="C2" s="611"/>
      <c r="D2" s="611"/>
      <c r="E2" s="611"/>
      <c r="F2" s="611"/>
      <c r="G2" s="611"/>
      <c r="H2" s="611"/>
      <c r="I2" s="611"/>
      <c r="J2" s="611"/>
      <c r="K2" s="611"/>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14">
        <f>'9'!G19</f>
        <v>0.63201595297490964</v>
      </c>
      <c r="C5" s="614">
        <f>'9'!O19</f>
        <v>0.41310207481519734</v>
      </c>
      <c r="D5" s="614">
        <f>'9'!W19</f>
        <v>0.45114132979063915</v>
      </c>
      <c r="E5" s="614">
        <f>'9'!AE19</f>
        <v>0.62943653895762197</v>
      </c>
      <c r="F5" s="614">
        <f>'9'!AM19</f>
        <v>0.52017136127858687</v>
      </c>
      <c r="G5" s="614">
        <f>'9'!AU19</f>
        <v>0.56113307019886161</v>
      </c>
      <c r="H5" s="614">
        <f>'9'!BC19</f>
        <v>0.68187528276174003</v>
      </c>
      <c r="I5" s="614">
        <f>'9'!BK19</f>
        <v>0.61454232118591945</v>
      </c>
      <c r="J5" s="614">
        <f>'9'!BS19</f>
        <v>0.72083174572819975</v>
      </c>
      <c r="K5" s="614">
        <f>'9'!CA19</f>
        <v>0.71288901997033804</v>
      </c>
      <c r="L5" s="614">
        <f>'9'!CI19</f>
        <v>0.60953060721864039</v>
      </c>
    </row>
    <row r="6" spans="1:12">
      <c r="A6" s="611">
        <f t="shared" ref="A6:A34" si="0">A5+1</f>
        <v>1982</v>
      </c>
      <c r="B6" s="614">
        <f>'9'!G20</f>
        <v>0.60180498696168072</v>
      </c>
      <c r="C6" s="614">
        <f>'9'!O20</f>
        <v>0.41157836978659207</v>
      </c>
      <c r="D6" s="614">
        <f>'9'!W20</f>
        <v>0.50014769336507026</v>
      </c>
      <c r="E6" s="614">
        <f>'9'!AE20</f>
        <v>0.65044368359813687</v>
      </c>
      <c r="F6" s="614">
        <f>'9'!AM20</f>
        <v>0.47666775672041134</v>
      </c>
      <c r="G6" s="614">
        <f>'9'!AU20</f>
        <v>0.55783184340064806</v>
      </c>
      <c r="H6" s="614">
        <f>'9'!BC20</f>
        <v>0.63565983644267643</v>
      </c>
      <c r="I6" s="614">
        <f>'9'!BK20</f>
        <v>0.63543806260371716</v>
      </c>
      <c r="J6" s="614">
        <f>'9'!BS20</f>
        <v>0.76371266951126482</v>
      </c>
      <c r="K6" s="614">
        <f>'9'!CA20</f>
        <v>0.64474961545561871</v>
      </c>
      <c r="L6" s="614">
        <f>'9'!CI20</f>
        <v>0.55295977688516529</v>
      </c>
    </row>
    <row r="7" spans="1:12">
      <c r="A7" s="611">
        <f t="shared" si="0"/>
        <v>1983</v>
      </c>
      <c r="B7" s="614">
        <f>'9'!G21</f>
        <v>0.57745844659138112</v>
      </c>
      <c r="C7" s="614">
        <f>'9'!O21</f>
        <v>0.33440328678736059</v>
      </c>
      <c r="D7" s="614">
        <f>'9'!W21</f>
        <v>0.50932292058240758</v>
      </c>
      <c r="E7" s="614">
        <f>'9'!AE21</f>
        <v>0.65093139818486079</v>
      </c>
      <c r="F7" s="614">
        <f>'9'!AM21</f>
        <v>0.41863736341171404</v>
      </c>
      <c r="G7" s="614">
        <f>'9'!AU21</f>
        <v>0.57483691178143614</v>
      </c>
      <c r="H7" s="614">
        <f>'9'!BC21</f>
        <v>0.58831083900365877</v>
      </c>
      <c r="I7" s="614">
        <f>'9'!BK21</f>
        <v>0.54803029694156802</v>
      </c>
      <c r="J7" s="614">
        <f>'9'!BS21</f>
        <v>0.75240404066837185</v>
      </c>
      <c r="K7" s="614">
        <f>'9'!CA21</f>
        <v>0.57542741616684556</v>
      </c>
      <c r="L7" s="614">
        <f>'9'!CI21</f>
        <v>0.57695756152533217</v>
      </c>
    </row>
    <row r="8" spans="1:12">
      <c r="A8" s="611">
        <f t="shared" si="0"/>
        <v>1984</v>
      </c>
      <c r="B8" s="614">
        <f>'9'!G22</f>
        <v>0.59876962118468435</v>
      </c>
      <c r="C8" s="614">
        <f>'9'!O22</f>
        <v>0.46041952656113777</v>
      </c>
      <c r="D8" s="614">
        <f>'9'!W22</f>
        <v>0.58618352790458705</v>
      </c>
      <c r="E8" s="614">
        <f>'9'!AE22</f>
        <v>0.60637174218150214</v>
      </c>
      <c r="F8" s="614">
        <f>'9'!AM22</f>
        <v>0.47762912328318485</v>
      </c>
      <c r="G8" s="614">
        <f>'9'!AU22</f>
        <v>0.60178313388351179</v>
      </c>
      <c r="H8" s="614">
        <f>'9'!BC22</f>
        <v>0.62792185924655119</v>
      </c>
      <c r="I8" s="614">
        <f>'9'!BK22</f>
        <v>0.653035095947196</v>
      </c>
      <c r="J8" s="614">
        <f>'9'!BS22</f>
        <v>0.69979436344291701</v>
      </c>
      <c r="K8" s="614">
        <f>'9'!CA22</f>
        <v>0.59173142086563169</v>
      </c>
      <c r="L8" s="614">
        <f>'9'!CI22</f>
        <v>0.51629846634910725</v>
      </c>
    </row>
    <row r="9" spans="1:12">
      <c r="A9" s="611">
        <f t="shared" si="0"/>
        <v>1985</v>
      </c>
      <c r="B9" s="614">
        <f>'9'!G23</f>
        <v>0.60452439439058236</v>
      </c>
      <c r="C9" s="614">
        <f>'9'!O23</f>
        <v>0.46778924147499279</v>
      </c>
      <c r="D9" s="614">
        <f>'9'!W23</f>
        <v>0.54990750262374466</v>
      </c>
      <c r="E9" s="614">
        <f>'9'!AE23</f>
        <v>0.59106151278813224</v>
      </c>
      <c r="F9" s="614">
        <f>'9'!AM23</f>
        <v>0.49711685107665859</v>
      </c>
      <c r="G9" s="614">
        <f>'9'!AU23</f>
        <v>0.59220165730100516</v>
      </c>
      <c r="H9" s="614">
        <f>'9'!BC23</f>
        <v>0.64410289414045541</v>
      </c>
      <c r="I9" s="614">
        <f>'9'!BK23</f>
        <v>0.62816502695729171</v>
      </c>
      <c r="J9" s="614">
        <f>'9'!BS23</f>
        <v>0.66759072841013045</v>
      </c>
      <c r="K9" s="614">
        <f>'9'!CA23</f>
        <v>0.63762014494069985</v>
      </c>
      <c r="L9" s="614">
        <f>'9'!CI23</f>
        <v>0.51610257421341199</v>
      </c>
    </row>
    <row r="10" spans="1:12">
      <c r="A10" s="611">
        <f t="shared" si="0"/>
        <v>1986</v>
      </c>
      <c r="B10" s="614">
        <f>'9'!G24</f>
        <v>0.59441335458415334</v>
      </c>
      <c r="C10" s="614">
        <f>'9'!O24</f>
        <v>0.52975644179646042</v>
      </c>
      <c r="D10" s="614">
        <f>'9'!W24</f>
        <v>0.59195155131031219</v>
      </c>
      <c r="E10" s="614">
        <f>'9'!AE24</f>
        <v>0.54350528644540874</v>
      </c>
      <c r="F10" s="614">
        <f>'9'!AM24</f>
        <v>0.50278573333178356</v>
      </c>
      <c r="G10" s="614">
        <f>'9'!AU24</f>
        <v>0.56871123842186944</v>
      </c>
      <c r="H10" s="614">
        <f>'9'!BC24</f>
        <v>0.64972332082582884</v>
      </c>
      <c r="I10" s="614">
        <f>'9'!BK24</f>
        <v>0.57402380844785461</v>
      </c>
      <c r="J10" s="614">
        <f>'9'!BS24</f>
        <v>0.63763845638143513</v>
      </c>
      <c r="K10" s="614">
        <f>'9'!CA24</f>
        <v>0.6261993457939613</v>
      </c>
      <c r="L10" s="614">
        <f>'9'!CI24</f>
        <v>0.5150191965315396</v>
      </c>
    </row>
    <row r="11" spans="1:12">
      <c r="A11" s="611">
        <f t="shared" si="0"/>
        <v>1987</v>
      </c>
      <c r="B11" s="614">
        <f>'9'!G25</f>
        <v>0.58230626019551324</v>
      </c>
      <c r="C11" s="614">
        <f>'9'!O25</f>
        <v>0.48784348802459798</v>
      </c>
      <c r="D11" s="614">
        <f>'9'!W25</f>
        <v>0.58087052395097549</v>
      </c>
      <c r="E11" s="614">
        <f>'9'!AE25</f>
        <v>0.56767714019592197</v>
      </c>
      <c r="F11" s="614">
        <f>'9'!AM25</f>
        <v>0.48381983196851525</v>
      </c>
      <c r="G11" s="614">
        <f>'9'!AU25</f>
        <v>0.570071030919722</v>
      </c>
      <c r="H11" s="614">
        <f>'9'!BC25</f>
        <v>0.64186571094492151</v>
      </c>
      <c r="I11" s="614">
        <f>'9'!BK25</f>
        <v>0.60866382829394539</v>
      </c>
      <c r="J11" s="614">
        <f>'9'!BS25</f>
        <v>0.59294760021909387</v>
      </c>
      <c r="K11" s="614">
        <f>'9'!CA25</f>
        <v>0.60706867801617315</v>
      </c>
      <c r="L11" s="614">
        <f>'9'!CI25</f>
        <v>0.49961050950751129</v>
      </c>
    </row>
    <row r="12" spans="1:12">
      <c r="A12" s="611">
        <f t="shared" si="0"/>
        <v>1988</v>
      </c>
      <c r="B12" s="614">
        <f>'9'!G26</f>
        <v>0.61925908394818063</v>
      </c>
      <c r="C12" s="614">
        <f>'9'!O26</f>
        <v>0.54753425335997818</v>
      </c>
      <c r="D12" s="614">
        <f>'9'!W26</f>
        <v>0.60217298270424291</v>
      </c>
      <c r="E12" s="614">
        <f>'9'!AE26</f>
        <v>0.61297022526581846</v>
      </c>
      <c r="F12" s="614">
        <f>'9'!AM26</f>
        <v>0.53460147185274942</v>
      </c>
      <c r="G12" s="614">
        <f>'9'!AU26</f>
        <v>0.5990670139551445</v>
      </c>
      <c r="H12" s="614">
        <f>'9'!BC26</f>
        <v>0.6638736091746168</v>
      </c>
      <c r="I12" s="614">
        <f>'9'!BK26</f>
        <v>0.64751783197723223</v>
      </c>
      <c r="J12" s="614">
        <f>'9'!BS26</f>
        <v>0.62869795976875997</v>
      </c>
      <c r="K12" s="614">
        <f>'9'!CA26</f>
        <v>0.61035946750140313</v>
      </c>
      <c r="L12" s="614">
        <f>'9'!CI26</f>
        <v>0.57337011107653224</v>
      </c>
    </row>
    <row r="13" spans="1:12">
      <c r="A13" s="611">
        <f t="shared" si="0"/>
        <v>1989</v>
      </c>
      <c r="B13" s="614">
        <f>'9'!G27</f>
        <v>0.63674335810743921</v>
      </c>
      <c r="C13" s="614">
        <f>'9'!O27</f>
        <v>0.57273553184947601</v>
      </c>
      <c r="D13" s="614">
        <f>'9'!W27</f>
        <v>0.56756375479130416</v>
      </c>
      <c r="E13" s="614">
        <f>'9'!AE27</f>
        <v>0.60699956353581452</v>
      </c>
      <c r="F13" s="614">
        <f>'9'!AM27</f>
        <v>0.55229531282347089</v>
      </c>
      <c r="G13" s="614">
        <f>'9'!AU27</f>
        <v>0.59789924921031101</v>
      </c>
      <c r="H13" s="614">
        <f>'9'!BC27</f>
        <v>0.69747434279663212</v>
      </c>
      <c r="I13" s="614">
        <f>'9'!BK27</f>
        <v>0.64093733488351723</v>
      </c>
      <c r="J13" s="614">
        <f>'9'!BS27</f>
        <v>0.61423236386551539</v>
      </c>
      <c r="K13" s="614">
        <f>'9'!CA27</f>
        <v>0.63231837364604648</v>
      </c>
      <c r="L13" s="614">
        <f>'9'!CI27</f>
        <v>0.5839612976969929</v>
      </c>
    </row>
    <row r="14" spans="1:12">
      <c r="A14" s="611">
        <f t="shared" si="0"/>
        <v>1990</v>
      </c>
      <c r="B14" s="614">
        <f>'9'!G28</f>
        <v>0.62122446788902042</v>
      </c>
      <c r="C14" s="614">
        <f>'9'!O28</f>
        <v>0.53893481652752417</v>
      </c>
      <c r="D14" s="614">
        <f>'9'!W28</f>
        <v>0.56776582622832605</v>
      </c>
      <c r="E14" s="614">
        <f>'9'!AE28</f>
        <v>0.60558532492647854</v>
      </c>
      <c r="F14" s="614">
        <f>'9'!AM28</f>
        <v>0.54099621330364334</v>
      </c>
      <c r="G14" s="614">
        <f>'9'!AU28</f>
        <v>0.58140773740134155</v>
      </c>
      <c r="H14" s="614">
        <f>'9'!BC28</f>
        <v>0.6585343809986316</v>
      </c>
      <c r="I14" s="614">
        <f>'9'!BK28</f>
        <v>0.62649739935408422</v>
      </c>
      <c r="J14" s="614">
        <f>'9'!BS28</f>
        <v>0.62364041484483168</v>
      </c>
      <c r="K14" s="614">
        <f>'9'!CA28</f>
        <v>0.62775261785905634</v>
      </c>
      <c r="L14" s="614">
        <f>'9'!CI28</f>
        <v>0.61511979384135873</v>
      </c>
    </row>
    <row r="15" spans="1:12">
      <c r="A15" s="611">
        <f t="shared" si="0"/>
        <v>1991</v>
      </c>
      <c r="B15" s="614">
        <f>'9'!G29</f>
        <v>0.59521184035586427</v>
      </c>
      <c r="C15" s="614">
        <f>'9'!O29</f>
        <v>0.52949460664476289</v>
      </c>
      <c r="D15" s="614">
        <f>'9'!W29</f>
        <v>0.52463646016435306</v>
      </c>
      <c r="E15" s="614">
        <f>'9'!AE29</f>
        <v>0.59558428011923403</v>
      </c>
      <c r="F15" s="614">
        <f>'9'!AM29</f>
        <v>0.53437452132880192</v>
      </c>
      <c r="G15" s="614">
        <f>'9'!AU29</f>
        <v>0.58289172967857894</v>
      </c>
      <c r="H15" s="614">
        <f>'9'!BC29</f>
        <v>0.60297492938772468</v>
      </c>
      <c r="I15" s="614">
        <f>'9'!BK29</f>
        <v>0.632029212950592</v>
      </c>
      <c r="J15" s="614">
        <f>'9'!BS29</f>
        <v>0.60556234615905191</v>
      </c>
      <c r="K15" s="614">
        <f>'9'!CA29</f>
        <v>0.60591115098469772</v>
      </c>
      <c r="L15" s="614">
        <f>'9'!CI29</f>
        <v>0.60730254761094293</v>
      </c>
    </row>
    <row r="16" spans="1:12">
      <c r="A16" s="611">
        <f t="shared" si="0"/>
        <v>1992</v>
      </c>
      <c r="B16" s="614">
        <f>'9'!G30</f>
        <v>0.57962823395007501</v>
      </c>
      <c r="C16" s="614">
        <f>'9'!O30</f>
        <v>0.49362253565600994</v>
      </c>
      <c r="D16" s="614">
        <f>'9'!W30</f>
        <v>0.49858929792596746</v>
      </c>
      <c r="E16" s="614">
        <f>'9'!AE30</f>
        <v>0.56965718810900967</v>
      </c>
      <c r="F16" s="614">
        <f>'9'!AM30</f>
        <v>0.4910447342571862</v>
      </c>
      <c r="G16" s="614">
        <f>'9'!AU30</f>
        <v>0.55761749356146095</v>
      </c>
      <c r="H16" s="614">
        <f>'9'!BC30</f>
        <v>0.60046455070826243</v>
      </c>
      <c r="I16" s="614">
        <f>'9'!BK30</f>
        <v>0.59987441853187051</v>
      </c>
      <c r="J16" s="614">
        <f>'9'!BS30</f>
        <v>0.59526614259891708</v>
      </c>
      <c r="K16" s="614">
        <f>'9'!CA30</f>
        <v>0.59325404162897366</v>
      </c>
      <c r="L16" s="614">
        <f>'9'!CI30</f>
        <v>0.5902072315786091</v>
      </c>
    </row>
    <row r="17" spans="1:12">
      <c r="A17" s="611">
        <f t="shared" si="0"/>
        <v>1993</v>
      </c>
      <c r="B17" s="614">
        <f>'9'!G31</f>
        <v>0.56590126225754278</v>
      </c>
      <c r="C17" s="614">
        <f>'9'!O31</f>
        <v>0.49308792931566037</v>
      </c>
      <c r="D17" s="614">
        <f>'9'!W31</f>
        <v>0.52230814874021436</v>
      </c>
      <c r="E17" s="614">
        <f>'9'!AE31</f>
        <v>0.53524784643989676</v>
      </c>
      <c r="F17" s="614">
        <f>'9'!AM31</f>
        <v>0.50104280956289671</v>
      </c>
      <c r="G17" s="614">
        <f>'9'!AU31</f>
        <v>0.53153495894987612</v>
      </c>
      <c r="H17" s="614">
        <f>'9'!BC31</f>
        <v>0.5772941800331689</v>
      </c>
      <c r="I17" s="614">
        <f>'9'!BK31</f>
        <v>0.60608164859423674</v>
      </c>
      <c r="J17" s="614">
        <f>'9'!BS31</f>
        <v>0.57729079215344181</v>
      </c>
      <c r="K17" s="614">
        <f>'9'!CA31</f>
        <v>0.60999278863482242</v>
      </c>
      <c r="L17" s="614">
        <f>'9'!CI31</f>
        <v>0.59283549408205594</v>
      </c>
    </row>
    <row r="18" spans="1:12">
      <c r="A18" s="611">
        <f t="shared" si="0"/>
        <v>1994</v>
      </c>
      <c r="B18" s="614">
        <f>'9'!G32</f>
        <v>0.57065555282292912</v>
      </c>
      <c r="C18" s="614">
        <f>'9'!O32</f>
        <v>0.4896761657912887</v>
      </c>
      <c r="D18" s="614">
        <f>'9'!W32</f>
        <v>0.49830843866634822</v>
      </c>
      <c r="E18" s="614">
        <f>'9'!AE32</f>
        <v>0.53913920021720529</v>
      </c>
      <c r="F18" s="614">
        <f>'9'!AM32</f>
        <v>0.49459121718787813</v>
      </c>
      <c r="G18" s="614">
        <f>'9'!AU32</f>
        <v>0.54493310600669875</v>
      </c>
      <c r="H18" s="614">
        <f>'9'!BC32</f>
        <v>0.58469736231893121</v>
      </c>
      <c r="I18" s="614">
        <f>'9'!BK32</f>
        <v>0.57696097822295522</v>
      </c>
      <c r="J18" s="614">
        <f>'9'!BS32</f>
        <v>0.56447507635919492</v>
      </c>
      <c r="K18" s="614">
        <f>'9'!CA32</f>
        <v>0.59275983333368854</v>
      </c>
      <c r="L18" s="614">
        <f>'9'!CI32</f>
        <v>0.60947598398953118</v>
      </c>
    </row>
    <row r="19" spans="1:12">
      <c r="A19" s="611">
        <f t="shared" si="0"/>
        <v>1995</v>
      </c>
      <c r="B19" s="614">
        <f>'9'!G33</f>
        <v>0.57648328337656674</v>
      </c>
      <c r="C19" s="614">
        <f>'9'!O33</f>
        <v>0.50241019118959662</v>
      </c>
      <c r="D19" s="614">
        <f>'9'!W33</f>
        <v>0.48897618508319179</v>
      </c>
      <c r="E19" s="614">
        <f>'9'!AE33</f>
        <v>0.55250687169514012</v>
      </c>
      <c r="F19" s="614">
        <f>'9'!AM33</f>
        <v>0.5521510346434777</v>
      </c>
      <c r="G19" s="614">
        <f>'9'!AU33</f>
        <v>0.55292205112947079</v>
      </c>
      <c r="H19" s="614">
        <f>'9'!BC33</f>
        <v>0.57225957579920972</v>
      </c>
      <c r="I19" s="614">
        <f>'9'!BK33</f>
        <v>0.61776678300884746</v>
      </c>
      <c r="J19" s="614">
        <f>'9'!BS33</f>
        <v>0.57402368115939839</v>
      </c>
      <c r="K19" s="614">
        <f>'9'!CA33</f>
        <v>0.6062359103649001</v>
      </c>
      <c r="L19" s="614">
        <f>'9'!CI33</f>
        <v>0.6316327898228431</v>
      </c>
    </row>
    <row r="20" spans="1:12">
      <c r="A20" s="611">
        <f t="shared" si="0"/>
        <v>1996</v>
      </c>
      <c r="B20" s="614">
        <f>'9'!G34</f>
        <v>0.56373686210282115</v>
      </c>
      <c r="C20" s="614">
        <f>'9'!O34</f>
        <v>0.49818143832306133</v>
      </c>
      <c r="D20" s="614">
        <f>'9'!W34</f>
        <v>0.4779630287941774</v>
      </c>
      <c r="E20" s="614">
        <f>'9'!AE34</f>
        <v>0.53104065709669301</v>
      </c>
      <c r="F20" s="614">
        <f>'9'!AM34</f>
        <v>0.5520371486035125</v>
      </c>
      <c r="G20" s="614">
        <f>'9'!AU34</f>
        <v>0.5498272395477658</v>
      </c>
      <c r="H20" s="614">
        <f>'9'!BC34</f>
        <v>0.54762996686903498</v>
      </c>
      <c r="I20" s="614">
        <f>'9'!BK34</f>
        <v>0.58486053795548831</v>
      </c>
      <c r="J20" s="614">
        <f>'9'!BS34</f>
        <v>0.59153306605404543</v>
      </c>
      <c r="K20" s="614">
        <f>'9'!CA34</f>
        <v>0.61972737869565075</v>
      </c>
      <c r="L20" s="614">
        <f>'9'!CI34</f>
        <v>0.60974369887350299</v>
      </c>
    </row>
    <row r="21" spans="1:12">
      <c r="A21" s="611">
        <f t="shared" si="0"/>
        <v>1997</v>
      </c>
      <c r="B21" s="614">
        <f>'9'!G35</f>
        <v>0.56279919499675102</v>
      </c>
      <c r="C21" s="614">
        <f>'9'!O35</f>
        <v>0.52646947167375102</v>
      </c>
      <c r="D21" s="614">
        <f>'9'!W35</f>
        <v>0.45044417570070183</v>
      </c>
      <c r="E21" s="614">
        <f>'9'!AE35</f>
        <v>0.50837444691641598</v>
      </c>
      <c r="F21" s="614">
        <f>'9'!AM35</f>
        <v>0.51249717927068839</v>
      </c>
      <c r="G21" s="614">
        <f>'9'!AU35</f>
        <v>0.54261499745484643</v>
      </c>
      <c r="H21" s="614">
        <f>'9'!BC35</f>
        <v>0.55339924682750474</v>
      </c>
      <c r="I21" s="614">
        <f>'9'!BK35</f>
        <v>0.57279832219417537</v>
      </c>
      <c r="J21" s="614">
        <f>'9'!BS35</f>
        <v>0.58770582509077951</v>
      </c>
      <c r="K21" s="614">
        <f>'9'!CA35</f>
        <v>0.61944656978451196</v>
      </c>
      <c r="L21" s="614">
        <f>'9'!CI35</f>
        <v>0.60848724958557066</v>
      </c>
    </row>
    <row r="22" spans="1:12">
      <c r="A22" s="611">
        <f t="shared" si="0"/>
        <v>1998</v>
      </c>
      <c r="B22" s="614">
        <f>'9'!G36</f>
        <v>0.56631444600833059</v>
      </c>
      <c r="C22" s="614">
        <f>'9'!O36</f>
        <v>0.49442751104606053</v>
      </c>
      <c r="D22" s="614">
        <f>'9'!W36</f>
        <v>0.45776943603870024</v>
      </c>
      <c r="E22" s="614">
        <f>'9'!AE36</f>
        <v>0.51107584277856177</v>
      </c>
      <c r="F22" s="614">
        <f>'9'!AM36</f>
        <v>0.52628654345046377</v>
      </c>
      <c r="G22" s="614">
        <f>'9'!AU36</f>
        <v>0.56627056965767741</v>
      </c>
      <c r="H22" s="614">
        <f>'9'!BC36</f>
        <v>0.554258491625782</v>
      </c>
      <c r="I22" s="614">
        <f>'9'!BK36</f>
        <v>0.60376125618948739</v>
      </c>
      <c r="J22" s="614">
        <f>'9'!BS36</f>
        <v>0.63910218981792299</v>
      </c>
      <c r="K22" s="614">
        <f>'9'!CA36</f>
        <v>0.64091865863076258</v>
      </c>
      <c r="L22" s="614">
        <f>'9'!CI36</f>
        <v>0.55879161033963654</v>
      </c>
    </row>
    <row r="23" spans="1:12">
      <c r="A23" s="611">
        <f t="shared" si="0"/>
        <v>1999</v>
      </c>
      <c r="B23" s="614">
        <f>'9'!G37</f>
        <v>0.57033085877621292</v>
      </c>
      <c r="C23" s="614">
        <f>'9'!O37</f>
        <v>0.50486892942479578</v>
      </c>
      <c r="D23" s="614">
        <f>'9'!W37</f>
        <v>0.45007923326342253</v>
      </c>
      <c r="E23" s="614">
        <f>'9'!AE37</f>
        <v>0.57628755763399309</v>
      </c>
      <c r="F23" s="614">
        <f>'9'!AM37</f>
        <v>0.51798825550025662</v>
      </c>
      <c r="G23" s="614">
        <f>'9'!AU37</f>
        <v>0.56863694137594634</v>
      </c>
      <c r="H23" s="614">
        <f>'9'!BC37</f>
        <v>0.56267555644556888</v>
      </c>
      <c r="I23" s="614">
        <f>'9'!BK37</f>
        <v>0.55423718859588789</v>
      </c>
      <c r="J23" s="614">
        <f>'9'!BS37</f>
        <v>0.61130209045433137</v>
      </c>
      <c r="K23" s="614">
        <f>'9'!CA37</f>
        <v>0.64008680591641787</v>
      </c>
      <c r="L23" s="614">
        <f>'9'!CI37</f>
        <v>0.57089648141486704</v>
      </c>
    </row>
    <row r="24" spans="1:12">
      <c r="A24" s="611">
        <f t="shared" si="0"/>
        <v>2000</v>
      </c>
      <c r="B24" s="614">
        <f>'9'!G38</f>
        <v>0.57886134779821263</v>
      </c>
      <c r="C24" s="614">
        <f>'9'!O38</f>
        <v>0.47377308533973922</v>
      </c>
      <c r="D24" s="614">
        <f>'9'!W38</f>
        <v>0.49744249684194863</v>
      </c>
      <c r="E24" s="614">
        <f>'9'!AE38</f>
        <v>0.54337917554704263</v>
      </c>
      <c r="F24" s="614">
        <f>'9'!AM38</f>
        <v>0.53454163211248873</v>
      </c>
      <c r="G24" s="614">
        <f>'9'!AU38</f>
        <v>0.57332468600192721</v>
      </c>
      <c r="H24" s="614">
        <f>'9'!BC38</f>
        <v>0.57131808333860501</v>
      </c>
      <c r="I24" s="614">
        <f>'9'!BK38</f>
        <v>0.56775842075651128</v>
      </c>
      <c r="J24" s="614">
        <f>'9'!BS38</f>
        <v>0.59259162850887204</v>
      </c>
      <c r="K24" s="614">
        <f>'9'!CA38</f>
        <v>0.63609782744343235</v>
      </c>
      <c r="L24" s="614">
        <f>'9'!CI38</f>
        <v>0.60704245861753581</v>
      </c>
    </row>
    <row r="25" spans="1:12">
      <c r="A25" s="611">
        <f t="shared" si="0"/>
        <v>2001</v>
      </c>
      <c r="B25" s="614">
        <f>'9'!G39</f>
        <v>0.55139674317838749</v>
      </c>
      <c r="C25" s="614">
        <f>'9'!O39</f>
        <v>0.49950470879844366</v>
      </c>
      <c r="D25" s="614">
        <f>'9'!W39</f>
        <v>0.43163235365441127</v>
      </c>
      <c r="E25" s="614">
        <f>'9'!AE39</f>
        <v>0.51603940494434264</v>
      </c>
      <c r="F25" s="614">
        <f>'9'!AM39</f>
        <v>0.47329947601938116</v>
      </c>
      <c r="G25" s="614">
        <f>'9'!AU39</f>
        <v>0.55909850511304449</v>
      </c>
      <c r="H25" s="614">
        <f>'9'!BC39</f>
        <v>0.53995233333456505</v>
      </c>
      <c r="I25" s="614">
        <f>'9'!BK39</f>
        <v>0.52786819158789489</v>
      </c>
      <c r="J25" s="614">
        <f>'9'!BS39</f>
        <v>0.56803531723160205</v>
      </c>
      <c r="K25" s="614">
        <f>'9'!CA39</f>
        <v>0.62609709007118308</v>
      </c>
      <c r="L25" s="614">
        <f>'9'!CI39</f>
        <v>0.55002331892054901</v>
      </c>
    </row>
    <row r="26" spans="1:12">
      <c r="A26" s="611">
        <f t="shared" si="0"/>
        <v>2002</v>
      </c>
      <c r="B26" s="614">
        <f>'9'!G40</f>
        <v>0.51205581417800172</v>
      </c>
      <c r="C26" s="614">
        <f>'9'!O40</f>
        <v>0.47734990143508094</v>
      </c>
      <c r="D26" s="614">
        <f>'9'!W40</f>
        <v>0.47401391023156625</v>
      </c>
      <c r="E26" s="614">
        <f>'9'!AE40</f>
        <v>0.47198552345040967</v>
      </c>
      <c r="F26" s="614">
        <f>'9'!AM40</f>
        <v>0.47031596384641045</v>
      </c>
      <c r="G26" s="614">
        <f>'9'!AU40</f>
        <v>0.53433378650175545</v>
      </c>
      <c r="H26" s="614">
        <f>'9'!BC40</f>
        <v>0.48731835015735403</v>
      </c>
      <c r="I26" s="614">
        <f>'9'!BK40</f>
        <v>0.53490233870051695</v>
      </c>
      <c r="J26" s="614">
        <f>'9'!BS40</f>
        <v>0.53730076682248606</v>
      </c>
      <c r="K26" s="614">
        <f>'9'!CA40</f>
        <v>0.60255218635365027</v>
      </c>
      <c r="L26" s="614">
        <f>'9'!CI40</f>
        <v>0.49134483678116497</v>
      </c>
    </row>
    <row r="27" spans="1:12">
      <c r="A27" s="611">
        <f t="shared" si="0"/>
        <v>2003</v>
      </c>
      <c r="B27" s="614">
        <f>'9'!G41</f>
        <v>0.50774013929159489</v>
      </c>
      <c r="C27" s="614">
        <f>'9'!O41</f>
        <v>0.45163289883695507</v>
      </c>
      <c r="D27" s="614">
        <f>'9'!W41</f>
        <v>0.44015235940963948</v>
      </c>
      <c r="E27" s="614">
        <f>'9'!AE41</f>
        <v>0.47815479311819797</v>
      </c>
      <c r="F27" s="614">
        <f>'9'!AM41</f>
        <v>0.44398761411016308</v>
      </c>
      <c r="G27" s="614">
        <f>'9'!AU41</f>
        <v>0.52412010189365599</v>
      </c>
      <c r="H27" s="614">
        <f>'9'!BC41</f>
        <v>0.48863746059964691</v>
      </c>
      <c r="I27" s="614">
        <f>'9'!BK41</f>
        <v>0.54275876846982352</v>
      </c>
      <c r="J27" s="614">
        <f>'9'!BS41</f>
        <v>0.55049116782559471</v>
      </c>
      <c r="K27" s="614">
        <f>'9'!CA41</f>
        <v>0.5872506918372582</v>
      </c>
      <c r="L27" s="614">
        <f>'9'!CI41</f>
        <v>0.47764982398540601</v>
      </c>
    </row>
    <row r="28" spans="1:12">
      <c r="A28" s="611">
        <f t="shared" si="0"/>
        <v>2004</v>
      </c>
      <c r="B28" s="614">
        <f>'9'!G42</f>
        <v>0.51596623412325804</v>
      </c>
      <c r="C28" s="614">
        <f>'9'!O42</f>
        <v>0.43060369246007757</v>
      </c>
      <c r="D28" s="614">
        <f>'9'!W42</f>
        <v>0.43167904981643213</v>
      </c>
      <c r="E28" s="614">
        <f>'9'!AE42</f>
        <v>0.50070210592867204</v>
      </c>
      <c r="F28" s="614">
        <f>'9'!AM42</f>
        <v>0.45778132091988288</v>
      </c>
      <c r="G28" s="614">
        <f>'9'!AU42</f>
        <v>0.55248116841431039</v>
      </c>
      <c r="H28" s="614">
        <f>'9'!BC42</f>
        <v>0.48246168512621723</v>
      </c>
      <c r="I28" s="614">
        <f>'9'!BK42</f>
        <v>0.54216681123845067</v>
      </c>
      <c r="J28" s="614">
        <f>'9'!BS42</f>
        <v>0.56127288956406873</v>
      </c>
      <c r="K28" s="614">
        <f>'9'!CA42</f>
        <v>0.59647555754004333</v>
      </c>
      <c r="L28" s="614">
        <f>'9'!CI42</f>
        <v>0.49377195146083552</v>
      </c>
    </row>
    <row r="29" spans="1:12">
      <c r="A29" s="611">
        <f t="shared" si="0"/>
        <v>2005</v>
      </c>
      <c r="B29" s="614">
        <f>'9'!G43</f>
        <v>0.51756411217884624</v>
      </c>
      <c r="C29" s="614">
        <f>'9'!O43</f>
        <v>0.42251369007689143</v>
      </c>
      <c r="D29" s="614">
        <f>'9'!W43</f>
        <v>0.45814107602301746</v>
      </c>
      <c r="E29" s="614">
        <f>'9'!AE43</f>
        <v>0.49780100951551504</v>
      </c>
      <c r="F29" s="614">
        <f>'9'!AM43</f>
        <v>0.42027655538547404</v>
      </c>
      <c r="G29" s="614">
        <f>'9'!AU43</f>
        <v>0.52681679918809898</v>
      </c>
      <c r="H29" s="614">
        <f>'9'!BC43</f>
        <v>0.47790822092754648</v>
      </c>
      <c r="I29" s="614">
        <f>'9'!BK43</f>
        <v>0.52631429879034175</v>
      </c>
      <c r="J29" s="614">
        <f>'9'!BS43</f>
        <v>0.54506159028490564</v>
      </c>
      <c r="K29" s="614">
        <f>'9'!CA43</f>
        <v>0.63693588629069842</v>
      </c>
      <c r="L29" s="614">
        <f>'9'!CI43</f>
        <v>0.54289205102477045</v>
      </c>
    </row>
    <row r="30" spans="1:12">
      <c r="A30" s="611">
        <f t="shared" si="0"/>
        <v>2006</v>
      </c>
      <c r="B30" s="614">
        <f>'9'!G44</f>
        <v>0.52194964780300157</v>
      </c>
      <c r="C30" s="614">
        <f>'9'!O44</f>
        <v>0.503064502170112</v>
      </c>
      <c r="D30" s="614">
        <f>'9'!W44</f>
        <v>0.41895251853988613</v>
      </c>
      <c r="E30" s="614">
        <f>'9'!AE44</f>
        <v>0.47442374385681746</v>
      </c>
      <c r="F30" s="614">
        <f>'9'!AM44</f>
        <v>0.42970624808759206</v>
      </c>
      <c r="G30" s="614">
        <f>'9'!AU44</f>
        <v>0.5344464201294542</v>
      </c>
      <c r="H30" s="614">
        <f>'9'!BC44</f>
        <v>0.47943308971779913</v>
      </c>
      <c r="I30" s="614">
        <f>'9'!BK44</f>
        <v>0.54980411080613856</v>
      </c>
      <c r="J30" s="614">
        <f>'9'!BS44</f>
        <v>0.53957873098526143</v>
      </c>
      <c r="K30" s="614">
        <f>'9'!CA44</f>
        <v>0.65962016254038347</v>
      </c>
      <c r="L30" s="614">
        <f>'9'!CI44</f>
        <v>0.5260128679861612</v>
      </c>
    </row>
    <row r="31" spans="1:12">
      <c r="A31" s="611">
        <f t="shared" si="0"/>
        <v>2007</v>
      </c>
      <c r="B31" s="614">
        <f>'9'!G45</f>
        <v>0.52971044644617782</v>
      </c>
      <c r="C31" s="614">
        <f>'9'!O45</f>
        <v>0.47422061376665747</v>
      </c>
      <c r="D31" s="614">
        <f>'9'!W45</f>
        <v>0.45602704685559181</v>
      </c>
      <c r="E31" s="614">
        <f>'9'!AE45</f>
        <v>0.46240489681755076</v>
      </c>
      <c r="F31" s="614">
        <f>'9'!AM45</f>
        <v>0.46219815595868874</v>
      </c>
      <c r="G31" s="614">
        <f>'9'!AU45</f>
        <v>0.54179939300696378</v>
      </c>
      <c r="H31" s="614">
        <f>'9'!BC45</f>
        <v>0.48379150242867963</v>
      </c>
      <c r="I31" s="614">
        <f>'9'!BK45</f>
        <v>0.54530907348558999</v>
      </c>
      <c r="J31" s="614">
        <f>'9'!BS45</f>
        <v>0.5813283221004123</v>
      </c>
      <c r="K31" s="614">
        <f>'9'!CA45</f>
        <v>0.64713182237130851</v>
      </c>
      <c r="L31" s="614">
        <f>'9'!CI45</f>
        <v>0.5516852389215201</v>
      </c>
    </row>
    <row r="32" spans="1:12">
      <c r="A32" s="611">
        <f t="shared" si="0"/>
        <v>2008</v>
      </c>
      <c r="B32" s="614">
        <f>'9'!G46</f>
        <v>0.52098448905782768</v>
      </c>
      <c r="C32" s="614">
        <f>'9'!O46</f>
        <v>0.47363544773355193</v>
      </c>
      <c r="D32" s="614">
        <f>'9'!W46</f>
        <v>0.4239921492289318</v>
      </c>
      <c r="E32" s="614">
        <f>'9'!AE46</f>
        <v>0.43828585190456404</v>
      </c>
      <c r="F32" s="614">
        <f>'9'!AM46</f>
        <v>0.44300580529577527</v>
      </c>
      <c r="G32" s="614">
        <f>'9'!AU46</f>
        <v>0.5309923609365208</v>
      </c>
      <c r="H32" s="614">
        <f>'9'!BC46</f>
        <v>0.46402463332582</v>
      </c>
      <c r="I32" s="614">
        <f>'9'!BK46</f>
        <v>0.55656450916064115</v>
      </c>
      <c r="J32" s="614">
        <f>'9'!BS46</f>
        <v>0.63483534072125725</v>
      </c>
      <c r="K32" s="614">
        <f>'9'!CA46</f>
        <v>0.65600527393835106</v>
      </c>
      <c r="L32" s="614">
        <f>'9'!CI46</f>
        <v>0.53503075504935782</v>
      </c>
    </row>
    <row r="33" spans="1:12">
      <c r="A33" s="611">
        <f t="shared" si="0"/>
        <v>2009</v>
      </c>
      <c r="B33" s="614">
        <f>'9'!G47</f>
        <v>0.48573658005511883</v>
      </c>
      <c r="C33" s="614">
        <f>'9'!O47</f>
        <v>0.45899527638509663</v>
      </c>
      <c r="D33" s="614">
        <f>'9'!W47</f>
        <v>0.42819014567816238</v>
      </c>
      <c r="E33" s="614">
        <f>'9'!AE47</f>
        <v>0.40225455394959675</v>
      </c>
      <c r="F33" s="614">
        <f>'9'!AM47</f>
        <v>0.42334944065335423</v>
      </c>
      <c r="G33" s="614">
        <f>'9'!AU47</f>
        <v>0.49796487617219848</v>
      </c>
      <c r="H33" s="614">
        <f>'9'!BC47</f>
        <v>0.43316800828593127</v>
      </c>
      <c r="I33" s="614">
        <f>'9'!BK47</f>
        <v>0.52552605567741117</v>
      </c>
      <c r="J33" s="614">
        <f>'9'!BS47</f>
        <v>0.5954554782091106</v>
      </c>
      <c r="K33" s="614">
        <f>'9'!CA47</f>
        <v>0.61584323728248902</v>
      </c>
      <c r="L33" s="614">
        <f>'9'!CI47</f>
        <v>0.49199350820397819</v>
      </c>
    </row>
    <row r="34" spans="1:12">
      <c r="A34" s="611">
        <f t="shared" si="0"/>
        <v>2010</v>
      </c>
      <c r="B34" s="614">
        <f>'9'!G48</f>
        <v>0.48472340768248307</v>
      </c>
      <c r="C34" s="614">
        <f>'9'!O48</f>
        <v>0.47297315923293426</v>
      </c>
      <c r="D34" s="614">
        <f>'9'!W48</f>
        <v>0.45422804823823049</v>
      </c>
      <c r="E34" s="614">
        <f>'9'!AE48</f>
        <v>0.39301948177345436</v>
      </c>
      <c r="F34" s="614">
        <f>'9'!AM48</f>
        <v>0.41103494289026249</v>
      </c>
      <c r="G34" s="614">
        <f>'9'!AU48</f>
        <v>0.49951556067048475</v>
      </c>
      <c r="H34" s="614">
        <f>'9'!BC48</f>
        <v>0.42629406192423747</v>
      </c>
      <c r="I34" s="614">
        <f>'9'!BK48</f>
        <v>0.52085201986743479</v>
      </c>
      <c r="J34" s="614">
        <f>'9'!BS48</f>
        <v>0.59553343581439844</v>
      </c>
      <c r="K34" s="614">
        <f>'9'!CA48</f>
        <v>0.62013965685631289</v>
      </c>
      <c r="L34" s="614">
        <f>'9'!CI48</f>
        <v>0.49116511425617471</v>
      </c>
    </row>
    <row r="35" spans="1:12">
      <c r="A35" s="611" t="s">
        <v>1499</v>
      </c>
      <c r="B35" s="611"/>
      <c r="C35" s="611"/>
      <c r="D35" s="611"/>
      <c r="E35" s="611"/>
      <c r="F35" s="611"/>
      <c r="G35" s="611"/>
      <c r="H35" s="611"/>
      <c r="I35" s="611"/>
      <c r="J35" s="611"/>
      <c r="K35" s="611"/>
      <c r="L35" s="611"/>
    </row>
    <row r="36" spans="1:12">
      <c r="A36" s="611" t="s">
        <v>1498</v>
      </c>
      <c r="B36" s="615">
        <f>B34-B5</f>
        <v>-0.14729254529242658</v>
      </c>
      <c r="C36" s="615">
        <f t="shared" ref="C36:L36" si="1">C34-C5</f>
        <v>5.9871084417736919E-2</v>
      </c>
      <c r="D36" s="615">
        <f t="shared" si="1"/>
        <v>3.0867184475913412E-3</v>
      </c>
      <c r="E36" s="615">
        <f t="shared" si="1"/>
        <v>-0.23641705718416761</v>
      </c>
      <c r="F36" s="615">
        <f t="shared" si="1"/>
        <v>-0.10913641838832439</v>
      </c>
      <c r="G36" s="615">
        <f t="shared" si="1"/>
        <v>-6.1617509528376857E-2</v>
      </c>
      <c r="H36" s="615">
        <f t="shared" si="1"/>
        <v>-0.25558122083750257</v>
      </c>
      <c r="I36" s="615">
        <f t="shared" si="1"/>
        <v>-9.3690301318484659E-2</v>
      </c>
      <c r="J36" s="615">
        <f t="shared" si="1"/>
        <v>-0.12529830991380131</v>
      </c>
      <c r="K36" s="615">
        <f t="shared" si="1"/>
        <v>-9.2749363114025152E-2</v>
      </c>
      <c r="L36" s="615">
        <f t="shared" si="1"/>
        <v>-0.11836549296246568</v>
      </c>
    </row>
    <row r="37" spans="1:12">
      <c r="A37" s="611" t="s">
        <v>1472</v>
      </c>
      <c r="B37" s="615">
        <f>B13-B5</f>
        <v>4.7274051325295607E-3</v>
      </c>
      <c r="C37" s="615">
        <f t="shared" ref="C37:L37" si="2">C13-C5</f>
        <v>0.15963345703427867</v>
      </c>
      <c r="D37" s="615">
        <f t="shared" si="2"/>
        <v>0.11642242500066502</v>
      </c>
      <c r="E37" s="615">
        <f t="shared" si="2"/>
        <v>-2.2436975421807448E-2</v>
      </c>
      <c r="F37" s="615">
        <f t="shared" si="2"/>
        <v>3.2123951544884011E-2</v>
      </c>
      <c r="G37" s="615">
        <f t="shared" si="2"/>
        <v>3.6766179011449407E-2</v>
      </c>
      <c r="H37" s="615">
        <f t="shared" si="2"/>
        <v>1.5599060034892087E-2</v>
      </c>
      <c r="I37" s="615">
        <f t="shared" si="2"/>
        <v>2.639501369759778E-2</v>
      </c>
      <c r="J37" s="615">
        <f t="shared" si="2"/>
        <v>-0.10659938186268436</v>
      </c>
      <c r="K37" s="615">
        <f t="shared" si="2"/>
        <v>-8.0570646324291562E-2</v>
      </c>
      <c r="L37" s="615">
        <f t="shared" si="2"/>
        <v>-2.5569309521647487E-2</v>
      </c>
    </row>
    <row r="38" spans="1:12">
      <c r="A38" s="611" t="s">
        <v>1473</v>
      </c>
      <c r="B38" s="615">
        <f>B24-B13</f>
        <v>-5.7882010309226573E-2</v>
      </c>
      <c r="C38" s="615">
        <f t="shared" ref="C38:L38" si="3">C24-C13</f>
        <v>-9.896244650973679E-2</v>
      </c>
      <c r="D38" s="615">
        <f t="shared" si="3"/>
        <v>-7.0121257949355531E-2</v>
      </c>
      <c r="E38" s="615">
        <f t="shared" si="3"/>
        <v>-6.3620387988771898E-2</v>
      </c>
      <c r="F38" s="615">
        <f t="shared" si="3"/>
        <v>-1.7753680710982156E-2</v>
      </c>
      <c r="G38" s="615">
        <f t="shared" si="3"/>
        <v>-2.4574563208383804E-2</v>
      </c>
      <c r="H38" s="615">
        <f t="shared" si="3"/>
        <v>-0.12615625945802711</v>
      </c>
      <c r="I38" s="615">
        <f t="shared" si="3"/>
        <v>-7.3178914127005945E-2</v>
      </c>
      <c r="J38" s="615">
        <f t="shared" si="3"/>
        <v>-2.1640735356643348E-2</v>
      </c>
      <c r="K38" s="615">
        <f t="shared" si="3"/>
        <v>3.7794537973858677E-3</v>
      </c>
      <c r="L38" s="615">
        <f t="shared" si="3"/>
        <v>2.3081160920542909E-2</v>
      </c>
    </row>
    <row r="39" spans="1:12">
      <c r="A39" s="611" t="s">
        <v>1474</v>
      </c>
      <c r="B39" s="615">
        <f>B32-B24</f>
        <v>-5.7876858740384951E-2</v>
      </c>
      <c r="C39" s="615">
        <f t="shared" ref="C39:L39" si="4">C32-C24</f>
        <v>-1.3763760618729082E-4</v>
      </c>
      <c r="D39" s="615">
        <f t="shared" si="4"/>
        <v>-7.3450347613016831E-2</v>
      </c>
      <c r="E39" s="615">
        <f t="shared" si="4"/>
        <v>-0.10509332364247859</v>
      </c>
      <c r="F39" s="615">
        <f t="shared" si="4"/>
        <v>-9.1535826816713461E-2</v>
      </c>
      <c r="G39" s="615">
        <f t="shared" si="4"/>
        <v>-4.2332325065406406E-2</v>
      </c>
      <c r="H39" s="615">
        <f t="shared" si="4"/>
        <v>-0.10729345001278501</v>
      </c>
      <c r="I39" s="615">
        <f t="shared" si="4"/>
        <v>-1.1193911595870132E-2</v>
      </c>
      <c r="J39" s="615">
        <f t="shared" si="4"/>
        <v>4.2243712212385209E-2</v>
      </c>
      <c r="K39" s="615">
        <f t="shared" si="4"/>
        <v>1.9907446494918712E-2</v>
      </c>
      <c r="L39" s="615">
        <f t="shared" si="4"/>
        <v>-7.2011703568177987E-2</v>
      </c>
    </row>
    <row r="40" spans="1:12">
      <c r="A40" s="611" t="s">
        <v>1500</v>
      </c>
      <c r="B40" s="611"/>
      <c r="C40" s="611"/>
      <c r="D40" s="611"/>
      <c r="E40" s="611"/>
      <c r="F40" s="611"/>
      <c r="G40" s="611"/>
      <c r="H40" s="611"/>
      <c r="I40" s="611"/>
      <c r="J40" s="611"/>
      <c r="K40" s="611"/>
      <c r="L40" s="611"/>
    </row>
    <row r="41" spans="1:12">
      <c r="A41" s="611" t="s">
        <v>1498</v>
      </c>
      <c r="B41" s="616">
        <f>100*(B34-B5)/B5</f>
        <v>-23.305194212126782</v>
      </c>
      <c r="C41" s="616">
        <f t="shared" ref="C41:L41" si="5">100*(C34-C5)/C5</f>
        <v>14.49304858720946</v>
      </c>
      <c r="D41" s="616">
        <f t="shared" si="5"/>
        <v>0.68420209893511474</v>
      </c>
      <c r="E41" s="616">
        <f t="shared" si="5"/>
        <v>-37.560110122568666</v>
      </c>
      <c r="F41" s="616">
        <f t="shared" si="5"/>
        <v>-20.980858715494424</v>
      </c>
      <c r="G41" s="616">
        <f t="shared" si="5"/>
        <v>-10.980908593845671</v>
      </c>
      <c r="H41" s="616">
        <f t="shared" si="5"/>
        <v>-37.482106669469559</v>
      </c>
      <c r="I41" s="616">
        <f t="shared" si="5"/>
        <v>-15.245540964157653</v>
      </c>
      <c r="J41" s="616">
        <f>100*(J34-J5)/J5</f>
        <v>-17.382462780856336</v>
      </c>
      <c r="K41" s="616">
        <f t="shared" si="5"/>
        <v>-13.010350912388056</v>
      </c>
      <c r="L41" s="616">
        <f t="shared" si="5"/>
        <v>-19.419122118014926</v>
      </c>
    </row>
    <row r="42" spans="1:12">
      <c r="A42" s="611" t="s">
        <v>1472</v>
      </c>
      <c r="B42" s="616">
        <f>100*(B13-B5)/B5</f>
        <v>0.74798826046677869</v>
      </c>
      <c r="C42" s="616">
        <f t="shared" ref="C42:L42" si="6">100*(C13-C5)/C5</f>
        <v>38.642618075857222</v>
      </c>
      <c r="D42" s="616">
        <f t="shared" si="6"/>
        <v>25.806198038803736</v>
      </c>
      <c r="E42" s="616">
        <f t="shared" si="6"/>
        <v>-3.564612797815041</v>
      </c>
      <c r="F42" s="616">
        <f t="shared" si="6"/>
        <v>6.1756478607209342</v>
      </c>
      <c r="G42" s="616">
        <f t="shared" si="6"/>
        <v>6.5521319209398463</v>
      </c>
      <c r="H42" s="616">
        <f t="shared" si="6"/>
        <v>2.2876705505019297</v>
      </c>
      <c r="I42" s="616">
        <f t="shared" si="6"/>
        <v>4.2950685066997059</v>
      </c>
      <c r="J42" s="616">
        <f t="shared" si="6"/>
        <v>-14.788386124003926</v>
      </c>
      <c r="K42" s="616">
        <f t="shared" si="6"/>
        <v>-11.301990080818465</v>
      </c>
      <c r="L42" s="616">
        <f t="shared" si="6"/>
        <v>-4.1949180597055236</v>
      </c>
    </row>
    <row r="43" spans="1:12">
      <c r="A43" s="611" t="s">
        <v>1473</v>
      </c>
      <c r="B43" s="616">
        <f>100*(B24-B13)/B13</f>
        <v>-9.0903202321994225</v>
      </c>
      <c r="C43" s="616">
        <f t="shared" ref="C43:L43" si="7">100*(C24-C13)/C13</f>
        <v>-17.278908153326466</v>
      </c>
      <c r="D43" s="616">
        <f t="shared" si="7"/>
        <v>-12.354780825484433</v>
      </c>
      <c r="E43" s="616">
        <f t="shared" si="7"/>
        <v>-10.481125821273864</v>
      </c>
      <c r="F43" s="616">
        <f t="shared" si="7"/>
        <v>-3.2145267755797038</v>
      </c>
      <c r="G43" s="616">
        <f t="shared" si="7"/>
        <v>-4.1101512070539004</v>
      </c>
      <c r="H43" s="616">
        <f t="shared" si="7"/>
        <v>-18.087584261835914</v>
      </c>
      <c r="I43" s="616">
        <f t="shared" si="7"/>
        <v>-11.417483448722074</v>
      </c>
      <c r="J43" s="616">
        <f t="shared" si="7"/>
        <v>-3.5232163965527437</v>
      </c>
      <c r="K43" s="616">
        <f t="shared" si="7"/>
        <v>0.59771373961394592</v>
      </c>
      <c r="L43" s="616">
        <f t="shared" si="7"/>
        <v>3.9525155197047512</v>
      </c>
    </row>
    <row r="44" spans="1:12">
      <c r="A44" s="611" t="s">
        <v>1474</v>
      </c>
      <c r="B44" s="616">
        <f>100*(B32-B24)/B24</f>
        <v>-9.9983975369107654</v>
      </c>
      <c r="C44" s="616">
        <f t="shared" ref="C44:L44" si="8">100*(C32-C24)/C24</f>
        <v>-2.9051377219664536E-2</v>
      </c>
      <c r="D44" s="616">
        <f t="shared" si="8"/>
        <v>-14.765595637550456</v>
      </c>
      <c r="E44" s="616">
        <f t="shared" si="8"/>
        <v>-19.340697688069611</v>
      </c>
      <c r="F44" s="616">
        <f t="shared" si="8"/>
        <v>-17.124171686116807</v>
      </c>
      <c r="G44" s="616">
        <f t="shared" si="8"/>
        <v>-7.3836564339502573</v>
      </c>
      <c r="H44" s="616">
        <f t="shared" si="8"/>
        <v>-18.779984940402286</v>
      </c>
      <c r="I44" s="616">
        <f t="shared" si="8"/>
        <v>-1.971597634950931</v>
      </c>
      <c r="J44" s="616">
        <f t="shared" si="8"/>
        <v>7.1286380333590467</v>
      </c>
      <c r="K44" s="616">
        <f t="shared" si="8"/>
        <v>3.1296202621740701</v>
      </c>
      <c r="L44" s="616">
        <f t="shared" si="8"/>
        <v>-11.862712821138697</v>
      </c>
    </row>
    <row r="45" spans="1:12">
      <c r="A45" s="611" t="s">
        <v>1501</v>
      </c>
      <c r="B45" s="611"/>
      <c r="C45" s="611"/>
      <c r="D45" s="611"/>
      <c r="E45" s="611"/>
      <c r="F45" s="611"/>
      <c r="G45" s="611"/>
      <c r="H45" s="611"/>
      <c r="I45" s="611"/>
      <c r="J45" s="611"/>
      <c r="K45" s="611"/>
      <c r="L45" s="611"/>
    </row>
    <row r="46" spans="1:12">
      <c r="A46" s="611" t="s">
        <v>1498</v>
      </c>
      <c r="B46" s="617">
        <f>100*(POWER(B34/B5, 1/29)-1)</f>
        <v>-0.9107794643500422</v>
      </c>
      <c r="C46" s="617">
        <f t="shared" ref="C46:L46" si="9">100*(POWER(C34/C5, 1/29)-1)</f>
        <v>0.46779394219629289</v>
      </c>
      <c r="D46" s="617">
        <f t="shared" si="9"/>
        <v>2.3515594084533298E-2</v>
      </c>
      <c r="E46" s="617">
        <f t="shared" si="9"/>
        <v>-1.6109040771098759</v>
      </c>
      <c r="F46" s="617">
        <f t="shared" si="9"/>
        <v>-0.80871241806569349</v>
      </c>
      <c r="G46" s="617">
        <f t="shared" si="9"/>
        <v>-0.40029779857423398</v>
      </c>
      <c r="H46" s="617">
        <f t="shared" si="9"/>
        <v>-1.6066682435276647</v>
      </c>
      <c r="I46" s="617">
        <f t="shared" si="9"/>
        <v>-0.568762000444889</v>
      </c>
      <c r="J46" s="617">
        <f t="shared" si="9"/>
        <v>-0.65627913361790968</v>
      </c>
      <c r="K46" s="617">
        <f t="shared" si="9"/>
        <v>-0.47947116131473733</v>
      </c>
      <c r="L46" s="617">
        <f t="shared" si="9"/>
        <v>-0.74174851011554743</v>
      </c>
    </row>
    <row r="47" spans="1:12">
      <c r="A47" s="611" t="s">
        <v>1472</v>
      </c>
      <c r="B47" s="617">
        <f>100*(POWER(B13/B5, 1/8)-1)</f>
        <v>9.3193986150308383E-2</v>
      </c>
      <c r="C47" s="617">
        <f t="shared" ref="C47:L47" si="10">100*(POWER(C13/C5, 1/8)-1)</f>
        <v>4.1686639132249681</v>
      </c>
      <c r="D47" s="617">
        <f t="shared" si="10"/>
        <v>2.9112266324324843</v>
      </c>
      <c r="E47" s="617">
        <f t="shared" si="10"/>
        <v>-0.45268433887742932</v>
      </c>
      <c r="F47" s="617">
        <f t="shared" si="10"/>
        <v>0.75186985300921272</v>
      </c>
      <c r="G47" s="617">
        <f t="shared" si="10"/>
        <v>0.79645724221735215</v>
      </c>
      <c r="H47" s="617">
        <f t="shared" si="10"/>
        <v>0.2831370432761382</v>
      </c>
      <c r="I47" s="617">
        <f t="shared" si="10"/>
        <v>0.52705775177566139</v>
      </c>
      <c r="J47" s="617">
        <f t="shared" si="10"/>
        <v>-1.9805302413156922</v>
      </c>
      <c r="K47" s="617">
        <f t="shared" si="10"/>
        <v>-1.4879777172756681</v>
      </c>
      <c r="L47" s="617">
        <f t="shared" si="10"/>
        <v>-0.53424847731270431</v>
      </c>
    </row>
    <row r="48" spans="1:12">
      <c r="A48" s="611" t="s">
        <v>1473</v>
      </c>
      <c r="B48" s="617">
        <f>100*(POWER(B24/B13, 1/11)-1)</f>
        <v>-0.86265488883296992</v>
      </c>
      <c r="C48" s="617">
        <f t="shared" ref="C48:L48" si="11">100*(POWER(C24/C13, 1/11)-1)</f>
        <v>-1.7097207532725256</v>
      </c>
      <c r="D48" s="617">
        <f t="shared" si="11"/>
        <v>-1.1916890168971128</v>
      </c>
      <c r="E48" s="617">
        <f t="shared" si="11"/>
        <v>-1.0015030234501787</v>
      </c>
      <c r="F48" s="617">
        <f t="shared" si="11"/>
        <v>-0.2965890572749319</v>
      </c>
      <c r="G48" s="617">
        <f t="shared" si="11"/>
        <v>-0.38081905354049317</v>
      </c>
      <c r="H48" s="617">
        <f t="shared" si="11"/>
        <v>-1.7974640272414577</v>
      </c>
      <c r="I48" s="617">
        <f t="shared" si="11"/>
        <v>-1.0960911881161772</v>
      </c>
      <c r="J48" s="617">
        <f t="shared" si="11"/>
        <v>-0.32553979376607201</v>
      </c>
      <c r="K48" s="617">
        <f t="shared" si="11"/>
        <v>5.4190542980703249E-2</v>
      </c>
      <c r="L48" s="617">
        <f t="shared" si="11"/>
        <v>0.35302190831314473</v>
      </c>
    </row>
    <row r="49" spans="1:12">
      <c r="A49" s="611" t="s">
        <v>1474</v>
      </c>
      <c r="B49" s="617">
        <f>100*(POWER(B32/B24, 1/8)-1)</f>
        <v>-1.3081522127618261</v>
      </c>
      <c r="C49" s="617">
        <f t="shared" ref="C49:L49" si="12">100*(POWER(C32/C24, 1/8)-1)</f>
        <v>-3.6318837892235223E-3</v>
      </c>
      <c r="D49" s="617">
        <f t="shared" si="12"/>
        <v>-1.97725361923351</v>
      </c>
      <c r="E49" s="617">
        <f t="shared" si="12"/>
        <v>-2.6509298457872532</v>
      </c>
      <c r="F49" s="617">
        <f t="shared" si="12"/>
        <v>-2.3204870960910728</v>
      </c>
      <c r="G49" s="617">
        <f t="shared" si="12"/>
        <v>-0.95422514476264375</v>
      </c>
      <c r="H49" s="617">
        <f t="shared" si="12"/>
        <v>-2.5665942980386824</v>
      </c>
      <c r="I49" s="617">
        <f t="shared" si="12"/>
        <v>-0.24860208760469904</v>
      </c>
      <c r="J49" s="617">
        <f t="shared" si="12"/>
        <v>0.86446700812352617</v>
      </c>
      <c r="K49" s="617">
        <f t="shared" si="12"/>
        <v>0.38594862348133585</v>
      </c>
      <c r="L49" s="617">
        <f t="shared" si="12"/>
        <v>-1.5660393778804127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EH97"/>
  <sheetViews>
    <sheetView view="pageBreakPreview" zoomScaleSheetLayoutView="100" workbookViewId="0">
      <pane ySplit="5" topLeftCell="A6" activePane="bottomLeft" state="frozen"/>
      <selection activeCell="E9" sqref="E9"/>
      <selection pane="bottomLeft" activeCell="E9" sqref="E9"/>
    </sheetView>
  </sheetViews>
  <sheetFormatPr defaultRowHeight="12.75"/>
  <cols>
    <col min="1" max="1" width="8.875" style="1" customWidth="1"/>
    <col min="2" max="2" width="10" style="1" customWidth="1"/>
    <col min="3" max="3" width="11.125" style="1" customWidth="1"/>
    <col min="4" max="6" width="10" style="1" customWidth="1"/>
    <col min="7" max="7" width="9.875" style="1" customWidth="1"/>
    <col min="8" max="26" width="10" style="1" customWidth="1"/>
    <col min="27" max="27" width="11.5" style="1" customWidth="1"/>
    <col min="28" max="46" width="10" style="1" customWidth="1"/>
    <col min="47" max="16384" width="9" style="1"/>
  </cols>
  <sheetData>
    <row r="1" spans="1:45" ht="15.75">
      <c r="B1" s="2" t="s">
        <v>172</v>
      </c>
      <c r="R1" s="2" t="s">
        <v>173</v>
      </c>
      <c r="AH1" s="2" t="s">
        <v>174</v>
      </c>
    </row>
    <row r="3" spans="1:45" s="3" customFormat="1" ht="15">
      <c r="B3" s="3" t="s">
        <v>321</v>
      </c>
      <c r="F3" s="3" t="s">
        <v>370</v>
      </c>
      <c r="J3" s="3" t="s">
        <v>371</v>
      </c>
      <c r="N3" s="3" t="s">
        <v>372</v>
      </c>
      <c r="R3" s="3" t="s">
        <v>373</v>
      </c>
      <c r="V3" s="3" t="s">
        <v>374</v>
      </c>
      <c r="Z3" s="3" t="s">
        <v>375</v>
      </c>
      <c r="AD3" s="3" t="s">
        <v>376</v>
      </c>
      <c r="AH3" s="3" t="s">
        <v>377</v>
      </c>
      <c r="AL3" s="3" t="s">
        <v>378</v>
      </c>
      <c r="AP3" s="3" t="s">
        <v>379</v>
      </c>
    </row>
    <row r="4" spans="1:45" s="4" customFormat="1" ht="38.25">
      <c r="B4" s="4" t="s">
        <v>130</v>
      </c>
      <c r="C4" s="4" t="s">
        <v>394</v>
      </c>
      <c r="D4" s="4" t="s">
        <v>395</v>
      </c>
      <c r="E4" s="4" t="s">
        <v>396</v>
      </c>
      <c r="F4" s="4" t="s">
        <v>130</v>
      </c>
      <c r="G4" s="4" t="s">
        <v>394</v>
      </c>
      <c r="H4" s="4" t="s">
        <v>395</v>
      </c>
      <c r="I4" s="4" t="s">
        <v>396</v>
      </c>
      <c r="J4" s="4" t="s">
        <v>130</v>
      </c>
      <c r="K4" s="4" t="s">
        <v>394</v>
      </c>
      <c r="L4" s="4" t="s">
        <v>395</v>
      </c>
      <c r="M4" s="4" t="s">
        <v>396</v>
      </c>
      <c r="N4" s="4" t="s">
        <v>130</v>
      </c>
      <c r="O4" s="4" t="s">
        <v>394</v>
      </c>
      <c r="P4" s="4" t="s">
        <v>395</v>
      </c>
      <c r="Q4" s="4" t="s">
        <v>396</v>
      </c>
      <c r="R4" s="4" t="s">
        <v>130</v>
      </c>
      <c r="S4" s="4" t="s">
        <v>394</v>
      </c>
      <c r="T4" s="4" t="s">
        <v>395</v>
      </c>
      <c r="U4" s="4" t="s">
        <v>396</v>
      </c>
      <c r="V4" s="4" t="s">
        <v>130</v>
      </c>
      <c r="W4" s="4" t="s">
        <v>394</v>
      </c>
      <c r="X4" s="4" t="s">
        <v>395</v>
      </c>
      <c r="Y4" s="4" t="s">
        <v>396</v>
      </c>
      <c r="Z4" s="4" t="s">
        <v>130</v>
      </c>
      <c r="AA4" s="4" t="s">
        <v>394</v>
      </c>
      <c r="AB4" s="4" t="s">
        <v>395</v>
      </c>
      <c r="AC4" s="4" t="s">
        <v>396</v>
      </c>
      <c r="AD4" s="4" t="s">
        <v>130</v>
      </c>
      <c r="AE4" s="4" t="s">
        <v>394</v>
      </c>
      <c r="AF4" s="4" t="s">
        <v>395</v>
      </c>
      <c r="AG4" s="4" t="s">
        <v>396</v>
      </c>
      <c r="AH4" s="4" t="s">
        <v>130</v>
      </c>
      <c r="AI4" s="4" t="s">
        <v>394</v>
      </c>
      <c r="AJ4" s="4" t="s">
        <v>395</v>
      </c>
      <c r="AK4" s="4" t="s">
        <v>396</v>
      </c>
      <c r="AL4" s="4" t="s">
        <v>130</v>
      </c>
      <c r="AM4" s="4" t="s">
        <v>394</v>
      </c>
      <c r="AN4" s="4" t="s">
        <v>395</v>
      </c>
      <c r="AO4" s="4" t="s">
        <v>396</v>
      </c>
      <c r="AP4" s="4" t="s">
        <v>130</v>
      </c>
      <c r="AQ4" s="4" t="s">
        <v>394</v>
      </c>
      <c r="AR4" s="4" t="s">
        <v>395</v>
      </c>
      <c r="AS4" s="4" t="s">
        <v>396</v>
      </c>
    </row>
    <row r="5" spans="1:45" s="4" customFormat="1"/>
    <row r="6" spans="1:45" s="4" customFormat="1">
      <c r="B6" s="4" t="s">
        <v>105</v>
      </c>
      <c r="C6" s="4" t="s">
        <v>106</v>
      </c>
      <c r="D6" s="4" t="s">
        <v>131</v>
      </c>
      <c r="E6" s="4" t="s">
        <v>171</v>
      </c>
      <c r="F6" s="4" t="s">
        <v>105</v>
      </c>
      <c r="G6" s="4" t="s">
        <v>106</v>
      </c>
      <c r="H6" s="4" t="s">
        <v>131</v>
      </c>
      <c r="I6" s="4" t="s">
        <v>171</v>
      </c>
      <c r="J6" s="4" t="s">
        <v>105</v>
      </c>
      <c r="K6" s="4" t="s">
        <v>106</v>
      </c>
      <c r="L6" s="4" t="s">
        <v>131</v>
      </c>
      <c r="M6" s="4" t="s">
        <v>171</v>
      </c>
      <c r="N6" s="4" t="s">
        <v>105</v>
      </c>
      <c r="O6" s="4" t="s">
        <v>106</v>
      </c>
      <c r="P6" s="4" t="s">
        <v>131</v>
      </c>
      <c r="Q6" s="4" t="s">
        <v>171</v>
      </c>
      <c r="R6" s="4" t="s">
        <v>105</v>
      </c>
      <c r="S6" s="4" t="s">
        <v>106</v>
      </c>
      <c r="T6" s="4" t="s">
        <v>131</v>
      </c>
      <c r="U6" s="4" t="s">
        <v>171</v>
      </c>
      <c r="V6" s="4" t="s">
        <v>105</v>
      </c>
      <c r="W6" s="4" t="s">
        <v>106</v>
      </c>
      <c r="X6" s="4" t="s">
        <v>131</v>
      </c>
      <c r="Y6" s="4" t="s">
        <v>171</v>
      </c>
      <c r="Z6" s="4" t="s">
        <v>105</v>
      </c>
      <c r="AA6" s="4" t="s">
        <v>106</v>
      </c>
      <c r="AB6" s="4" t="s">
        <v>131</v>
      </c>
      <c r="AC6" s="4" t="s">
        <v>171</v>
      </c>
      <c r="AD6" s="4" t="s">
        <v>105</v>
      </c>
      <c r="AE6" s="4" t="s">
        <v>106</v>
      </c>
      <c r="AF6" s="4" t="s">
        <v>131</v>
      </c>
      <c r="AG6" s="4" t="s">
        <v>171</v>
      </c>
      <c r="AH6" s="4" t="s">
        <v>105</v>
      </c>
      <c r="AI6" s="4" t="s">
        <v>106</v>
      </c>
      <c r="AJ6" s="4" t="s">
        <v>131</v>
      </c>
      <c r="AK6" s="4" t="s">
        <v>171</v>
      </c>
      <c r="AL6" s="4" t="s">
        <v>105</v>
      </c>
      <c r="AM6" s="4" t="s">
        <v>106</v>
      </c>
      <c r="AN6" s="4" t="s">
        <v>131</v>
      </c>
      <c r="AO6" s="4" t="s">
        <v>171</v>
      </c>
      <c r="AP6" s="4" t="s">
        <v>105</v>
      </c>
      <c r="AQ6" s="4" t="s">
        <v>106</v>
      </c>
      <c r="AR6" s="4" t="s">
        <v>131</v>
      </c>
      <c r="AS6" s="4" t="s">
        <v>171</v>
      </c>
    </row>
    <row r="7" spans="1:45" s="4" customFormat="1" hidden="1"/>
    <row r="8" spans="1:45" hidden="1">
      <c r="A8" s="1">
        <v>1971</v>
      </c>
      <c r="B8" s="117">
        <f t="shared" ref="B8:B16" si="0">B9*B61/B62</f>
        <v>7278.4095275055752</v>
      </c>
      <c r="C8" s="7">
        <f>'a1'!F8</f>
        <v>21962032</v>
      </c>
      <c r="D8" s="9">
        <f t="shared" ref="D8:D16" si="1">C8/B8/1000</f>
        <v>3.0174218580314935</v>
      </c>
      <c r="E8" s="9">
        <f>D8^0.5</f>
        <v>1.7370727843218008</v>
      </c>
      <c r="F8" s="117">
        <f t="shared" ref="F8:F16" si="2">F9*C61/C62</f>
        <v>129.92481203007515</v>
      </c>
      <c r="G8" s="7">
        <f>'a1'!L8</f>
        <v>530854</v>
      </c>
      <c r="H8" s="9">
        <f>G8/F8/1000</f>
        <v>4.0858554398148161</v>
      </c>
      <c r="I8" s="9">
        <f>H8^0.5</f>
        <v>2.0213499053392057</v>
      </c>
      <c r="J8" s="117">
        <f t="shared" ref="J8:J16" si="3">J9*D61/D62</f>
        <v>32.266666666666659</v>
      </c>
      <c r="K8" s="7">
        <f>'a1'!R8</f>
        <v>112591</v>
      </c>
      <c r="L8" s="9">
        <f>K8/J8/1000</f>
        <v>3.4893904958677693</v>
      </c>
      <c r="M8" s="9">
        <f>L8^0.5</f>
        <v>1.867991032062994</v>
      </c>
      <c r="N8" s="117">
        <f t="shared" ref="N8:N16" si="4">N9*E61/E62</f>
        <v>243.33989685888423</v>
      </c>
      <c r="O8" s="7">
        <f>'a1'!X8</f>
        <v>797294</v>
      </c>
      <c r="P8" s="9">
        <f>O8/N8/1000</f>
        <v>3.2764623076270984</v>
      </c>
      <c r="Q8" s="9">
        <f>P8^0.5</f>
        <v>1.8101000822128865</v>
      </c>
      <c r="R8" s="117">
        <f t="shared" ref="R8:R16" si="5">R9*F61/F62</f>
        <v>184.02634593356248</v>
      </c>
      <c r="S8" s="7">
        <f>'a1'!AD8</f>
        <v>642471</v>
      </c>
      <c r="T8" s="9">
        <f>S8/R8/1000</f>
        <v>3.4911903333229581</v>
      </c>
      <c r="U8" s="9">
        <f>T8^0.5</f>
        <v>1.8684727274763628</v>
      </c>
      <c r="V8" s="117">
        <f t="shared" ref="V8:V16" si="6">V9*G61/G62</f>
        <v>1912.711821163892</v>
      </c>
      <c r="W8" s="7">
        <f>'a1'!AJ8</f>
        <v>6137305</v>
      </c>
      <c r="X8" s="9">
        <f>W8/V8/1000</f>
        <v>3.2086929834863613</v>
      </c>
      <c r="Y8" s="9">
        <f>X8^0.5</f>
        <v>1.7912824968402838</v>
      </c>
      <c r="Z8" s="117">
        <f t="shared" ref="Z8:Z16" si="7">Z9*H61/H62</f>
        <v>2690.4014150313719</v>
      </c>
      <c r="AA8" s="7">
        <f>'a1'!AP8</f>
        <v>7849027</v>
      </c>
      <c r="AB8" s="9">
        <f>AA8/Z8/1000</f>
        <v>2.9174185517994444</v>
      </c>
      <c r="AC8" s="9">
        <f>AB8^0.5</f>
        <v>1.7080452429017927</v>
      </c>
      <c r="AD8" s="117">
        <f t="shared" ref="AD8:AD16" si="8">AD9*I61/I62</f>
        <v>340.54838709677426</v>
      </c>
      <c r="AE8" s="7">
        <f>'a1'!AV8</f>
        <v>998876</v>
      </c>
      <c r="AF8" s="9">
        <f>AE8/AD8/1000</f>
        <v>2.9331397177228373</v>
      </c>
      <c r="AG8" s="9">
        <f>AF8^0.5</f>
        <v>1.7126411526419762</v>
      </c>
      <c r="AH8" s="117">
        <f t="shared" ref="AH8:AH16" si="9">AH9*J61/J62</f>
        <v>310.27651671481647</v>
      </c>
      <c r="AI8" s="7">
        <f>'a1'!BB8</f>
        <v>932038</v>
      </c>
      <c r="AJ8" s="9">
        <f>AI8/AH8/1000</f>
        <v>3.0038947512636329</v>
      </c>
      <c r="AK8" s="9">
        <f>AJ8^0.5</f>
        <v>1.733174760739272</v>
      </c>
      <c r="AL8" s="117">
        <f t="shared" ref="AL8:AL16" si="10">AL9*K61/K62</f>
        <v>598.29867463132337</v>
      </c>
      <c r="AM8" s="7">
        <f>'a1'!BH8</f>
        <v>1665717</v>
      </c>
      <c r="AN8" s="9">
        <f>AM8/AL8/1000</f>
        <v>2.7840894032172625</v>
      </c>
      <c r="AO8" s="9">
        <f>AN8^0.5</f>
        <v>1.6685590799301242</v>
      </c>
      <c r="AP8" s="117">
        <f t="shared" ref="AP8:AP16" si="11">AP9*L61/L62</f>
        <v>822.61134873110973</v>
      </c>
      <c r="AQ8" s="7">
        <f>'a1'!BN8</f>
        <v>2240470</v>
      </c>
      <c r="AR8" s="9">
        <f>AQ8/AP8/1000</f>
        <v>2.7236069663468152</v>
      </c>
      <c r="AS8" s="9">
        <f>AR8^0.5</f>
        <v>1.6503354102565986</v>
      </c>
    </row>
    <row r="9" spans="1:45" hidden="1">
      <c r="A9" s="1">
        <v>1972</v>
      </c>
      <c r="B9" s="117">
        <f t="shared" si="0"/>
        <v>7459.8393324924764</v>
      </c>
      <c r="C9" s="7">
        <f>'a1'!F9</f>
        <v>22218463</v>
      </c>
      <c r="D9" s="9">
        <f t="shared" si="1"/>
        <v>2.9784103932673283</v>
      </c>
      <c r="E9" s="9">
        <f t="shared" ref="E9:E46" si="12">D9^0.5</f>
        <v>1.7258071715192658</v>
      </c>
      <c r="F9" s="117">
        <f t="shared" si="2"/>
        <v>134.13533834586462</v>
      </c>
      <c r="G9" s="7">
        <f>'a1'!L9</f>
        <v>539124</v>
      </c>
      <c r="H9" s="9">
        <f t="shared" ref="H9:H40" si="13">G9/F9/1000</f>
        <v>4.0192540358744404</v>
      </c>
      <c r="I9" s="9">
        <f t="shared" ref="I9:I40" si="14">H9^0.5</f>
        <v>2.0048077304007088</v>
      </c>
      <c r="J9" s="117">
        <f t="shared" si="3"/>
        <v>33.066666666666663</v>
      </c>
      <c r="K9" s="7">
        <f>'a1'!R9</f>
        <v>113460</v>
      </c>
      <c r="L9" s="9">
        <f t="shared" ref="L9:L44" si="15">K9/J9/1000</f>
        <v>3.4312500000000004</v>
      </c>
      <c r="M9" s="9">
        <f t="shared" ref="M9:M44" si="16">L9^0.5</f>
        <v>1.8523633552842704</v>
      </c>
      <c r="N9" s="117">
        <f t="shared" si="4"/>
        <v>248.21753398968588</v>
      </c>
      <c r="O9" s="7">
        <f>'a1'!X9</f>
        <v>802255</v>
      </c>
      <c r="P9" s="9">
        <f t="shared" ref="P9:P44" si="17">O9/N9/1000</f>
        <v>3.2320641781629171</v>
      </c>
      <c r="Q9" s="9">
        <f t="shared" ref="Q9:Q44" si="18">P9^0.5</f>
        <v>1.797794253568221</v>
      </c>
      <c r="R9" s="117">
        <f t="shared" si="5"/>
        <v>189.55899198167245</v>
      </c>
      <c r="S9" s="7">
        <f>'a1'!AD9</f>
        <v>648769</v>
      </c>
      <c r="T9" s="9">
        <f t="shared" ref="T9:T44" si="19">S9/R9/1000</f>
        <v>3.4225176722965815</v>
      </c>
      <c r="U9" s="9">
        <f t="shared" ref="U9:U44" si="20">T9^0.5</f>
        <v>1.8500047762902077</v>
      </c>
      <c r="V9" s="117">
        <f t="shared" si="6"/>
        <v>1962.7302879358515</v>
      </c>
      <c r="W9" s="7">
        <f>'a1'!AJ9</f>
        <v>6174216</v>
      </c>
      <c r="X9" s="9">
        <f t="shared" ref="X9:X44" si="21">W9/V9/1000</f>
        <v>3.145728191973463</v>
      </c>
      <c r="Y9" s="9">
        <f t="shared" ref="Y9:Y44" si="22">X9^0.5</f>
        <v>1.7736200810696363</v>
      </c>
      <c r="Z9" s="117">
        <f t="shared" si="7"/>
        <v>2754.7554843590096</v>
      </c>
      <c r="AA9" s="7">
        <f>'a1'!AP9</f>
        <v>7963117</v>
      </c>
      <c r="AB9" s="9">
        <f t="shared" ref="AB9:AB44" si="23">AA9/Z9/1000</f>
        <v>2.8906801511833264</v>
      </c>
      <c r="AC9" s="9">
        <f t="shared" ref="AC9:AC44" si="24">AB9^0.5</f>
        <v>1.7002000326971314</v>
      </c>
      <c r="AD9" s="117">
        <f t="shared" si="8"/>
        <v>344.46774193548396</v>
      </c>
      <c r="AE9" s="7">
        <f>'a1'!AV9</f>
        <v>1001652</v>
      </c>
      <c r="AF9" s="9">
        <f t="shared" ref="AF9:AF44" si="25">AE9/AD9/1000</f>
        <v>2.907825256356229</v>
      </c>
      <c r="AG9" s="9">
        <f t="shared" ref="AG9:AG44" si="26">AF9^0.5</f>
        <v>1.7052346631347337</v>
      </c>
      <c r="AH9" s="117">
        <f t="shared" si="9"/>
        <v>309.69872059430469</v>
      </c>
      <c r="AI9" s="7">
        <f>'a1'!BB9</f>
        <v>920780</v>
      </c>
      <c r="AJ9" s="9">
        <f t="shared" ref="AJ9:AJ44" si="27">AI9/AH9/1000</f>
        <v>2.9731475746268647</v>
      </c>
      <c r="AK9" s="9">
        <f t="shared" ref="AK9:AK44" si="28">AJ9^0.5</f>
        <v>1.7242817561601889</v>
      </c>
      <c r="AL9" s="117">
        <f t="shared" si="10"/>
        <v>615.45137203658749</v>
      </c>
      <c r="AM9" s="7">
        <f>'a1'!BH9</f>
        <v>1694090</v>
      </c>
      <c r="AN9" s="9">
        <f t="shared" ref="AN9:AN44" si="29">AM9/AL9/1000</f>
        <v>2.7525976494196351</v>
      </c>
      <c r="AO9" s="9">
        <f t="shared" ref="AO9:AO44" si="30">AN9^0.5</f>
        <v>1.6590954310767163</v>
      </c>
      <c r="AP9" s="117">
        <f t="shared" si="11"/>
        <v>854.07142857142924</v>
      </c>
      <c r="AQ9" s="7">
        <f>'a1'!BN9</f>
        <v>2302086</v>
      </c>
      <c r="AR9" s="9">
        <f t="shared" ref="AR9:AR44" si="31">AQ9/AP9/1000</f>
        <v>2.695425608430206</v>
      </c>
      <c r="AS9" s="9">
        <f t="shared" ref="AS9:AS44" si="32">AR9^0.5</f>
        <v>1.6417751394238511</v>
      </c>
    </row>
    <row r="10" spans="1:45" hidden="1">
      <c r="A10" s="1">
        <v>1973</v>
      </c>
      <c r="B10" s="117">
        <f t="shared" si="0"/>
        <v>7649.6406002393151</v>
      </c>
      <c r="C10" s="7">
        <f>'a1'!F10</f>
        <v>22491777</v>
      </c>
      <c r="D10" s="9">
        <f t="shared" si="1"/>
        <v>2.9402397021497135</v>
      </c>
      <c r="E10" s="9">
        <f t="shared" si="12"/>
        <v>1.7147127170898668</v>
      </c>
      <c r="F10" s="117">
        <f t="shared" si="2"/>
        <v>138.3458646616541</v>
      </c>
      <c r="G10" s="7">
        <f>'a1'!L10</f>
        <v>545561</v>
      </c>
      <c r="H10" s="9">
        <f t="shared" si="13"/>
        <v>3.9434572282608706</v>
      </c>
      <c r="I10" s="9">
        <f t="shared" si="14"/>
        <v>1.9858139963906163</v>
      </c>
      <c r="J10" s="117">
        <f t="shared" si="3"/>
        <v>33.866666666666667</v>
      </c>
      <c r="K10" s="7">
        <f>'a1'!R10</f>
        <v>114620</v>
      </c>
      <c r="L10" s="9">
        <f t="shared" si="15"/>
        <v>3.384448818897638</v>
      </c>
      <c r="M10" s="9">
        <f t="shared" si="16"/>
        <v>1.8396871524521874</v>
      </c>
      <c r="N10" s="117">
        <f t="shared" si="4"/>
        <v>254.8565400843882</v>
      </c>
      <c r="O10" s="7">
        <f>'a1'!X10</f>
        <v>812386</v>
      </c>
      <c r="P10" s="9">
        <f t="shared" si="17"/>
        <v>3.1876207678680815</v>
      </c>
      <c r="Q10" s="9">
        <f t="shared" si="18"/>
        <v>1.7853909285834522</v>
      </c>
      <c r="R10" s="117">
        <f t="shared" si="5"/>
        <v>195.48682703321884</v>
      </c>
      <c r="S10" s="7">
        <f>'a1'!AD10</f>
        <v>656720</v>
      </c>
      <c r="T10" s="9">
        <f t="shared" si="19"/>
        <v>3.3594079456228751</v>
      </c>
      <c r="U10" s="9">
        <f t="shared" si="20"/>
        <v>1.8328687747961869</v>
      </c>
      <c r="V10" s="117">
        <f t="shared" si="6"/>
        <v>2016.8463127202035</v>
      </c>
      <c r="W10" s="7">
        <f>'a1'!AJ10</f>
        <v>6213149</v>
      </c>
      <c r="X10" s="9">
        <f t="shared" si="21"/>
        <v>3.0806259063042192</v>
      </c>
      <c r="Y10" s="9">
        <f t="shared" si="22"/>
        <v>1.7551711900279754</v>
      </c>
      <c r="Z10" s="117">
        <f t="shared" si="7"/>
        <v>2817.1029680060528</v>
      </c>
      <c r="AA10" s="7">
        <f>'a1'!AP10</f>
        <v>8075547</v>
      </c>
      <c r="AB10" s="9">
        <f t="shared" si="23"/>
        <v>2.866614068322777</v>
      </c>
      <c r="AC10" s="9">
        <f t="shared" si="24"/>
        <v>1.6931078135555269</v>
      </c>
      <c r="AD10" s="117">
        <f t="shared" si="8"/>
        <v>349.40322580645164</v>
      </c>
      <c r="AE10" s="7">
        <f>'a1'!AV10</f>
        <v>1007358</v>
      </c>
      <c r="AF10" s="9">
        <f t="shared" si="25"/>
        <v>2.8830815676499095</v>
      </c>
      <c r="AG10" s="9">
        <f t="shared" si="26"/>
        <v>1.6979639476884982</v>
      </c>
      <c r="AH10" s="117">
        <f t="shared" si="9"/>
        <v>309.69872059430469</v>
      </c>
      <c r="AI10" s="7">
        <f>'a1'!BB10</f>
        <v>911937</v>
      </c>
      <c r="AJ10" s="9">
        <f t="shared" si="27"/>
        <v>2.9445940178571419</v>
      </c>
      <c r="AK10" s="9">
        <f t="shared" si="28"/>
        <v>1.7159819398400269</v>
      </c>
      <c r="AL10" s="117">
        <f t="shared" si="10"/>
        <v>633.39089042374439</v>
      </c>
      <c r="AM10" s="7">
        <f>'a1'!BH10</f>
        <v>1725327</v>
      </c>
      <c r="AN10" s="9">
        <f t="shared" si="29"/>
        <v>2.723952974514269</v>
      </c>
      <c r="AO10" s="9">
        <f t="shared" si="30"/>
        <v>1.6504402365775832</v>
      </c>
      <c r="AP10" s="117">
        <f t="shared" si="11"/>
        <v>887.23624180211061</v>
      </c>
      <c r="AQ10" s="7">
        <f>'a1'!BN10</f>
        <v>2367271</v>
      </c>
      <c r="AR10" s="9">
        <f t="shared" si="31"/>
        <v>2.6681405565576486</v>
      </c>
      <c r="AS10" s="9">
        <f t="shared" si="32"/>
        <v>1.6334443842866671</v>
      </c>
    </row>
    <row r="11" spans="1:45" hidden="1">
      <c r="A11" s="1">
        <v>1974</v>
      </c>
      <c r="B11" s="117">
        <f t="shared" si="0"/>
        <v>7859.504511497038</v>
      </c>
      <c r="C11" s="7">
        <f>'a1'!F11</f>
        <v>22807969</v>
      </c>
      <c r="D11" s="9">
        <f t="shared" si="1"/>
        <v>2.9019601638546111</v>
      </c>
      <c r="E11" s="9">
        <f t="shared" si="12"/>
        <v>1.7035140632981611</v>
      </c>
      <c r="F11" s="117">
        <f t="shared" si="2"/>
        <v>141.71428571428569</v>
      </c>
      <c r="G11" s="7">
        <f>'a1'!L11</f>
        <v>549604</v>
      </c>
      <c r="H11" s="9">
        <f t="shared" si="13"/>
        <v>3.8782540322580648</v>
      </c>
      <c r="I11" s="9">
        <f t="shared" si="14"/>
        <v>1.9693283200771945</v>
      </c>
      <c r="J11" s="117">
        <f t="shared" si="3"/>
        <v>34.800000000000004</v>
      </c>
      <c r="K11" s="7">
        <f>'a1'!R11</f>
        <v>115962</v>
      </c>
      <c r="L11" s="9">
        <f t="shared" si="15"/>
        <v>3.3322413793103443</v>
      </c>
      <c r="M11" s="9">
        <f t="shared" si="16"/>
        <v>1.8254427899308003</v>
      </c>
      <c r="N11" s="117">
        <f t="shared" si="4"/>
        <v>260.27613689639008</v>
      </c>
      <c r="O11" s="7">
        <f>'a1'!X11</f>
        <v>818751</v>
      </c>
      <c r="P11" s="9">
        <f t="shared" si="17"/>
        <v>3.1457013684121407</v>
      </c>
      <c r="Q11" s="9">
        <f t="shared" si="18"/>
        <v>1.7736125192420527</v>
      </c>
      <c r="R11" s="117">
        <f t="shared" si="5"/>
        <v>201.28293241695306</v>
      </c>
      <c r="S11" s="7">
        <f>'a1'!AD11</f>
        <v>664744</v>
      </c>
      <c r="T11" s="9">
        <f t="shared" si="19"/>
        <v>3.3025353516958793</v>
      </c>
      <c r="U11" s="9">
        <f t="shared" si="20"/>
        <v>1.8172879110630433</v>
      </c>
      <c r="V11" s="117">
        <f t="shared" si="6"/>
        <v>2072.3752885433114</v>
      </c>
      <c r="W11" s="7">
        <f>'a1'!AJ11</f>
        <v>6268571</v>
      </c>
      <c r="X11" s="9">
        <f t="shared" si="21"/>
        <v>3.024824236543675</v>
      </c>
      <c r="Y11" s="9">
        <f t="shared" si="22"/>
        <v>1.7392021839175786</v>
      </c>
      <c r="Z11" s="117">
        <f t="shared" si="7"/>
        <v>2893.2098963200292</v>
      </c>
      <c r="AA11" s="7">
        <f>'a1'!AP11</f>
        <v>8204275</v>
      </c>
      <c r="AB11" s="9">
        <f t="shared" si="23"/>
        <v>2.835699895273859</v>
      </c>
      <c r="AC11" s="9">
        <f t="shared" si="24"/>
        <v>1.6839536499778902</v>
      </c>
      <c r="AD11" s="117">
        <f t="shared" si="8"/>
        <v>355.79032258064518</v>
      </c>
      <c r="AE11" s="7">
        <f>'a1'!AV11</f>
        <v>1018206</v>
      </c>
      <c r="AF11" s="9">
        <f t="shared" si="25"/>
        <v>2.8618147694818439</v>
      </c>
      <c r="AG11" s="9">
        <f t="shared" si="26"/>
        <v>1.6916899152864404</v>
      </c>
      <c r="AH11" s="117">
        <f t="shared" si="9"/>
        <v>311.86545604622376</v>
      </c>
      <c r="AI11" s="7">
        <f>'a1'!BB11</f>
        <v>908457</v>
      </c>
      <c r="AJ11" s="9">
        <f t="shared" si="27"/>
        <v>2.9129773188645531</v>
      </c>
      <c r="AK11" s="9">
        <f t="shared" si="28"/>
        <v>1.7067446554375241</v>
      </c>
      <c r="AL11" s="117">
        <f t="shared" si="10"/>
        <v>650.70095202538721</v>
      </c>
      <c r="AM11" s="7">
        <f>'a1'!BH11</f>
        <v>1754621</v>
      </c>
      <c r="AN11" s="9">
        <f t="shared" si="29"/>
        <v>2.6965090408097989</v>
      </c>
      <c r="AO11" s="9">
        <f t="shared" si="30"/>
        <v>1.6421050638767907</v>
      </c>
      <c r="AP11" s="117">
        <f t="shared" si="11"/>
        <v>924.74037639007747</v>
      </c>
      <c r="AQ11" s="7">
        <f>'a1'!BN11</f>
        <v>2442578</v>
      </c>
      <c r="AR11" s="9">
        <f t="shared" si="31"/>
        <v>2.6413662281462473</v>
      </c>
      <c r="AS11" s="9">
        <f t="shared" si="32"/>
        <v>1.6252280541961635</v>
      </c>
    </row>
    <row r="12" spans="1:45" hidden="1">
      <c r="A12" s="1">
        <v>1975</v>
      </c>
      <c r="B12" s="117">
        <f t="shared" si="0"/>
        <v>8066.337375893404</v>
      </c>
      <c r="C12" s="7">
        <f>'a1'!F12</f>
        <v>23143275</v>
      </c>
      <c r="D12" s="9">
        <f t="shared" si="1"/>
        <v>2.8691181538184445</v>
      </c>
      <c r="E12" s="9">
        <f t="shared" si="12"/>
        <v>1.6938471459427631</v>
      </c>
      <c r="F12" s="117">
        <f t="shared" si="2"/>
        <v>145.80451127819546</v>
      </c>
      <c r="G12" s="7">
        <f>'a1'!L12</f>
        <v>556496</v>
      </c>
      <c r="H12" s="9">
        <f t="shared" si="13"/>
        <v>3.8167268976897692</v>
      </c>
      <c r="I12" s="9">
        <f t="shared" si="14"/>
        <v>1.9536445167147909</v>
      </c>
      <c r="J12" s="117">
        <f t="shared" si="3"/>
        <v>35.86666666666666</v>
      </c>
      <c r="K12" s="7">
        <f>'a1'!R12</f>
        <v>117724</v>
      </c>
      <c r="L12" s="9">
        <f t="shared" si="15"/>
        <v>3.2822676579925654</v>
      </c>
      <c r="M12" s="9">
        <f t="shared" si="16"/>
        <v>1.811702971789958</v>
      </c>
      <c r="N12" s="117">
        <f t="shared" si="4"/>
        <v>266.10220346929214</v>
      </c>
      <c r="O12" s="7">
        <f>'a1'!X12</f>
        <v>826549</v>
      </c>
      <c r="P12" s="9">
        <f t="shared" si="17"/>
        <v>3.1061336179254253</v>
      </c>
      <c r="Q12" s="9">
        <f t="shared" si="18"/>
        <v>1.7624226558704428</v>
      </c>
      <c r="R12" s="117">
        <f t="shared" si="5"/>
        <v>207.60595647193585</v>
      </c>
      <c r="S12" s="7">
        <f>'a1'!AD12</f>
        <v>677008</v>
      </c>
      <c r="T12" s="9">
        <f t="shared" si="19"/>
        <v>3.2610239682189364</v>
      </c>
      <c r="U12" s="9">
        <f t="shared" si="20"/>
        <v>1.8058305480357055</v>
      </c>
      <c r="V12" s="117">
        <f t="shared" si="6"/>
        <v>2127.7629692625437</v>
      </c>
      <c r="W12" s="7">
        <f>'a1'!AJ12</f>
        <v>6330303</v>
      </c>
      <c r="X12" s="9">
        <f t="shared" si="21"/>
        <v>2.9750978334743765</v>
      </c>
      <c r="Y12" s="9">
        <f t="shared" si="22"/>
        <v>1.7248471913402579</v>
      </c>
      <c r="Z12" s="117">
        <f t="shared" si="7"/>
        <v>2960.0005339741033</v>
      </c>
      <c r="AA12" s="7">
        <f>'a1'!AP12</f>
        <v>8319795</v>
      </c>
      <c r="AB12" s="9">
        <f t="shared" si="23"/>
        <v>2.8107410470057665</v>
      </c>
      <c r="AC12" s="9">
        <f t="shared" si="24"/>
        <v>1.6765264826437327</v>
      </c>
      <c r="AD12" s="117">
        <f t="shared" si="8"/>
        <v>360.87096774193549</v>
      </c>
      <c r="AE12" s="7">
        <f>'a1'!AV12</f>
        <v>1024975</v>
      </c>
      <c r="AF12" s="9">
        <f t="shared" si="25"/>
        <v>2.8402811298828996</v>
      </c>
      <c r="AG12" s="9">
        <f t="shared" si="26"/>
        <v>1.6853133625183476</v>
      </c>
      <c r="AH12" s="117">
        <f t="shared" si="9"/>
        <v>318.07676434172515</v>
      </c>
      <c r="AI12" s="7">
        <f>'a1'!BB12</f>
        <v>917415</v>
      </c>
      <c r="AJ12" s="9">
        <f t="shared" si="27"/>
        <v>2.8842565784351888</v>
      </c>
      <c r="AK12" s="9">
        <f t="shared" si="28"/>
        <v>1.6983099182526105</v>
      </c>
      <c r="AL12" s="117">
        <f t="shared" si="10"/>
        <v>677.45286540974416</v>
      </c>
      <c r="AM12" s="7">
        <f>'a1'!BH12</f>
        <v>1808689</v>
      </c>
      <c r="AN12" s="9">
        <f t="shared" si="29"/>
        <v>2.6698374047116173</v>
      </c>
      <c r="AO12" s="9">
        <f t="shared" si="30"/>
        <v>1.63396370972908</v>
      </c>
      <c r="AP12" s="117">
        <f t="shared" si="11"/>
        <v>954.80567436555498</v>
      </c>
      <c r="AQ12" s="7">
        <f>'a1'!BN12</f>
        <v>2499564</v>
      </c>
      <c r="AR12" s="9">
        <f t="shared" si="31"/>
        <v>2.6178771943944503</v>
      </c>
      <c r="AS12" s="9">
        <f t="shared" si="32"/>
        <v>1.6179855359039679</v>
      </c>
    </row>
    <row r="13" spans="1:45" hidden="1">
      <c r="A13" s="1">
        <v>1976</v>
      </c>
      <c r="B13" s="117">
        <f t="shared" si="0"/>
        <v>8248.2001875747865</v>
      </c>
      <c r="C13" s="7">
        <f>'a1'!F13</f>
        <v>23449808</v>
      </c>
      <c r="D13" s="9">
        <f t="shared" si="1"/>
        <v>2.8430212005917541</v>
      </c>
      <c r="E13" s="9">
        <f t="shared" si="12"/>
        <v>1.6861260927320216</v>
      </c>
      <c r="F13" s="117">
        <f t="shared" si="2"/>
        <v>150.01503759398494</v>
      </c>
      <c r="G13" s="7">
        <f>'a1'!L13</f>
        <v>562639</v>
      </c>
      <c r="H13" s="9">
        <f t="shared" si="13"/>
        <v>3.7505506716118688</v>
      </c>
      <c r="I13" s="9">
        <f t="shared" si="14"/>
        <v>1.936633850683156</v>
      </c>
      <c r="J13" s="117">
        <f t="shared" si="3"/>
        <v>36.800000000000004</v>
      </c>
      <c r="K13" s="7">
        <f>'a1'!R13</f>
        <v>118648</v>
      </c>
      <c r="L13" s="9">
        <f t="shared" si="15"/>
        <v>3.2241304347826083</v>
      </c>
      <c r="M13" s="9">
        <f t="shared" si="16"/>
        <v>1.7955863763079203</v>
      </c>
      <c r="N13" s="117">
        <f t="shared" si="4"/>
        <v>271.65729020159404</v>
      </c>
      <c r="O13" s="7">
        <f>'a1'!X13</f>
        <v>835166</v>
      </c>
      <c r="P13" s="9">
        <f t="shared" si="17"/>
        <v>3.0743367843367353</v>
      </c>
      <c r="Q13" s="9">
        <f t="shared" si="18"/>
        <v>1.7533786768227608</v>
      </c>
      <c r="R13" s="117">
        <f t="shared" si="5"/>
        <v>213.40206185567013</v>
      </c>
      <c r="S13" s="7">
        <f>'a1'!AD13</f>
        <v>689494</v>
      </c>
      <c r="T13" s="9">
        <f t="shared" si="19"/>
        <v>3.2309622222222218</v>
      </c>
      <c r="U13" s="9">
        <f t="shared" si="20"/>
        <v>1.797487753010357</v>
      </c>
      <c r="V13" s="117">
        <f t="shared" si="6"/>
        <v>2176.5097800996232</v>
      </c>
      <c r="W13" s="7">
        <f>'a1'!AJ13</f>
        <v>6396761</v>
      </c>
      <c r="X13" s="9">
        <f t="shared" si="21"/>
        <v>2.9389994285746823</v>
      </c>
      <c r="Y13" s="9">
        <f t="shared" si="22"/>
        <v>1.7143510225664644</v>
      </c>
      <c r="Z13" s="117">
        <f t="shared" si="7"/>
        <v>3016.3282605793629</v>
      </c>
      <c r="AA13" s="7">
        <f>'a1'!AP13</f>
        <v>8413779</v>
      </c>
      <c r="AB13" s="9">
        <f t="shared" si="23"/>
        <v>2.7894109238574445</v>
      </c>
      <c r="AC13" s="9">
        <f t="shared" si="24"/>
        <v>1.6701529642093997</v>
      </c>
      <c r="AD13" s="117">
        <f t="shared" si="8"/>
        <v>365.80645161290323</v>
      </c>
      <c r="AE13" s="7">
        <f>'a1'!AV13</f>
        <v>1031758</v>
      </c>
      <c r="AF13" s="9">
        <f t="shared" si="25"/>
        <v>2.8205024691358025</v>
      </c>
      <c r="AG13" s="9">
        <f t="shared" si="26"/>
        <v>1.6794351637189815</v>
      </c>
      <c r="AH13" s="117">
        <f t="shared" si="9"/>
        <v>326.02146099876182</v>
      </c>
      <c r="AI13" s="7">
        <f>'a1'!BB13</f>
        <v>931612</v>
      </c>
      <c r="AJ13" s="9">
        <f t="shared" si="27"/>
        <v>2.85751740743085</v>
      </c>
      <c r="AK13" s="9">
        <f t="shared" si="28"/>
        <v>1.6904192992955476</v>
      </c>
      <c r="AL13" s="117">
        <f t="shared" si="10"/>
        <v>706.25051334702243</v>
      </c>
      <c r="AM13" s="7">
        <f>'a1'!BH13</f>
        <v>1869287</v>
      </c>
      <c r="AN13" s="9">
        <f t="shared" si="29"/>
        <v>2.6467761292536003</v>
      </c>
      <c r="AO13" s="9">
        <f t="shared" si="30"/>
        <v>1.6268915542388191</v>
      </c>
      <c r="AP13" s="117">
        <f t="shared" si="11"/>
        <v>973.86769318505867</v>
      </c>
      <c r="AQ13" s="7">
        <f>'a1'!BN13</f>
        <v>2533899</v>
      </c>
      <c r="AR13" s="9">
        <f t="shared" si="31"/>
        <v>2.6018924518512572</v>
      </c>
      <c r="AS13" s="9">
        <f t="shared" si="32"/>
        <v>1.6130382673238899</v>
      </c>
    </row>
    <row r="14" spans="1:45" hidden="1">
      <c r="A14" s="1">
        <v>1977</v>
      </c>
      <c r="B14" s="117">
        <f t="shared" si="0"/>
        <v>8431.0733482099549</v>
      </c>
      <c r="C14" s="7">
        <f>'a1'!F14</f>
        <v>23725843</v>
      </c>
      <c r="D14" s="9">
        <f t="shared" si="1"/>
        <v>2.8140951952502413</v>
      </c>
      <c r="E14" s="9">
        <f t="shared" si="12"/>
        <v>1.677526511042446</v>
      </c>
      <c r="F14" s="117">
        <f t="shared" si="2"/>
        <v>152.78195488721801</v>
      </c>
      <c r="G14" s="7">
        <f>'a1'!L14</f>
        <v>565348</v>
      </c>
      <c r="H14" s="9">
        <f t="shared" si="13"/>
        <v>3.7003584645669303</v>
      </c>
      <c r="I14" s="9">
        <f t="shared" si="14"/>
        <v>1.9236315823376706</v>
      </c>
      <c r="J14" s="117">
        <f t="shared" si="3"/>
        <v>37.733333333333334</v>
      </c>
      <c r="K14" s="7">
        <f>'a1'!R14</f>
        <v>119902</v>
      </c>
      <c r="L14" s="9">
        <f t="shared" si="15"/>
        <v>3.1776148409893992</v>
      </c>
      <c r="M14" s="9">
        <f t="shared" si="16"/>
        <v>1.782586559185668</v>
      </c>
      <c r="N14" s="117">
        <f t="shared" si="4"/>
        <v>275.9929676511955</v>
      </c>
      <c r="O14" s="7">
        <f>'a1'!X14</f>
        <v>840028</v>
      </c>
      <c r="P14" s="9">
        <f t="shared" si="17"/>
        <v>3.0436572610851496</v>
      </c>
      <c r="Q14" s="9">
        <f t="shared" si="18"/>
        <v>1.7446080537144009</v>
      </c>
      <c r="R14" s="117">
        <f t="shared" si="5"/>
        <v>218.40778923253151</v>
      </c>
      <c r="S14" s="7">
        <f>'a1'!AD14</f>
        <v>695843</v>
      </c>
      <c r="T14" s="9">
        <f t="shared" si="19"/>
        <v>3.1859806943934545</v>
      </c>
      <c r="U14" s="9">
        <f t="shared" si="20"/>
        <v>1.7849315657451561</v>
      </c>
      <c r="V14" s="117">
        <f t="shared" si="6"/>
        <v>2222.2893937553149</v>
      </c>
      <c r="W14" s="7">
        <f>'a1'!AJ14</f>
        <v>6433133</v>
      </c>
      <c r="X14" s="9">
        <f t="shared" si="21"/>
        <v>2.8948223476551949</v>
      </c>
      <c r="Y14" s="9">
        <f t="shared" si="22"/>
        <v>1.701417746367774</v>
      </c>
      <c r="Z14" s="117">
        <f t="shared" si="7"/>
        <v>3072.7993147332363</v>
      </c>
      <c r="AA14" s="7">
        <f>'a1'!AP14</f>
        <v>8504080</v>
      </c>
      <c r="AB14" s="9">
        <f t="shared" si="23"/>
        <v>2.7675351134144202</v>
      </c>
      <c r="AC14" s="9">
        <f t="shared" si="24"/>
        <v>1.6635910294944549</v>
      </c>
      <c r="AD14" s="117">
        <f t="shared" si="8"/>
        <v>371.4677419354839</v>
      </c>
      <c r="AE14" s="7">
        <f>'a1'!AV14</f>
        <v>1037369</v>
      </c>
      <c r="AF14" s="9">
        <f t="shared" si="25"/>
        <v>2.7926220311753722</v>
      </c>
      <c r="AG14" s="9">
        <f t="shared" si="26"/>
        <v>1.6711140090297167</v>
      </c>
      <c r="AH14" s="117">
        <f t="shared" si="9"/>
        <v>333.82170862567062</v>
      </c>
      <c r="AI14" s="7">
        <f>'a1'!BB14</f>
        <v>944621</v>
      </c>
      <c r="AJ14" s="9">
        <f t="shared" si="27"/>
        <v>2.8297171082400943</v>
      </c>
      <c r="AK14" s="9">
        <f t="shared" si="28"/>
        <v>1.6821763011765725</v>
      </c>
      <c r="AL14" s="117">
        <f t="shared" si="10"/>
        <v>740.24117976479363</v>
      </c>
      <c r="AM14" s="7">
        <f>'a1'!BH14</f>
        <v>1948263</v>
      </c>
      <c r="AN14" s="9">
        <f t="shared" si="29"/>
        <v>2.6319300428801418</v>
      </c>
      <c r="AO14" s="9">
        <f t="shared" si="30"/>
        <v>1.6223224226028998</v>
      </c>
      <c r="AP14" s="117">
        <f t="shared" si="11"/>
        <v>995.56429997148587</v>
      </c>
      <c r="AQ14" s="7">
        <f>'a1'!BN14</f>
        <v>2570315</v>
      </c>
      <c r="AR14" s="9">
        <f t="shared" si="31"/>
        <v>2.5817669437058126</v>
      </c>
      <c r="AS14" s="9">
        <f t="shared" si="32"/>
        <v>1.6067877718310568</v>
      </c>
    </row>
    <row r="15" spans="1:45" hidden="1">
      <c r="A15" s="1">
        <v>1978</v>
      </c>
      <c r="B15" s="117">
        <f t="shared" si="0"/>
        <v>8597.3479188900747</v>
      </c>
      <c r="C15" s="7">
        <f>'a1'!F15</f>
        <v>23963203</v>
      </c>
      <c r="D15" s="9">
        <f t="shared" si="1"/>
        <v>2.7872784986807502</v>
      </c>
      <c r="E15" s="9">
        <f t="shared" si="12"/>
        <v>1.6695144499766243</v>
      </c>
      <c r="F15" s="117">
        <f t="shared" si="2"/>
        <v>155.06766917293231</v>
      </c>
      <c r="G15" s="7">
        <f>'a1'!L15</f>
        <v>567639</v>
      </c>
      <c r="H15" s="9">
        <f t="shared" si="13"/>
        <v>3.6605889740108615</v>
      </c>
      <c r="I15" s="9">
        <f t="shared" si="14"/>
        <v>1.9132665716023112</v>
      </c>
      <c r="J15" s="117">
        <f t="shared" si="3"/>
        <v>38.666666666666664</v>
      </c>
      <c r="K15" s="7">
        <f>'a1'!R15</f>
        <v>121684</v>
      </c>
      <c r="L15" s="9">
        <f t="shared" si="15"/>
        <v>3.1469999999999998</v>
      </c>
      <c r="M15" s="9">
        <f t="shared" si="16"/>
        <v>1.7739785793520733</v>
      </c>
      <c r="N15" s="117">
        <f t="shared" si="4"/>
        <v>280.193155180497</v>
      </c>
      <c r="O15" s="7">
        <f>'a1'!X15</f>
        <v>844628</v>
      </c>
      <c r="P15" s="9">
        <f t="shared" si="17"/>
        <v>3.0144490840823752</v>
      </c>
      <c r="Q15" s="9">
        <f t="shared" si="18"/>
        <v>1.736216888548886</v>
      </c>
      <c r="R15" s="117">
        <f t="shared" si="5"/>
        <v>222.35967926689577</v>
      </c>
      <c r="S15" s="7">
        <f>'a1'!AD15</f>
        <v>699514</v>
      </c>
      <c r="T15" s="9">
        <f t="shared" si="19"/>
        <v>3.1458671028229959</v>
      </c>
      <c r="U15" s="9">
        <f t="shared" si="20"/>
        <v>1.7736592408980356</v>
      </c>
      <c r="V15" s="117">
        <f t="shared" si="6"/>
        <v>2254.0807921273231</v>
      </c>
      <c r="W15" s="7">
        <f>'a1'!AJ15</f>
        <v>6440459</v>
      </c>
      <c r="X15" s="9">
        <f t="shared" si="21"/>
        <v>2.8572440803782011</v>
      </c>
      <c r="Y15" s="9">
        <f t="shared" si="22"/>
        <v>1.6903384514286484</v>
      </c>
      <c r="Z15" s="117">
        <f t="shared" si="7"/>
        <v>3128.9837137898812</v>
      </c>
      <c r="AA15" s="7">
        <f>'a1'!AP15</f>
        <v>8590144</v>
      </c>
      <c r="AB15" s="9">
        <f t="shared" si="23"/>
        <v>2.7453463442912791</v>
      </c>
      <c r="AC15" s="9">
        <f t="shared" si="24"/>
        <v>1.6569086710773406</v>
      </c>
      <c r="AD15" s="117">
        <f t="shared" si="8"/>
        <v>376.11290322580646</v>
      </c>
      <c r="AE15" s="7">
        <f>'a1'!AV15</f>
        <v>1040881</v>
      </c>
      <c r="AF15" s="9">
        <f t="shared" si="25"/>
        <v>2.7674695312835023</v>
      </c>
      <c r="AG15" s="9">
        <f t="shared" si="26"/>
        <v>1.6635713183640497</v>
      </c>
      <c r="AH15" s="117">
        <f t="shared" si="9"/>
        <v>339.59966983078823</v>
      </c>
      <c r="AI15" s="7">
        <f>'a1'!BB15</f>
        <v>952430</v>
      </c>
      <c r="AJ15" s="9">
        <f t="shared" si="27"/>
        <v>2.8045669198517351</v>
      </c>
      <c r="AK15" s="9">
        <f t="shared" si="28"/>
        <v>1.6746841253955131</v>
      </c>
      <c r="AL15" s="117">
        <f t="shared" si="10"/>
        <v>772.97293261153618</v>
      </c>
      <c r="AM15" s="7">
        <f>'a1'!BH15</f>
        <v>2022241</v>
      </c>
      <c r="AN15" s="9">
        <f t="shared" si="29"/>
        <v>2.6161860456972734</v>
      </c>
      <c r="AO15" s="9">
        <f t="shared" si="30"/>
        <v>1.6174628421380424</v>
      </c>
      <c r="AP15" s="117">
        <f t="shared" si="11"/>
        <v>1021.6002281151985</v>
      </c>
      <c r="AQ15" s="7">
        <f>'a1'!BN15</f>
        <v>2615162</v>
      </c>
      <c r="AR15" s="9">
        <f t="shared" si="31"/>
        <v>2.5598682616044863</v>
      </c>
      <c r="AS15" s="9">
        <f t="shared" si="32"/>
        <v>1.5999588312217556</v>
      </c>
    </row>
    <row r="16" spans="1:45" hidden="1">
      <c r="A16" s="1">
        <v>1979</v>
      </c>
      <c r="B16" s="117">
        <f t="shared" si="0"/>
        <v>8750.632288735811</v>
      </c>
      <c r="C16" s="7">
        <f>'a1'!F16</f>
        <v>24201544</v>
      </c>
      <c r="D16" s="9">
        <f t="shared" si="1"/>
        <v>2.7656908896918528</v>
      </c>
      <c r="E16" s="9">
        <f t="shared" si="12"/>
        <v>1.6630366471283347</v>
      </c>
      <c r="F16" s="117">
        <f t="shared" si="2"/>
        <v>157.35338345864659</v>
      </c>
      <c r="G16" s="7">
        <f>'a1'!L16</f>
        <v>570075</v>
      </c>
      <c r="H16" s="9">
        <f t="shared" si="13"/>
        <v>3.622896358944955</v>
      </c>
      <c r="I16" s="9">
        <f t="shared" si="14"/>
        <v>1.9033907530890641</v>
      </c>
      <c r="J16" s="117">
        <f t="shared" si="3"/>
        <v>39.200000000000003</v>
      </c>
      <c r="K16" s="7">
        <f>'a1'!R16</f>
        <v>122885</v>
      </c>
      <c r="L16" s="9">
        <f t="shared" si="15"/>
        <v>3.1348214285714286</v>
      </c>
      <c r="M16" s="9">
        <f t="shared" si="16"/>
        <v>1.7705426932360113</v>
      </c>
      <c r="N16" s="117">
        <f t="shared" si="4"/>
        <v>284.52883263009846</v>
      </c>
      <c r="O16" s="7">
        <f>'a1'!X16</f>
        <v>849396</v>
      </c>
      <c r="P16" s="9">
        <f t="shared" si="17"/>
        <v>2.9852721502718733</v>
      </c>
      <c r="Q16" s="9">
        <f t="shared" si="18"/>
        <v>1.7277940126855034</v>
      </c>
      <c r="R16" s="117">
        <f t="shared" si="5"/>
        <v>226.04810996563572</v>
      </c>
      <c r="S16" s="7">
        <f>'a1'!AD16</f>
        <v>703158</v>
      </c>
      <c r="T16" s="9">
        <f t="shared" si="19"/>
        <v>3.1106564001216181</v>
      </c>
      <c r="U16" s="9">
        <f t="shared" si="20"/>
        <v>1.7637053042165571</v>
      </c>
      <c r="V16" s="117">
        <f t="shared" si="6"/>
        <v>2288.1329121613412</v>
      </c>
      <c r="W16" s="7">
        <f>'a1'!AJ16</f>
        <v>6465996</v>
      </c>
      <c r="X16" s="9">
        <f t="shared" si="21"/>
        <v>2.8258830444828935</v>
      </c>
      <c r="Y16" s="9">
        <f t="shared" si="22"/>
        <v>1.6810363007629827</v>
      </c>
      <c r="Z16" s="117">
        <f t="shared" si="7"/>
        <v>3172.4119610198904</v>
      </c>
      <c r="AA16" s="7">
        <f>'a1'!AP16</f>
        <v>8662088</v>
      </c>
      <c r="AB16" s="9">
        <f t="shared" si="23"/>
        <v>2.7304423594517173</v>
      </c>
      <c r="AC16" s="9">
        <f t="shared" si="24"/>
        <v>1.652405022823314</v>
      </c>
      <c r="AD16" s="117">
        <f t="shared" si="8"/>
        <v>377.85483870967744</v>
      </c>
      <c r="AE16" s="7">
        <f>'a1'!AV16</f>
        <v>1037272</v>
      </c>
      <c r="AF16" s="9">
        <f t="shared" si="25"/>
        <v>2.7451600290263367</v>
      </c>
      <c r="AG16" s="9">
        <f t="shared" si="26"/>
        <v>1.6568524463651966</v>
      </c>
      <c r="AH16" s="117">
        <f t="shared" si="9"/>
        <v>344.9442839455221</v>
      </c>
      <c r="AI16" s="7">
        <f>'a1'!BB16</f>
        <v>959735</v>
      </c>
      <c r="AJ16" s="9">
        <f t="shared" si="27"/>
        <v>2.782289907872697</v>
      </c>
      <c r="AK16" s="9">
        <f t="shared" si="28"/>
        <v>1.6680197564395625</v>
      </c>
      <c r="AL16" s="117">
        <f t="shared" si="10"/>
        <v>806.96359902930726</v>
      </c>
      <c r="AM16" s="7">
        <f>'a1'!BH16</f>
        <v>2096966</v>
      </c>
      <c r="AN16" s="9">
        <f t="shared" si="29"/>
        <v>2.5985880930966783</v>
      </c>
      <c r="AO16" s="9">
        <f t="shared" si="30"/>
        <v>1.6120136764608042</v>
      </c>
      <c r="AP16" s="117">
        <f t="shared" si="11"/>
        <v>1047.9461077844314</v>
      </c>
      <c r="AQ16" s="7">
        <f>'a1'!BN16</f>
        <v>2665238</v>
      </c>
      <c r="AR16" s="9">
        <f t="shared" si="31"/>
        <v>2.54329681669876</v>
      </c>
      <c r="AS16" s="9">
        <f t="shared" si="32"/>
        <v>1.5947717130356809</v>
      </c>
    </row>
    <row r="17" spans="1:45" hidden="1">
      <c r="A17" s="1">
        <v>1980</v>
      </c>
      <c r="B17" s="7">
        <v>8926</v>
      </c>
      <c r="C17" s="7">
        <f>'a1'!F17</f>
        <v>24515667</v>
      </c>
      <c r="D17" s="9">
        <f>C17/B17/1000</f>
        <v>2.7465457091642391</v>
      </c>
      <c r="E17" s="9">
        <f t="shared" si="12"/>
        <v>1.6572705600366644</v>
      </c>
      <c r="F17" s="7">
        <v>160</v>
      </c>
      <c r="G17" s="7">
        <f>'a1'!L17</f>
        <v>572759</v>
      </c>
      <c r="H17" s="9">
        <f t="shared" si="13"/>
        <v>3.57974375</v>
      </c>
      <c r="I17" s="9">
        <f t="shared" si="14"/>
        <v>1.892021075464013</v>
      </c>
      <c r="J17" s="7">
        <v>40</v>
      </c>
      <c r="K17" s="7">
        <f>'a1'!R17</f>
        <v>123735</v>
      </c>
      <c r="L17" s="9">
        <f t="shared" si="15"/>
        <v>3.093375</v>
      </c>
      <c r="M17" s="9">
        <f t="shared" si="16"/>
        <v>1.7587993063450986</v>
      </c>
      <c r="N17" s="7">
        <v>289</v>
      </c>
      <c r="O17" s="7">
        <f>'a1'!X17</f>
        <v>852659</v>
      </c>
      <c r="P17" s="9">
        <f t="shared" si="17"/>
        <v>2.9503771626297581</v>
      </c>
      <c r="Q17" s="9">
        <f t="shared" si="18"/>
        <v>1.7176661965090185</v>
      </c>
      <c r="R17" s="7">
        <v>230</v>
      </c>
      <c r="S17" s="7">
        <f>'a1'!AD17</f>
        <v>706219</v>
      </c>
      <c r="T17" s="9">
        <f t="shared" si="19"/>
        <v>3.0705173913043478</v>
      </c>
      <c r="U17" s="9">
        <f t="shared" si="20"/>
        <v>1.7522891859805412</v>
      </c>
      <c r="V17" s="7">
        <v>2326</v>
      </c>
      <c r="W17" s="7">
        <f>'a1'!AJ17</f>
        <v>6505997</v>
      </c>
      <c r="X17" s="9">
        <f t="shared" si="21"/>
        <v>2.7970752364574376</v>
      </c>
      <c r="Y17" s="9">
        <f t="shared" si="22"/>
        <v>1.6724458844630632</v>
      </c>
      <c r="Z17" s="7">
        <v>3221</v>
      </c>
      <c r="AA17" s="7">
        <f>'a1'!AP17</f>
        <v>8746013</v>
      </c>
      <c r="AB17" s="9">
        <f t="shared" si="23"/>
        <v>2.7153098416640797</v>
      </c>
      <c r="AC17" s="9">
        <f t="shared" si="24"/>
        <v>1.6478197236542838</v>
      </c>
      <c r="AD17" s="7">
        <v>378</v>
      </c>
      <c r="AE17" s="7">
        <f>'a1'!AV17</f>
        <v>1034435</v>
      </c>
      <c r="AF17" s="9">
        <f t="shared" si="25"/>
        <v>2.7366005291005289</v>
      </c>
      <c r="AG17" s="9">
        <f t="shared" si="26"/>
        <v>1.654267369290868</v>
      </c>
      <c r="AH17" s="7">
        <v>350</v>
      </c>
      <c r="AI17" s="7">
        <f>'a1'!BB17</f>
        <v>967548</v>
      </c>
      <c r="AJ17" s="9">
        <f t="shared" si="27"/>
        <v>2.7644228571428573</v>
      </c>
      <c r="AK17" s="9">
        <f t="shared" si="28"/>
        <v>1.6626553633098042</v>
      </c>
      <c r="AL17" s="7">
        <v>843</v>
      </c>
      <c r="AM17" s="7">
        <f>'a1'!BH17</f>
        <v>2191029</v>
      </c>
      <c r="AN17" s="9">
        <f t="shared" si="29"/>
        <v>2.5990854092526692</v>
      </c>
      <c r="AO17" s="9">
        <f t="shared" si="30"/>
        <v>1.6121679221634044</v>
      </c>
      <c r="AP17" s="7">
        <v>1087</v>
      </c>
      <c r="AQ17" s="7">
        <f>'a1'!BN17</f>
        <v>2745861</v>
      </c>
      <c r="AR17" s="9">
        <f t="shared" si="31"/>
        <v>2.5260910763569457</v>
      </c>
      <c r="AS17" s="9">
        <f t="shared" si="32"/>
        <v>1.5893681374549276</v>
      </c>
    </row>
    <row r="18" spans="1:45" hidden="1">
      <c r="B18" s="7"/>
      <c r="C18" s="7"/>
      <c r="D18" s="9"/>
      <c r="E18" s="9"/>
      <c r="F18" s="7"/>
      <c r="G18" s="7"/>
      <c r="H18" s="9"/>
      <c r="I18" s="9"/>
      <c r="J18" s="7"/>
      <c r="K18" s="7"/>
      <c r="L18" s="9"/>
      <c r="M18" s="9"/>
      <c r="N18" s="7"/>
      <c r="O18" s="7"/>
      <c r="P18" s="9"/>
      <c r="Q18" s="9"/>
      <c r="R18" s="7"/>
      <c r="S18" s="7"/>
      <c r="T18" s="9"/>
      <c r="U18" s="9"/>
      <c r="V18" s="7"/>
      <c r="W18" s="7"/>
      <c r="X18" s="9"/>
      <c r="Y18" s="9"/>
      <c r="Z18" s="7"/>
      <c r="AA18" s="7"/>
      <c r="AB18" s="9"/>
      <c r="AC18" s="9"/>
      <c r="AD18" s="7"/>
      <c r="AE18" s="7"/>
      <c r="AF18" s="9"/>
      <c r="AG18" s="9"/>
      <c r="AH18" s="7"/>
      <c r="AI18" s="7"/>
      <c r="AJ18" s="9"/>
      <c r="AK18" s="9"/>
      <c r="AL18" s="7"/>
      <c r="AM18" s="7"/>
      <c r="AN18" s="9"/>
      <c r="AO18" s="9"/>
      <c r="AP18" s="7"/>
      <c r="AQ18" s="7"/>
      <c r="AR18" s="9"/>
      <c r="AS18" s="9"/>
    </row>
    <row r="19" spans="1:45">
      <c r="A19" s="1">
        <v>1981</v>
      </c>
      <c r="B19" s="7">
        <v>9132</v>
      </c>
      <c r="C19" s="7">
        <f>'a1'!F19</f>
        <v>24819915</v>
      </c>
      <c r="D19" s="9">
        <f t="shared" ref="D19:D46" si="33">C19/B19/1000</f>
        <v>2.7179057161629436</v>
      </c>
      <c r="E19" s="9">
        <f t="shared" si="12"/>
        <v>1.6486072049348031</v>
      </c>
      <c r="F19" s="7">
        <v>162</v>
      </c>
      <c r="G19" s="7">
        <f>'a1'!L19</f>
        <v>575302</v>
      </c>
      <c r="H19" s="9">
        <f t="shared" si="13"/>
        <v>3.5512469135802469</v>
      </c>
      <c r="I19" s="9">
        <f t="shared" si="14"/>
        <v>1.8844752355974983</v>
      </c>
      <c r="J19" s="7">
        <v>41</v>
      </c>
      <c r="K19" s="7">
        <f>'a1'!R19</f>
        <v>123551</v>
      </c>
      <c r="L19" s="9">
        <f t="shared" si="15"/>
        <v>3.013439024390244</v>
      </c>
      <c r="M19" s="9">
        <f t="shared" si="16"/>
        <v>1.735925984709672</v>
      </c>
      <c r="N19" s="7">
        <v>294</v>
      </c>
      <c r="O19" s="7">
        <f>'a1'!X19</f>
        <v>854871</v>
      </c>
      <c r="P19" s="9">
        <f t="shared" si="17"/>
        <v>2.9077244897959185</v>
      </c>
      <c r="Q19" s="9">
        <f t="shared" si="18"/>
        <v>1.7052051166343356</v>
      </c>
      <c r="R19" s="7">
        <v>234</v>
      </c>
      <c r="S19" s="7">
        <f>'a1'!AD19</f>
        <v>706438</v>
      </c>
      <c r="T19" s="9">
        <f t="shared" si="19"/>
        <v>3.018965811965812</v>
      </c>
      <c r="U19" s="9">
        <f t="shared" si="20"/>
        <v>1.7375171400495053</v>
      </c>
      <c r="V19" s="7">
        <v>2386</v>
      </c>
      <c r="W19" s="7">
        <f>'a1'!AJ19</f>
        <v>6547207</v>
      </c>
      <c r="X19" s="9">
        <f t="shared" si="21"/>
        <v>2.744009639564124</v>
      </c>
      <c r="Y19" s="9">
        <f t="shared" si="22"/>
        <v>1.6565052488791348</v>
      </c>
      <c r="Z19" s="7">
        <v>3262</v>
      </c>
      <c r="AA19" s="7">
        <f>'a1'!AP19</f>
        <v>8812286</v>
      </c>
      <c r="AB19" s="9">
        <f t="shared" si="23"/>
        <v>2.7014978540772532</v>
      </c>
      <c r="AC19" s="9">
        <f t="shared" si="24"/>
        <v>1.6436233918015566</v>
      </c>
      <c r="AD19" s="7">
        <v>382</v>
      </c>
      <c r="AE19" s="7">
        <f>'a1'!AV19</f>
        <v>1035545</v>
      </c>
      <c r="AF19" s="9">
        <f t="shared" si="25"/>
        <v>2.7108507853403143</v>
      </c>
      <c r="AG19" s="9">
        <f t="shared" si="26"/>
        <v>1.646466150681609</v>
      </c>
      <c r="AH19" s="7">
        <v>360</v>
      </c>
      <c r="AI19" s="7">
        <f>'a1'!BB19</f>
        <v>975759</v>
      </c>
      <c r="AJ19" s="9">
        <f t="shared" si="27"/>
        <v>2.7104416666666666</v>
      </c>
      <c r="AK19" s="9">
        <f t="shared" si="28"/>
        <v>1.6463419045467642</v>
      </c>
      <c r="AL19" s="7">
        <v>889</v>
      </c>
      <c r="AM19" s="7">
        <f>'a1'!BH19</f>
        <v>2291104</v>
      </c>
      <c r="AN19" s="9">
        <f t="shared" si="29"/>
        <v>2.5771698537682792</v>
      </c>
      <c r="AO19" s="9">
        <f t="shared" si="30"/>
        <v>1.6053566126466354</v>
      </c>
      <c r="AP19" s="7">
        <v>1122</v>
      </c>
      <c r="AQ19" s="7">
        <f>'a1'!BN19</f>
        <v>2826558</v>
      </c>
      <c r="AR19" s="9">
        <f t="shared" si="31"/>
        <v>2.5192139037433154</v>
      </c>
      <c r="AS19" s="9">
        <f t="shared" si="32"/>
        <v>1.5872031702788763</v>
      </c>
    </row>
    <row r="20" spans="1:45">
      <c r="A20" s="1">
        <v>1982</v>
      </c>
      <c r="B20" s="7">
        <v>9298</v>
      </c>
      <c r="C20" s="7">
        <f>'a1'!F20</f>
        <v>25116942</v>
      </c>
      <c r="D20" s="9">
        <f t="shared" si="33"/>
        <v>2.7013273822327384</v>
      </c>
      <c r="E20" s="9">
        <f t="shared" si="12"/>
        <v>1.6435715324356097</v>
      </c>
      <c r="F20" s="7">
        <v>165</v>
      </c>
      <c r="G20" s="7">
        <f>'a1'!L20</f>
        <v>573795</v>
      </c>
      <c r="H20" s="9">
        <f t="shared" si="13"/>
        <v>3.4775454545454547</v>
      </c>
      <c r="I20" s="9">
        <f t="shared" si="14"/>
        <v>1.8648178073327846</v>
      </c>
      <c r="J20" s="7">
        <v>42</v>
      </c>
      <c r="K20" s="7">
        <f>'a1'!R20</f>
        <v>123588</v>
      </c>
      <c r="L20" s="9">
        <f t="shared" si="15"/>
        <v>2.9425714285714286</v>
      </c>
      <c r="M20" s="9">
        <f t="shared" si="16"/>
        <v>1.7153924998586849</v>
      </c>
      <c r="N20" s="7">
        <v>300</v>
      </c>
      <c r="O20" s="7">
        <f>'a1'!X20</f>
        <v>859038</v>
      </c>
      <c r="P20" s="9">
        <f t="shared" si="17"/>
        <v>2.8634599999999999</v>
      </c>
      <c r="Q20" s="9">
        <f t="shared" si="18"/>
        <v>1.6921761137659401</v>
      </c>
      <c r="R20" s="7">
        <v>239</v>
      </c>
      <c r="S20" s="7">
        <f>'a1'!AD20</f>
        <v>707457</v>
      </c>
      <c r="T20" s="9">
        <f t="shared" si="19"/>
        <v>2.9600711297071132</v>
      </c>
      <c r="U20" s="9">
        <f t="shared" si="20"/>
        <v>1.7204857249355814</v>
      </c>
      <c r="V20" s="7">
        <v>2422</v>
      </c>
      <c r="W20" s="7">
        <f>'a1'!AJ20</f>
        <v>6580631</v>
      </c>
      <c r="X20" s="9">
        <f t="shared" si="21"/>
        <v>2.7170235342691988</v>
      </c>
      <c r="Y20" s="9">
        <f t="shared" si="22"/>
        <v>1.6483396295269974</v>
      </c>
      <c r="Z20" s="7">
        <v>3338</v>
      </c>
      <c r="AA20" s="7">
        <f>'a1'!AP20</f>
        <v>8920288</v>
      </c>
      <c r="AB20" s="9">
        <f t="shared" si="23"/>
        <v>2.6723451168364289</v>
      </c>
      <c r="AC20" s="9">
        <f t="shared" si="24"/>
        <v>1.6347309004348174</v>
      </c>
      <c r="AD20" s="7">
        <v>388</v>
      </c>
      <c r="AE20" s="7">
        <f>'a1'!AV20</f>
        <v>1045224</v>
      </c>
      <c r="AF20" s="9">
        <f t="shared" si="25"/>
        <v>2.6938762886597938</v>
      </c>
      <c r="AG20" s="9">
        <f t="shared" si="26"/>
        <v>1.6413032287361753</v>
      </c>
      <c r="AH20" s="7">
        <v>365</v>
      </c>
      <c r="AI20" s="7">
        <f>'a1'!BB20</f>
        <v>986582</v>
      </c>
      <c r="AJ20" s="9">
        <f t="shared" si="27"/>
        <v>2.7029643835616439</v>
      </c>
      <c r="AK20" s="9">
        <f t="shared" si="28"/>
        <v>1.6440694582534048</v>
      </c>
      <c r="AL20" s="7">
        <v>900</v>
      </c>
      <c r="AM20" s="7">
        <f>'a1'!BH20</f>
        <v>2369827</v>
      </c>
      <c r="AN20" s="9">
        <f t="shared" si="29"/>
        <v>2.6331411111111112</v>
      </c>
      <c r="AO20" s="9">
        <f t="shared" si="30"/>
        <v>1.6226956310753755</v>
      </c>
      <c r="AP20" s="7">
        <v>1140</v>
      </c>
      <c r="AQ20" s="7">
        <f>'a1'!BN20</f>
        <v>2876513</v>
      </c>
      <c r="AR20" s="9">
        <f t="shared" si="31"/>
        <v>2.5232570175438593</v>
      </c>
      <c r="AS20" s="9">
        <f t="shared" si="32"/>
        <v>1.5884763194784679</v>
      </c>
    </row>
    <row r="21" spans="1:45">
      <c r="A21" s="1">
        <v>1983</v>
      </c>
      <c r="B21" s="7">
        <v>9480</v>
      </c>
      <c r="C21" s="7">
        <f>'a1'!F21</f>
        <v>25366451</v>
      </c>
      <c r="D21" s="9">
        <f t="shared" si="33"/>
        <v>2.6757859704641351</v>
      </c>
      <c r="E21" s="9">
        <f t="shared" si="12"/>
        <v>1.6357829839144724</v>
      </c>
      <c r="F21" s="7">
        <v>169</v>
      </c>
      <c r="G21" s="7">
        <f>'a1'!L21</f>
        <v>579164</v>
      </c>
      <c r="H21" s="9">
        <f t="shared" si="13"/>
        <v>3.4270059171597631</v>
      </c>
      <c r="I21" s="9">
        <f t="shared" si="14"/>
        <v>1.8512174148812892</v>
      </c>
      <c r="J21" s="7">
        <v>42</v>
      </c>
      <c r="K21" s="7">
        <f>'a1'!R21</f>
        <v>125102</v>
      </c>
      <c r="L21" s="9">
        <f t="shared" si="15"/>
        <v>2.9786190476190475</v>
      </c>
      <c r="M21" s="9">
        <f t="shared" si="16"/>
        <v>1.7258676216961275</v>
      </c>
      <c r="N21" s="7">
        <v>309</v>
      </c>
      <c r="O21" s="7">
        <f>'a1'!X21</f>
        <v>868289</v>
      </c>
      <c r="P21" s="9">
        <f t="shared" si="17"/>
        <v>2.8099967637540453</v>
      </c>
      <c r="Q21" s="9">
        <f t="shared" si="18"/>
        <v>1.6763044961325031</v>
      </c>
      <c r="R21" s="7">
        <v>246</v>
      </c>
      <c r="S21" s="7">
        <f>'a1'!AD21</f>
        <v>714842</v>
      </c>
      <c r="T21" s="9">
        <f t="shared" si="19"/>
        <v>2.9058617886178864</v>
      </c>
      <c r="U21" s="9">
        <f t="shared" si="20"/>
        <v>1.7046588481622609</v>
      </c>
      <c r="V21" s="7">
        <v>2466</v>
      </c>
      <c r="W21" s="7">
        <f>'a1'!AJ21</f>
        <v>6602976</v>
      </c>
      <c r="X21" s="9">
        <f t="shared" si="21"/>
        <v>2.6776058394160582</v>
      </c>
      <c r="Y21" s="9">
        <f t="shared" si="22"/>
        <v>1.6363391578203028</v>
      </c>
      <c r="Z21" s="7">
        <v>3395</v>
      </c>
      <c r="AA21" s="7">
        <f>'a1'!AP21</f>
        <v>9039564</v>
      </c>
      <c r="AB21" s="9">
        <f t="shared" si="23"/>
        <v>2.6626108983799703</v>
      </c>
      <c r="AC21" s="9">
        <f t="shared" si="24"/>
        <v>1.631750868968658</v>
      </c>
      <c r="AD21" s="7">
        <v>398</v>
      </c>
      <c r="AE21" s="7">
        <f>'a1'!AV21</f>
        <v>1059752</v>
      </c>
      <c r="AF21" s="9">
        <f t="shared" si="25"/>
        <v>2.6626934673366836</v>
      </c>
      <c r="AG21" s="9">
        <f t="shared" si="26"/>
        <v>1.6317761694965041</v>
      </c>
      <c r="AH21" s="7">
        <v>372</v>
      </c>
      <c r="AI21" s="7">
        <f>'a1'!BB21</f>
        <v>1001249</v>
      </c>
      <c r="AJ21" s="9">
        <f t="shared" si="27"/>
        <v>2.6915295698924733</v>
      </c>
      <c r="AK21" s="9">
        <f t="shared" si="28"/>
        <v>1.6405881780302067</v>
      </c>
      <c r="AL21" s="7">
        <v>910</v>
      </c>
      <c r="AM21" s="7">
        <f>'a1'!BH21</f>
        <v>2393587</v>
      </c>
      <c r="AN21" s="9">
        <f t="shared" si="29"/>
        <v>2.6303153846153844</v>
      </c>
      <c r="AO21" s="9">
        <f t="shared" si="30"/>
        <v>1.6218247083502533</v>
      </c>
      <c r="AP21" s="7">
        <v>1172</v>
      </c>
      <c r="AQ21" s="7">
        <f>'a1'!BN21</f>
        <v>2907502</v>
      </c>
      <c r="AR21" s="9">
        <f t="shared" si="31"/>
        <v>2.4808037542662116</v>
      </c>
      <c r="AS21" s="9">
        <f t="shared" si="32"/>
        <v>1.5750567463638292</v>
      </c>
    </row>
    <row r="22" spans="1:45">
      <c r="A22" s="1">
        <v>1984</v>
      </c>
      <c r="B22" s="7">
        <v>9656</v>
      </c>
      <c r="C22" s="7">
        <f>'a1'!F22</f>
        <v>25607053</v>
      </c>
      <c r="D22" s="9">
        <f t="shared" si="33"/>
        <v>2.6519317522783763</v>
      </c>
      <c r="E22" s="9">
        <f t="shared" si="12"/>
        <v>1.6284752845156651</v>
      </c>
      <c r="F22" s="7">
        <v>170</v>
      </c>
      <c r="G22" s="7">
        <f>'a1'!L22</f>
        <v>580065</v>
      </c>
      <c r="H22" s="9">
        <f t="shared" si="13"/>
        <v>3.4121470588235292</v>
      </c>
      <c r="I22" s="9">
        <f t="shared" si="14"/>
        <v>1.8471997885511813</v>
      </c>
      <c r="J22" s="7">
        <v>43</v>
      </c>
      <c r="K22" s="7">
        <f>'a1'!R22</f>
        <v>126563</v>
      </c>
      <c r="L22" s="9">
        <f t="shared" si="15"/>
        <v>2.9433255813953489</v>
      </c>
      <c r="M22" s="9">
        <f t="shared" si="16"/>
        <v>1.7156123050955741</v>
      </c>
      <c r="N22" s="7">
        <v>313</v>
      </c>
      <c r="O22" s="7">
        <f>'a1'!X22</f>
        <v>877471</v>
      </c>
      <c r="P22" s="9">
        <f t="shared" si="17"/>
        <v>2.8034217252396165</v>
      </c>
      <c r="Q22" s="9">
        <f t="shared" si="18"/>
        <v>1.6743421768681623</v>
      </c>
      <c r="R22" s="7">
        <v>248</v>
      </c>
      <c r="S22" s="7">
        <f>'a1'!AD22</f>
        <v>720488</v>
      </c>
      <c r="T22" s="9">
        <f t="shared" si="19"/>
        <v>2.9051935483870968</v>
      </c>
      <c r="U22" s="9">
        <f t="shared" si="20"/>
        <v>1.704462832797212</v>
      </c>
      <c r="V22" s="7">
        <v>2517</v>
      </c>
      <c r="W22" s="7">
        <f>'a1'!AJ22</f>
        <v>6631220</v>
      </c>
      <c r="X22" s="9">
        <f t="shared" si="21"/>
        <v>2.6345729042510926</v>
      </c>
      <c r="Y22" s="9">
        <f t="shared" si="22"/>
        <v>1.6231367484753381</v>
      </c>
      <c r="Z22" s="7">
        <v>3483</v>
      </c>
      <c r="AA22" s="7">
        <f>'a1'!AP22</f>
        <v>9167484</v>
      </c>
      <c r="AB22" s="9">
        <f t="shared" si="23"/>
        <v>2.6320654608096472</v>
      </c>
      <c r="AC22" s="9">
        <f t="shared" si="24"/>
        <v>1.6223641578910843</v>
      </c>
      <c r="AD22" s="7">
        <v>401</v>
      </c>
      <c r="AE22" s="7">
        <f>'a1'!AV22</f>
        <v>1071810</v>
      </c>
      <c r="AF22" s="9">
        <f t="shared" si="25"/>
        <v>2.6728428927680796</v>
      </c>
      <c r="AG22" s="9">
        <f t="shared" si="26"/>
        <v>1.6348831434595195</v>
      </c>
      <c r="AH22" s="7">
        <v>378</v>
      </c>
      <c r="AI22" s="7">
        <f>'a1'!BB22</f>
        <v>1014615</v>
      </c>
      <c r="AJ22" s="9">
        <f t="shared" si="27"/>
        <v>2.6841666666666666</v>
      </c>
      <c r="AK22" s="9">
        <f t="shared" si="28"/>
        <v>1.638342658501776</v>
      </c>
      <c r="AL22" s="7">
        <v>917</v>
      </c>
      <c r="AM22" s="7">
        <f>'a1'!BH22</f>
        <v>2393907</v>
      </c>
      <c r="AN22" s="9">
        <f t="shared" si="29"/>
        <v>2.6105856052344603</v>
      </c>
      <c r="AO22" s="9">
        <f t="shared" si="30"/>
        <v>1.6157306722453653</v>
      </c>
      <c r="AP22" s="7">
        <v>1186</v>
      </c>
      <c r="AQ22" s="7">
        <f>'a1'!BN22</f>
        <v>2947181</v>
      </c>
      <c r="AR22" s="9">
        <f t="shared" si="31"/>
        <v>2.4849755480607083</v>
      </c>
      <c r="AS22" s="9">
        <f t="shared" si="32"/>
        <v>1.5763805213401707</v>
      </c>
    </row>
    <row r="23" spans="1:45">
      <c r="A23" s="1">
        <v>1985</v>
      </c>
      <c r="B23" s="7">
        <v>9837</v>
      </c>
      <c r="C23" s="7">
        <f>'a1'!F23</f>
        <v>25842116</v>
      </c>
      <c r="D23" s="9">
        <f t="shared" si="33"/>
        <v>2.6270322252719325</v>
      </c>
      <c r="E23" s="9">
        <f t="shared" si="12"/>
        <v>1.6208122116000769</v>
      </c>
      <c r="F23" s="7">
        <v>172</v>
      </c>
      <c r="G23" s="7">
        <f>'a1'!L23</f>
        <v>579275</v>
      </c>
      <c r="H23" s="9">
        <f t="shared" si="13"/>
        <v>3.3678779069767444</v>
      </c>
      <c r="I23" s="9">
        <f t="shared" si="14"/>
        <v>1.8351778951852991</v>
      </c>
      <c r="J23" s="7">
        <v>43</v>
      </c>
      <c r="K23" s="7">
        <f>'a1'!R23</f>
        <v>127619</v>
      </c>
      <c r="L23" s="9">
        <f t="shared" si="15"/>
        <v>2.9678837209302324</v>
      </c>
      <c r="M23" s="9">
        <f t="shared" si="16"/>
        <v>1.7227546897136088</v>
      </c>
      <c r="N23" s="7">
        <v>317</v>
      </c>
      <c r="O23" s="7">
        <f>'a1'!X23</f>
        <v>885848</v>
      </c>
      <c r="P23" s="9">
        <f t="shared" si="17"/>
        <v>2.7944731861198737</v>
      </c>
      <c r="Q23" s="9">
        <f t="shared" si="18"/>
        <v>1.6716677858114852</v>
      </c>
      <c r="R23" s="7">
        <v>252</v>
      </c>
      <c r="S23" s="7">
        <f>'a1'!AD23</f>
        <v>723287</v>
      </c>
      <c r="T23" s="9">
        <f t="shared" si="19"/>
        <v>2.8701865079365079</v>
      </c>
      <c r="U23" s="9">
        <f t="shared" si="20"/>
        <v>1.6941624797924513</v>
      </c>
      <c r="V23" s="7">
        <v>2563</v>
      </c>
      <c r="W23" s="7">
        <f>'a1'!AJ23</f>
        <v>6665802</v>
      </c>
      <c r="X23" s="9">
        <f t="shared" si="21"/>
        <v>2.600781115879828</v>
      </c>
      <c r="Y23" s="9">
        <f t="shared" si="22"/>
        <v>1.6126937452225167</v>
      </c>
      <c r="Z23" s="7">
        <v>3558</v>
      </c>
      <c r="AA23" s="7">
        <f>'a1'!AP23</f>
        <v>9294657</v>
      </c>
      <c r="AB23" s="9">
        <f t="shared" si="23"/>
        <v>2.6123263069139968</v>
      </c>
      <c r="AC23" s="9">
        <f t="shared" si="24"/>
        <v>1.6162692556978235</v>
      </c>
      <c r="AD23" s="7">
        <v>409</v>
      </c>
      <c r="AE23" s="7">
        <f>'a1'!AV23</f>
        <v>1082495</v>
      </c>
      <c r="AF23" s="9">
        <f t="shared" si="25"/>
        <v>2.6466870415647921</v>
      </c>
      <c r="AG23" s="9">
        <f t="shared" si="26"/>
        <v>1.6268641742827801</v>
      </c>
      <c r="AH23" s="7">
        <v>383</v>
      </c>
      <c r="AI23" s="7">
        <f>'a1'!BB23</f>
        <v>1024928</v>
      </c>
      <c r="AJ23" s="9">
        <f t="shared" si="27"/>
        <v>2.6760522193211487</v>
      </c>
      <c r="AK23" s="9">
        <f t="shared" si="28"/>
        <v>1.6358643645856306</v>
      </c>
      <c r="AL23" s="7">
        <v>927</v>
      </c>
      <c r="AM23" s="7">
        <f>'a1'!BH23</f>
        <v>2404490</v>
      </c>
      <c r="AN23" s="9">
        <f t="shared" si="29"/>
        <v>2.5938403451995686</v>
      </c>
      <c r="AO23" s="9">
        <f t="shared" si="30"/>
        <v>1.6105403891860548</v>
      </c>
      <c r="AP23" s="7">
        <v>1211</v>
      </c>
      <c r="AQ23" s="7">
        <f>'a1'!BN23</f>
        <v>2975131</v>
      </c>
      <c r="AR23" s="9">
        <f t="shared" si="31"/>
        <v>2.4567555739058631</v>
      </c>
      <c r="AS23" s="9">
        <f t="shared" si="32"/>
        <v>1.5674040876257351</v>
      </c>
    </row>
    <row r="24" spans="1:45">
      <c r="A24" s="1">
        <v>1986</v>
      </c>
      <c r="B24" s="7">
        <v>10005</v>
      </c>
      <c r="C24" s="7">
        <f>'a1'!F24</f>
        <v>26100278</v>
      </c>
      <c r="D24" s="9">
        <f t="shared" si="33"/>
        <v>2.6087234382808595</v>
      </c>
      <c r="E24" s="9">
        <f t="shared" si="12"/>
        <v>1.6151543078854291</v>
      </c>
      <c r="F24" s="7">
        <v>178</v>
      </c>
      <c r="G24" s="7">
        <f>'a1'!L24</f>
        <v>576306</v>
      </c>
      <c r="H24" s="9">
        <f t="shared" si="13"/>
        <v>3.2376741573033709</v>
      </c>
      <c r="I24" s="9">
        <f t="shared" si="14"/>
        <v>1.799353816597328</v>
      </c>
      <c r="J24" s="7">
        <v>44</v>
      </c>
      <c r="K24" s="7">
        <f>'a1'!R24</f>
        <v>128436</v>
      </c>
      <c r="L24" s="9">
        <f t="shared" si="15"/>
        <v>2.919</v>
      </c>
      <c r="M24" s="9">
        <f t="shared" si="16"/>
        <v>1.70850812113961</v>
      </c>
      <c r="N24" s="7">
        <v>324</v>
      </c>
      <c r="O24" s="7">
        <f>'a1'!X24</f>
        <v>889087</v>
      </c>
      <c r="P24" s="9">
        <f t="shared" si="17"/>
        <v>2.7440956790123456</v>
      </c>
      <c r="Q24" s="9">
        <f t="shared" si="18"/>
        <v>1.6565312188462811</v>
      </c>
      <c r="R24" s="7">
        <v>256</v>
      </c>
      <c r="S24" s="7">
        <f>'a1'!AD24</f>
        <v>725019</v>
      </c>
      <c r="T24" s="9">
        <f t="shared" si="19"/>
        <v>2.83210546875</v>
      </c>
      <c r="U24" s="9">
        <f t="shared" si="20"/>
        <v>1.6828860534064687</v>
      </c>
      <c r="V24" s="7">
        <v>2607</v>
      </c>
      <c r="W24" s="7">
        <f>'a1'!AJ24</f>
        <v>6708170</v>
      </c>
      <c r="X24" s="9">
        <f t="shared" si="21"/>
        <v>2.5731377061756806</v>
      </c>
      <c r="Y24" s="9">
        <f t="shared" si="22"/>
        <v>1.6041002793390695</v>
      </c>
      <c r="Z24" s="7">
        <v>3636</v>
      </c>
      <c r="AA24" s="7">
        <f>'a1'!AP24</f>
        <v>9437359</v>
      </c>
      <c r="AB24" s="9">
        <f t="shared" si="23"/>
        <v>2.5955332783278329</v>
      </c>
      <c r="AC24" s="9">
        <f t="shared" si="24"/>
        <v>1.6110658826776243</v>
      </c>
      <c r="AD24" s="7">
        <v>411</v>
      </c>
      <c r="AE24" s="7">
        <f>'a1'!AV24</f>
        <v>1091552</v>
      </c>
      <c r="AF24" s="9">
        <f t="shared" si="25"/>
        <v>2.6558442822384425</v>
      </c>
      <c r="AG24" s="9">
        <f t="shared" si="26"/>
        <v>1.6296761280200562</v>
      </c>
      <c r="AH24" s="7">
        <v>385</v>
      </c>
      <c r="AI24" s="7">
        <f>'a1'!BB24</f>
        <v>1028717</v>
      </c>
      <c r="AJ24" s="9">
        <f t="shared" si="27"/>
        <v>2.6719922077922078</v>
      </c>
      <c r="AK24" s="9">
        <f t="shared" si="28"/>
        <v>1.6346229558501275</v>
      </c>
      <c r="AL24" s="7">
        <v>931</v>
      </c>
      <c r="AM24" s="7">
        <f>'a1'!BH24</f>
        <v>2432930</v>
      </c>
      <c r="AN24" s="9">
        <f t="shared" si="29"/>
        <v>2.6132438238453277</v>
      </c>
      <c r="AO24" s="9">
        <f t="shared" si="30"/>
        <v>1.6165530686758562</v>
      </c>
      <c r="AP24" s="7">
        <v>1233</v>
      </c>
      <c r="AQ24" s="7">
        <f>'a1'!BN24</f>
        <v>3003621</v>
      </c>
      <c r="AR24" s="9">
        <f t="shared" si="31"/>
        <v>2.4360267639902675</v>
      </c>
      <c r="AS24" s="9">
        <f t="shared" si="32"/>
        <v>1.5607776151618358</v>
      </c>
    </row>
    <row r="25" spans="1:45">
      <c r="A25" s="1">
        <v>1987</v>
      </c>
      <c r="B25" s="7">
        <v>10205</v>
      </c>
      <c r="C25" s="7">
        <f>'a1'!F25</f>
        <v>26446601</v>
      </c>
      <c r="D25" s="9">
        <f t="shared" si="33"/>
        <v>2.5915336599706023</v>
      </c>
      <c r="E25" s="9">
        <f t="shared" si="12"/>
        <v>1.6098241083952627</v>
      </c>
      <c r="F25" s="7">
        <v>179</v>
      </c>
      <c r="G25" s="7">
        <f>'a1'!L25</f>
        <v>575242</v>
      </c>
      <c r="H25" s="9">
        <f t="shared" si="13"/>
        <v>3.2136424581005585</v>
      </c>
      <c r="I25" s="9">
        <f t="shared" si="14"/>
        <v>1.7926635094463652</v>
      </c>
      <c r="J25" s="7">
        <v>45</v>
      </c>
      <c r="K25" s="7">
        <f>'a1'!R25</f>
        <v>128641</v>
      </c>
      <c r="L25" s="9">
        <f t="shared" si="15"/>
        <v>2.8586888888888891</v>
      </c>
      <c r="M25" s="9">
        <f t="shared" si="16"/>
        <v>1.6907657699660497</v>
      </c>
      <c r="N25" s="7">
        <v>327</v>
      </c>
      <c r="O25" s="7">
        <f>'a1'!X25</f>
        <v>893606</v>
      </c>
      <c r="P25" s="9">
        <f t="shared" si="17"/>
        <v>2.7327400611620796</v>
      </c>
      <c r="Q25" s="9">
        <f t="shared" si="18"/>
        <v>1.6531001364593978</v>
      </c>
      <c r="R25" s="7">
        <v>260</v>
      </c>
      <c r="S25" s="7">
        <f>'a1'!AD25</f>
        <v>727768</v>
      </c>
      <c r="T25" s="9">
        <f t="shared" si="19"/>
        <v>2.7991076923076923</v>
      </c>
      <c r="U25" s="9">
        <f t="shared" si="20"/>
        <v>1.6730534039018874</v>
      </c>
      <c r="V25" s="7">
        <v>2660</v>
      </c>
      <c r="W25" s="7">
        <f>'a1'!AJ25</f>
        <v>6781984</v>
      </c>
      <c r="X25" s="9">
        <f t="shared" si="21"/>
        <v>2.5496180451127821</v>
      </c>
      <c r="Y25" s="9">
        <f t="shared" si="22"/>
        <v>1.5967523430741482</v>
      </c>
      <c r="Z25" s="7">
        <v>3726</v>
      </c>
      <c r="AA25" s="7">
        <f>'a1'!AP25</f>
        <v>9637945</v>
      </c>
      <c r="AB25" s="9">
        <f t="shared" si="23"/>
        <v>2.5866733762748253</v>
      </c>
      <c r="AC25" s="9">
        <f t="shared" si="24"/>
        <v>1.6083138301571698</v>
      </c>
      <c r="AD25" s="7">
        <v>416</v>
      </c>
      <c r="AE25" s="7">
        <f>'a1'!AV25</f>
        <v>1098373</v>
      </c>
      <c r="AF25" s="9">
        <f t="shared" si="25"/>
        <v>2.6403197115384613</v>
      </c>
      <c r="AG25" s="9">
        <f t="shared" si="26"/>
        <v>1.6249060623735949</v>
      </c>
      <c r="AH25" s="7">
        <v>388</v>
      </c>
      <c r="AI25" s="7">
        <f>'a1'!BB25</f>
        <v>1032799</v>
      </c>
      <c r="AJ25" s="9">
        <f t="shared" si="27"/>
        <v>2.6618530927835051</v>
      </c>
      <c r="AK25" s="9">
        <f t="shared" si="28"/>
        <v>1.6315186461648254</v>
      </c>
      <c r="AL25" s="7">
        <v>942</v>
      </c>
      <c r="AM25" s="7">
        <f>'a1'!BH25</f>
        <v>2440877</v>
      </c>
      <c r="AN25" s="9">
        <f t="shared" si="29"/>
        <v>2.5911645435244162</v>
      </c>
      <c r="AO25" s="9">
        <f t="shared" si="30"/>
        <v>1.6097094593511017</v>
      </c>
      <c r="AP25" s="7">
        <v>1262</v>
      </c>
      <c r="AQ25" s="7">
        <f>'a1'!BN25</f>
        <v>3048651</v>
      </c>
      <c r="AR25" s="9">
        <f t="shared" si="31"/>
        <v>2.4157297939778131</v>
      </c>
      <c r="AS25" s="9">
        <f t="shared" si="32"/>
        <v>1.5542618164189113</v>
      </c>
    </row>
    <row r="26" spans="1:45">
      <c r="A26" s="1">
        <v>1988</v>
      </c>
      <c r="B26" s="7">
        <v>10454</v>
      </c>
      <c r="C26" s="7">
        <f>'a1'!F26</f>
        <v>26791747</v>
      </c>
      <c r="D26" s="9">
        <f t="shared" si="33"/>
        <v>2.5628225559594413</v>
      </c>
      <c r="E26" s="9">
        <f t="shared" si="12"/>
        <v>1.6008818057431478</v>
      </c>
      <c r="F26" s="7">
        <v>184</v>
      </c>
      <c r="G26" s="7">
        <f>'a1'!L26</f>
        <v>574982</v>
      </c>
      <c r="H26" s="9">
        <f t="shared" si="13"/>
        <v>3.1249021739130436</v>
      </c>
      <c r="I26" s="9">
        <f t="shared" si="14"/>
        <v>1.7677392833540368</v>
      </c>
      <c r="J26" s="7">
        <v>46</v>
      </c>
      <c r="K26" s="7">
        <f>'a1'!R26</f>
        <v>129289</v>
      </c>
      <c r="L26" s="9">
        <f t="shared" si="15"/>
        <v>2.8106304347826083</v>
      </c>
      <c r="M26" s="9">
        <f t="shared" si="16"/>
        <v>1.6764934938086125</v>
      </c>
      <c r="N26" s="7">
        <v>335</v>
      </c>
      <c r="O26" s="7">
        <f>'a1'!X26</f>
        <v>897216</v>
      </c>
      <c r="P26" s="9">
        <f t="shared" si="17"/>
        <v>2.6782567164179105</v>
      </c>
      <c r="Q26" s="9">
        <f t="shared" si="18"/>
        <v>1.6365380277946218</v>
      </c>
      <c r="R26" s="7">
        <v>266</v>
      </c>
      <c r="S26" s="7">
        <f>'a1'!AD26</f>
        <v>730349</v>
      </c>
      <c r="T26" s="9">
        <f t="shared" si="19"/>
        <v>2.7456729323308271</v>
      </c>
      <c r="U26" s="9">
        <f t="shared" si="20"/>
        <v>1.6570072215687013</v>
      </c>
      <c r="V26" s="7">
        <v>2725</v>
      </c>
      <c r="W26" s="7">
        <f>'a1'!AJ26</f>
        <v>6837077</v>
      </c>
      <c r="X26" s="9">
        <f t="shared" si="21"/>
        <v>2.5090190825688072</v>
      </c>
      <c r="Y26" s="9">
        <f t="shared" si="22"/>
        <v>1.583988346727591</v>
      </c>
      <c r="Z26" s="7">
        <v>3842</v>
      </c>
      <c r="AA26" s="7">
        <f>'a1'!AP26</f>
        <v>9838620</v>
      </c>
      <c r="AB26" s="9">
        <f t="shared" si="23"/>
        <v>2.5608068714211347</v>
      </c>
      <c r="AC26" s="9">
        <f t="shared" si="24"/>
        <v>1.6002521274540256</v>
      </c>
      <c r="AD26" s="7">
        <v>421</v>
      </c>
      <c r="AE26" s="7">
        <f>'a1'!AV26</f>
        <v>1102152</v>
      </c>
      <c r="AF26" s="9">
        <f t="shared" si="25"/>
        <v>2.6179382422802853</v>
      </c>
      <c r="AG26" s="9">
        <f t="shared" si="26"/>
        <v>1.6180044011931134</v>
      </c>
      <c r="AH26" s="7">
        <v>388</v>
      </c>
      <c r="AI26" s="7">
        <f>'a1'!BB26</f>
        <v>1028225</v>
      </c>
      <c r="AJ26" s="9">
        <f t="shared" si="27"/>
        <v>2.6500644329896907</v>
      </c>
      <c r="AK26" s="9">
        <f t="shared" si="28"/>
        <v>1.6279018499251392</v>
      </c>
      <c r="AL26" s="7">
        <v>959</v>
      </c>
      <c r="AM26" s="7">
        <f>'a1'!BH26</f>
        <v>2456614</v>
      </c>
      <c r="AN26" s="9">
        <f t="shared" si="29"/>
        <v>2.5616412930135555</v>
      </c>
      <c r="AO26" s="9">
        <f t="shared" si="30"/>
        <v>1.6005128218835223</v>
      </c>
      <c r="AP26" s="7">
        <v>1288</v>
      </c>
      <c r="AQ26" s="7">
        <f>'a1'!BN26</f>
        <v>3114761</v>
      </c>
      <c r="AR26" s="9">
        <f t="shared" si="31"/>
        <v>2.4182927018633542</v>
      </c>
      <c r="AS26" s="9">
        <f t="shared" si="32"/>
        <v>1.5550860753872611</v>
      </c>
    </row>
    <row r="27" spans="1:45">
      <c r="A27" s="1">
        <v>1989</v>
      </c>
      <c r="B27" s="7">
        <v>10659</v>
      </c>
      <c r="C27" s="7">
        <f>'a1'!F27</f>
        <v>27276781</v>
      </c>
      <c r="D27" s="9">
        <f t="shared" si="33"/>
        <v>2.5590375269725114</v>
      </c>
      <c r="E27" s="9">
        <f t="shared" si="12"/>
        <v>1.5996991989035036</v>
      </c>
      <c r="F27" s="7">
        <v>186</v>
      </c>
      <c r="G27" s="7">
        <f>'a1'!L27</f>
        <v>576551</v>
      </c>
      <c r="H27" s="9">
        <f t="shared" si="13"/>
        <v>3.0997365591397847</v>
      </c>
      <c r="I27" s="9">
        <f t="shared" si="14"/>
        <v>1.7606068723993398</v>
      </c>
      <c r="J27" s="7">
        <v>46</v>
      </c>
      <c r="K27" s="7">
        <f>'a1'!R27</f>
        <v>130153</v>
      </c>
      <c r="L27" s="9">
        <f t="shared" si="15"/>
        <v>2.8294130434782612</v>
      </c>
      <c r="M27" s="9">
        <f t="shared" si="16"/>
        <v>1.6820859203614604</v>
      </c>
      <c r="N27" s="7">
        <v>339</v>
      </c>
      <c r="O27" s="7">
        <f>'a1'!X27</f>
        <v>903841</v>
      </c>
      <c r="P27" s="9">
        <f t="shared" si="17"/>
        <v>2.6661976401179941</v>
      </c>
      <c r="Q27" s="9">
        <f t="shared" si="18"/>
        <v>1.6328495460752022</v>
      </c>
      <c r="R27" s="7">
        <v>270</v>
      </c>
      <c r="S27" s="7">
        <f>'a1'!AD27</f>
        <v>735129</v>
      </c>
      <c r="T27" s="9">
        <f t="shared" si="19"/>
        <v>2.7226999999999997</v>
      </c>
      <c r="U27" s="9">
        <f t="shared" si="20"/>
        <v>1.6500606049475879</v>
      </c>
      <c r="V27" s="7">
        <v>2779</v>
      </c>
      <c r="W27" s="7">
        <f>'a1'!AJ27</f>
        <v>6925128</v>
      </c>
      <c r="X27" s="9">
        <f t="shared" si="21"/>
        <v>2.4919496221662465</v>
      </c>
      <c r="Y27" s="9">
        <f t="shared" si="22"/>
        <v>1.578591024352491</v>
      </c>
      <c r="Z27" s="7">
        <v>3919</v>
      </c>
      <c r="AA27" s="7">
        <f>'a1'!AP27</f>
        <v>10103305</v>
      </c>
      <c r="AB27" s="9">
        <f t="shared" si="23"/>
        <v>2.5780313855575399</v>
      </c>
      <c r="AC27" s="9">
        <f t="shared" si="24"/>
        <v>1.6056249205706605</v>
      </c>
      <c r="AD27" s="7">
        <v>424</v>
      </c>
      <c r="AE27" s="7">
        <f>'a1'!AV27</f>
        <v>1103792</v>
      </c>
      <c r="AF27" s="9">
        <f t="shared" si="25"/>
        <v>2.6032830188679243</v>
      </c>
      <c r="AG27" s="9">
        <f t="shared" si="26"/>
        <v>1.6134692494336309</v>
      </c>
      <c r="AH27" s="7">
        <v>385</v>
      </c>
      <c r="AI27" s="7">
        <f>'a1'!BB27</f>
        <v>1019439</v>
      </c>
      <c r="AJ27" s="9">
        <f t="shared" si="27"/>
        <v>2.6478935064935065</v>
      </c>
      <c r="AK27" s="9">
        <f t="shared" si="28"/>
        <v>1.6272349266450454</v>
      </c>
      <c r="AL27" s="7">
        <v>977</v>
      </c>
      <c r="AM27" s="7">
        <f>'a1'!BH27</f>
        <v>2498325</v>
      </c>
      <c r="AN27" s="9">
        <f t="shared" si="29"/>
        <v>2.5571392016376664</v>
      </c>
      <c r="AO27" s="9">
        <f t="shared" si="30"/>
        <v>1.5991057506111552</v>
      </c>
      <c r="AP27" s="7">
        <v>1332</v>
      </c>
      <c r="AQ27" s="7">
        <f>'a1'!BN27</f>
        <v>3196725</v>
      </c>
      <c r="AR27" s="9">
        <f t="shared" si="31"/>
        <v>2.3999436936936935</v>
      </c>
      <c r="AS27" s="9">
        <f t="shared" si="32"/>
        <v>1.5491751655941601</v>
      </c>
    </row>
    <row r="28" spans="1:45" ht="12.75" customHeight="1">
      <c r="A28" s="1">
        <v>1990</v>
      </c>
      <c r="B28" s="7">
        <v>10897</v>
      </c>
      <c r="C28" s="7">
        <f>'a1'!F28</f>
        <v>27691138</v>
      </c>
      <c r="D28" s="9">
        <f t="shared" si="33"/>
        <v>2.5411707809488848</v>
      </c>
      <c r="E28" s="9">
        <f t="shared" si="12"/>
        <v>1.5941050093857947</v>
      </c>
      <c r="F28" s="7">
        <v>191</v>
      </c>
      <c r="G28" s="7">
        <f>'a1'!L28</f>
        <v>577368</v>
      </c>
      <c r="H28" s="9">
        <f t="shared" si="13"/>
        <v>3.0228691099476439</v>
      </c>
      <c r="I28" s="9">
        <f t="shared" si="14"/>
        <v>1.7386400173548415</v>
      </c>
      <c r="J28" s="7">
        <v>47</v>
      </c>
      <c r="K28" s="7">
        <f>'a1'!R28</f>
        <v>130404</v>
      </c>
      <c r="L28" s="9">
        <f t="shared" si="15"/>
        <v>2.7745531914893617</v>
      </c>
      <c r="M28" s="9">
        <f t="shared" si="16"/>
        <v>1.6656990098722404</v>
      </c>
      <c r="N28" s="7">
        <v>347</v>
      </c>
      <c r="O28" s="7">
        <f>'a1'!X28</f>
        <v>910451</v>
      </c>
      <c r="P28" s="9">
        <f t="shared" si="17"/>
        <v>2.6237780979827088</v>
      </c>
      <c r="Q28" s="9">
        <f t="shared" si="18"/>
        <v>1.619808043560319</v>
      </c>
      <c r="R28" s="7">
        <v>277</v>
      </c>
      <c r="S28" s="7">
        <f>'a1'!AD28</f>
        <v>740156</v>
      </c>
      <c r="T28" s="9">
        <f t="shared" si="19"/>
        <v>2.6720433212996388</v>
      </c>
      <c r="U28" s="9">
        <f t="shared" si="20"/>
        <v>1.6346385904228613</v>
      </c>
      <c r="V28" s="7">
        <v>2833</v>
      </c>
      <c r="W28" s="7">
        <f>'a1'!AJ28</f>
        <v>6996986</v>
      </c>
      <c r="X28" s="9">
        <f t="shared" si="21"/>
        <v>2.4698150370631837</v>
      </c>
      <c r="Y28" s="9">
        <f t="shared" si="22"/>
        <v>1.5715645188992986</v>
      </c>
      <c r="Z28" s="7">
        <v>4022</v>
      </c>
      <c r="AA28" s="7">
        <f>'a1'!AP28</f>
        <v>10295832</v>
      </c>
      <c r="AB28" s="9">
        <f t="shared" si="23"/>
        <v>2.5598786673296869</v>
      </c>
      <c r="AC28" s="9">
        <f t="shared" si="24"/>
        <v>1.5999620830912484</v>
      </c>
      <c r="AD28" s="7">
        <v>427</v>
      </c>
      <c r="AE28" s="7">
        <f>'a1'!AV28</f>
        <v>1105421</v>
      </c>
      <c r="AF28" s="9">
        <f t="shared" si="25"/>
        <v>2.5888079625292741</v>
      </c>
      <c r="AG28" s="9">
        <f t="shared" si="26"/>
        <v>1.6089773032983636</v>
      </c>
      <c r="AH28" s="7">
        <v>384</v>
      </c>
      <c r="AI28" s="7">
        <f>'a1'!BB28</f>
        <v>1007727</v>
      </c>
      <c r="AJ28" s="9">
        <f t="shared" si="27"/>
        <v>2.6242890624999999</v>
      </c>
      <c r="AK28" s="9">
        <f t="shared" si="28"/>
        <v>1.6199657596690122</v>
      </c>
      <c r="AL28" s="7">
        <v>998</v>
      </c>
      <c r="AM28" s="7">
        <f>'a1'!BH28</f>
        <v>2547788</v>
      </c>
      <c r="AN28" s="9">
        <f t="shared" si="29"/>
        <v>2.5528937875751505</v>
      </c>
      <c r="AO28" s="9">
        <f t="shared" si="30"/>
        <v>1.5977777653901528</v>
      </c>
      <c r="AP28" s="7">
        <v>1371</v>
      </c>
      <c r="AQ28" s="7">
        <f>'a1'!BN28</f>
        <v>3292111</v>
      </c>
      <c r="AR28" s="9">
        <f t="shared" si="31"/>
        <v>2.401247994164843</v>
      </c>
      <c r="AS28" s="9">
        <f t="shared" si="32"/>
        <v>1.549596074519048</v>
      </c>
    </row>
    <row r="29" spans="1:45" ht="12.75" customHeight="1">
      <c r="A29" s="1">
        <v>1991</v>
      </c>
      <c r="B29" s="7">
        <v>11062</v>
      </c>
      <c r="C29" s="7">
        <f>'a1'!F29</f>
        <v>28037420</v>
      </c>
      <c r="D29" s="9">
        <f t="shared" si="33"/>
        <v>2.5345706020611103</v>
      </c>
      <c r="E29" s="9">
        <f t="shared" si="12"/>
        <v>1.5920334801947822</v>
      </c>
      <c r="F29" s="7">
        <v>192</v>
      </c>
      <c r="G29" s="7">
        <f>'a1'!L29</f>
        <v>579644</v>
      </c>
      <c r="H29" s="9">
        <f t="shared" si="13"/>
        <v>3.0189791666666665</v>
      </c>
      <c r="I29" s="9">
        <f t="shared" si="14"/>
        <v>1.7375209830867271</v>
      </c>
      <c r="J29" s="7">
        <v>48</v>
      </c>
      <c r="K29" s="7">
        <f>'a1'!R29</f>
        <v>130369</v>
      </c>
      <c r="L29" s="9">
        <f t="shared" si="15"/>
        <v>2.7160208333333333</v>
      </c>
      <c r="M29" s="9">
        <f t="shared" si="16"/>
        <v>1.648035446625264</v>
      </c>
      <c r="N29" s="7">
        <v>352</v>
      </c>
      <c r="O29" s="7">
        <f>'a1'!X29</f>
        <v>914969</v>
      </c>
      <c r="P29" s="9">
        <f t="shared" si="17"/>
        <v>2.5993437500000001</v>
      </c>
      <c r="Q29" s="9">
        <f t="shared" si="18"/>
        <v>1.612248042330956</v>
      </c>
      <c r="R29" s="7">
        <v>281</v>
      </c>
      <c r="S29" s="7">
        <f>'a1'!AD29</f>
        <v>745567</v>
      </c>
      <c r="T29" s="9">
        <f t="shared" si="19"/>
        <v>2.6532633451957293</v>
      </c>
      <c r="U29" s="9">
        <f t="shared" si="20"/>
        <v>1.6288840797293493</v>
      </c>
      <c r="V29" s="7">
        <v>2867</v>
      </c>
      <c r="W29" s="7">
        <f>'a1'!AJ29</f>
        <v>7067396</v>
      </c>
      <c r="X29" s="9">
        <f t="shared" si="21"/>
        <v>2.4650840599930239</v>
      </c>
      <c r="Y29" s="9">
        <f t="shared" si="22"/>
        <v>1.5700586167379305</v>
      </c>
      <c r="Z29" s="7">
        <v>4084</v>
      </c>
      <c r="AA29" s="7">
        <f>'a1'!AP29</f>
        <v>10431316</v>
      </c>
      <c r="AB29" s="9">
        <f t="shared" si="23"/>
        <v>2.5541909892262487</v>
      </c>
      <c r="AC29" s="9">
        <f t="shared" si="24"/>
        <v>1.5981836531595011</v>
      </c>
      <c r="AD29" s="7">
        <v>430</v>
      </c>
      <c r="AE29" s="7">
        <f>'a1'!AV29</f>
        <v>1109604</v>
      </c>
      <c r="AF29" s="9">
        <f t="shared" si="25"/>
        <v>2.5804744186046511</v>
      </c>
      <c r="AG29" s="9">
        <f t="shared" si="26"/>
        <v>1.6063855136936001</v>
      </c>
      <c r="AH29" s="7">
        <v>385</v>
      </c>
      <c r="AI29" s="7">
        <f>'a1'!BB29</f>
        <v>1002713</v>
      </c>
      <c r="AJ29" s="9">
        <f t="shared" si="27"/>
        <v>2.6044493506493502</v>
      </c>
      <c r="AK29" s="9">
        <f t="shared" si="28"/>
        <v>1.6138306449715689</v>
      </c>
      <c r="AL29" s="7">
        <v>1017</v>
      </c>
      <c r="AM29" s="7">
        <f>'a1'!BH29</f>
        <v>2592306</v>
      </c>
      <c r="AN29" s="9">
        <f t="shared" si="29"/>
        <v>2.5489734513274338</v>
      </c>
      <c r="AO29" s="9">
        <f t="shared" si="30"/>
        <v>1.5965504850543981</v>
      </c>
      <c r="AP29" s="7">
        <v>1405</v>
      </c>
      <c r="AQ29" s="7">
        <f>'a1'!BN29</f>
        <v>3373787</v>
      </c>
      <c r="AR29" s="9">
        <f t="shared" si="31"/>
        <v>2.4012718861209965</v>
      </c>
      <c r="AS29" s="9">
        <f t="shared" si="32"/>
        <v>1.5496037835914691</v>
      </c>
    </row>
    <row r="30" spans="1:45" ht="12.75" customHeight="1">
      <c r="A30" s="1">
        <v>1992</v>
      </c>
      <c r="B30" s="7">
        <v>11257</v>
      </c>
      <c r="C30" s="7">
        <f>'a1'!F30</f>
        <v>28371264</v>
      </c>
      <c r="D30" s="9">
        <f t="shared" si="33"/>
        <v>2.5203219330194546</v>
      </c>
      <c r="E30" s="9">
        <f t="shared" si="12"/>
        <v>1.5875521827705239</v>
      </c>
      <c r="F30" s="7">
        <v>197</v>
      </c>
      <c r="G30" s="7">
        <f>'a1'!L30</f>
        <v>580109</v>
      </c>
      <c r="H30" s="9">
        <f t="shared" si="13"/>
        <v>2.9447157360406089</v>
      </c>
      <c r="I30" s="9">
        <f t="shared" si="14"/>
        <v>1.7160174055179653</v>
      </c>
      <c r="J30" s="7">
        <v>49</v>
      </c>
      <c r="K30" s="7">
        <f>'a1'!R30</f>
        <v>130827</v>
      </c>
      <c r="L30" s="9">
        <f t="shared" si="15"/>
        <v>2.6699387755102038</v>
      </c>
      <c r="M30" s="9">
        <f t="shared" si="16"/>
        <v>1.633994729339787</v>
      </c>
      <c r="N30" s="7">
        <v>353</v>
      </c>
      <c r="O30" s="7">
        <f>'a1'!X30</f>
        <v>919451</v>
      </c>
      <c r="P30" s="9">
        <f t="shared" si="17"/>
        <v>2.6046770538243629</v>
      </c>
      <c r="Q30" s="9">
        <f t="shared" si="18"/>
        <v>1.6139011908491681</v>
      </c>
      <c r="R30" s="7">
        <v>283</v>
      </c>
      <c r="S30" s="7">
        <f>'a1'!AD30</f>
        <v>748121</v>
      </c>
      <c r="T30" s="9">
        <f t="shared" si="19"/>
        <v>2.6435371024734984</v>
      </c>
      <c r="U30" s="9">
        <f t="shared" si="20"/>
        <v>1.6258957846287376</v>
      </c>
      <c r="V30" s="7">
        <v>2922</v>
      </c>
      <c r="W30" s="7">
        <f>'a1'!AJ30</f>
        <v>7110010</v>
      </c>
      <c r="X30" s="9">
        <f t="shared" si="21"/>
        <v>2.433268309377139</v>
      </c>
      <c r="Y30" s="9">
        <f t="shared" si="22"/>
        <v>1.5598936852802305</v>
      </c>
      <c r="Z30" s="7">
        <v>4150</v>
      </c>
      <c r="AA30" s="7">
        <f>'a1'!AP30</f>
        <v>10572205</v>
      </c>
      <c r="AB30" s="9">
        <f t="shared" si="23"/>
        <v>2.5475192771084338</v>
      </c>
      <c r="AC30" s="9">
        <f t="shared" si="24"/>
        <v>1.5960950087975445</v>
      </c>
      <c r="AD30" s="7">
        <v>430</v>
      </c>
      <c r="AE30" s="7">
        <f>'a1'!AV30</f>
        <v>1112689</v>
      </c>
      <c r="AF30" s="9">
        <f t="shared" si="25"/>
        <v>2.5876488372093021</v>
      </c>
      <c r="AG30" s="9">
        <f t="shared" si="26"/>
        <v>1.6086170573537077</v>
      </c>
      <c r="AH30" s="7">
        <v>388</v>
      </c>
      <c r="AI30" s="7">
        <f>'a1'!BB30</f>
        <v>1003995</v>
      </c>
      <c r="AJ30" s="9">
        <f t="shared" si="27"/>
        <v>2.5876159793814431</v>
      </c>
      <c r="AK30" s="9">
        <f t="shared" si="28"/>
        <v>1.6086068442541959</v>
      </c>
      <c r="AL30" s="7">
        <v>1038</v>
      </c>
      <c r="AM30" s="7">
        <f>'a1'!BH30</f>
        <v>2632672</v>
      </c>
      <c r="AN30" s="9">
        <f t="shared" si="29"/>
        <v>2.5362928709055876</v>
      </c>
      <c r="AO30" s="9">
        <f t="shared" si="30"/>
        <v>1.5925742905452127</v>
      </c>
      <c r="AP30" s="7">
        <v>1448</v>
      </c>
      <c r="AQ30" s="7">
        <f>'a1'!BN30</f>
        <v>3468802</v>
      </c>
      <c r="AR30" s="9">
        <f t="shared" si="31"/>
        <v>2.3955814917127074</v>
      </c>
      <c r="AS30" s="9">
        <f t="shared" si="32"/>
        <v>1.5477666140968112</v>
      </c>
    </row>
    <row r="31" spans="1:45" ht="12.75" customHeight="1">
      <c r="A31" s="1">
        <v>1993</v>
      </c>
      <c r="B31" s="7">
        <v>11395</v>
      </c>
      <c r="C31" s="7">
        <f>'a1'!F31</f>
        <v>28684764</v>
      </c>
      <c r="D31" s="9">
        <f t="shared" si="33"/>
        <v>2.5173114523913998</v>
      </c>
      <c r="E31" s="9">
        <f t="shared" si="12"/>
        <v>1.5866037477553745</v>
      </c>
      <c r="F31" s="7">
        <v>198</v>
      </c>
      <c r="G31" s="7">
        <f>'a1'!L31</f>
        <v>579977</v>
      </c>
      <c r="H31" s="9">
        <f t="shared" si="13"/>
        <v>2.9291767676767675</v>
      </c>
      <c r="I31" s="9">
        <f t="shared" si="14"/>
        <v>1.7114837912398608</v>
      </c>
      <c r="J31" s="7">
        <v>50</v>
      </c>
      <c r="K31" s="7">
        <f>'a1'!R31</f>
        <v>132177</v>
      </c>
      <c r="L31" s="9">
        <f t="shared" si="15"/>
        <v>2.6435399999999998</v>
      </c>
      <c r="M31" s="9">
        <f t="shared" si="16"/>
        <v>1.6258966756839131</v>
      </c>
      <c r="N31" s="7">
        <v>358</v>
      </c>
      <c r="O31" s="7">
        <f>'a1'!X31</f>
        <v>923925</v>
      </c>
      <c r="P31" s="9">
        <f t="shared" si="17"/>
        <v>2.5807960893854749</v>
      </c>
      <c r="Q31" s="9">
        <f t="shared" si="18"/>
        <v>1.6064856331089534</v>
      </c>
      <c r="R31" s="7">
        <v>284</v>
      </c>
      <c r="S31" s="7">
        <f>'a1'!AD31</f>
        <v>748812</v>
      </c>
      <c r="T31" s="9">
        <f t="shared" si="19"/>
        <v>2.6366619718309856</v>
      </c>
      <c r="U31" s="9">
        <f t="shared" si="20"/>
        <v>1.6237801488597481</v>
      </c>
      <c r="V31" s="7">
        <v>2943</v>
      </c>
      <c r="W31" s="7">
        <f>'a1'!AJ31</f>
        <v>7156537</v>
      </c>
      <c r="X31" s="9">
        <f t="shared" si="21"/>
        <v>2.4317149167516141</v>
      </c>
      <c r="Y31" s="9">
        <f t="shared" si="22"/>
        <v>1.559395689602743</v>
      </c>
      <c r="Z31" s="7">
        <v>4199</v>
      </c>
      <c r="AA31" s="7">
        <f>'a1'!AP31</f>
        <v>10690038</v>
      </c>
      <c r="AB31" s="9">
        <f t="shared" si="23"/>
        <v>2.5458532984043818</v>
      </c>
      <c r="AC31" s="9">
        <f t="shared" si="24"/>
        <v>1.5955730313603267</v>
      </c>
      <c r="AD31" s="7">
        <v>433</v>
      </c>
      <c r="AE31" s="7">
        <f>'a1'!AV31</f>
        <v>1117618</v>
      </c>
      <c r="AF31" s="9">
        <f t="shared" si="25"/>
        <v>2.5811039260969979</v>
      </c>
      <c r="AG31" s="9">
        <f t="shared" si="26"/>
        <v>1.6065814408541503</v>
      </c>
      <c r="AH31" s="7">
        <v>390</v>
      </c>
      <c r="AI31" s="7">
        <f>'a1'!BB31</f>
        <v>1006900</v>
      </c>
      <c r="AJ31" s="9">
        <f t="shared" si="27"/>
        <v>2.5817948717948718</v>
      </c>
      <c r="AK31" s="9">
        <f t="shared" si="28"/>
        <v>1.6067964624665041</v>
      </c>
      <c r="AL31" s="7">
        <v>1044</v>
      </c>
      <c r="AM31" s="7">
        <f>'a1'!BH31</f>
        <v>2667292</v>
      </c>
      <c r="AN31" s="9">
        <f t="shared" si="29"/>
        <v>2.5548773946360153</v>
      </c>
      <c r="AO31" s="9">
        <f t="shared" si="30"/>
        <v>1.5983983842071461</v>
      </c>
      <c r="AP31" s="7">
        <v>1497</v>
      </c>
      <c r="AQ31" s="7">
        <f>'a1'!BN31</f>
        <v>3567772</v>
      </c>
      <c r="AR31" s="9">
        <f t="shared" si="31"/>
        <v>2.3832812291249166</v>
      </c>
      <c r="AS31" s="9">
        <f t="shared" si="32"/>
        <v>1.5437879482380075</v>
      </c>
    </row>
    <row r="32" spans="1:45" ht="12.75" customHeight="1">
      <c r="A32" s="1">
        <v>1994</v>
      </c>
      <c r="B32" s="7">
        <v>11532</v>
      </c>
      <c r="C32" s="7">
        <f>'a1'!F32</f>
        <v>29000663</v>
      </c>
      <c r="D32" s="9">
        <f t="shared" si="33"/>
        <v>2.5147990808185918</v>
      </c>
      <c r="E32" s="9">
        <f t="shared" si="12"/>
        <v>1.5858118049814713</v>
      </c>
      <c r="F32" s="7">
        <v>197</v>
      </c>
      <c r="G32" s="7">
        <f>'a1'!L32</f>
        <v>574466</v>
      </c>
      <c r="H32" s="9">
        <f t="shared" si="13"/>
        <v>2.9160710659898479</v>
      </c>
      <c r="I32" s="9">
        <f t="shared" si="14"/>
        <v>1.7076507447337843</v>
      </c>
      <c r="J32" s="7">
        <v>50</v>
      </c>
      <c r="K32" s="7">
        <f>'a1'!R32</f>
        <v>133437</v>
      </c>
      <c r="L32" s="9">
        <f t="shared" si="15"/>
        <v>2.6687399999999997</v>
      </c>
      <c r="M32" s="9">
        <f t="shared" si="16"/>
        <v>1.633627864600748</v>
      </c>
      <c r="N32" s="7">
        <v>363</v>
      </c>
      <c r="O32" s="7">
        <f>'a1'!X32</f>
        <v>926871</v>
      </c>
      <c r="P32" s="9">
        <f t="shared" si="17"/>
        <v>2.5533636363636365</v>
      </c>
      <c r="Q32" s="9">
        <f t="shared" si="18"/>
        <v>1.5979247905842242</v>
      </c>
      <c r="R32" s="7">
        <v>288</v>
      </c>
      <c r="S32" s="7">
        <f>'a1'!AD32</f>
        <v>750185</v>
      </c>
      <c r="T32" s="9">
        <f t="shared" si="19"/>
        <v>2.6048090277777778</v>
      </c>
      <c r="U32" s="9">
        <f t="shared" si="20"/>
        <v>1.6139420769587047</v>
      </c>
      <c r="V32" s="7">
        <v>2973</v>
      </c>
      <c r="W32" s="7">
        <f>'a1'!AJ32</f>
        <v>7192403</v>
      </c>
      <c r="X32" s="9">
        <f t="shared" si="21"/>
        <v>2.4192408341742349</v>
      </c>
      <c r="Y32" s="9">
        <f t="shared" si="22"/>
        <v>1.5553908943330723</v>
      </c>
      <c r="Z32" s="7">
        <v>4238</v>
      </c>
      <c r="AA32" s="7">
        <f>'a1'!AP32</f>
        <v>10819146</v>
      </c>
      <c r="AB32" s="9">
        <f t="shared" si="23"/>
        <v>2.5528895705521473</v>
      </c>
      <c r="AC32" s="9">
        <f t="shared" si="24"/>
        <v>1.5977764457370585</v>
      </c>
      <c r="AD32" s="7">
        <v>435</v>
      </c>
      <c r="AE32" s="7">
        <f>'a1'!AV32</f>
        <v>1123230</v>
      </c>
      <c r="AF32" s="9">
        <f t="shared" si="25"/>
        <v>2.5821379310344827</v>
      </c>
      <c r="AG32" s="9">
        <f t="shared" si="26"/>
        <v>1.6069032114705859</v>
      </c>
      <c r="AH32" s="7">
        <v>392</v>
      </c>
      <c r="AI32" s="7">
        <f>'a1'!BB32</f>
        <v>1009575</v>
      </c>
      <c r="AJ32" s="9">
        <f t="shared" si="27"/>
        <v>2.5754464285714285</v>
      </c>
      <c r="AK32" s="9">
        <f t="shared" si="28"/>
        <v>1.6048197495580083</v>
      </c>
      <c r="AL32" s="7">
        <v>1054</v>
      </c>
      <c r="AM32" s="7">
        <f>'a1'!BH32</f>
        <v>2700606</v>
      </c>
      <c r="AN32" s="9">
        <f t="shared" si="29"/>
        <v>2.5622447817836811</v>
      </c>
      <c r="AO32" s="9">
        <f t="shared" si="30"/>
        <v>1.6007013405953283</v>
      </c>
      <c r="AP32" s="7">
        <v>1543</v>
      </c>
      <c r="AQ32" s="7">
        <f>'a1'!BN32</f>
        <v>3676075</v>
      </c>
      <c r="AR32" s="9">
        <f t="shared" si="31"/>
        <v>2.3824206092028515</v>
      </c>
      <c r="AS32" s="9">
        <f t="shared" si="32"/>
        <v>1.5435091866272943</v>
      </c>
    </row>
    <row r="33" spans="1:45" ht="12.75" customHeight="1">
      <c r="A33" s="1">
        <v>1995</v>
      </c>
      <c r="B33" s="7">
        <v>11707</v>
      </c>
      <c r="C33" s="7">
        <f>'a1'!F33</f>
        <v>29302311</v>
      </c>
      <c r="D33" s="9">
        <f t="shared" si="33"/>
        <v>2.5029735201161696</v>
      </c>
      <c r="E33" s="9">
        <f t="shared" si="12"/>
        <v>1.5820788602709315</v>
      </c>
      <c r="F33" s="7">
        <v>198</v>
      </c>
      <c r="G33" s="7">
        <f>'a1'!L33</f>
        <v>567397</v>
      </c>
      <c r="H33" s="9">
        <f t="shared" si="13"/>
        <v>2.8656414141414142</v>
      </c>
      <c r="I33" s="9">
        <f t="shared" si="14"/>
        <v>1.6928205498934061</v>
      </c>
      <c r="J33" s="7">
        <v>51</v>
      </c>
      <c r="K33" s="7">
        <f>'a1'!R33</f>
        <v>134415</v>
      </c>
      <c r="L33" s="9">
        <f t="shared" si="15"/>
        <v>2.6355882352941178</v>
      </c>
      <c r="M33" s="9">
        <f t="shared" si="16"/>
        <v>1.6234494865237161</v>
      </c>
      <c r="N33" s="7">
        <v>366</v>
      </c>
      <c r="O33" s="7">
        <f>'a1'!X33</f>
        <v>928120</v>
      </c>
      <c r="P33" s="9">
        <f t="shared" si="17"/>
        <v>2.5358469945355191</v>
      </c>
      <c r="Q33" s="9">
        <f t="shared" si="18"/>
        <v>1.592434298341856</v>
      </c>
      <c r="R33" s="7">
        <v>291</v>
      </c>
      <c r="S33" s="7">
        <f>'a1'!AD33</f>
        <v>750943</v>
      </c>
      <c r="T33" s="9">
        <f t="shared" si="19"/>
        <v>2.5805601374570446</v>
      </c>
      <c r="U33" s="9">
        <f t="shared" si="20"/>
        <v>1.6064121941323293</v>
      </c>
      <c r="V33" s="7">
        <v>2997</v>
      </c>
      <c r="W33" s="7">
        <f>'a1'!AJ33</f>
        <v>7219219</v>
      </c>
      <c r="X33" s="9">
        <f t="shared" si="21"/>
        <v>2.408815148481815</v>
      </c>
      <c r="Y33" s="9">
        <f t="shared" si="22"/>
        <v>1.5520358077318368</v>
      </c>
      <c r="Z33" s="7">
        <v>4303</v>
      </c>
      <c r="AA33" s="7">
        <f>'a1'!AP33</f>
        <v>10950119</v>
      </c>
      <c r="AB33" s="9">
        <f t="shared" si="23"/>
        <v>2.5447638856611667</v>
      </c>
      <c r="AC33" s="9">
        <f t="shared" si="24"/>
        <v>1.5952316087832408</v>
      </c>
      <c r="AD33" s="7">
        <v>438</v>
      </c>
      <c r="AE33" s="7">
        <f>'a1'!AV33</f>
        <v>1129150</v>
      </c>
      <c r="AF33" s="9">
        <f t="shared" si="25"/>
        <v>2.5779680365296804</v>
      </c>
      <c r="AG33" s="9">
        <f t="shared" si="26"/>
        <v>1.6056051932307893</v>
      </c>
      <c r="AH33" s="7">
        <v>393</v>
      </c>
      <c r="AI33" s="7">
        <f>'a1'!BB33</f>
        <v>1014187</v>
      </c>
      <c r="AJ33" s="9">
        <f t="shared" si="27"/>
        <v>2.5806284987277355</v>
      </c>
      <c r="AK33" s="9">
        <f t="shared" si="28"/>
        <v>1.6064334716158448</v>
      </c>
      <c r="AL33" s="7">
        <v>1076</v>
      </c>
      <c r="AM33" s="7">
        <f>'a1'!BH33</f>
        <v>2734519</v>
      </c>
      <c r="AN33" s="9">
        <f t="shared" si="29"/>
        <v>2.5413745353159851</v>
      </c>
      <c r="AO33" s="9">
        <f t="shared" si="30"/>
        <v>1.5941689168077469</v>
      </c>
      <c r="AP33" s="7">
        <v>1593</v>
      </c>
      <c r="AQ33" s="7">
        <f>'a1'!BN33</f>
        <v>3777390</v>
      </c>
      <c r="AR33" s="9">
        <f t="shared" si="31"/>
        <v>2.3712429378531072</v>
      </c>
      <c r="AS33" s="9">
        <f t="shared" si="32"/>
        <v>1.5398840663676949</v>
      </c>
    </row>
    <row r="34" spans="1:45" ht="12.75" customHeight="1">
      <c r="A34" s="1">
        <v>1996</v>
      </c>
      <c r="B34" s="7">
        <v>11851</v>
      </c>
      <c r="C34" s="7">
        <f>'a1'!F34</f>
        <v>29610218</v>
      </c>
      <c r="D34" s="9">
        <f t="shared" si="33"/>
        <v>2.4985417264365877</v>
      </c>
      <c r="E34" s="9">
        <f t="shared" si="12"/>
        <v>1.5806776162255818</v>
      </c>
      <c r="F34" s="7">
        <v>198</v>
      </c>
      <c r="G34" s="7">
        <f>'a1'!L34</f>
        <v>559698</v>
      </c>
      <c r="H34" s="9">
        <f t="shared" si="13"/>
        <v>2.826757575757576</v>
      </c>
      <c r="I34" s="9">
        <f t="shared" si="14"/>
        <v>1.6812963973546056</v>
      </c>
      <c r="J34" s="7">
        <v>52</v>
      </c>
      <c r="K34" s="7">
        <f>'a1'!R34</f>
        <v>135737</v>
      </c>
      <c r="L34" s="9">
        <f t="shared" si="15"/>
        <v>2.610326923076923</v>
      </c>
      <c r="M34" s="9">
        <f t="shared" si="16"/>
        <v>1.6156506191243585</v>
      </c>
      <c r="N34" s="7">
        <v>369</v>
      </c>
      <c r="O34" s="7">
        <f>'a1'!X34</f>
        <v>931327</v>
      </c>
      <c r="P34" s="9">
        <f t="shared" si="17"/>
        <v>2.5239214092140925</v>
      </c>
      <c r="Q34" s="9">
        <f t="shared" si="18"/>
        <v>1.5886854343179748</v>
      </c>
      <c r="R34" s="7">
        <v>294</v>
      </c>
      <c r="S34" s="7">
        <f>'a1'!AD34</f>
        <v>752268</v>
      </c>
      <c r="T34" s="9">
        <f t="shared" si="19"/>
        <v>2.5587346938775508</v>
      </c>
      <c r="U34" s="9">
        <f t="shared" si="20"/>
        <v>1.5996045429660266</v>
      </c>
      <c r="V34" s="7">
        <v>3035</v>
      </c>
      <c r="W34" s="7">
        <f>'a1'!AJ34</f>
        <v>7246897</v>
      </c>
      <c r="X34" s="9">
        <f t="shared" si="21"/>
        <v>2.3877749588138384</v>
      </c>
      <c r="Y34" s="9">
        <f t="shared" si="22"/>
        <v>1.5452426860573838</v>
      </c>
      <c r="Z34" s="7">
        <v>4350</v>
      </c>
      <c r="AA34" s="7">
        <f>'a1'!AP34</f>
        <v>11082903</v>
      </c>
      <c r="AB34" s="9">
        <f t="shared" si="23"/>
        <v>2.5477937931034487</v>
      </c>
      <c r="AC34" s="9">
        <f t="shared" si="24"/>
        <v>1.5961810026132528</v>
      </c>
      <c r="AD34" s="7">
        <v>439</v>
      </c>
      <c r="AE34" s="7">
        <f>'a1'!AV34</f>
        <v>1134196</v>
      </c>
      <c r="AF34" s="9">
        <f t="shared" si="25"/>
        <v>2.583589977220957</v>
      </c>
      <c r="AG34" s="9">
        <f t="shared" si="26"/>
        <v>1.6073549630436199</v>
      </c>
      <c r="AH34" s="7">
        <v>398</v>
      </c>
      <c r="AI34" s="7">
        <f>'a1'!BB34</f>
        <v>1018945</v>
      </c>
      <c r="AJ34" s="9">
        <f t="shared" si="27"/>
        <v>2.5601633165829143</v>
      </c>
      <c r="AK34" s="9">
        <f t="shared" si="28"/>
        <v>1.6000510356182125</v>
      </c>
      <c r="AL34" s="7">
        <v>1094</v>
      </c>
      <c r="AM34" s="7">
        <f>'a1'!BH34</f>
        <v>2775133</v>
      </c>
      <c r="AN34" s="9">
        <f t="shared" si="29"/>
        <v>2.5366846435100547</v>
      </c>
      <c r="AO34" s="9">
        <f t="shared" si="30"/>
        <v>1.5926972855850714</v>
      </c>
      <c r="AP34" s="7">
        <v>1622</v>
      </c>
      <c r="AQ34" s="7">
        <f>'a1'!BN34</f>
        <v>3874317</v>
      </c>
      <c r="AR34" s="9">
        <f t="shared" si="31"/>
        <v>2.3886048088779286</v>
      </c>
      <c r="AS34" s="9">
        <f t="shared" si="32"/>
        <v>1.545511180444169</v>
      </c>
    </row>
    <row r="35" spans="1:45" ht="12.75" customHeight="1">
      <c r="A35" s="1">
        <v>1997</v>
      </c>
      <c r="B35" s="7">
        <v>12017</v>
      </c>
      <c r="C35" s="7">
        <f>'a1'!F35</f>
        <v>29905948</v>
      </c>
      <c r="D35" s="9">
        <f t="shared" si="33"/>
        <v>2.4886367645835068</v>
      </c>
      <c r="E35" s="9">
        <f t="shared" si="12"/>
        <v>1.5775413669959679</v>
      </c>
      <c r="F35" s="7">
        <v>198</v>
      </c>
      <c r="G35" s="7">
        <f>'a1'!L35</f>
        <v>550911</v>
      </c>
      <c r="H35" s="9">
        <f t="shared" si="13"/>
        <v>2.782378787878788</v>
      </c>
      <c r="I35" s="9">
        <f t="shared" si="14"/>
        <v>1.6680463985989082</v>
      </c>
      <c r="J35" s="7">
        <v>53</v>
      </c>
      <c r="K35" s="7">
        <f>'a1'!R35</f>
        <v>136095</v>
      </c>
      <c r="L35" s="9">
        <f t="shared" si="15"/>
        <v>2.567830188679245</v>
      </c>
      <c r="M35" s="9">
        <f t="shared" si="16"/>
        <v>1.6024450657290081</v>
      </c>
      <c r="N35" s="7">
        <v>372</v>
      </c>
      <c r="O35" s="7">
        <f>'a1'!X35</f>
        <v>932402</v>
      </c>
      <c r="P35" s="9">
        <f t="shared" si="17"/>
        <v>2.5064569892473121</v>
      </c>
      <c r="Q35" s="9">
        <f t="shared" si="18"/>
        <v>1.5831793926296893</v>
      </c>
      <c r="R35" s="7">
        <v>296</v>
      </c>
      <c r="S35" s="7">
        <f>'a1'!AD35</f>
        <v>752511</v>
      </c>
      <c r="T35" s="9">
        <f t="shared" si="19"/>
        <v>2.542266891891892</v>
      </c>
      <c r="U35" s="9">
        <f t="shared" si="20"/>
        <v>1.5944487736807011</v>
      </c>
      <c r="V35" s="7">
        <v>3060</v>
      </c>
      <c r="W35" s="7">
        <f>'a1'!AJ35</f>
        <v>7274611</v>
      </c>
      <c r="X35" s="9">
        <f t="shared" si="21"/>
        <v>2.3773238562091503</v>
      </c>
      <c r="Y35" s="9">
        <f t="shared" si="22"/>
        <v>1.5418572749152726</v>
      </c>
      <c r="Z35" s="7">
        <v>4412</v>
      </c>
      <c r="AA35" s="7">
        <f>'a1'!AP35</f>
        <v>11227651</v>
      </c>
      <c r="AB35" s="9">
        <f t="shared" si="23"/>
        <v>2.5447985040797825</v>
      </c>
      <c r="AC35" s="9">
        <f t="shared" si="24"/>
        <v>1.5952424593395771</v>
      </c>
      <c r="AD35" s="7">
        <v>440</v>
      </c>
      <c r="AE35" s="7">
        <f>'a1'!AV35</f>
        <v>1136128</v>
      </c>
      <c r="AF35" s="9">
        <f t="shared" si="25"/>
        <v>2.5821090909090909</v>
      </c>
      <c r="AG35" s="9">
        <f t="shared" si="26"/>
        <v>1.606894237623961</v>
      </c>
      <c r="AH35" s="7">
        <v>398</v>
      </c>
      <c r="AI35" s="7">
        <f>'a1'!BB35</f>
        <v>1017902</v>
      </c>
      <c r="AJ35" s="9">
        <f t="shared" si="27"/>
        <v>2.5575427135678392</v>
      </c>
      <c r="AK35" s="9">
        <f t="shared" si="28"/>
        <v>1.5992319136284892</v>
      </c>
      <c r="AL35" s="7">
        <v>1132</v>
      </c>
      <c r="AM35" s="7">
        <f>'a1'!BH35</f>
        <v>2829848</v>
      </c>
      <c r="AN35" s="9">
        <f t="shared" si="29"/>
        <v>2.4998657243816256</v>
      </c>
      <c r="AO35" s="9">
        <f t="shared" si="30"/>
        <v>1.5810963678351884</v>
      </c>
      <c r="AP35" s="7">
        <v>1656</v>
      </c>
      <c r="AQ35" s="7">
        <f>'a1'!BN35</f>
        <v>3948583</v>
      </c>
      <c r="AR35" s="9">
        <f t="shared" si="31"/>
        <v>2.3844100241545894</v>
      </c>
      <c r="AS35" s="9">
        <f t="shared" si="32"/>
        <v>1.5441534976013847</v>
      </c>
    </row>
    <row r="36" spans="1:45" ht="12.75" customHeight="1">
      <c r="A36" s="1">
        <v>1998</v>
      </c>
      <c r="B36" s="7">
        <v>12134</v>
      </c>
      <c r="C36" s="7">
        <f>'a1'!F36</f>
        <v>30155173</v>
      </c>
      <c r="D36" s="9">
        <f t="shared" si="33"/>
        <v>2.4851799076973795</v>
      </c>
      <c r="E36" s="9">
        <f t="shared" si="12"/>
        <v>1.5764453392672324</v>
      </c>
      <c r="F36" s="7">
        <v>198</v>
      </c>
      <c r="G36" s="7">
        <f>'a1'!L36</f>
        <v>539843</v>
      </c>
      <c r="H36" s="9">
        <f t="shared" si="13"/>
        <v>2.7264797979797981</v>
      </c>
      <c r="I36" s="9">
        <f t="shared" si="14"/>
        <v>1.6512055589719283</v>
      </c>
      <c r="J36" s="7">
        <v>53</v>
      </c>
      <c r="K36" s="7">
        <f>'a1'!R36</f>
        <v>135804</v>
      </c>
      <c r="L36" s="9">
        <f t="shared" si="15"/>
        <v>2.5623396226415092</v>
      </c>
      <c r="M36" s="9">
        <f t="shared" si="16"/>
        <v>1.6007309651036021</v>
      </c>
      <c r="N36" s="7">
        <v>373</v>
      </c>
      <c r="O36" s="7">
        <f>'a1'!X36</f>
        <v>931836</v>
      </c>
      <c r="P36" s="9">
        <f t="shared" si="17"/>
        <v>2.4982198391420911</v>
      </c>
      <c r="Q36" s="9">
        <f t="shared" si="18"/>
        <v>1.5805757935455329</v>
      </c>
      <c r="R36" s="7">
        <v>299</v>
      </c>
      <c r="S36" s="7">
        <f>'a1'!AD36</f>
        <v>750530</v>
      </c>
      <c r="T36" s="9">
        <f t="shared" si="19"/>
        <v>2.5101337792642138</v>
      </c>
      <c r="U36" s="9">
        <f t="shared" si="20"/>
        <v>1.5843401715743415</v>
      </c>
      <c r="V36" s="7">
        <v>3084</v>
      </c>
      <c r="W36" s="7">
        <f>'a1'!AJ36</f>
        <v>7295935</v>
      </c>
      <c r="X36" s="9">
        <f t="shared" si="21"/>
        <v>2.3657376783398187</v>
      </c>
      <c r="Y36" s="9">
        <f t="shared" si="22"/>
        <v>1.538095471139493</v>
      </c>
      <c r="Z36" s="7">
        <v>4461</v>
      </c>
      <c r="AA36" s="7">
        <f>'a1'!AP36</f>
        <v>11365901</v>
      </c>
      <c r="AB36" s="9">
        <f t="shared" si="23"/>
        <v>2.5478370320555928</v>
      </c>
      <c r="AC36" s="9">
        <f t="shared" si="24"/>
        <v>1.5961945470573418</v>
      </c>
      <c r="AD36" s="7">
        <v>442</v>
      </c>
      <c r="AE36" s="7">
        <f>'a1'!AV36</f>
        <v>1137489</v>
      </c>
      <c r="AF36" s="9">
        <f t="shared" si="25"/>
        <v>2.5735045248868778</v>
      </c>
      <c r="AG36" s="9">
        <f t="shared" si="26"/>
        <v>1.6042146131010271</v>
      </c>
      <c r="AH36" s="7">
        <v>399</v>
      </c>
      <c r="AI36" s="7">
        <f>'a1'!BB36</f>
        <v>1017332</v>
      </c>
      <c r="AJ36" s="9">
        <f t="shared" si="27"/>
        <v>2.5497042606516294</v>
      </c>
      <c r="AK36" s="9">
        <f t="shared" si="28"/>
        <v>1.5967793400002486</v>
      </c>
      <c r="AL36" s="7">
        <v>1162</v>
      </c>
      <c r="AM36" s="7">
        <f>'a1'!BH36</f>
        <v>2899066</v>
      </c>
      <c r="AN36" s="9">
        <f t="shared" si="29"/>
        <v>2.4948932874354561</v>
      </c>
      <c r="AO36" s="9">
        <f t="shared" si="30"/>
        <v>1.5795231202598639</v>
      </c>
      <c r="AP36" s="7">
        <v>1662</v>
      </c>
      <c r="AQ36" s="7">
        <f>'a1'!BN36</f>
        <v>3983113</v>
      </c>
      <c r="AR36" s="9">
        <f t="shared" si="31"/>
        <v>2.3965782190132372</v>
      </c>
      <c r="AS36" s="9">
        <f t="shared" si="32"/>
        <v>1.5480885694989279</v>
      </c>
    </row>
    <row r="37" spans="1:45" ht="12.75" customHeight="1">
      <c r="A37" s="1">
        <v>1999</v>
      </c>
      <c r="B37" s="7">
        <v>12288</v>
      </c>
      <c r="C37" s="7">
        <f>'a1'!F37</f>
        <v>30401286</v>
      </c>
      <c r="D37" s="9">
        <f t="shared" si="33"/>
        <v>2.4740629882812502</v>
      </c>
      <c r="E37" s="9">
        <f t="shared" si="12"/>
        <v>1.5729154421904727</v>
      </c>
      <c r="F37" s="7">
        <v>199</v>
      </c>
      <c r="G37" s="7">
        <f>'a1'!L37</f>
        <v>533329</v>
      </c>
      <c r="H37" s="9">
        <f t="shared" si="13"/>
        <v>2.6800452261306531</v>
      </c>
      <c r="I37" s="9">
        <f t="shared" si="14"/>
        <v>1.6370843674443456</v>
      </c>
      <c r="J37" s="7">
        <v>53</v>
      </c>
      <c r="K37" s="7">
        <f>'a1'!R37</f>
        <v>136281</v>
      </c>
      <c r="L37" s="9">
        <f t="shared" si="15"/>
        <v>2.5713396226415095</v>
      </c>
      <c r="M37" s="9">
        <f t="shared" si="16"/>
        <v>1.6035397165775189</v>
      </c>
      <c r="N37" s="7">
        <v>378</v>
      </c>
      <c r="O37" s="7">
        <f>'a1'!X37</f>
        <v>933784</v>
      </c>
      <c r="P37" s="9">
        <f t="shared" si="17"/>
        <v>2.4703280423280423</v>
      </c>
      <c r="Q37" s="9">
        <f t="shared" si="18"/>
        <v>1.5717277252527049</v>
      </c>
      <c r="R37" s="7">
        <v>301</v>
      </c>
      <c r="S37" s="7">
        <f>'a1'!AD37</f>
        <v>750601</v>
      </c>
      <c r="T37" s="9">
        <f t="shared" si="19"/>
        <v>2.4936910299003321</v>
      </c>
      <c r="U37" s="9">
        <f t="shared" si="20"/>
        <v>1.5791424982883375</v>
      </c>
      <c r="V37" s="7">
        <v>3124</v>
      </c>
      <c r="W37" s="7">
        <f>'a1'!AJ37</f>
        <v>7323250</v>
      </c>
      <c r="X37" s="9">
        <f t="shared" si="21"/>
        <v>2.3441901408450705</v>
      </c>
      <c r="Y37" s="9">
        <f t="shared" si="22"/>
        <v>1.5310748318893725</v>
      </c>
      <c r="Z37" s="7">
        <v>4515</v>
      </c>
      <c r="AA37" s="7">
        <f>'a1'!AP37</f>
        <v>11504759</v>
      </c>
      <c r="AB37" s="9">
        <f t="shared" si="23"/>
        <v>2.5481193798449611</v>
      </c>
      <c r="AC37" s="9">
        <f t="shared" si="24"/>
        <v>1.5962829886473642</v>
      </c>
      <c r="AD37" s="7">
        <v>446</v>
      </c>
      <c r="AE37" s="7">
        <f>'a1'!AV37</f>
        <v>1142448</v>
      </c>
      <c r="AF37" s="9">
        <f t="shared" si="25"/>
        <v>2.5615426008968609</v>
      </c>
      <c r="AG37" s="9">
        <f t="shared" si="26"/>
        <v>1.6004819901819767</v>
      </c>
      <c r="AH37" s="7">
        <v>398</v>
      </c>
      <c r="AI37" s="7">
        <f>'a1'!BB37</f>
        <v>1014524</v>
      </c>
      <c r="AJ37" s="9">
        <f t="shared" si="27"/>
        <v>2.5490552763819094</v>
      </c>
      <c r="AK37" s="9">
        <f t="shared" si="28"/>
        <v>1.5965761104256537</v>
      </c>
      <c r="AL37" s="7">
        <v>1192</v>
      </c>
      <c r="AM37" s="7">
        <f>'a1'!BH37</f>
        <v>2952692</v>
      </c>
      <c r="AN37" s="9">
        <f t="shared" si="29"/>
        <v>2.4770906040268454</v>
      </c>
      <c r="AO37" s="9">
        <f t="shared" si="30"/>
        <v>1.5738775695799356</v>
      </c>
      <c r="AP37" s="7">
        <v>1681</v>
      </c>
      <c r="AQ37" s="7">
        <f>'a1'!BN37</f>
        <v>4011375</v>
      </c>
      <c r="AR37" s="9">
        <f t="shared" si="31"/>
        <v>2.3863027959547889</v>
      </c>
      <c r="AS37" s="9">
        <f t="shared" si="32"/>
        <v>1.5447662593268889</v>
      </c>
    </row>
    <row r="38" spans="1:45" ht="12.75" customHeight="1">
      <c r="A38" s="1">
        <v>2000</v>
      </c>
      <c r="B38" s="7">
        <v>12465</v>
      </c>
      <c r="C38" s="7">
        <f>'a1'!F38</f>
        <v>30685730</v>
      </c>
      <c r="D38" s="9">
        <f t="shared" si="33"/>
        <v>2.4617513036502205</v>
      </c>
      <c r="E38" s="9">
        <f t="shared" si="12"/>
        <v>1.5689969100193348</v>
      </c>
      <c r="F38" s="7">
        <v>200</v>
      </c>
      <c r="G38" s="7">
        <f>'a1'!L38</f>
        <v>527966</v>
      </c>
      <c r="H38" s="9">
        <f t="shared" si="13"/>
        <v>2.6398299999999999</v>
      </c>
      <c r="I38" s="9">
        <f t="shared" si="14"/>
        <v>1.6247553662013245</v>
      </c>
      <c r="J38" s="7">
        <v>54</v>
      </c>
      <c r="K38" s="7">
        <f>'a1'!R38</f>
        <v>136470</v>
      </c>
      <c r="L38" s="9">
        <f t="shared" si="15"/>
        <v>2.527222222222222</v>
      </c>
      <c r="M38" s="9">
        <f t="shared" si="16"/>
        <v>1.5897239452880561</v>
      </c>
      <c r="N38" s="7">
        <v>383</v>
      </c>
      <c r="O38" s="7">
        <f>'a1'!X38</f>
        <v>933821</v>
      </c>
      <c r="P38" s="9">
        <f t="shared" si="17"/>
        <v>2.4381749347258488</v>
      </c>
      <c r="Q38" s="9">
        <f t="shared" si="18"/>
        <v>1.5614656367419197</v>
      </c>
      <c r="R38" s="7">
        <v>302</v>
      </c>
      <c r="S38" s="7">
        <f>'a1'!AD38</f>
        <v>750517</v>
      </c>
      <c r="T38" s="9">
        <f t="shared" si="19"/>
        <v>2.4851556291390731</v>
      </c>
      <c r="U38" s="9">
        <f t="shared" si="20"/>
        <v>1.5764376388360795</v>
      </c>
      <c r="V38" s="7">
        <v>3164</v>
      </c>
      <c r="W38" s="7">
        <f>'a1'!AJ38</f>
        <v>7356951</v>
      </c>
      <c r="X38" s="9">
        <f t="shared" si="21"/>
        <v>2.3252057522123897</v>
      </c>
      <c r="Y38" s="9">
        <f t="shared" si="22"/>
        <v>1.5248625355134113</v>
      </c>
      <c r="Z38" s="7">
        <v>4602</v>
      </c>
      <c r="AA38" s="7">
        <f>'a1'!AP38</f>
        <v>11683290</v>
      </c>
      <c r="AB38" s="9">
        <f t="shared" si="23"/>
        <v>2.5387418513689699</v>
      </c>
      <c r="AC38" s="9">
        <f t="shared" si="24"/>
        <v>1.5933429798285648</v>
      </c>
      <c r="AD38" s="7">
        <v>450</v>
      </c>
      <c r="AE38" s="7">
        <f>'a1'!AV38</f>
        <v>1147313</v>
      </c>
      <c r="AF38" s="9">
        <f t="shared" si="25"/>
        <v>2.5495844444444447</v>
      </c>
      <c r="AG38" s="9">
        <f t="shared" si="26"/>
        <v>1.5967418214741056</v>
      </c>
      <c r="AH38" s="7">
        <v>398</v>
      </c>
      <c r="AI38" s="7">
        <f>'a1'!BB38</f>
        <v>1007565</v>
      </c>
      <c r="AJ38" s="9">
        <f t="shared" si="27"/>
        <v>2.531570351758794</v>
      </c>
      <c r="AK38" s="9">
        <f t="shared" si="28"/>
        <v>1.5910909313294428</v>
      </c>
      <c r="AL38" s="7">
        <v>1218</v>
      </c>
      <c r="AM38" s="7">
        <f>'a1'!BH38</f>
        <v>3004198</v>
      </c>
      <c r="AN38" s="9">
        <f t="shared" si="29"/>
        <v>2.4665008210180623</v>
      </c>
      <c r="AO38" s="9">
        <f t="shared" si="30"/>
        <v>1.5705097328632072</v>
      </c>
      <c r="AP38" s="7">
        <v>1695</v>
      </c>
      <c r="AQ38" s="7">
        <f>'a1'!BN38</f>
        <v>4039230</v>
      </c>
      <c r="AR38" s="9">
        <f t="shared" si="31"/>
        <v>2.3830265486725661</v>
      </c>
      <c r="AS38" s="9">
        <f t="shared" si="32"/>
        <v>1.5437054604660068</v>
      </c>
    </row>
    <row r="39" spans="1:45" ht="12.75" customHeight="1">
      <c r="A39" s="1">
        <v>2001</v>
      </c>
      <c r="B39" s="7">
        <v>12651</v>
      </c>
      <c r="C39" s="7">
        <f>'a1'!F39</f>
        <v>31019020</v>
      </c>
      <c r="D39" s="9">
        <f t="shared" si="33"/>
        <v>2.4519026163939612</v>
      </c>
      <c r="E39" s="9">
        <f t="shared" si="12"/>
        <v>1.5658552348138577</v>
      </c>
      <c r="F39" s="7">
        <v>201</v>
      </c>
      <c r="G39" s="7">
        <f>'a1'!L39</f>
        <v>522033</v>
      </c>
      <c r="H39" s="9">
        <f t="shared" si="13"/>
        <v>2.597179104477612</v>
      </c>
      <c r="I39" s="9">
        <f t="shared" si="14"/>
        <v>1.6115765897026464</v>
      </c>
      <c r="J39" s="7">
        <v>54</v>
      </c>
      <c r="K39" s="7">
        <f>'a1'!R39</f>
        <v>136663</v>
      </c>
      <c r="L39" s="9">
        <f t="shared" si="15"/>
        <v>2.530796296296296</v>
      </c>
      <c r="M39" s="9">
        <f t="shared" si="16"/>
        <v>1.5908476659618596</v>
      </c>
      <c r="N39" s="7">
        <v>386</v>
      </c>
      <c r="O39" s="7">
        <f>'a1'!X39</f>
        <v>932454</v>
      </c>
      <c r="P39" s="9">
        <f t="shared" si="17"/>
        <v>2.4156839378238342</v>
      </c>
      <c r="Q39" s="9">
        <f t="shared" si="18"/>
        <v>1.5542470646019679</v>
      </c>
      <c r="R39" s="7">
        <v>304</v>
      </c>
      <c r="S39" s="7">
        <f>'a1'!AD39</f>
        <v>749801</v>
      </c>
      <c r="T39" s="9">
        <f t="shared" si="19"/>
        <v>2.4664506578947365</v>
      </c>
      <c r="U39" s="9">
        <f t="shared" si="20"/>
        <v>1.5704937624501207</v>
      </c>
      <c r="V39" s="7">
        <v>3203</v>
      </c>
      <c r="W39" s="7">
        <f>'a1'!AJ39</f>
        <v>7396331</v>
      </c>
      <c r="X39" s="9">
        <f t="shared" si="21"/>
        <v>2.3091885732126132</v>
      </c>
      <c r="Y39" s="9">
        <f t="shared" si="22"/>
        <v>1.5196014520961123</v>
      </c>
      <c r="Z39" s="7">
        <v>4689</v>
      </c>
      <c r="AA39" s="7">
        <f>'a1'!AP39</f>
        <v>11896663</v>
      </c>
      <c r="AB39" s="9">
        <f t="shared" si="23"/>
        <v>2.5371428876092983</v>
      </c>
      <c r="AC39" s="9">
        <f t="shared" si="24"/>
        <v>1.5928411369654221</v>
      </c>
      <c r="AD39" s="7">
        <v>452</v>
      </c>
      <c r="AE39" s="7">
        <f>'a1'!AV39</f>
        <v>1151439</v>
      </c>
      <c r="AF39" s="9">
        <f t="shared" si="25"/>
        <v>2.5474314159292035</v>
      </c>
      <c r="AG39" s="9">
        <f t="shared" si="26"/>
        <v>1.596067484766607</v>
      </c>
      <c r="AH39" s="7">
        <v>397</v>
      </c>
      <c r="AI39" s="7">
        <f>'a1'!BB39</f>
        <v>1000221</v>
      </c>
      <c r="AJ39" s="9">
        <f t="shared" si="27"/>
        <v>2.5194483627204032</v>
      </c>
      <c r="AK39" s="9">
        <f t="shared" si="28"/>
        <v>1.5872770277177211</v>
      </c>
      <c r="AL39" s="7">
        <v>1248</v>
      </c>
      <c r="AM39" s="7">
        <f>'a1'!BH39</f>
        <v>3058017</v>
      </c>
      <c r="AN39" s="9">
        <f t="shared" si="29"/>
        <v>2.4503341346153849</v>
      </c>
      <c r="AO39" s="9">
        <f t="shared" si="30"/>
        <v>1.5653543159985808</v>
      </c>
      <c r="AP39" s="7">
        <v>1716</v>
      </c>
      <c r="AQ39" s="7">
        <f>'a1'!BN39</f>
        <v>4076264</v>
      </c>
      <c r="AR39" s="9">
        <f t="shared" si="31"/>
        <v>2.3754452214452213</v>
      </c>
      <c r="AS39" s="9">
        <f t="shared" si="32"/>
        <v>1.5412479428843437</v>
      </c>
    </row>
    <row r="40" spans="1:45" ht="12.75" customHeight="1">
      <c r="A40" s="1">
        <v>2002</v>
      </c>
      <c r="B40" s="7">
        <v>12859</v>
      </c>
      <c r="C40" s="7">
        <f>'a1'!F40</f>
        <v>31353656</v>
      </c>
      <c r="D40" s="9">
        <f t="shared" si="33"/>
        <v>2.4382654949840581</v>
      </c>
      <c r="E40" s="9">
        <f t="shared" si="12"/>
        <v>1.5614946349520571</v>
      </c>
      <c r="F40" s="7">
        <v>204</v>
      </c>
      <c r="G40" s="7">
        <f>'a1'!L40</f>
        <v>519531</v>
      </c>
      <c r="H40" s="9">
        <f t="shared" si="13"/>
        <v>2.5467205882352943</v>
      </c>
      <c r="I40" s="9">
        <f t="shared" si="14"/>
        <v>1.595844788265856</v>
      </c>
      <c r="J40" s="7">
        <v>55</v>
      </c>
      <c r="K40" s="7">
        <f>'a1'!R40</f>
        <v>136876</v>
      </c>
      <c r="L40" s="9">
        <f t="shared" si="15"/>
        <v>2.4886545454545455</v>
      </c>
      <c r="M40" s="9">
        <f t="shared" si="16"/>
        <v>1.5775470026134073</v>
      </c>
      <c r="N40" s="7">
        <v>390</v>
      </c>
      <c r="O40" s="7">
        <f>'a1'!X40</f>
        <v>935015</v>
      </c>
      <c r="P40" s="9">
        <f t="shared" si="17"/>
        <v>2.397474358974359</v>
      </c>
      <c r="Q40" s="9">
        <f t="shared" si="18"/>
        <v>1.5483779767790418</v>
      </c>
      <c r="R40" s="7">
        <v>308</v>
      </c>
      <c r="S40" s="7">
        <f>'a1'!AD40</f>
        <v>749331</v>
      </c>
      <c r="T40" s="9">
        <f t="shared" si="19"/>
        <v>2.4328928571428574</v>
      </c>
      <c r="U40" s="9">
        <f t="shared" si="20"/>
        <v>1.5597733351813838</v>
      </c>
      <c r="V40" s="7">
        <v>3254</v>
      </c>
      <c r="W40" s="7">
        <f>'a1'!AJ40</f>
        <v>7441076</v>
      </c>
      <c r="X40" s="9">
        <f t="shared" si="21"/>
        <v>2.2867473878303626</v>
      </c>
      <c r="Y40" s="9">
        <f t="shared" si="22"/>
        <v>1.5121995198486087</v>
      </c>
      <c r="Z40" s="7">
        <v>4772</v>
      </c>
      <c r="AA40" s="7">
        <f>'a1'!AP40</f>
        <v>12091029</v>
      </c>
      <c r="AB40" s="9">
        <f t="shared" si="23"/>
        <v>2.5337445515507127</v>
      </c>
      <c r="AC40" s="9">
        <f t="shared" si="24"/>
        <v>1.5917740265347693</v>
      </c>
      <c r="AD40" s="7">
        <v>456</v>
      </c>
      <c r="AE40" s="7">
        <f>'a1'!AV40</f>
        <v>1156613</v>
      </c>
      <c r="AF40" s="9">
        <f t="shared" si="25"/>
        <v>2.5364320175438597</v>
      </c>
      <c r="AG40" s="9">
        <f t="shared" si="26"/>
        <v>1.592617976020571</v>
      </c>
      <c r="AH40" s="7">
        <v>396</v>
      </c>
      <c r="AI40" s="7">
        <f>'a1'!BB40</f>
        <v>996801</v>
      </c>
      <c r="AJ40" s="9">
        <f t="shared" si="27"/>
        <v>2.5171742424242427</v>
      </c>
      <c r="AK40" s="9">
        <f t="shared" si="28"/>
        <v>1.5865605070164335</v>
      </c>
      <c r="AL40" s="7">
        <v>1279</v>
      </c>
      <c r="AM40" s="7">
        <f>'a1'!BH40</f>
        <v>3128364</v>
      </c>
      <c r="AN40" s="9">
        <f t="shared" si="29"/>
        <v>2.4459452697419861</v>
      </c>
      <c r="AO40" s="9">
        <f t="shared" si="30"/>
        <v>1.5639518118350022</v>
      </c>
      <c r="AP40" s="7">
        <v>1745</v>
      </c>
      <c r="AQ40" s="7">
        <f>'a1'!BN40</f>
        <v>4098178</v>
      </c>
      <c r="AR40" s="9">
        <f t="shared" si="31"/>
        <v>2.348526074498567</v>
      </c>
      <c r="AS40" s="9">
        <f t="shared" si="32"/>
        <v>1.5324901547803063</v>
      </c>
    </row>
    <row r="41" spans="1:45" ht="12.75" customHeight="1">
      <c r="A41" s="1">
        <v>2003</v>
      </c>
      <c r="B41" s="7">
        <v>13033</v>
      </c>
      <c r="C41" s="7">
        <f>'a1'!F41</f>
        <v>31639670</v>
      </c>
      <c r="D41" s="9">
        <f>C41/B41/1000</f>
        <v>2.42765825212921</v>
      </c>
      <c r="E41" s="9">
        <f t="shared" si="12"/>
        <v>1.5580944297856949</v>
      </c>
      <c r="F41" s="7">
        <v>207</v>
      </c>
      <c r="G41" s="7">
        <f>'a1'!L41</f>
        <v>518520</v>
      </c>
      <c r="H41" s="9">
        <f>G41/F41/1000</f>
        <v>2.5049275362318841</v>
      </c>
      <c r="I41" s="9">
        <f>H41^0.5</f>
        <v>1.5826962867941166</v>
      </c>
      <c r="J41" s="7">
        <v>55</v>
      </c>
      <c r="K41" s="7">
        <f>'a1'!R41</f>
        <v>137221</v>
      </c>
      <c r="L41" s="9">
        <f t="shared" si="15"/>
        <v>2.4949272727272729</v>
      </c>
      <c r="M41" s="9">
        <f t="shared" si="16"/>
        <v>1.5795338783094439</v>
      </c>
      <c r="N41" s="7">
        <v>394</v>
      </c>
      <c r="O41" s="7">
        <f>'a1'!X41</f>
        <v>937491</v>
      </c>
      <c r="P41" s="9">
        <f t="shared" si="17"/>
        <v>2.3794187817258883</v>
      </c>
      <c r="Q41" s="9">
        <f t="shared" si="18"/>
        <v>1.5425364766273399</v>
      </c>
      <c r="R41" s="7">
        <v>309</v>
      </c>
      <c r="S41" s="7">
        <f>'a1'!AD41</f>
        <v>749389</v>
      </c>
      <c r="T41" s="9">
        <f t="shared" si="19"/>
        <v>2.4252071197411005</v>
      </c>
      <c r="U41" s="9">
        <f t="shared" si="20"/>
        <v>1.5573076509608179</v>
      </c>
      <c r="V41" s="7">
        <v>3293</v>
      </c>
      <c r="W41" s="7">
        <f>'a1'!AJ41</f>
        <v>7485838</v>
      </c>
      <c r="X41" s="9">
        <f t="shared" si="21"/>
        <v>2.2732578196173705</v>
      </c>
      <c r="Y41" s="9">
        <f t="shared" si="22"/>
        <v>1.5077326751176319</v>
      </c>
      <c r="Z41" s="7">
        <v>4845</v>
      </c>
      <c r="AA41" s="7">
        <f>'a1'!AP41</f>
        <v>12242273</v>
      </c>
      <c r="AB41" s="9">
        <f t="shared" si="23"/>
        <v>2.5267849329205365</v>
      </c>
      <c r="AC41" s="9">
        <f t="shared" si="24"/>
        <v>1.5895864031000444</v>
      </c>
      <c r="AD41" s="7">
        <v>462</v>
      </c>
      <c r="AE41" s="7">
        <f>'a1'!AV41</f>
        <v>1163819</v>
      </c>
      <c r="AF41" s="9">
        <f t="shared" si="25"/>
        <v>2.5190887445887449</v>
      </c>
      <c r="AG41" s="9">
        <f t="shared" si="26"/>
        <v>1.5871637422108484</v>
      </c>
      <c r="AH41" s="7">
        <v>398</v>
      </c>
      <c r="AI41" s="7">
        <f>'a1'!BB41</f>
        <v>996483</v>
      </c>
      <c r="AJ41" s="9">
        <f t="shared" si="27"/>
        <v>2.5037261306532663</v>
      </c>
      <c r="AK41" s="9">
        <f t="shared" si="28"/>
        <v>1.5823166973312475</v>
      </c>
      <c r="AL41" s="7">
        <v>1305</v>
      </c>
      <c r="AM41" s="7">
        <f>'a1'!BH41</f>
        <v>3183396</v>
      </c>
      <c r="AN41" s="9">
        <f t="shared" si="29"/>
        <v>2.4393839080459769</v>
      </c>
      <c r="AO41" s="9">
        <f t="shared" si="30"/>
        <v>1.5618527165024163</v>
      </c>
      <c r="AP41" s="7">
        <v>1765</v>
      </c>
      <c r="AQ41" s="7">
        <f>'a1'!BN41</f>
        <v>4122396</v>
      </c>
      <c r="AR41" s="9">
        <f t="shared" si="31"/>
        <v>2.3356351274787537</v>
      </c>
      <c r="AS41" s="9">
        <f t="shared" si="32"/>
        <v>1.5282784849230697</v>
      </c>
    </row>
    <row r="42" spans="1:45" ht="12.75" customHeight="1">
      <c r="A42" s="1">
        <v>2004</v>
      </c>
      <c r="B42" s="7">
        <v>13228</v>
      </c>
      <c r="C42" s="7">
        <f>'a1'!F42</f>
        <v>31940676</v>
      </c>
      <c r="D42" s="9">
        <f>C42/B42/1000</f>
        <v>2.4146262473540974</v>
      </c>
      <c r="E42" s="9">
        <f t="shared" si="12"/>
        <v>1.5539067691963047</v>
      </c>
      <c r="F42" s="7">
        <v>208</v>
      </c>
      <c r="G42" s="7">
        <f>'a1'!L42</f>
        <v>517447</v>
      </c>
      <c r="H42" s="9">
        <f t="shared" ref="H42:H46" si="34">G42/F42/1000</f>
        <v>2.4877259615384615</v>
      </c>
      <c r="I42" s="9">
        <f t="shared" ref="I42:I46" si="35">H42^0.5</f>
        <v>1.577252662555515</v>
      </c>
      <c r="J42" s="7">
        <v>56</v>
      </c>
      <c r="K42" s="7">
        <f>'a1'!R42</f>
        <v>137674</v>
      </c>
      <c r="L42" s="9">
        <f t="shared" si="15"/>
        <v>2.4584642857142858</v>
      </c>
      <c r="M42" s="9">
        <f t="shared" si="16"/>
        <v>1.5679490698725791</v>
      </c>
      <c r="N42" s="7">
        <v>397</v>
      </c>
      <c r="O42" s="7">
        <f>'a1'!X42</f>
        <v>939376</v>
      </c>
      <c r="P42" s="9">
        <f t="shared" si="17"/>
        <v>2.3661863979848867</v>
      </c>
      <c r="Q42" s="9">
        <f t="shared" si="18"/>
        <v>1.5382413328164364</v>
      </c>
      <c r="R42" s="7">
        <v>310</v>
      </c>
      <c r="S42" s="7">
        <f>'a1'!AD42</f>
        <v>749369</v>
      </c>
      <c r="T42" s="9">
        <f t="shared" si="19"/>
        <v>2.41731935483871</v>
      </c>
      <c r="U42" s="9">
        <f t="shared" si="20"/>
        <v>1.554773087893764</v>
      </c>
      <c r="V42" s="7">
        <v>3341</v>
      </c>
      <c r="W42" s="7">
        <f>'a1'!AJ42</f>
        <v>7535929</v>
      </c>
      <c r="X42" s="9">
        <f t="shared" si="21"/>
        <v>2.2555908410655494</v>
      </c>
      <c r="Y42" s="9">
        <f t="shared" si="22"/>
        <v>1.5018624574392787</v>
      </c>
      <c r="Z42" s="7">
        <v>4927</v>
      </c>
      <c r="AA42" s="7">
        <f>'a1'!AP42</f>
        <v>12390599</v>
      </c>
      <c r="AB42" s="9">
        <f t="shared" si="23"/>
        <v>2.5148364116094983</v>
      </c>
      <c r="AC42" s="9">
        <f t="shared" si="24"/>
        <v>1.5858235751840424</v>
      </c>
      <c r="AD42" s="7">
        <v>466</v>
      </c>
      <c r="AE42" s="7">
        <f>'a1'!AV42</f>
        <v>1173566</v>
      </c>
      <c r="AF42" s="9">
        <f t="shared" si="25"/>
        <v>2.5183819742489271</v>
      </c>
      <c r="AG42" s="9">
        <f t="shared" si="26"/>
        <v>1.5869410745988419</v>
      </c>
      <c r="AH42" s="7">
        <v>401</v>
      </c>
      <c r="AI42" s="7">
        <f>'a1'!BB42</f>
        <v>997447</v>
      </c>
      <c r="AJ42" s="9">
        <f t="shared" si="27"/>
        <v>2.4873990024937656</v>
      </c>
      <c r="AK42" s="9">
        <f t="shared" si="28"/>
        <v>1.5771490108717583</v>
      </c>
      <c r="AL42" s="7">
        <v>1330</v>
      </c>
      <c r="AM42" s="7">
        <f>'a1'!BH42</f>
        <v>3239471</v>
      </c>
      <c r="AN42" s="9">
        <f t="shared" si="29"/>
        <v>2.4356924812030076</v>
      </c>
      <c r="AO42" s="9">
        <f t="shared" si="30"/>
        <v>1.5606705229493532</v>
      </c>
      <c r="AP42" s="7">
        <v>1792</v>
      </c>
      <c r="AQ42" s="7">
        <f>'a1'!BN42</f>
        <v>4155170</v>
      </c>
      <c r="AR42" s="9">
        <f t="shared" si="31"/>
        <v>2.3187332589285714</v>
      </c>
      <c r="AS42" s="9">
        <f t="shared" si="32"/>
        <v>1.5227387362671809</v>
      </c>
    </row>
    <row r="43" spans="1:45" ht="12.75" customHeight="1">
      <c r="A43" s="1">
        <v>2005</v>
      </c>
      <c r="B43" s="7">
        <v>13459</v>
      </c>
      <c r="C43" s="7">
        <f>'a1'!F43</f>
        <v>32245209</v>
      </c>
      <c r="D43" s="9">
        <f t="shared" si="33"/>
        <v>2.3958101642023926</v>
      </c>
      <c r="E43" s="9">
        <f t="shared" si="12"/>
        <v>1.5478404840946605</v>
      </c>
      <c r="F43" s="7">
        <v>210</v>
      </c>
      <c r="G43" s="7">
        <f>'a1'!L43</f>
        <v>514363</v>
      </c>
      <c r="H43" s="9">
        <f t="shared" si="34"/>
        <v>2.4493476190476189</v>
      </c>
      <c r="I43" s="9">
        <f t="shared" si="35"/>
        <v>1.5650391749242634</v>
      </c>
      <c r="J43" s="7">
        <v>57</v>
      </c>
      <c r="K43" s="7">
        <f>'a1'!R43</f>
        <v>138055</v>
      </c>
      <c r="L43" s="9">
        <f t="shared" si="15"/>
        <v>2.4220175438596492</v>
      </c>
      <c r="M43" s="9">
        <f t="shared" si="16"/>
        <v>1.5562832466680507</v>
      </c>
      <c r="N43" s="7">
        <v>401</v>
      </c>
      <c r="O43" s="7">
        <f>'a1'!X43</f>
        <v>937941</v>
      </c>
      <c r="P43" s="9">
        <f t="shared" si="17"/>
        <v>2.339004987531172</v>
      </c>
      <c r="Q43" s="9">
        <f t="shared" si="18"/>
        <v>1.5293805894973207</v>
      </c>
      <c r="R43" s="7">
        <v>315</v>
      </c>
      <c r="S43" s="7">
        <f>'a1'!AD43</f>
        <v>747960</v>
      </c>
      <c r="T43" s="9">
        <f t="shared" si="19"/>
        <v>2.3744761904761904</v>
      </c>
      <c r="U43" s="9">
        <f t="shared" si="20"/>
        <v>1.5409335451200323</v>
      </c>
      <c r="V43" s="7">
        <v>3397</v>
      </c>
      <c r="W43" s="7">
        <f>'a1'!AJ43</f>
        <v>7581911</v>
      </c>
      <c r="X43" s="9">
        <f t="shared" si="21"/>
        <v>2.2319431851633795</v>
      </c>
      <c r="Y43" s="9">
        <f t="shared" si="22"/>
        <v>1.4939689371480853</v>
      </c>
      <c r="Z43" s="7">
        <v>5020</v>
      </c>
      <c r="AA43" s="7">
        <f>'a1'!AP43</f>
        <v>12528480</v>
      </c>
      <c r="AB43" s="9">
        <f t="shared" si="23"/>
        <v>2.4957131474103584</v>
      </c>
      <c r="AC43" s="9">
        <f t="shared" si="24"/>
        <v>1.5797826266326511</v>
      </c>
      <c r="AD43" s="7">
        <v>468</v>
      </c>
      <c r="AE43" s="7">
        <f>'a1'!AV43</f>
        <v>1178301</v>
      </c>
      <c r="AF43" s="9">
        <f t="shared" si="25"/>
        <v>2.5177371794871797</v>
      </c>
      <c r="AG43" s="9">
        <f t="shared" si="26"/>
        <v>1.5867379051019042</v>
      </c>
      <c r="AH43" s="7">
        <v>401</v>
      </c>
      <c r="AI43" s="7">
        <f>'a1'!BB43</f>
        <v>993579</v>
      </c>
      <c r="AJ43" s="9">
        <f t="shared" si="27"/>
        <v>2.4777531172069827</v>
      </c>
      <c r="AK43" s="9">
        <f t="shared" si="28"/>
        <v>1.5740880271468247</v>
      </c>
      <c r="AL43" s="7">
        <v>1372</v>
      </c>
      <c r="AM43" s="7">
        <f>'a1'!BH43</f>
        <v>3322200</v>
      </c>
      <c r="AN43" s="9">
        <f t="shared" si="29"/>
        <v>2.4214285714285717</v>
      </c>
      <c r="AO43" s="9">
        <f t="shared" si="30"/>
        <v>1.5560940111151935</v>
      </c>
      <c r="AP43" s="7">
        <v>1818</v>
      </c>
      <c r="AQ43" s="7">
        <f>'a1'!BN43</f>
        <v>4196788</v>
      </c>
      <c r="AR43" s="9">
        <f t="shared" si="31"/>
        <v>2.3084642464246428</v>
      </c>
      <c r="AS43" s="9">
        <f t="shared" si="32"/>
        <v>1.5193631055230488</v>
      </c>
    </row>
    <row r="44" spans="1:45" ht="12.75" customHeight="1">
      <c r="A44" s="1">
        <v>2006</v>
      </c>
      <c r="B44" s="7">
        <v>13652</v>
      </c>
      <c r="C44" s="159">
        <f>'a1'!F44</f>
        <v>32576074</v>
      </c>
      <c r="D44" s="9">
        <f t="shared" si="33"/>
        <v>2.3861759449164954</v>
      </c>
      <c r="E44" s="9">
        <f t="shared" si="12"/>
        <v>1.544725200453626</v>
      </c>
      <c r="F44" s="7">
        <v>210</v>
      </c>
      <c r="G44" s="159">
        <f>'a1'!L44</f>
        <v>510313</v>
      </c>
      <c r="H44" s="9">
        <f t="shared" si="34"/>
        <v>2.4300619047619048</v>
      </c>
      <c r="I44" s="9">
        <f t="shared" si="35"/>
        <v>1.5588655826471713</v>
      </c>
      <c r="J44" s="7">
        <v>57</v>
      </c>
      <c r="K44" s="7">
        <f>'a1'!R44</f>
        <v>137920</v>
      </c>
      <c r="L44" s="9">
        <f t="shared" si="15"/>
        <v>2.4196491228070176</v>
      </c>
      <c r="M44" s="9">
        <f t="shared" si="16"/>
        <v>1.5555221383210904</v>
      </c>
      <c r="N44" s="7">
        <v>405</v>
      </c>
      <c r="O44" s="7">
        <f>'a1'!X44</f>
        <v>938010</v>
      </c>
      <c r="P44" s="9">
        <f t="shared" si="17"/>
        <v>2.316074074074074</v>
      </c>
      <c r="Q44" s="9">
        <f t="shared" si="18"/>
        <v>1.5218653271804552</v>
      </c>
      <c r="R44" s="7">
        <v>316</v>
      </c>
      <c r="S44" s="7">
        <f>'a1'!AD44</f>
        <v>745674</v>
      </c>
      <c r="T44" s="9">
        <f t="shared" si="19"/>
        <v>2.359727848101266</v>
      </c>
      <c r="U44" s="9">
        <f t="shared" si="20"/>
        <v>1.5361405691216108</v>
      </c>
      <c r="V44" s="7">
        <v>3440</v>
      </c>
      <c r="W44" s="7">
        <f>'a1'!AJ44</f>
        <v>7631552</v>
      </c>
      <c r="X44" s="9">
        <f t="shared" si="21"/>
        <v>2.218474418604651</v>
      </c>
      <c r="Y44" s="9">
        <f t="shared" si="22"/>
        <v>1.4894544029961612</v>
      </c>
      <c r="Z44" s="7">
        <v>5072</v>
      </c>
      <c r="AA44" s="7">
        <f>'a1'!AP44</f>
        <v>12665346</v>
      </c>
      <c r="AB44" s="9">
        <f t="shared" si="23"/>
        <v>2.4971108044164039</v>
      </c>
      <c r="AC44" s="9">
        <f t="shared" si="24"/>
        <v>1.5802249220969791</v>
      </c>
      <c r="AD44" s="7">
        <v>470</v>
      </c>
      <c r="AE44" s="7">
        <f>'a1'!AV44</f>
        <v>1184031</v>
      </c>
      <c r="AF44" s="9">
        <f t="shared" si="25"/>
        <v>2.5192148936170211</v>
      </c>
      <c r="AG44" s="9">
        <f t="shared" si="26"/>
        <v>1.5872034821083971</v>
      </c>
      <c r="AH44" s="7">
        <v>400</v>
      </c>
      <c r="AI44" s="7">
        <f>'a1'!BB44</f>
        <v>992122</v>
      </c>
      <c r="AJ44" s="9">
        <f t="shared" si="27"/>
        <v>2.480305</v>
      </c>
      <c r="AK44" s="9">
        <f t="shared" si="28"/>
        <v>1.5748984094220173</v>
      </c>
      <c r="AL44" s="7">
        <v>1433</v>
      </c>
      <c r="AM44" s="7">
        <f>'a1'!BH44</f>
        <v>3421253</v>
      </c>
      <c r="AN44" s="9">
        <f t="shared" si="29"/>
        <v>2.3874759246336357</v>
      </c>
      <c r="AO44" s="9">
        <f t="shared" si="30"/>
        <v>1.5451459234110012</v>
      </c>
      <c r="AP44" s="7">
        <v>1848</v>
      </c>
      <c r="AQ44" s="7">
        <f>'a1'!BN44</f>
        <v>4243580</v>
      </c>
      <c r="AR44" s="9">
        <f t="shared" si="31"/>
        <v>2.2963095238095237</v>
      </c>
      <c r="AS44" s="9">
        <f t="shared" si="32"/>
        <v>1.5153578863785029</v>
      </c>
    </row>
    <row r="45" spans="1:45" ht="12.75" customHeight="1">
      <c r="A45" s="1">
        <v>2007</v>
      </c>
      <c r="B45" s="7">
        <v>13837</v>
      </c>
      <c r="C45" s="159">
        <f>'a1'!F45</f>
        <v>32929733</v>
      </c>
      <c r="D45" s="9">
        <f t="shared" si="33"/>
        <v>2.3798318277083181</v>
      </c>
      <c r="E45" s="9">
        <f t="shared" si="12"/>
        <v>1.5426703561384454</v>
      </c>
      <c r="F45" s="7">
        <v>212</v>
      </c>
      <c r="G45" s="159">
        <f>'a1'!L45</f>
        <v>506379</v>
      </c>
      <c r="H45" s="9">
        <f t="shared" si="34"/>
        <v>2.3885801886792453</v>
      </c>
      <c r="I45" s="9">
        <f t="shared" si="35"/>
        <v>1.5455032153571358</v>
      </c>
      <c r="J45" s="7">
        <v>58</v>
      </c>
      <c r="K45" s="7">
        <f>'a1'!R45</f>
        <v>138161</v>
      </c>
      <c r="L45" s="9">
        <f>K45/J45/1000</f>
        <v>2.3820862068965516</v>
      </c>
      <c r="M45" s="9">
        <f>L45^0.5</f>
        <v>1.5434008574886018</v>
      </c>
      <c r="N45" s="7">
        <v>408</v>
      </c>
      <c r="O45" s="7">
        <f>'a1'!X45</f>
        <v>935794</v>
      </c>
      <c r="P45" s="9">
        <f>O45/N45/1000</f>
        <v>2.2936127450980393</v>
      </c>
      <c r="Q45" s="9">
        <f>P45^0.5</f>
        <v>1.5144678091983466</v>
      </c>
      <c r="R45" s="7">
        <v>319</v>
      </c>
      <c r="S45" s="7">
        <f>'a1'!AD45</f>
        <v>745515</v>
      </c>
      <c r="T45" s="9">
        <f>S45/R45/1000</f>
        <v>2.3370376175548588</v>
      </c>
      <c r="U45" s="9">
        <f>T45^0.5</f>
        <v>1.5287372624342153</v>
      </c>
      <c r="V45" s="7">
        <v>3483</v>
      </c>
      <c r="W45" s="7">
        <f>'a1'!AJ45</f>
        <v>7687423</v>
      </c>
      <c r="X45" s="9">
        <f>W45/V45/1000</f>
        <v>2.2071269020958946</v>
      </c>
      <c r="Y45" s="9">
        <f>X45^0.5</f>
        <v>1.4856402330631377</v>
      </c>
      <c r="Z45" s="7">
        <v>5127</v>
      </c>
      <c r="AA45" s="7">
        <f>'a1'!AP45</f>
        <v>12792937</v>
      </c>
      <c r="AB45" s="9">
        <f>AA45/Z45/1000</f>
        <v>2.4952090891359471</v>
      </c>
      <c r="AC45" s="9">
        <f>AB45^0.5</f>
        <v>1.5796230845160333</v>
      </c>
      <c r="AD45" s="7">
        <v>477</v>
      </c>
      <c r="AE45" s="7">
        <f>'a1'!AV45</f>
        <v>1193558</v>
      </c>
      <c r="AF45" s="9">
        <f>AE45/AD45/1000</f>
        <v>2.5022180293501046</v>
      </c>
      <c r="AG45" s="9">
        <f>AF45^0.5</f>
        <v>1.5818400770463823</v>
      </c>
      <c r="AH45" s="7">
        <v>408</v>
      </c>
      <c r="AI45" s="7">
        <f>'a1'!BB45</f>
        <v>1000257</v>
      </c>
      <c r="AJ45" s="9">
        <f>AI45/AH45/1000</f>
        <v>2.4516102941176467</v>
      </c>
      <c r="AK45" s="9">
        <f>AJ45^0.5</f>
        <v>1.5657618893425804</v>
      </c>
      <c r="AL45" s="7">
        <v>1470</v>
      </c>
      <c r="AM45" s="7">
        <f>'a1'!BH45</f>
        <v>3512691</v>
      </c>
      <c r="AN45" s="9">
        <f>AM45/AL45/1000</f>
        <v>2.3895857142857144</v>
      </c>
      <c r="AO45" s="9">
        <f>AN45^0.5</f>
        <v>1.5458284879913795</v>
      </c>
      <c r="AP45" s="7">
        <v>1874</v>
      </c>
      <c r="AQ45" s="7">
        <f>'a1'!BN45</f>
        <v>4309632</v>
      </c>
      <c r="AR45" s="9">
        <f>AQ45/AP45/1000</f>
        <v>2.2996969050160088</v>
      </c>
      <c r="AS45" s="9">
        <f>AR45^0.5</f>
        <v>1.5164751580609583</v>
      </c>
    </row>
    <row r="46" spans="1:45" ht="12.75" customHeight="1">
      <c r="A46" s="1">
        <v>2008</v>
      </c>
      <c r="B46" s="7">
        <v>14083</v>
      </c>
      <c r="C46" s="159">
        <f>'a1'!F46</f>
        <v>33315976</v>
      </c>
      <c r="D46" s="9">
        <f t="shared" si="33"/>
        <v>2.365687424554427</v>
      </c>
      <c r="E46" s="9">
        <f t="shared" si="12"/>
        <v>1.5380791346853475</v>
      </c>
      <c r="F46" s="7">
        <v>214</v>
      </c>
      <c r="G46" s="159">
        <f>'a1'!L46</f>
        <v>506193</v>
      </c>
      <c r="H46" s="9">
        <f t="shared" si="34"/>
        <v>2.3653878504672896</v>
      </c>
      <c r="I46" s="9">
        <f t="shared" si="35"/>
        <v>1.5379817458173193</v>
      </c>
      <c r="J46" s="7">
        <v>59</v>
      </c>
      <c r="K46" s="7">
        <f>'a1'!R46</f>
        <v>139545</v>
      </c>
      <c r="L46" s="9">
        <f>K46/J46/1000</f>
        <v>2.3651694915254238</v>
      </c>
      <c r="M46" s="9">
        <f>L46^0.5</f>
        <v>1.5379107553838824</v>
      </c>
      <c r="N46" s="7">
        <v>415</v>
      </c>
      <c r="O46" s="7">
        <f>'a1'!X46</f>
        <v>936737</v>
      </c>
      <c r="P46" s="9">
        <f>O46/N46/1000</f>
        <v>2.2571975903614456</v>
      </c>
      <c r="Q46" s="9">
        <f>P46^0.5</f>
        <v>1.5023972811348687</v>
      </c>
      <c r="R46" s="7">
        <v>322</v>
      </c>
      <c r="S46" s="7">
        <f>'a1'!AD46</f>
        <v>746902</v>
      </c>
      <c r="T46" s="9">
        <f>S46/R46/1000</f>
        <v>2.3195714285714284</v>
      </c>
      <c r="U46" s="9">
        <f>T46^0.5</f>
        <v>1.5230139292112297</v>
      </c>
      <c r="V46" s="7">
        <v>3535</v>
      </c>
      <c r="W46" s="7">
        <f>'a1'!AJ46</f>
        <v>7751332</v>
      </c>
      <c r="X46" s="9">
        <f>W46/V46/1000</f>
        <v>2.1927388967468171</v>
      </c>
      <c r="Y46" s="9">
        <f>X46^0.5</f>
        <v>1.480789956998229</v>
      </c>
      <c r="Z46" s="7">
        <v>5224</v>
      </c>
      <c r="AA46" s="7">
        <f>'a1'!AP46</f>
        <v>12932297</v>
      </c>
      <c r="AB46" s="9">
        <f>AA46/Z46/1000</f>
        <v>2.4755545558958651</v>
      </c>
      <c r="AC46" s="9">
        <f>AB46^0.5</f>
        <v>1.5733895118170405</v>
      </c>
      <c r="AD46" s="7">
        <v>484</v>
      </c>
      <c r="AE46" s="7">
        <f>'a1'!AV46</f>
        <v>1205517</v>
      </c>
      <c r="AF46" s="9">
        <f>AE46/AD46/1000</f>
        <v>2.4907376033057855</v>
      </c>
      <c r="AG46" s="9">
        <f>AF46^0.5</f>
        <v>1.5782070850511936</v>
      </c>
      <c r="AH46" s="7">
        <v>419</v>
      </c>
      <c r="AI46" s="7">
        <f>'a1'!BB46</f>
        <v>1013792</v>
      </c>
      <c r="AJ46" s="9">
        <f>AI46/AH46/1000</f>
        <v>2.4195513126491646</v>
      </c>
      <c r="AK46" s="9">
        <f>AJ46^0.5</f>
        <v>1.5554906983486481</v>
      </c>
      <c r="AL46" s="7">
        <v>1503</v>
      </c>
      <c r="AM46" s="7">
        <f>'a1'!BH46</f>
        <v>3591391</v>
      </c>
      <c r="AN46" s="9">
        <f>AM46/AL46/1000</f>
        <v>2.3894817032601465</v>
      </c>
      <c r="AO46" s="9">
        <f>AN46^0.5</f>
        <v>1.5457948451395958</v>
      </c>
      <c r="AP46" s="7">
        <v>1909</v>
      </c>
      <c r="AQ46" s="7">
        <f>'a1'!BN46</f>
        <v>4383860</v>
      </c>
      <c r="AR46" s="9">
        <f>AQ46/AP46/1000</f>
        <v>2.2964169722367731</v>
      </c>
      <c r="AS46" s="9">
        <f>AR46^0.5</f>
        <v>1.5153933391158789</v>
      </c>
    </row>
    <row r="47" spans="1:45" ht="12.75" customHeight="1">
      <c r="A47" s="1">
        <v>2009</v>
      </c>
      <c r="B47" s="7">
        <v>14300</v>
      </c>
      <c r="C47" s="159">
        <f>'a1'!F47</f>
        <v>33720184</v>
      </c>
      <c r="D47" s="9">
        <f t="shared" ref="D47" si="36">C47/B47/1000</f>
        <v>2.358054825174825</v>
      </c>
      <c r="E47" s="9">
        <f t="shared" ref="E47" si="37">D47^0.5</f>
        <v>1.5355959185849724</v>
      </c>
      <c r="F47" s="7">
        <v>217</v>
      </c>
      <c r="G47" s="159">
        <f>'a1'!L47</f>
        <v>508143</v>
      </c>
      <c r="H47" s="9">
        <f t="shared" ref="H47" si="38">G47/F47/1000</f>
        <v>2.3416728110599077</v>
      </c>
      <c r="I47" s="9">
        <f t="shared" ref="I47" si="39">H47^0.5</f>
        <v>1.5302525317933338</v>
      </c>
      <c r="J47" s="7">
        <v>59</v>
      </c>
      <c r="K47" s="7">
        <f>'a1'!R47</f>
        <v>141097</v>
      </c>
      <c r="L47" s="9">
        <f>K47/J47/1000</f>
        <v>2.3914745762711864</v>
      </c>
      <c r="M47" s="9">
        <f>L47^0.5</f>
        <v>1.5464393218846921</v>
      </c>
      <c r="N47" s="7">
        <v>417</v>
      </c>
      <c r="O47" s="7">
        <f>'a1'!X47</f>
        <v>939124</v>
      </c>
      <c r="P47" s="9">
        <f>O47/N47/1000</f>
        <v>2.2520959232613911</v>
      </c>
      <c r="Q47" s="9">
        <f>P47^0.5</f>
        <v>1.5006984784630759</v>
      </c>
      <c r="R47" s="7">
        <v>325</v>
      </c>
      <c r="S47" s="7">
        <f>'a1'!AD47</f>
        <v>749324</v>
      </c>
      <c r="T47" s="9">
        <f>S47/R47/1000</f>
        <v>2.3056123076923076</v>
      </c>
      <c r="U47" s="9">
        <f>T47^0.5</f>
        <v>1.5184242844779281</v>
      </c>
      <c r="V47" s="7">
        <v>3595</v>
      </c>
      <c r="W47" s="7">
        <f>'a1'!AJ47</f>
        <v>7828357</v>
      </c>
      <c r="X47" s="9">
        <f>W47/V47/1000</f>
        <v>2.1775680111265645</v>
      </c>
      <c r="Y47" s="9">
        <f>X47^0.5</f>
        <v>1.4756585008485414</v>
      </c>
      <c r="Z47" s="7">
        <v>5292</v>
      </c>
      <c r="AA47" s="7">
        <f>'a1'!AP47</f>
        <v>13064900</v>
      </c>
      <c r="AB47" s="9">
        <f>AA47/Z47/1000</f>
        <v>2.4688019652305364</v>
      </c>
      <c r="AC47" s="9">
        <f>AB47^0.5</f>
        <v>1.5712421726871184</v>
      </c>
      <c r="AD47" s="7">
        <v>490</v>
      </c>
      <c r="AE47" s="7">
        <f>'a1'!AV47</f>
        <v>1219562</v>
      </c>
      <c r="AF47" s="9">
        <f>AE47/AD47/1000</f>
        <v>2.4889020408163263</v>
      </c>
      <c r="AG47" s="9">
        <f>AF47^0.5</f>
        <v>1.5776254437655113</v>
      </c>
      <c r="AH47" s="7">
        <v>425</v>
      </c>
      <c r="AI47" s="7">
        <f>'a1'!BB47</f>
        <v>1029124</v>
      </c>
      <c r="AJ47" s="9">
        <f>AI47/AH47/1000</f>
        <v>2.4214682352941175</v>
      </c>
      <c r="AK47" s="9">
        <f>AJ47^0.5</f>
        <v>1.556106755751069</v>
      </c>
      <c r="AL47" s="7">
        <v>1538</v>
      </c>
      <c r="AM47" s="7">
        <f>'a1'!BH47</f>
        <v>3670742</v>
      </c>
      <c r="AN47" s="9">
        <f>AM47/AL47/1000</f>
        <v>2.3866983094928478</v>
      </c>
      <c r="AO47" s="9">
        <f>AN47^0.5</f>
        <v>1.5448942712991229</v>
      </c>
      <c r="AP47" s="7">
        <v>1942</v>
      </c>
      <c r="AQ47" s="7">
        <f>'a1'!BN47</f>
        <v>4460292</v>
      </c>
      <c r="AR47" s="9">
        <f>AQ47/AP47/1000</f>
        <v>2.2967518022657054</v>
      </c>
      <c r="AS47" s="9">
        <f>AR47^0.5</f>
        <v>1.5155038113662749</v>
      </c>
    </row>
    <row r="48" spans="1:45" ht="12.75" customHeight="1">
      <c r="A48" s="1">
        <v>2010</v>
      </c>
      <c r="B48" s="205">
        <f>B47*POWER(B47/B42, 1/5)</f>
        <v>14524.607582753601</v>
      </c>
      <c r="C48" s="159">
        <f>'a1'!F48</f>
        <v>34108752</v>
      </c>
      <c r="D48" s="9">
        <f t="shared" ref="D48" si="40">C48/B48/1000</f>
        <v>2.3483424117082827</v>
      </c>
      <c r="E48" s="9">
        <f t="shared" ref="E48" si="41">D48^0.5</f>
        <v>1.5324302306168078</v>
      </c>
      <c r="F48" s="205">
        <f>F47*POWER(F47/F42, 1/5)</f>
        <v>218.84620181929171</v>
      </c>
      <c r="G48" s="159">
        <f>'a1'!L48</f>
        <v>509739</v>
      </c>
      <c r="H48" s="9">
        <f t="shared" ref="H48" si="42">G48/F48/1000</f>
        <v>2.3292110887120065</v>
      </c>
      <c r="I48" s="9">
        <f t="shared" ref="I48" si="43">H48^0.5</f>
        <v>1.5261753138850092</v>
      </c>
      <c r="J48" s="205">
        <f>J47*POWER(J47/J42, 1/5)</f>
        <v>59.61901665311386</v>
      </c>
      <c r="K48" s="7">
        <f>'a1'!R48</f>
        <v>142266</v>
      </c>
      <c r="L48" s="9">
        <f>K48/J48/1000</f>
        <v>2.3862520381333652</v>
      </c>
      <c r="M48" s="9">
        <f>L48^0.5</f>
        <v>1.544749830274587</v>
      </c>
      <c r="N48" s="205">
        <f>N47*POWER(N47/N42, 1/5)</f>
        <v>421.11931834380971</v>
      </c>
      <c r="O48" s="7">
        <f>'a1'!X48</f>
        <v>942506</v>
      </c>
      <c r="P48" s="9">
        <f>O48/N48/1000</f>
        <v>2.238097277766109</v>
      </c>
      <c r="Q48" s="9">
        <f>P48^0.5</f>
        <v>1.496027164782147</v>
      </c>
      <c r="R48" s="205">
        <f>R47*POWER(R47/R42, 1/5)</f>
        <v>328.08599677192427</v>
      </c>
      <c r="S48" s="7">
        <f>'a1'!AD48</f>
        <v>751755</v>
      </c>
      <c r="T48" s="9">
        <f>S48/R48/1000</f>
        <v>2.2913352212426119</v>
      </c>
      <c r="U48" s="9">
        <f>T48^0.5</f>
        <v>1.5137157002695756</v>
      </c>
      <c r="V48" s="205">
        <f>V47*POWER(V47/V42, 1/5)</f>
        <v>3648.0718098379293</v>
      </c>
      <c r="W48" s="7">
        <f>'a1'!AJ48</f>
        <v>7907375</v>
      </c>
      <c r="X48" s="9">
        <f>W48/V48/1000</f>
        <v>2.1675491635542383</v>
      </c>
      <c r="Y48" s="9">
        <f>X48^0.5</f>
        <v>1.4722598831572633</v>
      </c>
      <c r="Z48" s="205">
        <f>Z47*POWER(Z47/Z42, 1/5)</f>
        <v>5368.182725114124</v>
      </c>
      <c r="AA48" s="7">
        <f>'a1'!AP48</f>
        <v>13210667</v>
      </c>
      <c r="AB48" s="9">
        <f>AA48/Z48/1000</f>
        <v>2.460919770520507</v>
      </c>
      <c r="AC48" s="9">
        <f>AB48^0.5</f>
        <v>1.5687318988662489</v>
      </c>
      <c r="AD48" s="205">
        <f>AD47*POWER(AD47/AD42, 1/5)</f>
        <v>494.94633497547011</v>
      </c>
      <c r="AE48" s="7">
        <f>'a1'!AV48</f>
        <v>1235412</v>
      </c>
      <c r="AF48" s="9">
        <f>AE48/AD48/1000</f>
        <v>2.4960524256861665</v>
      </c>
      <c r="AG48" s="9">
        <f>AF48^0.5</f>
        <v>1.579890004299719</v>
      </c>
      <c r="AH48" s="205">
        <f>AH47*POWER(AH47/AH42, 1/5)</f>
        <v>429.96968974928177</v>
      </c>
      <c r="AI48" s="7">
        <f>'a1'!BB48</f>
        <v>1045622</v>
      </c>
      <c r="AJ48" s="9">
        <f>AI48/AH48/1000</f>
        <v>2.431850488367469</v>
      </c>
      <c r="AK48" s="9">
        <f>AJ48^0.5</f>
        <v>1.5594391582769329</v>
      </c>
      <c r="AL48" s="205">
        <f>AL47*POWER(AL47/AL42, 1/5)</f>
        <v>1583.3512686036165</v>
      </c>
      <c r="AM48" s="7">
        <f>'a1'!BH48</f>
        <v>3720946</v>
      </c>
      <c r="AN48" s="9">
        <f>AM48/AL48/1000</f>
        <v>2.3500445376732877</v>
      </c>
      <c r="AO48" s="9">
        <f>AN48^0.5</f>
        <v>1.5329854981940592</v>
      </c>
      <c r="AP48" s="205">
        <f>AP47*POWER(AP47/AP42, 1/5)</f>
        <v>1973.4742752234499</v>
      </c>
      <c r="AQ48" s="7">
        <f>'a1'!BN48</f>
        <v>4530960</v>
      </c>
      <c r="AR48" s="9">
        <f>AQ48/AP48/1000</f>
        <v>2.2959306117567579</v>
      </c>
      <c r="AS48" s="9">
        <f>AR48^0.5</f>
        <v>1.5152328572720293</v>
      </c>
    </row>
    <row r="49" spans="1:138" ht="12.75" customHeight="1">
      <c r="B49" s="257" t="s">
        <v>967</v>
      </c>
      <c r="C49" s="159"/>
      <c r="D49" s="9"/>
      <c r="E49" s="9"/>
      <c r="F49" s="205"/>
      <c r="G49" s="159"/>
      <c r="H49" s="9"/>
      <c r="I49" s="9"/>
      <c r="J49" s="205"/>
      <c r="K49" s="7"/>
      <c r="L49" s="9"/>
      <c r="M49" s="9"/>
      <c r="N49" s="205"/>
      <c r="O49" s="7"/>
      <c r="P49" s="9"/>
      <c r="Q49" s="9"/>
      <c r="R49" s="257" t="s">
        <v>967</v>
      </c>
      <c r="S49" s="7"/>
      <c r="T49" s="9"/>
      <c r="U49" s="9"/>
      <c r="V49" s="205"/>
      <c r="W49" s="7"/>
      <c r="X49" s="9"/>
      <c r="Y49" s="9"/>
      <c r="Z49" s="205"/>
      <c r="AA49" s="7"/>
      <c r="AB49" s="9"/>
      <c r="AC49" s="9"/>
      <c r="AD49" s="205"/>
      <c r="AE49" s="7"/>
      <c r="AF49" s="9"/>
      <c r="AG49" s="9"/>
      <c r="AH49" s="257" t="s">
        <v>967</v>
      </c>
      <c r="AI49" s="7"/>
      <c r="AJ49" s="9"/>
      <c r="AK49" s="9"/>
      <c r="AL49" s="205"/>
      <c r="AM49" s="7"/>
      <c r="AN49" s="9"/>
      <c r="AO49" s="9"/>
      <c r="AP49" s="205"/>
      <c r="AQ49" s="7"/>
      <c r="AR49" s="9"/>
      <c r="AS49" s="9"/>
    </row>
    <row r="50" spans="1:138" s="252" customFormat="1" ht="12.75" customHeight="1">
      <c r="A50" s="252" t="s">
        <v>988</v>
      </c>
      <c r="B50" s="254">
        <f t="shared" ref="B50:AS50" si="44">(POWER(B48/B19, 1/29)-1)*100</f>
        <v>1.6130772222173517</v>
      </c>
      <c r="C50" s="254">
        <f t="shared" si="44"/>
        <v>1.1022639403056589</v>
      </c>
      <c r="D50" s="254">
        <f t="shared" si="44"/>
        <v>-0.50270427377628879</v>
      </c>
      <c r="E50" s="254">
        <f t="shared" si="44"/>
        <v>-0.25166882287016579</v>
      </c>
      <c r="F50" s="254">
        <f t="shared" si="44"/>
        <v>1.0425448586069308</v>
      </c>
      <c r="G50" s="254">
        <f t="shared" si="44"/>
        <v>-0.41635939800632737</v>
      </c>
      <c r="H50" s="254">
        <f t="shared" si="44"/>
        <v>-1.4438514574773964</v>
      </c>
      <c r="I50" s="254">
        <f t="shared" si="44"/>
        <v>-0.72455059657368093</v>
      </c>
      <c r="J50" s="254">
        <f t="shared" si="44"/>
        <v>1.2994131432242373</v>
      </c>
      <c r="K50" s="254">
        <f t="shared" si="44"/>
        <v>0.48754506036630119</v>
      </c>
      <c r="L50" s="254">
        <f t="shared" si="44"/>
        <v>-0.80145388572988585</v>
      </c>
      <c r="M50" s="254">
        <f t="shared" si="44"/>
        <v>-0.40153308696457835</v>
      </c>
      <c r="N50" s="254">
        <f t="shared" si="44"/>
        <v>1.2467997221582205</v>
      </c>
      <c r="O50" s="254">
        <f t="shared" si="44"/>
        <v>0.33708999541517404</v>
      </c>
      <c r="P50" s="254">
        <f t="shared" si="44"/>
        <v>-0.89850714219065209</v>
      </c>
      <c r="Q50" s="254">
        <f t="shared" si="44"/>
        <v>-0.45026727418634449</v>
      </c>
      <c r="R50" s="254">
        <f t="shared" si="44"/>
        <v>1.172177624937798</v>
      </c>
      <c r="S50" s="254">
        <f t="shared" si="44"/>
        <v>0.21462665351468235</v>
      </c>
      <c r="T50" s="254">
        <f t="shared" si="44"/>
        <v>-0.94645681639168311</v>
      </c>
      <c r="U50" s="254">
        <f t="shared" si="44"/>
        <v>-0.47435346424102853</v>
      </c>
      <c r="V50" s="254">
        <f t="shared" si="44"/>
        <v>1.4748404663361914</v>
      </c>
      <c r="W50" s="254">
        <f t="shared" si="44"/>
        <v>0.65301019139258898</v>
      </c>
      <c r="X50" s="254">
        <f t="shared" si="44"/>
        <v>-0.8098857521399494</v>
      </c>
      <c r="Y50" s="254">
        <f t="shared" si="44"/>
        <v>-0.40576610673686009</v>
      </c>
      <c r="Z50" s="254">
        <f t="shared" si="44"/>
        <v>1.7325931969900843</v>
      </c>
      <c r="AA50" s="254">
        <f t="shared" si="44"/>
        <v>1.405921496714857</v>
      </c>
      <c r="AB50" s="254">
        <f t="shared" si="44"/>
        <v>-0.32110820142240426</v>
      </c>
      <c r="AC50" s="254">
        <f t="shared" si="44"/>
        <v>-0.16068319615883953</v>
      </c>
      <c r="AD50" s="254">
        <f t="shared" si="44"/>
        <v>0.89720348781747727</v>
      </c>
      <c r="AE50" s="254">
        <f t="shared" si="44"/>
        <v>0.6103955727545296</v>
      </c>
      <c r="AF50" s="254">
        <f t="shared" si="44"/>
        <v>-0.28425754644187951</v>
      </c>
      <c r="AG50" s="254">
        <f t="shared" si="44"/>
        <v>-0.14222991997161483</v>
      </c>
      <c r="AH50" s="254">
        <f t="shared" si="44"/>
        <v>0.61432995428234438</v>
      </c>
      <c r="AI50" s="254">
        <f t="shared" si="44"/>
        <v>0.23873822676299117</v>
      </c>
      <c r="AJ50" s="254">
        <f t="shared" si="44"/>
        <v>-0.37329844336291274</v>
      </c>
      <c r="AK50" s="254">
        <f t="shared" si="44"/>
        <v>-0.18682373722541668</v>
      </c>
      <c r="AL50" s="254">
        <f t="shared" si="44"/>
        <v>2.0102902393981825</v>
      </c>
      <c r="AM50" s="254">
        <f t="shared" si="44"/>
        <v>1.6862810505691828</v>
      </c>
      <c r="AN50" s="254">
        <f t="shared" si="44"/>
        <v>-0.3176240240750472</v>
      </c>
      <c r="AO50" s="254">
        <f t="shared" si="44"/>
        <v>-0.15893831898373678</v>
      </c>
      <c r="AP50" s="254">
        <f t="shared" si="44"/>
        <v>1.9662632145936332</v>
      </c>
      <c r="AQ50" s="254">
        <f t="shared" si="44"/>
        <v>1.6404623548224029</v>
      </c>
      <c r="AR50" s="254">
        <f t="shared" si="44"/>
        <v>-0.3195182891870374</v>
      </c>
      <c r="AS50" s="254">
        <f t="shared" si="44"/>
        <v>-0.15988696379948264</v>
      </c>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269"/>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ht="12.75" customHeight="1">
      <c r="B51" s="1" t="s">
        <v>1047</v>
      </c>
      <c r="R51" s="1" t="s">
        <v>380</v>
      </c>
      <c r="AH51" s="1" t="s">
        <v>380</v>
      </c>
    </row>
    <row r="52" spans="1:138" ht="12.75" customHeight="1">
      <c r="B52" s="1" t="s">
        <v>1048</v>
      </c>
    </row>
    <row r="53" spans="1:138" ht="12.75" customHeight="1">
      <c r="B53" s="1" t="s">
        <v>397</v>
      </c>
    </row>
    <row r="54" spans="1:138" ht="12.75" customHeight="1">
      <c r="B54" s="1" t="s">
        <v>398</v>
      </c>
    </row>
    <row r="55" spans="1:138" ht="12.75" customHeight="1">
      <c r="B55" s="1" t="s">
        <v>1049</v>
      </c>
    </row>
    <row r="56" spans="1:138" ht="28.5" customHeight="1">
      <c r="B56" s="1" t="s">
        <v>121</v>
      </c>
    </row>
    <row r="57" spans="1:138" ht="28.5" customHeight="1"/>
    <row r="58" spans="1:138" ht="28.5" customHeight="1"/>
    <row r="59" spans="1:138" ht="28.5" customHeight="1">
      <c r="D59" s="146"/>
      <c r="H59" s="146"/>
      <c r="L59" s="146"/>
      <c r="P59" s="146"/>
      <c r="T59" s="146"/>
      <c r="X59" s="146"/>
      <c r="AB59" s="146"/>
      <c r="AF59" s="146"/>
      <c r="AJ59" s="146"/>
      <c r="AN59" s="146"/>
      <c r="AR59" s="146"/>
    </row>
    <row r="60" spans="1:138" ht="28.5" customHeight="1">
      <c r="B60" s="206" t="s">
        <v>321</v>
      </c>
      <c r="C60" s="206" t="s">
        <v>449</v>
      </c>
      <c r="D60" s="206" t="s">
        <v>122</v>
      </c>
      <c r="E60" s="206" t="s">
        <v>123</v>
      </c>
      <c r="F60" s="206" t="s">
        <v>124</v>
      </c>
      <c r="G60" s="206" t="s">
        <v>125</v>
      </c>
      <c r="H60" s="206" t="s">
        <v>126</v>
      </c>
      <c r="I60" s="206" t="s">
        <v>455</v>
      </c>
      <c r="J60" s="206" t="s">
        <v>456</v>
      </c>
      <c r="K60" s="206" t="s">
        <v>127</v>
      </c>
      <c r="L60" s="206" t="s">
        <v>128</v>
      </c>
    </row>
    <row r="61" spans="1:138">
      <c r="A61" s="1">
        <v>1971</v>
      </c>
      <c r="B61" s="7">
        <v>5158880.4555955287</v>
      </c>
      <c r="C61" s="7">
        <v>110023.19493314564</v>
      </c>
      <c r="D61" s="7">
        <v>24410.336448598118</v>
      </c>
      <c r="E61" s="7">
        <v>180937.84468546635</v>
      </c>
      <c r="F61" s="7">
        <v>141595.02191341532</v>
      </c>
      <c r="G61" s="7">
        <v>1372718.3576887969</v>
      </c>
      <c r="H61" s="7">
        <v>1929357.120475529</v>
      </c>
      <c r="I61" s="7">
        <v>239183.13884892088</v>
      </c>
      <c r="J61" s="7">
        <v>217111.13924050645</v>
      </c>
      <c r="K61" s="7">
        <v>385062.89453251369</v>
      </c>
      <c r="L61" s="7">
        <v>545327.15789473709</v>
      </c>
    </row>
    <row r="62" spans="1:138">
      <c r="A62" s="1">
        <v>1972</v>
      </c>
      <c r="B62" s="7">
        <v>5287476.5000297315</v>
      </c>
      <c r="C62" s="7">
        <v>113588.7614356087</v>
      </c>
      <c r="D62" s="7">
        <v>25015.55140186915</v>
      </c>
      <c r="E62" s="7">
        <v>184564.66117136655</v>
      </c>
      <c r="F62" s="7">
        <v>145851.9946552646</v>
      </c>
      <c r="G62" s="7">
        <v>1408615.6982089884</v>
      </c>
      <c r="H62" s="7">
        <v>1975507.1043385898</v>
      </c>
      <c r="I62" s="7">
        <v>241935.88597122306</v>
      </c>
      <c r="J62" s="7">
        <v>216706.83544303809</v>
      </c>
      <c r="K62" s="7">
        <v>396102.30944678094</v>
      </c>
      <c r="L62" s="7">
        <v>566182.73684210563</v>
      </c>
    </row>
    <row r="63" spans="1:138">
      <c r="A63" s="1">
        <v>1973</v>
      </c>
      <c r="B63" s="7">
        <v>5422006.1726080747</v>
      </c>
      <c r="C63" s="7">
        <v>117154.32793807176</v>
      </c>
      <c r="D63" s="7">
        <v>25620.766355140178</v>
      </c>
      <c r="E63" s="7">
        <v>189501.1613882863</v>
      </c>
      <c r="F63" s="7">
        <v>150413.03687867455</v>
      </c>
      <c r="G63" s="7">
        <v>1447453.7813141677</v>
      </c>
      <c r="H63" s="7">
        <v>2020218.1132036932</v>
      </c>
      <c r="I63" s="7">
        <v>245402.30827338129</v>
      </c>
      <c r="J63" s="7">
        <v>216706.83544303809</v>
      </c>
      <c r="K63" s="7">
        <v>407648.11954060168</v>
      </c>
      <c r="L63" s="7">
        <v>588168.42105263192</v>
      </c>
    </row>
    <row r="64" spans="1:138">
      <c r="A64" s="1">
        <v>1974</v>
      </c>
      <c r="B64" s="7">
        <v>5570756.091945651</v>
      </c>
      <c r="C64" s="7">
        <v>120006.78114004221</v>
      </c>
      <c r="D64" s="7">
        <v>26326.850467289714</v>
      </c>
      <c r="E64" s="7">
        <v>193530.95748373098</v>
      </c>
      <c r="F64" s="7">
        <v>154872.72260823092</v>
      </c>
      <c r="G64" s="7">
        <v>1487305.9135865839</v>
      </c>
      <c r="H64" s="7">
        <v>2074796.3791976469</v>
      </c>
      <c r="I64" s="7">
        <v>249888.26654676258</v>
      </c>
      <c r="J64" s="7">
        <v>218222.97468354442</v>
      </c>
      <c r="K64" s="7">
        <v>418788.81349077966</v>
      </c>
      <c r="L64" s="7">
        <v>613030.73684210563</v>
      </c>
    </row>
    <row r="65" spans="1:12">
      <c r="A65" s="1">
        <v>1975</v>
      </c>
      <c r="B65" s="7">
        <v>5717357.6286793137</v>
      </c>
      <c r="C65" s="7">
        <v>123470.47431386345</v>
      </c>
      <c r="D65" s="7">
        <v>27133.803738317747</v>
      </c>
      <c r="E65" s="7">
        <v>197862.98828633403</v>
      </c>
      <c r="F65" s="7">
        <v>159737.83431320151</v>
      </c>
      <c r="G65" s="7">
        <v>1527056.6409422765</v>
      </c>
      <c r="H65" s="7">
        <v>2122693.6898439415</v>
      </c>
      <c r="I65" s="7">
        <v>253456.64244604314</v>
      </c>
      <c r="J65" s="7">
        <v>222569.2405063292</v>
      </c>
      <c r="K65" s="7">
        <v>436006.24959560012</v>
      </c>
      <c r="L65" s="7">
        <v>632961.68421052664</v>
      </c>
    </row>
    <row r="66" spans="1:12">
      <c r="A66" s="1">
        <v>1976</v>
      </c>
      <c r="B66" s="7">
        <v>5846260.5849140771</v>
      </c>
      <c r="C66" s="7">
        <v>127036.04081632652</v>
      </c>
      <c r="D66" s="7">
        <v>27839.887850467287</v>
      </c>
      <c r="E66" s="7">
        <v>201993.52928416483</v>
      </c>
      <c r="F66" s="7">
        <v>164197.52004275791</v>
      </c>
      <c r="G66" s="7">
        <v>1562041.3372119549</v>
      </c>
      <c r="H66" s="7">
        <v>2163087.7737151729</v>
      </c>
      <c r="I66" s="7">
        <v>256923.06474820143</v>
      </c>
      <c r="J66" s="7">
        <v>228128.41772151907</v>
      </c>
      <c r="K66" s="7">
        <v>454540.3131672598</v>
      </c>
      <c r="L66" s="7">
        <v>645598.31578947394</v>
      </c>
    </row>
    <row r="67" spans="1:12">
      <c r="A67" s="1">
        <v>1977</v>
      </c>
      <c r="B67" s="7">
        <v>5975879.6686834777</v>
      </c>
      <c r="C67" s="7">
        <v>129379.12737508795</v>
      </c>
      <c r="D67" s="7">
        <v>28545.971962616815</v>
      </c>
      <c r="E67" s="7">
        <v>205217.36616052056</v>
      </c>
      <c r="F67" s="7">
        <v>168049.06680919297</v>
      </c>
      <c r="G67" s="7">
        <v>1594896.5302304353</v>
      </c>
      <c r="H67" s="7">
        <v>2203584.6415148298</v>
      </c>
      <c r="I67" s="7">
        <v>260899.2550359712</v>
      </c>
      <c r="J67" s="7">
        <v>233586.51898734184</v>
      </c>
      <c r="K67" s="7">
        <v>476416.58492397284</v>
      </c>
      <c r="L67" s="7">
        <v>659981.4736842108</v>
      </c>
    </row>
    <row r="68" spans="1:12">
      <c r="A68" s="1">
        <v>1978</v>
      </c>
      <c r="B68" s="7">
        <v>6093733.8000981174</v>
      </c>
      <c r="C68" s="7">
        <v>131314.72061928219</v>
      </c>
      <c r="D68" s="7">
        <v>29252.056074766348</v>
      </c>
      <c r="E68" s="7">
        <v>208340.45813449021</v>
      </c>
      <c r="F68" s="7">
        <v>171089.76162479958</v>
      </c>
      <c r="G68" s="7">
        <v>1617712.6364932689</v>
      </c>
      <c r="H68" s="7">
        <v>2243875.9414576353</v>
      </c>
      <c r="I68" s="7">
        <v>264161.77014388487</v>
      </c>
      <c r="J68" s="7">
        <v>237629.55696202535</v>
      </c>
      <c r="K68" s="7">
        <v>497482.62439340021</v>
      </c>
      <c r="L68" s="7">
        <v>677241.26315789507</v>
      </c>
    </row>
    <row r="69" spans="1:12">
      <c r="A69" s="1">
        <v>1979</v>
      </c>
      <c r="B69" s="7">
        <v>6202380.5774959885</v>
      </c>
      <c r="C69" s="7">
        <v>133250.31386347642</v>
      </c>
      <c r="D69" s="7">
        <v>29655.532710280368</v>
      </c>
      <c r="E69" s="7">
        <v>211564.29501084593</v>
      </c>
      <c r="F69" s="7">
        <v>173927.74345269907</v>
      </c>
      <c r="G69" s="7">
        <v>1642151.2214236821</v>
      </c>
      <c r="H69" s="7">
        <v>2275019.4717705692</v>
      </c>
      <c r="I69" s="7">
        <v>265385.21330935252</v>
      </c>
      <c r="J69" s="7">
        <v>241369.36708860766</v>
      </c>
      <c r="K69" s="7">
        <v>519358.89615011326</v>
      </c>
      <c r="L69" s="7">
        <v>694706.52631578979</v>
      </c>
    </row>
    <row r="70" spans="1:12">
      <c r="A70" s="1">
        <v>1980</v>
      </c>
      <c r="B70" s="7">
        <v>6326679.8567223661</v>
      </c>
      <c r="C70" s="7">
        <v>135491.52709359606</v>
      </c>
      <c r="D70" s="7">
        <v>30260.747663551396</v>
      </c>
      <c r="E70" s="7">
        <v>214888.87678958781</v>
      </c>
      <c r="F70" s="7">
        <v>176968.4382683057</v>
      </c>
      <c r="G70" s="7">
        <v>1669327.7391056351</v>
      </c>
      <c r="H70" s="7">
        <v>2309863.2235068223</v>
      </c>
      <c r="I70" s="7">
        <v>265487.1669064748</v>
      </c>
      <c r="J70" s="7">
        <v>244907.02531645578</v>
      </c>
      <c r="K70" s="7">
        <v>542551.79537366563</v>
      </c>
      <c r="L70" s="7">
        <v>720596.21052631596</v>
      </c>
    </row>
    <row r="71" spans="1:12">
      <c r="A71" s="1">
        <v>1981</v>
      </c>
      <c r="B71" s="7">
        <v>6454662.0775554515</v>
      </c>
      <c r="C71" s="7">
        <v>137630.86699507388</v>
      </c>
      <c r="D71" s="7">
        <v>30462.485981308404</v>
      </c>
      <c r="E71" s="7">
        <v>217810.47895878518</v>
      </c>
      <c r="F71" s="7">
        <v>178995.56814537678</v>
      </c>
      <c r="G71" s="7">
        <v>1694881.7781200088</v>
      </c>
      <c r="H71" s="7">
        <v>2342240.1609608624</v>
      </c>
      <c r="I71" s="7">
        <v>267322.33165467624</v>
      </c>
      <c r="J71" s="7">
        <v>248343.60759493677</v>
      </c>
      <c r="K71" s="7">
        <v>572732.94807505666</v>
      </c>
      <c r="L71" s="7">
        <v>747513.26315789495</v>
      </c>
    </row>
    <row r="72" spans="1:12">
      <c r="A72" s="1">
        <v>1982</v>
      </c>
      <c r="B72" s="7">
        <v>6553283.0694683958</v>
      </c>
      <c r="C72" s="7">
        <v>138853.3469387755</v>
      </c>
      <c r="D72" s="7">
        <v>30664.224299065416</v>
      </c>
      <c r="E72" s="7">
        <v>220228.35661605201</v>
      </c>
      <c r="F72" s="7">
        <v>180414.55905932654</v>
      </c>
      <c r="G72" s="7">
        <v>1713033.2582135519</v>
      </c>
      <c r="H72" s="7">
        <v>2371944.7162758387</v>
      </c>
      <c r="I72" s="7">
        <v>270278.98597122304</v>
      </c>
      <c r="J72" s="7">
        <v>251780.18987341778</v>
      </c>
      <c r="K72" s="7">
        <v>597242.47476544813</v>
      </c>
      <c r="L72" s="7">
        <v>761793.68421052641</v>
      </c>
    </row>
    <row r="73" spans="1:12">
      <c r="A73" s="1">
        <v>1983</v>
      </c>
      <c r="B73" s="7">
        <v>6639627.5893589826</v>
      </c>
      <c r="C73" s="7">
        <v>141502.05348346234</v>
      </c>
      <c r="D73" s="7">
        <v>31067.700934579439</v>
      </c>
      <c r="E73" s="7">
        <v>223049.21388286332</v>
      </c>
      <c r="F73" s="7">
        <v>183151.1843933725</v>
      </c>
      <c r="G73" s="7">
        <v>1727939.7809719366</v>
      </c>
      <c r="H73" s="7">
        <v>2403499.3823024752</v>
      </c>
      <c r="I73" s="7">
        <v>274153.22266187047</v>
      </c>
      <c r="J73" s="7">
        <v>255520</v>
      </c>
      <c r="K73" s="7">
        <v>610206.19136201881</v>
      </c>
      <c r="L73" s="7">
        <v>772272.84210526326</v>
      </c>
    </row>
    <row r="74" spans="1:12">
      <c r="A74" s="1">
        <v>1984</v>
      </c>
      <c r="B74" s="7">
        <v>6720345.3929059878</v>
      </c>
      <c r="C74" s="7">
        <v>143030.15341308937</v>
      </c>
      <c r="D74" s="7">
        <v>31572.04672897196</v>
      </c>
      <c r="E74" s="7">
        <v>226575.28546637742</v>
      </c>
      <c r="F74" s="7">
        <v>185685.09673971136</v>
      </c>
      <c r="G74" s="7">
        <v>1742440.6840634265</v>
      </c>
      <c r="H74" s="7">
        <v>2440090.460821962</v>
      </c>
      <c r="I74" s="7">
        <v>277211.8305755395</v>
      </c>
      <c r="J74" s="7">
        <v>259664.11392405065</v>
      </c>
      <c r="K74" s="7">
        <v>611725.37690067943</v>
      </c>
      <c r="L74" s="7">
        <v>785012.21052631584</v>
      </c>
    </row>
    <row r="75" spans="1:12">
      <c r="A75" s="1">
        <v>1985</v>
      </c>
      <c r="B75" s="7">
        <v>6800551.6767853945</v>
      </c>
      <c r="C75" s="7">
        <v>144048.88669950739</v>
      </c>
      <c r="D75" s="7">
        <v>31975.523364485976</v>
      </c>
      <c r="E75" s="7">
        <v>229899.86724511927</v>
      </c>
      <c r="F75" s="7">
        <v>188016.29609834313</v>
      </c>
      <c r="G75" s="7">
        <v>1759476.7100730091</v>
      </c>
      <c r="H75" s="7">
        <v>2477503.8107688534</v>
      </c>
      <c r="I75" s="7">
        <v>280678.25287769781</v>
      </c>
      <c r="J75" s="7">
        <v>262494.24050632911</v>
      </c>
      <c r="K75" s="7">
        <v>616586.77062439336</v>
      </c>
      <c r="L75" s="7">
        <v>792409.26315789472</v>
      </c>
    </row>
    <row r="76" spans="1:12">
      <c r="A76" s="1">
        <v>1986</v>
      </c>
      <c r="B76" s="7">
        <v>6881781</v>
      </c>
      <c r="C76" s="7">
        <v>144762</v>
      </c>
      <c r="D76" s="7">
        <v>32379</v>
      </c>
      <c r="E76" s="7">
        <v>232217</v>
      </c>
      <c r="F76" s="7">
        <v>189638</v>
      </c>
      <c r="G76" s="7">
        <v>1777831</v>
      </c>
      <c r="H76" s="7">
        <v>2515945</v>
      </c>
      <c r="I76" s="7">
        <v>283431</v>
      </c>
      <c r="J76" s="7">
        <v>263505</v>
      </c>
      <c r="K76" s="7">
        <v>626107</v>
      </c>
      <c r="L76" s="7">
        <v>798368</v>
      </c>
    </row>
    <row r="77" spans="1:12">
      <c r="A77" s="1">
        <v>1987</v>
      </c>
      <c r="B77" s="7">
        <v>7005933</v>
      </c>
      <c r="C77" s="7">
        <v>146645</v>
      </c>
      <c r="D77" s="7">
        <v>32710</v>
      </c>
      <c r="E77" s="7">
        <v>235016</v>
      </c>
      <c r="F77" s="7">
        <v>192084</v>
      </c>
      <c r="G77" s="7">
        <v>1803715</v>
      </c>
      <c r="H77" s="7">
        <v>2574196</v>
      </c>
      <c r="I77" s="7">
        <v>284894</v>
      </c>
      <c r="J77" s="7">
        <v>262791</v>
      </c>
      <c r="K77" s="7">
        <v>635839</v>
      </c>
      <c r="L77" s="7">
        <v>819878</v>
      </c>
    </row>
    <row r="78" spans="1:12">
      <c r="A78" s="1">
        <v>1988</v>
      </c>
      <c r="B78" s="7">
        <v>7130085</v>
      </c>
      <c r="C78" s="7">
        <v>148527</v>
      </c>
      <c r="D78" s="7">
        <v>33041</v>
      </c>
      <c r="E78" s="7">
        <v>237815</v>
      </c>
      <c r="F78" s="7">
        <v>194531</v>
      </c>
      <c r="G78" s="7">
        <v>1829600</v>
      </c>
      <c r="H78" s="7">
        <v>2632447</v>
      </c>
      <c r="I78" s="7">
        <v>286356</v>
      </c>
      <c r="J78" s="7">
        <v>262077</v>
      </c>
      <c r="K78" s="7">
        <v>645571</v>
      </c>
      <c r="L78" s="7">
        <v>841388</v>
      </c>
    </row>
    <row r="79" spans="1:12">
      <c r="A79" s="1">
        <v>1989</v>
      </c>
      <c r="B79" s="7">
        <v>7254233</v>
      </c>
      <c r="C79" s="7">
        <v>150410</v>
      </c>
      <c r="D79" s="7">
        <v>33373</v>
      </c>
      <c r="E79" s="7">
        <v>240613</v>
      </c>
      <c r="F79" s="7">
        <v>196977</v>
      </c>
      <c r="G79" s="7">
        <v>1855484</v>
      </c>
      <c r="H79" s="7">
        <v>2690698</v>
      </c>
      <c r="I79" s="7">
        <v>287819</v>
      </c>
      <c r="J79" s="7">
        <v>261363</v>
      </c>
      <c r="K79" s="7">
        <v>655302</v>
      </c>
      <c r="L79" s="7">
        <v>862897</v>
      </c>
    </row>
    <row r="80" spans="1:12">
      <c r="A80" s="1">
        <v>1990</v>
      </c>
      <c r="B80" s="7">
        <v>7378385</v>
      </c>
      <c r="C80" s="7">
        <v>152292</v>
      </c>
      <c r="D80" s="7">
        <v>33704</v>
      </c>
      <c r="E80" s="7">
        <v>243412</v>
      </c>
      <c r="F80" s="7">
        <v>199424</v>
      </c>
      <c r="G80" s="7">
        <v>1881369</v>
      </c>
      <c r="H80" s="7">
        <v>2748949</v>
      </c>
      <c r="I80" s="7">
        <v>289281</v>
      </c>
      <c r="J80" s="7">
        <v>260649</v>
      </c>
      <c r="K80" s="7">
        <v>665034</v>
      </c>
      <c r="L80" s="7">
        <v>884407</v>
      </c>
    </row>
    <row r="81" spans="1:12">
      <c r="A81" s="1">
        <v>1991</v>
      </c>
      <c r="B81" s="7">
        <v>7502537</v>
      </c>
      <c r="C81" s="7">
        <v>154175</v>
      </c>
      <c r="D81" s="7">
        <v>34035</v>
      </c>
      <c r="E81" s="7">
        <v>246211</v>
      </c>
      <c r="F81" s="7">
        <v>201870</v>
      </c>
      <c r="G81" s="7">
        <v>1907253</v>
      </c>
      <c r="H81" s="7">
        <v>2807200</v>
      </c>
      <c r="I81" s="7">
        <v>290744</v>
      </c>
      <c r="J81" s="7">
        <v>259935</v>
      </c>
      <c r="K81" s="7">
        <v>674766</v>
      </c>
      <c r="L81" s="7">
        <v>905917</v>
      </c>
    </row>
    <row r="82" spans="1:12">
      <c r="A82" s="1">
        <v>1992</v>
      </c>
      <c r="B82" s="7">
        <v>7601801</v>
      </c>
      <c r="C82" s="7">
        <v>154840</v>
      </c>
      <c r="D82" s="7">
        <v>34457</v>
      </c>
      <c r="E82" s="7">
        <v>248349</v>
      </c>
      <c r="F82" s="7">
        <v>203691</v>
      </c>
      <c r="G82" s="7">
        <v>1920638</v>
      </c>
      <c r="H82" s="7">
        <v>2846778</v>
      </c>
      <c r="I82" s="7">
        <v>291982</v>
      </c>
      <c r="J82" s="7">
        <v>260867</v>
      </c>
      <c r="K82" s="7">
        <v>686201</v>
      </c>
      <c r="L82" s="7">
        <v>932888</v>
      </c>
    </row>
    <row r="83" spans="1:12">
      <c r="A83" s="1">
        <v>1993</v>
      </c>
      <c r="B83" s="7">
        <v>7701065</v>
      </c>
      <c r="C83" s="7">
        <v>155505</v>
      </c>
      <c r="D83" s="7">
        <v>34880</v>
      </c>
      <c r="E83" s="7">
        <v>250486</v>
      </c>
      <c r="F83" s="7">
        <v>205512</v>
      </c>
      <c r="G83" s="7">
        <v>1934022</v>
      </c>
      <c r="H83" s="7">
        <v>2886356</v>
      </c>
      <c r="I83" s="7">
        <v>293220</v>
      </c>
      <c r="J83" s="7">
        <v>261800</v>
      </c>
      <c r="K83" s="7">
        <v>697636</v>
      </c>
      <c r="L83" s="7">
        <v>959859</v>
      </c>
    </row>
    <row r="84" spans="1:12">
      <c r="A84" s="1">
        <v>1994</v>
      </c>
      <c r="B84" s="7">
        <v>7800334</v>
      </c>
      <c r="C84" s="7">
        <v>156171</v>
      </c>
      <c r="D84" s="7">
        <v>35302</v>
      </c>
      <c r="E84" s="7">
        <v>252624</v>
      </c>
      <c r="F84" s="7">
        <v>207334</v>
      </c>
      <c r="G84" s="7">
        <v>1947407</v>
      </c>
      <c r="H84" s="7">
        <v>2925935</v>
      </c>
      <c r="I84" s="7">
        <v>294459</v>
      </c>
      <c r="J84" s="7">
        <v>262732</v>
      </c>
      <c r="K84" s="7">
        <v>709070</v>
      </c>
      <c r="L84" s="7">
        <v>986830</v>
      </c>
    </row>
    <row r="85" spans="1:12">
      <c r="A85" s="1">
        <v>1995</v>
      </c>
      <c r="B85" s="7">
        <v>7899598</v>
      </c>
      <c r="C85" s="7">
        <v>156836</v>
      </c>
      <c r="D85" s="7">
        <v>35725</v>
      </c>
      <c r="E85" s="7">
        <v>254761</v>
      </c>
      <c r="F85" s="7">
        <v>209155</v>
      </c>
      <c r="G85" s="7">
        <v>1960791</v>
      </c>
      <c r="H85" s="7">
        <v>2965513</v>
      </c>
      <c r="I85" s="7">
        <v>295697</v>
      </c>
      <c r="J85" s="7">
        <v>263665</v>
      </c>
      <c r="K85" s="7">
        <v>720505</v>
      </c>
      <c r="L85" s="7">
        <v>1013801</v>
      </c>
    </row>
    <row r="86" spans="1:12">
      <c r="A86" s="1">
        <v>1996</v>
      </c>
      <c r="B86" s="7">
        <v>7998862</v>
      </c>
      <c r="C86" s="7">
        <v>157501</v>
      </c>
      <c r="D86" s="7">
        <v>36147</v>
      </c>
      <c r="E86" s="7">
        <v>256899</v>
      </c>
      <c r="F86" s="7">
        <v>210976</v>
      </c>
      <c r="G86" s="7">
        <v>1974176</v>
      </c>
      <c r="H86" s="7">
        <v>3005091</v>
      </c>
      <c r="I86" s="7">
        <v>296935</v>
      </c>
      <c r="J86" s="7">
        <v>264597</v>
      </c>
      <c r="K86" s="7">
        <v>731940</v>
      </c>
      <c r="L86" s="7">
        <v>1040772</v>
      </c>
    </row>
    <row r="87" spans="1:12">
      <c r="A87" s="1">
        <v>1997</v>
      </c>
      <c r="B87" s="7">
        <v>8100344</v>
      </c>
      <c r="C87" s="7">
        <v>157226</v>
      </c>
      <c r="D87" s="7">
        <v>36649</v>
      </c>
      <c r="E87" s="7">
        <v>258774</v>
      </c>
      <c r="F87" s="7">
        <v>212339</v>
      </c>
      <c r="G87" s="7">
        <v>1987249</v>
      </c>
      <c r="H87" s="7">
        <v>3055507</v>
      </c>
      <c r="I87" s="7">
        <v>298755</v>
      </c>
      <c r="J87" s="7">
        <v>265437</v>
      </c>
      <c r="K87" s="7">
        <v>750152</v>
      </c>
      <c r="L87" s="7">
        <v>1054219</v>
      </c>
    </row>
    <row r="88" spans="1:12">
      <c r="A88" s="1">
        <v>1998</v>
      </c>
      <c r="B88" s="7">
        <v>8201823</v>
      </c>
      <c r="C88" s="7">
        <v>156950</v>
      </c>
      <c r="D88" s="7">
        <v>37151</v>
      </c>
      <c r="E88" s="7">
        <v>260650</v>
      </c>
      <c r="F88" s="7">
        <v>213701</v>
      </c>
      <c r="G88" s="7">
        <v>2000322</v>
      </c>
      <c r="H88" s="7">
        <v>3105923</v>
      </c>
      <c r="I88" s="7">
        <v>300575</v>
      </c>
      <c r="J88" s="7">
        <v>266276</v>
      </c>
      <c r="K88" s="7">
        <v>768363</v>
      </c>
      <c r="L88" s="7">
        <v>1067666</v>
      </c>
    </row>
    <row r="89" spans="1:12">
      <c r="A89" s="1">
        <v>1999</v>
      </c>
      <c r="B89" s="7">
        <v>8303303</v>
      </c>
      <c r="C89" s="7">
        <v>156675</v>
      </c>
      <c r="D89" s="7">
        <v>37652</v>
      </c>
      <c r="E89" s="7">
        <v>262525</v>
      </c>
      <c r="F89" s="7">
        <v>215064</v>
      </c>
      <c r="G89" s="7">
        <v>2013394</v>
      </c>
      <c r="H89" s="7">
        <v>3156339</v>
      </c>
      <c r="I89" s="7">
        <v>302394</v>
      </c>
      <c r="J89" s="7">
        <v>267116</v>
      </c>
      <c r="K89" s="7">
        <v>786575</v>
      </c>
      <c r="L89" s="7">
        <v>1081112</v>
      </c>
    </row>
    <row r="90" spans="1:12">
      <c r="A90" s="1">
        <v>2000</v>
      </c>
      <c r="B90" s="7">
        <v>8404782</v>
      </c>
      <c r="C90" s="7">
        <v>156399</v>
      </c>
      <c r="D90" s="7">
        <v>38154</v>
      </c>
      <c r="E90" s="7">
        <v>264401</v>
      </c>
      <c r="F90" s="7">
        <v>216426</v>
      </c>
      <c r="G90" s="7">
        <v>2026467</v>
      </c>
      <c r="H90" s="7">
        <v>3206755</v>
      </c>
      <c r="I90" s="7">
        <v>304214</v>
      </c>
      <c r="J90" s="7">
        <v>267955</v>
      </c>
      <c r="K90" s="7">
        <v>804786</v>
      </c>
      <c r="L90" s="7">
        <v>1094559</v>
      </c>
    </row>
    <row r="91" spans="1:12">
      <c r="A91" s="1">
        <v>2001</v>
      </c>
      <c r="B91" s="7">
        <v>8506264</v>
      </c>
      <c r="C91" s="7">
        <v>156124</v>
      </c>
      <c r="D91" s="7">
        <v>38656</v>
      </c>
      <c r="E91" s="7">
        <v>266276</v>
      </c>
      <c r="F91" s="7">
        <v>217789</v>
      </c>
      <c r="G91" s="7">
        <v>2039540</v>
      </c>
      <c r="H91" s="7">
        <v>3257171</v>
      </c>
      <c r="I91" s="7">
        <v>306034</v>
      </c>
      <c r="J91" s="7">
        <v>268795</v>
      </c>
      <c r="K91" s="7">
        <v>822998</v>
      </c>
      <c r="L91" s="7">
        <v>1108006</v>
      </c>
    </row>
    <row r="92" spans="1:12">
      <c r="A92" s="1">
        <v>2002</v>
      </c>
      <c r="B92" s="7">
        <v>8591348</v>
      </c>
      <c r="C92" s="7">
        <v>155902</v>
      </c>
      <c r="D92" s="7">
        <v>38956</v>
      </c>
      <c r="E92" s="7">
        <v>266351</v>
      </c>
      <c r="F92" s="7">
        <v>218037</v>
      </c>
      <c r="G92" s="7">
        <v>2056066</v>
      </c>
      <c r="H92" s="7">
        <v>3307776</v>
      </c>
      <c r="I92" s="7">
        <v>306029</v>
      </c>
      <c r="J92" s="7">
        <v>266778</v>
      </c>
      <c r="K92" s="7">
        <v>837945</v>
      </c>
      <c r="L92" s="7">
        <v>1112196</v>
      </c>
    </row>
    <row r="93" spans="1:12">
      <c r="A93" s="1">
        <v>2003</v>
      </c>
      <c r="B93" s="7">
        <v>8654995</v>
      </c>
      <c r="C93" s="7">
        <v>156744</v>
      </c>
      <c r="D93" s="7">
        <v>39378</v>
      </c>
      <c r="E93" s="7">
        <v>266637</v>
      </c>
      <c r="F93" s="7">
        <v>218674</v>
      </c>
      <c r="G93" s="7">
        <v>2072245</v>
      </c>
      <c r="H93" s="7">
        <v>3338352</v>
      </c>
      <c r="I93" s="7">
        <v>307074</v>
      </c>
      <c r="J93" s="7">
        <v>265865</v>
      </c>
      <c r="K93" s="7">
        <v>849712</v>
      </c>
      <c r="L93" s="7">
        <v>1114351</v>
      </c>
    </row>
    <row r="94" spans="1:12">
      <c r="A94" s="1">
        <v>2004</v>
      </c>
      <c r="B94" s="7">
        <v>8730582</v>
      </c>
      <c r="C94" s="7">
        <v>157123</v>
      </c>
      <c r="D94" s="7">
        <v>39753</v>
      </c>
      <c r="E94" s="7">
        <v>266751</v>
      </c>
      <c r="F94" s="7">
        <v>219251</v>
      </c>
      <c r="G94" s="7">
        <v>2090467</v>
      </c>
      <c r="H94" s="7">
        <v>3372831</v>
      </c>
      <c r="I94" s="7">
        <v>308211</v>
      </c>
      <c r="J94" s="7">
        <v>265506</v>
      </c>
      <c r="K94" s="7">
        <v>861977</v>
      </c>
      <c r="L94" s="7">
        <v>1122238</v>
      </c>
    </row>
    <row r="95" spans="1:12">
      <c r="A95" s="1">
        <v>2005</v>
      </c>
      <c r="B95" s="7">
        <v>8806111</v>
      </c>
      <c r="C95" s="7">
        <v>157154</v>
      </c>
      <c r="D95" s="7">
        <v>39998</v>
      </c>
      <c r="E95" s="7">
        <v>266384</v>
      </c>
      <c r="F95" s="7">
        <v>219335</v>
      </c>
      <c r="G95" s="7">
        <v>2108535</v>
      </c>
      <c r="H95" s="7">
        <v>3405417</v>
      </c>
      <c r="I95" s="7">
        <v>308259</v>
      </c>
      <c r="J95" s="7">
        <v>264192</v>
      </c>
      <c r="K95" s="7">
        <v>877915</v>
      </c>
      <c r="L95" s="7">
        <v>1132183</v>
      </c>
    </row>
    <row r="96" spans="1:12">
      <c r="A96" s="1">
        <v>2006</v>
      </c>
      <c r="B96" s="7">
        <v>8886162</v>
      </c>
      <c r="C96" s="7">
        <v>156454</v>
      </c>
      <c r="D96" s="7">
        <v>40180</v>
      </c>
      <c r="E96" s="7">
        <v>265653</v>
      </c>
      <c r="F96" s="7">
        <v>218700</v>
      </c>
      <c r="G96" s="7">
        <v>2126787</v>
      </c>
      <c r="H96" s="7">
        <v>3436878</v>
      </c>
      <c r="I96" s="7">
        <v>307823</v>
      </c>
      <c r="J96" s="7">
        <v>262035</v>
      </c>
      <c r="K96" s="7">
        <v>903024</v>
      </c>
      <c r="L96" s="7">
        <v>1141598</v>
      </c>
    </row>
    <row r="97" spans="2:2">
      <c r="B97" s="1" t="s">
        <v>129</v>
      </c>
    </row>
  </sheetData>
  <phoneticPr fontId="0" type="noConversion"/>
  <pageMargins left="0.35433070866141736" right="0.35433070866141736" top="0.59055118110236227" bottom="0.59055118110236227" header="0.51181102362204722" footer="0.51181102362204722"/>
  <pageSetup scale="68" orientation="landscape" r:id="rId1"/>
  <headerFooter alignWithMargins="0"/>
  <rowBreaks count="1" manualBreakCount="1">
    <brk id="55" max="16383" man="1"/>
  </rowBreaks>
  <colBreaks count="2" manualBreakCount="2">
    <brk id="17" max="1048575" man="1"/>
    <brk id="33" max="1048575" man="1"/>
  </colBreaks>
</worksheet>
</file>

<file path=xl/worksheets/sheet150.xml><?xml version="1.0" encoding="utf-8"?>
<worksheet xmlns="http://schemas.openxmlformats.org/spreadsheetml/2006/main" xmlns:r="http://schemas.openxmlformats.org/officeDocument/2006/relationships">
  <dimension ref="A1:Q49"/>
  <sheetViews>
    <sheetView workbookViewId="0">
      <selection activeCell="E9" sqref="E9"/>
    </sheetView>
  </sheetViews>
  <sheetFormatPr defaultRowHeight="12.75"/>
  <cols>
    <col min="1" max="1" width="15" style="618" bestFit="1" customWidth="1"/>
    <col min="2" max="4" width="9" style="618"/>
    <col min="5" max="5" width="9.5" style="618" customWidth="1"/>
    <col min="6" max="8" width="9" style="618"/>
    <col min="9" max="9" width="9.625" style="618" customWidth="1"/>
    <col min="10" max="12" width="9" style="618"/>
    <col min="13" max="13" width="9.75" style="618" customWidth="1"/>
    <col min="14" max="16" width="9" style="618"/>
    <col min="17" max="17" width="9.5" style="618" customWidth="1"/>
    <col min="18" max="16384" width="9" style="618"/>
  </cols>
  <sheetData>
    <row r="1" spans="1:17">
      <c r="A1" s="611" t="s">
        <v>1497</v>
      </c>
    </row>
    <row r="3" spans="1:17" s="620" customFormat="1">
      <c r="A3" s="619"/>
      <c r="B3" s="668" t="s">
        <v>1250</v>
      </c>
      <c r="C3" s="668"/>
      <c r="D3" s="668"/>
      <c r="E3" s="668"/>
      <c r="F3" s="668" t="s">
        <v>1251</v>
      </c>
      <c r="G3" s="668"/>
      <c r="H3" s="668"/>
      <c r="I3" s="668"/>
      <c r="J3" s="668" t="s">
        <v>1252</v>
      </c>
      <c r="K3" s="668"/>
      <c r="L3" s="668"/>
      <c r="M3" s="668"/>
      <c r="N3" s="668" t="s">
        <v>1253</v>
      </c>
      <c r="O3" s="668"/>
      <c r="P3" s="668"/>
      <c r="Q3" s="668"/>
    </row>
    <row r="4" spans="1:17" ht="33.75">
      <c r="A4" s="612"/>
      <c r="B4" s="612">
        <v>1981</v>
      </c>
      <c r="C4" s="612">
        <v>2010</v>
      </c>
      <c r="D4" s="621" t="s">
        <v>1489</v>
      </c>
      <c r="E4" s="621" t="s">
        <v>1490</v>
      </c>
      <c r="F4" s="612">
        <v>1981</v>
      </c>
      <c r="G4" s="612">
        <v>2010</v>
      </c>
      <c r="H4" s="621" t="s">
        <v>1489</v>
      </c>
      <c r="I4" s="621" t="s">
        <v>1490</v>
      </c>
      <c r="J4" s="612">
        <v>1981</v>
      </c>
      <c r="K4" s="612">
        <v>2010</v>
      </c>
      <c r="L4" s="621" t="s">
        <v>1489</v>
      </c>
      <c r="M4" s="621" t="s">
        <v>1490</v>
      </c>
      <c r="N4" s="612">
        <v>1981</v>
      </c>
      <c r="O4" s="612">
        <v>2010</v>
      </c>
      <c r="P4" s="621" t="s">
        <v>1489</v>
      </c>
      <c r="Q4" s="621" t="s">
        <v>1490</v>
      </c>
    </row>
    <row r="5" spans="1:17">
      <c r="A5" s="611" t="s">
        <v>321</v>
      </c>
      <c r="B5" s="615">
        <f>'Tab1'!B5</f>
        <v>0.44780458265691525</v>
      </c>
      <c r="C5" s="615">
        <f>'Tab1'!B34</f>
        <v>0.56162138366182712</v>
      </c>
      <c r="D5" s="615">
        <f>C5-B5</f>
        <v>0.11381680100491187</v>
      </c>
      <c r="E5" s="617">
        <f>100*(POWER(C5/B5,1/29)-1)</f>
        <v>0.78399169619405296</v>
      </c>
      <c r="F5" s="615">
        <f>'a31'!$H$19</f>
        <v>0.44965563875290226</v>
      </c>
      <c r="G5" s="615">
        <f>'a31'!$H$48</f>
        <v>0.6216526238021125</v>
      </c>
      <c r="H5" s="615">
        <f>G5-F5</f>
        <v>0.17199698504921024</v>
      </c>
      <c r="I5" s="617">
        <f>100*(POWER(G5/F5,1/29)-1)</f>
        <v>1.1231550754959851</v>
      </c>
      <c r="J5" s="615">
        <f>'a32'!$H$19</f>
        <v>0.38323868703715341</v>
      </c>
      <c r="K5" s="615">
        <f>'a32'!$H$48</f>
        <v>0.58552847243991757</v>
      </c>
      <c r="L5" s="615">
        <f>K5-J5</f>
        <v>0.20228978540276416</v>
      </c>
      <c r="M5" s="617">
        <f>100*(POWER(K5/J5,1/29)-1)</f>
        <v>1.4723084530938513</v>
      </c>
      <c r="N5" s="615">
        <f>'a33'!$H$19</f>
        <v>0.52447772861809816</v>
      </c>
      <c r="O5" s="615">
        <f>'a33'!$H$48</f>
        <v>0.55216678406145281</v>
      </c>
      <c r="P5" s="615">
        <f>O5-N5</f>
        <v>2.7689055443354649E-2</v>
      </c>
      <c r="Q5" s="617">
        <f>100*(POWER(O5/N5,1/29)-1)</f>
        <v>0.177561526066361</v>
      </c>
    </row>
    <row r="6" spans="1:17">
      <c r="A6" s="611" t="s">
        <v>370</v>
      </c>
      <c r="B6" s="615">
        <f>'Tab1'!C5</f>
        <v>0.27850604237112947</v>
      </c>
      <c r="C6" s="615">
        <f>'Tab1'!C34</f>
        <v>0.63856541411118495</v>
      </c>
      <c r="D6" s="615">
        <f t="shared" ref="D6:D15" si="0">C6-B6</f>
        <v>0.36005937174005548</v>
      </c>
      <c r="E6" s="617">
        <f t="shared" ref="E6:E15" si="1">100*(POWER(C6/B6,1/29)-1)</f>
        <v>2.9026545559239114</v>
      </c>
      <c r="F6" s="615">
        <f>'a31'!$P$19</f>
        <v>0.26487135852188343</v>
      </c>
      <c r="G6" s="615">
        <f>'a31'!$P$48</f>
        <v>0.63636759627983164</v>
      </c>
      <c r="H6" s="615">
        <f t="shared" ref="H6:H15" si="2">G6-F6</f>
        <v>0.37149623775794821</v>
      </c>
      <c r="I6" s="617">
        <f t="shared" ref="I6:I15" si="3">100*(POWER(G6/F6,1/29)-1)</f>
        <v>3.0686664982257472</v>
      </c>
      <c r="J6" s="615">
        <f>'a32'!$P$19</f>
        <v>0.2235555446033903</v>
      </c>
      <c r="K6" s="615">
        <f>'a32'!$P$48</f>
        <v>0.68792689800575291</v>
      </c>
      <c r="L6" s="615">
        <f t="shared" ref="L6:L15" si="4">K6-J6</f>
        <v>0.46437135340236257</v>
      </c>
      <c r="M6" s="617">
        <f t="shared" ref="M6:M15" si="5">100*(POWER(K6/J6,1/29)-1)</f>
        <v>3.9520347635062292</v>
      </c>
      <c r="N6" s="615">
        <f>'a33'!$P$19</f>
        <v>0.3353634259471287</v>
      </c>
      <c r="O6" s="615">
        <f>'a33'!$P$48</f>
        <v>0.57597285701473688</v>
      </c>
      <c r="P6" s="615">
        <f t="shared" ref="P6:P15" si="6">O6-N6</f>
        <v>0.24060943106760818</v>
      </c>
      <c r="Q6" s="617">
        <f t="shared" ref="Q6:Q15" si="7">100*(POWER(O6/N6,1/29)-1)</f>
        <v>1.8824847760179786</v>
      </c>
    </row>
    <row r="7" spans="1:17">
      <c r="A7" s="613" t="s">
        <v>371</v>
      </c>
      <c r="B7" s="615">
        <f>'Tab1'!D5</f>
        <v>0.29290615513228102</v>
      </c>
      <c r="C7" s="615">
        <f>'Tab1'!D34</f>
        <v>0.56836563021432185</v>
      </c>
      <c r="D7" s="615">
        <f t="shared" si="0"/>
        <v>0.27545947508204083</v>
      </c>
      <c r="E7" s="617">
        <f t="shared" si="1"/>
        <v>2.3122327656535102</v>
      </c>
      <c r="F7" s="615">
        <f>'a31'!$X$19</f>
        <v>0.3096814672396962</v>
      </c>
      <c r="G7" s="615">
        <f>'a31'!$X$48</f>
        <v>0.63795956586114211</v>
      </c>
      <c r="H7" s="615">
        <f t="shared" si="2"/>
        <v>0.32827809862144591</v>
      </c>
      <c r="I7" s="617">
        <f t="shared" si="3"/>
        <v>2.5234889600411758</v>
      </c>
      <c r="J7" s="615">
        <f>'a32'!$X$19</f>
        <v>0.2432144701689134</v>
      </c>
      <c r="K7" s="615">
        <f>'a32'!$X$48</f>
        <v>0.49582404872398894</v>
      </c>
      <c r="L7" s="615">
        <f t="shared" si="4"/>
        <v>0.25260957855507554</v>
      </c>
      <c r="M7" s="617">
        <f t="shared" si="5"/>
        <v>2.4865405513266214</v>
      </c>
      <c r="N7" s="615">
        <f>'a33'!$X$19</f>
        <v>0.35950196575603222</v>
      </c>
      <c r="O7" s="615">
        <f>'a33'!$X$48</f>
        <v>0.62884915758459781</v>
      </c>
      <c r="P7" s="615">
        <f t="shared" si="6"/>
        <v>0.26934719182856559</v>
      </c>
      <c r="Q7" s="617">
        <f t="shared" si="7"/>
        <v>1.9468879350416302</v>
      </c>
    </row>
    <row r="8" spans="1:17">
      <c r="A8" s="611" t="s">
        <v>372</v>
      </c>
      <c r="B8" s="615">
        <f>'Tab1'!E5</f>
        <v>0.38080016714420584</v>
      </c>
      <c r="C8" s="615">
        <f>'Tab1'!E34</f>
        <v>0.49889698445646014</v>
      </c>
      <c r="D8" s="615">
        <f t="shared" si="0"/>
        <v>0.1180968173122543</v>
      </c>
      <c r="E8" s="617">
        <f t="shared" si="1"/>
        <v>0.93581677047003264</v>
      </c>
      <c r="F8" s="615">
        <f>'a31'!$AF$19</f>
        <v>0.39442612127176396</v>
      </c>
      <c r="G8" s="615">
        <f>'a31'!$AF$48</f>
        <v>0.58363400041266256</v>
      </c>
      <c r="H8" s="615">
        <f t="shared" si="2"/>
        <v>0.18920787914089859</v>
      </c>
      <c r="I8" s="617">
        <f t="shared" si="3"/>
        <v>1.3603497732750602</v>
      </c>
      <c r="J8" s="615">
        <f>'a32'!$AF$19</f>
        <v>0.33288433783663102</v>
      </c>
      <c r="K8" s="615">
        <f>'a32'!$AF$48</f>
        <v>0.52041042297501694</v>
      </c>
      <c r="L8" s="615">
        <f t="shared" si="4"/>
        <v>0.18752608513838592</v>
      </c>
      <c r="M8" s="617">
        <f t="shared" si="5"/>
        <v>1.5526988856743751</v>
      </c>
      <c r="N8" s="615">
        <f>'a33'!$AF$19</f>
        <v>0.45857447960608544</v>
      </c>
      <c r="O8" s="615">
        <f>'a33'!$AF$48</f>
        <v>0.49512595215049238</v>
      </c>
      <c r="P8" s="615">
        <f t="shared" si="6"/>
        <v>3.6551472544406938E-2</v>
      </c>
      <c r="Q8" s="617">
        <f t="shared" si="7"/>
        <v>0.26479637689833524</v>
      </c>
    </row>
    <row r="9" spans="1:17">
      <c r="A9" s="611" t="s">
        <v>373</v>
      </c>
      <c r="B9" s="615">
        <f>'Tab1'!F5</f>
        <v>0.28130398038846005</v>
      </c>
      <c r="C9" s="615">
        <f>'Tab1'!F34</f>
        <v>0.50238519565860762</v>
      </c>
      <c r="D9" s="615">
        <f t="shared" si="0"/>
        <v>0.22108121527014757</v>
      </c>
      <c r="E9" s="617">
        <f t="shared" si="1"/>
        <v>2.0198922578372525</v>
      </c>
      <c r="F9" s="615">
        <f>'a31'!$AN$19</f>
        <v>0.27215508440267366</v>
      </c>
      <c r="G9" s="615">
        <f>'a31'!$AN$48</f>
        <v>0.56049599068524281</v>
      </c>
      <c r="H9" s="615">
        <f t="shared" si="2"/>
        <v>0.28834090628256914</v>
      </c>
      <c r="I9" s="617">
        <f t="shared" si="3"/>
        <v>2.5224968258065639</v>
      </c>
      <c r="J9" s="615">
        <f>'a32'!$AN$19</f>
        <v>0.25826072126570471</v>
      </c>
      <c r="K9" s="615">
        <f>'a32'!$AN$48</f>
        <v>0.49669635486416513</v>
      </c>
      <c r="L9" s="615">
        <f t="shared" si="4"/>
        <v>0.23843563359846043</v>
      </c>
      <c r="M9" s="617">
        <f t="shared" si="5"/>
        <v>2.2808263289727071</v>
      </c>
      <c r="N9" s="615">
        <f>'a33'!$AN$19</f>
        <v>0.33136689986878337</v>
      </c>
      <c r="O9" s="615">
        <f>'a33'!$AN$48</f>
        <v>0.512319553348066</v>
      </c>
      <c r="P9" s="615">
        <f t="shared" si="6"/>
        <v>0.18095265347928263</v>
      </c>
      <c r="Q9" s="617">
        <f t="shared" si="7"/>
        <v>1.5138349565568143</v>
      </c>
    </row>
    <row r="10" spans="1:17">
      <c r="A10" s="611" t="s">
        <v>374</v>
      </c>
      <c r="B10" s="615">
        <f>'Tab1'!G5</f>
        <v>0.3866258603521715</v>
      </c>
      <c r="C10" s="615">
        <f>'Tab1'!G34</f>
        <v>0.54971034428564569</v>
      </c>
      <c r="D10" s="615">
        <f t="shared" si="0"/>
        <v>0.16308448393347419</v>
      </c>
      <c r="E10" s="617">
        <f t="shared" si="1"/>
        <v>1.2209592291991145</v>
      </c>
      <c r="F10" s="615">
        <f>'a31'!$AV$19</f>
        <v>0.38487881728184953</v>
      </c>
      <c r="G10" s="615">
        <f>'a31'!$AV$48</f>
        <v>0.60861742984821054</v>
      </c>
      <c r="H10" s="615">
        <f t="shared" si="2"/>
        <v>0.22373861256636102</v>
      </c>
      <c r="I10" s="617">
        <f t="shared" si="3"/>
        <v>1.592762926589808</v>
      </c>
      <c r="J10" s="615">
        <f>'a32'!$AV$19</f>
        <v>0.31633454549472134</v>
      </c>
      <c r="K10" s="615">
        <f>'a32'!$AV$48</f>
        <v>0.54713560361456193</v>
      </c>
      <c r="L10" s="615">
        <f t="shared" si="4"/>
        <v>0.23080105811984059</v>
      </c>
      <c r="M10" s="617">
        <f t="shared" si="5"/>
        <v>1.907257861452738</v>
      </c>
      <c r="N10" s="615">
        <f>'a33'!$AV$19</f>
        <v>0.46493808028215533</v>
      </c>
      <c r="O10" s="615">
        <f>'a33'!$AV$48</f>
        <v>0.56374787743420596</v>
      </c>
      <c r="P10" s="615">
        <f t="shared" si="6"/>
        <v>9.8809797152050627E-2</v>
      </c>
      <c r="Q10" s="617">
        <f t="shared" si="7"/>
        <v>0.66670537421480436</v>
      </c>
    </row>
    <row r="11" spans="1:17">
      <c r="A11" s="611" t="s">
        <v>375</v>
      </c>
      <c r="B11" s="615">
        <f>'Tab1'!H5</f>
        <v>0.47965220498776856</v>
      </c>
      <c r="C11" s="615">
        <f>'Tab1'!H34</f>
        <v>0.53759246691193852</v>
      </c>
      <c r="D11" s="615">
        <f t="shared" si="0"/>
        <v>5.7940261924169956E-2</v>
      </c>
      <c r="E11" s="617">
        <f t="shared" si="1"/>
        <v>0.39401388566711049</v>
      </c>
      <c r="F11" s="615">
        <f>'a31'!$BD$19</f>
        <v>0.49181052036795314</v>
      </c>
      <c r="G11" s="615">
        <f>'a31'!$BD$48</f>
        <v>0.61591860357491335</v>
      </c>
      <c r="H11" s="615">
        <f t="shared" si="2"/>
        <v>0.12410808320696021</v>
      </c>
      <c r="I11" s="617">
        <f t="shared" si="3"/>
        <v>0.77895368652227681</v>
      </c>
      <c r="J11" s="615">
        <f>'a32'!$BD$19</f>
        <v>0.38529893857094177</v>
      </c>
      <c r="K11" s="615">
        <f>'a32'!$BD$48</f>
        <v>0.54940693065200408</v>
      </c>
      <c r="L11" s="615">
        <f t="shared" si="4"/>
        <v>0.1641079920810623</v>
      </c>
      <c r="M11" s="617">
        <f t="shared" si="5"/>
        <v>1.2310324558225894</v>
      </c>
      <c r="N11" s="615">
        <f>'a33'!$BD$19</f>
        <v>0.58480338825987921</v>
      </c>
      <c r="O11" s="615">
        <f>'a33'!$BD$48</f>
        <v>0.53814557057972578</v>
      </c>
      <c r="P11" s="615">
        <f t="shared" si="6"/>
        <v>-4.6657817680153424E-2</v>
      </c>
      <c r="Q11" s="617">
        <f t="shared" si="7"/>
        <v>-0.28630179126709621</v>
      </c>
    </row>
    <row r="12" spans="1:17">
      <c r="A12" s="611" t="s">
        <v>376</v>
      </c>
      <c r="B12" s="615">
        <f>'Tab1'!I5</f>
        <v>0.38852384641052429</v>
      </c>
      <c r="C12" s="615">
        <f>'Tab1'!I34</f>
        <v>0.56237817775561116</v>
      </c>
      <c r="D12" s="615">
        <f t="shared" si="0"/>
        <v>0.17385433134508688</v>
      </c>
      <c r="E12" s="617">
        <f t="shared" si="1"/>
        <v>1.2834072187437151</v>
      </c>
      <c r="F12" s="615">
        <f>'a31'!$BL$19</f>
        <v>0.38421143917849565</v>
      </c>
      <c r="G12" s="615">
        <f>'a31'!$BL$48</f>
        <v>0.6234569637691445</v>
      </c>
      <c r="H12" s="615">
        <f t="shared" si="2"/>
        <v>0.23924552459064885</v>
      </c>
      <c r="I12" s="617">
        <f t="shared" si="3"/>
        <v>1.6832746020821299</v>
      </c>
      <c r="J12" s="615">
        <f>'a32'!$BL$19</f>
        <v>0.35684770341683264</v>
      </c>
      <c r="K12" s="615">
        <f>'a32'!$BL$48</f>
        <v>0.55968815417487539</v>
      </c>
      <c r="L12" s="615">
        <f t="shared" si="4"/>
        <v>0.20284045075804275</v>
      </c>
      <c r="M12" s="617">
        <f t="shared" si="5"/>
        <v>1.5640733968878884</v>
      </c>
      <c r="N12" s="615">
        <f>'a33'!$BL$19</f>
        <v>0.44474625579475946</v>
      </c>
      <c r="O12" s="615">
        <f>'a33'!$BL$48</f>
        <v>0.57852636709578109</v>
      </c>
      <c r="P12" s="615">
        <f t="shared" si="6"/>
        <v>0.13378011130102163</v>
      </c>
      <c r="Q12" s="617">
        <f t="shared" si="7"/>
        <v>0.9109524765227528</v>
      </c>
    </row>
    <row r="13" spans="1:17">
      <c r="A13" s="611" t="s">
        <v>377</v>
      </c>
      <c r="B13" s="615">
        <f>'Tab1'!J5</f>
        <v>0.42000045746120829</v>
      </c>
      <c r="C13" s="615">
        <f>'Tab1'!J34</f>
        <v>0.61760886781323132</v>
      </c>
      <c r="D13" s="615">
        <f t="shared" si="0"/>
        <v>0.19760841035202303</v>
      </c>
      <c r="E13" s="617">
        <f t="shared" si="1"/>
        <v>1.3385328482346859</v>
      </c>
      <c r="F13" s="615">
        <f>'a31'!$BT$19</f>
        <v>0.40434912779132703</v>
      </c>
      <c r="G13" s="615">
        <f>'a31'!$BT$48</f>
        <v>0.63055580588262239</v>
      </c>
      <c r="H13" s="615">
        <f t="shared" si="2"/>
        <v>0.22620667809129535</v>
      </c>
      <c r="I13" s="617">
        <f t="shared" si="3"/>
        <v>1.5439457709529592</v>
      </c>
      <c r="J13" s="615">
        <f>'a32'!$BT$19</f>
        <v>0.4346450730588986</v>
      </c>
      <c r="K13" s="615">
        <f>'a32'!$BT$48</f>
        <v>0.64906375507587655</v>
      </c>
      <c r="L13" s="615">
        <f t="shared" si="4"/>
        <v>0.21441868201697795</v>
      </c>
      <c r="M13" s="617">
        <f t="shared" si="5"/>
        <v>1.3923670484641715</v>
      </c>
      <c r="N13" s="615">
        <f>'a33'!$BT$19</f>
        <v>0.44892457911302897</v>
      </c>
      <c r="O13" s="615">
        <f>'a33'!$BT$48</f>
        <v>0.59502203358955286</v>
      </c>
      <c r="P13" s="615">
        <f t="shared" si="6"/>
        <v>0.14609745447652389</v>
      </c>
      <c r="Q13" s="617">
        <f t="shared" si="7"/>
        <v>0.97626410815527809</v>
      </c>
    </row>
    <row r="14" spans="1:17">
      <c r="A14" s="611" t="s">
        <v>378</v>
      </c>
      <c r="B14" s="615">
        <f>'Tab1'!K5</f>
        <v>0.60195610498675134</v>
      </c>
      <c r="C14" s="615">
        <f>'Tab1'!K34</f>
        <v>0.73266148590496349</v>
      </c>
      <c r="D14" s="615">
        <f t="shared" si="0"/>
        <v>0.13070538091821216</v>
      </c>
      <c r="E14" s="617">
        <f t="shared" si="1"/>
        <v>0.67988440460025057</v>
      </c>
      <c r="F14" s="615">
        <f>'a31'!$CB$19</f>
        <v>0.57524952617237934</v>
      </c>
      <c r="G14" s="615">
        <f>'a31'!$CB$48</f>
        <v>0.74558136916894358</v>
      </c>
      <c r="H14" s="615">
        <f t="shared" si="2"/>
        <v>0.17033184299656423</v>
      </c>
      <c r="I14" s="617">
        <f t="shared" si="3"/>
        <v>0.89835732782650446</v>
      </c>
      <c r="J14" s="615">
        <f>'a32'!$CB$19</f>
        <v>0.56454969705117886</v>
      </c>
      <c r="K14" s="615">
        <f>'a32'!$CB$48</f>
        <v>0.78911347836548174</v>
      </c>
      <c r="L14" s="615">
        <f t="shared" si="4"/>
        <v>0.22456378131430288</v>
      </c>
      <c r="M14" s="617">
        <f t="shared" si="5"/>
        <v>1.1614576928219655</v>
      </c>
      <c r="N14" s="615">
        <f>'a33'!$CB$19</f>
        <v>0.63774865524784485</v>
      </c>
      <c r="O14" s="615">
        <f>'a33'!$CB$48</f>
        <v>0.67775084495693727</v>
      </c>
      <c r="P14" s="615">
        <f t="shared" si="6"/>
        <v>4.0002189709092417E-2</v>
      </c>
      <c r="Q14" s="617">
        <f t="shared" si="7"/>
        <v>0.20999772721366217</v>
      </c>
    </row>
    <row r="15" spans="1:17">
      <c r="A15" s="611" t="s">
        <v>379</v>
      </c>
      <c r="B15" s="615">
        <f>'Tab1'!L5</f>
        <v>0.48714717707506339</v>
      </c>
      <c r="C15" s="615">
        <f>'Tab1'!L34</f>
        <v>0.5439423494896477</v>
      </c>
      <c r="D15" s="615">
        <f t="shared" si="0"/>
        <v>5.6795172414584316E-2</v>
      </c>
      <c r="E15" s="617">
        <f t="shared" si="1"/>
        <v>0.38098936412638285</v>
      </c>
      <c r="F15" s="615">
        <f>'a31'!$CJ$19</f>
        <v>0.49565354529181876</v>
      </c>
      <c r="G15" s="615">
        <f>'a31'!$CJ$48</f>
        <v>0.60451874579566456</v>
      </c>
      <c r="H15" s="615">
        <f t="shared" si="2"/>
        <v>0.10886520050384579</v>
      </c>
      <c r="I15" s="617">
        <f t="shared" si="3"/>
        <v>0.68702337149553205</v>
      </c>
      <c r="J15" s="615">
        <f>'a32'!$CJ$19</f>
        <v>0.42937274399425202</v>
      </c>
      <c r="K15" s="615">
        <f>'a32'!$CJ$48</f>
        <v>0.61404832558718825</v>
      </c>
      <c r="L15" s="615">
        <f t="shared" si="4"/>
        <v>0.18467558159293623</v>
      </c>
      <c r="M15" s="617">
        <f t="shared" si="5"/>
        <v>1.2412549698845199</v>
      </c>
      <c r="N15" s="615">
        <f>'a33'!$CJ$19</f>
        <v>0.55167097247946029</v>
      </c>
      <c r="O15" s="615">
        <f>'a33'!$CJ$48</f>
        <v>0.50363841423347699</v>
      </c>
      <c r="P15" s="615">
        <f t="shared" si="6"/>
        <v>-4.8032558245983292E-2</v>
      </c>
      <c r="Q15" s="617">
        <f t="shared" si="7"/>
        <v>-0.31362174768404527</v>
      </c>
    </row>
    <row r="17" spans="1:1">
      <c r="A17" s="611" t="s">
        <v>1496</v>
      </c>
    </row>
    <row r="18" spans="1:1">
      <c r="A18" s="611" t="s">
        <v>1495</v>
      </c>
    </row>
    <row r="19" spans="1:1">
      <c r="A19" s="611" t="s">
        <v>1491</v>
      </c>
    </row>
    <row r="20" spans="1:1">
      <c r="A20" s="611" t="s">
        <v>1492</v>
      </c>
    </row>
    <row r="21" spans="1:1">
      <c r="A21" s="611" t="s">
        <v>1493</v>
      </c>
    </row>
    <row r="22" spans="1:1">
      <c r="A22" s="611" t="s">
        <v>1494</v>
      </c>
    </row>
    <row r="36" spans="2:12">
      <c r="B36" s="622"/>
      <c r="C36" s="622"/>
      <c r="D36" s="622"/>
      <c r="E36" s="622"/>
      <c r="F36" s="622"/>
      <c r="G36" s="622"/>
      <c r="H36" s="622"/>
      <c r="I36" s="622"/>
      <c r="J36" s="622"/>
      <c r="K36" s="622"/>
      <c r="L36" s="622"/>
    </row>
    <row r="37" spans="2:12">
      <c r="B37" s="622"/>
      <c r="C37" s="622"/>
      <c r="D37" s="622"/>
      <c r="E37" s="622"/>
      <c r="F37" s="622"/>
      <c r="G37" s="622"/>
      <c r="H37" s="622"/>
      <c r="I37" s="622"/>
      <c r="J37" s="622"/>
      <c r="K37" s="622"/>
      <c r="L37" s="622"/>
    </row>
    <row r="38" spans="2:12">
      <c r="B38" s="622"/>
      <c r="C38" s="622"/>
      <c r="D38" s="622"/>
      <c r="E38" s="622"/>
      <c r="F38" s="622"/>
      <c r="G38" s="622"/>
      <c r="H38" s="622"/>
      <c r="I38" s="622"/>
      <c r="J38" s="622"/>
      <c r="K38" s="622"/>
      <c r="L38" s="622"/>
    </row>
    <row r="39" spans="2:12">
      <c r="B39" s="622"/>
      <c r="C39" s="622"/>
      <c r="D39" s="622"/>
      <c r="E39" s="622"/>
      <c r="F39" s="622"/>
      <c r="G39" s="622"/>
      <c r="H39" s="622"/>
      <c r="I39" s="622"/>
      <c r="J39" s="622"/>
      <c r="K39" s="622"/>
      <c r="L39" s="622"/>
    </row>
    <row r="41" spans="2:12">
      <c r="B41" s="623"/>
      <c r="C41" s="623"/>
      <c r="D41" s="623"/>
      <c r="E41" s="623"/>
      <c r="F41" s="623"/>
      <c r="G41" s="623"/>
      <c r="H41" s="623"/>
      <c r="I41" s="623"/>
      <c r="J41" s="623"/>
      <c r="K41" s="623"/>
      <c r="L41" s="623"/>
    </row>
    <row r="42" spans="2:12">
      <c r="B42" s="623"/>
      <c r="C42" s="623"/>
      <c r="D42" s="623"/>
      <c r="E42" s="623"/>
      <c r="F42" s="623"/>
      <c r="G42" s="623"/>
      <c r="H42" s="623"/>
      <c r="I42" s="623"/>
      <c r="J42" s="623"/>
      <c r="K42" s="623"/>
      <c r="L42" s="623"/>
    </row>
    <row r="43" spans="2:12">
      <c r="B43" s="623"/>
      <c r="C43" s="623"/>
      <c r="D43" s="623"/>
      <c r="E43" s="623"/>
      <c r="F43" s="623"/>
      <c r="G43" s="623"/>
      <c r="H43" s="623"/>
      <c r="I43" s="623"/>
      <c r="J43" s="623"/>
      <c r="K43" s="623"/>
      <c r="L43" s="623"/>
    </row>
    <row r="44" spans="2:12">
      <c r="B44" s="623"/>
      <c r="C44" s="623"/>
      <c r="D44" s="623"/>
      <c r="E44" s="623"/>
      <c r="F44" s="623"/>
      <c r="G44" s="623"/>
      <c r="H44" s="623"/>
      <c r="I44" s="623"/>
      <c r="J44" s="623"/>
      <c r="K44" s="623"/>
      <c r="L44" s="623"/>
    </row>
    <row r="46" spans="2:12">
      <c r="B46" s="624"/>
      <c r="C46" s="624"/>
      <c r="D46" s="624"/>
      <c r="E46" s="624"/>
      <c r="F46" s="624"/>
      <c r="G46" s="624"/>
      <c r="H46" s="624"/>
      <c r="I46" s="624"/>
      <c r="J46" s="624"/>
      <c r="K46" s="624"/>
      <c r="L46" s="624"/>
    </row>
    <row r="47" spans="2:12">
      <c r="B47" s="624"/>
      <c r="C47" s="624"/>
      <c r="D47" s="624"/>
      <c r="E47" s="624"/>
      <c r="F47" s="624"/>
      <c r="G47" s="624"/>
      <c r="H47" s="624"/>
      <c r="I47" s="624"/>
      <c r="J47" s="624"/>
      <c r="K47" s="624"/>
      <c r="L47" s="624"/>
    </row>
    <row r="48" spans="2:12">
      <c r="B48" s="624"/>
      <c r="C48" s="624"/>
      <c r="D48" s="624"/>
      <c r="E48" s="624"/>
      <c r="F48" s="624"/>
      <c r="G48" s="624"/>
      <c r="H48" s="624"/>
      <c r="I48" s="624"/>
      <c r="J48" s="624"/>
      <c r="K48" s="624"/>
      <c r="L48" s="624"/>
    </row>
    <row r="49" spans="2:12">
      <c r="B49" s="624"/>
      <c r="C49" s="624"/>
      <c r="D49" s="624"/>
      <c r="E49" s="624"/>
      <c r="F49" s="624"/>
      <c r="G49" s="624"/>
      <c r="H49" s="624"/>
      <c r="I49" s="624"/>
      <c r="J49" s="624"/>
      <c r="K49" s="624"/>
      <c r="L49" s="624"/>
    </row>
  </sheetData>
  <mergeCells count="4">
    <mergeCell ref="B3:E3"/>
    <mergeCell ref="F3:I3"/>
    <mergeCell ref="J3:M3"/>
    <mergeCell ref="N3:Q3"/>
  </mergeCells>
  <pageMargins left="0.7" right="0.7" top="0.75" bottom="0.75" header="0.3" footer="0.3"/>
</worksheet>
</file>

<file path=xl/worksheets/sheet151.xml><?xml version="1.0" encoding="utf-8"?>
<worksheet xmlns="http://schemas.openxmlformats.org/spreadsheetml/2006/main" xmlns:r="http://schemas.openxmlformats.org/officeDocument/2006/relationships">
  <dimension ref="A1:A39"/>
  <sheetViews>
    <sheetView topLeftCell="A18" workbookViewId="0">
      <selection activeCell="E9" sqref="E9"/>
    </sheetView>
  </sheetViews>
  <sheetFormatPr defaultRowHeight="12.75"/>
  <sheetData>
    <row r="1" spans="1:1">
      <c r="A1" s="611" t="s">
        <v>1566</v>
      </c>
    </row>
    <row r="2" spans="1:1">
      <c r="A2" s="611"/>
    </row>
    <row r="3" spans="1:1">
      <c r="A3" s="611" t="str">
        <f>TabA1!A1</f>
        <v>Appendix Table 1: Personal Consumption Per Capita, Canada and the Provinces, $2002, 1981-2010</v>
      </c>
    </row>
    <row r="4" spans="1:1">
      <c r="A4" s="611" t="str">
        <f>TabA2!A1</f>
        <v>Appendix Table 2: Average Family Size, Canada and the Provinces, Persons, 1981-2010</v>
      </c>
    </row>
    <row r="5" spans="1:1">
      <c r="A5" s="611" t="str">
        <f>TabA3!A1</f>
        <v>Appendix Table 3: Per-capita Government Expenditures on Final Goods and Services, Canada and the Provinces, $2002, 1981-2010</v>
      </c>
    </row>
    <row r="6" spans="1:1">
      <c r="A6" s="611" t="str">
        <f>TabA4!A1</f>
        <v>Appendix Table 4: Average Life Expectancy at Birth in the Total Population, Canada and the Provinces, Years, 1981-2010</v>
      </c>
    </row>
    <row r="7" spans="1:1">
      <c r="A7" s="611" t="str">
        <f>TabA5!A1</f>
        <v>Appendix Table 5: Per-capita Value of Unpaid Work, Canada and the Provinces, $2002, 1981-2010</v>
      </c>
    </row>
    <row r="8" spans="1:1">
      <c r="A8" s="611" t="str">
        <f>TabA6!A1</f>
        <v>Appendix Table 6: Per-capita Regrettable Expenditures, Canada and the Provinces, $2002, 1981-2010</v>
      </c>
    </row>
    <row r="9" spans="1:1">
      <c r="A9" s="611" t="str">
        <f>TabA7!A1</f>
        <v>Appendix Table 7: Net Capital Stock Per Capita, Canada and the Provinces, $2002, 1981-2010</v>
      </c>
    </row>
    <row r="10" spans="1:1">
      <c r="A10" s="611" t="str">
        <f>TabA8!A1</f>
        <v>Appendix Table 8: Per-capita R&amp;D Stock, Canada and the Provinces, $2002, 1981-2010</v>
      </c>
    </row>
    <row r="11" spans="1:1">
      <c r="A11" s="611" t="str">
        <f>TabA9!A1</f>
        <v>Appendix Table 9: Per-capita Stock of Natural Resources, Canada and the Provinces, $2002, 1981-2010</v>
      </c>
    </row>
    <row r="12" spans="1:1">
      <c r="A12" s="611" t="str">
        <f>TabA10!A1</f>
        <v>Appendix Table 10: Per-capita Net International Investment Position, Canada and the Provinces, $2002, 1981-2010</v>
      </c>
    </row>
    <row r="13" spans="1:1">
      <c r="A13" s="611" t="str">
        <f>TabA11!A1</f>
        <v>Appendix Table 11: Per-capita Human Capital Stock, Canada and the Provinces, $2002, 1981-2010</v>
      </c>
    </row>
    <row r="14" spans="1:1">
      <c r="A14" s="611" t="str">
        <f>TabA12!A1</f>
        <v>Appendix Table 12: Per-capita Social Costs of Greenhouse Gas Emissions, Canada and the Provinces, $2002, 1981-2010</v>
      </c>
    </row>
    <row r="15" spans="1:1">
      <c r="A15" s="611" t="str">
        <f>TabA12a!A1</f>
        <v>Appendix Table 12a: Total Greenhouse Gas Emissions, Canada and the Provinces, Millions of Tonnes of Carbon Dioxide-Equivalent, 1981-2010</v>
      </c>
    </row>
    <row r="16" spans="1:1">
      <c r="A16" s="611" t="str">
        <f>TabA13!A1</f>
        <v>Appendix Table 13: Gini Coefficient, Canada and the Provinces, 1981-2010</v>
      </c>
    </row>
    <row r="17" spans="1:1">
      <c r="A17" s="611" t="str">
        <f>TabA14!A1</f>
        <v>Appendix Table 14: Poverty Rate, Canada and the Provinces, per cent, 1981-2010</v>
      </c>
    </row>
    <row r="18" spans="1:1">
      <c r="A18" s="611" t="str">
        <f>TabA15!A1</f>
        <v>Appendix Table 15: Poverty Gap, Canada and the Provinces, 1981-2010</v>
      </c>
    </row>
    <row r="19" spans="1:1">
      <c r="A19" s="611" t="str">
        <f>TabA16!A1</f>
        <v>Appendix Table 16: Poverty Intensity, Canada and the Provinces, 1981-2010</v>
      </c>
    </row>
    <row r="20" spans="1:1">
      <c r="A20" s="611" t="str">
        <f>TabA17!A1</f>
        <v>Appendix Table 17: Unemployment Rate, Canada and the Provinces, per cent, 1981-2010</v>
      </c>
    </row>
    <row r="21" spans="1:1">
      <c r="A21" s="611" t="str">
        <f>TabA18!A1</f>
        <v>Appendix Table 18: Employment Insurance Coverage Rate, Canada and the Provinces, per cent, 1981-2010</v>
      </c>
    </row>
    <row r="22" spans="1:1">
      <c r="A22" s="611" t="str">
        <f>TabA19!A1</f>
        <v>Appendix Table 19: Average Proportion of Earnings Replaced by Employment Insurance Benefits, Canada and the Provinces, per cent, 1981-2010</v>
      </c>
    </row>
    <row r="23" spans="1:1">
      <c r="A23" s="611" t="str">
        <f>TabA20!A1</f>
        <v>Appendix Table 20: Index of the 'Security from the Risk of Unemployment' Component, Canada and the Provinces, 1981-2010</v>
      </c>
    </row>
    <row r="24" spans="1:1">
      <c r="A24" s="611" t="str">
        <f>TabA21!A1</f>
        <v>Appendix Table 21: Private Medical Expenses as a Proportion of Disposable Income, Canada and the Provinces, per cent, 1981-2010</v>
      </c>
    </row>
    <row r="25" spans="1:1">
      <c r="A25" s="611" t="str">
        <f>TabA22!A1</f>
        <v>Appendix Table 22: Index of the 'Financial Security from the Risk of Illness' Component, Canada and the Provinces, 1981-2010</v>
      </c>
    </row>
    <row r="26" spans="1:1">
      <c r="A26" s="611" t="str">
        <f>TabA23!A1</f>
        <v>Appendix Table 23: Divorce Rate, Canada and the Provinces, per cent, 1981-2010</v>
      </c>
    </row>
    <row r="27" spans="1:1">
      <c r="A27" s="611" t="str">
        <f>TabA24!A1</f>
        <v>Appendix Table 24: Poverty Rate for Single-Parent Families, Canada and the Provinces, per cent, 1981-2010</v>
      </c>
    </row>
    <row r="28" spans="1:1">
      <c r="A28" s="611" t="str">
        <f>TabA25!A1</f>
        <v>Appendix Table 25: Poverty Gap for Single-Parent Families, Canada and the Provinces, 1981-2010</v>
      </c>
    </row>
    <row r="29" spans="1:1">
      <c r="A29" s="611" t="str">
        <f>TabA26!A1</f>
        <v>Appendix Table 26: Index of the 'Security from Single-Parent Poverty' Component, Canada and the Provinces, 1981-2010</v>
      </c>
    </row>
    <row r="30" spans="1:1">
      <c r="A30" s="611" t="str">
        <f>TabA27!A1</f>
        <v>Appendix Table 27: Poverty Rate for Elderly Families, Canada and the Provinces, per cent, 1981-2010</v>
      </c>
    </row>
    <row r="31" spans="1:1">
      <c r="A31" s="611" t="str">
        <f>TabA28!A1</f>
        <v>Appendix Table 28: Poverty Gap for Elderly Families, Canada and the Provinces, 1981-2010</v>
      </c>
    </row>
    <row r="32" spans="1:1">
      <c r="A32" s="611" t="str">
        <f>TabA29!A1</f>
        <v>Appendix Table 29: Index of the 'Security from Poverty in Old Age' Component, Canada and the Provinces, 1981-2010</v>
      </c>
    </row>
    <row r="33" spans="1:1">
      <c r="A33" s="611" t="str">
        <f>TabA30!A1</f>
        <v>Appendix Table 30: Population Patterns Used to Calculate the Weights for the Index of Security, Canada and the Provinces, 1981-2010</v>
      </c>
    </row>
    <row r="34" spans="1:1">
      <c r="A34" s="611" t="str">
        <f>TabA31!A1</f>
        <v>Appendix Table 31: Overall Index of Economic Well-being under Alternative Weighting Schemes, Canada and the Provinces, 1981-2010 --- Alternative 1</v>
      </c>
    </row>
    <row r="35" spans="1:1">
      <c r="A35" s="611" t="str">
        <f>TabA32!A1</f>
        <v>Appendix Table 32: Overall Index of Economic Well-being under Alternative Weighting Schemes, Canada and the Provinces, 1981-2010 --- Alternative 2</v>
      </c>
    </row>
    <row r="36" spans="1:1">
      <c r="A36" s="611" t="str">
        <f>TabA33!A1</f>
        <v>Appendix Table 33: Overall Index of Economic Well-being under Alternative Weighting Schemes, Canada and the Provinces, 1981-2010 --- Alternative 3</v>
      </c>
    </row>
    <row r="39" spans="1:1">
      <c r="A39" s="206"/>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dimension ref="A1:L46"/>
  <sheetViews>
    <sheetView topLeftCell="A21" workbookViewId="0">
      <selection activeCell="E9" sqref="E9"/>
    </sheetView>
  </sheetViews>
  <sheetFormatPr defaultRowHeight="12.75"/>
  <cols>
    <col min="1" max="16384" width="9" style="618"/>
  </cols>
  <sheetData>
    <row r="1" spans="1:12">
      <c r="A1" s="611" t="s">
        <v>1502</v>
      </c>
    </row>
    <row r="3" spans="1:12">
      <c r="A3" s="611"/>
      <c r="B3" s="611"/>
      <c r="C3" s="611"/>
      <c r="D3" s="613" t="s">
        <v>1479</v>
      </c>
      <c r="E3" s="611"/>
      <c r="F3" s="611"/>
      <c r="G3" s="611"/>
      <c r="H3" s="611"/>
      <c r="I3" s="611"/>
      <c r="J3" s="611"/>
      <c r="K3" s="611"/>
      <c r="L3" s="611"/>
    </row>
    <row r="4" spans="1:12">
      <c r="A4" s="611"/>
      <c r="B4" s="612" t="s">
        <v>321</v>
      </c>
      <c r="C4" s="612" t="s">
        <v>370</v>
      </c>
      <c r="D4" s="613" t="s">
        <v>1480</v>
      </c>
      <c r="E4" s="612" t="s">
        <v>372</v>
      </c>
      <c r="F4" s="612" t="s">
        <v>373</v>
      </c>
      <c r="G4" s="612" t="s">
        <v>374</v>
      </c>
      <c r="H4" s="612" t="s">
        <v>375</v>
      </c>
      <c r="I4" s="612" t="s">
        <v>376</v>
      </c>
      <c r="J4" s="612" t="s">
        <v>377</v>
      </c>
      <c r="K4" s="612" t="s">
        <v>378</v>
      </c>
      <c r="L4" s="612" t="s">
        <v>379</v>
      </c>
    </row>
    <row r="5" spans="1:12">
      <c r="A5" s="611">
        <v>1981</v>
      </c>
      <c r="B5" s="625">
        <f>'a1'!G19</f>
        <v>14849.083890899707</v>
      </c>
      <c r="C5" s="625">
        <f>'a1'!M19</f>
        <v>10170.31054993725</v>
      </c>
      <c r="D5" s="625">
        <f>'a1'!S19</f>
        <v>11873.639225906711</v>
      </c>
      <c r="E5" s="625">
        <f>'a1'!Y19</f>
        <v>12968.038452585244</v>
      </c>
      <c r="F5" s="625">
        <f>'a1'!AE19</f>
        <v>11328.665785249377</v>
      </c>
      <c r="G5" s="625">
        <f>'a1'!AK19</f>
        <v>12937.272336127451</v>
      </c>
      <c r="H5" s="625">
        <f>'a1'!AQ19</f>
        <v>15700.239415742975</v>
      </c>
      <c r="I5" s="625">
        <f>'a1'!AW19</f>
        <v>14411.734883563728</v>
      </c>
      <c r="J5" s="625">
        <f>'a1'!BC19</f>
        <v>13641.688162753302</v>
      </c>
      <c r="K5" s="625">
        <f>'a1'!BI19</f>
        <v>17319.597888179673</v>
      </c>
      <c r="L5" s="625">
        <f>'a1'!BO19</f>
        <v>17371.304604398705</v>
      </c>
    </row>
    <row r="6" spans="1:12">
      <c r="A6" s="611">
        <f t="shared" ref="A6:A34" si="0">A5+1</f>
        <v>1982</v>
      </c>
      <c r="B6" s="625">
        <f>'a1'!G20</f>
        <v>14311.933355581265</v>
      </c>
      <c r="C6" s="625">
        <f>'a1'!M20</f>
        <v>10115.110797410225</v>
      </c>
      <c r="D6" s="625">
        <f>'a1'!S20</f>
        <v>11700.165064569375</v>
      </c>
      <c r="E6" s="625">
        <f>'a1'!Y20</f>
        <v>12708.401723788704</v>
      </c>
      <c r="F6" s="625">
        <f>'a1'!AE20</f>
        <v>11176.651019072537</v>
      </c>
      <c r="G6" s="625">
        <f>'a1'!AK20</f>
        <v>12419.477706621143</v>
      </c>
      <c r="H6" s="625">
        <f>'a1'!AQ20</f>
        <v>15212.513317955654</v>
      </c>
      <c r="I6" s="625">
        <f>'a1'!AW20</f>
        <v>14304.11088914912</v>
      </c>
      <c r="J6" s="625">
        <f>'a1'!BC20</f>
        <v>13454.53292275756</v>
      </c>
      <c r="K6" s="625">
        <f>'a1'!BI20</f>
        <v>16564.922249598811</v>
      </c>
      <c r="L6" s="625">
        <f>'a1'!BO20</f>
        <v>16132.727368171116</v>
      </c>
    </row>
    <row r="7" spans="1:12">
      <c r="A7" s="611">
        <f t="shared" si="0"/>
        <v>1983</v>
      </c>
      <c r="B7" s="625">
        <f>'a1'!G21</f>
        <v>14573.776993872734</v>
      </c>
      <c r="C7" s="625">
        <f>'a1'!M21</f>
        <v>10235.442810671933</v>
      </c>
      <c r="D7" s="625">
        <f>'a1'!S21</f>
        <v>12142.092052884846</v>
      </c>
      <c r="E7" s="625">
        <f>'a1'!Y21</f>
        <v>13181.095234420798</v>
      </c>
      <c r="F7" s="625">
        <f>'a1'!AE21</f>
        <v>11608.159565330521</v>
      </c>
      <c r="G7" s="625">
        <f>'a1'!AK21</f>
        <v>12798.774370829153</v>
      </c>
      <c r="H7" s="625">
        <f>'a1'!AQ21</f>
        <v>15599.093053603028</v>
      </c>
      <c r="I7" s="625">
        <f>'a1'!AW21</f>
        <v>14263.714529437077</v>
      </c>
      <c r="J7" s="625">
        <f>'a1'!BC21</f>
        <v>13663.933746750308</v>
      </c>
      <c r="K7" s="625">
        <f>'a1'!BI21</f>
        <v>16461.068680603628</v>
      </c>
      <c r="L7" s="625">
        <f>'a1'!BO21</f>
        <v>16063.273559227131</v>
      </c>
    </row>
    <row r="8" spans="1:12">
      <c r="A8" s="611">
        <f t="shared" si="0"/>
        <v>1984</v>
      </c>
      <c r="B8" s="625">
        <f>'a1'!G22</f>
        <v>15082.719592918404</v>
      </c>
      <c r="C8" s="625">
        <f>'a1'!M22</f>
        <v>10686.73338332773</v>
      </c>
      <c r="D8" s="625">
        <f>'a1'!S22</f>
        <v>12728.838602119104</v>
      </c>
      <c r="E8" s="625">
        <f>'a1'!Y22</f>
        <v>13838.633983345318</v>
      </c>
      <c r="F8" s="625">
        <f>'a1'!AE22</f>
        <v>12069.597272959438</v>
      </c>
      <c r="G8" s="625">
        <f>'a1'!AK22</f>
        <v>13427.544252792095</v>
      </c>
      <c r="H8" s="625">
        <f>'a1'!AQ22</f>
        <v>16145.433141743144</v>
      </c>
      <c r="I8" s="625">
        <f>'a1'!AW22</f>
        <v>15030.649088924343</v>
      </c>
      <c r="J8" s="625">
        <f>'a1'!BC22</f>
        <v>13993.48521360319</v>
      </c>
      <c r="K8" s="625">
        <f>'a1'!BI22</f>
        <v>16672.32686984081</v>
      </c>
      <c r="L8" s="625">
        <f>'a1'!BO22</f>
        <v>16337.306734808619</v>
      </c>
    </row>
    <row r="9" spans="1:12">
      <c r="A9" s="611">
        <f t="shared" si="0"/>
        <v>1985</v>
      </c>
      <c r="B9" s="625">
        <f>'a1'!G23</f>
        <v>15723.712408070609</v>
      </c>
      <c r="C9" s="625">
        <f>'a1'!M23</f>
        <v>11055.198308230116</v>
      </c>
      <c r="D9" s="625">
        <f>'a1'!S23</f>
        <v>12850.751063713084</v>
      </c>
      <c r="E9" s="625">
        <f>'a1'!Y23</f>
        <v>14313.968084818163</v>
      </c>
      <c r="F9" s="625">
        <f>'a1'!AE23</f>
        <v>12522.00025715933</v>
      </c>
      <c r="G9" s="625">
        <f>'a1'!AK23</f>
        <v>14057.273228337715</v>
      </c>
      <c r="H9" s="625">
        <f>'a1'!AQ23</f>
        <v>16875.932054297431</v>
      </c>
      <c r="I9" s="625">
        <f>'a1'!AW23</f>
        <v>15528.940087483083</v>
      </c>
      <c r="J9" s="625">
        <f>'a1'!BC23</f>
        <v>14240.02466514721</v>
      </c>
      <c r="K9" s="625">
        <f>'a1'!BI23</f>
        <v>17567.134818610182</v>
      </c>
      <c r="L9" s="625">
        <f>'a1'!BO23</f>
        <v>16868.500916430236</v>
      </c>
    </row>
    <row r="10" spans="1:12">
      <c r="A10" s="611">
        <f t="shared" si="0"/>
        <v>1986</v>
      </c>
      <c r="B10" s="625">
        <f>'a1'!G24</f>
        <v>16189.176222567437</v>
      </c>
      <c r="C10" s="625">
        <f>'a1'!M24</f>
        <v>11492.158679590357</v>
      </c>
      <c r="D10" s="625">
        <f>'a1'!S24</f>
        <v>13290.66616836401</v>
      </c>
      <c r="E10" s="625">
        <f>'a1'!Y24</f>
        <v>14754.461599371039</v>
      </c>
      <c r="F10" s="625">
        <f>'a1'!AE24</f>
        <v>13031.382625834633</v>
      </c>
      <c r="G10" s="625">
        <f>'a1'!AK24</f>
        <v>14502.613976688128</v>
      </c>
      <c r="H10" s="625">
        <f>'a1'!AQ24</f>
        <v>17530.11621153757</v>
      </c>
      <c r="I10" s="625">
        <f>'a1'!AW24</f>
        <v>15790.360880654334</v>
      </c>
      <c r="J10" s="625">
        <f>'a1'!BC24</f>
        <v>14696.947751422404</v>
      </c>
      <c r="K10" s="625">
        <f>'a1'!BI24</f>
        <v>17641.691294036409</v>
      </c>
      <c r="L10" s="625">
        <f>'a1'!BO24</f>
        <v>17161.619258887855</v>
      </c>
    </row>
    <row r="11" spans="1:12">
      <c r="A11" s="611">
        <f t="shared" si="0"/>
        <v>1987</v>
      </c>
      <c r="B11" s="625">
        <f>'a1'!G25</f>
        <v>16642.403309219208</v>
      </c>
      <c r="C11" s="625">
        <f>'a1'!M25</f>
        <v>11987.99809471492</v>
      </c>
      <c r="D11" s="625">
        <f>'a1'!S25</f>
        <v>13720.353542027813</v>
      </c>
      <c r="E11" s="625">
        <f>'a1'!Y25</f>
        <v>15135.30571638955</v>
      </c>
      <c r="F11" s="625">
        <f>'a1'!AE25</f>
        <v>13421.859713535083</v>
      </c>
      <c r="G11" s="625">
        <f>'a1'!AK25</f>
        <v>14877.357422252839</v>
      </c>
      <c r="H11" s="625">
        <f>'a1'!AQ25</f>
        <v>18050.42464965301</v>
      </c>
      <c r="I11" s="625">
        <f>'a1'!AW25</f>
        <v>15945.40288226313</v>
      </c>
      <c r="J11" s="625">
        <f>'a1'!BC25</f>
        <v>14957.411848772123</v>
      </c>
      <c r="K11" s="625">
        <f>'a1'!BI25</f>
        <v>17966.493190767091</v>
      </c>
      <c r="L11" s="625">
        <f>'a1'!BO25</f>
        <v>17832.477380979326</v>
      </c>
    </row>
    <row r="12" spans="1:12">
      <c r="A12" s="611">
        <f t="shared" si="0"/>
        <v>1988</v>
      </c>
      <c r="B12" s="625">
        <f>'a1'!G26</f>
        <v>17147.444696308903</v>
      </c>
      <c r="C12" s="625">
        <f>'a1'!M26</f>
        <v>12549.958085644421</v>
      </c>
      <c r="D12" s="625">
        <f>'a1'!S26</f>
        <v>14069.255698473962</v>
      </c>
      <c r="E12" s="625">
        <f>'a1'!Y26</f>
        <v>15538.064412582924</v>
      </c>
      <c r="F12" s="625">
        <f>'a1'!AE26</f>
        <v>13886.511790938304</v>
      </c>
      <c r="G12" s="625">
        <f>'a1'!AK26</f>
        <v>15289.721031370569</v>
      </c>
      <c r="H12" s="625">
        <f>'a1'!AQ26</f>
        <v>18635.133789088308</v>
      </c>
      <c r="I12" s="625">
        <f>'a1'!AW26</f>
        <v>16220.993111657921</v>
      </c>
      <c r="J12" s="625">
        <f>'a1'!BC26</f>
        <v>15182.474652921297</v>
      </c>
      <c r="K12" s="625">
        <f>'a1'!BI26</f>
        <v>18537.303784802985</v>
      </c>
      <c r="L12" s="625">
        <f>'a1'!BO26</f>
        <v>18351.006706453561</v>
      </c>
    </row>
    <row r="13" spans="1:12">
      <c r="A13" s="611">
        <f t="shared" si="0"/>
        <v>1989</v>
      </c>
      <c r="B13" s="625">
        <f>'a1'!G27</f>
        <v>17441.354241909998</v>
      </c>
      <c r="C13" s="625">
        <f>'a1'!M27</f>
        <v>12845.351061744754</v>
      </c>
      <c r="D13" s="625">
        <f>'a1'!S27</f>
        <v>14183.307338286479</v>
      </c>
      <c r="E13" s="625">
        <f>'a1'!Y27</f>
        <v>15707.408714585861</v>
      </c>
      <c r="F13" s="625">
        <f>'a1'!AE27</f>
        <v>14077.801311062412</v>
      </c>
      <c r="G13" s="625">
        <f>'a1'!AK27</f>
        <v>15471.194178649117</v>
      </c>
      <c r="H13" s="625">
        <f>'a1'!AQ27</f>
        <v>18847.594920672</v>
      </c>
      <c r="I13" s="625">
        <f>'a1'!AW27</f>
        <v>16484.989925638165</v>
      </c>
      <c r="J13" s="625">
        <f>'a1'!BC27</f>
        <v>15408.474661063585</v>
      </c>
      <c r="K13" s="625">
        <f>'a1'!BI27</f>
        <v>19005.133439404402</v>
      </c>
      <c r="L13" s="625">
        <f>'a1'!BO27</f>
        <v>19012.896010761015</v>
      </c>
    </row>
    <row r="14" spans="1:12">
      <c r="A14" s="611">
        <f t="shared" si="0"/>
        <v>1990</v>
      </c>
      <c r="B14" s="625">
        <f>'a1'!G28</f>
        <v>17404.196245022504</v>
      </c>
      <c r="C14" s="625">
        <f>'a1'!M28</f>
        <v>12886.062268778318</v>
      </c>
      <c r="D14" s="625">
        <f>'a1'!S28</f>
        <v>14562.436735069476</v>
      </c>
      <c r="E14" s="625">
        <f>'a1'!Y28</f>
        <v>15720.780140831303</v>
      </c>
      <c r="F14" s="625">
        <f>'a1'!AE28</f>
        <v>14319.954171823238</v>
      </c>
      <c r="G14" s="625">
        <f>'a1'!AK28</f>
        <v>15394.628487180051</v>
      </c>
      <c r="H14" s="625">
        <f>'a1'!AQ28</f>
        <v>18577.420455190022</v>
      </c>
      <c r="I14" s="625">
        <f>'a1'!AW28</f>
        <v>16688.664318843228</v>
      </c>
      <c r="J14" s="625">
        <f>'a1'!BC28</f>
        <v>15710.604161642985</v>
      </c>
      <c r="K14" s="625">
        <f>'a1'!BI28</f>
        <v>19119.722677083024</v>
      </c>
      <c r="L14" s="625">
        <f>'a1'!BO28</f>
        <v>19273.347709114303</v>
      </c>
    </row>
    <row r="15" spans="1:12">
      <c r="A15" s="611">
        <f t="shared" si="0"/>
        <v>1991</v>
      </c>
      <c r="B15" s="625">
        <f>'a1'!G29</f>
        <v>16956.874063305397</v>
      </c>
      <c r="C15" s="625">
        <f>'a1'!M29</f>
        <v>12633.616495642153</v>
      </c>
      <c r="D15" s="625">
        <f>'a1'!S29</f>
        <v>14113.784718759827</v>
      </c>
      <c r="E15" s="625">
        <f>'a1'!Y29</f>
        <v>15186.306858483729</v>
      </c>
      <c r="F15" s="625">
        <f>'a1'!AE29</f>
        <v>14262.970329963639</v>
      </c>
      <c r="G15" s="625">
        <f>'a1'!AK29</f>
        <v>14990.528336037771</v>
      </c>
      <c r="H15" s="625">
        <f>'a1'!AQ29</f>
        <v>18028.501868795844</v>
      </c>
      <c r="I15" s="625">
        <f>'a1'!AW29</f>
        <v>16241.830418780033</v>
      </c>
      <c r="J15" s="625">
        <f>'a1'!BC29</f>
        <v>15400.219205296033</v>
      </c>
      <c r="K15" s="625">
        <f>'a1'!BI29</f>
        <v>18606.985440762008</v>
      </c>
      <c r="L15" s="625">
        <f>'a1'!BO29</f>
        <v>18891.826899564199</v>
      </c>
    </row>
    <row r="16" spans="1:12">
      <c r="A16" s="611">
        <f t="shared" si="0"/>
        <v>1992</v>
      </c>
      <c r="B16" s="625">
        <f>'a1'!G30</f>
        <v>17049.575232178588</v>
      </c>
      <c r="C16" s="625">
        <f>'a1'!M30</f>
        <v>12745.880515558283</v>
      </c>
      <c r="D16" s="625">
        <f>'a1'!S30</f>
        <v>14370.122375350655</v>
      </c>
      <c r="E16" s="625">
        <f>'a1'!Y30</f>
        <v>15517.955823638236</v>
      </c>
      <c r="F16" s="625">
        <f>'a1'!AE30</f>
        <v>14482.951287291762</v>
      </c>
      <c r="G16" s="625">
        <f>'a1'!AK30</f>
        <v>15134.437223013751</v>
      </c>
      <c r="H16" s="625">
        <f>'a1'!AQ30</f>
        <v>18071.537583692334</v>
      </c>
      <c r="I16" s="625">
        <f>'a1'!AW30</f>
        <v>16381.037288945969</v>
      </c>
      <c r="J16" s="625">
        <f>'a1'!BC30</f>
        <v>15511.033421481183</v>
      </c>
      <c r="K16" s="625">
        <f>'a1'!BI30</f>
        <v>18519.967546279979</v>
      </c>
      <c r="L16" s="625">
        <f>'a1'!BO30</f>
        <v>19009.156475347972</v>
      </c>
    </row>
    <row r="17" spans="1:12">
      <c r="A17" s="611">
        <f t="shared" si="0"/>
        <v>1993</v>
      </c>
      <c r="B17" s="625">
        <f>'a1'!G31</f>
        <v>17163.571574094178</v>
      </c>
      <c r="C17" s="625">
        <f>'a1'!M31</f>
        <v>12824.646494602372</v>
      </c>
      <c r="D17" s="625">
        <f>'a1'!S31</f>
        <v>14518.41091869236</v>
      </c>
      <c r="E17" s="625">
        <f>'a1'!Y31</f>
        <v>15639.797602619261</v>
      </c>
      <c r="F17" s="625">
        <f>'a1'!AE31</f>
        <v>14679.251935065144</v>
      </c>
      <c r="G17" s="625">
        <f>'a1'!AK31</f>
        <v>15282.810666667412</v>
      </c>
      <c r="H17" s="625">
        <f>'a1'!AQ31</f>
        <v>18103.677461202664</v>
      </c>
      <c r="I17" s="625">
        <f>'a1'!AW31</f>
        <v>16585.27332236954</v>
      </c>
      <c r="J17" s="625">
        <f>'a1'!BC31</f>
        <v>15740.391300029794</v>
      </c>
      <c r="K17" s="625">
        <f>'a1'!BI31</f>
        <v>18803.340616625403</v>
      </c>
      <c r="L17" s="625">
        <f>'a1'!BO31</f>
        <v>19063.157623301042</v>
      </c>
    </row>
    <row r="18" spans="1:12">
      <c r="A18" s="611">
        <f t="shared" si="0"/>
        <v>1994</v>
      </c>
      <c r="B18" s="625">
        <f>'a1'!G32</f>
        <v>17511.496202690261</v>
      </c>
      <c r="C18" s="625">
        <f>'a1'!M32</f>
        <v>13100.862366093032</v>
      </c>
      <c r="D18" s="625">
        <f>'a1'!S32</f>
        <v>14666.097109497367</v>
      </c>
      <c r="E18" s="625">
        <f>'a1'!Y32</f>
        <v>15858.733308087101</v>
      </c>
      <c r="F18" s="625">
        <f>'a1'!AE32</f>
        <v>14851.003419156608</v>
      </c>
      <c r="G18" s="625">
        <f>'a1'!AK32</f>
        <v>15682.658493969262</v>
      </c>
      <c r="H18" s="625">
        <f>'a1'!AQ32</f>
        <v>18436.482879517476</v>
      </c>
      <c r="I18" s="625">
        <f>'a1'!AW32</f>
        <v>16924.405509112115</v>
      </c>
      <c r="J18" s="625">
        <f>'a1'!BC32</f>
        <v>16211.772280415025</v>
      </c>
      <c r="K18" s="625">
        <f>'a1'!BI32</f>
        <v>19283.82000188106</v>
      </c>
      <c r="L18" s="625">
        <f>'a1'!BO32</f>
        <v>19262.664662717707</v>
      </c>
    </row>
    <row r="19" spans="1:12">
      <c r="A19" s="611">
        <f t="shared" si="0"/>
        <v>1995</v>
      </c>
      <c r="B19" s="625">
        <f>'a1'!G33</f>
        <v>17701.777856360884</v>
      </c>
      <c r="C19" s="625">
        <f>'a1'!M33</f>
        <v>13420.938073341946</v>
      </c>
      <c r="D19" s="625">
        <f>'a1'!S33</f>
        <v>14849.533162221478</v>
      </c>
      <c r="E19" s="625">
        <f>'a1'!Y33</f>
        <v>16080.894711890704</v>
      </c>
      <c r="F19" s="625">
        <f>'a1'!AE33</f>
        <v>15183.575850630474</v>
      </c>
      <c r="G19" s="625">
        <f>'a1'!AK33</f>
        <v>15939.39732261897</v>
      </c>
      <c r="H19" s="625">
        <f>'a1'!AQ33</f>
        <v>18593.770533452651</v>
      </c>
      <c r="I19" s="625">
        <f>'a1'!AW33</f>
        <v>17199.663463667359</v>
      </c>
      <c r="J19" s="625">
        <f>'a1'!BC33</f>
        <v>16503.85974184248</v>
      </c>
      <c r="K19" s="625">
        <f>'a1'!BI33</f>
        <v>19401.21827641351</v>
      </c>
      <c r="L19" s="625">
        <f>'a1'!BO33</f>
        <v>19287.656291778185</v>
      </c>
    </row>
    <row r="20" spans="1:12">
      <c r="A20" s="611">
        <f t="shared" si="0"/>
        <v>1996</v>
      </c>
      <c r="B20" s="625">
        <f>'a1'!G34</f>
        <v>17958.091358868078</v>
      </c>
      <c r="C20" s="625">
        <f>'a1'!M34</f>
        <v>13673.44532229881</v>
      </c>
      <c r="D20" s="625">
        <f>'a1'!S34</f>
        <v>15264.813573307205</v>
      </c>
      <c r="E20" s="625">
        <f>'a1'!Y34</f>
        <v>16298.249701769626</v>
      </c>
      <c r="F20" s="625">
        <f>'a1'!AE34</f>
        <v>15439.976178702271</v>
      </c>
      <c r="G20" s="625">
        <f>'a1'!AK34</f>
        <v>16374.042572979855</v>
      </c>
      <c r="H20" s="625">
        <f>'a1'!AQ34</f>
        <v>18784.428592400385</v>
      </c>
      <c r="I20" s="625">
        <f>'a1'!AW34</f>
        <v>17244.814829182964</v>
      </c>
      <c r="J20" s="625">
        <f>'a1'!BC34</f>
        <v>16723.17936689419</v>
      </c>
      <c r="K20" s="625">
        <f>'a1'!BI34</f>
        <v>19521.586893312862</v>
      </c>
      <c r="L20" s="625">
        <f>'a1'!BO34</f>
        <v>19491.177412689773</v>
      </c>
    </row>
    <row r="21" spans="1:12">
      <c r="A21" s="611">
        <f t="shared" si="0"/>
        <v>1997</v>
      </c>
      <c r="B21" s="625">
        <f>'a1'!G35</f>
        <v>18571.690153410284</v>
      </c>
      <c r="C21" s="625">
        <f>'a1'!M35</f>
        <v>14299.950445716277</v>
      </c>
      <c r="D21" s="625">
        <f>'a1'!S35</f>
        <v>15687.571181895</v>
      </c>
      <c r="E21" s="625">
        <f>'a1'!Y35</f>
        <v>16811.418250926101</v>
      </c>
      <c r="F21" s="625">
        <f>'a1'!AE35</f>
        <v>15827.011166614177</v>
      </c>
      <c r="G21" s="625">
        <f>'a1'!AK35</f>
        <v>16954.446086533011</v>
      </c>
      <c r="H21" s="625">
        <f>'a1'!AQ35</f>
        <v>19418.487446750882</v>
      </c>
      <c r="I21" s="625">
        <f>'a1'!AW35</f>
        <v>17874.746507435782</v>
      </c>
      <c r="J21" s="625">
        <f>'a1'!BC35</f>
        <v>17385.760122290751</v>
      </c>
      <c r="K21" s="625">
        <f>'a1'!BI35</f>
        <v>20546.686606489111</v>
      </c>
      <c r="L21" s="625">
        <f>'a1'!BO35</f>
        <v>19813.436870897738</v>
      </c>
    </row>
    <row r="22" spans="1:12">
      <c r="A22" s="611">
        <f t="shared" si="0"/>
        <v>1998</v>
      </c>
      <c r="B22" s="625">
        <f>'a1'!G36</f>
        <v>18931.909294634126</v>
      </c>
      <c r="C22" s="625">
        <f>'a1'!M36</f>
        <v>14932.119153161197</v>
      </c>
      <c r="D22" s="625">
        <f>'a1'!S36</f>
        <v>16185.090277164149</v>
      </c>
      <c r="E22" s="625">
        <f>'a1'!Y36</f>
        <v>17300.254551230046</v>
      </c>
      <c r="F22" s="625">
        <f>'a1'!AE36</f>
        <v>16316.469694749045</v>
      </c>
      <c r="G22" s="625">
        <f>'a1'!AK36</f>
        <v>17305.664044430221</v>
      </c>
      <c r="H22" s="625">
        <f>'a1'!AQ36</f>
        <v>19860.721996434775</v>
      </c>
      <c r="I22" s="625">
        <f>'a1'!AW36</f>
        <v>18042.372277885763</v>
      </c>
      <c r="J22" s="625">
        <f>'a1'!BC36</f>
        <v>17500.678244663493</v>
      </c>
      <c r="K22" s="625">
        <f>'a1'!BI36</f>
        <v>20806.701192728968</v>
      </c>
      <c r="L22" s="625">
        <f>'a1'!BO36</f>
        <v>19973.071313819117</v>
      </c>
    </row>
    <row r="23" spans="1:12">
      <c r="A23" s="611">
        <f t="shared" si="0"/>
        <v>1999</v>
      </c>
      <c r="B23" s="625">
        <f>'a1'!G37</f>
        <v>19503.286801749109</v>
      </c>
      <c r="C23" s="625">
        <f>'a1'!M37</f>
        <v>15722.002741272272</v>
      </c>
      <c r="D23" s="625">
        <f>'a1'!S37</f>
        <v>16752.15180399322</v>
      </c>
      <c r="E23" s="625">
        <f>'a1'!Y37</f>
        <v>17998.809146440719</v>
      </c>
      <c r="F23" s="625">
        <f>'a1'!AE37</f>
        <v>16978.394646423334</v>
      </c>
      <c r="G23" s="625">
        <f>'a1'!AK37</f>
        <v>17851.773461236473</v>
      </c>
      <c r="H23" s="625">
        <f>'a1'!AQ37</f>
        <v>20536.631840788668</v>
      </c>
      <c r="I23" s="625">
        <f>'a1'!AW37</f>
        <v>18336.93962438553</v>
      </c>
      <c r="J23" s="625">
        <f>'a1'!BC37</f>
        <v>17964.089563184312</v>
      </c>
      <c r="K23" s="625">
        <f>'a1'!BI37</f>
        <v>21213.184443213177</v>
      </c>
      <c r="L23" s="625">
        <f>'a1'!BO37</f>
        <v>20387.273690442802</v>
      </c>
    </row>
    <row r="24" spans="1:12">
      <c r="A24" s="611">
        <f t="shared" si="0"/>
        <v>2000</v>
      </c>
      <c r="B24" s="625">
        <f>'a1'!G38</f>
        <v>20114.756924472709</v>
      </c>
      <c r="C24" s="625">
        <f>'a1'!M38</f>
        <v>16374.160457302174</v>
      </c>
      <c r="D24" s="625">
        <f>'a1'!S38</f>
        <v>17476.368432622556</v>
      </c>
      <c r="E24" s="625">
        <f>'a1'!Y38</f>
        <v>18446.790123588995</v>
      </c>
      <c r="F24" s="625">
        <f>'a1'!AE38</f>
        <v>17489.277391451491</v>
      </c>
      <c r="G24" s="625">
        <f>'a1'!AK38</f>
        <v>18379.896780609251</v>
      </c>
      <c r="H24" s="625">
        <f>'a1'!AQ38</f>
        <v>21236.398309037952</v>
      </c>
      <c r="I24" s="625">
        <f>'a1'!AW38</f>
        <v>18681.039960324688</v>
      </c>
      <c r="J24" s="625">
        <f>'a1'!BC38</f>
        <v>18570.514061127571</v>
      </c>
      <c r="K24" s="625">
        <f>'a1'!BI38</f>
        <v>21924.320567419323</v>
      </c>
      <c r="L24" s="625">
        <f>'a1'!BO38</f>
        <v>20880.712413009409</v>
      </c>
    </row>
    <row r="25" spans="1:12">
      <c r="A25" s="611">
        <f t="shared" si="0"/>
        <v>2001</v>
      </c>
      <c r="B25" s="625">
        <f>'a1'!G39</f>
        <v>20378.883665570349</v>
      </c>
      <c r="C25" s="625">
        <f>'a1'!M39</f>
        <v>17014.250056988734</v>
      </c>
      <c r="D25" s="625">
        <f>'a1'!S39</f>
        <v>17700.474890789752</v>
      </c>
      <c r="E25" s="625">
        <f>'a1'!Y39</f>
        <v>18679.741842493033</v>
      </c>
      <c r="F25" s="625">
        <f>'a1'!AE39</f>
        <v>17664.687030292036</v>
      </c>
      <c r="G25" s="625">
        <f>'a1'!AK39</f>
        <v>18685.480679542328</v>
      </c>
      <c r="H25" s="625">
        <f>'a1'!AQ39</f>
        <v>21379.104375739651</v>
      </c>
      <c r="I25" s="625">
        <f>'a1'!AW39</f>
        <v>18974.517972728037</v>
      </c>
      <c r="J25" s="625">
        <f>'a1'!BC39</f>
        <v>18967.808114406715</v>
      </c>
      <c r="K25" s="625">
        <f>'a1'!BI39</f>
        <v>22356.317836035574</v>
      </c>
      <c r="L25" s="625">
        <f>'a1'!BO39</f>
        <v>21146.56950580237</v>
      </c>
    </row>
    <row r="26" spans="1:12">
      <c r="A26" s="611">
        <f t="shared" si="0"/>
        <v>2002</v>
      </c>
      <c r="B26" s="625">
        <f>'a1'!G40</f>
        <v>20913.733313907636</v>
      </c>
      <c r="C26" s="625">
        <f>'a1'!M40</f>
        <v>17602.414485372385</v>
      </c>
      <c r="D26" s="625">
        <f>'a1'!S40</f>
        <v>18301.23615535229</v>
      </c>
      <c r="E26" s="625">
        <f>'a1'!Y40</f>
        <v>19343.005192430068</v>
      </c>
      <c r="F26" s="625">
        <f>'a1'!AE40</f>
        <v>18226.925083841452</v>
      </c>
      <c r="G26" s="625">
        <f>'a1'!AK40</f>
        <v>19230.148973078623</v>
      </c>
      <c r="H26" s="625">
        <f>'a1'!AQ40</f>
        <v>21874.730430304982</v>
      </c>
      <c r="I26" s="625">
        <f>'a1'!AW40</f>
        <v>19454.216751843531</v>
      </c>
      <c r="J26" s="625">
        <f>'a1'!BC40</f>
        <v>19542.516510316502</v>
      </c>
      <c r="K26" s="625">
        <f>'a1'!BI40</f>
        <v>22772.605745367226</v>
      </c>
      <c r="L26" s="625">
        <f>'a1'!BO40</f>
        <v>21775.042470092809</v>
      </c>
    </row>
    <row r="27" spans="1:12">
      <c r="A27" s="611">
        <f t="shared" si="0"/>
        <v>2003</v>
      </c>
      <c r="B27" s="625">
        <f>'a1'!G41</f>
        <v>21354.742321901587</v>
      </c>
      <c r="C27" s="625">
        <f>'a1'!M41</f>
        <v>18196.019439944459</v>
      </c>
      <c r="D27" s="625">
        <f>'a1'!S41</f>
        <v>18758.061812696309</v>
      </c>
      <c r="E27" s="625">
        <f>'a1'!Y41</f>
        <v>19771.923143795513</v>
      </c>
      <c r="F27" s="625">
        <f>'a1'!AE41</f>
        <v>18543.106450721854</v>
      </c>
      <c r="G27" s="625">
        <f>'a1'!AK41</f>
        <v>19706.678130090444</v>
      </c>
      <c r="H27" s="625">
        <f>'a1'!AQ41</f>
        <v>22270.210768866207</v>
      </c>
      <c r="I27" s="625">
        <f>'a1'!AW41</f>
        <v>19638.792630125474</v>
      </c>
      <c r="J27" s="625">
        <f>'a1'!BC41</f>
        <v>19956.185905830807</v>
      </c>
      <c r="K27" s="625">
        <f>'a1'!BI41</f>
        <v>23141.638677688858</v>
      </c>
      <c r="L27" s="625">
        <f>'a1'!BO41</f>
        <v>22377.762835011483</v>
      </c>
    </row>
    <row r="28" spans="1:12">
      <c r="A28" s="611">
        <f t="shared" si="0"/>
        <v>2004</v>
      </c>
      <c r="B28" s="625">
        <f>'a1'!G42</f>
        <v>21868.416310287234</v>
      </c>
      <c r="C28" s="625">
        <f>'a1'!M42</f>
        <v>18496.58032610103</v>
      </c>
      <c r="D28" s="625">
        <f>'a1'!S42</f>
        <v>19132.152766680709</v>
      </c>
      <c r="E28" s="625">
        <f>'a1'!Y42</f>
        <v>20172.965883735586</v>
      </c>
      <c r="F28" s="625">
        <f>'a1'!AE42</f>
        <v>18982.637392259356</v>
      </c>
      <c r="G28" s="625">
        <f>'a1'!AK42</f>
        <v>20133.416862075002</v>
      </c>
      <c r="H28" s="625">
        <f>'a1'!AQ42</f>
        <v>22709.07161146931</v>
      </c>
      <c r="I28" s="625">
        <f>'a1'!AW42</f>
        <v>20093.458740283888</v>
      </c>
      <c r="J28" s="625">
        <f>'a1'!BC42</f>
        <v>20298.822894850553</v>
      </c>
      <c r="K28" s="625">
        <f>'a1'!BI42</f>
        <v>23902.359366699067</v>
      </c>
      <c r="L28" s="625">
        <f>'a1'!BO42</f>
        <v>23171.85578448054</v>
      </c>
    </row>
    <row r="29" spans="1:12">
      <c r="A29" s="611">
        <f t="shared" si="0"/>
        <v>2005</v>
      </c>
      <c r="B29" s="625">
        <f>'a1'!G43</f>
        <v>22493.791248182017</v>
      </c>
      <c r="C29" s="625">
        <f>'a1'!M43</f>
        <v>18881.606958509845</v>
      </c>
      <c r="D29" s="625">
        <f>'a1'!S43</f>
        <v>19499.474846981277</v>
      </c>
      <c r="E29" s="625">
        <f>'a1'!Y43</f>
        <v>20612.170701568648</v>
      </c>
      <c r="F29" s="625">
        <f>'a1'!AE43</f>
        <v>19431.520402160542</v>
      </c>
      <c r="G29" s="625">
        <f>'a1'!AK43</f>
        <v>20602.985184078261</v>
      </c>
      <c r="H29" s="625">
        <f>'a1'!AQ43</f>
        <v>23253.339591075692</v>
      </c>
      <c r="I29" s="625">
        <f>'a1'!AW43</f>
        <v>20633.097994485281</v>
      </c>
      <c r="J29" s="625">
        <f>'a1'!BC43</f>
        <v>20972.665485079695</v>
      </c>
      <c r="K29" s="625">
        <f>'a1'!BI43</f>
        <v>25102.943832400219</v>
      </c>
      <c r="L29" s="625">
        <f>'a1'!BO43</f>
        <v>23922.819070203212</v>
      </c>
    </row>
    <row r="30" spans="1:12">
      <c r="A30" s="611">
        <f t="shared" si="0"/>
        <v>2006</v>
      </c>
      <c r="B30" s="625">
        <f>'a1'!G44</f>
        <v>23260.507082590739</v>
      </c>
      <c r="C30" s="625">
        <f>'a1'!M44</f>
        <v>19489.999274954782</v>
      </c>
      <c r="D30" s="625">
        <f>'a1'!S44</f>
        <v>20236.368909512759</v>
      </c>
      <c r="E30" s="625">
        <f>'a1'!Y44</f>
        <v>21271.628234240572</v>
      </c>
      <c r="F30" s="625">
        <f>'a1'!AE44</f>
        <v>20215.268334419598</v>
      </c>
      <c r="G30" s="625">
        <f>'a1'!AK44</f>
        <v>21123.619415814766</v>
      </c>
      <c r="H30" s="625">
        <f>'a1'!AQ44</f>
        <v>23835.116703483662</v>
      </c>
      <c r="I30" s="625">
        <f>'a1'!AW44</f>
        <v>21227.484753355275</v>
      </c>
      <c r="J30" s="625">
        <f>'a1'!BC44</f>
        <v>21845.095663638142</v>
      </c>
      <c r="K30" s="625">
        <f>'a1'!BI44</f>
        <v>26520.692857266036</v>
      </c>
      <c r="L30" s="625">
        <f>'a1'!BO44</f>
        <v>25135.8522756729</v>
      </c>
    </row>
    <row r="31" spans="1:12">
      <c r="A31" s="611">
        <f t="shared" si="0"/>
        <v>2007</v>
      </c>
      <c r="B31" s="625">
        <f>'a1'!G45</f>
        <v>24127.738903926125</v>
      </c>
      <c r="C31" s="625">
        <f>'a1'!M45</f>
        <v>20674.238070694086</v>
      </c>
      <c r="D31" s="625">
        <f>'a1'!S45</f>
        <v>21163.714796505526</v>
      </c>
      <c r="E31" s="625">
        <f>'a1'!Y45</f>
        <v>22076.439900234454</v>
      </c>
      <c r="F31" s="625">
        <f>'a1'!AE45</f>
        <v>21150.479869620329</v>
      </c>
      <c r="G31" s="625">
        <f>'a1'!AK45</f>
        <v>21894.983533493603</v>
      </c>
      <c r="H31" s="625">
        <f>'a1'!AQ45</f>
        <v>24563.632260520004</v>
      </c>
      <c r="I31" s="625">
        <f>'a1'!AW45</f>
        <v>22220.95616635304</v>
      </c>
      <c r="J31" s="625">
        <f>'a1'!BC45</f>
        <v>23174.044270622449</v>
      </c>
      <c r="K31" s="625">
        <f>'a1'!BI45</f>
        <v>27627.252155114129</v>
      </c>
      <c r="L31" s="625">
        <f>'a1'!BO45</f>
        <v>26122.648059045412</v>
      </c>
    </row>
    <row r="32" spans="1:12">
      <c r="A32" s="611">
        <f t="shared" si="0"/>
        <v>2008</v>
      </c>
      <c r="B32" s="625">
        <f>'a1'!G46</f>
        <v>24612.756354488909</v>
      </c>
      <c r="C32" s="625">
        <f>'a1'!M46</f>
        <v>21817.765160719329</v>
      </c>
      <c r="D32" s="625">
        <f>'a1'!S46</f>
        <v>21562.936687090187</v>
      </c>
      <c r="E32" s="625">
        <f>'a1'!Y46</f>
        <v>22768.397106124772</v>
      </c>
      <c r="F32" s="625">
        <f>'a1'!AE46</f>
        <v>21930.587948619766</v>
      </c>
      <c r="G32" s="625">
        <f>'a1'!AK46</f>
        <v>22474.846903732159</v>
      </c>
      <c r="H32" s="625">
        <f>'a1'!AQ46</f>
        <v>25016.128225326098</v>
      </c>
      <c r="I32" s="625">
        <f>'a1'!AW46</f>
        <v>22903.866142078459</v>
      </c>
      <c r="J32" s="625">
        <f>'a1'!BC46</f>
        <v>24299.85638079606</v>
      </c>
      <c r="K32" s="625">
        <f>'a1'!BI46</f>
        <v>27821.253659097547</v>
      </c>
      <c r="L32" s="625">
        <f>'a1'!BO46</f>
        <v>26328.395523579675</v>
      </c>
    </row>
    <row r="33" spans="1:12">
      <c r="A33" s="611">
        <f t="shared" si="0"/>
        <v>2009</v>
      </c>
      <c r="B33" s="625">
        <f>'a1'!G47</f>
        <v>24421.723202933888</v>
      </c>
      <c r="C33" s="625">
        <f>'a1'!M47</f>
        <v>22324.424423833447</v>
      </c>
      <c r="D33" s="625">
        <f>'a1'!S47</f>
        <v>21602.160216021603</v>
      </c>
      <c r="E33" s="625">
        <f>'a1'!Y47</f>
        <v>23184.371818843945</v>
      </c>
      <c r="F33" s="625">
        <f>'a1'!AE47</f>
        <v>22183.995174317119</v>
      </c>
      <c r="G33" s="625">
        <f>'a1'!AK47</f>
        <v>22491.053997665156</v>
      </c>
      <c r="H33" s="625">
        <f>'a1'!AQ47</f>
        <v>24803.404541940621</v>
      </c>
      <c r="I33" s="625">
        <f>'a1'!AW47</f>
        <v>22995.140878446524</v>
      </c>
      <c r="J33" s="625">
        <f>'a1'!BC47</f>
        <v>24324.571188700294</v>
      </c>
      <c r="K33" s="625">
        <f>'a1'!BI47</f>
        <v>26935.153710067338</v>
      </c>
      <c r="L33" s="625">
        <f>'a1'!BO47</f>
        <v>25935.073309101736</v>
      </c>
    </row>
    <row r="34" spans="1:12">
      <c r="A34" s="611">
        <f t="shared" si="0"/>
        <v>2010</v>
      </c>
      <c r="B34" s="625">
        <f>'a1'!G48</f>
        <v>24951.77076289618</v>
      </c>
      <c r="C34" s="625">
        <f>'a1'!M48</f>
        <v>23023.966014894082</v>
      </c>
      <c r="D34" s="625">
        <f>'a1'!S48</f>
        <v>22059.399207808256</v>
      </c>
      <c r="E34" s="625">
        <f>'a1'!Y48</f>
        <v>23751.768987973406</v>
      </c>
      <c r="F34" s="625">
        <f>'a1'!AE48</f>
        <v>22812.060017436044</v>
      </c>
      <c r="G34" s="625">
        <f>'a1'!AK48</f>
        <v>22938.938928053129</v>
      </c>
      <c r="H34" s="625">
        <f>'a1'!AQ48</f>
        <v>25232.354758062738</v>
      </c>
      <c r="I34" s="625">
        <f>'a1'!AW48</f>
        <v>23500.85651944426</v>
      </c>
      <c r="J34" s="625">
        <f>'a1'!BC48</f>
        <v>24978.630885724386</v>
      </c>
      <c r="K34" s="625">
        <f>'a1'!BI48</f>
        <v>27903.047734929944</v>
      </c>
      <c r="L34" s="625">
        <f>'a1'!BO48</f>
        <v>26485.048630377936</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1.8057887018580132</v>
      </c>
      <c r="C36" s="617">
        <f t="shared" si="1"/>
        <v>2.8575241264321427</v>
      </c>
      <c r="D36" s="617">
        <f t="shared" si="1"/>
        <v>2.1588983716563703</v>
      </c>
      <c r="E36" s="617">
        <f t="shared" si="1"/>
        <v>2.1087162811165072</v>
      </c>
      <c r="F36" s="617">
        <f t="shared" si="1"/>
        <v>2.4429950031342074</v>
      </c>
      <c r="G36" s="617">
        <f t="shared" si="1"/>
        <v>1.994538542687474</v>
      </c>
      <c r="H36" s="617">
        <f t="shared" si="1"/>
        <v>1.6494947650692149</v>
      </c>
      <c r="I36" s="617">
        <f t="shared" si="1"/>
        <v>1.700482816681137</v>
      </c>
      <c r="J36" s="617">
        <f t="shared" si="1"/>
        <v>2.1077340092541696</v>
      </c>
      <c r="K36" s="617">
        <f t="shared" si="1"/>
        <v>1.6580691077046295</v>
      </c>
      <c r="L36" s="617">
        <f t="shared" si="1"/>
        <v>1.4649742809594635</v>
      </c>
    </row>
    <row r="37" spans="1:12">
      <c r="A37" s="611" t="s">
        <v>1472</v>
      </c>
      <c r="B37" s="617">
        <f t="shared" ref="B37:L37" si="2">100*(POWER(B13/B5, 1/8)-1)</f>
        <v>2.0316870909861118</v>
      </c>
      <c r="C37" s="617">
        <f t="shared" si="2"/>
        <v>2.9618815716402347</v>
      </c>
      <c r="D37" s="617">
        <f t="shared" si="2"/>
        <v>2.2466783378414457</v>
      </c>
      <c r="E37" s="617">
        <f t="shared" si="2"/>
        <v>2.4244833250341324</v>
      </c>
      <c r="F37" s="617">
        <f t="shared" si="2"/>
        <v>2.7529994948813252</v>
      </c>
      <c r="G37" s="617">
        <f t="shared" si="2"/>
        <v>2.2610245458024369</v>
      </c>
      <c r="H37" s="617">
        <f t="shared" si="2"/>
        <v>2.3101468465175357</v>
      </c>
      <c r="I37" s="617">
        <f t="shared" si="2"/>
        <v>1.6942862945748205</v>
      </c>
      <c r="J37" s="617">
        <f t="shared" si="2"/>
        <v>1.5339872600024007</v>
      </c>
      <c r="K37" s="617">
        <f t="shared" si="2"/>
        <v>1.1676448354763558</v>
      </c>
      <c r="L37" s="617">
        <f t="shared" si="2"/>
        <v>1.1351166341294849</v>
      </c>
    </row>
    <row r="38" spans="1:12">
      <c r="A38" s="611" t="s">
        <v>1473</v>
      </c>
      <c r="B38" s="617">
        <f t="shared" ref="B38:L38" si="3">100*(POWER(B24/B13, 1/11)-1)</f>
        <v>1.3048917675918092</v>
      </c>
      <c r="C38" s="617">
        <f t="shared" si="3"/>
        <v>2.231093411754359</v>
      </c>
      <c r="D38" s="617">
        <f t="shared" si="3"/>
        <v>1.9161622775988096</v>
      </c>
      <c r="E38" s="617">
        <f t="shared" si="3"/>
        <v>1.4721664932402678</v>
      </c>
      <c r="F38" s="617">
        <f t="shared" si="3"/>
        <v>1.9922101934401804</v>
      </c>
      <c r="G38" s="617">
        <f t="shared" si="3"/>
        <v>1.5784889905211319</v>
      </c>
      <c r="H38" s="617">
        <f t="shared" si="3"/>
        <v>1.0907355754440795</v>
      </c>
      <c r="I38" s="617">
        <f t="shared" si="3"/>
        <v>1.1433857820130067</v>
      </c>
      <c r="J38" s="617">
        <f t="shared" si="3"/>
        <v>1.7113643050822525</v>
      </c>
      <c r="K38" s="617">
        <f t="shared" si="3"/>
        <v>1.3074499423072261</v>
      </c>
      <c r="L38" s="617">
        <f t="shared" si="3"/>
        <v>0.85553345170190642</v>
      </c>
    </row>
    <row r="39" spans="1:12">
      <c r="A39" s="611" t="s">
        <v>1474</v>
      </c>
      <c r="B39" s="617">
        <f t="shared" ref="B39:L39" si="4">100*(POWER(B32/B24, 1/8)-1)</f>
        <v>2.554727026251391</v>
      </c>
      <c r="C39" s="617">
        <f t="shared" si="4"/>
        <v>3.6528869516663676</v>
      </c>
      <c r="D39" s="617">
        <f t="shared" si="4"/>
        <v>2.6613780210561933</v>
      </c>
      <c r="E39" s="617">
        <f t="shared" si="4"/>
        <v>2.665956187062446</v>
      </c>
      <c r="F39" s="617">
        <f t="shared" si="4"/>
        <v>2.8690670559240683</v>
      </c>
      <c r="G39" s="617">
        <f t="shared" si="4"/>
        <v>2.5461144436873084</v>
      </c>
      <c r="H39" s="617">
        <f t="shared" si="4"/>
        <v>2.0686578342444584</v>
      </c>
      <c r="I39" s="617">
        <f t="shared" si="4"/>
        <v>2.580182747021853</v>
      </c>
      <c r="J39" s="617">
        <f t="shared" si="4"/>
        <v>3.4183185971968788</v>
      </c>
      <c r="K39" s="617">
        <f t="shared" si="4"/>
        <v>3.0223184227015976</v>
      </c>
      <c r="L39" s="617">
        <f t="shared" si="4"/>
        <v>2.9401709671667886</v>
      </c>
    </row>
    <row r="40" spans="1:12">
      <c r="A40" s="611" t="s">
        <v>1500</v>
      </c>
      <c r="B40" s="611"/>
      <c r="C40" s="611"/>
      <c r="D40" s="611"/>
      <c r="E40" s="611"/>
      <c r="F40" s="611"/>
      <c r="G40" s="611"/>
      <c r="H40" s="611"/>
      <c r="I40" s="611"/>
      <c r="J40" s="611"/>
      <c r="K40" s="611"/>
      <c r="L40" s="611"/>
    </row>
    <row r="41" spans="1:12">
      <c r="A41" s="611" t="s">
        <v>1498</v>
      </c>
      <c r="B41" s="616">
        <f>100*(B34-B5)/B5</f>
        <v>68.035758611263063</v>
      </c>
      <c r="C41" s="616">
        <f t="shared" ref="C41:L41" si="5">100*(C34-C5)/C5</f>
        <v>126.38410009059298</v>
      </c>
      <c r="D41" s="616">
        <f t="shared" si="5"/>
        <v>85.784651092291611</v>
      </c>
      <c r="E41" s="616">
        <f t="shared" si="5"/>
        <v>83.156219614990206</v>
      </c>
      <c r="F41" s="616">
        <f t="shared" si="5"/>
        <v>101.36581350240517</v>
      </c>
      <c r="G41" s="616">
        <f t="shared" si="5"/>
        <v>77.308928281550749</v>
      </c>
      <c r="H41" s="616">
        <f t="shared" si="5"/>
        <v>60.713184620367642</v>
      </c>
      <c r="I41" s="616">
        <f t="shared" si="5"/>
        <v>63.067505122138201</v>
      </c>
      <c r="J41" s="616">
        <f>100*(J34-J5)/J5</f>
        <v>83.105130301431458</v>
      </c>
      <c r="K41" s="616">
        <f t="shared" si="5"/>
        <v>61.106787323124237</v>
      </c>
      <c r="L41" s="616">
        <f t="shared" si="5"/>
        <v>52.46436139097738</v>
      </c>
    </row>
    <row r="42" spans="1:12">
      <c r="A42" s="611" t="s">
        <v>1472</v>
      </c>
      <c r="B42" s="616">
        <f>100*(B13-B5)/B5</f>
        <v>17.457442964538501</v>
      </c>
      <c r="C42" s="616">
        <f t="shared" ref="C42:L42" si="6">100*(C13-C5)/C5</f>
        <v>26.3024467018267</v>
      </c>
      <c r="D42" s="616">
        <f t="shared" si="6"/>
        <v>19.452065777275578</v>
      </c>
      <c r="E42" s="616">
        <f t="shared" si="6"/>
        <v>21.124014028925938</v>
      </c>
      <c r="F42" s="616">
        <f t="shared" si="6"/>
        <v>24.267072380161302</v>
      </c>
      <c r="G42" s="616">
        <f t="shared" si="6"/>
        <v>19.5862139768494</v>
      </c>
      <c r="H42" s="616">
        <f t="shared" si="6"/>
        <v>20.046544651880289</v>
      </c>
      <c r="I42" s="616">
        <f t="shared" si="6"/>
        <v>14.385881081110783</v>
      </c>
      <c r="J42" s="616">
        <f t="shared" si="6"/>
        <v>12.951377257942628</v>
      </c>
      <c r="K42" s="616">
        <f t="shared" si="6"/>
        <v>9.7319554536256234</v>
      </c>
      <c r="L42" s="616">
        <f t="shared" si="6"/>
        <v>9.4500179678308722</v>
      </c>
    </row>
    <row r="43" spans="1:12">
      <c r="A43" s="611" t="s">
        <v>1473</v>
      </c>
      <c r="B43" s="616">
        <f>100*(B24-B13)/B13</f>
        <v>15.32795358366592</v>
      </c>
      <c r="C43" s="616">
        <f t="shared" ref="C43:L43" si="7">100*(C24-C13)/C13</f>
        <v>27.471490491736784</v>
      </c>
      <c r="D43" s="616">
        <f t="shared" si="7"/>
        <v>23.21786460515295</v>
      </c>
      <c r="E43" s="616">
        <f t="shared" si="7"/>
        <v>17.440059393497229</v>
      </c>
      <c r="F43" s="616">
        <f t="shared" si="7"/>
        <v>24.23301767803984</v>
      </c>
      <c r="G43" s="616">
        <f t="shared" si="7"/>
        <v>18.800763330695332</v>
      </c>
      <c r="H43" s="616">
        <f t="shared" si="7"/>
        <v>12.674314141513715</v>
      </c>
      <c r="I43" s="616">
        <f t="shared" si="7"/>
        <v>13.321512749432326</v>
      </c>
      <c r="J43" s="616">
        <f t="shared" si="7"/>
        <v>20.521430379181499</v>
      </c>
      <c r="K43" s="616">
        <f t="shared" si="7"/>
        <v>15.359992800484143</v>
      </c>
      <c r="L43" s="616">
        <f t="shared" si="7"/>
        <v>9.8239447646020803</v>
      </c>
    </row>
    <row r="44" spans="1:12">
      <c r="A44" s="611" t="s">
        <v>1474</v>
      </c>
      <c r="B44" s="616">
        <f>100*(B32-B24)/B24</f>
        <v>22.361689216058529</v>
      </c>
      <c r="C44" s="616">
        <f t="shared" ref="C44:L44" si="8">100*(C32-C24)/C24</f>
        <v>33.245091970437727</v>
      </c>
      <c r="D44" s="616">
        <f t="shared" si="8"/>
        <v>23.383394955438053</v>
      </c>
      <c r="E44" s="616">
        <f t="shared" si="8"/>
        <v>23.427419911985034</v>
      </c>
      <c r="F44" s="616">
        <f t="shared" si="8"/>
        <v>25.394477185999257</v>
      </c>
      <c r="G44" s="616">
        <f t="shared" si="8"/>
        <v>22.27950554892708</v>
      </c>
      <c r="H44" s="616">
        <f t="shared" si="8"/>
        <v>17.798356676515805</v>
      </c>
      <c r="I44" s="616">
        <f t="shared" si="8"/>
        <v>22.604877408978982</v>
      </c>
      <c r="J44" s="616">
        <f t="shared" si="8"/>
        <v>30.851824030339273</v>
      </c>
      <c r="K44" s="616">
        <f t="shared" si="8"/>
        <v>26.896765505433137</v>
      </c>
      <c r="L44" s="616">
        <f t="shared" si="8"/>
        <v>26.089546193721677</v>
      </c>
    </row>
    <row r="46" spans="1:12">
      <c r="A46" s="611" t="s">
        <v>1535</v>
      </c>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dimension ref="A1:L46"/>
  <sheetViews>
    <sheetView topLeftCell="A21" workbookViewId="0">
      <selection activeCell="E9" sqref="E9"/>
    </sheetView>
  </sheetViews>
  <sheetFormatPr defaultRowHeight="12.75"/>
  <cols>
    <col min="1" max="16384" width="9" style="618"/>
  </cols>
  <sheetData>
    <row r="1" spans="1:12">
      <c r="A1" s="611" t="s">
        <v>1503</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14">
        <f>'a2'!D19</f>
        <v>2.7179057161629436</v>
      </c>
      <c r="C5" s="614">
        <f>'a2'!H19</f>
        <v>3.5512469135802469</v>
      </c>
      <c r="D5" s="614">
        <f>'a2'!L19</f>
        <v>3.013439024390244</v>
      </c>
      <c r="E5" s="614">
        <f>'a2'!P19</f>
        <v>2.9077244897959185</v>
      </c>
      <c r="F5" s="614">
        <f>'a2'!T19</f>
        <v>3.018965811965812</v>
      </c>
      <c r="G5" s="614">
        <f>'a2'!X19</f>
        <v>2.744009639564124</v>
      </c>
      <c r="H5" s="614">
        <f>'a2'!AB19</f>
        <v>2.7014978540772532</v>
      </c>
      <c r="I5" s="614">
        <f>'a2'!AF19</f>
        <v>2.7108507853403143</v>
      </c>
      <c r="J5" s="614">
        <f>'a2'!AJ19</f>
        <v>2.7104416666666666</v>
      </c>
      <c r="K5" s="614">
        <f>'a2'!AN19</f>
        <v>2.5771698537682792</v>
      </c>
      <c r="L5" s="614">
        <f>'a2'!AR19</f>
        <v>2.5192139037433154</v>
      </c>
    </row>
    <row r="6" spans="1:12">
      <c r="A6" s="611">
        <f t="shared" ref="A6:A34" si="0">A5+1</f>
        <v>1982</v>
      </c>
      <c r="B6" s="614">
        <f>'a2'!D20</f>
        <v>2.7013273822327384</v>
      </c>
      <c r="C6" s="614">
        <f>'a2'!H20</f>
        <v>3.4775454545454547</v>
      </c>
      <c r="D6" s="614">
        <f>'a2'!L20</f>
        <v>2.9425714285714286</v>
      </c>
      <c r="E6" s="614">
        <f>'a2'!P20</f>
        <v>2.8634599999999999</v>
      </c>
      <c r="F6" s="614">
        <f>'a2'!T20</f>
        <v>2.9600711297071132</v>
      </c>
      <c r="G6" s="614">
        <f>'a2'!X20</f>
        <v>2.7170235342691988</v>
      </c>
      <c r="H6" s="614">
        <f>'a2'!AB20</f>
        <v>2.6723451168364289</v>
      </c>
      <c r="I6" s="614">
        <f>'a2'!AF20</f>
        <v>2.6938762886597938</v>
      </c>
      <c r="J6" s="614">
        <f>'a2'!AJ20</f>
        <v>2.7029643835616439</v>
      </c>
      <c r="K6" s="614">
        <f>'a2'!AN20</f>
        <v>2.6331411111111112</v>
      </c>
      <c r="L6" s="614">
        <f>'a2'!AR20</f>
        <v>2.5232570175438593</v>
      </c>
    </row>
    <row r="7" spans="1:12">
      <c r="A7" s="611">
        <f t="shared" si="0"/>
        <v>1983</v>
      </c>
      <c r="B7" s="614">
        <f>'a2'!D21</f>
        <v>2.6757859704641351</v>
      </c>
      <c r="C7" s="614">
        <f>'a2'!H21</f>
        <v>3.4270059171597631</v>
      </c>
      <c r="D7" s="614">
        <f>'a2'!L21</f>
        <v>2.9786190476190475</v>
      </c>
      <c r="E7" s="614">
        <f>'a2'!P21</f>
        <v>2.8099967637540453</v>
      </c>
      <c r="F7" s="614">
        <f>'a2'!T21</f>
        <v>2.9058617886178864</v>
      </c>
      <c r="G7" s="614">
        <f>'a2'!X21</f>
        <v>2.6776058394160582</v>
      </c>
      <c r="H7" s="614">
        <f>'a2'!AB21</f>
        <v>2.6626108983799703</v>
      </c>
      <c r="I7" s="614">
        <f>'a2'!AF21</f>
        <v>2.6626934673366836</v>
      </c>
      <c r="J7" s="614">
        <f>'a2'!AJ21</f>
        <v>2.6915295698924733</v>
      </c>
      <c r="K7" s="614">
        <f>'a2'!AN21</f>
        <v>2.6303153846153844</v>
      </c>
      <c r="L7" s="614">
        <f>'a2'!AR21</f>
        <v>2.4808037542662116</v>
      </c>
    </row>
    <row r="8" spans="1:12">
      <c r="A8" s="611">
        <f t="shared" si="0"/>
        <v>1984</v>
      </c>
      <c r="B8" s="614">
        <f>'a2'!D22</f>
        <v>2.6519317522783763</v>
      </c>
      <c r="C8" s="614">
        <f>'a2'!H22</f>
        <v>3.4121470588235292</v>
      </c>
      <c r="D8" s="614">
        <f>'a2'!L22</f>
        <v>2.9433255813953489</v>
      </c>
      <c r="E8" s="614">
        <f>'a2'!P22</f>
        <v>2.8034217252396165</v>
      </c>
      <c r="F8" s="614">
        <f>'a2'!T22</f>
        <v>2.9051935483870968</v>
      </c>
      <c r="G8" s="614">
        <f>'a2'!X22</f>
        <v>2.6345729042510926</v>
      </c>
      <c r="H8" s="614">
        <f>'a2'!AB22</f>
        <v>2.6320654608096472</v>
      </c>
      <c r="I8" s="614">
        <f>'a2'!AF22</f>
        <v>2.6728428927680796</v>
      </c>
      <c r="J8" s="614">
        <f>'a2'!AJ22</f>
        <v>2.6841666666666666</v>
      </c>
      <c r="K8" s="614">
        <f>'a2'!AN22</f>
        <v>2.6105856052344603</v>
      </c>
      <c r="L8" s="614">
        <f>'a2'!AR22</f>
        <v>2.4849755480607083</v>
      </c>
    </row>
    <row r="9" spans="1:12">
      <c r="A9" s="611">
        <f t="shared" si="0"/>
        <v>1985</v>
      </c>
      <c r="B9" s="614">
        <f>'a2'!D23</f>
        <v>2.6270322252719325</v>
      </c>
      <c r="C9" s="614">
        <f>'a2'!H23</f>
        <v>3.3678779069767444</v>
      </c>
      <c r="D9" s="614">
        <f>'a2'!L23</f>
        <v>2.9678837209302324</v>
      </c>
      <c r="E9" s="614">
        <f>'a2'!P23</f>
        <v>2.7944731861198737</v>
      </c>
      <c r="F9" s="614">
        <f>'a2'!T23</f>
        <v>2.8701865079365079</v>
      </c>
      <c r="G9" s="614">
        <f>'a2'!X23</f>
        <v>2.600781115879828</v>
      </c>
      <c r="H9" s="614">
        <f>'a2'!AB23</f>
        <v>2.6123263069139968</v>
      </c>
      <c r="I9" s="614">
        <f>'a2'!AF23</f>
        <v>2.6466870415647921</v>
      </c>
      <c r="J9" s="614">
        <f>'a2'!AJ23</f>
        <v>2.6760522193211487</v>
      </c>
      <c r="K9" s="614">
        <f>'a2'!AN23</f>
        <v>2.5938403451995686</v>
      </c>
      <c r="L9" s="614">
        <f>'a2'!AR23</f>
        <v>2.4567555739058631</v>
      </c>
    </row>
    <row r="10" spans="1:12">
      <c r="A10" s="611">
        <f t="shared" si="0"/>
        <v>1986</v>
      </c>
      <c r="B10" s="614">
        <f>'a2'!D24</f>
        <v>2.6087234382808595</v>
      </c>
      <c r="C10" s="614">
        <f>'a2'!H24</f>
        <v>3.2376741573033709</v>
      </c>
      <c r="D10" s="614">
        <f>'a2'!L24</f>
        <v>2.919</v>
      </c>
      <c r="E10" s="614">
        <f>'a2'!P24</f>
        <v>2.7440956790123456</v>
      </c>
      <c r="F10" s="614">
        <f>'a2'!T24</f>
        <v>2.83210546875</v>
      </c>
      <c r="G10" s="614">
        <f>'a2'!X24</f>
        <v>2.5731377061756806</v>
      </c>
      <c r="H10" s="614">
        <f>'a2'!AB24</f>
        <v>2.5955332783278329</v>
      </c>
      <c r="I10" s="614">
        <f>'a2'!AF24</f>
        <v>2.6558442822384425</v>
      </c>
      <c r="J10" s="614">
        <f>'a2'!AJ24</f>
        <v>2.6719922077922078</v>
      </c>
      <c r="K10" s="614">
        <f>'a2'!AN24</f>
        <v>2.6132438238453277</v>
      </c>
      <c r="L10" s="614">
        <f>'a2'!AR24</f>
        <v>2.4360267639902675</v>
      </c>
    </row>
    <row r="11" spans="1:12">
      <c r="A11" s="611">
        <f t="shared" si="0"/>
        <v>1987</v>
      </c>
      <c r="B11" s="614">
        <f>'a2'!D25</f>
        <v>2.5915336599706023</v>
      </c>
      <c r="C11" s="614">
        <f>'a2'!H25</f>
        <v>3.2136424581005585</v>
      </c>
      <c r="D11" s="614">
        <f>'a2'!L25</f>
        <v>2.8586888888888891</v>
      </c>
      <c r="E11" s="614">
        <f>'a2'!P25</f>
        <v>2.7327400611620796</v>
      </c>
      <c r="F11" s="614">
        <f>'a2'!T25</f>
        <v>2.7991076923076923</v>
      </c>
      <c r="G11" s="614">
        <f>'a2'!X25</f>
        <v>2.5496180451127821</v>
      </c>
      <c r="H11" s="614">
        <f>'a2'!AB25</f>
        <v>2.5866733762748253</v>
      </c>
      <c r="I11" s="614">
        <f>'a2'!AF25</f>
        <v>2.6403197115384613</v>
      </c>
      <c r="J11" s="614">
        <f>'a2'!AJ25</f>
        <v>2.6618530927835051</v>
      </c>
      <c r="K11" s="614">
        <f>'a2'!AN25</f>
        <v>2.5911645435244162</v>
      </c>
      <c r="L11" s="614">
        <f>'a2'!AR25</f>
        <v>2.4157297939778131</v>
      </c>
    </row>
    <row r="12" spans="1:12">
      <c r="A12" s="611">
        <f t="shared" si="0"/>
        <v>1988</v>
      </c>
      <c r="B12" s="614">
        <f>'a2'!D26</f>
        <v>2.5628225559594413</v>
      </c>
      <c r="C12" s="614">
        <f>'a2'!H26</f>
        <v>3.1249021739130436</v>
      </c>
      <c r="D12" s="614">
        <f>'a2'!L26</f>
        <v>2.8106304347826083</v>
      </c>
      <c r="E12" s="614">
        <f>'a2'!P26</f>
        <v>2.6782567164179105</v>
      </c>
      <c r="F12" s="614">
        <f>'a2'!T26</f>
        <v>2.7456729323308271</v>
      </c>
      <c r="G12" s="614">
        <f>'a2'!X26</f>
        <v>2.5090190825688072</v>
      </c>
      <c r="H12" s="614">
        <f>'a2'!AB26</f>
        <v>2.5608068714211347</v>
      </c>
      <c r="I12" s="614">
        <f>'a2'!AF26</f>
        <v>2.6179382422802853</v>
      </c>
      <c r="J12" s="614">
        <f>'a2'!AJ26</f>
        <v>2.6500644329896907</v>
      </c>
      <c r="K12" s="614">
        <f>'a2'!AN26</f>
        <v>2.5616412930135555</v>
      </c>
      <c r="L12" s="614">
        <f>'a2'!AR26</f>
        <v>2.4182927018633542</v>
      </c>
    </row>
    <row r="13" spans="1:12">
      <c r="A13" s="611">
        <f t="shared" si="0"/>
        <v>1989</v>
      </c>
      <c r="B13" s="614">
        <f>'a2'!D27</f>
        <v>2.5590375269725114</v>
      </c>
      <c r="C13" s="614">
        <f>'a2'!H27</f>
        <v>3.0997365591397847</v>
      </c>
      <c r="D13" s="614">
        <f>'a2'!L27</f>
        <v>2.8294130434782612</v>
      </c>
      <c r="E13" s="614">
        <f>'a2'!P27</f>
        <v>2.6661976401179941</v>
      </c>
      <c r="F13" s="614">
        <f>'a2'!T27</f>
        <v>2.7226999999999997</v>
      </c>
      <c r="G13" s="614">
        <f>'a2'!X27</f>
        <v>2.4919496221662465</v>
      </c>
      <c r="H13" s="614">
        <f>'a2'!AB27</f>
        <v>2.5780313855575399</v>
      </c>
      <c r="I13" s="614">
        <f>'a2'!AF27</f>
        <v>2.6032830188679243</v>
      </c>
      <c r="J13" s="614">
        <f>'a2'!AJ27</f>
        <v>2.6478935064935065</v>
      </c>
      <c r="K13" s="614">
        <f>'a2'!AN27</f>
        <v>2.5571392016376664</v>
      </c>
      <c r="L13" s="614">
        <f>'a2'!AR27</f>
        <v>2.3999436936936935</v>
      </c>
    </row>
    <row r="14" spans="1:12">
      <c r="A14" s="611">
        <f t="shared" si="0"/>
        <v>1990</v>
      </c>
      <c r="B14" s="614">
        <f>'a2'!D28</f>
        <v>2.5411707809488848</v>
      </c>
      <c r="C14" s="614">
        <f>'a2'!H28</f>
        <v>3.0228691099476439</v>
      </c>
      <c r="D14" s="614">
        <f>'a2'!L28</f>
        <v>2.7745531914893617</v>
      </c>
      <c r="E14" s="614">
        <f>'a2'!P28</f>
        <v>2.6237780979827088</v>
      </c>
      <c r="F14" s="614">
        <f>'a2'!T28</f>
        <v>2.6720433212996388</v>
      </c>
      <c r="G14" s="614">
        <f>'a2'!X28</f>
        <v>2.4698150370631837</v>
      </c>
      <c r="H14" s="614">
        <f>'a2'!AB28</f>
        <v>2.5598786673296869</v>
      </c>
      <c r="I14" s="614">
        <f>'a2'!AF28</f>
        <v>2.5888079625292741</v>
      </c>
      <c r="J14" s="614">
        <f>'a2'!AJ28</f>
        <v>2.6242890624999999</v>
      </c>
      <c r="K14" s="614">
        <f>'a2'!AN28</f>
        <v>2.5528937875751505</v>
      </c>
      <c r="L14" s="614">
        <f>'a2'!AR28</f>
        <v>2.401247994164843</v>
      </c>
    </row>
    <row r="15" spans="1:12">
      <c r="A15" s="611">
        <f t="shared" si="0"/>
        <v>1991</v>
      </c>
      <c r="B15" s="614">
        <f>'a2'!D29</f>
        <v>2.5345706020611103</v>
      </c>
      <c r="C15" s="614">
        <f>'a2'!H29</f>
        <v>3.0189791666666665</v>
      </c>
      <c r="D15" s="614">
        <f>'a2'!L29</f>
        <v>2.7160208333333333</v>
      </c>
      <c r="E15" s="614">
        <f>'a2'!P29</f>
        <v>2.5993437500000001</v>
      </c>
      <c r="F15" s="614">
        <f>'a2'!T29</f>
        <v>2.6532633451957293</v>
      </c>
      <c r="G15" s="614">
        <f>'a2'!X29</f>
        <v>2.4650840599930239</v>
      </c>
      <c r="H15" s="614">
        <f>'a2'!AB29</f>
        <v>2.5541909892262487</v>
      </c>
      <c r="I15" s="614">
        <f>'a2'!AF29</f>
        <v>2.5804744186046511</v>
      </c>
      <c r="J15" s="614">
        <f>'a2'!AJ29</f>
        <v>2.6044493506493502</v>
      </c>
      <c r="K15" s="614">
        <f>'a2'!AN29</f>
        <v>2.5489734513274338</v>
      </c>
      <c r="L15" s="614">
        <f>'a2'!AR29</f>
        <v>2.4012718861209965</v>
      </c>
    </row>
    <row r="16" spans="1:12">
      <c r="A16" s="611">
        <f t="shared" si="0"/>
        <v>1992</v>
      </c>
      <c r="B16" s="614">
        <f>'a2'!D30</f>
        <v>2.5203219330194546</v>
      </c>
      <c r="C16" s="614">
        <f>'a2'!H30</f>
        <v>2.9447157360406089</v>
      </c>
      <c r="D16" s="614">
        <f>'a2'!L30</f>
        <v>2.6699387755102038</v>
      </c>
      <c r="E16" s="614">
        <f>'a2'!P30</f>
        <v>2.6046770538243629</v>
      </c>
      <c r="F16" s="614">
        <f>'a2'!T30</f>
        <v>2.6435371024734984</v>
      </c>
      <c r="G16" s="614">
        <f>'a2'!X30</f>
        <v>2.433268309377139</v>
      </c>
      <c r="H16" s="614">
        <f>'a2'!AB30</f>
        <v>2.5475192771084338</v>
      </c>
      <c r="I16" s="614">
        <f>'a2'!AF30</f>
        <v>2.5876488372093021</v>
      </c>
      <c r="J16" s="614">
        <f>'a2'!AJ30</f>
        <v>2.5876159793814431</v>
      </c>
      <c r="K16" s="614">
        <f>'a2'!AN30</f>
        <v>2.5362928709055876</v>
      </c>
      <c r="L16" s="614">
        <f>'a2'!AR30</f>
        <v>2.3955814917127074</v>
      </c>
    </row>
    <row r="17" spans="1:12">
      <c r="A17" s="611">
        <f t="shared" si="0"/>
        <v>1993</v>
      </c>
      <c r="B17" s="614">
        <f>'a2'!D31</f>
        <v>2.5173114523913998</v>
      </c>
      <c r="C17" s="614">
        <f>'a2'!H31</f>
        <v>2.9291767676767675</v>
      </c>
      <c r="D17" s="614">
        <f>'a2'!L31</f>
        <v>2.6435399999999998</v>
      </c>
      <c r="E17" s="614">
        <f>'a2'!P31</f>
        <v>2.5807960893854749</v>
      </c>
      <c r="F17" s="614">
        <f>'a2'!T31</f>
        <v>2.6366619718309856</v>
      </c>
      <c r="G17" s="614">
        <f>'a2'!X31</f>
        <v>2.4317149167516141</v>
      </c>
      <c r="H17" s="614">
        <f>'a2'!AB31</f>
        <v>2.5458532984043818</v>
      </c>
      <c r="I17" s="614">
        <f>'a2'!AF31</f>
        <v>2.5811039260969979</v>
      </c>
      <c r="J17" s="614">
        <f>'a2'!AJ31</f>
        <v>2.5817948717948718</v>
      </c>
      <c r="K17" s="614">
        <f>'a2'!AN31</f>
        <v>2.5548773946360153</v>
      </c>
      <c r="L17" s="614">
        <f>'a2'!AR31</f>
        <v>2.3832812291249166</v>
      </c>
    </row>
    <row r="18" spans="1:12">
      <c r="A18" s="611">
        <f t="shared" si="0"/>
        <v>1994</v>
      </c>
      <c r="B18" s="614">
        <f>'a2'!D32</f>
        <v>2.5147990808185918</v>
      </c>
      <c r="C18" s="614">
        <f>'a2'!H32</f>
        <v>2.9160710659898479</v>
      </c>
      <c r="D18" s="614">
        <f>'a2'!L32</f>
        <v>2.6687399999999997</v>
      </c>
      <c r="E18" s="614">
        <f>'a2'!P32</f>
        <v>2.5533636363636365</v>
      </c>
      <c r="F18" s="614">
        <f>'a2'!T32</f>
        <v>2.6048090277777778</v>
      </c>
      <c r="G18" s="614">
        <f>'a2'!X32</f>
        <v>2.4192408341742349</v>
      </c>
      <c r="H18" s="614">
        <f>'a2'!AB32</f>
        <v>2.5528895705521473</v>
      </c>
      <c r="I18" s="614">
        <f>'a2'!AF32</f>
        <v>2.5821379310344827</v>
      </c>
      <c r="J18" s="614">
        <f>'a2'!AJ32</f>
        <v>2.5754464285714285</v>
      </c>
      <c r="K18" s="614">
        <f>'a2'!AN32</f>
        <v>2.5622447817836811</v>
      </c>
      <c r="L18" s="614">
        <f>'a2'!AR32</f>
        <v>2.3824206092028515</v>
      </c>
    </row>
    <row r="19" spans="1:12">
      <c r="A19" s="611">
        <f t="shared" si="0"/>
        <v>1995</v>
      </c>
      <c r="B19" s="614">
        <f>'a2'!D33</f>
        <v>2.5029735201161696</v>
      </c>
      <c r="C19" s="614">
        <f>'a2'!H33</f>
        <v>2.8656414141414142</v>
      </c>
      <c r="D19" s="614">
        <f>'a2'!L33</f>
        <v>2.6355882352941178</v>
      </c>
      <c r="E19" s="614">
        <f>'a2'!P33</f>
        <v>2.5358469945355191</v>
      </c>
      <c r="F19" s="614">
        <f>'a2'!T33</f>
        <v>2.5805601374570446</v>
      </c>
      <c r="G19" s="614">
        <f>'a2'!X33</f>
        <v>2.408815148481815</v>
      </c>
      <c r="H19" s="614">
        <f>'a2'!AB33</f>
        <v>2.5447638856611667</v>
      </c>
      <c r="I19" s="614">
        <f>'a2'!AF33</f>
        <v>2.5779680365296804</v>
      </c>
      <c r="J19" s="614">
        <f>'a2'!AJ33</f>
        <v>2.5806284987277355</v>
      </c>
      <c r="K19" s="614">
        <f>'a2'!AN33</f>
        <v>2.5413745353159851</v>
      </c>
      <c r="L19" s="614">
        <f>'a2'!AR33</f>
        <v>2.3712429378531072</v>
      </c>
    </row>
    <row r="20" spans="1:12">
      <c r="A20" s="611">
        <f t="shared" si="0"/>
        <v>1996</v>
      </c>
      <c r="B20" s="614">
        <f>'a2'!D34</f>
        <v>2.4985417264365877</v>
      </c>
      <c r="C20" s="614">
        <f>'a2'!H34</f>
        <v>2.826757575757576</v>
      </c>
      <c r="D20" s="614">
        <f>'a2'!L34</f>
        <v>2.610326923076923</v>
      </c>
      <c r="E20" s="614">
        <f>'a2'!P34</f>
        <v>2.5239214092140925</v>
      </c>
      <c r="F20" s="614">
        <f>'a2'!T34</f>
        <v>2.5587346938775508</v>
      </c>
      <c r="G20" s="614">
        <f>'a2'!X34</f>
        <v>2.3877749588138384</v>
      </c>
      <c r="H20" s="614">
        <f>'a2'!AB34</f>
        <v>2.5477937931034487</v>
      </c>
      <c r="I20" s="614">
        <f>'a2'!AF34</f>
        <v>2.583589977220957</v>
      </c>
      <c r="J20" s="614">
        <f>'a2'!AJ34</f>
        <v>2.5601633165829143</v>
      </c>
      <c r="K20" s="614">
        <f>'a2'!AN34</f>
        <v>2.5366846435100547</v>
      </c>
      <c r="L20" s="614">
        <f>'a2'!AR34</f>
        <v>2.3886048088779286</v>
      </c>
    </row>
    <row r="21" spans="1:12">
      <c r="A21" s="611">
        <f t="shared" si="0"/>
        <v>1997</v>
      </c>
      <c r="B21" s="614">
        <f>'a2'!D35</f>
        <v>2.4886367645835068</v>
      </c>
      <c r="C21" s="614">
        <f>'a2'!H35</f>
        <v>2.782378787878788</v>
      </c>
      <c r="D21" s="614">
        <f>'a2'!L35</f>
        <v>2.567830188679245</v>
      </c>
      <c r="E21" s="614">
        <f>'a2'!P35</f>
        <v>2.5064569892473121</v>
      </c>
      <c r="F21" s="614">
        <f>'a2'!T35</f>
        <v>2.542266891891892</v>
      </c>
      <c r="G21" s="614">
        <f>'a2'!X35</f>
        <v>2.3773238562091503</v>
      </c>
      <c r="H21" s="614">
        <f>'a2'!AB35</f>
        <v>2.5447985040797825</v>
      </c>
      <c r="I21" s="614">
        <f>'a2'!AF35</f>
        <v>2.5821090909090909</v>
      </c>
      <c r="J21" s="614">
        <f>'a2'!AJ35</f>
        <v>2.5575427135678392</v>
      </c>
      <c r="K21" s="614">
        <f>'a2'!AN35</f>
        <v>2.4998657243816256</v>
      </c>
      <c r="L21" s="614">
        <f>'a2'!AR35</f>
        <v>2.3844100241545894</v>
      </c>
    </row>
    <row r="22" spans="1:12">
      <c r="A22" s="611">
        <f t="shared" si="0"/>
        <v>1998</v>
      </c>
      <c r="B22" s="614">
        <f>'a2'!D36</f>
        <v>2.4851799076973795</v>
      </c>
      <c r="C22" s="614">
        <f>'a2'!H36</f>
        <v>2.7264797979797981</v>
      </c>
      <c r="D22" s="614">
        <f>'a2'!L36</f>
        <v>2.5623396226415092</v>
      </c>
      <c r="E22" s="614">
        <f>'a2'!P36</f>
        <v>2.4982198391420911</v>
      </c>
      <c r="F22" s="614">
        <f>'a2'!T36</f>
        <v>2.5101337792642138</v>
      </c>
      <c r="G22" s="614">
        <f>'a2'!X36</f>
        <v>2.3657376783398187</v>
      </c>
      <c r="H22" s="614">
        <f>'a2'!AB36</f>
        <v>2.5478370320555928</v>
      </c>
      <c r="I22" s="614">
        <f>'a2'!AF36</f>
        <v>2.5735045248868778</v>
      </c>
      <c r="J22" s="614">
        <f>'a2'!AJ36</f>
        <v>2.5497042606516294</v>
      </c>
      <c r="K22" s="614">
        <f>'a2'!AN36</f>
        <v>2.4948932874354561</v>
      </c>
      <c r="L22" s="614">
        <f>'a2'!AR36</f>
        <v>2.3965782190132372</v>
      </c>
    </row>
    <row r="23" spans="1:12">
      <c r="A23" s="611">
        <f t="shared" si="0"/>
        <v>1999</v>
      </c>
      <c r="B23" s="614">
        <f>'a2'!D37</f>
        <v>2.4740629882812502</v>
      </c>
      <c r="C23" s="614">
        <f>'a2'!H37</f>
        <v>2.6800452261306531</v>
      </c>
      <c r="D23" s="614">
        <f>'a2'!L37</f>
        <v>2.5713396226415095</v>
      </c>
      <c r="E23" s="614">
        <f>'a2'!P37</f>
        <v>2.4703280423280423</v>
      </c>
      <c r="F23" s="614">
        <f>'a2'!T37</f>
        <v>2.4936910299003321</v>
      </c>
      <c r="G23" s="614">
        <f>'a2'!X37</f>
        <v>2.3441901408450705</v>
      </c>
      <c r="H23" s="614">
        <f>'a2'!AB37</f>
        <v>2.5481193798449611</v>
      </c>
      <c r="I23" s="614">
        <f>'a2'!AF37</f>
        <v>2.5615426008968609</v>
      </c>
      <c r="J23" s="614">
        <f>'a2'!AJ37</f>
        <v>2.5490552763819094</v>
      </c>
      <c r="K23" s="614">
        <f>'a2'!AN37</f>
        <v>2.4770906040268454</v>
      </c>
      <c r="L23" s="614">
        <f>'a2'!AR37</f>
        <v>2.3863027959547889</v>
      </c>
    </row>
    <row r="24" spans="1:12">
      <c r="A24" s="611">
        <f t="shared" si="0"/>
        <v>2000</v>
      </c>
      <c r="B24" s="614">
        <f>'a2'!D38</f>
        <v>2.4617513036502205</v>
      </c>
      <c r="C24" s="614">
        <f>'a2'!H38</f>
        <v>2.6398299999999999</v>
      </c>
      <c r="D24" s="614">
        <f>'a2'!L38</f>
        <v>2.527222222222222</v>
      </c>
      <c r="E24" s="614">
        <f>'a2'!P38</f>
        <v>2.4381749347258488</v>
      </c>
      <c r="F24" s="614">
        <f>'a2'!T38</f>
        <v>2.4851556291390731</v>
      </c>
      <c r="G24" s="614">
        <f>'a2'!X38</f>
        <v>2.3252057522123897</v>
      </c>
      <c r="H24" s="614">
        <f>'a2'!AB38</f>
        <v>2.5387418513689699</v>
      </c>
      <c r="I24" s="614">
        <f>'a2'!AF38</f>
        <v>2.5495844444444447</v>
      </c>
      <c r="J24" s="614">
        <f>'a2'!AJ38</f>
        <v>2.531570351758794</v>
      </c>
      <c r="K24" s="614">
        <f>'a2'!AN38</f>
        <v>2.4665008210180623</v>
      </c>
      <c r="L24" s="614">
        <f>'a2'!AR38</f>
        <v>2.3830265486725661</v>
      </c>
    </row>
    <row r="25" spans="1:12">
      <c r="A25" s="611">
        <f t="shared" si="0"/>
        <v>2001</v>
      </c>
      <c r="B25" s="614">
        <f>'a2'!D39</f>
        <v>2.4519026163939612</v>
      </c>
      <c r="C25" s="614">
        <f>'a2'!H39</f>
        <v>2.597179104477612</v>
      </c>
      <c r="D25" s="614">
        <f>'a2'!L39</f>
        <v>2.530796296296296</v>
      </c>
      <c r="E25" s="614">
        <f>'a2'!P39</f>
        <v>2.4156839378238342</v>
      </c>
      <c r="F25" s="614">
        <f>'a2'!T39</f>
        <v>2.4664506578947365</v>
      </c>
      <c r="G25" s="614">
        <f>'a2'!X39</f>
        <v>2.3091885732126132</v>
      </c>
      <c r="H25" s="614">
        <f>'a2'!AB39</f>
        <v>2.5371428876092983</v>
      </c>
      <c r="I25" s="614">
        <f>'a2'!AF39</f>
        <v>2.5474314159292035</v>
      </c>
      <c r="J25" s="614">
        <f>'a2'!AJ39</f>
        <v>2.5194483627204032</v>
      </c>
      <c r="K25" s="614">
        <f>'a2'!AN39</f>
        <v>2.4503341346153849</v>
      </c>
      <c r="L25" s="614">
        <f>'a2'!AR39</f>
        <v>2.3754452214452213</v>
      </c>
    </row>
    <row r="26" spans="1:12">
      <c r="A26" s="611">
        <f t="shared" si="0"/>
        <v>2002</v>
      </c>
      <c r="B26" s="614">
        <f>'a2'!D40</f>
        <v>2.4382654949840581</v>
      </c>
      <c r="C26" s="614">
        <f>'a2'!H40</f>
        <v>2.5467205882352943</v>
      </c>
      <c r="D26" s="614">
        <f>'a2'!L40</f>
        <v>2.4886545454545455</v>
      </c>
      <c r="E26" s="614">
        <f>'a2'!P40</f>
        <v>2.397474358974359</v>
      </c>
      <c r="F26" s="614">
        <f>'a2'!T40</f>
        <v>2.4328928571428574</v>
      </c>
      <c r="G26" s="614">
        <f>'a2'!X40</f>
        <v>2.2867473878303626</v>
      </c>
      <c r="H26" s="614">
        <f>'a2'!AB40</f>
        <v>2.5337445515507127</v>
      </c>
      <c r="I26" s="614">
        <f>'a2'!AF40</f>
        <v>2.5364320175438597</v>
      </c>
      <c r="J26" s="614">
        <f>'a2'!AJ40</f>
        <v>2.5171742424242427</v>
      </c>
      <c r="K26" s="614">
        <f>'a2'!AN40</f>
        <v>2.4459452697419861</v>
      </c>
      <c r="L26" s="614">
        <f>'a2'!AR40</f>
        <v>2.348526074498567</v>
      </c>
    </row>
    <row r="27" spans="1:12">
      <c r="A27" s="611">
        <f t="shared" si="0"/>
        <v>2003</v>
      </c>
      <c r="B27" s="614">
        <f>'a2'!D41</f>
        <v>2.42765825212921</v>
      </c>
      <c r="C27" s="614">
        <f>'a2'!H41</f>
        <v>2.5049275362318841</v>
      </c>
      <c r="D27" s="614">
        <f>'a2'!L41</f>
        <v>2.4949272727272729</v>
      </c>
      <c r="E27" s="614">
        <f>'a2'!P41</f>
        <v>2.3794187817258883</v>
      </c>
      <c r="F27" s="614">
        <f>'a2'!T41</f>
        <v>2.4252071197411005</v>
      </c>
      <c r="G27" s="614">
        <f>'a2'!X41</f>
        <v>2.2732578196173705</v>
      </c>
      <c r="H27" s="614">
        <f>'a2'!AB41</f>
        <v>2.5267849329205365</v>
      </c>
      <c r="I27" s="614">
        <f>'a2'!AF41</f>
        <v>2.5190887445887449</v>
      </c>
      <c r="J27" s="614">
        <f>'a2'!AJ41</f>
        <v>2.5037261306532663</v>
      </c>
      <c r="K27" s="614">
        <f>'a2'!AN41</f>
        <v>2.4393839080459769</v>
      </c>
      <c r="L27" s="614">
        <f>'a2'!AR41</f>
        <v>2.3356351274787537</v>
      </c>
    </row>
    <row r="28" spans="1:12">
      <c r="A28" s="611">
        <f t="shared" si="0"/>
        <v>2004</v>
      </c>
      <c r="B28" s="614">
        <f>'a2'!D42</f>
        <v>2.4146262473540974</v>
      </c>
      <c r="C28" s="614">
        <f>'a2'!H42</f>
        <v>2.4877259615384615</v>
      </c>
      <c r="D28" s="614">
        <f>'a2'!L42</f>
        <v>2.4584642857142858</v>
      </c>
      <c r="E28" s="614">
        <f>'a2'!P42</f>
        <v>2.3661863979848867</v>
      </c>
      <c r="F28" s="614">
        <f>'a2'!T42</f>
        <v>2.41731935483871</v>
      </c>
      <c r="G28" s="614">
        <f>'a2'!X42</f>
        <v>2.2555908410655494</v>
      </c>
      <c r="H28" s="614">
        <f>'a2'!AB42</f>
        <v>2.5148364116094983</v>
      </c>
      <c r="I28" s="614">
        <f>'a2'!AF42</f>
        <v>2.5183819742489271</v>
      </c>
      <c r="J28" s="614">
        <f>'a2'!AJ42</f>
        <v>2.4873990024937656</v>
      </c>
      <c r="K28" s="614">
        <f>'a2'!AN42</f>
        <v>2.4356924812030076</v>
      </c>
      <c r="L28" s="614">
        <f>'a2'!AR42</f>
        <v>2.3187332589285714</v>
      </c>
    </row>
    <row r="29" spans="1:12">
      <c r="A29" s="611">
        <f t="shared" si="0"/>
        <v>2005</v>
      </c>
      <c r="B29" s="614">
        <f>'a2'!D43</f>
        <v>2.3958101642023926</v>
      </c>
      <c r="C29" s="614">
        <f>'a2'!H43</f>
        <v>2.4493476190476189</v>
      </c>
      <c r="D29" s="614">
        <f>'a2'!L43</f>
        <v>2.4220175438596492</v>
      </c>
      <c r="E29" s="614">
        <f>'a2'!P43</f>
        <v>2.339004987531172</v>
      </c>
      <c r="F29" s="614">
        <f>'a2'!T43</f>
        <v>2.3744761904761904</v>
      </c>
      <c r="G29" s="614">
        <f>'a2'!X43</f>
        <v>2.2319431851633795</v>
      </c>
      <c r="H29" s="614">
        <f>'a2'!AB43</f>
        <v>2.4957131474103584</v>
      </c>
      <c r="I29" s="614">
        <f>'a2'!AF43</f>
        <v>2.5177371794871797</v>
      </c>
      <c r="J29" s="614">
        <f>'a2'!AJ43</f>
        <v>2.4777531172069827</v>
      </c>
      <c r="K29" s="614">
        <f>'a2'!AN43</f>
        <v>2.4214285714285717</v>
      </c>
      <c r="L29" s="614">
        <f>'a2'!AR43</f>
        <v>2.3084642464246428</v>
      </c>
    </row>
    <row r="30" spans="1:12">
      <c r="A30" s="611">
        <f t="shared" si="0"/>
        <v>2006</v>
      </c>
      <c r="B30" s="614">
        <f>'a2'!D44</f>
        <v>2.3861759449164954</v>
      </c>
      <c r="C30" s="614">
        <f>'a2'!H44</f>
        <v>2.4300619047619048</v>
      </c>
      <c r="D30" s="614">
        <f>'a2'!L44</f>
        <v>2.4196491228070176</v>
      </c>
      <c r="E30" s="614">
        <f>'a2'!P44</f>
        <v>2.316074074074074</v>
      </c>
      <c r="F30" s="614">
        <f>'a2'!T44</f>
        <v>2.359727848101266</v>
      </c>
      <c r="G30" s="614">
        <f>'a2'!X44</f>
        <v>2.218474418604651</v>
      </c>
      <c r="H30" s="614">
        <f>'a2'!AB44</f>
        <v>2.4971108044164039</v>
      </c>
      <c r="I30" s="614">
        <f>'a2'!AF44</f>
        <v>2.5192148936170211</v>
      </c>
      <c r="J30" s="614">
        <f>'a2'!AJ44</f>
        <v>2.480305</v>
      </c>
      <c r="K30" s="614">
        <f>'a2'!AN44</f>
        <v>2.3874759246336357</v>
      </c>
      <c r="L30" s="614">
        <f>'a2'!AR44</f>
        <v>2.2963095238095237</v>
      </c>
    </row>
    <row r="31" spans="1:12">
      <c r="A31" s="611">
        <f t="shared" si="0"/>
        <v>2007</v>
      </c>
      <c r="B31" s="614">
        <f>'a2'!D45</f>
        <v>2.3798318277083181</v>
      </c>
      <c r="C31" s="614">
        <f>'a2'!H45</f>
        <v>2.3885801886792453</v>
      </c>
      <c r="D31" s="614">
        <f>'a2'!L45</f>
        <v>2.3820862068965516</v>
      </c>
      <c r="E31" s="614">
        <f>'a2'!P45</f>
        <v>2.2936127450980393</v>
      </c>
      <c r="F31" s="614">
        <f>'a2'!T45</f>
        <v>2.3370376175548588</v>
      </c>
      <c r="G31" s="614">
        <f>'a2'!X45</f>
        <v>2.2071269020958946</v>
      </c>
      <c r="H31" s="614">
        <f>'a2'!AB45</f>
        <v>2.4952090891359471</v>
      </c>
      <c r="I31" s="614">
        <f>'a2'!AF45</f>
        <v>2.5022180293501046</v>
      </c>
      <c r="J31" s="614">
        <f>'a2'!AJ45</f>
        <v>2.4516102941176467</v>
      </c>
      <c r="K31" s="614">
        <f>'a2'!AN45</f>
        <v>2.3895857142857144</v>
      </c>
      <c r="L31" s="614">
        <f>'a2'!AR45</f>
        <v>2.2996969050160088</v>
      </c>
    </row>
    <row r="32" spans="1:12">
      <c r="A32" s="611">
        <f t="shared" si="0"/>
        <v>2008</v>
      </c>
      <c r="B32" s="614">
        <f>'a2'!D46</f>
        <v>2.365687424554427</v>
      </c>
      <c r="C32" s="614">
        <f>'a2'!H46</f>
        <v>2.3653878504672896</v>
      </c>
      <c r="D32" s="614">
        <f>'a2'!L46</f>
        <v>2.3651694915254238</v>
      </c>
      <c r="E32" s="614">
        <f>'a2'!P46</f>
        <v>2.2571975903614456</v>
      </c>
      <c r="F32" s="614">
        <f>'a2'!T46</f>
        <v>2.3195714285714284</v>
      </c>
      <c r="G32" s="614">
        <f>'a2'!X46</f>
        <v>2.1927388967468171</v>
      </c>
      <c r="H32" s="614">
        <f>'a2'!AB46</f>
        <v>2.4755545558958651</v>
      </c>
      <c r="I32" s="614">
        <f>'a2'!AF46</f>
        <v>2.4907376033057855</v>
      </c>
      <c r="J32" s="614">
        <f>'a2'!AJ46</f>
        <v>2.4195513126491646</v>
      </c>
      <c r="K32" s="614">
        <f>'a2'!AN46</f>
        <v>2.3894817032601465</v>
      </c>
      <c r="L32" s="614">
        <f>'a2'!AR46</f>
        <v>2.2964169722367731</v>
      </c>
    </row>
    <row r="33" spans="1:12">
      <c r="A33" s="611">
        <f t="shared" si="0"/>
        <v>2009</v>
      </c>
      <c r="B33" s="614">
        <f>'a2'!D47</f>
        <v>2.358054825174825</v>
      </c>
      <c r="C33" s="614">
        <f>'a2'!H47</f>
        <v>2.3416728110599077</v>
      </c>
      <c r="D33" s="614">
        <f>'a2'!L47</f>
        <v>2.3914745762711864</v>
      </c>
      <c r="E33" s="614">
        <f>'a2'!P47</f>
        <v>2.2520959232613911</v>
      </c>
      <c r="F33" s="614">
        <f>'a2'!T47</f>
        <v>2.3056123076923076</v>
      </c>
      <c r="G33" s="614">
        <f>'a2'!X47</f>
        <v>2.1775680111265645</v>
      </c>
      <c r="H33" s="614">
        <f>'a2'!AB47</f>
        <v>2.4688019652305364</v>
      </c>
      <c r="I33" s="614">
        <f>'a2'!AF47</f>
        <v>2.4889020408163263</v>
      </c>
      <c r="J33" s="614">
        <f>'a2'!AJ47</f>
        <v>2.4214682352941175</v>
      </c>
      <c r="K33" s="614">
        <f>'a2'!AN47</f>
        <v>2.3866983094928478</v>
      </c>
      <c r="L33" s="614">
        <f>'a2'!AR47</f>
        <v>2.2967518022657054</v>
      </c>
    </row>
    <row r="34" spans="1:12">
      <c r="A34" s="611">
        <f t="shared" si="0"/>
        <v>2010</v>
      </c>
      <c r="B34" s="614">
        <f>'a2'!D48</f>
        <v>2.3483424117082827</v>
      </c>
      <c r="C34" s="614">
        <f>'a2'!H48</f>
        <v>2.3292110887120065</v>
      </c>
      <c r="D34" s="614">
        <f>'a2'!L48</f>
        <v>2.3862520381333652</v>
      </c>
      <c r="E34" s="614">
        <f>'a2'!P48</f>
        <v>2.238097277766109</v>
      </c>
      <c r="F34" s="614">
        <f>'a2'!T48</f>
        <v>2.2913352212426119</v>
      </c>
      <c r="G34" s="614">
        <f>'a2'!X48</f>
        <v>2.1675491635542383</v>
      </c>
      <c r="H34" s="614">
        <f>'a2'!AB48</f>
        <v>2.460919770520507</v>
      </c>
      <c r="I34" s="614">
        <f>'a2'!AF48</f>
        <v>2.4960524256861665</v>
      </c>
      <c r="J34" s="614">
        <f>'a2'!AJ48</f>
        <v>2.431850488367469</v>
      </c>
      <c r="K34" s="614">
        <f>'a2'!AN48</f>
        <v>2.3500445376732877</v>
      </c>
      <c r="L34" s="614">
        <f>'a2'!AR48</f>
        <v>2.2959306117567579</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-0.50270427377628879</v>
      </c>
      <c r="C36" s="617">
        <f t="shared" si="1"/>
        <v>-1.4438514574773964</v>
      </c>
      <c r="D36" s="617">
        <f t="shared" si="1"/>
        <v>-0.80145388572988585</v>
      </c>
      <c r="E36" s="617">
        <f t="shared" si="1"/>
        <v>-0.89850714219065209</v>
      </c>
      <c r="F36" s="617">
        <f t="shared" si="1"/>
        <v>-0.94645681639168311</v>
      </c>
      <c r="G36" s="617">
        <f t="shared" si="1"/>
        <v>-0.8098857521399494</v>
      </c>
      <c r="H36" s="617">
        <f t="shared" si="1"/>
        <v>-0.32110820142240426</v>
      </c>
      <c r="I36" s="617">
        <f t="shared" si="1"/>
        <v>-0.28425754644187951</v>
      </c>
      <c r="J36" s="617">
        <f t="shared" si="1"/>
        <v>-0.37329844336291274</v>
      </c>
      <c r="K36" s="617">
        <f t="shared" si="1"/>
        <v>-0.3176240240750472</v>
      </c>
      <c r="L36" s="617">
        <f t="shared" si="1"/>
        <v>-0.3195182891870374</v>
      </c>
    </row>
    <row r="37" spans="1:12">
      <c r="A37" s="611" t="s">
        <v>1472</v>
      </c>
      <c r="B37" s="617">
        <f t="shared" ref="B37:L37" si="2">100*(POWER(B13/B5, 1/8)-1)</f>
        <v>-0.75005301570103544</v>
      </c>
      <c r="C37" s="617">
        <f t="shared" si="2"/>
        <v>-1.6854061274635068</v>
      </c>
      <c r="D37" s="617">
        <f t="shared" si="2"/>
        <v>-0.78456453160181683</v>
      </c>
      <c r="E37" s="617">
        <f t="shared" si="2"/>
        <v>-1.0781144896305106</v>
      </c>
      <c r="F37" s="617">
        <f t="shared" si="2"/>
        <v>-1.2828293326915707</v>
      </c>
      <c r="G37" s="617">
        <f t="shared" si="2"/>
        <v>-1.1972111830247711</v>
      </c>
      <c r="H37" s="617">
        <f t="shared" si="2"/>
        <v>-0.58304740693758683</v>
      </c>
      <c r="I37" s="617">
        <f t="shared" si="2"/>
        <v>-0.50483615342390431</v>
      </c>
      <c r="J37" s="617">
        <f t="shared" si="2"/>
        <v>-0.29141428132063441</v>
      </c>
      <c r="K37" s="617">
        <f t="shared" si="2"/>
        <v>-9.7486284592585015E-2</v>
      </c>
      <c r="L37" s="617">
        <f t="shared" si="2"/>
        <v>-0.60443631158261235</v>
      </c>
    </row>
    <row r="38" spans="1:12">
      <c r="A38" s="611" t="s">
        <v>1473</v>
      </c>
      <c r="B38" s="617">
        <f t="shared" ref="B38:L38" si="3">100*(POWER(B24/B13, 1/11)-1)</f>
        <v>-0.35172737648668795</v>
      </c>
      <c r="C38" s="617">
        <f t="shared" si="3"/>
        <v>-1.4494170260099137</v>
      </c>
      <c r="D38" s="617">
        <f t="shared" si="3"/>
        <v>-1.0215510963966556</v>
      </c>
      <c r="E38" s="617">
        <f t="shared" si="3"/>
        <v>-0.80946577200039505</v>
      </c>
      <c r="F38" s="617">
        <f t="shared" si="3"/>
        <v>-0.82646358270974662</v>
      </c>
      <c r="G38" s="617">
        <f t="shared" si="3"/>
        <v>-0.62762988887382631</v>
      </c>
      <c r="H38" s="617">
        <f t="shared" si="3"/>
        <v>-0.13951580989547407</v>
      </c>
      <c r="I38" s="617">
        <f t="shared" si="3"/>
        <v>-0.18930209831422573</v>
      </c>
      <c r="J38" s="617">
        <f t="shared" si="3"/>
        <v>-0.40757277752503374</v>
      </c>
      <c r="K38" s="617">
        <f t="shared" si="3"/>
        <v>-0.32754113440081056</v>
      </c>
      <c r="L38" s="617">
        <f t="shared" si="3"/>
        <v>-6.4287846519861525E-2</v>
      </c>
    </row>
    <row r="39" spans="1:12">
      <c r="A39" s="611" t="s">
        <v>1474</v>
      </c>
      <c r="B39" s="617">
        <f t="shared" ref="B39:L39" si="4">100*(POWER(B32/B24, 1/8)-1)</f>
        <v>-0.49631878808158447</v>
      </c>
      <c r="C39" s="617">
        <f t="shared" si="4"/>
        <v>-1.3627853030159787</v>
      </c>
      <c r="D39" s="617">
        <f t="shared" si="4"/>
        <v>-0.8249667887818779</v>
      </c>
      <c r="E39" s="617">
        <f t="shared" si="4"/>
        <v>-0.95943950464228989</v>
      </c>
      <c r="F39" s="617">
        <f t="shared" si="4"/>
        <v>-0.85820676787528027</v>
      </c>
      <c r="G39" s="617">
        <f t="shared" si="4"/>
        <v>-0.73053267383408338</v>
      </c>
      <c r="H39" s="617">
        <f t="shared" si="4"/>
        <v>-0.31455660945878261</v>
      </c>
      <c r="I39" s="617">
        <f t="shared" si="4"/>
        <v>-0.29146803087538586</v>
      </c>
      <c r="J39" s="617">
        <f t="shared" si="4"/>
        <v>-0.56412390653700628</v>
      </c>
      <c r="K39" s="617">
        <f t="shared" si="4"/>
        <v>-0.39576468779959351</v>
      </c>
      <c r="L39" s="617">
        <f t="shared" si="4"/>
        <v>-0.46169674896724411</v>
      </c>
    </row>
    <row r="40" spans="1:12">
      <c r="A40" s="611" t="s">
        <v>1500</v>
      </c>
      <c r="B40" s="611"/>
      <c r="C40" s="611"/>
      <c r="D40" s="611"/>
      <c r="E40" s="611"/>
      <c r="F40" s="611"/>
      <c r="G40" s="611"/>
      <c r="H40" s="611"/>
      <c r="I40" s="611"/>
      <c r="J40" s="611"/>
      <c r="K40" s="611"/>
      <c r="L40" s="611"/>
    </row>
    <row r="41" spans="1:12">
      <c r="A41" s="611" t="s">
        <v>1498</v>
      </c>
      <c r="B41" s="616">
        <f>100*(B34-B5)/B5</f>
        <v>-13.597355576278016</v>
      </c>
      <c r="C41" s="616">
        <f t="shared" ref="C41:L41" si="5">100*(C34-C5)/C5</f>
        <v>-34.4114575698772</v>
      </c>
      <c r="D41" s="616">
        <f t="shared" si="5"/>
        <v>-20.812997415263357</v>
      </c>
      <c r="E41" s="616">
        <f t="shared" si="5"/>
        <v>-23.029252406124897</v>
      </c>
      <c r="F41" s="616">
        <f t="shared" si="5"/>
        <v>-24.101981805795958</v>
      </c>
      <c r="G41" s="616">
        <f t="shared" si="5"/>
        <v>-21.007961039869173</v>
      </c>
      <c r="H41" s="616">
        <f t="shared" si="5"/>
        <v>-8.905359047154235</v>
      </c>
      <c r="I41" s="616">
        <f t="shared" si="5"/>
        <v>-7.9236511583643852</v>
      </c>
      <c r="J41" s="616">
        <f>100*(J34-J5)/J5</f>
        <v>-10.278442134554862</v>
      </c>
      <c r="K41" s="616">
        <f t="shared" si="5"/>
        <v>-8.8129742695419946</v>
      </c>
      <c r="L41" s="616">
        <f t="shared" si="5"/>
        <v>-8.8632129115665599</v>
      </c>
    </row>
    <row r="42" spans="1:12">
      <c r="A42" s="611" t="s">
        <v>1472</v>
      </c>
      <c r="B42" s="616">
        <f>100*(B13-B5)/B5</f>
        <v>-5.8452428370001543</v>
      </c>
      <c r="C42" s="616">
        <f t="shared" ref="C42:L42" si="6">100*(C13-C5)/C5</f>
        <v>-12.714135779009089</v>
      </c>
      <c r="D42" s="616">
        <f t="shared" si="6"/>
        <v>-6.1068426944268337</v>
      </c>
      <c r="E42" s="616">
        <f t="shared" si="6"/>
        <v>-8.3063870227566223</v>
      </c>
      <c r="F42" s="616">
        <f t="shared" si="6"/>
        <v>-9.8134868169605944</v>
      </c>
      <c r="G42" s="616">
        <f t="shared" si="6"/>
        <v>-9.1858284228883509</v>
      </c>
      <c r="H42" s="616">
        <f t="shared" si="6"/>
        <v>-4.5702967460577755</v>
      </c>
      <c r="I42" s="616">
        <f t="shared" si="6"/>
        <v>-3.9680445362058592</v>
      </c>
      <c r="J42" s="616">
        <f t="shared" si="6"/>
        <v>-2.3076740939450873</v>
      </c>
      <c r="K42" s="616">
        <f t="shared" si="6"/>
        <v>-0.77723445745434561</v>
      </c>
      <c r="L42" s="616">
        <f t="shared" si="6"/>
        <v>-4.7344217127572046</v>
      </c>
    </row>
    <row r="43" spans="1:12">
      <c r="A43" s="611" t="s">
        <v>1473</v>
      </c>
      <c r="B43" s="616">
        <f>100*(B24-B13)/B13</f>
        <v>-3.8016723981920681</v>
      </c>
      <c r="C43" s="616">
        <f t="shared" ref="C43:L43" si="7">100*(C24-C13)/C13</f>
        <v>-14.836956314359005</v>
      </c>
      <c r="D43" s="616">
        <f t="shared" si="7"/>
        <v>-10.680336048940706</v>
      </c>
      <c r="E43" s="616">
        <f t="shared" si="7"/>
        <v>-8.552355682906315</v>
      </c>
      <c r="F43" s="616">
        <f t="shared" si="7"/>
        <v>-8.7245884916049015</v>
      </c>
      <c r="G43" s="616">
        <f t="shared" si="7"/>
        <v>-6.6913018012341166</v>
      </c>
      <c r="H43" s="616">
        <f t="shared" si="7"/>
        <v>-1.5240130282616002</v>
      </c>
      <c r="I43" s="616">
        <f t="shared" si="7"/>
        <v>-2.062725183327601</v>
      </c>
      <c r="J43" s="616">
        <f t="shared" si="7"/>
        <v>-4.3930450544725419</v>
      </c>
      <c r="K43" s="616">
        <f t="shared" si="7"/>
        <v>-3.544522744853178</v>
      </c>
      <c r="L43" s="616">
        <f t="shared" si="7"/>
        <v>-0.70489758012158377</v>
      </c>
    </row>
    <row r="44" spans="1:12">
      <c r="A44" s="611" t="s">
        <v>1474</v>
      </c>
      <c r="B44" s="616">
        <f>100*(B32-B24)/B24</f>
        <v>-3.902257671331482</v>
      </c>
      <c r="C44" s="616">
        <f t="shared" ref="C44:L44" si="8">100*(C32-C24)/C24</f>
        <v>-10.396205419769846</v>
      </c>
      <c r="D44" s="616">
        <f t="shared" si="8"/>
        <v>-6.4122865520825876</v>
      </c>
      <c r="E44" s="616">
        <f t="shared" si="8"/>
        <v>-7.4226562576303596</v>
      </c>
      <c r="F44" s="616">
        <f t="shared" si="8"/>
        <v>-6.6629308292055596</v>
      </c>
      <c r="G44" s="616">
        <f t="shared" si="8"/>
        <v>-5.6969950009599302</v>
      </c>
      <c r="H44" s="616">
        <f t="shared" si="8"/>
        <v>-2.4889216459338774</v>
      </c>
      <c r="I44" s="616">
        <f t="shared" si="8"/>
        <v>-2.3080953944038463</v>
      </c>
      <c r="J44" s="616">
        <f t="shared" si="8"/>
        <v>-4.4248835127890018</v>
      </c>
      <c r="K44" s="616">
        <f t="shared" si="8"/>
        <v>-3.1226066134502939</v>
      </c>
      <c r="L44" s="616">
        <f t="shared" si="8"/>
        <v>-3.6344360697130198</v>
      </c>
    </row>
    <row r="46" spans="1:12">
      <c r="A46" s="611" t="s">
        <v>1536</v>
      </c>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dimension ref="A1:L46"/>
  <sheetViews>
    <sheetView workbookViewId="0">
      <selection activeCell="E9" sqref="E9"/>
    </sheetView>
  </sheetViews>
  <sheetFormatPr defaultRowHeight="12.75"/>
  <cols>
    <col min="1" max="16384" width="9" style="618"/>
  </cols>
  <sheetData>
    <row r="1" spans="1:12">
      <c r="A1" s="611" t="s">
        <v>1504</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5">
        <f>'a6'!H19</f>
        <v>6046.2166026798013</v>
      </c>
      <c r="C5" s="625">
        <f>'a6'!O19</f>
        <v>4605.3130806645977</v>
      </c>
      <c r="D5" s="625">
        <f>'a6'!V19</f>
        <v>6176.3091514801354</v>
      </c>
      <c r="E5" s="625">
        <f>'a6'!AC19</f>
        <v>7622.7686644742216</v>
      </c>
      <c r="F5" s="625">
        <f>'a6'!AJ19</f>
        <v>5438.644354706862</v>
      </c>
      <c r="G5" s="625">
        <f>'a6'!AQ19</f>
        <v>5860.4368595912865</v>
      </c>
      <c r="H5" s="625">
        <f>'a6'!AX19</f>
        <v>5572.6743321766908</v>
      </c>
      <c r="I5" s="625">
        <f>'a6'!BE19</f>
        <v>5813.3953814901361</v>
      </c>
      <c r="J5" s="625">
        <f>'a6'!BL19</f>
        <v>6130.006878402467</v>
      </c>
      <c r="K5" s="625">
        <f>'a6'!BS19</f>
        <v>7187.3692123827086</v>
      </c>
      <c r="L5" s="625">
        <f>'a6'!BZ19</f>
        <v>6432.8558215638413</v>
      </c>
    </row>
    <row r="6" spans="1:12">
      <c r="A6" s="611">
        <f t="shared" ref="A6:A34" si="0">A5+1</f>
        <v>1982</v>
      </c>
      <c r="B6" s="625">
        <f>'a6'!H20</f>
        <v>6138.4499318862509</v>
      </c>
      <c r="C6" s="625">
        <f>'a6'!O20</f>
        <v>4977.3929892607521</v>
      </c>
      <c r="D6" s="625">
        <f>'a6'!V20</f>
        <v>6100.5306417482361</v>
      </c>
      <c r="E6" s="625">
        <f>'a6'!AC20</f>
        <v>7467.6219381363271</v>
      </c>
      <c r="F6" s="625">
        <f>'a6'!AJ20</f>
        <v>5832.9515249408914</v>
      </c>
      <c r="G6" s="625">
        <f>'a6'!AQ20</f>
        <v>5792.2137866091352</v>
      </c>
      <c r="H6" s="625">
        <f>'a6'!AX20</f>
        <v>5727.6758910159087</v>
      </c>
      <c r="I6" s="625">
        <f>'a6'!BE20</f>
        <v>6084.9070716811984</v>
      </c>
      <c r="J6" s="625">
        <f>'a6'!BL20</f>
        <v>6241.2154385472704</v>
      </c>
      <c r="K6" s="625">
        <f>'a6'!BS20</f>
        <v>7414.0246871830477</v>
      </c>
      <c r="L6" s="625">
        <f>'a6'!BZ20</f>
        <v>6446.7495158791671</v>
      </c>
    </row>
    <row r="7" spans="1:12">
      <c r="A7" s="611">
        <f t="shared" si="0"/>
        <v>1983</v>
      </c>
      <c r="B7" s="625">
        <f>'a6'!H21</f>
        <v>6160.4458929331195</v>
      </c>
      <c r="C7" s="625">
        <f>'a6'!O21</f>
        <v>5325.8925233462451</v>
      </c>
      <c r="D7" s="625">
        <f>'a6'!V21</f>
        <v>6267.7484057835127</v>
      </c>
      <c r="E7" s="625">
        <f>'a6'!AC21</f>
        <v>7222.8343196019796</v>
      </c>
      <c r="F7" s="625">
        <f>'a6'!AJ21</f>
        <v>5689.0424701709317</v>
      </c>
      <c r="G7" s="625">
        <f>'a6'!AQ21</f>
        <v>5878.1414457293649</v>
      </c>
      <c r="H7" s="625">
        <f>'a6'!AX21</f>
        <v>5736.0500245750591</v>
      </c>
      <c r="I7" s="625">
        <f>'a6'!BE21</f>
        <v>6154.119394098293</v>
      </c>
      <c r="J7" s="625">
        <f>'a6'!BL21</f>
        <v>6078.3204584491514</v>
      </c>
      <c r="K7" s="625">
        <f>'a6'!BS21</f>
        <v>7470.735219089468</v>
      </c>
      <c r="L7" s="625">
        <f>'a6'!BZ21</f>
        <v>6418.5906319092828</v>
      </c>
    </row>
    <row r="8" spans="1:12">
      <c r="A8" s="611">
        <f t="shared" si="0"/>
        <v>1984</v>
      </c>
      <c r="B8" s="625">
        <f>'a6'!H22</f>
        <v>6189.0924042896713</v>
      </c>
      <c r="C8" s="625">
        <f>'a6'!O22</f>
        <v>5526.8214125151535</v>
      </c>
      <c r="D8" s="625">
        <f>'a6'!V22</f>
        <v>6762.8488960725108</v>
      </c>
      <c r="E8" s="625">
        <f>'a6'!AC22</f>
        <v>7627.9411223854004</v>
      </c>
      <c r="F8" s="625">
        <f>'a6'!AJ22</f>
        <v>5662.3124953201241</v>
      </c>
      <c r="G8" s="625">
        <f>'a6'!AQ22</f>
        <v>5925.9772616800628</v>
      </c>
      <c r="H8" s="625">
        <f>'a6'!AX22</f>
        <v>5852.5277955079928</v>
      </c>
      <c r="I8" s="625">
        <f>'a6'!BE22</f>
        <v>6264.320439557926</v>
      </c>
      <c r="J8" s="625">
        <f>'a6'!BL22</f>
        <v>6092.7195120114184</v>
      </c>
      <c r="K8" s="625">
        <f>'a6'!BS22</f>
        <v>7052.7173418747443</v>
      </c>
      <c r="L8" s="625">
        <f>'a6'!BZ22</f>
        <v>6253.5488745115799</v>
      </c>
    </row>
    <row r="9" spans="1:12">
      <c r="A9" s="611">
        <f t="shared" si="0"/>
        <v>1985</v>
      </c>
      <c r="B9" s="625">
        <f>'a6'!H23</f>
        <v>6442.3824862931715</v>
      </c>
      <c r="C9" s="625">
        <f>'a6'!O23</f>
        <v>5728.1993570641553</v>
      </c>
      <c r="D9" s="625">
        <f>'a6'!V23</f>
        <v>6832.8902633350544</v>
      </c>
      <c r="E9" s="625">
        <f>'a6'!AC23</f>
        <v>8325.6980686659044</v>
      </c>
      <c r="F9" s="625">
        <f>'a6'!AJ23</f>
        <v>5978.0916413432687</v>
      </c>
      <c r="G9" s="625">
        <f>'a6'!AQ23</f>
        <v>6173.539596974616</v>
      </c>
      <c r="H9" s="625">
        <f>'a6'!AX23</f>
        <v>6060.4127729694137</v>
      </c>
      <c r="I9" s="625">
        <f>'a6'!BE23</f>
        <v>6636.9178240429774</v>
      </c>
      <c r="J9" s="625">
        <f>'a6'!BL23</f>
        <v>6257.3396186319042</v>
      </c>
      <c r="K9" s="625">
        <f>'a6'!BS23</f>
        <v>7357.206287973092</v>
      </c>
      <c r="L9" s="625">
        <f>'a6'!BZ23</f>
        <v>6438.966859443979</v>
      </c>
    </row>
    <row r="10" spans="1:12">
      <c r="A10" s="611">
        <f t="shared" si="0"/>
        <v>1986</v>
      </c>
      <c r="B10" s="625">
        <f>'a6'!H24</f>
        <v>6500.5180471018202</v>
      </c>
      <c r="C10" s="625">
        <f>'a6'!O24</f>
        <v>5915.7099714479309</v>
      </c>
      <c r="D10" s="625">
        <f>'a6'!V24</f>
        <v>6691.5105002282326</v>
      </c>
      <c r="E10" s="625">
        <f>'a6'!AC24</f>
        <v>8417.8771198482445</v>
      </c>
      <c r="F10" s="625">
        <f>'a6'!AJ24</f>
        <v>5998.0633937374369</v>
      </c>
      <c r="G10" s="625">
        <f>'a6'!AQ24</f>
        <v>6375.5921854996277</v>
      </c>
      <c r="H10" s="625">
        <f>'a6'!AX24</f>
        <v>6075.9205408090893</v>
      </c>
      <c r="I10" s="625">
        <f>'a6'!BE24</f>
        <v>6709.1685899472159</v>
      </c>
      <c r="J10" s="625">
        <f>'a6'!BL24</f>
        <v>6428.3972802483349</v>
      </c>
      <c r="K10" s="625">
        <f>'a6'!BS24</f>
        <v>7190.3969633636952</v>
      </c>
      <c r="L10" s="625">
        <f>'a6'!BZ24</f>
        <v>6379.24611888038</v>
      </c>
    </row>
    <row r="11" spans="1:12">
      <c r="A11" s="611">
        <f t="shared" si="0"/>
        <v>1987</v>
      </c>
      <c r="B11" s="625">
        <f>'a6'!H25</f>
        <v>6516.0960606087938</v>
      </c>
      <c r="C11" s="625">
        <f>'a6'!O25</f>
        <v>6005.4242179123567</v>
      </c>
      <c r="D11" s="625">
        <f>'a6'!V25</f>
        <v>6798.7842883571666</v>
      </c>
      <c r="E11" s="625">
        <f>'a6'!AC25</f>
        <v>8339.4114947170765</v>
      </c>
      <c r="F11" s="625">
        <f>'a6'!AJ25</f>
        <v>6261.7355750572806</v>
      </c>
      <c r="G11" s="625">
        <f>'a6'!AQ25</f>
        <v>6220.5369406508134</v>
      </c>
      <c r="H11" s="625">
        <f>'a6'!AX25</f>
        <v>6181.9277444299751</v>
      </c>
      <c r="I11" s="625">
        <f>'a6'!BE25</f>
        <v>6719.7243999957227</v>
      </c>
      <c r="J11" s="625">
        <f>'a6'!BL25</f>
        <v>6345.5837372289288</v>
      </c>
      <c r="K11" s="625">
        <f>'a6'!BS25</f>
        <v>7260.8390755265764</v>
      </c>
      <c r="L11" s="625">
        <f>'a6'!BZ25</f>
        <v>6420.4610819799364</v>
      </c>
    </row>
    <row r="12" spans="1:12">
      <c r="A12" s="611">
        <f t="shared" si="0"/>
        <v>1988</v>
      </c>
      <c r="B12" s="625">
        <f>'a6'!H26</f>
        <v>6741.644304547538</v>
      </c>
      <c r="C12" s="625">
        <f>'a6'!O26</f>
        <v>6626.1116908894937</v>
      </c>
      <c r="D12" s="625">
        <f>'a6'!V26</f>
        <v>7460.4237378097214</v>
      </c>
      <c r="E12" s="625">
        <f>'a6'!AC26</f>
        <v>8697.5301581679378</v>
      </c>
      <c r="F12" s="625">
        <f>'a6'!AJ26</f>
        <v>6573.4398669409838</v>
      </c>
      <c r="G12" s="625">
        <f>'a6'!AQ26</f>
        <v>6491.2590709799069</v>
      </c>
      <c r="H12" s="625">
        <f>'a6'!AX26</f>
        <v>6409.2991984423006</v>
      </c>
      <c r="I12" s="625">
        <f>'a6'!BE26</f>
        <v>6711.723821096437</v>
      </c>
      <c r="J12" s="625">
        <f>'a6'!BL26</f>
        <v>6362.7429499003292</v>
      </c>
      <c r="K12" s="625">
        <f>'a6'!BS26</f>
        <v>7397.759535004232</v>
      </c>
      <c r="L12" s="625">
        <f>'a6'!BZ26</f>
        <v>6560.6122809038789</v>
      </c>
    </row>
    <row r="13" spans="1:12">
      <c r="A13" s="611">
        <f t="shared" si="0"/>
        <v>1989</v>
      </c>
      <c r="B13" s="625">
        <f>'a6'!H27</f>
        <v>6856.4027480354835</v>
      </c>
      <c r="C13" s="625">
        <f>'a6'!O27</f>
        <v>6903.6209724544315</v>
      </c>
      <c r="D13" s="625">
        <f>'a6'!V27</f>
        <v>7577.7397383538992</v>
      </c>
      <c r="E13" s="625">
        <f>'a6'!AC27</f>
        <v>8669.0521274597068</v>
      </c>
      <c r="F13" s="625">
        <f>'a6'!AJ27</f>
        <v>6703.0125969298188</v>
      </c>
      <c r="G13" s="625">
        <f>'a6'!AQ27</f>
        <v>6603.1004059450443</v>
      </c>
      <c r="H13" s="625">
        <f>'a6'!AX27</f>
        <v>6524.5859537808456</v>
      </c>
      <c r="I13" s="625">
        <f>'a6'!BE27</f>
        <v>6815.4036987677009</v>
      </c>
      <c r="J13" s="625">
        <f>'a6'!BL27</f>
        <v>6652.6648617386754</v>
      </c>
      <c r="K13" s="625">
        <f>'a6'!BS27</f>
        <v>7386.8945184726772</v>
      </c>
      <c r="L13" s="625">
        <f>'a6'!BZ27</f>
        <v>6697.9362906223587</v>
      </c>
    </row>
    <row r="14" spans="1:12">
      <c r="A14" s="611">
        <f t="shared" si="0"/>
        <v>1990</v>
      </c>
      <c r="B14" s="625">
        <f>'a6'!H28</f>
        <v>7040.9593085880215</v>
      </c>
      <c r="C14" s="625">
        <f>'a6'!O28</f>
        <v>7049.0483227591985</v>
      </c>
      <c r="D14" s="625">
        <f>'a6'!V28</f>
        <v>7597.7285478082504</v>
      </c>
      <c r="E14" s="625">
        <f>'a6'!AC28</f>
        <v>8713.5100280795596</v>
      </c>
      <c r="F14" s="625">
        <f>'a6'!AJ28</f>
        <v>7114.6568761757899</v>
      </c>
      <c r="G14" s="625">
        <f>'a6'!AQ28</f>
        <v>6746.1370170851078</v>
      </c>
      <c r="H14" s="625">
        <f>'a6'!AX28</f>
        <v>6781.3634834297545</v>
      </c>
      <c r="I14" s="625">
        <f>'a6'!BE28</f>
        <v>6983.4355993204072</v>
      </c>
      <c r="J14" s="625">
        <f>'a6'!BL28</f>
        <v>6942.9012734778735</v>
      </c>
      <c r="K14" s="625">
        <f>'a6'!BS28</f>
        <v>7573.2915393069688</v>
      </c>
      <c r="L14" s="625">
        <f>'a6'!BZ28</f>
        <v>6731.6118984143332</v>
      </c>
    </row>
    <row r="15" spans="1:12">
      <c r="A15" s="611">
        <f t="shared" si="0"/>
        <v>1991</v>
      </c>
      <c r="B15" s="625">
        <f>'a6'!H29</f>
        <v>7219.5337472811489</v>
      </c>
      <c r="C15" s="625">
        <f>'a6'!O29</f>
        <v>6951.7314278500353</v>
      </c>
      <c r="D15" s="625">
        <f>'a6'!V29</f>
        <v>7571.7177869467159</v>
      </c>
      <c r="E15" s="625">
        <f>'a6'!AC29</f>
        <v>8662.6049216897136</v>
      </c>
      <c r="F15" s="625">
        <f>'a6'!AJ29</f>
        <v>7188.2145622089802</v>
      </c>
      <c r="G15" s="625">
        <f>'a6'!AQ29</f>
        <v>6911.4666900046404</v>
      </c>
      <c r="H15" s="625">
        <f>'a6'!AX29</f>
        <v>7046.2243148408297</v>
      </c>
      <c r="I15" s="625">
        <f>'a6'!BE29</f>
        <v>7174.2065237041825</v>
      </c>
      <c r="J15" s="625">
        <f>'a6'!BL29</f>
        <v>6906.2375377667577</v>
      </c>
      <c r="K15" s="625">
        <f>'a6'!BS29</f>
        <v>7431.4669501348853</v>
      </c>
      <c r="L15" s="625">
        <f>'a6'!BZ29</f>
        <v>7131.9778615390915</v>
      </c>
    </row>
    <row r="16" spans="1:12">
      <c r="A16" s="611">
        <f t="shared" si="0"/>
        <v>1992</v>
      </c>
      <c r="B16" s="625">
        <f>'a6'!H30</f>
        <v>7213.8918331263549</v>
      </c>
      <c r="C16" s="625">
        <f>'a6'!O30</f>
        <v>7099.9447649662925</v>
      </c>
      <c r="D16" s="625">
        <f>'a6'!V30</f>
        <v>7390.2213671302243</v>
      </c>
      <c r="E16" s="625">
        <f>'a6'!AC30</f>
        <v>8745.1200789486356</v>
      </c>
      <c r="F16" s="625">
        <f>'a6'!AJ30</f>
        <v>7271.6799846674649</v>
      </c>
      <c r="G16" s="625">
        <f>'a6'!AQ30</f>
        <v>7020.0007043016722</v>
      </c>
      <c r="H16" s="625">
        <f>'a6'!AX30</f>
        <v>6998.7459388336083</v>
      </c>
      <c r="I16" s="625">
        <f>'a6'!BE30</f>
        <v>7046.170711390022</v>
      </c>
      <c r="J16" s="625">
        <f>'a6'!BL30</f>
        <v>6507.5050553748433</v>
      </c>
      <c r="K16" s="625">
        <f>'a6'!BS30</f>
        <v>7363.7021206517666</v>
      </c>
      <c r="L16" s="625">
        <f>'a6'!BZ30</f>
        <v>7188.2128698862543</v>
      </c>
    </row>
    <row r="17" spans="1:12">
      <c r="A17" s="611">
        <f t="shared" si="0"/>
        <v>1993</v>
      </c>
      <c r="B17" s="625">
        <f>'a6'!H31</f>
        <v>7115.1534329655324</v>
      </c>
      <c r="C17" s="625">
        <f>'a6'!O31</f>
        <v>6987.539920016462</v>
      </c>
      <c r="D17" s="625">
        <f>'a6'!V31</f>
        <v>7044.2023557213615</v>
      </c>
      <c r="E17" s="625">
        <f>'a6'!AC31</f>
        <v>8962.2092712812428</v>
      </c>
      <c r="F17" s="625">
        <f>'a6'!AJ31</f>
        <v>7413.5989751055204</v>
      </c>
      <c r="G17" s="625">
        <f>'a6'!AQ31</f>
        <v>6990.7891374690471</v>
      </c>
      <c r="H17" s="625">
        <f>'a6'!AX31</f>
        <v>6860.3761575199096</v>
      </c>
      <c r="I17" s="625">
        <f>'a6'!BE31</f>
        <v>6940.5585425994441</v>
      </c>
      <c r="J17" s="625">
        <f>'a6'!BL31</f>
        <v>6708.8646130643283</v>
      </c>
      <c r="K17" s="625">
        <f>'a6'!BS31</f>
        <v>7083.6479978449988</v>
      </c>
      <c r="L17" s="625">
        <f>'a6'!BZ31</f>
        <v>7087.9491831426149</v>
      </c>
    </row>
    <row r="18" spans="1:12">
      <c r="A18" s="611">
        <f t="shared" si="0"/>
        <v>1994</v>
      </c>
      <c r="B18" s="625">
        <f>'a6'!H32</f>
        <v>6978.9054036775033</v>
      </c>
      <c r="C18" s="625">
        <f>'a6'!O32</f>
        <v>6935.3709676262724</v>
      </c>
      <c r="D18" s="625">
        <f>'a6'!V32</f>
        <v>6738.9793820105833</v>
      </c>
      <c r="E18" s="625">
        <f>'a6'!AC32</f>
        <v>8657.7399400882132</v>
      </c>
      <c r="F18" s="625">
        <f>'a6'!AJ32</f>
        <v>7304.0365103282265</v>
      </c>
      <c r="G18" s="625">
        <f>'a6'!AQ32</f>
        <v>6908.6228260152839</v>
      </c>
      <c r="H18" s="625">
        <f>'a6'!AX32</f>
        <v>6816.6243825315514</v>
      </c>
      <c r="I18" s="625">
        <f>'a6'!BE32</f>
        <v>6756.8671275604966</v>
      </c>
      <c r="J18" s="625">
        <f>'a6'!BL32</f>
        <v>6442.0880181880902</v>
      </c>
      <c r="K18" s="625">
        <f>'a6'!BS32</f>
        <v>6492.8243462665159</v>
      </c>
      <c r="L18" s="625">
        <f>'a6'!BZ32</f>
        <v>7041.7536347200812</v>
      </c>
    </row>
    <row r="19" spans="1:12">
      <c r="A19" s="611">
        <f t="shared" si="0"/>
        <v>1995</v>
      </c>
      <c r="B19" s="625">
        <f>'a6'!H33</f>
        <v>6827.9315038937748</v>
      </c>
      <c r="C19" s="625">
        <f>'a6'!O33</f>
        <v>6714.1443572201806</v>
      </c>
      <c r="D19" s="625">
        <f>'a6'!V33</f>
        <v>6817.2253795900042</v>
      </c>
      <c r="E19" s="625">
        <f>'a6'!AC33</f>
        <v>8561.9633363839876</v>
      </c>
      <c r="F19" s="625">
        <f>'a6'!AJ33</f>
        <v>7184.3581713403946</v>
      </c>
      <c r="G19" s="625">
        <f>'a6'!AQ33</f>
        <v>6723.3223377260556</v>
      </c>
      <c r="H19" s="625">
        <f>'a6'!AX33</f>
        <v>6763.9363798028744</v>
      </c>
      <c r="I19" s="625">
        <f>'a6'!BE33</f>
        <v>6716.3365762624144</v>
      </c>
      <c r="J19" s="625">
        <f>'a6'!BL33</f>
        <v>6319.0442108415773</v>
      </c>
      <c r="K19" s="625">
        <f>'a6'!BS33</f>
        <v>6312.5363566049009</v>
      </c>
      <c r="L19" s="625">
        <f>'a6'!BZ33</f>
        <v>6658.6274937083181</v>
      </c>
    </row>
    <row r="20" spans="1:12">
      <c r="A20" s="611">
        <f t="shared" si="0"/>
        <v>1996</v>
      </c>
      <c r="B20" s="625">
        <f>'a6'!H34</f>
        <v>6643.2055323629611</v>
      </c>
      <c r="C20" s="625">
        <f>'a6'!O34</f>
        <v>6517.2390843355652</v>
      </c>
      <c r="D20" s="625">
        <f>'a6'!V34</f>
        <v>7125.1411070700187</v>
      </c>
      <c r="E20" s="625">
        <f>'a6'!AC34</f>
        <v>8005.247269730834</v>
      </c>
      <c r="F20" s="625">
        <f>'a6'!AJ34</f>
        <v>6984.5505824388529</v>
      </c>
      <c r="G20" s="625">
        <f>'a6'!AQ34</f>
        <v>6646.6233058663374</v>
      </c>
      <c r="H20" s="625">
        <f>'a6'!AX34</f>
        <v>6418.0723887667182</v>
      </c>
      <c r="I20" s="625">
        <f>'a6'!BE34</f>
        <v>6634.5871408436797</v>
      </c>
      <c r="J20" s="625">
        <f>'a6'!BL34</f>
        <v>6373.1431558535314</v>
      </c>
      <c r="K20" s="625">
        <f>'a6'!BS34</f>
        <v>6237.634346342239</v>
      </c>
      <c r="L20" s="625">
        <f>'a6'!BZ34</f>
        <v>6705.9124649881678</v>
      </c>
    </row>
    <row r="21" spans="1:12">
      <c r="A21" s="611">
        <f t="shared" si="0"/>
        <v>1997</v>
      </c>
      <c r="B21" s="625">
        <f>'a6'!H35</f>
        <v>6474.4653003098256</v>
      </c>
      <c r="C21" s="625">
        <f>'a6'!O35</f>
        <v>6449.7703306573922</v>
      </c>
      <c r="D21" s="625">
        <f>'a6'!V35</f>
        <v>7321.8858670407499</v>
      </c>
      <c r="E21" s="625">
        <f>'a6'!AC35</f>
        <v>7807.4874528319306</v>
      </c>
      <c r="F21" s="625">
        <f>'a6'!AJ35</f>
        <v>6929.4946536361313</v>
      </c>
      <c r="G21" s="625">
        <f>'a6'!AQ35</f>
        <v>6373.3175417478151</v>
      </c>
      <c r="H21" s="625">
        <f>'a6'!AX35</f>
        <v>6316.5665640815951</v>
      </c>
      <c r="I21" s="625">
        <f>'a6'!BE35</f>
        <v>6517.6588701643695</v>
      </c>
      <c r="J21" s="625">
        <f>'a6'!BL35</f>
        <v>6375.2014194189205</v>
      </c>
      <c r="K21" s="625">
        <f>'a6'!BS35</f>
        <v>6117.5681340535129</v>
      </c>
      <c r="L21" s="625">
        <f>'a6'!BZ35</f>
        <v>6423.9017734546696</v>
      </c>
    </row>
    <row r="22" spans="1:12">
      <c r="A22" s="611">
        <f t="shared" si="0"/>
        <v>1998</v>
      </c>
      <c r="B22" s="625">
        <f>'a6'!H36</f>
        <v>6611.7388380302154</v>
      </c>
      <c r="C22" s="625">
        <f>'a6'!O36</f>
        <v>7316.4315121128557</v>
      </c>
      <c r="D22" s="625">
        <f>'a6'!V36</f>
        <v>7806.8358711008877</v>
      </c>
      <c r="E22" s="625">
        <f>'a6'!AC36</f>
        <v>7933.1472987673633</v>
      </c>
      <c r="F22" s="625">
        <f>'a6'!AJ36</f>
        <v>7414.1464376409949</v>
      </c>
      <c r="G22" s="625">
        <f>'a6'!AQ36</f>
        <v>6465.1522137658958</v>
      </c>
      <c r="H22" s="625">
        <f>'a6'!AX36</f>
        <v>6374.7271372379237</v>
      </c>
      <c r="I22" s="625">
        <f>'a6'!BE36</f>
        <v>6539.0572891543588</v>
      </c>
      <c r="J22" s="625">
        <f>'a6'!BL36</f>
        <v>6745.4356901702749</v>
      </c>
      <c r="K22" s="625">
        <f>'a6'!BS36</f>
        <v>6490.1155231163839</v>
      </c>
      <c r="L22" s="625">
        <f>'a6'!BZ36</f>
        <v>6474.9119562252517</v>
      </c>
    </row>
    <row r="23" spans="1:12">
      <c r="A23" s="611">
        <f t="shared" si="0"/>
        <v>1999</v>
      </c>
      <c r="B23" s="625">
        <f>'a6'!H37</f>
        <v>6799.3353459303817</v>
      </c>
      <c r="C23" s="625">
        <f>'a6'!O37</f>
        <v>7775.6226470580214</v>
      </c>
      <c r="D23" s="625">
        <f>'a6'!V37</f>
        <v>8343.8178283970847</v>
      </c>
      <c r="E23" s="625">
        <f>'a6'!AC37</f>
        <v>8106.5336107873654</v>
      </c>
      <c r="F23" s="625">
        <f>'a6'!AJ37</f>
        <v>7830.1727996010595</v>
      </c>
      <c r="G23" s="625">
        <f>'a6'!AQ37</f>
        <v>6633.6886247218754</v>
      </c>
      <c r="H23" s="625">
        <f>'a6'!AX37</f>
        <v>6575.1352466599919</v>
      </c>
      <c r="I23" s="625">
        <f>'a6'!BE37</f>
        <v>7036.2286828927581</v>
      </c>
      <c r="J23" s="625">
        <f>'a6'!BL37</f>
        <v>6784.005213314641</v>
      </c>
      <c r="K23" s="625">
        <f>'a6'!BS37</f>
        <v>6641.9984829956402</v>
      </c>
      <c r="L23" s="625">
        <f>'a6'!BZ37</f>
        <v>6527.2189229422693</v>
      </c>
    </row>
    <row r="24" spans="1:12">
      <c r="A24" s="611">
        <f t="shared" si="0"/>
        <v>2000</v>
      </c>
      <c r="B24" s="625">
        <f>'a6'!H38</f>
        <v>6984.5622702008413</v>
      </c>
      <c r="C24" s="625">
        <f>'a6'!O38</f>
        <v>8059.9343670177213</v>
      </c>
      <c r="D24" s="625">
        <f>'a6'!V38</f>
        <v>8217.3889675601804</v>
      </c>
      <c r="E24" s="625">
        <f>'a6'!AC38</f>
        <v>8294.8067064738188</v>
      </c>
      <c r="F24" s="625">
        <f>'a6'!AJ38</f>
        <v>7552.746220467282</v>
      </c>
      <c r="G24" s="625">
        <f>'a6'!AQ38</f>
        <v>6817.2948551214586</v>
      </c>
      <c r="H24" s="625">
        <f>'a6'!AX38</f>
        <v>6739.7756904691714</v>
      </c>
      <c r="I24" s="625">
        <f>'a6'!BE38</f>
        <v>7108.546446079753</v>
      </c>
      <c r="J24" s="625">
        <f>'a6'!BL38</f>
        <v>6916.5407758106539</v>
      </c>
      <c r="K24" s="625">
        <f>'a6'!BS38</f>
        <v>7055.1189162402197</v>
      </c>
      <c r="L24" s="625">
        <f>'a6'!BZ38</f>
        <v>6752.7774263959127</v>
      </c>
    </row>
    <row r="25" spans="1:12">
      <c r="A25" s="611">
        <f t="shared" si="0"/>
        <v>2001</v>
      </c>
      <c r="B25" s="625">
        <f>'a6'!H39</f>
        <v>7261.4579443103903</v>
      </c>
      <c r="C25" s="625">
        <f>'a6'!O39</f>
        <v>8374.3372782393708</v>
      </c>
      <c r="D25" s="625">
        <f>'a6'!V39</f>
        <v>8713.7126015319282</v>
      </c>
      <c r="E25" s="625">
        <f>'a6'!AC39</f>
        <v>8564.2863978365585</v>
      </c>
      <c r="F25" s="625">
        <f>'a6'!AJ39</f>
        <v>7487.9351992189886</v>
      </c>
      <c r="G25" s="625">
        <f>'a6'!AQ39</f>
        <v>7159.8210533820366</v>
      </c>
      <c r="H25" s="625">
        <f>'a6'!AX39</f>
        <v>6936.2309471363806</v>
      </c>
      <c r="I25" s="625">
        <f>'a6'!BE39</f>
        <v>7381.9785878838356</v>
      </c>
      <c r="J25" s="625">
        <f>'a6'!BL39</f>
        <v>7431.5389770363336</v>
      </c>
      <c r="K25" s="625">
        <f>'a6'!BS39</f>
        <v>7448.9243746911261</v>
      </c>
      <c r="L25" s="625">
        <f>'a6'!BZ39</f>
        <v>7020.4496533018983</v>
      </c>
    </row>
    <row r="26" spans="1:12">
      <c r="A26" s="611">
        <f t="shared" si="0"/>
        <v>2002</v>
      </c>
      <c r="B26" s="625">
        <f>'a6'!H40</f>
        <v>7372.0908336814055</v>
      </c>
      <c r="C26" s="625">
        <f>'a6'!O40</f>
        <v>8800.2448362080413</v>
      </c>
      <c r="D26" s="625">
        <f>'a6'!V40</f>
        <v>8927.7886554253491</v>
      </c>
      <c r="E26" s="625">
        <f>'a6'!AC40</f>
        <v>8921.7820034972701</v>
      </c>
      <c r="F26" s="625">
        <f>'a6'!AJ40</f>
        <v>7537.3900185632247</v>
      </c>
      <c r="G26" s="625">
        <f>'a6'!AQ40</f>
        <v>7296.1222274843049</v>
      </c>
      <c r="H26" s="625">
        <f>'a6'!AX40</f>
        <v>7046.2985408437944</v>
      </c>
      <c r="I26" s="625">
        <f>'a6'!BE40</f>
        <v>7510.7231200064325</v>
      </c>
      <c r="J26" s="625">
        <f>'a6'!BL40</f>
        <v>7592.2877284432898</v>
      </c>
      <c r="K26" s="625">
        <f>'a6'!BS40</f>
        <v>7562.4192069720784</v>
      </c>
      <c r="L26" s="625">
        <f>'a6'!BZ40</f>
        <v>6978.4670163179835</v>
      </c>
    </row>
    <row r="27" spans="1:12">
      <c r="A27" s="611">
        <f t="shared" si="0"/>
        <v>2003</v>
      </c>
      <c r="B27" s="625">
        <f>'a6'!H41</f>
        <v>7591.2102859958577</v>
      </c>
      <c r="C27" s="625">
        <f>'a6'!O41</f>
        <v>8645.1431220598733</v>
      </c>
      <c r="D27" s="625">
        <f>'a6'!V41</f>
        <v>9159.6156974206842</v>
      </c>
      <c r="E27" s="625">
        <f>'a6'!AC41</f>
        <v>9027.8241999207185</v>
      </c>
      <c r="F27" s="625">
        <f>'a6'!AJ41</f>
        <v>7719.4277303313065</v>
      </c>
      <c r="G27" s="625">
        <f>'a6'!AQ41</f>
        <v>7550.9465579439247</v>
      </c>
      <c r="H27" s="625">
        <f>'a6'!AX41</f>
        <v>7373.2252137523838</v>
      </c>
      <c r="I27" s="625">
        <f>'a6'!BE41</f>
        <v>7852.9565332986358</v>
      </c>
      <c r="J27" s="625">
        <f>'a6'!BL41</f>
        <v>7667.7980551165701</v>
      </c>
      <c r="K27" s="625">
        <f>'a6'!BS41</f>
        <v>7631.2503467346742</v>
      </c>
      <c r="L27" s="625">
        <f>'a6'!BZ41</f>
        <v>7015.2937509248977</v>
      </c>
    </row>
    <row r="28" spans="1:12">
      <c r="A28" s="611">
        <f t="shared" si="0"/>
        <v>2004</v>
      </c>
      <c r="B28" s="625">
        <f>'a6'!H42</f>
        <v>7708.82794003856</v>
      </c>
      <c r="C28" s="625">
        <f>'a6'!O42</f>
        <v>8547.2751890761847</v>
      </c>
      <c r="D28" s="625">
        <f>'a6'!V42</f>
        <v>8884.4622953914022</v>
      </c>
      <c r="E28" s="625">
        <f>'a6'!AC42</f>
        <v>9088.0010220861459</v>
      </c>
      <c r="F28" s="625">
        <f>'a6'!AJ42</f>
        <v>7980.5520072935469</v>
      </c>
      <c r="G28" s="625">
        <f>'a6'!AQ42</f>
        <v>7657.3129129737054</v>
      </c>
      <c r="H28" s="625">
        <f>'a6'!AX42</f>
        <v>7564.3325706807982</v>
      </c>
      <c r="I28" s="625">
        <f>'a6'!BE42</f>
        <v>7909.9976534937932</v>
      </c>
      <c r="J28" s="625">
        <f>'a6'!BL42</f>
        <v>7876.608982732917</v>
      </c>
      <c r="K28" s="625">
        <f>'a6'!BS42</f>
        <v>7584.1930935346109</v>
      </c>
      <c r="L28" s="625">
        <f>'a6'!BZ42</f>
        <v>7087.6494462355486</v>
      </c>
    </row>
    <row r="29" spans="1:12">
      <c r="A29" s="611">
        <f t="shared" si="0"/>
        <v>2005</v>
      </c>
      <c r="B29" s="625">
        <f>'a6'!H43</f>
        <v>7845.9787873122978</v>
      </c>
      <c r="C29" s="625">
        <f>'a6'!O43</f>
        <v>8800.7453447813659</v>
      </c>
      <c r="D29" s="625">
        <f>'a6'!V43</f>
        <v>9410.4442324050033</v>
      </c>
      <c r="E29" s="625">
        <f>'a6'!AC43</f>
        <v>9522.6941293685632</v>
      </c>
      <c r="F29" s="625">
        <f>'a6'!AJ43</f>
        <v>8259.2201564839397</v>
      </c>
      <c r="G29" s="625">
        <f>'a6'!AQ43</f>
        <v>7784.3220577288539</v>
      </c>
      <c r="H29" s="625">
        <f>'a6'!AX43</f>
        <v>7611.7073489897602</v>
      </c>
      <c r="I29" s="625">
        <f>'a6'!BE43</f>
        <v>8024.8893155550941</v>
      </c>
      <c r="J29" s="625">
        <f>'a6'!BL43</f>
        <v>8192.7313313681552</v>
      </c>
      <c r="K29" s="625">
        <f>'a6'!BS43</f>
        <v>7848.2513280667499</v>
      </c>
      <c r="L29" s="625">
        <f>'a6'!BZ43</f>
        <v>7265.2093595143742</v>
      </c>
    </row>
    <row r="30" spans="1:12">
      <c r="A30" s="611">
        <f t="shared" si="0"/>
        <v>2006</v>
      </c>
      <c r="B30" s="625">
        <f>'a6'!H44</f>
        <v>8044.4555036858574</v>
      </c>
      <c r="C30" s="625">
        <f>'a6'!O44</f>
        <v>9302.0748382248257</v>
      </c>
      <c r="D30" s="625">
        <f>'a6'!V44</f>
        <v>9775.4225447524841</v>
      </c>
      <c r="E30" s="625">
        <f>'a6'!AC44</f>
        <v>9533.0443269164589</v>
      </c>
      <c r="F30" s="625">
        <f>'a6'!AJ44</f>
        <v>8529.7463478582813</v>
      </c>
      <c r="G30" s="625">
        <f>'a6'!AQ44</f>
        <v>7899.8862477860239</v>
      </c>
      <c r="H30" s="625">
        <f>'a6'!AX44</f>
        <v>7900.078073052423</v>
      </c>
      <c r="I30" s="625">
        <f>'a6'!BE44</f>
        <v>8282.445785939457</v>
      </c>
      <c r="J30" s="625">
        <f>'a6'!BL44</f>
        <v>8436.5309695109008</v>
      </c>
      <c r="K30" s="625">
        <f>'a6'!BS44</f>
        <v>8080.8661329635661</v>
      </c>
      <c r="L30" s="625">
        <f>'a6'!BZ44</f>
        <v>7308.6943065777596</v>
      </c>
    </row>
    <row r="31" spans="1:12">
      <c r="A31" s="611">
        <f t="shared" si="0"/>
        <v>2007</v>
      </c>
      <c r="B31" s="625">
        <f>'a6'!H45</f>
        <v>8215.981203294692</v>
      </c>
      <c r="C31" s="625">
        <f>'a6'!O45</f>
        <v>9611.9170306054166</v>
      </c>
      <c r="D31" s="625">
        <f>'a6'!V45</f>
        <v>9668.1860770442454</v>
      </c>
      <c r="E31" s="625">
        <f>'a6'!AC45</f>
        <v>9797.9123787230328</v>
      </c>
      <c r="F31" s="625">
        <f>'a6'!AJ45</f>
        <v>9054.3029045801941</v>
      </c>
      <c r="G31" s="625">
        <f>'a6'!AQ45</f>
        <v>7981.9959294651344</v>
      </c>
      <c r="H31" s="625">
        <f>'a6'!AX45</f>
        <v>8067.0581078083906</v>
      </c>
      <c r="I31" s="625">
        <f>'a6'!BE45</f>
        <v>8567.3500207029992</v>
      </c>
      <c r="J31" s="625">
        <f>'a6'!BL45</f>
        <v>8588.9420868025645</v>
      </c>
      <c r="K31" s="625">
        <f>'a6'!BS45</f>
        <v>8387.7907768480563</v>
      </c>
      <c r="L31" s="625">
        <f>'a6'!BZ45</f>
        <v>7453.0857950280251</v>
      </c>
    </row>
    <row r="32" spans="1:12">
      <c r="A32" s="611">
        <f t="shared" si="0"/>
        <v>2008</v>
      </c>
      <c r="B32" s="625">
        <f>'a6'!H46</f>
        <v>8442.3055245689338</v>
      </c>
      <c r="C32" s="625">
        <f>'a6'!O46</f>
        <v>10271.93208907615</v>
      </c>
      <c r="D32" s="625">
        <f>'a6'!V46</f>
        <v>9662.9295360615197</v>
      </c>
      <c r="E32" s="625">
        <f>'a6'!AC46</f>
        <v>10156.127990182888</v>
      </c>
      <c r="F32" s="625">
        <f>'a6'!AJ46</f>
        <v>8742.4336982060668</v>
      </c>
      <c r="G32" s="625">
        <f>'a6'!AQ46</f>
        <v>8281.3791459431995</v>
      </c>
      <c r="H32" s="625">
        <f>'a6'!AX46</f>
        <v>8209.561364828136</v>
      </c>
      <c r="I32" s="625">
        <f>'a6'!BE46</f>
        <v>8623.2334101284068</v>
      </c>
      <c r="J32" s="625">
        <f>'a6'!BL46</f>
        <v>9067.3367343823484</v>
      </c>
      <c r="K32" s="625">
        <f>'a6'!BS46</f>
        <v>8913.2360336803977</v>
      </c>
      <c r="L32" s="625">
        <f>'a6'!BZ46</f>
        <v>7583.7803747168118</v>
      </c>
    </row>
    <row r="33" spans="1:12">
      <c r="A33" s="611">
        <f t="shared" si="0"/>
        <v>2009</v>
      </c>
      <c r="B33" s="625">
        <f>'a6'!H47</f>
        <v>8752.1765478485304</v>
      </c>
      <c r="C33" s="625">
        <f>'a6'!O47</f>
        <v>10623.787457191338</v>
      </c>
      <c r="D33" s="625">
        <f>'a6'!V47</f>
        <v>10325.185942084165</v>
      </c>
      <c r="E33" s="625">
        <f>'a6'!AC47</f>
        <v>10502.609398945251</v>
      </c>
      <c r="F33" s="625">
        <f>'a6'!AJ47</f>
        <v>9050.092059292152</v>
      </c>
      <c r="G33" s="625">
        <f>'a6'!AQ47</f>
        <v>8696.113979161817</v>
      </c>
      <c r="H33" s="625">
        <f>'a6'!AX47</f>
        <v>8499.8329936667451</v>
      </c>
      <c r="I33" s="625">
        <f>'a6'!BE47</f>
        <v>8915.2988088826714</v>
      </c>
      <c r="J33" s="625">
        <f>'a6'!BL47</f>
        <v>8902.9063401931689</v>
      </c>
      <c r="K33" s="625">
        <f>'a6'!BS47</f>
        <v>9342.3724833752294</v>
      </c>
      <c r="L33" s="625">
        <f>'a6'!BZ47</f>
        <v>7687.5079591833373</v>
      </c>
    </row>
    <row r="34" spans="1:12">
      <c r="A34" s="611">
        <f t="shared" si="0"/>
        <v>2010</v>
      </c>
      <c r="B34" s="625">
        <f>'a6'!H48</f>
        <v>8978.2285228480359</v>
      </c>
      <c r="C34" s="625">
        <f>'a6'!O48</f>
        <v>11070.114500203861</v>
      </c>
      <c r="D34" s="625">
        <f>'a6'!V48</f>
        <v>10666.447469132643</v>
      </c>
      <c r="E34" s="625">
        <f>'a6'!AC48</f>
        <v>10773.072408661652</v>
      </c>
      <c r="F34" s="625">
        <f>'a6'!AJ48</f>
        <v>9257.0935185327962</v>
      </c>
      <c r="G34" s="625">
        <f>'a6'!AQ48</f>
        <v>8923.3891991240653</v>
      </c>
      <c r="H34" s="625">
        <f>'a6'!AX48</f>
        <v>8700.2693599738941</v>
      </c>
      <c r="I34" s="625">
        <f>'a6'!BE48</f>
        <v>9129.7606169584651</v>
      </c>
      <c r="J34" s="625">
        <f>'a6'!BL48</f>
        <v>9055.2104955707891</v>
      </c>
      <c r="K34" s="625">
        <f>'a6'!BS48</f>
        <v>9932.3023928686453</v>
      </c>
      <c r="L34" s="625">
        <f>'a6'!BZ48</f>
        <v>7812.521802188824</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1.3726803050924108</v>
      </c>
      <c r="C36" s="617">
        <f t="shared" si="1"/>
        <v>3.0704660433843234</v>
      </c>
      <c r="D36" s="617">
        <f t="shared" si="1"/>
        <v>1.9019372526469791</v>
      </c>
      <c r="E36" s="617">
        <f t="shared" si="1"/>
        <v>1.1999355272630963</v>
      </c>
      <c r="F36" s="617">
        <f t="shared" si="1"/>
        <v>1.8509220990523545</v>
      </c>
      <c r="G36" s="617">
        <f t="shared" si="1"/>
        <v>1.4603944383922318</v>
      </c>
      <c r="H36" s="617">
        <f t="shared" si="1"/>
        <v>1.5479933807041935</v>
      </c>
      <c r="I36" s="617">
        <f t="shared" si="1"/>
        <v>1.5686403817269046</v>
      </c>
      <c r="J36" s="617">
        <f t="shared" si="1"/>
        <v>1.3544159680457302</v>
      </c>
      <c r="K36" s="617">
        <f t="shared" si="1"/>
        <v>1.1216476284658494</v>
      </c>
      <c r="L36" s="617">
        <f t="shared" si="1"/>
        <v>0.67228154836778131</v>
      </c>
    </row>
    <row r="37" spans="1:12">
      <c r="A37" s="611" t="s">
        <v>1472</v>
      </c>
      <c r="B37" s="617">
        <f t="shared" ref="B37:L37" si="2">100*(POWER(B13/B5, 1/8)-1)</f>
        <v>1.5842965042108359</v>
      </c>
      <c r="C37" s="617">
        <f t="shared" si="2"/>
        <v>5.1906702722325671</v>
      </c>
      <c r="D37" s="617">
        <f t="shared" si="2"/>
        <v>2.5891265827569843</v>
      </c>
      <c r="E37" s="617">
        <f t="shared" si="2"/>
        <v>1.6207414480874816</v>
      </c>
      <c r="F37" s="617">
        <f t="shared" si="2"/>
        <v>2.647274377748654</v>
      </c>
      <c r="G37" s="617">
        <f t="shared" si="2"/>
        <v>1.5026167929038658</v>
      </c>
      <c r="H37" s="617">
        <f t="shared" si="2"/>
        <v>1.9908383545963249</v>
      </c>
      <c r="I37" s="617">
        <f t="shared" si="2"/>
        <v>2.0076436390926711</v>
      </c>
      <c r="J37" s="617">
        <f t="shared" si="2"/>
        <v>1.0280185917495688</v>
      </c>
      <c r="K37" s="617">
        <f t="shared" si="2"/>
        <v>0.34286405972876466</v>
      </c>
      <c r="L37" s="617">
        <f t="shared" si="2"/>
        <v>0.50603709918934925</v>
      </c>
    </row>
    <row r="38" spans="1:12">
      <c r="A38" s="611" t="s">
        <v>1473</v>
      </c>
      <c r="B38" s="617">
        <f t="shared" ref="B38:L38" si="3">100*(POWER(B24/B13, 1/11)-1)</f>
        <v>0.16849998541923483</v>
      </c>
      <c r="C38" s="617">
        <f t="shared" si="3"/>
        <v>1.417768717213308</v>
      </c>
      <c r="D38" s="617">
        <f t="shared" si="3"/>
        <v>0.73942532115691684</v>
      </c>
      <c r="E38" s="617">
        <f t="shared" si="3"/>
        <v>-0.40037667405424804</v>
      </c>
      <c r="F38" s="617">
        <f t="shared" si="3"/>
        <v>1.0909457777121379</v>
      </c>
      <c r="G38" s="617">
        <f t="shared" si="3"/>
        <v>0.29063468199475029</v>
      </c>
      <c r="H38" s="617">
        <f t="shared" si="3"/>
        <v>0.29542778657001278</v>
      </c>
      <c r="I38" s="617">
        <f t="shared" si="3"/>
        <v>0.38357454192474716</v>
      </c>
      <c r="J38" s="617">
        <f t="shared" si="3"/>
        <v>0.35424644090482627</v>
      </c>
      <c r="K38" s="617">
        <f t="shared" si="3"/>
        <v>-0.41689202189600927</v>
      </c>
      <c r="L38" s="617">
        <f t="shared" si="3"/>
        <v>7.4158649445643654E-2</v>
      </c>
    </row>
    <row r="39" spans="1:12">
      <c r="A39" s="611" t="s">
        <v>1474</v>
      </c>
      <c r="B39" s="617">
        <f t="shared" ref="B39:L39" si="4">100*(POWER(B32/B24, 1/8)-1)</f>
        <v>2.3977075604343145</v>
      </c>
      <c r="C39" s="617">
        <f t="shared" si="4"/>
        <v>3.0777853996711624</v>
      </c>
      <c r="D39" s="617">
        <f t="shared" si="4"/>
        <v>2.046207968355751</v>
      </c>
      <c r="E39" s="617">
        <f t="shared" si="4"/>
        <v>2.5628869476216121</v>
      </c>
      <c r="F39" s="617">
        <f t="shared" si="4"/>
        <v>1.8452859521306264</v>
      </c>
      <c r="G39" s="617">
        <f t="shared" si="4"/>
        <v>2.4616449252903072</v>
      </c>
      <c r="H39" s="617">
        <f t="shared" si="4"/>
        <v>2.4965656713976214</v>
      </c>
      <c r="I39" s="617">
        <f t="shared" si="4"/>
        <v>2.4439149759768686</v>
      </c>
      <c r="J39" s="617">
        <f t="shared" si="4"/>
        <v>3.442462442702432</v>
      </c>
      <c r="K39" s="617">
        <f t="shared" si="4"/>
        <v>2.9654172232716824</v>
      </c>
      <c r="L39" s="617">
        <f t="shared" si="4"/>
        <v>1.4612980047135737</v>
      </c>
    </row>
    <row r="40" spans="1:12">
      <c r="A40" s="611" t="s">
        <v>1500</v>
      </c>
      <c r="B40" s="611"/>
      <c r="C40" s="611"/>
      <c r="D40" s="611"/>
      <c r="E40" s="611"/>
      <c r="F40" s="611"/>
      <c r="G40" s="611"/>
      <c r="H40" s="611"/>
      <c r="I40" s="611"/>
      <c r="J40" s="611"/>
      <c r="K40" s="611"/>
      <c r="L40" s="611"/>
    </row>
    <row r="41" spans="1:12">
      <c r="A41" s="611" t="s">
        <v>1498</v>
      </c>
      <c r="B41" s="616">
        <f>100*(B34-B5)/B5</f>
        <v>48.493332489423381</v>
      </c>
      <c r="C41" s="616">
        <f t="shared" ref="C41:L41" si="5">100*(C34-C5)/C5</f>
        <v>140.37702337071772</v>
      </c>
      <c r="D41" s="616">
        <f t="shared" si="5"/>
        <v>72.699377695115189</v>
      </c>
      <c r="E41" s="616">
        <f t="shared" si="5"/>
        <v>41.327552794162109</v>
      </c>
      <c r="F41" s="616">
        <f t="shared" si="5"/>
        <v>70.209576408894364</v>
      </c>
      <c r="G41" s="616">
        <f t="shared" si="5"/>
        <v>52.264914935819178</v>
      </c>
      <c r="H41" s="616">
        <f t="shared" si="5"/>
        <v>56.123771843949882</v>
      </c>
      <c r="I41" s="616">
        <f t="shared" si="5"/>
        <v>57.046958237653051</v>
      </c>
      <c r="J41" s="616">
        <f>100*(J34-J5)/J5</f>
        <v>47.719418186536451</v>
      </c>
      <c r="K41" s="616">
        <f t="shared" si="5"/>
        <v>38.191069630273724</v>
      </c>
      <c r="L41" s="616">
        <f t="shared" si="5"/>
        <v>21.447177099790537</v>
      </c>
    </row>
    <row r="42" spans="1:12">
      <c r="A42" s="611" t="s">
        <v>1472</v>
      </c>
      <c r="B42" s="616">
        <f>100*(B13-B5)/B5</f>
        <v>13.399886219699635</v>
      </c>
      <c r="C42" s="616">
        <f t="shared" ref="C42:L42" si="6">100*(C13-C5)/C5</f>
        <v>49.905573226699332</v>
      </c>
      <c r="D42" s="616">
        <f t="shared" si="6"/>
        <v>22.690421617543461</v>
      </c>
      <c r="E42" s="616">
        <f t="shared" si="6"/>
        <v>13.725766962621739</v>
      </c>
      <c r="F42" s="616">
        <f t="shared" si="6"/>
        <v>23.247856630461822</v>
      </c>
      <c r="G42" s="616">
        <f t="shared" si="6"/>
        <v>12.672494630469441</v>
      </c>
      <c r="H42" s="616">
        <f t="shared" si="6"/>
        <v>17.0817737564136</v>
      </c>
      <c r="I42" s="616">
        <f t="shared" si="6"/>
        <v>17.236197635343391</v>
      </c>
      <c r="J42" s="616">
        <f t="shared" si="6"/>
        <v>8.5262218086192032</v>
      </c>
      <c r="K42" s="616">
        <f t="shared" si="6"/>
        <v>2.7760547732293732</v>
      </c>
      <c r="L42" s="616">
        <f t="shared" si="6"/>
        <v>4.1207276583120391</v>
      </c>
    </row>
    <row r="43" spans="1:12">
      <c r="A43" s="611" t="s">
        <v>1473</v>
      </c>
      <c r="B43" s="616">
        <f>100*(B24-B13)/B13</f>
        <v>1.8691947785896696</v>
      </c>
      <c r="C43" s="616">
        <f t="shared" ref="C43:L43" si="7">100*(C24-C13)/C13</f>
        <v>16.749375424534467</v>
      </c>
      <c r="D43" s="616">
        <f t="shared" si="7"/>
        <v>8.441161233985996</v>
      </c>
      <c r="E43" s="616">
        <f t="shared" si="7"/>
        <v>-4.3170281535214752</v>
      </c>
      <c r="F43" s="616">
        <f t="shared" si="7"/>
        <v>12.67689134176276</v>
      </c>
      <c r="G43" s="616">
        <f t="shared" si="7"/>
        <v>3.2438466176217191</v>
      </c>
      <c r="H43" s="616">
        <f t="shared" si="7"/>
        <v>3.2981362834775503</v>
      </c>
      <c r="I43" s="616">
        <f t="shared" si="7"/>
        <v>4.3011795084868627</v>
      </c>
      <c r="J43" s="616">
        <f t="shared" si="7"/>
        <v>3.9664693706367538</v>
      </c>
      <c r="K43" s="616">
        <f t="shared" si="7"/>
        <v>-4.4914084180134708</v>
      </c>
      <c r="L43" s="616">
        <f t="shared" si="7"/>
        <v>0.81877661109341915</v>
      </c>
    </row>
    <row r="44" spans="1:12">
      <c r="A44" s="611" t="s">
        <v>1474</v>
      </c>
      <c r="B44" s="616">
        <f>100*(B32-B24)/B24</f>
        <v>20.870932178347879</v>
      </c>
      <c r="C44" s="616">
        <f t="shared" ref="C44:L44" si="8">100*(C32-C24)/C24</f>
        <v>27.444363953014371</v>
      </c>
      <c r="D44" s="616">
        <f t="shared" si="8"/>
        <v>17.591239433935836</v>
      </c>
      <c r="E44" s="616">
        <f t="shared" si="8"/>
        <v>22.439598047008978</v>
      </c>
      <c r="F44" s="616">
        <f t="shared" si="8"/>
        <v>15.751720539938649</v>
      </c>
      <c r="G44" s="616">
        <f t="shared" si="8"/>
        <v>21.476030037366726</v>
      </c>
      <c r="H44" s="616">
        <f t="shared" si="8"/>
        <v>21.807634880748523</v>
      </c>
      <c r="I44" s="616">
        <f t="shared" si="8"/>
        <v>21.307970279690288</v>
      </c>
      <c r="J44" s="616">
        <f t="shared" si="8"/>
        <v>31.096411172673385</v>
      </c>
      <c r="K44" s="616">
        <f t="shared" si="8"/>
        <v>26.337148097716213</v>
      </c>
      <c r="L44" s="616">
        <f t="shared" si="8"/>
        <v>12.306091195492304</v>
      </c>
    </row>
    <row r="46" spans="1:12">
      <c r="A46" s="611" t="s">
        <v>1537</v>
      </c>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dimension ref="A1:L46"/>
  <sheetViews>
    <sheetView workbookViewId="0">
      <selection activeCell="E9" sqref="E9"/>
    </sheetView>
  </sheetViews>
  <sheetFormatPr defaultRowHeight="12.75"/>
  <cols>
    <col min="1" max="16384" width="9" style="618"/>
  </cols>
  <sheetData>
    <row r="1" spans="1:12">
      <c r="A1" s="611" t="s">
        <v>1505</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7">
        <f>'a3'!B15</f>
        <v>75.599999999999994</v>
      </c>
      <c r="C5" s="627">
        <f>'a3'!C15</f>
        <v>75.599999999999994</v>
      </c>
      <c r="D5" s="627">
        <f>'a3'!D15</f>
        <v>76.7</v>
      </c>
      <c r="E5" s="627">
        <f>'a3'!E15</f>
        <v>74.599999999999994</v>
      </c>
      <c r="F5" s="627">
        <f>'a3'!F15</f>
        <v>75.099999999999994</v>
      </c>
      <c r="G5" s="627">
        <f>'a3'!G15</f>
        <v>75.099999999999994</v>
      </c>
      <c r="H5" s="627">
        <f>'a3'!H15</f>
        <v>75.900000000000006</v>
      </c>
      <c r="I5" s="627">
        <f>'a3'!I15</f>
        <v>75.2</v>
      </c>
      <c r="J5" s="627">
        <f>'a3'!J15</f>
        <v>76.3</v>
      </c>
      <c r="K5" s="627">
        <f>'a3'!K15</f>
        <v>75.5</v>
      </c>
      <c r="L5" s="627">
        <f>'a3'!L15</f>
        <v>76.2</v>
      </c>
    </row>
    <row r="6" spans="1:12">
      <c r="A6" s="611">
        <f t="shared" ref="A6:A34" si="0">A5+1</f>
        <v>1982</v>
      </c>
      <c r="B6" s="627">
        <f>'a3'!B16</f>
        <v>75.8</v>
      </c>
      <c r="C6" s="627">
        <f>'a3'!C16</f>
        <v>75.3</v>
      </c>
      <c r="D6" s="627">
        <f>'a3'!D16</f>
        <v>77.099999999999994</v>
      </c>
      <c r="E6" s="627">
        <f>'a3'!E16</f>
        <v>75.099999999999994</v>
      </c>
      <c r="F6" s="627">
        <f>'a3'!F16</f>
        <v>75.3</v>
      </c>
      <c r="G6" s="627">
        <f>'a3'!G16</f>
        <v>75.400000000000006</v>
      </c>
      <c r="H6" s="627">
        <f>'a3'!H16</f>
        <v>76.099999999999994</v>
      </c>
      <c r="I6" s="627">
        <f>'a3'!I16</f>
        <v>75.900000000000006</v>
      </c>
      <c r="J6" s="627">
        <f>'a3'!J16</f>
        <v>75.7</v>
      </c>
      <c r="K6" s="627">
        <f>'a3'!K16</f>
        <v>75.900000000000006</v>
      </c>
      <c r="L6" s="627">
        <f>'a3'!L16</f>
        <v>76.3</v>
      </c>
    </row>
    <row r="7" spans="1:12">
      <c r="A7" s="611">
        <f t="shared" si="0"/>
        <v>1983</v>
      </c>
      <c r="B7" s="627">
        <f>'a3'!B17</f>
        <v>76.099999999999994</v>
      </c>
      <c r="C7" s="627">
        <f>'a3'!C17</f>
        <v>75.099999999999994</v>
      </c>
      <c r="D7" s="627">
        <f>'a3'!D17</f>
        <v>76</v>
      </c>
      <c r="E7" s="627">
        <f>'a3'!E17</f>
        <v>75.099999999999994</v>
      </c>
      <c r="F7" s="627">
        <f>'a3'!F17</f>
        <v>75.8</v>
      </c>
      <c r="G7" s="627">
        <f>'a3'!G17</f>
        <v>75.5</v>
      </c>
      <c r="H7" s="627">
        <f>'a3'!H17</f>
        <v>76.3</v>
      </c>
      <c r="I7" s="627">
        <f>'a3'!I17</f>
        <v>76</v>
      </c>
      <c r="J7" s="627">
        <f>'a3'!J17</f>
        <v>76.900000000000006</v>
      </c>
      <c r="K7" s="627">
        <f>'a3'!K17</f>
        <v>76.599999999999994</v>
      </c>
      <c r="L7" s="627">
        <f>'a3'!L17</f>
        <v>77.2</v>
      </c>
    </row>
    <row r="8" spans="1:12">
      <c r="A8" s="611">
        <f t="shared" si="0"/>
        <v>1984</v>
      </c>
      <c r="B8" s="627">
        <f>'a3'!B18</f>
        <v>76.400000000000006</v>
      </c>
      <c r="C8" s="627">
        <f>'a3'!C18</f>
        <v>75.400000000000006</v>
      </c>
      <c r="D8" s="627">
        <f>'a3'!D18</f>
        <v>76.400000000000006</v>
      </c>
      <c r="E8" s="627">
        <f>'a3'!E18</f>
        <v>75.900000000000006</v>
      </c>
      <c r="F8" s="627">
        <f>'a3'!F18</f>
        <v>76</v>
      </c>
      <c r="G8" s="627">
        <f>'a3'!G18</f>
        <v>75.8</v>
      </c>
      <c r="H8" s="627">
        <f>'a3'!H18</f>
        <v>76.7</v>
      </c>
      <c r="I8" s="627">
        <f>'a3'!I18</f>
        <v>76.8</v>
      </c>
      <c r="J8" s="627">
        <f>'a3'!J18</f>
        <v>77.099999999999994</v>
      </c>
      <c r="K8" s="627">
        <f>'a3'!K18</f>
        <v>76.8</v>
      </c>
      <c r="L8" s="627">
        <f>'a3'!L18</f>
        <v>77.2</v>
      </c>
    </row>
    <row r="9" spans="1:12">
      <c r="A9" s="611">
        <f t="shared" si="0"/>
        <v>1985</v>
      </c>
      <c r="B9" s="627">
        <f>'a3'!B19</f>
        <v>76.400000000000006</v>
      </c>
      <c r="C9" s="627">
        <f>'a3'!C19</f>
        <v>75.599999999999994</v>
      </c>
      <c r="D9" s="627">
        <f>'a3'!D19</f>
        <v>76.400000000000006</v>
      </c>
      <c r="E9" s="627">
        <f>'a3'!E19</f>
        <v>75.400000000000006</v>
      </c>
      <c r="F9" s="627">
        <f>'a3'!F19</f>
        <v>76.3</v>
      </c>
      <c r="G9" s="627">
        <f>'a3'!G19</f>
        <v>75.8</v>
      </c>
      <c r="H9" s="627">
        <f>'a3'!H19</f>
        <v>76.7</v>
      </c>
      <c r="I9" s="627">
        <f>'a3'!I19</f>
        <v>76.400000000000006</v>
      </c>
      <c r="J9" s="627">
        <f>'a3'!J19</f>
        <v>76.7</v>
      </c>
      <c r="K9" s="627">
        <f>'a3'!K19</f>
        <v>76.7</v>
      </c>
      <c r="L9" s="627">
        <f>'a3'!L19</f>
        <v>77.3</v>
      </c>
    </row>
    <row r="10" spans="1:12">
      <c r="A10" s="611">
        <f t="shared" si="0"/>
        <v>1986</v>
      </c>
      <c r="B10" s="627">
        <f>'a3'!B20</f>
        <v>76.599999999999994</v>
      </c>
      <c r="C10" s="627">
        <f>'a3'!C20</f>
        <v>76.2</v>
      </c>
      <c r="D10" s="627">
        <f>'a3'!D20</f>
        <v>75.8</v>
      </c>
      <c r="E10" s="627">
        <f>'a3'!E20</f>
        <v>75.900000000000006</v>
      </c>
      <c r="F10" s="627">
        <f>'a3'!F20</f>
        <v>76.099999999999994</v>
      </c>
      <c r="G10" s="627">
        <f>'a3'!G20</f>
        <v>75.900000000000006</v>
      </c>
      <c r="H10" s="627">
        <f>'a3'!H20</f>
        <v>76.900000000000006</v>
      </c>
      <c r="I10" s="627">
        <f>'a3'!I20</f>
        <v>76.5</v>
      </c>
      <c r="J10" s="627">
        <f>'a3'!J20</f>
        <v>76.900000000000006</v>
      </c>
      <c r="K10" s="627">
        <f>'a3'!K20</f>
        <v>76.7</v>
      </c>
      <c r="L10" s="627">
        <f>'a3'!L20</f>
        <v>77.599999999999994</v>
      </c>
    </row>
    <row r="11" spans="1:12">
      <c r="A11" s="611">
        <f t="shared" si="0"/>
        <v>1987</v>
      </c>
      <c r="B11" s="627">
        <f>'a3'!B21</f>
        <v>76.900000000000006</v>
      </c>
      <c r="C11" s="627">
        <f>'a3'!C21</f>
        <v>76</v>
      </c>
      <c r="D11" s="627">
        <f>'a3'!D21</f>
        <v>77.2</v>
      </c>
      <c r="E11" s="627">
        <f>'a3'!E21</f>
        <v>76.3</v>
      </c>
      <c r="F11" s="627">
        <f>'a3'!F21</f>
        <v>76.599999999999994</v>
      </c>
      <c r="G11" s="627">
        <f>'a3'!G21</f>
        <v>76.099999999999994</v>
      </c>
      <c r="H11" s="627">
        <f>'a3'!H21</f>
        <v>77.2</v>
      </c>
      <c r="I11" s="627">
        <f>'a3'!I21</f>
        <v>76.8</v>
      </c>
      <c r="J11" s="627">
        <f>'a3'!J21</f>
        <v>77.5</v>
      </c>
      <c r="K11" s="627">
        <f>'a3'!K21</f>
        <v>77.3</v>
      </c>
      <c r="L11" s="627">
        <f>'a3'!L21</f>
        <v>77.7</v>
      </c>
    </row>
    <row r="12" spans="1:12">
      <c r="A12" s="611">
        <f t="shared" si="0"/>
        <v>1988</v>
      </c>
      <c r="B12" s="627">
        <f>'a3'!B22</f>
        <v>77</v>
      </c>
      <c r="C12" s="627">
        <f>'a3'!C22</f>
        <v>76.3</v>
      </c>
      <c r="D12" s="627">
        <f>'a3'!D22</f>
        <v>77</v>
      </c>
      <c r="E12" s="627">
        <f>'a3'!E22</f>
        <v>76.099999999999994</v>
      </c>
      <c r="F12" s="627">
        <f>'a3'!F22</f>
        <v>76.8</v>
      </c>
      <c r="G12" s="627">
        <f>'a3'!G22</f>
        <v>76.5</v>
      </c>
      <c r="H12" s="627">
        <f>'a3'!H22</f>
        <v>77.2</v>
      </c>
      <c r="I12" s="627">
        <f>'a3'!I22</f>
        <v>76.7</v>
      </c>
      <c r="J12" s="627">
        <f>'a3'!J22</f>
        <v>77.3</v>
      </c>
      <c r="K12" s="627">
        <f>'a3'!K22</f>
        <v>77.2</v>
      </c>
      <c r="L12" s="627">
        <f>'a3'!L22</f>
        <v>77.7</v>
      </c>
    </row>
    <row r="13" spans="1:12">
      <c r="A13" s="611">
        <f t="shared" si="0"/>
        <v>1989</v>
      </c>
      <c r="B13" s="627">
        <f>'a3'!B23</f>
        <v>77.3</v>
      </c>
      <c r="C13" s="627">
        <f>'a3'!C23</f>
        <v>76.2</v>
      </c>
      <c r="D13" s="627">
        <f>'a3'!D23</f>
        <v>76.900000000000006</v>
      </c>
      <c r="E13" s="627">
        <f>'a3'!E23</f>
        <v>76.3</v>
      </c>
      <c r="F13" s="627">
        <f>'a3'!F23</f>
        <v>76.900000000000006</v>
      </c>
      <c r="G13" s="627">
        <f>'a3'!G23</f>
        <v>76.7</v>
      </c>
      <c r="H13" s="627">
        <f>'a3'!H23</f>
        <v>77.5</v>
      </c>
      <c r="I13" s="627">
        <f>'a3'!I23</f>
        <v>77.3</v>
      </c>
      <c r="J13" s="627">
        <f>'a3'!J23</f>
        <v>78</v>
      </c>
      <c r="K13" s="627">
        <f>'a3'!K23</f>
        <v>77.7</v>
      </c>
      <c r="L13" s="627">
        <f>'a3'!L23</f>
        <v>77.900000000000006</v>
      </c>
    </row>
    <row r="14" spans="1:12">
      <c r="A14" s="611">
        <f t="shared" si="0"/>
        <v>1990</v>
      </c>
      <c r="B14" s="627">
        <f>'a3'!B24</f>
        <v>77.599999999999994</v>
      </c>
      <c r="C14" s="627">
        <f>'a3'!C24</f>
        <v>76.099999999999994</v>
      </c>
      <c r="D14" s="627">
        <f>'a3'!D24</f>
        <v>76.599999999999994</v>
      </c>
      <c r="E14" s="627">
        <f>'a3'!E24</f>
        <v>76.7</v>
      </c>
      <c r="F14" s="627">
        <f>'a3'!F24</f>
        <v>77.3</v>
      </c>
      <c r="G14" s="627">
        <f>'a3'!G24</f>
        <v>77.099999999999994</v>
      </c>
      <c r="H14" s="627">
        <f>'a3'!H24</f>
        <v>77.900000000000006</v>
      </c>
      <c r="I14" s="627">
        <f>'a3'!I24</f>
        <v>77.5</v>
      </c>
      <c r="J14" s="627">
        <f>'a3'!J24</f>
        <v>78</v>
      </c>
      <c r="K14" s="627">
        <f>'a3'!K24</f>
        <v>77.900000000000006</v>
      </c>
      <c r="L14" s="627">
        <f>'a3'!L24</f>
        <v>78.099999999999994</v>
      </c>
    </row>
    <row r="15" spans="1:12">
      <c r="A15" s="611">
        <f t="shared" si="0"/>
        <v>1991</v>
      </c>
      <c r="B15" s="627">
        <f>'a3'!B25</f>
        <v>77.8</v>
      </c>
      <c r="C15" s="627">
        <f>'a3'!C25</f>
        <v>76.7</v>
      </c>
      <c r="D15" s="627">
        <f>'a3'!D25</f>
        <v>76.400000000000006</v>
      </c>
      <c r="E15" s="627">
        <f>'a3'!E25</f>
        <v>77.3</v>
      </c>
      <c r="F15" s="627">
        <f>'a3'!F25</f>
        <v>77.7</v>
      </c>
      <c r="G15" s="627">
        <f>'a3'!G25</f>
        <v>77.3</v>
      </c>
      <c r="H15" s="627">
        <f>'a3'!H25</f>
        <v>78</v>
      </c>
      <c r="I15" s="627">
        <f>'a3'!I25</f>
        <v>77.599999999999994</v>
      </c>
      <c r="J15" s="627">
        <f>'a3'!J25</f>
        <v>78.099999999999994</v>
      </c>
      <c r="K15" s="627">
        <f>'a3'!K25</f>
        <v>78</v>
      </c>
      <c r="L15" s="627">
        <f>'a3'!L25</f>
        <v>78.400000000000006</v>
      </c>
    </row>
    <row r="16" spans="1:12">
      <c r="A16" s="611">
        <f t="shared" si="0"/>
        <v>1992</v>
      </c>
      <c r="B16" s="627">
        <f>'a3'!B26</f>
        <v>78</v>
      </c>
      <c r="C16" s="627">
        <f>'a3'!C26</f>
        <v>76.900000000000006</v>
      </c>
      <c r="D16" s="627">
        <f>'a3'!D26</f>
        <v>77.5</v>
      </c>
      <c r="E16" s="627">
        <f>'a3'!E26</f>
        <v>77</v>
      </c>
      <c r="F16" s="627">
        <f>'a3'!F26</f>
        <v>77.599999999999994</v>
      </c>
      <c r="G16" s="627">
        <f>'a3'!G26</f>
        <v>77.7</v>
      </c>
      <c r="H16" s="627">
        <f>'a3'!H26</f>
        <v>78.2</v>
      </c>
      <c r="I16" s="627">
        <f>'a3'!I26</f>
        <v>77.900000000000006</v>
      </c>
      <c r="J16" s="627">
        <f>'a3'!J26</f>
        <v>78.900000000000006</v>
      </c>
      <c r="K16" s="627">
        <f>'a3'!K26</f>
        <v>78.3</v>
      </c>
      <c r="L16" s="627">
        <f>'a3'!L26</f>
        <v>78.400000000000006</v>
      </c>
    </row>
    <row r="17" spans="1:12">
      <c r="A17" s="611">
        <f t="shared" si="0"/>
        <v>1993</v>
      </c>
      <c r="B17" s="627">
        <f>'a3'!B27</f>
        <v>77.900000000000006</v>
      </c>
      <c r="C17" s="627">
        <f>'a3'!C27</f>
        <v>76.8</v>
      </c>
      <c r="D17" s="627">
        <f>'a3'!D27</f>
        <v>77.099999999999994</v>
      </c>
      <c r="E17" s="627">
        <f>'a3'!E27</f>
        <v>77.400000000000006</v>
      </c>
      <c r="F17" s="627">
        <f>'a3'!F27</f>
        <v>77.5</v>
      </c>
      <c r="G17" s="627">
        <f>'a3'!G27</f>
        <v>77.400000000000006</v>
      </c>
      <c r="H17" s="627">
        <f>'a3'!H27</f>
        <v>78.099999999999994</v>
      </c>
      <c r="I17" s="627">
        <f>'a3'!I27</f>
        <v>77.599999999999994</v>
      </c>
      <c r="J17" s="627">
        <f>'a3'!J27</f>
        <v>78.5</v>
      </c>
      <c r="K17" s="627">
        <f>'a3'!K27</f>
        <v>78.2</v>
      </c>
      <c r="L17" s="627">
        <f>'a3'!L27</f>
        <v>78.3</v>
      </c>
    </row>
    <row r="18" spans="1:12">
      <c r="A18" s="611">
        <f t="shared" si="0"/>
        <v>1994</v>
      </c>
      <c r="B18" s="627">
        <f>'a3'!B28</f>
        <v>78</v>
      </c>
      <c r="C18" s="627">
        <f>'a3'!C28</f>
        <v>76.599999999999994</v>
      </c>
      <c r="D18" s="627">
        <f>'a3'!D28</f>
        <v>78</v>
      </c>
      <c r="E18" s="627">
        <f>'a3'!E28</f>
        <v>77.2</v>
      </c>
      <c r="F18" s="627">
        <f>'a3'!F28</f>
        <v>77.599999999999994</v>
      </c>
      <c r="G18" s="627">
        <f>'a3'!G28</f>
        <v>77.7</v>
      </c>
      <c r="H18" s="627">
        <f>'a3'!H28</f>
        <v>78.2</v>
      </c>
      <c r="I18" s="627">
        <f>'a3'!I28</f>
        <v>77.900000000000006</v>
      </c>
      <c r="J18" s="627">
        <f>'a3'!J28</f>
        <v>78.400000000000006</v>
      </c>
      <c r="K18" s="627">
        <f>'a3'!K28</f>
        <v>78.3</v>
      </c>
      <c r="L18" s="627">
        <f>'a3'!L28</f>
        <v>78.599999999999994</v>
      </c>
    </row>
    <row r="19" spans="1:12">
      <c r="A19" s="611">
        <f t="shared" si="0"/>
        <v>1995</v>
      </c>
      <c r="B19" s="627">
        <f>'a3'!B29</f>
        <v>78.2</v>
      </c>
      <c r="C19" s="627">
        <f>'a3'!C29</f>
        <v>77.2</v>
      </c>
      <c r="D19" s="627">
        <f>'a3'!D29</f>
        <v>77.400000000000006</v>
      </c>
      <c r="E19" s="627">
        <f>'a3'!E29</f>
        <v>77.8</v>
      </c>
      <c r="F19" s="627">
        <f>'a3'!F29</f>
        <v>77.7</v>
      </c>
      <c r="G19" s="627">
        <f>'a3'!G29</f>
        <v>77.7</v>
      </c>
      <c r="H19" s="627">
        <f>'a3'!H29</f>
        <v>78.400000000000006</v>
      </c>
      <c r="I19" s="627">
        <f>'a3'!I29</f>
        <v>77.599999999999994</v>
      </c>
      <c r="J19" s="627">
        <f>'a3'!J29</f>
        <v>78.099999999999994</v>
      </c>
      <c r="K19" s="627">
        <f>'a3'!K29</f>
        <v>78.5</v>
      </c>
      <c r="L19" s="627">
        <f>'a3'!L29</f>
        <v>78.900000000000006</v>
      </c>
    </row>
    <row r="20" spans="1:12">
      <c r="A20" s="611">
        <f t="shared" si="0"/>
        <v>1996</v>
      </c>
      <c r="B20" s="627">
        <f>'a3'!B30</f>
        <v>78.400000000000006</v>
      </c>
      <c r="C20" s="627">
        <f>'a3'!C30</f>
        <v>77.5</v>
      </c>
      <c r="D20" s="627">
        <f>'a3'!D30</f>
        <v>77.2</v>
      </c>
      <c r="E20" s="627">
        <f>'a3'!E30</f>
        <v>77.7</v>
      </c>
      <c r="F20" s="627">
        <f>'a3'!F30</f>
        <v>78.099999999999994</v>
      </c>
      <c r="G20" s="627">
        <f>'a3'!G30</f>
        <v>78.099999999999994</v>
      </c>
      <c r="H20" s="627">
        <f>'a3'!H30</f>
        <v>78.599999999999994</v>
      </c>
      <c r="I20" s="627">
        <f>'a3'!I30</f>
        <v>78</v>
      </c>
      <c r="J20" s="627">
        <f>'a3'!J30</f>
        <v>78.3</v>
      </c>
      <c r="K20" s="627">
        <f>'a3'!K30</f>
        <v>78.5</v>
      </c>
      <c r="L20" s="627">
        <f>'a3'!L30</f>
        <v>78.900000000000006</v>
      </c>
    </row>
    <row r="21" spans="1:12">
      <c r="A21" s="611">
        <f t="shared" si="0"/>
        <v>1997</v>
      </c>
      <c r="B21" s="627">
        <f>'a3'!B31</f>
        <v>78.599999999999994</v>
      </c>
      <c r="C21" s="627">
        <f>'a3'!C31</f>
        <v>76.900000000000006</v>
      </c>
      <c r="D21" s="627">
        <f>'a3'!D31</f>
        <v>79.400000000000006</v>
      </c>
      <c r="E21" s="627">
        <f>'a3'!E31</f>
        <v>77.8</v>
      </c>
      <c r="F21" s="627">
        <f>'a3'!F31</f>
        <v>78.2</v>
      </c>
      <c r="G21" s="627">
        <f>'a3'!G31</f>
        <v>78</v>
      </c>
      <c r="H21" s="627">
        <f>'a3'!H31</f>
        <v>78.900000000000006</v>
      </c>
      <c r="I21" s="627">
        <f>'a3'!I31</f>
        <v>78</v>
      </c>
      <c r="J21" s="627">
        <f>'a3'!J31</f>
        <v>78.5</v>
      </c>
      <c r="K21" s="627">
        <f>'a3'!K31</f>
        <v>78.900000000000006</v>
      </c>
      <c r="L21" s="627">
        <f>'a3'!L31</f>
        <v>79.3</v>
      </c>
    </row>
    <row r="22" spans="1:12">
      <c r="A22" s="611">
        <f t="shared" si="0"/>
        <v>1998</v>
      </c>
      <c r="B22" s="627">
        <f>'a3'!B32</f>
        <v>78.8</v>
      </c>
      <c r="C22" s="627">
        <f>'a3'!C32</f>
        <v>77.3</v>
      </c>
      <c r="D22" s="627">
        <f>'a3'!D32</f>
        <v>77.400000000000006</v>
      </c>
      <c r="E22" s="627">
        <f>'a3'!E32</f>
        <v>77.8</v>
      </c>
      <c r="F22" s="627">
        <f>'a3'!F32</f>
        <v>78</v>
      </c>
      <c r="G22" s="627">
        <f>'a3'!G32</f>
        <v>78.400000000000006</v>
      </c>
      <c r="H22" s="627">
        <f>'a3'!H32</f>
        <v>79.2</v>
      </c>
      <c r="I22" s="627">
        <f>'a3'!I32</f>
        <v>78</v>
      </c>
      <c r="J22" s="627">
        <f>'a3'!J32</f>
        <v>78.5</v>
      </c>
      <c r="K22" s="627">
        <f>'a3'!K32</f>
        <v>79.099999999999994</v>
      </c>
      <c r="L22" s="627">
        <f>'a3'!L32</f>
        <v>79.5</v>
      </c>
    </row>
    <row r="23" spans="1:12">
      <c r="A23" s="611">
        <f t="shared" si="0"/>
        <v>1999</v>
      </c>
      <c r="B23" s="627">
        <f>'a3'!B33</f>
        <v>79</v>
      </c>
      <c r="C23" s="627">
        <f>'a3'!C33</f>
        <v>77.7</v>
      </c>
      <c r="D23" s="627">
        <f>'a3'!D33</f>
        <v>78.400000000000006</v>
      </c>
      <c r="E23" s="627">
        <f>'a3'!E33</f>
        <v>78.7</v>
      </c>
      <c r="F23" s="627">
        <f>'a3'!F33</f>
        <v>78.400000000000006</v>
      </c>
      <c r="G23" s="627">
        <f>'a3'!G33</f>
        <v>78.5</v>
      </c>
      <c r="H23" s="627">
        <f>'a3'!H33</f>
        <v>79.400000000000006</v>
      </c>
      <c r="I23" s="627">
        <f>'a3'!I33</f>
        <v>78</v>
      </c>
      <c r="J23" s="627">
        <f>'a3'!J33</f>
        <v>78.5</v>
      </c>
      <c r="K23" s="627">
        <f>'a3'!K33</f>
        <v>79.2</v>
      </c>
      <c r="L23" s="627">
        <f>'a3'!L33</f>
        <v>80</v>
      </c>
    </row>
    <row r="24" spans="1:12">
      <c r="A24" s="611">
        <f t="shared" si="0"/>
        <v>2000</v>
      </c>
      <c r="B24" s="627">
        <f>'a3'!B34</f>
        <v>79.400000000000006</v>
      </c>
      <c r="C24" s="627">
        <f>'a3'!C34</f>
        <v>77.3</v>
      </c>
      <c r="D24" s="627">
        <f>'a3'!D34</f>
        <v>78.2</v>
      </c>
      <c r="E24" s="627">
        <f>'a3'!E34</f>
        <v>78.599999999999994</v>
      </c>
      <c r="F24" s="627">
        <f>'a3'!F34</f>
        <v>78.8</v>
      </c>
      <c r="G24" s="627">
        <f>'a3'!G34</f>
        <v>79.2</v>
      </c>
      <c r="H24" s="627">
        <f>'a3'!H34</f>
        <v>79.5</v>
      </c>
      <c r="I24" s="627">
        <f>'a3'!I34</f>
        <v>78.099999999999994</v>
      </c>
      <c r="J24" s="627">
        <f>'a3'!J34</f>
        <v>78.599999999999994</v>
      </c>
      <c r="K24" s="627">
        <f>'a3'!K34</f>
        <v>79.5</v>
      </c>
      <c r="L24" s="627">
        <f>'a3'!L34</f>
        <v>80.5</v>
      </c>
    </row>
    <row r="25" spans="1:12">
      <c r="A25" s="611">
        <f t="shared" si="0"/>
        <v>2001</v>
      </c>
      <c r="B25" s="627">
        <f>'a3'!B35</f>
        <v>79.599999999999994</v>
      </c>
      <c r="C25" s="627">
        <f>'a3'!C35</f>
        <v>78.099999999999994</v>
      </c>
      <c r="D25" s="627">
        <f>'a3'!D35</f>
        <v>78.900000000000006</v>
      </c>
      <c r="E25" s="627">
        <f>'a3'!E35</f>
        <v>78.900000000000006</v>
      </c>
      <c r="F25" s="627">
        <f>'a3'!F35</f>
        <v>79</v>
      </c>
      <c r="G25" s="627">
        <f>'a3'!G35</f>
        <v>79.400000000000006</v>
      </c>
      <c r="H25" s="627">
        <f>'a3'!H35</f>
        <v>79.900000000000006</v>
      </c>
      <c r="I25" s="627">
        <f>'a3'!I35</f>
        <v>78.599999999999994</v>
      </c>
      <c r="J25" s="627">
        <f>'a3'!J35</f>
        <v>79.2</v>
      </c>
      <c r="K25" s="627">
        <f>'a3'!K35</f>
        <v>79.7</v>
      </c>
      <c r="L25" s="627">
        <f>'a3'!L35</f>
        <v>80.400000000000006</v>
      </c>
    </row>
    <row r="26" spans="1:12">
      <c r="A26" s="611">
        <f t="shared" si="0"/>
        <v>2002</v>
      </c>
      <c r="B26" s="627">
        <f>'a3'!B36</f>
        <v>79.7</v>
      </c>
      <c r="C26" s="627">
        <f>'a3'!C36</f>
        <v>78.3</v>
      </c>
      <c r="D26" s="627">
        <f>'a3'!D36</f>
        <v>78.8</v>
      </c>
      <c r="E26" s="627">
        <f>'a3'!E36</f>
        <v>79</v>
      </c>
      <c r="F26" s="627">
        <f>'a3'!F36</f>
        <v>79.3</v>
      </c>
      <c r="G26" s="627">
        <f>'a3'!G36</f>
        <v>79.400000000000006</v>
      </c>
      <c r="H26" s="627">
        <f>'a3'!H36</f>
        <v>80.099999999999994</v>
      </c>
      <c r="I26" s="627">
        <f>'a3'!I36</f>
        <v>78.7</v>
      </c>
      <c r="J26" s="627">
        <f>'a3'!J36</f>
        <v>79.099999999999994</v>
      </c>
      <c r="K26" s="627">
        <f>'a3'!K36</f>
        <v>79.7</v>
      </c>
      <c r="L26" s="627">
        <f>'a3'!L36</f>
        <v>80.599999999999994</v>
      </c>
    </row>
    <row r="27" spans="1:12">
      <c r="A27" s="611">
        <f t="shared" si="0"/>
        <v>2003</v>
      </c>
      <c r="B27" s="627">
        <f>'a3'!B37</f>
        <v>79.900000000000006</v>
      </c>
      <c r="C27" s="627">
        <f>'a3'!C37</f>
        <v>78.2</v>
      </c>
      <c r="D27" s="627">
        <f>'a3'!D37</f>
        <v>79.099999999999994</v>
      </c>
      <c r="E27" s="627">
        <f>'a3'!E37</f>
        <v>79.099999999999994</v>
      </c>
      <c r="F27" s="627">
        <f>'a3'!F37</f>
        <v>79.2</v>
      </c>
      <c r="G27" s="627">
        <f>'a3'!G37</f>
        <v>79.900000000000006</v>
      </c>
      <c r="H27" s="627">
        <f>'a3'!H37</f>
        <v>80.2</v>
      </c>
      <c r="I27" s="627">
        <f>'a3'!I37</f>
        <v>78.7</v>
      </c>
      <c r="J27" s="627">
        <f>'a3'!J37</f>
        <v>79.099999999999994</v>
      </c>
      <c r="K27" s="627">
        <f>'a3'!K37</f>
        <v>79.900000000000006</v>
      </c>
      <c r="L27" s="627">
        <f>'a3'!L37</f>
        <v>80.8</v>
      </c>
    </row>
    <row r="28" spans="1:12">
      <c r="A28" s="611">
        <f t="shared" si="0"/>
        <v>2004</v>
      </c>
      <c r="B28" s="627">
        <f>'a3'!B38</f>
        <v>80.2</v>
      </c>
      <c r="C28" s="627">
        <f>'a3'!C38</f>
        <v>78.5</v>
      </c>
      <c r="D28" s="627">
        <f>'a3'!D38</f>
        <v>79.2</v>
      </c>
      <c r="E28" s="627">
        <f>'a3'!E38</f>
        <v>79.099999999999994</v>
      </c>
      <c r="F28" s="627">
        <f>'a3'!F38</f>
        <v>79.7</v>
      </c>
      <c r="G28" s="627">
        <f>'a3'!G38</f>
        <v>80.099999999999994</v>
      </c>
      <c r="H28" s="627">
        <f>'a3'!H38</f>
        <v>80.599999999999994</v>
      </c>
      <c r="I28" s="627">
        <f>'a3'!I38</f>
        <v>78.900000000000006</v>
      </c>
      <c r="J28" s="627">
        <f>'a3'!J38</f>
        <v>79.3</v>
      </c>
      <c r="K28" s="627">
        <f>'a3'!K38</f>
        <v>80.2</v>
      </c>
      <c r="L28" s="627">
        <f>'a3'!L38</f>
        <v>80.900000000000006</v>
      </c>
    </row>
    <row r="29" spans="1:12">
      <c r="A29" s="611">
        <f t="shared" si="0"/>
        <v>2005</v>
      </c>
      <c r="B29" s="627">
        <f>'a3'!B39</f>
        <v>80.400000000000006</v>
      </c>
      <c r="C29" s="627">
        <f>'a3'!C39</f>
        <v>78.2</v>
      </c>
      <c r="D29" s="627">
        <f>'a3'!D39</f>
        <v>79.8</v>
      </c>
      <c r="E29" s="627">
        <f>'a3'!E39</f>
        <v>79.3</v>
      </c>
      <c r="F29" s="627">
        <f>'a3'!F39</f>
        <v>79.8</v>
      </c>
      <c r="G29" s="627">
        <f>'a3'!G39</f>
        <v>80.400000000000006</v>
      </c>
      <c r="H29" s="627">
        <f>'a3'!H39</f>
        <v>80.7</v>
      </c>
      <c r="I29" s="627">
        <f>'a3'!I39</f>
        <v>79</v>
      </c>
      <c r="J29" s="627">
        <f>'a3'!J39</f>
        <v>79.3</v>
      </c>
      <c r="K29" s="627">
        <f>'a3'!K39</f>
        <v>80.3</v>
      </c>
      <c r="L29" s="627">
        <f>'a3'!L39</f>
        <v>81.2</v>
      </c>
    </row>
    <row r="30" spans="1:12">
      <c r="A30" s="611">
        <f t="shared" si="0"/>
        <v>2006</v>
      </c>
      <c r="B30" s="627">
        <f>'a3'!B40</f>
        <v>80.8</v>
      </c>
      <c r="C30" s="627">
        <f>'a3'!C40</f>
        <v>78.2</v>
      </c>
      <c r="D30" s="627">
        <f>'a3'!D40</f>
        <v>79.900000000000006</v>
      </c>
      <c r="E30" s="627">
        <f>'a3'!E40</f>
        <v>79.599999999999994</v>
      </c>
      <c r="F30" s="627">
        <f>'a3'!F40</f>
        <v>80.099999999999994</v>
      </c>
      <c r="G30" s="627">
        <f>'a3'!G40</f>
        <v>80.900000000000006</v>
      </c>
      <c r="H30" s="627">
        <f>'a3'!H40</f>
        <v>81.099999999999994</v>
      </c>
      <c r="I30" s="627">
        <f>'a3'!I40</f>
        <v>79.3</v>
      </c>
      <c r="J30" s="627">
        <f>'a3'!J40</f>
        <v>79.400000000000006</v>
      </c>
      <c r="K30" s="627">
        <f>'a3'!K40</f>
        <v>80.5</v>
      </c>
      <c r="L30" s="627">
        <f>'a3'!L40</f>
        <v>81.400000000000006</v>
      </c>
    </row>
    <row r="31" spans="1:12">
      <c r="A31" s="611">
        <f t="shared" si="0"/>
        <v>2007</v>
      </c>
      <c r="B31" s="627">
        <f>'a3'!B41</f>
        <v>81.042162185927538</v>
      </c>
      <c r="C31" s="627">
        <f>'a3'!C41</f>
        <v>78.381253554795151</v>
      </c>
      <c r="D31" s="627">
        <f>'a3'!D41</f>
        <v>80.224313048878145</v>
      </c>
      <c r="E31" s="627">
        <f>'a3'!E41</f>
        <v>79.741278779762283</v>
      </c>
      <c r="F31" s="627">
        <f>'a3'!F41</f>
        <v>80.302275303825468</v>
      </c>
      <c r="G31" s="627">
        <f>'a3'!G41</f>
        <v>81.143679113737676</v>
      </c>
      <c r="H31" s="627">
        <f>'a3'!H41</f>
        <v>81.343365216473927</v>
      </c>
      <c r="I31" s="627">
        <f>'a3'!I41</f>
        <v>79.481929009483153</v>
      </c>
      <c r="J31" s="627">
        <f>'a3'!J41</f>
        <v>79.540923807953845</v>
      </c>
      <c r="K31" s="627">
        <f>'a3'!K41</f>
        <v>80.661364362354419</v>
      </c>
      <c r="L31" s="627">
        <f>'a3'!L41</f>
        <v>81.541075370147539</v>
      </c>
    </row>
    <row r="32" spans="1:12">
      <c r="A32" s="611">
        <f t="shared" si="0"/>
        <v>2008</v>
      </c>
      <c r="B32" s="627">
        <f>'a3'!B42</f>
        <v>81.285050145670581</v>
      </c>
      <c r="C32" s="627">
        <f>'a3'!C42</f>
        <v>78.562927222776054</v>
      </c>
      <c r="D32" s="627">
        <f>'a3'!D42</f>
        <v>80.549942480155195</v>
      </c>
      <c r="E32" s="627">
        <f>'a3'!E42</f>
        <v>79.8828083094443</v>
      </c>
      <c r="F32" s="627">
        <f>'a3'!F42</f>
        <v>80.505061410379255</v>
      </c>
      <c r="G32" s="627">
        <f>'a3'!G42</f>
        <v>81.388092214007756</v>
      </c>
      <c r="H32" s="627">
        <f>'a3'!H42</f>
        <v>81.587460724299149</v>
      </c>
      <c r="I32" s="627">
        <f>'a3'!I42</f>
        <v>79.664275398089785</v>
      </c>
      <c r="J32" s="627">
        <f>'a3'!J42</f>
        <v>79.6820977358025</v>
      </c>
      <c r="K32" s="627">
        <f>'a3'!K42</f>
        <v>80.823052183807448</v>
      </c>
      <c r="L32" s="627">
        <f>'a3'!L42</f>
        <v>81.682395239804436</v>
      </c>
    </row>
    <row r="33" spans="1:12">
      <c r="A33" s="611">
        <f t="shared" si="0"/>
        <v>2009</v>
      </c>
      <c r="B33" s="627">
        <f>'a3'!B43</f>
        <v>81.528666054414458</v>
      </c>
      <c r="C33" s="627">
        <f>'a3'!C43</f>
        <v>78.745021977689618</v>
      </c>
      <c r="D33" s="627">
        <f>'a3'!D43</f>
        <v>80.876893637009985</v>
      </c>
      <c r="E33" s="627">
        <f>'a3'!E43</f>
        <v>80.024589034091818</v>
      </c>
      <c r="F33" s="627">
        <f>'a3'!F43</f>
        <v>80.708359609583653</v>
      </c>
      <c r="G33" s="627">
        <f>'a3'!G43</f>
        <v>81.633241511653111</v>
      </c>
      <c r="H33" s="627">
        <f>'a3'!H43</f>
        <v>81.832288714936979</v>
      </c>
      <c r="I33" s="627">
        <f>'a3'!I43</f>
        <v>79.847040123365545</v>
      </c>
      <c r="J33" s="627">
        <f>'a3'!J43</f>
        <v>79.823522227473518</v>
      </c>
      <c r="K33" s="627">
        <f>'a3'!K43</f>
        <v>80.985064112741341</v>
      </c>
      <c r="L33" s="627">
        <f>'a3'!L43</f>
        <v>81.823960032715888</v>
      </c>
    </row>
    <row r="34" spans="1:12">
      <c r="A34" s="611">
        <f t="shared" si="0"/>
        <v>2010</v>
      </c>
      <c r="B34" s="627">
        <f>'a3'!B44</f>
        <v>81.773012093863628</v>
      </c>
      <c r="C34" s="627">
        <f>'a3'!C44</f>
        <v>78.927538795539732</v>
      </c>
      <c r="D34" s="627">
        <f>'a3'!D44</f>
        <v>81.205171884309252</v>
      </c>
      <c r="E34" s="627">
        <f>'a3'!E44</f>
        <v>80.166621399540489</v>
      </c>
      <c r="F34" s="627">
        <f>'a3'!F44</f>
        <v>80.912171194618409</v>
      </c>
      <c r="G34" s="627">
        <f>'a3'!G44</f>
        <v>81.879129224175898</v>
      </c>
      <c r="H34" s="627">
        <f>'a3'!H44</f>
        <v>82.077851386424882</v>
      </c>
      <c r="I34" s="627">
        <f>'a3'!I44</f>
        <v>80.030224145052884</v>
      </c>
      <c r="J34" s="627">
        <f>'a3'!J44</f>
        <v>79.96519772768238</v>
      </c>
      <c r="K34" s="627">
        <f>'a3'!K44</f>
        <v>81.147400798838035</v>
      </c>
      <c r="L34" s="627">
        <f>'a3'!L44</f>
        <v>81.965770173361491</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0.27102516433203938</v>
      </c>
      <c r="C36" s="617">
        <f t="shared" si="1"/>
        <v>0.14864111304417893</v>
      </c>
      <c r="D36" s="617">
        <f t="shared" si="1"/>
        <v>0.19701184804155059</v>
      </c>
      <c r="E36" s="617">
        <f t="shared" si="1"/>
        <v>0.24846930911432974</v>
      </c>
      <c r="F36" s="617">
        <f t="shared" si="1"/>
        <v>0.25737789581188331</v>
      </c>
      <c r="G36" s="617">
        <f t="shared" si="1"/>
        <v>0.29845679874134223</v>
      </c>
      <c r="H36" s="617">
        <f t="shared" si="1"/>
        <v>0.27019720268186553</v>
      </c>
      <c r="I36" s="617">
        <f t="shared" si="1"/>
        <v>0.21489655231032856</v>
      </c>
      <c r="J36" s="617">
        <f t="shared" si="1"/>
        <v>0.16191913157888038</v>
      </c>
      <c r="K36" s="617">
        <f t="shared" si="1"/>
        <v>0.24904964088077186</v>
      </c>
      <c r="L36" s="617">
        <f t="shared" si="1"/>
        <v>0.25183471192051776</v>
      </c>
    </row>
    <row r="37" spans="1:12">
      <c r="A37" s="611" t="s">
        <v>1472</v>
      </c>
      <c r="B37" s="617">
        <f t="shared" ref="B37:L37" si="2">100*(POWER(B13/B5, 1/8)-1)</f>
        <v>0.27835760243803964</v>
      </c>
      <c r="C37" s="617">
        <f t="shared" si="2"/>
        <v>9.8863581691932545E-2</v>
      </c>
      <c r="D37" s="617">
        <f t="shared" si="2"/>
        <v>3.2557400501409539E-2</v>
      </c>
      <c r="E37" s="617">
        <f t="shared" si="2"/>
        <v>0.28205240995466951</v>
      </c>
      <c r="F37" s="617">
        <f t="shared" si="2"/>
        <v>0.29650518139792137</v>
      </c>
      <c r="G37" s="617">
        <f t="shared" si="2"/>
        <v>0.26386187432931862</v>
      </c>
      <c r="H37" s="617">
        <f t="shared" si="2"/>
        <v>0.26110593881281119</v>
      </c>
      <c r="I37" s="617">
        <f t="shared" si="2"/>
        <v>0.34487739626027913</v>
      </c>
      <c r="J37" s="617">
        <f t="shared" si="2"/>
        <v>0.27582831321333323</v>
      </c>
      <c r="K37" s="617">
        <f t="shared" si="2"/>
        <v>0.35967780775363334</v>
      </c>
      <c r="L37" s="617">
        <f t="shared" si="2"/>
        <v>0.27618682231349556</v>
      </c>
    </row>
    <row r="38" spans="1:12">
      <c r="A38" s="611" t="s">
        <v>1473</v>
      </c>
      <c r="B38" s="617">
        <f t="shared" ref="B38:L38" si="3">100*(POWER(B24/B13, 1/11)-1)</f>
        <v>0.24397361115435778</v>
      </c>
      <c r="C38" s="617">
        <f t="shared" si="3"/>
        <v>0.13038031132919237</v>
      </c>
      <c r="D38" s="617">
        <f t="shared" si="3"/>
        <v>0.15251410318379843</v>
      </c>
      <c r="E38" s="617">
        <f t="shared" si="3"/>
        <v>0.27035353550237673</v>
      </c>
      <c r="F38" s="617">
        <f t="shared" si="3"/>
        <v>0.22212925459035304</v>
      </c>
      <c r="G38" s="617">
        <f t="shared" si="3"/>
        <v>0.29201271481364977</v>
      </c>
      <c r="H38" s="617">
        <f t="shared" si="3"/>
        <v>0.23189651319437399</v>
      </c>
      <c r="I38" s="617">
        <f t="shared" si="3"/>
        <v>9.3644739807396959E-2</v>
      </c>
      <c r="J38" s="617">
        <f t="shared" si="3"/>
        <v>6.9686749445785345E-2</v>
      </c>
      <c r="K38" s="617">
        <f t="shared" si="3"/>
        <v>0.20841473937889265</v>
      </c>
      <c r="L38" s="617">
        <f t="shared" si="3"/>
        <v>0.29891159379948906</v>
      </c>
    </row>
    <row r="39" spans="1:12">
      <c r="A39" s="611" t="s">
        <v>1474</v>
      </c>
      <c r="B39" s="617">
        <f t="shared" ref="B39:L39" si="4">100*(POWER(B32/B24, 1/8)-1)</f>
        <v>0.29372736527166765</v>
      </c>
      <c r="C39" s="617">
        <f t="shared" si="4"/>
        <v>0.20277993024395702</v>
      </c>
      <c r="D39" s="617">
        <f t="shared" si="4"/>
        <v>0.37078255383771186</v>
      </c>
      <c r="E39" s="617">
        <f t="shared" si="4"/>
        <v>0.20256695392544266</v>
      </c>
      <c r="F39" s="617">
        <f t="shared" si="4"/>
        <v>0.26794659000781706</v>
      </c>
      <c r="G39" s="617">
        <f t="shared" si="4"/>
        <v>0.34123935272081241</v>
      </c>
      <c r="H39" s="617">
        <f t="shared" si="4"/>
        <v>0.32450740029530412</v>
      </c>
      <c r="I39" s="617">
        <f t="shared" si="4"/>
        <v>0.2481973765338763</v>
      </c>
      <c r="J39" s="617">
        <f t="shared" si="4"/>
        <v>0.17106165005265073</v>
      </c>
      <c r="K39" s="617">
        <f t="shared" si="4"/>
        <v>0.20652800691707274</v>
      </c>
      <c r="L39" s="617">
        <f t="shared" si="4"/>
        <v>0.18243262722046349</v>
      </c>
    </row>
    <row r="40" spans="1:12">
      <c r="A40" s="611" t="s">
        <v>1500</v>
      </c>
      <c r="B40" s="611"/>
      <c r="C40" s="611"/>
      <c r="D40" s="611"/>
      <c r="E40" s="611"/>
      <c r="F40" s="611"/>
      <c r="G40" s="611"/>
      <c r="H40" s="611"/>
      <c r="I40" s="611"/>
      <c r="J40" s="611"/>
      <c r="K40" s="611"/>
      <c r="L40" s="611"/>
    </row>
    <row r="41" spans="1:12">
      <c r="A41" s="611" t="s">
        <v>1498</v>
      </c>
      <c r="B41" s="616">
        <f>100*(B34-B5)/B5</f>
        <v>8.1653599125180332</v>
      </c>
      <c r="C41" s="616">
        <f t="shared" ref="C41:L41" si="5">100*(C34-C5)/C5</f>
        <v>4.401506343306532</v>
      </c>
      <c r="D41" s="616">
        <f t="shared" si="5"/>
        <v>5.8737573459051484</v>
      </c>
      <c r="E41" s="616">
        <f t="shared" si="5"/>
        <v>7.4619589806172861</v>
      </c>
      <c r="F41" s="616">
        <f t="shared" si="5"/>
        <v>7.7392426026876375</v>
      </c>
      <c r="G41" s="616">
        <f t="shared" si="5"/>
        <v>9.0268032279306318</v>
      </c>
      <c r="H41" s="616">
        <f t="shared" si="5"/>
        <v>8.1394616421935133</v>
      </c>
      <c r="I41" s="616">
        <f t="shared" si="5"/>
        <v>6.4231704056554264</v>
      </c>
      <c r="J41" s="616">
        <f>100*(J34-J5)/J5</f>
        <v>4.8036667466348399</v>
      </c>
      <c r="K41" s="616">
        <f t="shared" si="5"/>
        <v>7.480001058063622</v>
      </c>
      <c r="L41" s="616">
        <f t="shared" si="5"/>
        <v>7.5666275240964413</v>
      </c>
    </row>
    <row r="42" spans="1:12">
      <c r="A42" s="611" t="s">
        <v>1472</v>
      </c>
      <c r="B42" s="616">
        <f>100*(B13-B5)/B5</f>
        <v>2.2486772486772528</v>
      </c>
      <c r="C42" s="616">
        <f t="shared" ref="C42:L42" si="6">100*(C13-C5)/C5</f>
        <v>0.79365079365080504</v>
      </c>
      <c r="D42" s="616">
        <f t="shared" si="6"/>
        <v>0.26075619295958646</v>
      </c>
      <c r="E42" s="616">
        <f t="shared" si="6"/>
        <v>2.2788203753351248</v>
      </c>
      <c r="F42" s="616">
        <f t="shared" si="6"/>
        <v>2.3968042609853684</v>
      </c>
      <c r="G42" s="616">
        <f t="shared" si="6"/>
        <v>2.1304926764314365</v>
      </c>
      <c r="H42" s="616">
        <f t="shared" si="6"/>
        <v>2.1080368906455789</v>
      </c>
      <c r="I42" s="616">
        <f t="shared" si="6"/>
        <v>2.792553191489354</v>
      </c>
      <c r="J42" s="616">
        <f t="shared" si="6"/>
        <v>2.2280471821756263</v>
      </c>
      <c r="K42" s="616">
        <f t="shared" si="6"/>
        <v>2.9139072847682157</v>
      </c>
      <c r="L42" s="616">
        <f t="shared" si="6"/>
        <v>2.2309711286089273</v>
      </c>
    </row>
    <row r="43" spans="1:12">
      <c r="A43" s="611" t="s">
        <v>1473</v>
      </c>
      <c r="B43" s="616">
        <f>100*(B24-B13)/B13</f>
        <v>2.716688227684358</v>
      </c>
      <c r="C43" s="616">
        <f t="shared" ref="C43:L43" si="7">100*(C24-C13)/C13</f>
        <v>1.4435695538057667</v>
      </c>
      <c r="D43" s="616">
        <f t="shared" si="7"/>
        <v>1.6905071521456398</v>
      </c>
      <c r="E43" s="616">
        <f t="shared" si="7"/>
        <v>3.0144167758846621</v>
      </c>
      <c r="F43" s="616">
        <f t="shared" si="7"/>
        <v>2.4707412223666987</v>
      </c>
      <c r="G43" s="616">
        <f t="shared" si="7"/>
        <v>3.259452411994785</v>
      </c>
      <c r="H43" s="616">
        <f t="shared" si="7"/>
        <v>2.5806451612903225</v>
      </c>
      <c r="I43" s="616">
        <f t="shared" si="7"/>
        <v>1.0349288486416524</v>
      </c>
      <c r="J43" s="616">
        <f t="shared" si="7"/>
        <v>0.76923076923076195</v>
      </c>
      <c r="K43" s="616">
        <f t="shared" si="7"/>
        <v>2.3166023166023129</v>
      </c>
      <c r="L43" s="616">
        <f t="shared" si="7"/>
        <v>3.3376123234916486</v>
      </c>
    </row>
    <row r="44" spans="1:12">
      <c r="A44" s="611" t="s">
        <v>1474</v>
      </c>
      <c r="B44" s="616">
        <f>100*(B32-B24)/B24</f>
        <v>2.3741185713735207</v>
      </c>
      <c r="C44" s="616">
        <f t="shared" ref="C44:L44" si="8">100*(C32-C24)/C24</f>
        <v>1.6337997707322856</v>
      </c>
      <c r="D44" s="616">
        <f t="shared" si="8"/>
        <v>3.0050415347253101</v>
      </c>
      <c r="E44" s="616">
        <f t="shared" si="8"/>
        <v>1.6320716405143842</v>
      </c>
      <c r="F44" s="616">
        <f t="shared" si="8"/>
        <v>2.1637835157097189</v>
      </c>
      <c r="G44" s="616">
        <f t="shared" si="8"/>
        <v>2.7627426944542335</v>
      </c>
      <c r="H44" s="616">
        <f t="shared" si="8"/>
        <v>2.6257367601247155</v>
      </c>
      <c r="I44" s="616">
        <f t="shared" si="8"/>
        <v>2.0029134418563261</v>
      </c>
      <c r="J44" s="616">
        <f t="shared" si="8"/>
        <v>1.3767146765935194</v>
      </c>
      <c r="K44" s="616">
        <f t="shared" si="8"/>
        <v>1.6642165834055951</v>
      </c>
      <c r="L44" s="616">
        <f t="shared" si="8"/>
        <v>1.4688139624899821</v>
      </c>
    </row>
    <row r="46" spans="1:12">
      <c r="A46" s="611" t="s">
        <v>1538</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dimension ref="A1:L46"/>
  <sheetViews>
    <sheetView workbookViewId="0">
      <selection activeCell="E9" sqref="E9"/>
    </sheetView>
  </sheetViews>
  <sheetFormatPr defaultRowHeight="12.75"/>
  <cols>
    <col min="1" max="16384" width="9" style="618"/>
  </cols>
  <sheetData>
    <row r="1" spans="1:12">
      <c r="A1" s="611" t="s">
        <v>1506</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5">
        <f>'a5-1'!K15</f>
        <v>7405.6692300550112</v>
      </c>
      <c r="C5" s="625">
        <f>'a5-2'!L16</f>
        <v>5607.4699906570313</v>
      </c>
      <c r="D5" s="625">
        <f>'a5-3'!L16</f>
        <v>6650.1434918201776</v>
      </c>
      <c r="E5" s="625">
        <f>'a5-4'!L16</f>
        <v>6244.8985603270603</v>
      </c>
      <c r="F5" s="625">
        <f>'a5-5'!L16</f>
        <v>5175.5265219425555</v>
      </c>
      <c r="G5" s="625">
        <f>'a5-6'!L16</f>
        <v>6873.7683204067043</v>
      </c>
      <c r="H5" s="625">
        <f>'a5-7'!L16</f>
        <v>7476.8302804719742</v>
      </c>
      <c r="I5" s="625">
        <f>'a5-8'!L16</f>
        <v>6503.5260443061579</v>
      </c>
      <c r="J5" s="625">
        <f>'a5-9'!L16</f>
        <v>7335.3930197679529</v>
      </c>
      <c r="K5" s="625">
        <f>'a5-10'!L16</f>
        <v>9016.0143345845918</v>
      </c>
      <c r="L5" s="625">
        <f>'a5-11'!L16</f>
        <v>8544.8484172303033</v>
      </c>
    </row>
    <row r="6" spans="1:12">
      <c r="A6" s="611">
        <f t="shared" ref="A6:A34" si="0">A5+1</f>
        <v>1982</v>
      </c>
      <c r="B6" s="625">
        <f>'a5-1'!K16</f>
        <v>7110.781754250771</v>
      </c>
      <c r="C6" s="625">
        <f>'a5-2'!L17</f>
        <v>5634.229442275001</v>
      </c>
      <c r="D6" s="625">
        <f>'a5-3'!L17</f>
        <v>6430.8854145795649</v>
      </c>
      <c r="E6" s="625">
        <f>'a5-4'!L17</f>
        <v>6143.1312136044389</v>
      </c>
      <c r="F6" s="625">
        <f>'a5-5'!L17</f>
        <v>5474.1565665718072</v>
      </c>
      <c r="G6" s="625">
        <f>'a5-6'!L17</f>
        <v>6743.9467993855105</v>
      </c>
      <c r="H6" s="625">
        <f>'a5-7'!L17</f>
        <v>7191.7639375066237</v>
      </c>
      <c r="I6" s="625">
        <f>'a5-8'!L17</f>
        <v>6689.5631215944268</v>
      </c>
      <c r="J6" s="625">
        <f>'a5-9'!L17</f>
        <v>6915.5243269156508</v>
      </c>
      <c r="K6" s="625">
        <f>'a5-10'!L17</f>
        <v>8242.7850966959868</v>
      </c>
      <c r="L6" s="625">
        <f>'a5-11'!L17</f>
        <v>7835.0081086582895</v>
      </c>
    </row>
    <row r="7" spans="1:12">
      <c r="A7" s="611">
        <f t="shared" si="0"/>
        <v>1983</v>
      </c>
      <c r="B7" s="625">
        <f>'a5-1'!K17</f>
        <v>7169.8099742335135</v>
      </c>
      <c r="C7" s="625">
        <f>'a5-2'!L18</f>
        <v>5777.6442482284338</v>
      </c>
      <c r="D7" s="625">
        <f>'a5-3'!L18</f>
        <v>6418.137067953905</v>
      </c>
      <c r="E7" s="625">
        <f>'a5-4'!L18</f>
        <v>6186.0361315465516</v>
      </c>
      <c r="F7" s="625">
        <f>'a5-5'!L18</f>
        <v>5877.2339780226857</v>
      </c>
      <c r="G7" s="625">
        <f>'a5-6'!L18</f>
        <v>7005.7966009026131</v>
      </c>
      <c r="H7" s="625">
        <f>'a5-7'!L18</f>
        <v>7195.5825242303563</v>
      </c>
      <c r="I7" s="625">
        <f>'a5-8'!L18</f>
        <v>6992.0118581558863</v>
      </c>
      <c r="J7" s="625">
        <f>'a5-9'!L18</f>
        <v>6666.2098581577638</v>
      </c>
      <c r="K7" s="625">
        <f>'a5-10'!L18</f>
        <v>8158.1983140779321</v>
      </c>
      <c r="L7" s="625">
        <f>'a5-11'!L18</f>
        <v>7590.5254688619807</v>
      </c>
    </row>
    <row r="8" spans="1:12">
      <c r="A8" s="611">
        <f t="shared" si="0"/>
        <v>1984</v>
      </c>
      <c r="B8" s="625">
        <f>'a5-1'!K18</f>
        <v>7338.3763223023716</v>
      </c>
      <c r="C8" s="625">
        <f>'a5-2'!L19</f>
        <v>6095.4037743439494</v>
      </c>
      <c r="D8" s="625">
        <f>'a5-3'!L19</f>
        <v>6454.1414418486384</v>
      </c>
      <c r="E8" s="625">
        <f>'a5-4'!L19</f>
        <v>6343.5675631344138</v>
      </c>
      <c r="F8" s="625">
        <f>'a5-5'!L19</f>
        <v>6421.975107776293</v>
      </c>
      <c r="G8" s="625">
        <f>'a5-6'!L19</f>
        <v>7374.4764649193921</v>
      </c>
      <c r="H8" s="625">
        <f>'a5-7'!L19</f>
        <v>7279.1661484873148</v>
      </c>
      <c r="I8" s="625">
        <f>'a5-8'!L19</f>
        <v>7529.0821486061186</v>
      </c>
      <c r="J8" s="625">
        <f>'a5-9'!L19</f>
        <v>6566.1593041848646</v>
      </c>
      <c r="K8" s="625">
        <f>'a5-10'!L19</f>
        <v>8365.9490830664745</v>
      </c>
      <c r="L8" s="625">
        <f>'a5-11'!L19</f>
        <v>7434.1400667034886</v>
      </c>
    </row>
    <row r="9" spans="1:12">
      <c r="A9" s="611">
        <f t="shared" si="0"/>
        <v>1985</v>
      </c>
      <c r="B9" s="625">
        <f>'a5-1'!K19</f>
        <v>7537.8981386523492</v>
      </c>
      <c r="C9" s="625">
        <f>'a5-2'!L20</f>
        <v>6470.8594723496672</v>
      </c>
      <c r="D9" s="625">
        <f>'a5-3'!L20</f>
        <v>6552.6472688381255</v>
      </c>
      <c r="E9" s="625">
        <f>'a5-4'!L20</f>
        <v>6503.0913682895934</v>
      </c>
      <c r="F9" s="625">
        <f>'a5-5'!L20</f>
        <v>7072.4655775559104</v>
      </c>
      <c r="G9" s="625">
        <f>'a5-6'!L20</f>
        <v>7730.8515001628029</v>
      </c>
      <c r="H9" s="625">
        <f>'a5-7'!L20</f>
        <v>7429.9306439740058</v>
      </c>
      <c r="I9" s="625">
        <f>'a5-8'!L20</f>
        <v>8076.0921076378409</v>
      </c>
      <c r="J9" s="625">
        <f>'a5-9'!L20</f>
        <v>6519.4316854699482</v>
      </c>
      <c r="K9" s="625">
        <f>'a5-10'!L20</f>
        <v>8506.1225138349437</v>
      </c>
      <c r="L9" s="625">
        <f>'a5-11'!L20</f>
        <v>7366.8950351531357</v>
      </c>
    </row>
    <row r="10" spans="1:12">
      <c r="A10" s="611">
        <f t="shared" si="0"/>
        <v>1986</v>
      </c>
      <c r="B10" s="625">
        <f>'a5-1'!K20</f>
        <v>7724.2542369406683</v>
      </c>
      <c r="C10" s="625">
        <f>'a5-2'!L21</f>
        <v>6975.5106007976492</v>
      </c>
      <c r="D10" s="625">
        <f>'a5-3'!L21</f>
        <v>6763.3429600572299</v>
      </c>
      <c r="E10" s="625">
        <f>'a5-4'!L21</f>
        <v>6799.2364998643416</v>
      </c>
      <c r="F10" s="625">
        <f>'a5-5'!L21</f>
        <v>7885.3616760899195</v>
      </c>
      <c r="G10" s="625">
        <f>'a5-6'!L21</f>
        <v>8061.4036277038431</v>
      </c>
      <c r="H10" s="625">
        <f>'a5-7'!L21</f>
        <v>7537.2335573298024</v>
      </c>
      <c r="I10" s="625">
        <f>'a5-8'!L21</f>
        <v>8663.9008347118233</v>
      </c>
      <c r="J10" s="625">
        <f>'a5-9'!L21</f>
        <v>6574.161148673451</v>
      </c>
      <c r="K10" s="625">
        <f>'a5-10'!L21</f>
        <v>8552.2014107828618</v>
      </c>
      <c r="L10" s="625">
        <f>'a5-11'!L21</f>
        <v>7317.5046035277492</v>
      </c>
    </row>
    <row r="11" spans="1:12">
      <c r="A11" s="611">
        <f t="shared" si="0"/>
        <v>1987</v>
      </c>
      <c r="B11" s="625">
        <f>'a5-1'!K21</f>
        <v>8031.4986192765718</v>
      </c>
      <c r="C11" s="625">
        <f>'a5-2'!L22</f>
        <v>7092.180297834645</v>
      </c>
      <c r="D11" s="625">
        <f>'a5-3'!L22</f>
        <v>7424.4490194055716</v>
      </c>
      <c r="E11" s="625">
        <f>'a5-4'!L22</f>
        <v>7251.3372937679687</v>
      </c>
      <c r="F11" s="625">
        <f>'a5-5'!L22</f>
        <v>7906.9006072185002</v>
      </c>
      <c r="G11" s="625">
        <f>'a5-6'!L22</f>
        <v>8246.7382916330389</v>
      </c>
      <c r="H11" s="625">
        <f>'a5-7'!L22</f>
        <v>7901.4125867832308</v>
      </c>
      <c r="I11" s="625">
        <f>'a5-8'!L22</f>
        <v>8764.0679860317414</v>
      </c>
      <c r="J11" s="625">
        <f>'a5-9'!L22</f>
        <v>6648.7656592299654</v>
      </c>
      <c r="K11" s="625">
        <f>'a5-10'!L22</f>
        <v>8818.9036466930265</v>
      </c>
      <c r="L11" s="625">
        <f>'a5-11'!L22</f>
        <v>7937.3761321790535</v>
      </c>
    </row>
    <row r="12" spans="1:12">
      <c r="A12" s="611">
        <f t="shared" si="0"/>
        <v>1988</v>
      </c>
      <c r="B12" s="625">
        <f>'a5-1'!K22</f>
        <v>8391.2411996110241</v>
      </c>
      <c r="C12" s="625">
        <f>'a5-2'!L23</f>
        <v>7245.5370774213243</v>
      </c>
      <c r="D12" s="625">
        <f>'a5-3'!L23</f>
        <v>8120.6868460364476</v>
      </c>
      <c r="E12" s="625">
        <f>'a5-4'!L23</f>
        <v>7739.308981539346</v>
      </c>
      <c r="F12" s="625">
        <f>'a5-5'!L23</f>
        <v>7881.116542944882</v>
      </c>
      <c r="G12" s="625">
        <f>'a5-6'!L23</f>
        <v>8509.8230574224654</v>
      </c>
      <c r="H12" s="625">
        <f>'a5-7'!L23</f>
        <v>8305.2029953902183</v>
      </c>
      <c r="I12" s="625">
        <f>'a5-8'!L23</f>
        <v>8891.9586250283537</v>
      </c>
      <c r="J12" s="625">
        <f>'a5-9'!L23</f>
        <v>6805.3006817541991</v>
      </c>
      <c r="K12" s="625">
        <f>'a5-10'!L23</f>
        <v>9185.8011889665268</v>
      </c>
      <c r="L12" s="625">
        <f>'a5-11'!L23</f>
        <v>8500.4932108137164</v>
      </c>
    </row>
    <row r="13" spans="1:12">
      <c r="A13" s="611">
        <f t="shared" si="0"/>
        <v>1989</v>
      </c>
      <c r="B13" s="625">
        <f>'a5-1'!K23</f>
        <v>8631.0210353720013</v>
      </c>
      <c r="C13" s="625">
        <f>'a5-2'!L24</f>
        <v>7275.6600061510007</v>
      </c>
      <c r="D13" s="625">
        <f>'a5-3'!L24</f>
        <v>8854.6284487556732</v>
      </c>
      <c r="E13" s="625">
        <f>'a5-4'!L24</f>
        <v>8153.4381953838774</v>
      </c>
      <c r="F13" s="625">
        <f>'a5-5'!L24</f>
        <v>7736.511296700668</v>
      </c>
      <c r="G13" s="625">
        <f>'a5-6'!L24</f>
        <v>8693.5887922277216</v>
      </c>
      <c r="H13" s="625">
        <f>'a5-7'!L24</f>
        <v>8591.3872943686492</v>
      </c>
      <c r="I13" s="625">
        <f>'a5-8'!L24</f>
        <v>8991.8595025276245</v>
      </c>
      <c r="J13" s="625">
        <f>'a5-9'!L24</f>
        <v>6997.7710704324973</v>
      </c>
      <c r="K13" s="625">
        <f>'a5-10'!L24</f>
        <v>9341.851554781606</v>
      </c>
      <c r="L13" s="625">
        <f>'a5-11'!L24</f>
        <v>8988.3106089732646</v>
      </c>
    </row>
    <row r="14" spans="1:12">
      <c r="A14" s="611">
        <f t="shared" si="0"/>
        <v>1990</v>
      </c>
      <c r="B14" s="625">
        <f>'a5-1'!K24</f>
        <v>8923.8286049405087</v>
      </c>
      <c r="C14" s="625">
        <f>'a5-2'!L25</f>
        <v>7269.3936024746308</v>
      </c>
      <c r="D14" s="625">
        <f>'a5-3'!L25</f>
        <v>9577.1546356637646</v>
      </c>
      <c r="E14" s="625">
        <f>'a5-4'!L25</f>
        <v>8540.2187440573634</v>
      </c>
      <c r="F14" s="625">
        <f>'a5-5'!L25</f>
        <v>7598.2309673602504</v>
      </c>
      <c r="G14" s="625">
        <f>'a5-6'!L25</f>
        <v>8895.6724521297692</v>
      </c>
      <c r="H14" s="625">
        <f>'a5-7'!L25</f>
        <v>9039.7085466146327</v>
      </c>
      <c r="I14" s="625">
        <f>'a5-8'!L25</f>
        <v>9111.6644468741979</v>
      </c>
      <c r="J14" s="625">
        <f>'a5-9'!L25</f>
        <v>7230.1884784956665</v>
      </c>
      <c r="K14" s="625">
        <f>'a5-10'!L25</f>
        <v>9324.6091005903891</v>
      </c>
      <c r="L14" s="625">
        <f>'a5-11'!L25</f>
        <v>9392.3267005197285</v>
      </c>
    </row>
    <row r="15" spans="1:12">
      <c r="A15" s="611">
        <f t="shared" si="0"/>
        <v>1991</v>
      </c>
      <c r="B15" s="625">
        <f>'a5-1'!K25</f>
        <v>9181.010083980349</v>
      </c>
      <c r="C15" s="625">
        <f>'a5-2'!L26</f>
        <v>7119.7895604204668</v>
      </c>
      <c r="D15" s="625">
        <f>'a5-3'!L26</f>
        <v>10146.626854455577</v>
      </c>
      <c r="E15" s="625">
        <f>'a5-4'!L26</f>
        <v>8889.922650970555</v>
      </c>
      <c r="F15" s="625">
        <f>'a5-5'!L26</f>
        <v>7331.008425918295</v>
      </c>
      <c r="G15" s="625">
        <f>'a5-6'!L26</f>
        <v>8852.8460633705745</v>
      </c>
      <c r="H15" s="625">
        <f>'a5-7'!L26</f>
        <v>9575.2077383408123</v>
      </c>
      <c r="I15" s="625">
        <f>'a5-8'!L26</f>
        <v>9160.0108267858359</v>
      </c>
      <c r="J15" s="625">
        <f>'a5-9'!L26</f>
        <v>7350.1647902933746</v>
      </c>
      <c r="K15" s="625">
        <f>'a5-10'!L26</f>
        <v>9321.2782704664205</v>
      </c>
      <c r="L15" s="625">
        <f>'a5-11'!L26</f>
        <v>9864.463122149702</v>
      </c>
    </row>
    <row r="16" spans="1:12">
      <c r="A16" s="611">
        <f t="shared" si="0"/>
        <v>1992</v>
      </c>
      <c r="B16" s="625">
        <f>'a5-1'!K26</f>
        <v>9839.0130977329081</v>
      </c>
      <c r="C16" s="625">
        <f>'a5-2'!L27</f>
        <v>7347.9338867910565</v>
      </c>
      <c r="D16" s="625">
        <f>'a5-3'!L27</f>
        <v>11420.560335854399</v>
      </c>
      <c r="E16" s="625">
        <f>'a5-4'!L27</f>
        <v>9740.2565473902268</v>
      </c>
      <c r="F16" s="625">
        <f>'a5-5'!L27</f>
        <v>7515.8641459225764</v>
      </c>
      <c r="G16" s="625">
        <f>'a5-6'!L27</f>
        <v>9317.9302655278334</v>
      </c>
      <c r="H16" s="625">
        <f>'a5-7'!L27</f>
        <v>10513.553445822543</v>
      </c>
      <c r="I16" s="625">
        <f>'a5-8'!L27</f>
        <v>9558.3473731613813</v>
      </c>
      <c r="J16" s="625">
        <f>'a5-9'!L27</f>
        <v>7738.8851340873398</v>
      </c>
      <c r="K16" s="625">
        <f>'a5-10'!L27</f>
        <v>9735.9312696920406</v>
      </c>
      <c r="L16" s="625">
        <f>'a5-11'!L27</f>
        <v>10597.49539107368</v>
      </c>
    </row>
    <row r="17" spans="1:12">
      <c r="A17" s="611">
        <f t="shared" si="0"/>
        <v>1993</v>
      </c>
      <c r="B17" s="625">
        <f>'a5-1'!K27</f>
        <v>10173.498712547074</v>
      </c>
      <c r="C17" s="625">
        <f>'a5-2'!L28</f>
        <v>7481.1644585212125</v>
      </c>
      <c r="D17" s="625">
        <f>'a5-3'!L28</f>
        <v>7627.815570560957</v>
      </c>
      <c r="E17" s="625">
        <f>'a5-4'!L28</f>
        <v>9990.8594981705774</v>
      </c>
      <c r="F17" s="625">
        <f>'a5-5'!L28</f>
        <v>7775.5923346449672</v>
      </c>
      <c r="G17" s="625">
        <f>'a5-6'!L28</f>
        <v>9607.9406248353989</v>
      </c>
      <c r="H17" s="625">
        <f>'a5-7'!L28</f>
        <v>10918.916345258285</v>
      </c>
      <c r="I17" s="625">
        <f>'a5-8'!L28</f>
        <v>9821.6930763011405</v>
      </c>
      <c r="J17" s="625">
        <f>'a5-9'!L28</f>
        <v>7958.6673553868941</v>
      </c>
      <c r="K17" s="625">
        <f>'a5-10'!L28</f>
        <v>10120.687771085302</v>
      </c>
      <c r="L17" s="625">
        <f>'a5-11'!L28</f>
        <v>10951.833565404</v>
      </c>
    </row>
    <row r="18" spans="1:12">
      <c r="A18" s="611">
        <f t="shared" si="0"/>
        <v>1994</v>
      </c>
      <c r="B18" s="625">
        <f>'a5-1'!K28</f>
        <v>10519.741809214422</v>
      </c>
      <c r="C18" s="625">
        <f>'a5-2'!L29</f>
        <v>7688.1309689131158</v>
      </c>
      <c r="D18" s="625">
        <f>'a5-3'!L29</f>
        <v>7880.9373820238634</v>
      </c>
      <c r="E18" s="625">
        <f>'a5-4'!L29</f>
        <v>10265.045075887161</v>
      </c>
      <c r="F18" s="625">
        <f>'a5-5'!L29</f>
        <v>8036.9897370752187</v>
      </c>
      <c r="G18" s="625">
        <f>'a5-6'!L29</f>
        <v>9922.0813183898754</v>
      </c>
      <c r="H18" s="625">
        <f>'a5-7'!L29</f>
        <v>11329.467329677025</v>
      </c>
      <c r="I18" s="625">
        <f>'a5-8'!L29</f>
        <v>10086.353703565914</v>
      </c>
      <c r="J18" s="625">
        <f>'a5-9'!L29</f>
        <v>8186.624100383714</v>
      </c>
      <c r="K18" s="625">
        <f>'a5-10'!L29</f>
        <v>10527.510818816967</v>
      </c>
      <c r="L18" s="625">
        <f>'a5-11'!L29</f>
        <v>11297.978538478783</v>
      </c>
    </row>
    <row r="19" spans="1:12">
      <c r="A19" s="611">
        <f t="shared" si="0"/>
        <v>1995</v>
      </c>
      <c r="B19" s="625">
        <f>'a5-1'!K29</f>
        <v>10884.35068663687</v>
      </c>
      <c r="C19" s="625">
        <f>'a5-2'!L30</f>
        <v>7923.2470471906636</v>
      </c>
      <c r="D19" s="625">
        <f>'a5-3'!L30</f>
        <v>8160.2691176705148</v>
      </c>
      <c r="E19" s="625">
        <f>'a5-4'!L30</f>
        <v>10566.146024565731</v>
      </c>
      <c r="F19" s="625">
        <f>'a5-5'!L30</f>
        <v>8314.0058931950807</v>
      </c>
      <c r="G19" s="625">
        <f>'a5-6'!L30</f>
        <v>10259.593246119643</v>
      </c>
      <c r="H19" s="625">
        <f>'a5-7'!L30</f>
        <v>11755.126827877859</v>
      </c>
      <c r="I19" s="625">
        <f>'a5-8'!L30</f>
        <v>10355.579117949739</v>
      </c>
      <c r="J19" s="625">
        <f>'a5-9'!L30</f>
        <v>8405.0856088102082</v>
      </c>
      <c r="K19" s="625">
        <f>'a5-10'!L30</f>
        <v>10949.954503447118</v>
      </c>
      <c r="L19" s="625">
        <f>'a5-11'!L30</f>
        <v>11686.76909112368</v>
      </c>
    </row>
    <row r="20" spans="1:12">
      <c r="A20" s="611">
        <f t="shared" si="0"/>
        <v>1996</v>
      </c>
      <c r="B20" s="625">
        <f>'a5-1'!K30</f>
        <v>11260.409552853431</v>
      </c>
      <c r="C20" s="625">
        <f>'a5-2'!L31</f>
        <v>8176.0136418806542</v>
      </c>
      <c r="D20" s="625">
        <f>'a5-3'!L31</f>
        <v>8428.5340060688522</v>
      </c>
      <c r="E20" s="625">
        <f>'a5-4'!L31</f>
        <v>10853.233103306164</v>
      </c>
      <c r="F20" s="625">
        <f>'a5-5'!L31</f>
        <v>8594.0964736777059</v>
      </c>
      <c r="G20" s="625">
        <f>'a5-6'!L31</f>
        <v>10607.470556156592</v>
      </c>
      <c r="H20" s="625">
        <f>'a5-7'!L31</f>
        <v>12196.530635856865</v>
      </c>
      <c r="I20" s="625">
        <f>'a5-8'!L31</f>
        <v>10640.476097614554</v>
      </c>
      <c r="J20" s="625">
        <f>'a5-9'!L31</f>
        <v>8628.3187672706608</v>
      </c>
      <c r="K20" s="625">
        <f>'a5-10'!L31</f>
        <v>11363.596218545526</v>
      </c>
      <c r="L20" s="625">
        <f>'a5-11'!L31</f>
        <v>12111.343399571182</v>
      </c>
    </row>
    <row r="21" spans="1:12">
      <c r="A21" s="611">
        <f t="shared" si="0"/>
        <v>1997</v>
      </c>
      <c r="B21" s="625">
        <f>'a5-1'!K31</f>
        <v>11655.465130952318</v>
      </c>
      <c r="C21" s="625">
        <f>'a5-2'!L32</f>
        <v>8455.1058362631939</v>
      </c>
      <c r="D21" s="625">
        <f>'a5-3'!L32</f>
        <v>8768.1140780187561</v>
      </c>
      <c r="E21" s="625">
        <f>'a5-4'!L32</f>
        <v>11173.743892301502</v>
      </c>
      <c r="F21" s="625">
        <f>'a5-5'!L32</f>
        <v>8896.4239681627132</v>
      </c>
      <c r="G21" s="625">
        <f>'a5-6'!L32</f>
        <v>10967.249226924128</v>
      </c>
      <c r="H21" s="625">
        <f>'a5-7'!L32</f>
        <v>12642.839476278768</v>
      </c>
      <c r="I21" s="625">
        <f>'a5-8'!L32</f>
        <v>10963.39471828274</v>
      </c>
      <c r="J21" s="625">
        <f>'a5-9'!L32</f>
        <v>8908.1536585544764</v>
      </c>
      <c r="K21" s="625">
        <f>'a5-10'!L32</f>
        <v>11736.614011391059</v>
      </c>
      <c r="L21" s="625">
        <f>'a5-11'!L32</f>
        <v>12631.280503143887</v>
      </c>
    </row>
    <row r="22" spans="1:12">
      <c r="A22" s="611">
        <f t="shared" si="0"/>
        <v>1998</v>
      </c>
      <c r="B22" s="625">
        <f>'a5-1'!K32</f>
        <v>12084.167900780156</v>
      </c>
      <c r="C22" s="625">
        <f>'a5-2'!L33</f>
        <v>8782.9042388587786</v>
      </c>
      <c r="D22" s="625">
        <f>'a5-3'!L33</f>
        <v>9165.0295880170743</v>
      </c>
      <c r="E22" s="625">
        <f>'a5-4'!L33</f>
        <v>11523.993625746902</v>
      </c>
      <c r="F22" s="625">
        <f>'a5-5'!L33</f>
        <v>9236.6774733738457</v>
      </c>
      <c r="G22" s="625">
        <f>'a5-6'!L33</f>
        <v>11349.32664492398</v>
      </c>
      <c r="H22" s="625">
        <f>'a5-7'!L33</f>
        <v>13115.152494956354</v>
      </c>
      <c r="I22" s="625">
        <f>'a5-8'!L33</f>
        <v>11301.816454722924</v>
      </c>
      <c r="J22" s="625">
        <f>'a5-9'!L33</f>
        <v>9192.7977494796123</v>
      </c>
      <c r="K22" s="625">
        <f>'a5-10'!L33</f>
        <v>12065.745582006402</v>
      </c>
      <c r="L22" s="625">
        <f>'a5-11'!L33</f>
        <v>13309.667445818086</v>
      </c>
    </row>
    <row r="23" spans="1:12">
      <c r="A23" s="611">
        <f t="shared" si="0"/>
        <v>1999</v>
      </c>
      <c r="B23" s="625">
        <f>'a5-1'!K33</f>
        <v>12138.382261164919</v>
      </c>
      <c r="C23" s="625">
        <f>'a5-2'!L34</f>
        <v>9050.5939911562728</v>
      </c>
      <c r="D23" s="625">
        <f>'a5-3'!L34</f>
        <v>9290.3662651585855</v>
      </c>
      <c r="E23" s="625">
        <f>'a5-4'!L34</f>
        <v>11721.051473131252</v>
      </c>
      <c r="F23" s="625">
        <f>'a5-5'!L34</f>
        <v>9429.8220810091443</v>
      </c>
      <c r="G23" s="625">
        <f>'a5-6'!L34</f>
        <v>11490.025301229418</v>
      </c>
      <c r="H23" s="625">
        <f>'a5-7'!L34</f>
        <v>13108.287726220726</v>
      </c>
      <c r="I23" s="625">
        <f>'a5-8'!L34</f>
        <v>11381.865622129826</v>
      </c>
      <c r="J23" s="625">
        <f>'a5-9'!L34</f>
        <v>9234.5735826116652</v>
      </c>
      <c r="K23" s="625">
        <f>'a5-10'!L34</f>
        <v>12100.020958519417</v>
      </c>
      <c r="L23" s="625">
        <f>'a5-11'!L34</f>
        <v>13378.635309793308</v>
      </c>
    </row>
    <row r="24" spans="1:12">
      <c r="A24" s="611">
        <f t="shared" si="0"/>
        <v>2000</v>
      </c>
      <c r="B24" s="625">
        <f>'a5-1'!K34</f>
        <v>12198.458775335355</v>
      </c>
      <c r="C24" s="625">
        <f>'a5-2'!L35</f>
        <v>9328.8080409904996</v>
      </c>
      <c r="D24" s="625">
        <f>'a5-3'!L35</f>
        <v>9419.2496210829777</v>
      </c>
      <c r="E24" s="625">
        <f>'a5-4'!L35</f>
        <v>11947.172067242984</v>
      </c>
      <c r="F24" s="625">
        <f>'a5-5'!L35</f>
        <v>9633.7054806728738</v>
      </c>
      <c r="G24" s="625">
        <f>'a5-6'!L35</f>
        <v>11633.105066247153</v>
      </c>
      <c r="H24" s="625">
        <f>'a5-7'!L35</f>
        <v>13106.231773520378</v>
      </c>
      <c r="I24" s="625">
        <f>'a5-8'!L35</f>
        <v>11471.282058009643</v>
      </c>
      <c r="J24" s="625">
        <f>'a5-9'!L35</f>
        <v>9287.463295775884</v>
      </c>
      <c r="K24" s="625">
        <f>'a5-10'!L35</f>
        <v>12133.260650087985</v>
      </c>
      <c r="L24" s="625">
        <f>'a5-11'!L35</f>
        <v>13463.087966196306</v>
      </c>
    </row>
    <row r="25" spans="1:12">
      <c r="A25" s="611">
        <f t="shared" si="0"/>
        <v>2001</v>
      </c>
      <c r="B25" s="625">
        <f>'a5-1'!K35</f>
        <v>12259.141913915764</v>
      </c>
      <c r="C25" s="625">
        <f>'a5-2'!L36</f>
        <v>9624.6257931353048</v>
      </c>
      <c r="D25" s="625">
        <f>'a5-3'!L36</f>
        <v>9576.0082825131467</v>
      </c>
      <c r="E25" s="625">
        <f>'a5-4'!L36</f>
        <v>12185.75265761039</v>
      </c>
      <c r="F25" s="625">
        <f>'a5-5'!L36</f>
        <v>9838.65401934281</v>
      </c>
      <c r="G25" s="625">
        <f>'a5-6'!L36</f>
        <v>11781.420752357617</v>
      </c>
      <c r="H25" s="625">
        <f>'a5-7'!L36</f>
        <v>13101.702714803292</v>
      </c>
      <c r="I25" s="625">
        <f>'a5-8'!L36</f>
        <v>11567.19105322524</v>
      </c>
      <c r="J25" s="625">
        <f>'a5-9'!L36</f>
        <v>9342.1272528627142</v>
      </c>
      <c r="K25" s="625">
        <f>'a5-10'!L36</f>
        <v>12184.079961518953</v>
      </c>
      <c r="L25" s="625">
        <f>'a5-11'!L36</f>
        <v>13532.562587178687</v>
      </c>
    </row>
    <row r="26" spans="1:12">
      <c r="A26" s="611">
        <f t="shared" si="0"/>
        <v>2002</v>
      </c>
      <c r="B26" s="625">
        <f>'a5-1'!K36</f>
        <v>12317.310836014585</v>
      </c>
      <c r="C26" s="625">
        <f>'a5-2'!L37</f>
        <v>9897.7798048023706</v>
      </c>
      <c r="D26" s="625">
        <f>'a5-3'!L37</f>
        <v>9733.2942022843945</v>
      </c>
      <c r="E26" s="625">
        <f>'a5-4'!L37</f>
        <v>12401.494710706649</v>
      </c>
      <c r="F26" s="625">
        <f>'a5-5'!L37</f>
        <v>10042.922832021361</v>
      </c>
      <c r="G26" s="625">
        <f>'a5-6'!L37</f>
        <v>11924.704041057441</v>
      </c>
      <c r="H26" s="625">
        <f>'a5-7'!L37</f>
        <v>13110.077677616027</v>
      </c>
      <c r="I26" s="625">
        <f>'a5-8'!L37</f>
        <v>11661.073178182347</v>
      </c>
      <c r="J26" s="625">
        <f>'a5-9'!L37</f>
        <v>9383.2427634497762</v>
      </c>
      <c r="K26" s="625">
        <f>'a5-10'!L37</f>
        <v>12194.03560058408</v>
      </c>
      <c r="L26" s="625">
        <f>'a5-11'!L37</f>
        <v>13610.84884786357</v>
      </c>
    </row>
    <row r="27" spans="1:12">
      <c r="A27" s="611">
        <f t="shared" si="0"/>
        <v>2003</v>
      </c>
      <c r="B27" s="625">
        <f>'a5-1'!K37</f>
        <v>12376.84357614036</v>
      </c>
      <c r="C27" s="625">
        <f>'a5-2'!L38</f>
        <v>10180.59851989955</v>
      </c>
      <c r="D27" s="625">
        <f>'a5-3'!L38</f>
        <v>9873.975846105739</v>
      </c>
      <c r="E27" s="625">
        <f>'a5-4'!L38</f>
        <v>12628.413926971796</v>
      </c>
      <c r="F27" s="625">
        <f>'a5-5'!L38</f>
        <v>10249.237041490936</v>
      </c>
      <c r="G27" s="625">
        <f>'a5-6'!L38</f>
        <v>12068.457747080309</v>
      </c>
      <c r="H27" s="625">
        <f>'a5-7'!L38</f>
        <v>13123.985220561957</v>
      </c>
      <c r="I27" s="625">
        <f>'a5-8'!L38</f>
        <v>11756.33905253322</v>
      </c>
      <c r="J27" s="625">
        <f>'a5-9'!L38</f>
        <v>9423.0920268259342</v>
      </c>
      <c r="K27" s="625">
        <f>'a5-10'!L38</f>
        <v>12215.775052437504</v>
      </c>
      <c r="L27" s="625">
        <f>'a5-11'!L38</f>
        <v>13676.499056473842</v>
      </c>
    </row>
    <row r="28" spans="1:12">
      <c r="A28" s="611">
        <f t="shared" si="0"/>
        <v>2004</v>
      </c>
      <c r="B28" s="625">
        <f>'a5-1'!K38</f>
        <v>12439.648194295427</v>
      </c>
      <c r="C28" s="625">
        <f>'a5-2'!L39</f>
        <v>10472.764890453953</v>
      </c>
      <c r="D28" s="625">
        <f>'a5-3'!L39</f>
        <v>10026.509696470486</v>
      </c>
      <c r="E28" s="625">
        <f>'a5-4'!L39</f>
        <v>12856.805285655875</v>
      </c>
      <c r="F28" s="625">
        <f>'a5-5'!L39</f>
        <v>10460.774690245711</v>
      </c>
      <c r="G28" s="625">
        <f>'a5-6'!L39</f>
        <v>12219.106911464785</v>
      </c>
      <c r="H28" s="625">
        <f>'a5-7'!L39</f>
        <v>13138.739490259219</v>
      </c>
      <c r="I28" s="625">
        <f>'a5-8'!L39</f>
        <v>11850.369037529552</v>
      </c>
      <c r="J28" s="625">
        <f>'a5-9'!L39</f>
        <v>9468.5739163364015</v>
      </c>
      <c r="K28" s="625">
        <f>'a5-10'!L39</f>
        <v>12239.612399655925</v>
      </c>
      <c r="L28" s="625">
        <f>'a5-11'!L39</f>
        <v>13748.706820695768</v>
      </c>
    </row>
    <row r="29" spans="1:12">
      <c r="A29" s="611">
        <f t="shared" si="0"/>
        <v>2005</v>
      </c>
      <c r="B29" s="625">
        <f>'a5-1'!K39</f>
        <v>12508.285765647737</v>
      </c>
      <c r="C29" s="625">
        <f>'a5-2'!L40</f>
        <v>10785.186742964437</v>
      </c>
      <c r="D29" s="625">
        <f>'a5-3'!L40</f>
        <v>10176.850409715458</v>
      </c>
      <c r="E29" s="625">
        <f>'a5-4'!L40</f>
        <v>13100.737562005525</v>
      </c>
      <c r="F29" s="625">
        <f>'a5-5'!L40</f>
        <v>10682.307339716157</v>
      </c>
      <c r="G29" s="625">
        <f>'a5-6'!L40</f>
        <v>12385.613932994847</v>
      </c>
      <c r="H29" s="625">
        <f>'a5-7'!L40</f>
        <v>13158.179808365807</v>
      </c>
      <c r="I29" s="625">
        <f>'a5-8'!L40</f>
        <v>11959.185380148492</v>
      </c>
      <c r="J29" s="625">
        <f>'a5-9'!L40</f>
        <v>9528.6196342602416</v>
      </c>
      <c r="K29" s="625">
        <f>'a5-10'!L40</f>
        <v>12250.023024171385</v>
      </c>
      <c r="L29" s="625">
        <f>'a5-11'!L40</f>
        <v>13818.757662429343</v>
      </c>
    </row>
    <row r="30" spans="1:12">
      <c r="A30" s="611">
        <f t="shared" si="0"/>
        <v>2006</v>
      </c>
      <c r="B30" s="625">
        <f>'a5-1'!K40</f>
        <v>12574.275842635207</v>
      </c>
      <c r="C30" s="625">
        <f>'a5-2'!L41</f>
        <v>11094.466225368691</v>
      </c>
      <c r="D30" s="625">
        <f>'a5-3'!L41</f>
        <v>10339.797276590438</v>
      </c>
      <c r="E30" s="625">
        <f>'a5-4'!L41</f>
        <v>13332.964879850464</v>
      </c>
      <c r="F30" s="625">
        <f>'a5-5'!L41</f>
        <v>10906.981975494013</v>
      </c>
      <c r="G30" s="625">
        <f>'a5-6'!L41</f>
        <v>12556.0393117978</v>
      </c>
      <c r="H30" s="625">
        <f>'a5-7'!L41</f>
        <v>13170.884202879422</v>
      </c>
      <c r="I30" s="625">
        <f>'a5-8'!L41</f>
        <v>12058.351887012866</v>
      </c>
      <c r="J30" s="625">
        <f>'a5-9'!L41</f>
        <v>9564.6038849905126</v>
      </c>
      <c r="K30" s="625">
        <f>'a5-10'!L41</f>
        <v>12266.285942247869</v>
      </c>
      <c r="L30" s="625">
        <f>'a5-11'!L41</f>
        <v>13893.570815446021</v>
      </c>
    </row>
    <row r="31" spans="1:12">
      <c r="A31" s="611">
        <f t="shared" si="0"/>
        <v>2007</v>
      </c>
      <c r="B31" s="625">
        <f>'a5-1'!K41</f>
        <v>12634.454226102946</v>
      </c>
      <c r="C31" s="625">
        <f>'a5-2'!L42</f>
        <v>11407.823963681643</v>
      </c>
      <c r="D31" s="625">
        <f>'a5-3'!L42</f>
        <v>10495.08090929159</v>
      </c>
      <c r="E31" s="625">
        <f>'a5-4'!L42</f>
        <v>13577.391736785306</v>
      </c>
      <c r="F31" s="625">
        <f>'a5-5'!L42</f>
        <v>11124.834788731379</v>
      </c>
      <c r="G31" s="625">
        <f>'a5-6'!L42</f>
        <v>12718.815717799549</v>
      </c>
      <c r="H31" s="625">
        <f>'a5-7'!L42</f>
        <v>13188.059008825887</v>
      </c>
      <c r="I31" s="625">
        <f>'a5-8'!L42</f>
        <v>12147.370287936117</v>
      </c>
      <c r="J31" s="625">
        <f>'a5-9'!L42</f>
        <v>9587.0970257169702</v>
      </c>
      <c r="K31" s="625">
        <f>'a5-10'!L42</f>
        <v>12255.381312953494</v>
      </c>
      <c r="L31" s="625">
        <f>'a5-11'!L42</f>
        <v>13959.681063758926</v>
      </c>
    </row>
    <row r="32" spans="1:12">
      <c r="A32" s="611">
        <f t="shared" si="0"/>
        <v>2008</v>
      </c>
      <c r="B32" s="625">
        <f>'a5-1'!K42</f>
        <v>12687.810723656805</v>
      </c>
      <c r="C32" s="625">
        <f>'a5-2'!L43</f>
        <v>11704.350103573061</v>
      </c>
      <c r="D32" s="625">
        <f>'a5-3'!L43</f>
        <v>10620.742824298743</v>
      </c>
      <c r="E32" s="625">
        <f>'a5-4'!L43</f>
        <v>13804.796176343352</v>
      </c>
      <c r="F32" s="625">
        <f>'a5-5'!L43</f>
        <v>11345.786375056909</v>
      </c>
      <c r="G32" s="625">
        <f>'a5-6'!L43</f>
        <v>12874.639688721074</v>
      </c>
      <c r="H32" s="625">
        <f>'a5-7'!L43</f>
        <v>13195.815124885967</v>
      </c>
      <c r="I32" s="625">
        <f>'a5-8'!L43</f>
        <v>12222.625927967898</v>
      </c>
      <c r="J32" s="625">
        <f>'a5-9'!L43</f>
        <v>9599.5395778163966</v>
      </c>
      <c r="K32" s="625">
        <f>'a5-10'!L43</f>
        <v>12256.956724999853</v>
      </c>
      <c r="L32" s="625">
        <f>'a5-11'!L43</f>
        <v>14018.289023619373</v>
      </c>
    </row>
    <row r="33" spans="1:12">
      <c r="A33" s="611">
        <f t="shared" si="0"/>
        <v>2009</v>
      </c>
      <c r="B33" s="625">
        <f>'a5-1'!K43</f>
        <v>12735.214249839197</v>
      </c>
      <c r="C33" s="625">
        <f>'a5-2'!L44</f>
        <v>12003.172730251408</v>
      </c>
      <c r="D33" s="625">
        <f>'a5-3'!L44</f>
        <v>10734.554680085193</v>
      </c>
      <c r="E33" s="625">
        <f>'a5-4'!L44</f>
        <v>14030.526486022827</v>
      </c>
      <c r="F33" s="625">
        <f>'a5-5'!L44</f>
        <v>11566.278542768081</v>
      </c>
      <c r="G33" s="625">
        <f>'a5-6'!L44</f>
        <v>13017.372397414068</v>
      </c>
      <c r="H33" s="625">
        <f>'a5-7'!L44</f>
        <v>13202.324044670679</v>
      </c>
      <c r="I33" s="625">
        <f>'a5-8'!L44</f>
        <v>12302.320613361448</v>
      </c>
      <c r="J33" s="625">
        <f>'a5-9'!L44</f>
        <v>9607.5610163966448</v>
      </c>
      <c r="K33" s="625">
        <f>'a5-10'!L44</f>
        <v>12236.630975114529</v>
      </c>
      <c r="L33" s="625">
        <f>'a5-11'!L44</f>
        <v>14082.599942599651</v>
      </c>
    </row>
    <row r="34" spans="1:12">
      <c r="A34" s="611">
        <f t="shared" si="0"/>
        <v>2010</v>
      </c>
      <c r="B34" s="625">
        <f>'a5-1'!K44</f>
        <v>12773.786626708114</v>
      </c>
      <c r="C34" s="625">
        <f>'a5-2'!L45</f>
        <v>12320.987812231389</v>
      </c>
      <c r="D34" s="625">
        <f>'a5-3'!L45</f>
        <v>10878.515346272674</v>
      </c>
      <c r="E34" s="625">
        <f>'a5-4'!L45</f>
        <v>14235.424861674122</v>
      </c>
      <c r="F34" s="625">
        <f>'a5-5'!L45</f>
        <v>11784.98537259896</v>
      </c>
      <c r="G34" s="625">
        <f>'a5-6'!L45</f>
        <v>13157.757440069321</v>
      </c>
      <c r="H34" s="625">
        <f>'a5-7'!L45</f>
        <v>13195.729618695746</v>
      </c>
      <c r="I34" s="625">
        <f>'a5-8'!L45</f>
        <v>12375.990143732281</v>
      </c>
      <c r="J34" s="625">
        <f>'a5-9'!L45</f>
        <v>9609.8747648575609</v>
      </c>
      <c r="K34" s="625">
        <f>'a5-10'!L45</f>
        <v>12214.427620095508</v>
      </c>
      <c r="L34" s="625">
        <f>'a5-11'!L45</f>
        <v>14132.457871355578</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1.8976052349159556</v>
      </c>
      <c r="C36" s="617">
        <f t="shared" si="1"/>
        <v>2.7516764133796778</v>
      </c>
      <c r="D36" s="617">
        <f t="shared" si="1"/>
        <v>1.7115556978681834</v>
      </c>
      <c r="E36" s="617">
        <f t="shared" si="1"/>
        <v>2.8820203911758657</v>
      </c>
      <c r="F36" s="617">
        <f t="shared" si="1"/>
        <v>2.8781767601843367</v>
      </c>
      <c r="G36" s="617">
        <f t="shared" si="1"/>
        <v>2.2642150456483767</v>
      </c>
      <c r="H36" s="617">
        <f t="shared" si="1"/>
        <v>1.9782240200739265</v>
      </c>
      <c r="I36" s="617">
        <f t="shared" si="1"/>
        <v>2.2434638233165272</v>
      </c>
      <c r="J36" s="617">
        <f t="shared" si="1"/>
        <v>0.93566122828838694</v>
      </c>
      <c r="K36" s="617">
        <f t="shared" si="1"/>
        <v>1.0524496218141444</v>
      </c>
      <c r="L36" s="617">
        <f t="shared" si="1"/>
        <v>1.7501229415313402</v>
      </c>
    </row>
    <row r="37" spans="1:12">
      <c r="A37" s="611" t="s">
        <v>1472</v>
      </c>
      <c r="B37" s="617">
        <f t="shared" ref="B37:L37" si="2">100*(POWER(B13/B5, 1/8)-1)</f>
        <v>1.9323960688881314</v>
      </c>
      <c r="C37" s="617">
        <f t="shared" si="2"/>
        <v>3.3090052418047522</v>
      </c>
      <c r="D37" s="617">
        <f t="shared" si="2"/>
        <v>3.6435823923759436</v>
      </c>
      <c r="E37" s="617">
        <f t="shared" si="2"/>
        <v>3.3896164983800103</v>
      </c>
      <c r="F37" s="617">
        <f t="shared" si="2"/>
        <v>5.1535231425975825</v>
      </c>
      <c r="G37" s="617">
        <f t="shared" si="2"/>
        <v>2.9794399244676084</v>
      </c>
      <c r="H37" s="617">
        <f t="shared" si="2"/>
        <v>1.752062677703714</v>
      </c>
      <c r="I37" s="617">
        <f t="shared" si="2"/>
        <v>4.1328077693280729</v>
      </c>
      <c r="J37" s="617">
        <f t="shared" si="2"/>
        <v>-0.58726024295857604</v>
      </c>
      <c r="K37" s="617">
        <f t="shared" si="2"/>
        <v>0.44476246059252933</v>
      </c>
      <c r="L37" s="617">
        <f t="shared" si="2"/>
        <v>0.6344584001817033</v>
      </c>
    </row>
    <row r="38" spans="1:12">
      <c r="A38" s="611" t="s">
        <v>1473</v>
      </c>
      <c r="B38" s="617">
        <f t="shared" ref="B38:L38" si="3">100*(POWER(B24/B13, 1/11)-1)</f>
        <v>3.1949476936557808</v>
      </c>
      <c r="C38" s="617">
        <f t="shared" si="3"/>
        <v>2.2854778074587134</v>
      </c>
      <c r="D38" s="617">
        <f t="shared" si="3"/>
        <v>0.56353753680127294</v>
      </c>
      <c r="E38" s="617">
        <f t="shared" si="3"/>
        <v>3.5342472908564959</v>
      </c>
      <c r="F38" s="617">
        <f t="shared" si="3"/>
        <v>2.0138004905985607</v>
      </c>
      <c r="G38" s="617">
        <f t="shared" si="3"/>
        <v>2.6832691480499715</v>
      </c>
      <c r="H38" s="617">
        <f t="shared" si="3"/>
        <v>3.9139969118064277</v>
      </c>
      <c r="I38" s="617">
        <f t="shared" si="3"/>
        <v>2.2385703269547141</v>
      </c>
      <c r="J38" s="617">
        <f t="shared" si="3"/>
        <v>2.6067957397973629</v>
      </c>
      <c r="K38" s="617">
        <f t="shared" si="3"/>
        <v>2.4052526116852713</v>
      </c>
      <c r="L38" s="617">
        <f t="shared" si="3"/>
        <v>3.7412580126201078</v>
      </c>
    </row>
    <row r="39" spans="1:12">
      <c r="A39" s="611" t="s">
        <v>1474</v>
      </c>
      <c r="B39" s="617">
        <f t="shared" ref="B39:L39" si="4">100*(POWER(B32/B24, 1/8)-1)</f>
        <v>0.49286225454867605</v>
      </c>
      <c r="C39" s="617">
        <f t="shared" si="4"/>
        <v>2.8762543262057738</v>
      </c>
      <c r="D39" s="617">
        <f t="shared" si="4"/>
        <v>1.5119857242427814</v>
      </c>
      <c r="E39" s="617">
        <f t="shared" si="4"/>
        <v>1.8229347190024336</v>
      </c>
      <c r="F39" s="617">
        <f t="shared" si="4"/>
        <v>2.0657790101975104</v>
      </c>
      <c r="G39" s="617">
        <f t="shared" si="4"/>
        <v>1.2756243303427173</v>
      </c>
      <c r="H39" s="617">
        <f t="shared" si="4"/>
        <v>8.5185241234952969E-2</v>
      </c>
      <c r="I39" s="617">
        <f t="shared" si="4"/>
        <v>0.79617926606010414</v>
      </c>
      <c r="J39" s="617">
        <f t="shared" si="4"/>
        <v>0.41397550413890816</v>
      </c>
      <c r="K39" s="617">
        <f t="shared" si="4"/>
        <v>0.12687011384784341</v>
      </c>
      <c r="L39" s="617">
        <f t="shared" si="4"/>
        <v>0.50641697803128771</v>
      </c>
    </row>
    <row r="40" spans="1:12">
      <c r="A40" s="611" t="s">
        <v>1500</v>
      </c>
      <c r="B40" s="611"/>
      <c r="C40" s="611"/>
      <c r="D40" s="611"/>
      <c r="E40" s="611"/>
      <c r="F40" s="611"/>
      <c r="G40" s="611"/>
      <c r="H40" s="611"/>
      <c r="I40" s="611"/>
      <c r="J40" s="611"/>
      <c r="K40" s="611"/>
      <c r="L40" s="611"/>
    </row>
    <row r="41" spans="1:12">
      <c r="A41" s="611" t="s">
        <v>1498</v>
      </c>
      <c r="B41" s="616">
        <f>100*(B34-B5)/B5</f>
        <v>72.486594119910848</v>
      </c>
      <c r="C41" s="616">
        <f t="shared" ref="C41:L41" si="5">100*(C34-C5)/C5</f>
        <v>119.72454302493253</v>
      </c>
      <c r="D41" s="616">
        <f t="shared" si="5"/>
        <v>63.583167185091369</v>
      </c>
      <c r="E41" s="616">
        <f t="shared" si="5"/>
        <v>127.9528598288165</v>
      </c>
      <c r="F41" s="616">
        <f t="shared" si="5"/>
        <v>127.70601836613996</v>
      </c>
      <c r="G41" s="616">
        <f t="shared" si="5"/>
        <v>91.419856281842328</v>
      </c>
      <c r="H41" s="616">
        <f t="shared" si="5"/>
        <v>76.488286127885303</v>
      </c>
      <c r="I41" s="616">
        <f t="shared" si="5"/>
        <v>90.296618471566973</v>
      </c>
      <c r="J41" s="616">
        <f>100*(J34-J5)/J5</f>
        <v>31.006951351620405</v>
      </c>
      <c r="K41" s="616">
        <f t="shared" si="5"/>
        <v>35.474802577033415</v>
      </c>
      <c r="L41" s="616">
        <f t="shared" si="5"/>
        <v>65.391557360550848</v>
      </c>
    </row>
    <row r="42" spans="1:12">
      <c r="A42" s="611" t="s">
        <v>1472</v>
      </c>
      <c r="B42" s="616">
        <f>100*(B13-B5)/B5</f>
        <v>16.546131986884429</v>
      </c>
      <c r="C42" s="616">
        <f t="shared" ref="C42:L42" si="6">100*(C13-C5)/C5</f>
        <v>29.749423862694744</v>
      </c>
      <c r="D42" s="616">
        <f t="shared" si="6"/>
        <v>33.149434439227676</v>
      </c>
      <c r="E42" s="616">
        <f t="shared" si="6"/>
        <v>30.561579449528519</v>
      </c>
      <c r="F42" s="616">
        <f t="shared" si="6"/>
        <v>49.482593971847443</v>
      </c>
      <c r="G42" s="616">
        <f t="shared" si="6"/>
        <v>26.474859014645155</v>
      </c>
      <c r="H42" s="616">
        <f t="shared" si="6"/>
        <v>14.906811738226573</v>
      </c>
      <c r="I42" s="616">
        <f t="shared" si="6"/>
        <v>38.261297660213174</v>
      </c>
      <c r="J42" s="616">
        <f t="shared" si="6"/>
        <v>-4.6026429453146855</v>
      </c>
      <c r="K42" s="616">
        <f t="shared" si="6"/>
        <v>3.6139829430742245</v>
      </c>
      <c r="L42" s="616">
        <f t="shared" si="6"/>
        <v>5.1898192933269556</v>
      </c>
    </row>
    <row r="43" spans="1:12">
      <c r="A43" s="611" t="s">
        <v>1473</v>
      </c>
      <c r="B43" s="616">
        <f>100*(B24-B13)/B13</f>
        <v>41.332742966830175</v>
      </c>
      <c r="C43" s="616">
        <f t="shared" ref="C43:L43" si="7">100*(C24-C13)/C13</f>
        <v>28.219405979714871</v>
      </c>
      <c r="D43" s="616">
        <f t="shared" si="7"/>
        <v>6.3765653815395247</v>
      </c>
      <c r="E43" s="616">
        <f t="shared" si="7"/>
        <v>46.529252824985583</v>
      </c>
      <c r="F43" s="616">
        <f t="shared" si="7"/>
        <v>24.522606006938656</v>
      </c>
      <c r="G43" s="616">
        <f t="shared" si="7"/>
        <v>33.812460472566066</v>
      </c>
      <c r="H43" s="616">
        <f t="shared" si="7"/>
        <v>52.550820076648733</v>
      </c>
      <c r="I43" s="616">
        <f t="shared" si="7"/>
        <v>27.57408025320068</v>
      </c>
      <c r="J43" s="616">
        <f t="shared" si="7"/>
        <v>32.72030768508511</v>
      </c>
      <c r="K43" s="616">
        <f t="shared" si="7"/>
        <v>29.880683491246469</v>
      </c>
      <c r="L43" s="616">
        <f t="shared" si="7"/>
        <v>49.784409461281349</v>
      </c>
    </row>
    <row r="44" spans="1:12">
      <c r="A44" s="611" t="s">
        <v>1474</v>
      </c>
      <c r="B44" s="616">
        <f>100*(B32-B24)/B24</f>
        <v>4.0115883271327153</v>
      </c>
      <c r="C44" s="616">
        <f t="shared" ref="C44:L44" si="8">100*(C32-C24)/C24</f>
        <v>25.464582957913823</v>
      </c>
      <c r="D44" s="616">
        <f t="shared" si="8"/>
        <v>12.755721013343559</v>
      </c>
      <c r="E44" s="616">
        <f t="shared" si="8"/>
        <v>15.548651167364055</v>
      </c>
      <c r="F44" s="616">
        <f t="shared" si="8"/>
        <v>17.77177948629226</v>
      </c>
      <c r="G44" s="616">
        <f t="shared" si="8"/>
        <v>10.672426797520881</v>
      </c>
      <c r="H44" s="616">
        <f t="shared" si="8"/>
        <v>0.68351722229254086</v>
      </c>
      <c r="I44" s="616">
        <f t="shared" si="8"/>
        <v>6.5497811505178767</v>
      </c>
      <c r="J44" s="616">
        <f t="shared" si="8"/>
        <v>3.3601885908119904</v>
      </c>
      <c r="K44" s="616">
        <f t="shared" si="8"/>
        <v>1.0194792519434666</v>
      </c>
      <c r="L44" s="616">
        <f t="shared" si="8"/>
        <v>4.1238760291627647</v>
      </c>
    </row>
    <row r="46" spans="1:12">
      <c r="A46" s="611" t="s">
        <v>1539</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dimension ref="A1:L46"/>
  <sheetViews>
    <sheetView workbookViewId="0">
      <selection activeCell="E9" sqref="E9"/>
    </sheetView>
  </sheetViews>
  <sheetFormatPr defaultRowHeight="12.75"/>
  <cols>
    <col min="1" max="16384" width="9" style="618"/>
  </cols>
  <sheetData>
    <row r="1" spans="1:12">
      <c r="A1" s="611" t="s">
        <v>1507</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5">
        <f>'a4'!H19</f>
        <v>1756.5556117178382</v>
      </c>
      <c r="C5" s="625">
        <f>'a4'!L19</f>
        <v>1203.0854024842463</v>
      </c>
      <c r="D5" s="625">
        <f>'a4'!N19</f>
        <v>1404.5787448585675</v>
      </c>
      <c r="E5" s="625">
        <f>'a4'!P19</f>
        <v>1534.0394656145443</v>
      </c>
      <c r="F5" s="625">
        <f>'a4'!R19</f>
        <v>1340.1117270642585</v>
      </c>
      <c r="G5" s="625">
        <f>'a4'!T19</f>
        <v>1530.4000226083788</v>
      </c>
      <c r="H5" s="625">
        <f>'a4'!V19</f>
        <v>1857.2420934289669</v>
      </c>
      <c r="I5" s="625">
        <f>'a4'!X19</f>
        <v>1704.8199047368812</v>
      </c>
      <c r="J5" s="625">
        <f>'a4'!Z19</f>
        <v>1613.7280974131018</v>
      </c>
      <c r="K5" s="625">
        <f>'a4'!AB19</f>
        <v>2048.8022753931054</v>
      </c>
      <c r="L5" s="625">
        <f>'a4'!AD19</f>
        <v>2054.9188630025074</v>
      </c>
    </row>
    <row r="6" spans="1:12">
      <c r="A6" s="611">
        <f t="shared" ref="A6:A34" si="0">A5+1</f>
        <v>1982</v>
      </c>
      <c r="B6" s="625">
        <f>'a4'!H20</f>
        <v>1699.3679735880385</v>
      </c>
      <c r="C6" s="625">
        <f>'a4'!L20</f>
        <v>1201.0463514148594</v>
      </c>
      <c r="D6" s="625">
        <f>'a4'!N20</f>
        <v>1389.2522626000796</v>
      </c>
      <c r="E6" s="625">
        <f>'a4'!P20</f>
        <v>1508.9681001397057</v>
      </c>
      <c r="F6" s="625">
        <f>'a4'!R20</f>
        <v>1327.0913385280078</v>
      </c>
      <c r="G6" s="625">
        <f>'a4'!T20</f>
        <v>1474.6618880175342</v>
      </c>
      <c r="H6" s="625">
        <f>'a4'!V20</f>
        <v>1806.3008880791012</v>
      </c>
      <c r="I6" s="625">
        <f>'a4'!X20</f>
        <v>1698.4391508637441</v>
      </c>
      <c r="J6" s="625">
        <f>'a4'!Z20</f>
        <v>1597.5621029288575</v>
      </c>
      <c r="K6" s="625">
        <f>'a4'!AB20</f>
        <v>1966.8829959277618</v>
      </c>
      <c r="L6" s="625">
        <f>'a4'!AD20</f>
        <v>1915.5651116420245</v>
      </c>
    </row>
    <row r="7" spans="1:12">
      <c r="A7" s="611">
        <f t="shared" si="0"/>
        <v>1983</v>
      </c>
      <c r="B7" s="625">
        <f>'a4'!H21</f>
        <v>1760.7758431142558</v>
      </c>
      <c r="C7" s="625">
        <f>'a4'!L21</f>
        <v>1236.6266103965886</v>
      </c>
      <c r="D7" s="625">
        <f>'a4'!N21</f>
        <v>1466.9843226349508</v>
      </c>
      <c r="E7" s="625">
        <f>'a4'!P21</f>
        <v>1592.5146984418893</v>
      </c>
      <c r="F7" s="625">
        <f>'a4'!R21</f>
        <v>1402.4756214015765</v>
      </c>
      <c r="G7" s="625">
        <f>'a4'!T21</f>
        <v>1546.3234234406475</v>
      </c>
      <c r="H7" s="625">
        <f>'a4'!V21</f>
        <v>1884.6525670609187</v>
      </c>
      <c r="I7" s="625">
        <f>'a4'!X21</f>
        <v>1723.3146896010444</v>
      </c>
      <c r="J7" s="625">
        <f>'a4'!Z21</f>
        <v>1650.8503233792317</v>
      </c>
      <c r="K7" s="625">
        <f>'a4'!AB21</f>
        <v>1988.7948125484149</v>
      </c>
      <c r="L7" s="625">
        <f>'a4'!AD21</f>
        <v>1940.7339673383558</v>
      </c>
    </row>
    <row r="8" spans="1:12">
      <c r="A8" s="611">
        <f t="shared" si="0"/>
        <v>1984</v>
      </c>
      <c r="B8" s="625">
        <f>'a4'!H22</f>
        <v>1869.2449169584877</v>
      </c>
      <c r="C8" s="625">
        <f>'a4'!L22</f>
        <v>1324.4376740289645</v>
      </c>
      <c r="D8" s="625">
        <f>'a4'!N22</f>
        <v>1577.5216604151078</v>
      </c>
      <c r="E8" s="625">
        <f>'a4'!P22</f>
        <v>1715.0618011331726</v>
      </c>
      <c r="F8" s="625">
        <f>'a4'!R22</f>
        <v>1495.8199821475332</v>
      </c>
      <c r="G8" s="625">
        <f>'a4'!T22</f>
        <v>1664.1142658086255</v>
      </c>
      <c r="H8" s="625">
        <f>'a4'!V22</f>
        <v>2000.9500704678221</v>
      </c>
      <c r="I8" s="625">
        <f>'a4'!X22</f>
        <v>1862.7916692988242</v>
      </c>
      <c r="J8" s="625">
        <f>'a4'!Z22</f>
        <v>1734.252960476889</v>
      </c>
      <c r="K8" s="625">
        <f>'a4'!AB22</f>
        <v>2066.2495290274237</v>
      </c>
      <c r="L8" s="625">
        <f>'a4'!AD22</f>
        <v>2024.7295179558332</v>
      </c>
    </row>
    <row r="9" spans="1:12">
      <c r="A9" s="611">
        <f t="shared" si="0"/>
        <v>1985</v>
      </c>
      <c r="B9" s="625">
        <f>'a4'!H23</f>
        <v>1952.5226600318153</v>
      </c>
      <c r="C9" s="625">
        <f>'a4'!L23</f>
        <v>1372.8008149580089</v>
      </c>
      <c r="D9" s="625">
        <f>'a4'!N23</f>
        <v>1595.7670808993516</v>
      </c>
      <c r="E9" s="625">
        <f>'a4'!P23</f>
        <v>1777.4649087472781</v>
      </c>
      <c r="F9" s="625">
        <f>'a4'!R23</f>
        <v>1554.9438082115053</v>
      </c>
      <c r="G9" s="625">
        <f>'a4'!T23</f>
        <v>1745.5893242170985</v>
      </c>
      <c r="H9" s="625">
        <f>'a4'!V23</f>
        <v>2095.6017822012705</v>
      </c>
      <c r="I9" s="625">
        <f>'a4'!X23</f>
        <v>1928.3364271865155</v>
      </c>
      <c r="J9" s="625">
        <f>'a4'!Z23</f>
        <v>1768.2828403704948</v>
      </c>
      <c r="K9" s="625">
        <f>'a4'!AB23</f>
        <v>2181.4332337676678</v>
      </c>
      <c r="L9" s="625">
        <f>'a4'!AD23</f>
        <v>2094.6790061609204</v>
      </c>
    </row>
    <row r="10" spans="1:12">
      <c r="A10" s="611">
        <f t="shared" si="0"/>
        <v>1986</v>
      </c>
      <c r="B10" s="625">
        <f>'a4'!H24</f>
        <v>1944.8909747992425</v>
      </c>
      <c r="C10" s="625">
        <f>'a4'!L24</f>
        <v>1380.6135278050253</v>
      </c>
      <c r="D10" s="625">
        <f>'a4'!N24</f>
        <v>1596.6777014810591</v>
      </c>
      <c r="E10" s="625">
        <f>'a4'!P24</f>
        <v>1772.5311534157768</v>
      </c>
      <c r="F10" s="625">
        <f>'a4'!R24</f>
        <v>1565.5286044024563</v>
      </c>
      <c r="G10" s="625">
        <f>'a4'!T24</f>
        <v>1742.2753725380664</v>
      </c>
      <c r="H10" s="625">
        <f>'a4'!V24</f>
        <v>2105.9851556544686</v>
      </c>
      <c r="I10" s="625">
        <f>'a4'!X24</f>
        <v>1896.9791880329076</v>
      </c>
      <c r="J10" s="625">
        <f>'a4'!Z24</f>
        <v>1765.6217120542485</v>
      </c>
      <c r="K10" s="625">
        <f>'a4'!AB24</f>
        <v>2119.3892577521392</v>
      </c>
      <c r="L10" s="625">
        <f>'a4'!AD24</f>
        <v>2061.7156766151084</v>
      </c>
    </row>
    <row r="11" spans="1:12">
      <c r="A11" s="611">
        <f t="shared" si="0"/>
        <v>1987</v>
      </c>
      <c r="B11" s="625">
        <f>'a4'!H25</f>
        <v>1930.9503391657672</v>
      </c>
      <c r="C11" s="625">
        <f>'a4'!L25</f>
        <v>1390.91864058391</v>
      </c>
      <c r="D11" s="625">
        <f>'a4'!N25</f>
        <v>1591.9167942995725</v>
      </c>
      <c r="E11" s="625">
        <f>'a4'!P25</f>
        <v>1756.0879377469621</v>
      </c>
      <c r="F11" s="625">
        <f>'a4'!R25</f>
        <v>1557.2837699305719</v>
      </c>
      <c r="G11" s="625">
        <f>'a4'!T25</f>
        <v>1726.1592467522789</v>
      </c>
      <c r="H11" s="625">
        <f>'a4'!V25</f>
        <v>2094.3173261535885</v>
      </c>
      <c r="I11" s="625">
        <f>'a4'!X25</f>
        <v>1850.0802156732086</v>
      </c>
      <c r="J11" s="625">
        <f>'a4'!Z25</f>
        <v>1735.4476361253151</v>
      </c>
      <c r="K11" s="625">
        <f>'a4'!AB25</f>
        <v>2084.5791004904318</v>
      </c>
      <c r="L11" s="625">
        <f>'a4'!AD25</f>
        <v>2069.0297913819386</v>
      </c>
    </row>
    <row r="12" spans="1:12">
      <c r="A12" s="611">
        <f t="shared" si="0"/>
        <v>1988</v>
      </c>
      <c r="B12" s="625">
        <f>'a4'!H26</f>
        <v>1980.0418572109122</v>
      </c>
      <c r="C12" s="625">
        <f>'a4'!L26</f>
        <v>1449.16299518187</v>
      </c>
      <c r="D12" s="625">
        <f>'a4'!N26</f>
        <v>1624.5986312338505</v>
      </c>
      <c r="E12" s="625">
        <f>'a4'!P26</f>
        <v>1794.2042363650869</v>
      </c>
      <c r="F12" s="625">
        <f>'a4'!R26</f>
        <v>1603.4969106871868</v>
      </c>
      <c r="G12" s="625">
        <f>'a4'!T26</f>
        <v>1765.5276435274614</v>
      </c>
      <c r="H12" s="625">
        <f>'a4'!V26</f>
        <v>2151.827608755189</v>
      </c>
      <c r="I12" s="625">
        <f>'a4'!X26</f>
        <v>1873.0630653980893</v>
      </c>
      <c r="J12" s="625">
        <f>'a4'!Z26</f>
        <v>1753.1437389793073</v>
      </c>
      <c r="K12" s="625">
        <f>'a4'!AB26</f>
        <v>2140.5310274390376</v>
      </c>
      <c r="L12" s="625">
        <f>'a4'!AD26</f>
        <v>2119.019016784333</v>
      </c>
    </row>
    <row r="13" spans="1:12">
      <c r="A13" s="611">
        <f t="shared" si="0"/>
        <v>1989</v>
      </c>
      <c r="B13" s="625">
        <f>'a4'!H27</f>
        <v>1972.7758788603426</v>
      </c>
      <c r="C13" s="625">
        <f>'a4'!L27</f>
        <v>1452.9260961405744</v>
      </c>
      <c r="D13" s="625">
        <f>'a4'!N27</f>
        <v>1604.2611262490086</v>
      </c>
      <c r="E13" s="625">
        <f>'a4'!P27</f>
        <v>1776.6508610367132</v>
      </c>
      <c r="F13" s="625">
        <f>'a4'!R27</f>
        <v>1592.327434478568</v>
      </c>
      <c r="G13" s="625">
        <f>'a4'!T27</f>
        <v>1749.9328475001012</v>
      </c>
      <c r="H13" s="625">
        <f>'a4'!V27</f>
        <v>2131.8344962392457</v>
      </c>
      <c r="I13" s="625">
        <f>'a4'!X27</f>
        <v>1864.6023718966296</v>
      </c>
      <c r="J13" s="625">
        <f>'a4'!Z27</f>
        <v>1742.8386993215622</v>
      </c>
      <c r="K13" s="625">
        <f>'a4'!AB27</f>
        <v>2149.6535362883192</v>
      </c>
      <c r="L13" s="625">
        <f>'a4'!AD27</f>
        <v>2150.531553747162</v>
      </c>
    </row>
    <row r="14" spans="1:12">
      <c r="A14" s="611">
        <f t="shared" si="0"/>
        <v>1990</v>
      </c>
      <c r="B14" s="625">
        <f>'a4'!H28</f>
        <v>2036.8407764386661</v>
      </c>
      <c r="C14" s="625">
        <f>'a4'!L28</f>
        <v>1508.0763688976372</v>
      </c>
      <c r="D14" s="625">
        <f>'a4'!N28</f>
        <v>1704.2651397809216</v>
      </c>
      <c r="E14" s="625">
        <f>'a4'!P28</f>
        <v>1839.8279114687718</v>
      </c>
      <c r="F14" s="625">
        <f>'a4'!R28</f>
        <v>1675.8870196171388</v>
      </c>
      <c r="G14" s="625">
        <f>'a4'!T28</f>
        <v>1801.6578645382931</v>
      </c>
      <c r="H14" s="625">
        <f>'a4'!V28</f>
        <v>2174.14507234131</v>
      </c>
      <c r="I14" s="625">
        <f>'a4'!X28</f>
        <v>1953.1009367145271</v>
      </c>
      <c r="J14" s="625">
        <f>'a4'!Z28</f>
        <v>1838.6370004344926</v>
      </c>
      <c r="K14" s="625">
        <f>'a4'!AB28</f>
        <v>2237.6115641662832</v>
      </c>
      <c r="L14" s="625">
        <f>'a4'!AD28</f>
        <v>2255.5905460806302</v>
      </c>
    </row>
    <row r="15" spans="1:12">
      <c r="A15" s="611">
        <f t="shared" si="0"/>
        <v>1991</v>
      </c>
      <c r="B15" s="625">
        <f>'a4'!H29</f>
        <v>1973.6254567523881</v>
      </c>
      <c r="C15" s="625">
        <f>'a4'!L29</f>
        <v>1470.4377135526042</v>
      </c>
      <c r="D15" s="625">
        <f>'a4'!N29</f>
        <v>1642.715792313752</v>
      </c>
      <c r="E15" s="625">
        <f>'a4'!P29</f>
        <v>1767.5475856022501</v>
      </c>
      <c r="F15" s="625">
        <f>'a4'!R29</f>
        <v>1660.0796365549595</v>
      </c>
      <c r="G15" s="625">
        <f>'a4'!T29</f>
        <v>1744.7607515229156</v>
      </c>
      <c r="H15" s="625">
        <f>'a4'!V29</f>
        <v>2098.3531576944192</v>
      </c>
      <c r="I15" s="625">
        <f>'a4'!X29</f>
        <v>1890.4008993100374</v>
      </c>
      <c r="J15" s="625">
        <f>'a4'!Z29</f>
        <v>1792.4450314172195</v>
      </c>
      <c r="K15" s="625">
        <f>'a4'!AB29</f>
        <v>2165.6833684209428</v>
      </c>
      <c r="L15" s="625">
        <f>'a4'!AD29</f>
        <v>2198.8363158410702</v>
      </c>
    </row>
    <row r="16" spans="1:12">
      <c r="A16" s="611">
        <f t="shared" si="0"/>
        <v>1992</v>
      </c>
      <c r="B16" s="625">
        <f>'a4'!H30</f>
        <v>2025.6239621583991</v>
      </c>
      <c r="C16" s="625">
        <f>'a4'!L30</f>
        <v>1514.3110980497809</v>
      </c>
      <c r="D16" s="625">
        <f>'a4'!N30</f>
        <v>1707.2838370612819</v>
      </c>
      <c r="E16" s="625">
        <f>'a4'!P30</f>
        <v>1843.6555006221417</v>
      </c>
      <c r="F16" s="625">
        <f>'a4'!R30</f>
        <v>1720.6888013809098</v>
      </c>
      <c r="G16" s="625">
        <f>'a4'!T30</f>
        <v>1798.090467078538</v>
      </c>
      <c r="H16" s="625">
        <f>'a4'!V30</f>
        <v>2147.0411470125387</v>
      </c>
      <c r="I16" s="625">
        <f>'a4'!X30</f>
        <v>1946.1963835247554</v>
      </c>
      <c r="J16" s="625">
        <f>'a4'!Z30</f>
        <v>1842.833064667341</v>
      </c>
      <c r="K16" s="625">
        <f>'a4'!AB30</f>
        <v>2200.3181621403378</v>
      </c>
      <c r="L16" s="625">
        <f>'a4'!AD30</f>
        <v>2258.4376638433787</v>
      </c>
    </row>
    <row r="17" spans="1:12">
      <c r="A17" s="611">
        <f t="shared" si="0"/>
        <v>1993</v>
      </c>
      <c r="B17" s="625">
        <f>'a4'!H31</f>
        <v>2077.8856167889467</v>
      </c>
      <c r="C17" s="625">
        <f>'a4'!L31</f>
        <v>1552.5992580564298</v>
      </c>
      <c r="D17" s="625">
        <f>'a4'!N31</f>
        <v>1757.6526596664698</v>
      </c>
      <c r="E17" s="625">
        <f>'a4'!P31</f>
        <v>1893.4118896921898</v>
      </c>
      <c r="F17" s="625">
        <f>'a4'!R31</f>
        <v>1777.1246695024158</v>
      </c>
      <c r="G17" s="625">
        <f>'a4'!T31</f>
        <v>1850.1937275285813</v>
      </c>
      <c r="H17" s="625">
        <f>'a4'!V31</f>
        <v>2191.6983213678554</v>
      </c>
      <c r="I17" s="625">
        <f>'a4'!X31</f>
        <v>2007.8746861218988</v>
      </c>
      <c r="J17" s="625">
        <f>'a4'!Z31</f>
        <v>1905.5901356992422</v>
      </c>
      <c r="K17" s="625">
        <f>'a4'!AB31</f>
        <v>2276.4021372941629</v>
      </c>
      <c r="L17" s="625">
        <f>'a4'!AD31</f>
        <v>2307.8565475162941</v>
      </c>
    </row>
    <row r="18" spans="1:12">
      <c r="A18" s="611">
        <f t="shared" si="0"/>
        <v>1994</v>
      </c>
      <c r="B18" s="625">
        <f>'a4'!H32</f>
        <v>2128.8411536677208</v>
      </c>
      <c r="C18" s="625">
        <f>'a4'!L32</f>
        <v>1592.6483168920129</v>
      </c>
      <c r="D18" s="625">
        <f>'a4'!N32</f>
        <v>1782.9310944651693</v>
      </c>
      <c r="E18" s="625">
        <f>'a4'!P32</f>
        <v>1927.9177358991321</v>
      </c>
      <c r="F18" s="625">
        <f>'a4'!R32</f>
        <v>1805.4098225543742</v>
      </c>
      <c r="G18" s="625">
        <f>'a4'!T32</f>
        <v>1906.5126368670537</v>
      </c>
      <c r="H18" s="625">
        <f>'a4'!V32</f>
        <v>2241.2901232721347</v>
      </c>
      <c r="I18" s="625">
        <f>'a4'!X32</f>
        <v>2057.4695920970726</v>
      </c>
      <c r="J18" s="625">
        <f>'a4'!Z32</f>
        <v>1970.8360499278776</v>
      </c>
      <c r="K18" s="625">
        <f>'a4'!AB32</f>
        <v>2344.2993759504325</v>
      </c>
      <c r="L18" s="625">
        <f>'a4'!AD32</f>
        <v>2341.7275593500999</v>
      </c>
    </row>
    <row r="19" spans="1:12">
      <c r="A19" s="611">
        <f t="shared" si="0"/>
        <v>1995</v>
      </c>
      <c r="B19" s="625">
        <f>'a4'!H33</f>
        <v>2171.2186543076709</v>
      </c>
      <c r="C19" s="625">
        <f>'a4'!L33</f>
        <v>1646.1505358162153</v>
      </c>
      <c r="D19" s="625">
        <f>'a4'!N33</f>
        <v>1821.375438738211</v>
      </c>
      <c r="E19" s="625">
        <f>'a4'!P33</f>
        <v>1972.4085828965713</v>
      </c>
      <c r="F19" s="625">
        <f>'a4'!R33</f>
        <v>1862.3475785025837</v>
      </c>
      <c r="G19" s="625">
        <f>'a4'!T33</f>
        <v>1955.0531639315645</v>
      </c>
      <c r="H19" s="625">
        <f>'a4'!V33</f>
        <v>2280.6263734488052</v>
      </c>
      <c r="I19" s="625">
        <f>'a4'!X33</f>
        <v>2109.6316123247211</v>
      </c>
      <c r="J19" s="625">
        <f>'a4'!Z33</f>
        <v>2024.2875280851813</v>
      </c>
      <c r="K19" s="625">
        <f>'a4'!AB33</f>
        <v>2379.6641998253958</v>
      </c>
      <c r="L19" s="625">
        <f>'a4'!AD33</f>
        <v>2365.7352091069965</v>
      </c>
    </row>
    <row r="20" spans="1:12">
      <c r="A20" s="611">
        <f t="shared" si="0"/>
        <v>1996</v>
      </c>
      <c r="B20" s="625">
        <f>'a4'!H34</f>
        <v>2216.0892802828207</v>
      </c>
      <c r="C20" s="625">
        <f>'a4'!L34</f>
        <v>1687.3494514391211</v>
      </c>
      <c r="D20" s="625">
        <f>'a4'!N34</f>
        <v>1883.7296820308654</v>
      </c>
      <c r="E20" s="625">
        <f>'a4'!P34</f>
        <v>2011.2591995266994</v>
      </c>
      <c r="F20" s="625">
        <f>'a4'!R34</f>
        <v>1905.3453406420867</v>
      </c>
      <c r="G20" s="625">
        <f>'a4'!T34</f>
        <v>2020.6122964708188</v>
      </c>
      <c r="H20" s="625">
        <f>'a4'!V34</f>
        <v>2318.0620929016409</v>
      </c>
      <c r="I20" s="625">
        <f>'a4'!X34</f>
        <v>2128.0685413454426</v>
      </c>
      <c r="J20" s="625">
        <f>'a4'!Z34</f>
        <v>2063.6969590267754</v>
      </c>
      <c r="K20" s="625">
        <f>'a4'!AB34</f>
        <v>2409.0299232728194</v>
      </c>
      <c r="L20" s="625">
        <f>'a4'!AD34</f>
        <v>2405.2772903965802</v>
      </c>
    </row>
    <row r="21" spans="1:12">
      <c r="A21" s="611">
        <f t="shared" si="0"/>
        <v>1997</v>
      </c>
      <c r="B21" s="625">
        <f>'a4'!H35</f>
        <v>2264.9696807186406</v>
      </c>
      <c r="C21" s="625">
        <f>'a4'!L35</f>
        <v>1743.9960460130148</v>
      </c>
      <c r="D21" s="625">
        <f>'a4'!N35</f>
        <v>1913.2277567415163</v>
      </c>
      <c r="E21" s="625">
        <f>'a4'!P35</f>
        <v>2050.2901089611137</v>
      </c>
      <c r="F21" s="625">
        <f>'a4'!R35</f>
        <v>1930.2336046239618</v>
      </c>
      <c r="G21" s="625">
        <f>'a4'!T35</f>
        <v>2067.7335246369335</v>
      </c>
      <c r="H21" s="625">
        <f>'a4'!V35</f>
        <v>2368.2435442866727</v>
      </c>
      <c r="I21" s="625">
        <f>'a4'!X35</f>
        <v>2179.9716964607628</v>
      </c>
      <c r="J21" s="625">
        <f>'a4'!Z35</f>
        <v>2120.3358029320129</v>
      </c>
      <c r="K21" s="625">
        <f>'a4'!AB35</f>
        <v>2505.8366696032776</v>
      </c>
      <c r="L21" s="625">
        <f>'a4'!AD35</f>
        <v>2416.410860439406</v>
      </c>
    </row>
    <row r="22" spans="1:12">
      <c r="A22" s="611">
        <f t="shared" si="0"/>
        <v>1998</v>
      </c>
      <c r="B22" s="625">
        <f>'a4'!H36</f>
        <v>2320.6808269774415</v>
      </c>
      <c r="C22" s="625">
        <f>'a4'!L36</f>
        <v>1830.3849910534609</v>
      </c>
      <c r="D22" s="625">
        <f>'a4'!N36</f>
        <v>1983.9746802378565</v>
      </c>
      <c r="E22" s="625">
        <f>'a4'!P36</f>
        <v>2120.6719519963076</v>
      </c>
      <c r="F22" s="625">
        <f>'a4'!R36</f>
        <v>2000.0792204986292</v>
      </c>
      <c r="G22" s="625">
        <f>'a4'!T36</f>
        <v>2121.3350497831148</v>
      </c>
      <c r="H22" s="625">
        <f>'a4'!V36</f>
        <v>2434.5350503088839</v>
      </c>
      <c r="I22" s="625">
        <f>'a4'!X36</f>
        <v>2211.6410324417825</v>
      </c>
      <c r="J22" s="625">
        <f>'a4'!Z36</f>
        <v>2145.239966525874</v>
      </c>
      <c r="K22" s="625">
        <f>'a4'!AB36</f>
        <v>2550.4935492322693</v>
      </c>
      <c r="L22" s="625">
        <f>'a4'!AD36</f>
        <v>2448.3068734631256</v>
      </c>
    </row>
    <row r="23" spans="1:12">
      <c r="A23" s="611">
        <f t="shared" si="0"/>
        <v>1999</v>
      </c>
      <c r="B23" s="625">
        <f>'a4'!H37</f>
        <v>2380.1653432560047</v>
      </c>
      <c r="C23" s="625">
        <f>'a4'!L37</f>
        <v>1918.7004955490961</v>
      </c>
      <c r="D23" s="625">
        <f>'a4'!N37</f>
        <v>2044.4190537798124</v>
      </c>
      <c r="E23" s="625">
        <f>'a4'!P37</f>
        <v>2196.5601073145972</v>
      </c>
      <c r="F23" s="625">
        <f>'a4'!R37</f>
        <v>2072.0295472410271</v>
      </c>
      <c r="G23" s="625">
        <f>'a4'!T37</f>
        <v>2178.6159912431635</v>
      </c>
      <c r="H23" s="625">
        <f>'a4'!V37</f>
        <v>2506.2739358511208</v>
      </c>
      <c r="I23" s="625">
        <f>'a4'!X37</f>
        <v>2237.8252772976716</v>
      </c>
      <c r="J23" s="625">
        <f>'a4'!Z37</f>
        <v>2192.3229574618977</v>
      </c>
      <c r="K23" s="625">
        <f>'a4'!AB37</f>
        <v>2588.8398681244466</v>
      </c>
      <c r="L23" s="625">
        <f>'a4'!AD37</f>
        <v>2488.0463880126626</v>
      </c>
    </row>
    <row r="24" spans="1:12">
      <c r="A24" s="611">
        <f t="shared" si="0"/>
        <v>2000</v>
      </c>
      <c r="B24" s="625">
        <f>'a4'!H38</f>
        <v>2440.3232111579568</v>
      </c>
      <c r="C24" s="625">
        <f>'a4'!L38</f>
        <v>1986.5138801932972</v>
      </c>
      <c r="D24" s="625">
        <f>'a4'!N38</f>
        <v>2120.2338011347856</v>
      </c>
      <c r="E24" s="625">
        <f>'a4'!P38</f>
        <v>2237.965404154822</v>
      </c>
      <c r="F24" s="625">
        <f>'a4'!R38</f>
        <v>2121.7999165981946</v>
      </c>
      <c r="G24" s="625">
        <f>'a4'!T38</f>
        <v>2229.8499007878982</v>
      </c>
      <c r="H24" s="625">
        <f>'a4'!V38</f>
        <v>2576.4007941795899</v>
      </c>
      <c r="I24" s="625">
        <f>'a4'!X38</f>
        <v>2266.3846048412884</v>
      </c>
      <c r="J24" s="625">
        <f>'a4'!Z38</f>
        <v>2252.9755977994646</v>
      </c>
      <c r="K24" s="625">
        <f>'a4'!AB38</f>
        <v>2659.8595533832768</v>
      </c>
      <c r="L24" s="625">
        <f>'a4'!AD38</f>
        <v>2533.2489653397433</v>
      </c>
    </row>
    <row r="25" spans="1:12">
      <c r="A25" s="611">
        <f t="shared" si="0"/>
        <v>2001</v>
      </c>
      <c r="B25" s="625">
        <f>'a4'!H39</f>
        <v>2500.3542165488661</v>
      </c>
      <c r="C25" s="625">
        <f>'a4'!L39</f>
        <v>2087.5359303062169</v>
      </c>
      <c r="D25" s="625">
        <f>'a4'!N39</f>
        <v>2171.7311779386341</v>
      </c>
      <c r="E25" s="625">
        <f>'a4'!P39</f>
        <v>2291.8807549223311</v>
      </c>
      <c r="F25" s="625">
        <f>'a4'!R39</f>
        <v>2167.3402441973562</v>
      </c>
      <c r="G25" s="625">
        <f>'a4'!T39</f>
        <v>2292.5848722650558</v>
      </c>
      <c r="H25" s="625">
        <f>'a4'!V39</f>
        <v>2623.0746810842488</v>
      </c>
      <c r="I25" s="625">
        <f>'a4'!X39</f>
        <v>2328.0478361160999</v>
      </c>
      <c r="J25" s="625">
        <f>'a4'!Z39</f>
        <v>2327.2245808867419</v>
      </c>
      <c r="K25" s="625">
        <f>'a4'!AB39</f>
        <v>2742.972308256401</v>
      </c>
      <c r="L25" s="625">
        <f>'a4'!AD39</f>
        <v>2594.5441907942131</v>
      </c>
    </row>
    <row r="26" spans="1:12">
      <c r="A26" s="611">
        <f t="shared" si="0"/>
        <v>2002</v>
      </c>
      <c r="B26" s="625">
        <f>'a4'!H40</f>
        <v>2564.1671712108046</v>
      </c>
      <c r="C26" s="625">
        <f>'a4'!L40</f>
        <v>2158.1767673886447</v>
      </c>
      <c r="D26" s="625">
        <f>'a4'!N40</f>
        <v>2243.8570980019063</v>
      </c>
      <c r="E26" s="625">
        <f>'a4'!P40</f>
        <v>2371.5851284192368</v>
      </c>
      <c r="F26" s="625">
        <f>'a4'!R40</f>
        <v>2234.7460508652921</v>
      </c>
      <c r="G26" s="625">
        <f>'a4'!T40</f>
        <v>2357.748181740018</v>
      </c>
      <c r="H26" s="625">
        <f>'a4'!V40</f>
        <v>2681.9920100622999</v>
      </c>
      <c r="I26" s="625">
        <f>'a4'!X40</f>
        <v>2385.2204285077923</v>
      </c>
      <c r="J26" s="625">
        <f>'a4'!Z40</f>
        <v>2396.0465846274974</v>
      </c>
      <c r="K26" s="625">
        <f>'a4'!AB40</f>
        <v>2792.0776830584327</v>
      </c>
      <c r="L26" s="625">
        <f>'a4'!AD40</f>
        <v>2669.7695822870046</v>
      </c>
    </row>
    <row r="27" spans="1:12">
      <c r="A27" s="611">
        <f t="shared" si="0"/>
        <v>2003</v>
      </c>
      <c r="B27" s="625">
        <f>'a4'!H41</f>
        <v>2636.1157520263437</v>
      </c>
      <c r="C27" s="625">
        <f>'a4'!L41</f>
        <v>2246.1902254198603</v>
      </c>
      <c r="D27" s="625">
        <f>'a4'!N41</f>
        <v>2315.5710088441524</v>
      </c>
      <c r="E27" s="625">
        <f>'a4'!P41</f>
        <v>2440.7261516687936</v>
      </c>
      <c r="F27" s="625">
        <f>'a4'!R41</f>
        <v>2289.0360496701319</v>
      </c>
      <c r="G27" s="625">
        <f>'a4'!T41</f>
        <v>2432.6720433224377</v>
      </c>
      <c r="H27" s="625">
        <f>'a4'!V41</f>
        <v>2749.1248793269083</v>
      </c>
      <c r="I27" s="625">
        <f>'a4'!X41</f>
        <v>2424.2919826738807</v>
      </c>
      <c r="J27" s="625">
        <f>'a4'!Z41</f>
        <v>2463.4722921836778</v>
      </c>
      <c r="K27" s="625">
        <f>'a4'!AB41</f>
        <v>2856.697464496749</v>
      </c>
      <c r="L27" s="625">
        <f>'a4'!AD41</f>
        <v>2762.4015413186457</v>
      </c>
    </row>
    <row r="28" spans="1:12">
      <c r="A28" s="611">
        <f t="shared" si="0"/>
        <v>2004</v>
      </c>
      <c r="B28" s="625">
        <f>'a4'!H42</f>
        <v>2711.2456956861161</v>
      </c>
      <c r="C28" s="625">
        <f>'a4'!L42</f>
        <v>2293.2055564747584</v>
      </c>
      <c r="D28" s="625">
        <f>'a4'!N42</f>
        <v>2372.003811426936</v>
      </c>
      <c r="E28" s="625">
        <f>'a4'!P42</f>
        <v>2501.0437950997007</v>
      </c>
      <c r="F28" s="625">
        <f>'a4'!R42</f>
        <v>2353.4668991244162</v>
      </c>
      <c r="G28" s="625">
        <f>'a4'!T42</f>
        <v>2496.1405084042021</v>
      </c>
      <c r="H28" s="625">
        <f>'a4'!V42</f>
        <v>2815.4701184584887</v>
      </c>
      <c r="I28" s="625">
        <f>'a4'!X42</f>
        <v>2491.1865014849682</v>
      </c>
      <c r="J28" s="625">
        <f>'a4'!Z42</f>
        <v>2516.6475441236689</v>
      </c>
      <c r="K28" s="625">
        <f>'a4'!AB42</f>
        <v>2963.4139038783637</v>
      </c>
      <c r="L28" s="625">
        <f>'a4'!AD42</f>
        <v>2872.8460884100996</v>
      </c>
    </row>
    <row r="29" spans="1:12">
      <c r="A29" s="611">
        <f t="shared" si="0"/>
        <v>2005</v>
      </c>
      <c r="B29" s="625">
        <f>'a4'!H43</f>
        <v>2790.7213209071069</v>
      </c>
      <c r="C29" s="625">
        <f>'a4'!L43</f>
        <v>2342.5710024031705</v>
      </c>
      <c r="D29" s="625">
        <f>'a4'!N43</f>
        <v>2419.2275815825669</v>
      </c>
      <c r="E29" s="625">
        <f>'a4'!P43</f>
        <v>2557.2756327457032</v>
      </c>
      <c r="F29" s="625">
        <f>'a4'!R43</f>
        <v>2410.7967254445671</v>
      </c>
      <c r="G29" s="625">
        <f>'a4'!T43</f>
        <v>2556.1360196310816</v>
      </c>
      <c r="H29" s="625">
        <f>'a4'!V43</f>
        <v>2884.9556690161371</v>
      </c>
      <c r="I29" s="625">
        <f>'a4'!X43</f>
        <v>2559.8720044238671</v>
      </c>
      <c r="J29" s="625">
        <f>'a4'!Z43</f>
        <v>2602.0008845860916</v>
      </c>
      <c r="K29" s="625">
        <f>'a4'!AB43</f>
        <v>3114.429212828888</v>
      </c>
      <c r="L29" s="625">
        <f>'a4'!AD43</f>
        <v>2968.0155069819557</v>
      </c>
    </row>
    <row r="30" spans="1:12">
      <c r="A30" s="611">
        <f t="shared" si="0"/>
        <v>2006</v>
      </c>
      <c r="B30" s="625">
        <f>'a4'!H44</f>
        <v>2872.7708573006507</v>
      </c>
      <c r="C30" s="625">
        <f>'a4'!L44</f>
        <v>2407.0972196391494</v>
      </c>
      <c r="D30" s="625">
        <f>'a4'!N44</f>
        <v>2499.2770215376677</v>
      </c>
      <c r="E30" s="625">
        <f>'a4'!P44</f>
        <v>2627.1359201965338</v>
      </c>
      <c r="F30" s="625">
        <f>'a4'!R44</f>
        <v>2496.6710114027774</v>
      </c>
      <c r="G30" s="625">
        <f>'a4'!T44</f>
        <v>2608.8562060575678</v>
      </c>
      <c r="H30" s="625">
        <f>'a4'!V44</f>
        <v>2943.7375721433054</v>
      </c>
      <c r="I30" s="625">
        <f>'a4'!X44</f>
        <v>2621.6840138826769</v>
      </c>
      <c r="J30" s="625">
        <f>'a4'!Z44</f>
        <v>2697.9615695658667</v>
      </c>
      <c r="K30" s="625">
        <f>'a4'!AB44</f>
        <v>3275.4175687252318</v>
      </c>
      <c r="L30" s="625">
        <f>'a4'!AD44</f>
        <v>3104.3839085095601</v>
      </c>
    </row>
    <row r="31" spans="1:12">
      <c r="A31" s="611">
        <f t="shared" si="0"/>
        <v>2007</v>
      </c>
      <c r="B31" s="625">
        <f>'a4'!H45</f>
        <v>2957.8487761096931</v>
      </c>
      <c r="C31" s="625">
        <f>'a4'!L45</f>
        <v>2534.4799203066741</v>
      </c>
      <c r="D31" s="625">
        <f>'a4'!N45</f>
        <v>2594.4854657968881</v>
      </c>
      <c r="E31" s="625">
        <f>'a4'!P45</f>
        <v>2706.3775432824373</v>
      </c>
      <c r="F31" s="625">
        <f>'a4'!R45</f>
        <v>2592.8629800577496</v>
      </c>
      <c r="G31" s="625">
        <f>'a4'!T45</f>
        <v>2684.1325872001912</v>
      </c>
      <c r="H31" s="625">
        <f>'a4'!V45</f>
        <v>3011.2854713777169</v>
      </c>
      <c r="I31" s="625">
        <f>'a4'!X45</f>
        <v>2724.0939676257581</v>
      </c>
      <c r="J31" s="625">
        <f>'a4'!Z45</f>
        <v>2840.9341943027489</v>
      </c>
      <c r="K31" s="625">
        <f>'a4'!AB45</f>
        <v>3386.8583500371424</v>
      </c>
      <c r="L31" s="625">
        <f>'a4'!AD45</f>
        <v>3202.4071090067487</v>
      </c>
    </row>
    <row r="32" spans="1:12">
      <c r="A32" s="611">
        <f t="shared" si="0"/>
        <v>2008</v>
      </c>
      <c r="B32" s="625">
        <f>'a4'!H46</f>
        <v>3045.2238853542754</v>
      </c>
      <c r="C32" s="625">
        <f>'a4'!L46</f>
        <v>2699.4123955708619</v>
      </c>
      <c r="D32" s="625">
        <f>'a4'!N46</f>
        <v>2667.8836328680081</v>
      </c>
      <c r="E32" s="625">
        <f>'a4'!P46</f>
        <v>2817.0297426341249</v>
      </c>
      <c r="F32" s="625">
        <f>'a4'!R46</f>
        <v>2713.3714436180753</v>
      </c>
      <c r="G32" s="625">
        <f>'a4'!T46</f>
        <v>2780.7101173551978</v>
      </c>
      <c r="H32" s="625">
        <f>'a4'!V46</f>
        <v>3095.1312438825867</v>
      </c>
      <c r="I32" s="625">
        <f>'a4'!X46</f>
        <v>2833.7907074797727</v>
      </c>
      <c r="J32" s="625">
        <f>'a4'!Z46</f>
        <v>3006.5102012836001</v>
      </c>
      <c r="K32" s="625">
        <f>'a4'!AB46</f>
        <v>3442.1965968769755</v>
      </c>
      <c r="L32" s="625">
        <f>'a4'!AD46</f>
        <v>3257.4920808021088</v>
      </c>
    </row>
    <row r="33" spans="1:12">
      <c r="A33" s="611">
        <f t="shared" si="0"/>
        <v>2009</v>
      </c>
      <c r="B33" s="625">
        <f>'a4'!H47</f>
        <v>3136.3829170689933</v>
      </c>
      <c r="C33" s="625">
        <f>'a4'!L47</f>
        <v>2867.0353363065497</v>
      </c>
      <c r="D33" s="625">
        <f>'a4'!N47</f>
        <v>2774.2778718079226</v>
      </c>
      <c r="E33" s="625">
        <f>'a4'!P47</f>
        <v>2977.474894435883</v>
      </c>
      <c r="F33" s="625">
        <f>'a4'!R47</f>
        <v>2849.0005770235962</v>
      </c>
      <c r="G33" s="625">
        <f>'a4'!T47</f>
        <v>2888.4348970378528</v>
      </c>
      <c r="H33" s="625">
        <f>'a4'!V47</f>
        <v>3185.4007042856188</v>
      </c>
      <c r="I33" s="625">
        <f>'a4'!X47</f>
        <v>2953.1727318115818</v>
      </c>
      <c r="J33" s="625">
        <f>'a4'!Z47</f>
        <v>3123.9060776883684</v>
      </c>
      <c r="K33" s="625">
        <f>'a4'!AB47</f>
        <v>3459.17260886545</v>
      </c>
      <c r="L33" s="625">
        <f>'a4'!AD47</f>
        <v>3330.7363368129027</v>
      </c>
    </row>
    <row r="34" spans="1:12">
      <c r="A34" s="611">
        <f t="shared" si="0"/>
        <v>2010</v>
      </c>
      <c r="B34" s="625">
        <f>'a4'!H48</f>
        <v>3234.7173666806088</v>
      </c>
      <c r="C34" s="625">
        <f>'a4'!L48</f>
        <v>2984.7990920543989</v>
      </c>
      <c r="D34" s="625">
        <f>'a4'!N48</f>
        <v>2859.7538184402374</v>
      </c>
      <c r="E34" s="625">
        <f>'a4'!P48</f>
        <v>3079.1505887442559</v>
      </c>
      <c r="F34" s="625">
        <f>'a4'!R48</f>
        <v>2957.3278549788893</v>
      </c>
      <c r="G34" s="625">
        <f>'a4'!T48</f>
        <v>2973.7762834106261</v>
      </c>
      <c r="H34" s="625">
        <f>'a4'!V48</f>
        <v>3271.0919362693744</v>
      </c>
      <c r="I34" s="625">
        <f>'a4'!X48</f>
        <v>3046.6225999621993</v>
      </c>
      <c r="J34" s="625">
        <f>'a4'!Z48</f>
        <v>3238.1994804996716</v>
      </c>
      <c r="K34" s="625">
        <f>'a4'!AB48</f>
        <v>3617.3173418903079</v>
      </c>
      <c r="L34" s="625">
        <f>'a4'!AD48</f>
        <v>3433.4896539471083</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2.1277928240907018</v>
      </c>
      <c r="C36" s="617">
        <f t="shared" si="1"/>
        <v>3.1828548094285036</v>
      </c>
      <c r="D36" s="617">
        <f t="shared" si="1"/>
        <v>2.4820193534578872</v>
      </c>
      <c r="E36" s="617">
        <f t="shared" si="1"/>
        <v>2.4316785407056507</v>
      </c>
      <c r="F36" s="617">
        <f t="shared" si="1"/>
        <v>2.7670145614078212</v>
      </c>
      <c r="G36" s="617">
        <f t="shared" si="1"/>
        <v>2.3171396665994548</v>
      </c>
      <c r="H36" s="617">
        <f t="shared" si="1"/>
        <v>1.9710045412281829</v>
      </c>
      <c r="I36" s="617">
        <f t="shared" si="1"/>
        <v>2.0221538642472892</v>
      </c>
      <c r="J36" s="617">
        <f t="shared" si="1"/>
        <v>2.4306931619906269</v>
      </c>
      <c r="K36" s="617">
        <f t="shared" si="1"/>
        <v>1.9796060038703267</v>
      </c>
      <c r="L36" s="617">
        <f t="shared" si="1"/>
        <v>1.785900432579246</v>
      </c>
    </row>
    <row r="37" spans="1:12">
      <c r="A37" s="611" t="s">
        <v>1472</v>
      </c>
      <c r="B37" s="617">
        <f t="shared" ref="B37:L37" si="2">100*(POWER(B13/B5, 1/8)-1)</f>
        <v>1.4616640152711469</v>
      </c>
      <c r="C37" s="617">
        <f t="shared" si="2"/>
        <v>2.3866617542659618</v>
      </c>
      <c r="D37" s="617">
        <f t="shared" si="2"/>
        <v>1.6754541649450116</v>
      </c>
      <c r="E37" s="617">
        <f t="shared" si="2"/>
        <v>1.8522658043987228</v>
      </c>
      <c r="F37" s="617">
        <f t="shared" si="2"/>
        <v>2.1789466444292804</v>
      </c>
      <c r="G37" s="617">
        <f t="shared" si="2"/>
        <v>1.6897202245734544</v>
      </c>
      <c r="H37" s="617">
        <f t="shared" si="2"/>
        <v>1.7385680924556057</v>
      </c>
      <c r="I37" s="617">
        <f t="shared" si="2"/>
        <v>1.1261481846503996</v>
      </c>
      <c r="J37" s="617">
        <f t="shared" si="2"/>
        <v>0.96674469685689157</v>
      </c>
      <c r="K37" s="617">
        <f t="shared" si="2"/>
        <v>0.60244892706671216</v>
      </c>
      <c r="L37" s="617">
        <f t="shared" si="2"/>
        <v>0.57010245186697173</v>
      </c>
    </row>
    <row r="38" spans="1:12">
      <c r="A38" s="611" t="s">
        <v>1473</v>
      </c>
      <c r="B38" s="617">
        <f t="shared" ref="B38:L38" si="3">100*(POWER(B24/B13, 1/11)-1)</f>
        <v>1.9523490131511334</v>
      </c>
      <c r="C38" s="617">
        <f t="shared" si="3"/>
        <v>2.8844701736854717</v>
      </c>
      <c r="D38" s="617">
        <f t="shared" si="3"/>
        <v>2.5675262596818627</v>
      </c>
      <c r="E38" s="617">
        <f t="shared" si="3"/>
        <v>2.1206928207681885</v>
      </c>
      <c r="F38" s="617">
        <f t="shared" si="3"/>
        <v>2.6440602110271438</v>
      </c>
      <c r="G38" s="617">
        <f t="shared" si="3"/>
        <v>2.2276948436872335</v>
      </c>
      <c r="H38" s="617">
        <f t="shared" si="3"/>
        <v>1.7368241113994376</v>
      </c>
      <c r="I38" s="617">
        <f t="shared" si="3"/>
        <v>1.7898108146283898</v>
      </c>
      <c r="J38" s="617">
        <f t="shared" si="3"/>
        <v>2.3614193875764355</v>
      </c>
      <c r="K38" s="617">
        <f t="shared" si="3"/>
        <v>1.9549235376076668</v>
      </c>
      <c r="L38" s="617">
        <f t="shared" si="3"/>
        <v>1.5001187698310714</v>
      </c>
    </row>
    <row r="39" spans="1:12">
      <c r="A39" s="611" t="s">
        <v>1474</v>
      </c>
      <c r="B39" s="617">
        <f t="shared" ref="B39:L39" si="4">100*(POWER(B32/B24, 1/8)-1)</f>
        <v>2.8067155476309003</v>
      </c>
      <c r="C39" s="617">
        <f t="shared" si="4"/>
        <v>3.9075737757362283</v>
      </c>
      <c r="D39" s="617">
        <f t="shared" si="4"/>
        <v>2.9136285959486363</v>
      </c>
      <c r="E39" s="617">
        <f t="shared" si="4"/>
        <v>2.9182180110246758</v>
      </c>
      <c r="F39" s="617">
        <f t="shared" si="4"/>
        <v>3.1218279461800114</v>
      </c>
      <c r="G39" s="617">
        <f t="shared" si="4"/>
        <v>2.7980818029808896</v>
      </c>
      <c r="H39" s="617">
        <f t="shared" si="4"/>
        <v>2.3194520288432052</v>
      </c>
      <c r="I39" s="617">
        <f t="shared" si="4"/>
        <v>2.8322338159759486</v>
      </c>
      <c r="J39" s="617">
        <f t="shared" si="4"/>
        <v>3.6724290603858956</v>
      </c>
      <c r="K39" s="617">
        <f t="shared" si="4"/>
        <v>3.2754558688359081</v>
      </c>
      <c r="L39" s="617">
        <f t="shared" si="4"/>
        <v>3.1931065677454962</v>
      </c>
    </row>
    <row r="40" spans="1:12">
      <c r="A40" s="611" t="s">
        <v>1500</v>
      </c>
      <c r="B40" s="611"/>
      <c r="C40" s="611"/>
      <c r="D40" s="611"/>
      <c r="E40" s="611"/>
      <c r="F40" s="611"/>
      <c r="G40" s="611"/>
      <c r="H40" s="611"/>
      <c r="I40" s="611"/>
      <c r="J40" s="611"/>
      <c r="K40" s="611"/>
      <c r="L40" s="611"/>
    </row>
    <row r="41" spans="1:12">
      <c r="A41" s="611" t="s">
        <v>1498</v>
      </c>
      <c r="B41" s="616">
        <f>100*(B34-B5)/B5</f>
        <v>84.151150416307615</v>
      </c>
      <c r="C41" s="616">
        <f t="shared" ref="C41:L41" si="5">100*(C34-C5)/C5</f>
        <v>148.09536263104008</v>
      </c>
      <c r="D41" s="616">
        <f t="shared" si="5"/>
        <v>103.60224223158077</v>
      </c>
      <c r="E41" s="616">
        <f t="shared" si="5"/>
        <v>100.72173224765973</v>
      </c>
      <c r="F41" s="616">
        <f t="shared" si="5"/>
        <v>120.67770882487658</v>
      </c>
      <c r="G41" s="616">
        <f t="shared" si="5"/>
        <v>94.313659140058675</v>
      </c>
      <c r="H41" s="616">
        <f t="shared" si="5"/>
        <v>76.126308349498018</v>
      </c>
      <c r="I41" s="616">
        <f t="shared" si="5"/>
        <v>78.706418871406214</v>
      </c>
      <c r="J41" s="616">
        <f>100*(J34-J5)/J5</f>
        <v>100.665743237085</v>
      </c>
      <c r="K41" s="616">
        <f t="shared" si="5"/>
        <v>76.557659337636679</v>
      </c>
      <c r="L41" s="616">
        <f t="shared" si="5"/>
        <v>67.086385538859048</v>
      </c>
    </row>
    <row r="42" spans="1:12">
      <c r="A42" s="611" t="s">
        <v>1472</v>
      </c>
      <c r="B42" s="616">
        <f>100*(B13-B5)/B5</f>
        <v>12.309332292135624</v>
      </c>
      <c r="C42" s="616">
        <f t="shared" ref="C42:L42" si="6">100*(C13-C5)/C5</f>
        <v>20.76666320948064</v>
      </c>
      <c r="D42" s="616">
        <f t="shared" si="6"/>
        <v>14.216531619987455</v>
      </c>
      <c r="E42" s="616">
        <f t="shared" si="6"/>
        <v>15.815199078009218</v>
      </c>
      <c r="F42" s="616">
        <f t="shared" si="6"/>
        <v>18.82049849431813</v>
      </c>
      <c r="G42" s="616">
        <f t="shared" si="6"/>
        <v>14.344800159997099</v>
      </c>
      <c r="H42" s="616">
        <f t="shared" si="6"/>
        <v>14.784954733785279</v>
      </c>
      <c r="I42" s="616">
        <f t="shared" si="6"/>
        <v>9.3723956833087865</v>
      </c>
      <c r="J42" s="616">
        <f t="shared" si="6"/>
        <v>8.0007655636307096</v>
      </c>
      <c r="K42" s="616">
        <f t="shared" si="6"/>
        <v>4.9224496724977183</v>
      </c>
      <c r="L42" s="616">
        <f t="shared" si="6"/>
        <v>4.6528693889622428</v>
      </c>
    </row>
    <row r="43" spans="1:12">
      <c r="A43" s="611" t="s">
        <v>1473</v>
      </c>
      <c r="B43" s="616">
        <f>100*(B24-B13)/B13</f>
        <v>23.699972070203572</v>
      </c>
      <c r="C43" s="616">
        <f t="shared" ref="C43:L43" si="7">100*(C24-C13)/C13</f>
        <v>36.725046474841264</v>
      </c>
      <c r="D43" s="616">
        <f t="shared" si="7"/>
        <v>32.162636521162533</v>
      </c>
      <c r="E43" s="616">
        <f t="shared" si="7"/>
        <v>25.965402276557704</v>
      </c>
      <c r="F43" s="616">
        <f t="shared" si="7"/>
        <v>33.251482745005305</v>
      </c>
      <c r="G43" s="616">
        <f t="shared" si="7"/>
        <v>27.424883987599376</v>
      </c>
      <c r="H43" s="616">
        <f t="shared" si="7"/>
        <v>20.853696603774846</v>
      </c>
      <c r="I43" s="616">
        <f t="shared" si="7"/>
        <v>21.547877392002636</v>
      </c>
      <c r="J43" s="616">
        <f t="shared" si="7"/>
        <v>29.270459663105036</v>
      </c>
      <c r="K43" s="616">
        <f t="shared" si="7"/>
        <v>23.734337114431025</v>
      </c>
      <c r="L43" s="616">
        <f t="shared" si="7"/>
        <v>17.796409958538902</v>
      </c>
    </row>
    <row r="44" spans="1:12">
      <c r="A44" s="611" t="s">
        <v>1474</v>
      </c>
      <c r="B44" s="616">
        <f>100*(B32-B24)/B24</f>
        <v>24.787727766162881</v>
      </c>
      <c r="C44" s="616">
        <f t="shared" ref="C44:L44" si="8">100*(C32-C24)/C24</f>
        <v>35.886913375515725</v>
      </c>
      <c r="D44" s="616">
        <f t="shared" si="8"/>
        <v>25.829690642612665</v>
      </c>
      <c r="E44" s="616">
        <f t="shared" si="8"/>
        <v>25.87458847238031</v>
      </c>
      <c r="F44" s="616">
        <f t="shared" si="8"/>
        <v>27.880646162354747</v>
      </c>
      <c r="G44" s="616">
        <f t="shared" si="8"/>
        <v>24.703914661370614</v>
      </c>
      <c r="H44" s="616">
        <f t="shared" si="8"/>
        <v>20.133919026685344</v>
      </c>
      <c r="I44" s="616">
        <f t="shared" si="8"/>
        <v>25.03573759839491</v>
      </c>
      <c r="J44" s="616">
        <f t="shared" si="8"/>
        <v>33.446194633449686</v>
      </c>
      <c r="K44" s="616">
        <f t="shared" si="8"/>
        <v>29.412720024957146</v>
      </c>
      <c r="L44" s="616">
        <f t="shared" si="8"/>
        <v>28.589496151841303</v>
      </c>
    </row>
    <row r="46" spans="1:12">
      <c r="A46" s="611" t="s">
        <v>1540</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dimension ref="A1:L46"/>
  <sheetViews>
    <sheetView workbookViewId="0">
      <selection activeCell="E9" sqref="E9"/>
    </sheetView>
  </sheetViews>
  <sheetFormatPr defaultRowHeight="12.75"/>
  <cols>
    <col min="1" max="16384" width="9" style="618"/>
  </cols>
  <sheetData>
    <row r="1" spans="1:12">
      <c r="A1" s="611" t="s">
        <v>1508</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5">
        <f>'a7'!D19</f>
        <v>53260.19610462003</v>
      </c>
      <c r="C5" s="625">
        <f>'a7'!G19</f>
        <v>41491.518889209496</v>
      </c>
      <c r="D5" s="625">
        <f>'a7'!J19</f>
        <v>32022.068619436508</v>
      </c>
      <c r="E5" s="625">
        <f>'a7'!M19</f>
        <v>39935.223092139044</v>
      </c>
      <c r="F5" s="625">
        <f>'a7'!P19</f>
        <v>41609.817563607845</v>
      </c>
      <c r="G5" s="625">
        <f>'a7'!S19</f>
        <v>47530.964348614609</v>
      </c>
      <c r="H5" s="625">
        <f>'a7'!V19</f>
        <v>53613.235441972713</v>
      </c>
      <c r="I5" s="625">
        <f>'a7'!Y19</f>
        <v>49176.132085037345</v>
      </c>
      <c r="J5" s="625">
        <f>'a7'!AB19</f>
        <v>55847.738017276817</v>
      </c>
      <c r="K5" s="625">
        <f>'a7'!AE19</f>
        <v>78722.375326480149</v>
      </c>
      <c r="L5" s="625">
        <f>'a7'!AH19</f>
        <v>51617.956291715935</v>
      </c>
    </row>
    <row r="6" spans="1:12">
      <c r="A6" s="611">
        <f t="shared" ref="A6:A34" si="0">A5+1</f>
        <v>1982</v>
      </c>
      <c r="B6" s="625">
        <f>'a7'!D20</f>
        <v>53992.763470170852</v>
      </c>
      <c r="C6" s="625">
        <f>'a7'!G20</f>
        <v>43211.18256520186</v>
      </c>
      <c r="D6" s="625">
        <f>'a7'!J20</f>
        <v>32447.420461533482</v>
      </c>
      <c r="E6" s="625">
        <f>'a7'!M20</f>
        <v>41454.741583026596</v>
      </c>
      <c r="F6" s="625">
        <f>'a7'!P20</f>
        <v>42377.140377436364</v>
      </c>
      <c r="G6" s="625">
        <f>'a7'!S20</f>
        <v>47869.5399726865</v>
      </c>
      <c r="H6" s="625">
        <f>'a7'!V20</f>
        <v>53971.948932590516</v>
      </c>
      <c r="I6" s="625">
        <f>'a7'!Y20</f>
        <v>48389.701154967741</v>
      </c>
      <c r="J6" s="625">
        <f>'a7'!AB20</f>
        <v>56211.917509137609</v>
      </c>
      <c r="K6" s="625">
        <f>'a7'!AE20</f>
        <v>81059.419822628406</v>
      </c>
      <c r="L6" s="625">
        <f>'a7'!AH20</f>
        <v>52118.928821110836</v>
      </c>
    </row>
    <row r="7" spans="1:12">
      <c r="A7" s="611">
        <f t="shared" si="0"/>
        <v>1983</v>
      </c>
      <c r="B7" s="625">
        <f>'a7'!D21</f>
        <v>54556.030542073073</v>
      </c>
      <c r="C7" s="625">
        <f>'a7'!G21</f>
        <v>44341.089052496347</v>
      </c>
      <c r="D7" s="625">
        <f>'a7'!J21</f>
        <v>32565.057313232399</v>
      </c>
      <c r="E7" s="625">
        <f>'a7'!M21</f>
        <v>43031.19698625688</v>
      </c>
      <c r="F7" s="625">
        <f>'a7'!P21</f>
        <v>42138.946228677109</v>
      </c>
      <c r="G7" s="625">
        <f>'a7'!S21</f>
        <v>48446.820085367566</v>
      </c>
      <c r="H7" s="625">
        <f>'a7'!V21</f>
        <v>54327.410868488798</v>
      </c>
      <c r="I7" s="625">
        <f>'a7'!Y21</f>
        <v>47782.713974590282</v>
      </c>
      <c r="J7" s="625">
        <f>'a7'!AB21</f>
        <v>56609.02223123319</v>
      </c>
      <c r="K7" s="625">
        <f>'a7'!AE21</f>
        <v>82319.156103371221</v>
      </c>
      <c r="L7" s="625">
        <f>'a7'!AH21</f>
        <v>52538.969225128647</v>
      </c>
    </row>
    <row r="8" spans="1:12">
      <c r="A8" s="611">
        <f t="shared" si="0"/>
        <v>1984</v>
      </c>
      <c r="B8" s="625">
        <f>'a7'!D22</f>
        <v>55111.32024446546</v>
      </c>
      <c r="C8" s="625">
        <f>'a7'!G22</f>
        <v>45788.770913604509</v>
      </c>
      <c r="D8" s="625">
        <f>'a7'!J22</f>
        <v>32883.84677986458</v>
      </c>
      <c r="E8" s="625">
        <f>'a7'!M22</f>
        <v>43919.123139112293</v>
      </c>
      <c r="F8" s="625">
        <f>'a7'!P22</f>
        <v>42097.636046679472</v>
      </c>
      <c r="G8" s="625">
        <f>'a7'!S22</f>
        <v>49273.680996860305</v>
      </c>
      <c r="H8" s="625">
        <f>'a7'!V22</f>
        <v>54843.896755096597</v>
      </c>
      <c r="I8" s="625">
        <f>'a7'!Y22</f>
        <v>47804.251033298809</v>
      </c>
      <c r="J8" s="625">
        <f>'a7'!AB22</f>
        <v>56882.797612887647</v>
      </c>
      <c r="K8" s="625">
        <f>'a7'!AE22</f>
        <v>83144.736783843313</v>
      </c>
      <c r="L8" s="625">
        <f>'a7'!AH22</f>
        <v>52518.099906317257</v>
      </c>
    </row>
    <row r="9" spans="1:12">
      <c r="A9" s="611">
        <f t="shared" si="0"/>
        <v>1985</v>
      </c>
      <c r="B9" s="625">
        <f>'a7'!D23</f>
        <v>55942.957233068686</v>
      </c>
      <c r="C9" s="625">
        <f>'a7'!G23</f>
        <v>47011.06866341547</v>
      </c>
      <c r="D9" s="625">
        <f>'a7'!J23</f>
        <v>33391.153354907969</v>
      </c>
      <c r="E9" s="625">
        <f>'a7'!M23</f>
        <v>44687.748349603993</v>
      </c>
      <c r="F9" s="625">
        <f>'a7'!P23</f>
        <v>42502.761421123287</v>
      </c>
      <c r="G9" s="625">
        <f>'a7'!S23</f>
        <v>50255.614688225061</v>
      </c>
      <c r="H9" s="625">
        <f>'a7'!V23</f>
        <v>55762.333661156074</v>
      </c>
      <c r="I9" s="625">
        <f>'a7'!Y23</f>
        <v>48305.361318066127</v>
      </c>
      <c r="J9" s="625">
        <f>'a7'!AB23</f>
        <v>57606.051254332007</v>
      </c>
      <c r="K9" s="625">
        <f>'a7'!AE23</f>
        <v>84132.416811881107</v>
      </c>
      <c r="L9" s="625">
        <f>'a7'!AH23</f>
        <v>52943.765568642186</v>
      </c>
    </row>
    <row r="10" spans="1:12">
      <c r="A10" s="611">
        <f t="shared" si="0"/>
        <v>1986</v>
      </c>
      <c r="B10" s="625">
        <f>'a7'!D24</f>
        <v>56801.088172317541</v>
      </c>
      <c r="C10" s="625">
        <f>'a7'!G24</f>
        <v>48355.502285244307</v>
      </c>
      <c r="D10" s="625">
        <f>'a7'!J24</f>
        <v>34217.195334641387</v>
      </c>
      <c r="E10" s="625">
        <f>'a7'!M24</f>
        <v>45593.294694444972</v>
      </c>
      <c r="F10" s="625">
        <f>'a7'!P24</f>
        <v>42894.091878971456</v>
      </c>
      <c r="G10" s="625">
        <f>'a7'!S24</f>
        <v>51327.982967038697</v>
      </c>
      <c r="H10" s="625">
        <f>'a7'!V24</f>
        <v>57145.185554560332</v>
      </c>
      <c r="I10" s="625">
        <f>'a7'!Y24</f>
        <v>49328.178959866316</v>
      </c>
      <c r="J10" s="625">
        <f>'a7'!AB24</f>
        <v>58214.682755315604</v>
      </c>
      <c r="K10" s="625">
        <f>'a7'!AE24</f>
        <v>83629.611291734662</v>
      </c>
      <c r="L10" s="625">
        <f>'a7'!AH24</f>
        <v>52907.103026646837</v>
      </c>
    </row>
    <row r="11" spans="1:12">
      <c r="A11" s="611">
        <f t="shared" si="0"/>
        <v>1987</v>
      </c>
      <c r="B11" s="625">
        <f>'a7'!D25</f>
        <v>57835.858982407604</v>
      </c>
      <c r="C11" s="625">
        <f>'a7'!G25</f>
        <v>48896.600908834887</v>
      </c>
      <c r="D11" s="625">
        <f>'a7'!J25</f>
        <v>35255.222673953096</v>
      </c>
      <c r="E11" s="625">
        <f>'a7'!M25</f>
        <v>46166.83616716988</v>
      </c>
      <c r="F11" s="625">
        <f>'a7'!P25</f>
        <v>43261.581850259972</v>
      </c>
      <c r="G11" s="625">
        <f>'a7'!S25</f>
        <v>52661.388673284986</v>
      </c>
      <c r="H11" s="625">
        <f>'a7'!V25</f>
        <v>58662.136721054128</v>
      </c>
      <c r="I11" s="625">
        <f>'a7'!Y25</f>
        <v>50102.596840963859</v>
      </c>
      <c r="J11" s="625">
        <f>'a7'!AB25</f>
        <v>59379.722579127214</v>
      </c>
      <c r="K11" s="625">
        <f>'a7'!AE25</f>
        <v>84186.427706107279</v>
      </c>
      <c r="L11" s="625">
        <f>'a7'!AH25</f>
        <v>53051.742426404337</v>
      </c>
    </row>
    <row r="12" spans="1:12">
      <c r="A12" s="611">
        <f t="shared" si="0"/>
        <v>1988</v>
      </c>
      <c r="B12" s="625">
        <f>'a7'!D26</f>
        <v>59264.178241157621</v>
      </c>
      <c r="C12" s="625">
        <f>'a7'!G26</f>
        <v>49698.653523066809</v>
      </c>
      <c r="D12" s="625">
        <f>'a7'!J26</f>
        <v>36703.821670830468</v>
      </c>
      <c r="E12" s="625">
        <f>'a7'!M26</f>
        <v>47233.390175832807</v>
      </c>
      <c r="F12" s="625">
        <f>'a7'!P26</f>
        <v>44101.375506778269</v>
      </c>
      <c r="G12" s="625">
        <f>'a7'!S26</f>
        <v>54239.172412421285</v>
      </c>
      <c r="H12" s="625">
        <f>'a7'!V26</f>
        <v>60529.150277173016</v>
      </c>
      <c r="I12" s="625">
        <f>'a7'!Y26</f>
        <v>51087.955381834814</v>
      </c>
      <c r="J12" s="625">
        <f>'a7'!AB26</f>
        <v>61014.495951761521</v>
      </c>
      <c r="K12" s="625">
        <f>'a7'!AE26</f>
        <v>85692.883945137495</v>
      </c>
      <c r="L12" s="625">
        <f>'a7'!AH26</f>
        <v>53454.310459133143</v>
      </c>
    </row>
    <row r="13" spans="1:12">
      <c r="A13" s="611">
        <f t="shared" si="0"/>
        <v>1989</v>
      </c>
      <c r="B13" s="625">
        <f>'a7'!D27</f>
        <v>60440.297500647161</v>
      </c>
      <c r="C13" s="625">
        <f>'a7'!G27</f>
        <v>50445.535780876286</v>
      </c>
      <c r="D13" s="625">
        <f>'a7'!J27</f>
        <v>37945.846042734323</v>
      </c>
      <c r="E13" s="625">
        <f>'a7'!M27</f>
        <v>48290.566924934814</v>
      </c>
      <c r="F13" s="625">
        <f>'a7'!P27</f>
        <v>45279.945152483444</v>
      </c>
      <c r="G13" s="625">
        <f>'a7'!S27</f>
        <v>55535.883538903538</v>
      </c>
      <c r="H13" s="625">
        <f>'a7'!V27</f>
        <v>62085.408893426458</v>
      </c>
      <c r="I13" s="625">
        <f>'a7'!Y27</f>
        <v>51988.257117282963</v>
      </c>
      <c r="J13" s="625">
        <f>'a7'!AB27</f>
        <v>62172.721565488471</v>
      </c>
      <c r="K13" s="625">
        <f>'a7'!AE27</f>
        <v>85699.194940610207</v>
      </c>
      <c r="L13" s="625">
        <f>'a7'!AH27</f>
        <v>54338.005208455535</v>
      </c>
    </row>
    <row r="14" spans="1:12">
      <c r="A14" s="611">
        <f t="shared" si="0"/>
        <v>1990</v>
      </c>
      <c r="B14" s="625">
        <f>'a7'!D28</f>
        <v>61372.297043191211</v>
      </c>
      <c r="C14" s="625">
        <f>'a7'!G28</f>
        <v>50989.246892796284</v>
      </c>
      <c r="D14" s="625">
        <f>'a7'!J28</f>
        <v>38907.140885248918</v>
      </c>
      <c r="E14" s="625">
        <f>'a7'!M28</f>
        <v>49147.697679501696</v>
      </c>
      <c r="F14" s="625">
        <f>'a7'!P28</f>
        <v>45968.893854808986</v>
      </c>
      <c r="G14" s="625">
        <f>'a7'!S28</f>
        <v>56798.212959122691</v>
      </c>
      <c r="H14" s="625">
        <f>'a7'!V28</f>
        <v>63127.392618682978</v>
      </c>
      <c r="I14" s="625">
        <f>'a7'!Y28</f>
        <v>52804.263805373703</v>
      </c>
      <c r="J14" s="625">
        <f>'a7'!AB28</f>
        <v>63710.923791860296</v>
      </c>
      <c r="K14" s="625">
        <f>'a7'!AE28</f>
        <v>85834.51696137985</v>
      </c>
      <c r="L14" s="625">
        <f>'a7'!AH28</f>
        <v>54984.423064714407</v>
      </c>
    </row>
    <row r="15" spans="1:12">
      <c r="A15" s="611">
        <f t="shared" si="0"/>
        <v>1991</v>
      </c>
      <c r="B15" s="625">
        <f>'a7'!D29</f>
        <v>61946.012878503097</v>
      </c>
      <c r="C15" s="625">
        <f>'a7'!G29</f>
        <v>51410.19229044034</v>
      </c>
      <c r="D15" s="625">
        <f>'a7'!J29</f>
        <v>40610.16959553268</v>
      </c>
      <c r="E15" s="625">
        <f>'a7'!M29</f>
        <v>49686.537576682924</v>
      </c>
      <c r="F15" s="625">
        <f>'a7'!P29</f>
        <v>46458.679367514924</v>
      </c>
      <c r="G15" s="625">
        <f>'a7'!S29</f>
        <v>57457.828583540526</v>
      </c>
      <c r="H15" s="625">
        <f>'a7'!V29</f>
        <v>63929.459657822656</v>
      </c>
      <c r="I15" s="625">
        <f>'a7'!Y29</f>
        <v>52980.389310060164</v>
      </c>
      <c r="J15" s="625">
        <f>'a7'!AB29</f>
        <v>64826.914281554149</v>
      </c>
      <c r="K15" s="625">
        <f>'a7'!AE29</f>
        <v>85394.83853372249</v>
      </c>
      <c r="L15" s="625">
        <f>'a7'!AH29</f>
        <v>55655.839743291443</v>
      </c>
    </row>
    <row r="16" spans="1:12">
      <c r="A16" s="611">
        <f t="shared" si="0"/>
        <v>1992</v>
      </c>
      <c r="B16" s="625">
        <f>'a7'!D30</f>
        <v>62161.468653634889</v>
      </c>
      <c r="C16" s="625">
        <f>'a7'!G30</f>
        <v>51935.260614815496</v>
      </c>
      <c r="D16" s="625">
        <f>'a7'!J30</f>
        <v>41361.862612457669</v>
      </c>
      <c r="E16" s="625">
        <f>'a7'!M30</f>
        <v>49669.284061902152</v>
      </c>
      <c r="F16" s="625">
        <f>'a7'!P30</f>
        <v>46868.781654304577</v>
      </c>
      <c r="G16" s="625">
        <f>'a7'!S30</f>
        <v>57970.128987160366</v>
      </c>
      <c r="H16" s="625">
        <f>'a7'!V30</f>
        <v>64179.611206933652</v>
      </c>
      <c r="I16" s="625">
        <f>'a7'!Y30</f>
        <v>53118.805973636838</v>
      </c>
      <c r="J16" s="625">
        <f>'a7'!AB30</f>
        <v>64885.276420699316</v>
      </c>
      <c r="K16" s="625">
        <f>'a7'!AE30</f>
        <v>85014.884307653978</v>
      </c>
      <c r="L16" s="625">
        <f>'a7'!AH30</f>
        <v>55796.200503805063</v>
      </c>
    </row>
    <row r="17" spans="1:12">
      <c r="A17" s="611">
        <f t="shared" si="0"/>
        <v>1993</v>
      </c>
      <c r="B17" s="625">
        <f>'a7'!D31</f>
        <v>62218.382730985693</v>
      </c>
      <c r="C17" s="625">
        <f>'a7'!G31</f>
        <v>53061.788139874516</v>
      </c>
      <c r="D17" s="625">
        <f>'a7'!J31</f>
        <v>41709.47668656423</v>
      </c>
      <c r="E17" s="625">
        <f>'a7'!M31</f>
        <v>49636.421787482752</v>
      </c>
      <c r="F17" s="625">
        <f>'a7'!P31</f>
        <v>46992.731019267856</v>
      </c>
      <c r="G17" s="625">
        <f>'a7'!S31</f>
        <v>58276.231185558041</v>
      </c>
      <c r="H17" s="625">
        <f>'a7'!V31</f>
        <v>64059.980675466271</v>
      </c>
      <c r="I17" s="625">
        <f>'a7'!Y31</f>
        <v>53166.807263304625</v>
      </c>
      <c r="J17" s="625">
        <f>'a7'!AB31</f>
        <v>64617.951832356739</v>
      </c>
      <c r="K17" s="625">
        <f>'a7'!AE31</f>
        <v>85341.522637941409</v>
      </c>
      <c r="L17" s="625">
        <f>'a7'!AH31</f>
        <v>55784.366770073873</v>
      </c>
    </row>
    <row r="18" spans="1:12">
      <c r="A18" s="611">
        <f t="shared" si="0"/>
        <v>1994</v>
      </c>
      <c r="B18" s="625">
        <f>'a7'!D32</f>
        <v>62563.979744187229</v>
      </c>
      <c r="C18" s="625">
        <f>'a7'!G32</f>
        <v>55238.442309901722</v>
      </c>
      <c r="D18" s="625">
        <f>'a7'!J32</f>
        <v>42682.156373419668</v>
      </c>
      <c r="E18" s="625">
        <f>'a7'!M32</f>
        <v>49746.796803438665</v>
      </c>
      <c r="F18" s="625">
        <f>'a7'!P32</f>
        <v>47068.68399128216</v>
      </c>
      <c r="G18" s="625">
        <f>'a7'!S32</f>
        <v>58860.277072905956</v>
      </c>
      <c r="H18" s="625">
        <f>'a7'!V32</f>
        <v>64083.491885588752</v>
      </c>
      <c r="I18" s="625">
        <f>'a7'!Y32</f>
        <v>53130.176633458854</v>
      </c>
      <c r="J18" s="625">
        <f>'a7'!AB32</f>
        <v>64776.865908922075</v>
      </c>
      <c r="K18" s="625">
        <f>'a7'!AE32</f>
        <v>86349.890172798245</v>
      </c>
      <c r="L18" s="625">
        <f>'a7'!AH32</f>
        <v>56225.479213563376</v>
      </c>
    </row>
    <row r="19" spans="1:12">
      <c r="A19" s="611">
        <f t="shared" si="0"/>
        <v>1995</v>
      </c>
      <c r="B19" s="625">
        <f>'a7'!D33</f>
        <v>62678.453334277969</v>
      </c>
      <c r="C19" s="625">
        <f>'a7'!G33</f>
        <v>57373.746424461184</v>
      </c>
      <c r="D19" s="625">
        <f>'a7'!J33</f>
        <v>43953.185284380466</v>
      </c>
      <c r="E19" s="625">
        <f>'a7'!M33</f>
        <v>49764.057018488988</v>
      </c>
      <c r="F19" s="625">
        <f>'a7'!P33</f>
        <v>47447.841047855829</v>
      </c>
      <c r="G19" s="625">
        <f>'a7'!S33</f>
        <v>59009.504421461657</v>
      </c>
      <c r="H19" s="625">
        <f>'a7'!V33</f>
        <v>63957.540333579935</v>
      </c>
      <c r="I19" s="625">
        <f>'a7'!Y33</f>
        <v>53135.191958552896</v>
      </c>
      <c r="J19" s="625">
        <f>'a7'!AB33</f>
        <v>64836.107739499726</v>
      </c>
      <c r="K19" s="625">
        <f>'a7'!AE33</f>
        <v>86987.196834251285</v>
      </c>
      <c r="L19" s="625">
        <f>'a7'!AH33</f>
        <v>56319.083547105271</v>
      </c>
    </row>
    <row r="20" spans="1:12">
      <c r="A20" s="611">
        <f t="shared" si="0"/>
        <v>1996</v>
      </c>
      <c r="B20" s="625">
        <f>'a7'!D34</f>
        <v>62803.841562395792</v>
      </c>
      <c r="C20" s="625">
        <f>'a7'!G34</f>
        <v>58216.773688667825</v>
      </c>
      <c r="D20" s="625">
        <f>'a7'!J34</f>
        <v>45123.812961830597</v>
      </c>
      <c r="E20" s="625">
        <f>'a7'!M34</f>
        <v>49670.028572134172</v>
      </c>
      <c r="F20" s="625">
        <f>'a7'!P34</f>
        <v>47991.235836164771</v>
      </c>
      <c r="G20" s="625">
        <f>'a7'!S34</f>
        <v>59231.849162476021</v>
      </c>
      <c r="H20" s="625">
        <f>'a7'!V34</f>
        <v>64004.319472975636</v>
      </c>
      <c r="I20" s="625">
        <f>'a7'!Y34</f>
        <v>53247.001752783479</v>
      </c>
      <c r="J20" s="625">
        <f>'a7'!AB34</f>
        <v>65402.526534798242</v>
      </c>
      <c r="K20" s="625">
        <f>'a7'!AE34</f>
        <v>87273.83948805336</v>
      </c>
      <c r="L20" s="625">
        <f>'a7'!AH34</f>
        <v>56115.219327690531</v>
      </c>
    </row>
    <row r="21" spans="1:12">
      <c r="A21" s="611">
        <f t="shared" si="0"/>
        <v>1997</v>
      </c>
      <c r="B21" s="625">
        <f>'a7'!D35</f>
        <v>63572.802731416508</v>
      </c>
      <c r="C21" s="625">
        <f>'a7'!G35</f>
        <v>59810.152456567397</v>
      </c>
      <c r="D21" s="625">
        <f>'a7'!J35</f>
        <v>45575.875675079908</v>
      </c>
      <c r="E21" s="625">
        <f>'a7'!M35</f>
        <v>50686.704983472795</v>
      </c>
      <c r="F21" s="625">
        <f>'a7'!P35</f>
        <v>48262.670047348147</v>
      </c>
      <c r="G21" s="625">
        <f>'a7'!S35</f>
        <v>59567.245313873143</v>
      </c>
      <c r="H21" s="625">
        <f>'a7'!V35</f>
        <v>64470.340216310615</v>
      </c>
      <c r="I21" s="625">
        <f>'a7'!Y35</f>
        <v>54134.902141308026</v>
      </c>
      <c r="J21" s="625">
        <f>'a7'!AB35</f>
        <v>68137.919563965886</v>
      </c>
      <c r="K21" s="625">
        <f>'a7'!AE35</f>
        <v>89361.810139625872</v>
      </c>
      <c r="L21" s="625">
        <f>'a7'!AH35</f>
        <v>56814.825343673918</v>
      </c>
    </row>
    <row r="22" spans="1:12">
      <c r="A22" s="611">
        <f t="shared" si="0"/>
        <v>1998</v>
      </c>
      <c r="B22" s="625">
        <f>'a7'!D36</f>
        <v>64315.850497690728</v>
      </c>
      <c r="C22" s="625">
        <f>'a7'!G36</f>
        <v>61515.967790635426</v>
      </c>
      <c r="D22" s="625">
        <f>'a7'!J36</f>
        <v>46246.091425878476</v>
      </c>
      <c r="E22" s="625">
        <f>'a7'!M36</f>
        <v>51811.976678299623</v>
      </c>
      <c r="F22" s="625">
        <f>'a7'!P36</f>
        <v>49054.340532690221</v>
      </c>
      <c r="G22" s="625">
        <f>'a7'!S36</f>
        <v>60055.29076122526</v>
      </c>
      <c r="H22" s="625">
        <f>'a7'!V36</f>
        <v>64845.692004531804</v>
      </c>
      <c r="I22" s="625">
        <f>'a7'!Y36</f>
        <v>54845.991213980968</v>
      </c>
      <c r="J22" s="625">
        <f>'a7'!AB36</f>
        <v>69324.79288963681</v>
      </c>
      <c r="K22" s="625">
        <f>'a7'!AE36</f>
        <v>91422.144304406989</v>
      </c>
      <c r="L22" s="625">
        <f>'a7'!AH36</f>
        <v>57366.583900582285</v>
      </c>
    </row>
    <row r="23" spans="1:12">
      <c r="A23" s="611">
        <f t="shared" si="0"/>
        <v>1999</v>
      </c>
      <c r="B23" s="625">
        <f>'a7'!D37</f>
        <v>65202.936471174289</v>
      </c>
      <c r="C23" s="625">
        <f>'a7'!G37</f>
        <v>64262.333568960254</v>
      </c>
      <c r="D23" s="625">
        <f>'a7'!J37</f>
        <v>47062.897982844268</v>
      </c>
      <c r="E23" s="625">
        <f>'a7'!M37</f>
        <v>53686.665010323588</v>
      </c>
      <c r="F23" s="625">
        <f>'a7'!P37</f>
        <v>50744.395357853238</v>
      </c>
      <c r="G23" s="625">
        <f>'a7'!S37</f>
        <v>60685.285453862707</v>
      </c>
      <c r="H23" s="625">
        <f>'a7'!V37</f>
        <v>65548.827967626261</v>
      </c>
      <c r="I23" s="625">
        <f>'a7'!Y37</f>
        <v>55492.454623755308</v>
      </c>
      <c r="J23" s="625">
        <f>'a7'!AB37</f>
        <v>70535.079012423565</v>
      </c>
      <c r="K23" s="625">
        <f>'a7'!AE37</f>
        <v>92871.788456093622</v>
      </c>
      <c r="L23" s="625">
        <f>'a7'!AH37</f>
        <v>57962.346551992778</v>
      </c>
    </row>
    <row r="24" spans="1:12">
      <c r="A24" s="611">
        <f t="shared" si="0"/>
        <v>2000</v>
      </c>
      <c r="B24" s="625">
        <f>'a7'!D38</f>
        <v>66032.152404391221</v>
      </c>
      <c r="C24" s="625">
        <f>'a7'!G38</f>
        <v>65957.61526310406</v>
      </c>
      <c r="D24" s="625">
        <f>'a7'!J38</f>
        <v>48054.548252363151</v>
      </c>
      <c r="E24" s="625">
        <f>'a7'!M38</f>
        <v>54778.378939861068</v>
      </c>
      <c r="F24" s="625">
        <f>'a7'!P38</f>
        <v>52297.391797920631</v>
      </c>
      <c r="G24" s="625">
        <f>'a7'!S38</f>
        <v>61184.563333370032</v>
      </c>
      <c r="H24" s="625">
        <f>'a7'!V38</f>
        <v>65953.381136649026</v>
      </c>
      <c r="I24" s="625">
        <f>'a7'!Y38</f>
        <v>55838.361196988095</v>
      </c>
      <c r="J24" s="625">
        <f>'a7'!AB38</f>
        <v>71861.996794251492</v>
      </c>
      <c r="K24" s="625">
        <f>'a7'!AE38</f>
        <v>95691.030584535372</v>
      </c>
      <c r="L24" s="625">
        <f>'a7'!AH38</f>
        <v>58580.399754408638</v>
      </c>
    </row>
    <row r="25" spans="1:12">
      <c r="A25" s="611">
        <f t="shared" si="0"/>
        <v>2001</v>
      </c>
      <c r="B25" s="625">
        <f>'a7'!D39</f>
        <v>66758.50494309621</v>
      </c>
      <c r="C25" s="625">
        <f>'a7'!G39</f>
        <v>67504.461212222217</v>
      </c>
      <c r="D25" s="625">
        <f>'a7'!J39</f>
        <v>49080.167272780491</v>
      </c>
      <c r="E25" s="625">
        <f>'a7'!M39</f>
        <v>56043.554963569251</v>
      </c>
      <c r="F25" s="625">
        <f>'a7'!P39</f>
        <v>52840.354173974163</v>
      </c>
      <c r="G25" s="625">
        <f>'a7'!S39</f>
        <v>61542.090558142947</v>
      </c>
      <c r="H25" s="625">
        <f>'a7'!V39</f>
        <v>66105.272638217968</v>
      </c>
      <c r="I25" s="625">
        <f>'a7'!Y39</f>
        <v>56252.424748510348</v>
      </c>
      <c r="J25" s="625">
        <f>'a7'!AB39</f>
        <v>73004.693962634265</v>
      </c>
      <c r="K25" s="625">
        <f>'a7'!AE39</f>
        <v>98842.31765225633</v>
      </c>
      <c r="L25" s="625">
        <f>'a7'!AH39</f>
        <v>59222.140445270466</v>
      </c>
    </row>
    <row r="26" spans="1:12">
      <c r="A26" s="611">
        <f t="shared" si="0"/>
        <v>2002</v>
      </c>
      <c r="B26" s="625">
        <f>'a7'!D40</f>
        <v>67412.294757587442</v>
      </c>
      <c r="C26" s="625">
        <f>'a7'!G40</f>
        <v>68648.069123882888</v>
      </c>
      <c r="D26" s="625">
        <f>'a7'!J40</f>
        <v>50189.952950115432</v>
      </c>
      <c r="E26" s="625">
        <f>'a7'!M40</f>
        <v>57332.556162200606</v>
      </c>
      <c r="F26" s="625">
        <f>'a7'!P40</f>
        <v>53401.901162503622</v>
      </c>
      <c r="G26" s="625">
        <f>'a7'!S40</f>
        <v>62122.601623743663</v>
      </c>
      <c r="H26" s="625">
        <f>'a7'!V40</f>
        <v>66344.584898439993</v>
      </c>
      <c r="I26" s="625">
        <f>'a7'!Y40</f>
        <v>56570.088698639905</v>
      </c>
      <c r="J26" s="625">
        <f>'a7'!AB40</f>
        <v>73423.180755235982</v>
      </c>
      <c r="K26" s="625">
        <f>'a7'!AE40</f>
        <v>100430.09700917157</v>
      </c>
      <c r="L26" s="625">
        <f>'a7'!AH40</f>
        <v>59998.858029104638</v>
      </c>
    </row>
    <row r="27" spans="1:12">
      <c r="A27" s="611">
        <f t="shared" si="0"/>
        <v>2003</v>
      </c>
      <c r="B27" s="625">
        <f>'a7'!D41</f>
        <v>68470.287458750347</v>
      </c>
      <c r="C27" s="625">
        <f>'a7'!G41</f>
        <v>69894.70030085629</v>
      </c>
      <c r="D27" s="625">
        <f>'a7'!J41</f>
        <v>51362.400798711569</v>
      </c>
      <c r="E27" s="625">
        <f>'a7'!M41</f>
        <v>58505.094982245166</v>
      </c>
      <c r="F27" s="625">
        <f>'a7'!P41</f>
        <v>54447.156283318807</v>
      </c>
      <c r="G27" s="625">
        <f>'a7'!S41</f>
        <v>63055.559043623442</v>
      </c>
      <c r="H27" s="625">
        <f>'a7'!V41</f>
        <v>67050.236504283152</v>
      </c>
      <c r="I27" s="625">
        <f>'a7'!Y41</f>
        <v>56862.793956792251</v>
      </c>
      <c r="J27" s="625">
        <f>'a7'!AB41</f>
        <v>74167.045499020067</v>
      </c>
      <c r="K27" s="625">
        <f>'a7'!AE41</f>
        <v>103099.11176617675</v>
      </c>
      <c r="L27" s="625">
        <f>'a7'!AH41</f>
        <v>61098.011932866226</v>
      </c>
    </row>
    <row r="28" spans="1:12">
      <c r="A28" s="611">
        <f t="shared" si="0"/>
        <v>2004</v>
      </c>
      <c r="B28" s="625">
        <f>'a7'!D42</f>
        <v>69900.906292653293</v>
      </c>
      <c r="C28" s="625">
        <f>'a7'!G42</f>
        <v>71780.684785108431</v>
      </c>
      <c r="D28" s="625">
        <f>'a7'!J42</f>
        <v>52589.45044089661</v>
      </c>
      <c r="E28" s="625">
        <f>'a7'!M42</f>
        <v>59497.581373166875</v>
      </c>
      <c r="F28" s="625">
        <f>'a7'!P42</f>
        <v>55855.793340797391</v>
      </c>
      <c r="G28" s="625">
        <f>'a7'!S42</f>
        <v>64545.698347211073</v>
      </c>
      <c r="H28" s="625">
        <f>'a7'!V42</f>
        <v>67942.607133036916</v>
      </c>
      <c r="I28" s="625">
        <f>'a7'!Y42</f>
        <v>57325.024753614198</v>
      </c>
      <c r="J28" s="625">
        <f>'a7'!AB42</f>
        <v>74770.088034752727</v>
      </c>
      <c r="K28" s="625">
        <f>'a7'!AE42</f>
        <v>106427.03700696814</v>
      </c>
      <c r="L28" s="625">
        <f>'a7'!AH42</f>
        <v>62738.708644892991</v>
      </c>
    </row>
    <row r="29" spans="1:12">
      <c r="A29" s="611">
        <f t="shared" si="0"/>
        <v>2005</v>
      </c>
      <c r="B29" s="625">
        <f>'a7'!D43</f>
        <v>71805.836333701547</v>
      </c>
      <c r="C29" s="625">
        <f>'a7'!G43</f>
        <v>74480.862737016461</v>
      </c>
      <c r="D29" s="625">
        <f>'a7'!J43</f>
        <v>54055.992177030894</v>
      </c>
      <c r="E29" s="625">
        <f>'a7'!M43</f>
        <v>60787.085754860913</v>
      </c>
      <c r="F29" s="625">
        <f>'a7'!P43</f>
        <v>57555.083159527239</v>
      </c>
      <c r="G29" s="625">
        <f>'a7'!S43</f>
        <v>66033.075302519384</v>
      </c>
      <c r="H29" s="625">
        <f>'a7'!V43</f>
        <v>69178.360024520138</v>
      </c>
      <c r="I29" s="625">
        <f>'a7'!Y43</f>
        <v>58013.529649894204</v>
      </c>
      <c r="J29" s="625">
        <f>'a7'!AB43</f>
        <v>76832.038519332636</v>
      </c>
      <c r="K29" s="625">
        <f>'a7'!AE43</f>
        <v>111261.87466136897</v>
      </c>
      <c r="L29" s="625">
        <f>'a7'!AH43</f>
        <v>64833.844359066992</v>
      </c>
    </row>
    <row r="30" spans="1:12">
      <c r="A30" s="611">
        <f t="shared" si="0"/>
        <v>2006</v>
      </c>
      <c r="B30" s="625">
        <f>'a7'!D44</f>
        <v>73909.111945165641</v>
      </c>
      <c r="C30" s="625">
        <f>'a7'!G44</f>
        <v>76384.885354674479</v>
      </c>
      <c r="D30" s="625">
        <f>'a7'!J44</f>
        <v>56043.358468677492</v>
      </c>
      <c r="E30" s="625">
        <f>'a7'!M44</f>
        <v>62012.132066822312</v>
      </c>
      <c r="F30" s="625">
        <f>'a7'!P44</f>
        <v>60236.644968176442</v>
      </c>
      <c r="G30" s="625">
        <f>'a7'!S44</f>
        <v>67434.933287488559</v>
      </c>
      <c r="H30" s="625">
        <f>'a7'!V44</f>
        <v>70596.468505479439</v>
      </c>
      <c r="I30" s="625">
        <f>'a7'!Y44</f>
        <v>59142.708256793951</v>
      </c>
      <c r="J30" s="625">
        <f>'a7'!AB44</f>
        <v>77866.556848088076</v>
      </c>
      <c r="K30" s="625">
        <f>'a7'!AE44</f>
        <v>116168.98837940369</v>
      </c>
      <c r="L30" s="625">
        <f>'a7'!AH44</f>
        <v>67429.953011372476</v>
      </c>
    </row>
    <row r="31" spans="1:12">
      <c r="A31" s="611">
        <f t="shared" si="0"/>
        <v>2007</v>
      </c>
      <c r="B31" s="625">
        <f>'a7'!D45</f>
        <v>75851.893484833301</v>
      </c>
      <c r="C31" s="625">
        <f>'a7'!G45</f>
        <v>77799.829771771736</v>
      </c>
      <c r="D31" s="625">
        <f>'a7'!J45</f>
        <v>58132.902917610612</v>
      </c>
      <c r="E31" s="625">
        <f>'a7'!M45</f>
        <v>63448.900078436069</v>
      </c>
      <c r="F31" s="625">
        <f>'a7'!P45</f>
        <v>63027.43740903939</v>
      </c>
      <c r="G31" s="625">
        <f>'a7'!S45</f>
        <v>69014.128661841562</v>
      </c>
      <c r="H31" s="625">
        <f>'a7'!V45</f>
        <v>71846.558769108291</v>
      </c>
      <c r="I31" s="625">
        <f>'a7'!Y45</f>
        <v>60294.095469177031</v>
      </c>
      <c r="J31" s="625">
        <f>'a7'!AB45</f>
        <v>78877.11336429519</v>
      </c>
      <c r="K31" s="625">
        <f>'a7'!AE45</f>
        <v>120451.72774946615</v>
      </c>
      <c r="L31" s="625">
        <f>'a7'!AH45</f>
        <v>69558.607324244847</v>
      </c>
    </row>
    <row r="32" spans="1:12">
      <c r="A32" s="611">
        <f t="shared" si="0"/>
        <v>2008</v>
      </c>
      <c r="B32" s="625">
        <f>'a7'!D46</f>
        <v>77549.095364938432</v>
      </c>
      <c r="C32" s="625">
        <f>'a7'!G46</f>
        <v>79342.266684841554</v>
      </c>
      <c r="D32" s="625">
        <f>'a7'!J46</f>
        <v>59311.333261671862</v>
      </c>
      <c r="E32" s="625">
        <f>'a7'!M46</f>
        <v>63919.221723920375</v>
      </c>
      <c r="F32" s="625">
        <f>'a7'!P46</f>
        <v>65430.404524288329</v>
      </c>
      <c r="G32" s="625">
        <f>'a7'!S46</f>
        <v>70423.792968743946</v>
      </c>
      <c r="H32" s="625">
        <f>'a7'!V46</f>
        <v>72797.384718275498</v>
      </c>
      <c r="I32" s="625">
        <f>'a7'!Y46</f>
        <v>61542.97284899342</v>
      </c>
      <c r="J32" s="625">
        <f>'a7'!AB46</f>
        <v>80015.582522708879</v>
      </c>
      <c r="K32" s="625">
        <f>'a7'!AE46</f>
        <v>124361.56352789211</v>
      </c>
      <c r="L32" s="625">
        <f>'a7'!AH46</f>
        <v>71678.95416368224</v>
      </c>
    </row>
    <row r="33" spans="1:12">
      <c r="A33" s="611">
        <f t="shared" si="0"/>
        <v>2009</v>
      </c>
      <c r="B33" s="625">
        <f>'a7'!D47</f>
        <v>77787.550032348576</v>
      </c>
      <c r="C33" s="625">
        <f>'a7'!G47</f>
        <v>79905.85327358637</v>
      </c>
      <c r="D33" s="625">
        <f>'a7'!J47</f>
        <v>59746.840825814848</v>
      </c>
      <c r="E33" s="625">
        <f>'a7'!M47</f>
        <v>64240.717945659999</v>
      </c>
      <c r="F33" s="625">
        <f>'a7'!P47</f>
        <v>66503.408405442766</v>
      </c>
      <c r="G33" s="625">
        <f>'a7'!S47</f>
        <v>71125.397066076577</v>
      </c>
      <c r="H33" s="625">
        <f>'a7'!V47</f>
        <v>72785.685309493376</v>
      </c>
      <c r="I33" s="625">
        <f>'a7'!Y47</f>
        <v>62409.619191152233</v>
      </c>
      <c r="J33" s="625">
        <f>'a7'!AB47</f>
        <v>81239.508972360505</v>
      </c>
      <c r="K33" s="625">
        <f>'a7'!AE47</f>
        <v>122721.61868090974</v>
      </c>
      <c r="L33" s="625">
        <f>'a7'!AH47</f>
        <v>72352.886313272757</v>
      </c>
    </row>
    <row r="34" spans="1:12">
      <c r="A34" s="611">
        <f t="shared" si="0"/>
        <v>2010</v>
      </c>
      <c r="B34" s="625">
        <f>'a7'!D48</f>
        <v>78748.460219242261</v>
      </c>
      <c r="C34" s="625">
        <f>'a7'!G48</f>
        <v>82455.138806330317</v>
      </c>
      <c r="D34" s="625">
        <f>'a7'!J48</f>
        <v>60856.423882023817</v>
      </c>
      <c r="E34" s="625">
        <f>'a7'!M48</f>
        <v>64999.374009290128</v>
      </c>
      <c r="F34" s="625">
        <f>'a7'!P48</f>
        <v>68108.492793529804</v>
      </c>
      <c r="G34" s="625">
        <f>'a7'!S48</f>
        <v>72458.268388687778</v>
      </c>
      <c r="H34" s="625">
        <f>'a7'!V48</f>
        <v>73490.937285755514</v>
      </c>
      <c r="I34" s="625">
        <f>'a7'!Y48</f>
        <v>63402.168669237457</v>
      </c>
      <c r="J34" s="625">
        <f>'a7'!AB48</f>
        <v>82599.072244394207</v>
      </c>
      <c r="K34" s="625">
        <f>'a7'!AE48</f>
        <v>122917.82788570433</v>
      </c>
      <c r="L34" s="625">
        <f>'a7'!AH48</f>
        <v>73504.356692621441</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1.3576488654022167</v>
      </c>
      <c r="C36" s="617">
        <f t="shared" si="1"/>
        <v>2.3964198028731731</v>
      </c>
      <c r="D36" s="617">
        <f t="shared" si="1"/>
        <v>2.2388039362957857</v>
      </c>
      <c r="E36" s="617">
        <f t="shared" si="1"/>
        <v>1.6939070394085931</v>
      </c>
      <c r="F36" s="617">
        <f t="shared" si="1"/>
        <v>1.7137107242355398</v>
      </c>
      <c r="G36" s="617">
        <f t="shared" si="1"/>
        <v>1.4645149642981581</v>
      </c>
      <c r="H36" s="617">
        <f t="shared" si="1"/>
        <v>1.0934038508216171</v>
      </c>
      <c r="I36" s="617">
        <f t="shared" si="1"/>
        <v>0.88002093101031686</v>
      </c>
      <c r="J36" s="617">
        <f t="shared" si="1"/>
        <v>1.3586972673515163</v>
      </c>
      <c r="K36" s="617">
        <f t="shared" si="1"/>
        <v>1.5483775954512558</v>
      </c>
      <c r="L36" s="617">
        <f t="shared" si="1"/>
        <v>1.2263381862950284</v>
      </c>
    </row>
    <row r="37" spans="1:12">
      <c r="A37" s="611" t="s">
        <v>1472</v>
      </c>
      <c r="B37" s="617">
        <f t="shared" ref="B37:L37" si="2">100*(POWER(B13/B5, 1/8)-1)</f>
        <v>1.5933962652483702</v>
      </c>
      <c r="C37" s="617">
        <f t="shared" si="2"/>
        <v>2.472640148833416</v>
      </c>
      <c r="D37" s="617">
        <f t="shared" si="2"/>
        <v>2.1443518676083295</v>
      </c>
      <c r="E37" s="617">
        <f t="shared" si="2"/>
        <v>2.4031399924594243</v>
      </c>
      <c r="F37" s="617">
        <f t="shared" si="2"/>
        <v>1.0622027914734433</v>
      </c>
      <c r="G37" s="617">
        <f t="shared" si="2"/>
        <v>1.9646499184011956</v>
      </c>
      <c r="H37" s="617">
        <f t="shared" si="2"/>
        <v>1.8508578214014415</v>
      </c>
      <c r="I37" s="617">
        <f t="shared" si="2"/>
        <v>0.69754009209936907</v>
      </c>
      <c r="J37" s="617">
        <f t="shared" si="2"/>
        <v>1.3501244650767408</v>
      </c>
      <c r="K37" s="617">
        <f t="shared" si="2"/>
        <v>1.0671034282032199</v>
      </c>
      <c r="L37" s="617">
        <f t="shared" si="2"/>
        <v>0.64399342485002009</v>
      </c>
    </row>
    <row r="38" spans="1:12">
      <c r="A38" s="611" t="s">
        <v>1473</v>
      </c>
      <c r="B38" s="617">
        <f t="shared" ref="B38:L38" si="3">100*(POWER(B24/B13, 1/11)-1)</f>
        <v>0.80765976471761647</v>
      </c>
      <c r="C38" s="617">
        <f t="shared" si="3"/>
        <v>2.4673854907761861</v>
      </c>
      <c r="D38" s="617">
        <f t="shared" si="3"/>
        <v>2.1702765621622877</v>
      </c>
      <c r="E38" s="617">
        <f t="shared" si="3"/>
        <v>1.1525855879831459</v>
      </c>
      <c r="F38" s="617">
        <f t="shared" si="3"/>
        <v>1.3184548505572824</v>
      </c>
      <c r="G38" s="617">
        <f t="shared" si="3"/>
        <v>0.88448467563597699</v>
      </c>
      <c r="H38" s="617">
        <f t="shared" si="3"/>
        <v>0.5509407284675083</v>
      </c>
      <c r="I38" s="617">
        <f t="shared" si="3"/>
        <v>0.65159773394356524</v>
      </c>
      <c r="J38" s="617">
        <f t="shared" si="3"/>
        <v>1.3253534709020132</v>
      </c>
      <c r="K38" s="617">
        <f t="shared" si="3"/>
        <v>1.0075982288403118</v>
      </c>
      <c r="L38" s="617">
        <f t="shared" si="3"/>
        <v>0.68576129876758429</v>
      </c>
    </row>
    <row r="39" spans="1:12">
      <c r="A39" s="611" t="s">
        <v>1474</v>
      </c>
      <c r="B39" s="617">
        <f t="shared" ref="B39:L39" si="4">100*(POWER(B32/B24, 1/8)-1)</f>
        <v>2.0299468134459486</v>
      </c>
      <c r="C39" s="617">
        <f t="shared" si="4"/>
        <v>2.336358066600952</v>
      </c>
      <c r="D39" s="617">
        <f t="shared" si="4"/>
        <v>2.6657061090970879</v>
      </c>
      <c r="E39" s="617">
        <f t="shared" si="4"/>
        <v>1.9477834543888406</v>
      </c>
      <c r="F39" s="617">
        <f t="shared" si="4"/>
        <v>2.8400897321775309</v>
      </c>
      <c r="G39" s="617">
        <f t="shared" si="4"/>
        <v>1.7734960638299047</v>
      </c>
      <c r="H39" s="617">
        <f t="shared" si="4"/>
        <v>1.2417955935711156</v>
      </c>
      <c r="I39" s="617">
        <f t="shared" si="4"/>
        <v>1.2233545888832298</v>
      </c>
      <c r="J39" s="617">
        <f t="shared" si="4"/>
        <v>1.3524873289952</v>
      </c>
      <c r="K39" s="617">
        <f t="shared" si="4"/>
        <v>3.3301042862939889</v>
      </c>
      <c r="L39" s="617">
        <f t="shared" si="4"/>
        <v>2.5545459437510187</v>
      </c>
    </row>
    <row r="40" spans="1:12">
      <c r="A40" s="611" t="s">
        <v>1500</v>
      </c>
      <c r="B40" s="611"/>
      <c r="C40" s="611"/>
      <c r="D40" s="611"/>
      <c r="E40" s="611"/>
      <c r="F40" s="611"/>
      <c r="G40" s="611"/>
      <c r="H40" s="611"/>
      <c r="I40" s="611"/>
      <c r="J40" s="611"/>
      <c r="K40" s="611"/>
      <c r="L40" s="611"/>
    </row>
    <row r="41" spans="1:12">
      <c r="A41" s="611" t="s">
        <v>1498</v>
      </c>
      <c r="B41" s="616">
        <f>100*(B34-B5)/B5</f>
        <v>47.85612141674271</v>
      </c>
      <c r="C41" s="616">
        <f t="shared" ref="C41:L41" si="5">100*(C34-C5)/C5</f>
        <v>98.727694270488698</v>
      </c>
      <c r="D41" s="616">
        <f t="shared" si="5"/>
        <v>90.045260989434183</v>
      </c>
      <c r="E41" s="616">
        <f t="shared" si="5"/>
        <v>62.76201552529897</v>
      </c>
      <c r="F41" s="616">
        <f t="shared" si="5"/>
        <v>63.683709233798311</v>
      </c>
      <c r="G41" s="616">
        <f t="shared" si="5"/>
        <v>52.444347346383537</v>
      </c>
      <c r="H41" s="616">
        <f t="shared" si="5"/>
        <v>37.076109434389686</v>
      </c>
      <c r="I41" s="616">
        <f t="shared" si="5"/>
        <v>28.928742422441598</v>
      </c>
      <c r="J41" s="616">
        <f>100*(J34-J5)/J5</f>
        <v>47.900479369176438</v>
      </c>
      <c r="K41" s="616">
        <f t="shared" si="5"/>
        <v>56.140903238672962</v>
      </c>
      <c r="L41" s="616">
        <f t="shared" si="5"/>
        <v>42.400749609720627</v>
      </c>
    </row>
    <row r="42" spans="1:12">
      <c r="A42" s="611" t="s">
        <v>1472</v>
      </c>
      <c r="B42" s="616">
        <f>100*(B13-B5)/B5</f>
        <v>13.481177166383539</v>
      </c>
      <c r="C42" s="616">
        <f t="shared" ref="C42:L42" si="6">100*(C13-C5)/C5</f>
        <v>21.580354567341278</v>
      </c>
      <c r="D42" s="616">
        <f t="shared" si="6"/>
        <v>18.499046684642497</v>
      </c>
      <c r="E42" s="616">
        <f t="shared" si="6"/>
        <v>20.922241534793024</v>
      </c>
      <c r="F42" s="616">
        <f t="shared" si="6"/>
        <v>8.8203404960023448</v>
      </c>
      <c r="G42" s="616">
        <f t="shared" si="6"/>
        <v>16.841482810188868</v>
      </c>
      <c r="H42" s="616">
        <f t="shared" si="6"/>
        <v>15.80239166991413</v>
      </c>
      <c r="I42" s="616">
        <f t="shared" si="6"/>
        <v>5.7184754331283685</v>
      </c>
      <c r="J42" s="616">
        <f t="shared" si="6"/>
        <v>11.325406852207665</v>
      </c>
      <c r="K42" s="616">
        <f t="shared" si="6"/>
        <v>8.8625623721280657</v>
      </c>
      <c r="L42" s="616">
        <f t="shared" si="6"/>
        <v>5.2695788678021263</v>
      </c>
    </row>
    <row r="43" spans="1:12">
      <c r="A43" s="611" t="s">
        <v>1473</v>
      </c>
      <c r="B43" s="616">
        <f>100*(B24-B13)/B13</f>
        <v>9.2518652868712081</v>
      </c>
      <c r="C43" s="616">
        <f t="shared" ref="C43:L43" si="7">100*(C24-C13)/C13</f>
        <v>30.750153095030356</v>
      </c>
      <c r="D43" s="616">
        <f t="shared" si="7"/>
        <v>26.639812427016341</v>
      </c>
      <c r="E43" s="616">
        <f t="shared" si="7"/>
        <v>13.434946881056961</v>
      </c>
      <c r="F43" s="616">
        <f t="shared" si="7"/>
        <v>15.497913307548043</v>
      </c>
      <c r="G43" s="616">
        <f t="shared" si="7"/>
        <v>10.171225223255028</v>
      </c>
      <c r="H43" s="616">
        <f t="shared" si="7"/>
        <v>6.2300825784399487</v>
      </c>
      <c r="I43" s="616">
        <f t="shared" si="7"/>
        <v>7.405718701089528</v>
      </c>
      <c r="J43" s="616">
        <f t="shared" si="7"/>
        <v>15.58444762395837</v>
      </c>
      <c r="K43" s="616">
        <f t="shared" si="7"/>
        <v>11.659194290972673</v>
      </c>
      <c r="L43" s="616">
        <f t="shared" si="7"/>
        <v>7.8074167972823263</v>
      </c>
    </row>
    <row r="44" spans="1:12">
      <c r="A44" s="611" t="s">
        <v>1474</v>
      </c>
      <c r="B44" s="616">
        <f>100*(B32-B24)/B24</f>
        <v>17.441416857072372</v>
      </c>
      <c r="C44" s="616">
        <f t="shared" ref="C44:L44" si="8">100*(C32-C24)/C24</f>
        <v>20.29280677954516</v>
      </c>
      <c r="D44" s="616">
        <f t="shared" si="8"/>
        <v>23.425014735738657</v>
      </c>
      <c r="E44" s="616">
        <f t="shared" si="8"/>
        <v>16.686953796304675</v>
      </c>
      <c r="F44" s="616">
        <f t="shared" si="8"/>
        <v>25.112175339669374</v>
      </c>
      <c r="G44" s="616">
        <f t="shared" si="8"/>
        <v>15.100589318637571</v>
      </c>
      <c r="H44" s="616">
        <f t="shared" si="8"/>
        <v>10.377032175873376</v>
      </c>
      <c r="I44" s="616">
        <f t="shared" si="8"/>
        <v>10.21629490858523</v>
      </c>
      <c r="J44" s="616">
        <f t="shared" si="8"/>
        <v>11.346171957623117</v>
      </c>
      <c r="K44" s="616">
        <f t="shared" si="8"/>
        <v>29.961567733381884</v>
      </c>
      <c r="L44" s="616">
        <f t="shared" si="8"/>
        <v>22.359960779010958</v>
      </c>
    </row>
    <row r="46" spans="1:12">
      <c r="A46" s="611" t="s">
        <v>1541</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dimension ref="A1:L46"/>
  <sheetViews>
    <sheetView topLeftCell="A26" workbookViewId="0">
      <selection activeCell="E9" sqref="E9"/>
    </sheetView>
  </sheetViews>
  <sheetFormatPr defaultRowHeight="12.75"/>
  <cols>
    <col min="1" max="16384" width="9" style="618"/>
  </cols>
  <sheetData>
    <row r="1" spans="1:12">
      <c r="A1" s="611" t="s">
        <v>1509</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5">
        <f>'a8'!G19</f>
        <v>1227.8557197272121</v>
      </c>
      <c r="C5" s="625">
        <f>'a8'!M19</f>
        <v>399.97838784823591</v>
      </c>
      <c r="D5" s="625">
        <f>'a8'!S19</f>
        <v>353.48455278054729</v>
      </c>
      <c r="E5" s="625">
        <f>'a8'!Y19</f>
        <v>900.5550522792463</v>
      </c>
      <c r="F5" s="625">
        <f>'a8'!AE19</f>
        <v>988.84137132162084</v>
      </c>
      <c r="G5" s="625">
        <f>'a8'!AK19</f>
        <v>903.58221013495267</v>
      </c>
      <c r="H5" s="625">
        <f>'a8'!AQ19</f>
        <v>1246.9258481621964</v>
      </c>
      <c r="I5" s="625">
        <f>'a8'!AW19</f>
        <v>816.99843047726711</v>
      </c>
      <c r="J5" s="625">
        <f>'a8'!BC19</f>
        <v>552.31706934177078</v>
      </c>
      <c r="K5" s="625">
        <f>'a8'!BI19</f>
        <v>1076.6830050398605</v>
      </c>
      <c r="L5" s="625">
        <f>'a8'!BO19</f>
        <v>597.8946930377474</v>
      </c>
    </row>
    <row r="6" spans="1:12">
      <c r="A6" s="611">
        <f t="shared" ref="A6:A34" si="0">A5+1</f>
        <v>1982</v>
      </c>
      <c r="B6" s="625">
        <f>'a8'!G20</f>
        <v>1313.3039818945813</v>
      </c>
      <c r="C6" s="625">
        <f>'a8'!M20</f>
        <v>461.89151865656896</v>
      </c>
      <c r="D6" s="625">
        <f>'a8'!S20</f>
        <v>387.39762624931512</v>
      </c>
      <c r="E6" s="625">
        <f>'a8'!Y20</f>
        <v>943.88439958774882</v>
      </c>
      <c r="F6" s="625">
        <f>'a8'!AE20</f>
        <v>906.07899661293175</v>
      </c>
      <c r="G6" s="625">
        <f>'a8'!AK20</f>
        <v>974.32893372047147</v>
      </c>
      <c r="H6" s="625">
        <f>'a8'!AQ20</f>
        <v>1388.8001546275052</v>
      </c>
      <c r="I6" s="625">
        <f>'a8'!AW20</f>
        <v>912.0355289356711</v>
      </c>
      <c r="J6" s="625">
        <f>'a8'!BC20</f>
        <v>621.43832702748296</v>
      </c>
      <c r="K6" s="625">
        <f>'a8'!BI20</f>
        <v>1139.1933566894543</v>
      </c>
      <c r="L6" s="625">
        <f>'a8'!BO20</f>
        <v>653.01136233868465</v>
      </c>
    </row>
    <row r="7" spans="1:12">
      <c r="A7" s="611">
        <f t="shared" si="0"/>
        <v>1983</v>
      </c>
      <c r="B7" s="625">
        <f>'a8'!G21</f>
        <v>1381.7405703046745</v>
      </c>
      <c r="C7" s="625">
        <f>'a8'!M21</f>
        <v>562.93441894872137</v>
      </c>
      <c r="D7" s="625">
        <f>'a8'!S21</f>
        <v>402.4743891976517</v>
      </c>
      <c r="E7" s="625">
        <f>'a8'!Y21</f>
        <v>1020.8248308054524</v>
      </c>
      <c r="F7" s="625">
        <f>'a8'!AE21</f>
        <v>815.98639453770818</v>
      </c>
      <c r="G7" s="625">
        <f>'a8'!AK21</f>
        <v>1026.2229512123824</v>
      </c>
      <c r="H7" s="625">
        <f>'a8'!AQ21</f>
        <v>1505.417578119313</v>
      </c>
      <c r="I7" s="625">
        <f>'a8'!AW21</f>
        <v>1006.4856107438402</v>
      </c>
      <c r="J7" s="625">
        <f>'a8'!BC21</f>
        <v>673.07118080224234</v>
      </c>
      <c r="K7" s="625">
        <f>'a8'!BI21</f>
        <v>1163.9840231185015</v>
      </c>
      <c r="L7" s="625">
        <f>'a8'!BO21</f>
        <v>708.17459776136116</v>
      </c>
    </row>
    <row r="8" spans="1:12">
      <c r="A8" s="611">
        <f t="shared" si="0"/>
        <v>1984</v>
      </c>
      <c r="B8" s="625">
        <f>'a8'!G22</f>
        <v>1467.3034896882666</v>
      </c>
      <c r="C8" s="625">
        <f>'a8'!M22</f>
        <v>609.5737123430963</v>
      </c>
      <c r="D8" s="625">
        <f>'a8'!S22</f>
        <v>454.02219775223523</v>
      </c>
      <c r="E8" s="625">
        <f>'a8'!Y22</f>
        <v>1095.7202093420267</v>
      </c>
      <c r="F8" s="625">
        <f>'a8'!AE22</f>
        <v>751.50486517560751</v>
      </c>
      <c r="G8" s="625">
        <f>'a8'!AK22</f>
        <v>1113.827488881112</v>
      </c>
      <c r="H8" s="625">
        <f>'a8'!AQ22</f>
        <v>1620.1946476731268</v>
      </c>
      <c r="I8" s="625">
        <f>'a8'!AW22</f>
        <v>1088.9488482210081</v>
      </c>
      <c r="J8" s="625">
        <f>'a8'!BC22</f>
        <v>719.56076300945915</v>
      </c>
      <c r="K8" s="625">
        <f>'a8'!BI22</f>
        <v>1211.1921203689192</v>
      </c>
      <c r="L8" s="625">
        <f>'a8'!BO22</f>
        <v>766.87467558956655</v>
      </c>
    </row>
    <row r="9" spans="1:12">
      <c r="A9" s="611">
        <f t="shared" si="0"/>
        <v>1985</v>
      </c>
      <c r="B9" s="625">
        <f>'a8'!G23</f>
        <v>1561.8308680307687</v>
      </c>
      <c r="C9" s="625">
        <f>'a8'!M23</f>
        <v>670.45615211462916</v>
      </c>
      <c r="D9" s="625">
        <f>'a8'!S23</f>
        <v>476.20307877541973</v>
      </c>
      <c r="E9" s="625">
        <f>'a8'!Y23</f>
        <v>1159.5504346398236</v>
      </c>
      <c r="F9" s="625">
        <f>'a8'!AE23</f>
        <v>785.26920109905086</v>
      </c>
      <c r="G9" s="625">
        <f>'a8'!AK23</f>
        <v>1252.5417150301837</v>
      </c>
      <c r="H9" s="625">
        <f>'a8'!AQ23</f>
        <v>1786.7696268621078</v>
      </c>
      <c r="I9" s="625">
        <f>'a8'!AW23</f>
        <v>1139.9750689931197</v>
      </c>
      <c r="J9" s="625">
        <f>'a8'!BC23</f>
        <v>804.01912607390364</v>
      </c>
      <c r="K9" s="625">
        <f>'a8'!BI23</f>
        <v>1305.2115438283658</v>
      </c>
      <c r="L9" s="625">
        <f>'a8'!BO23</f>
        <v>871.44421372426996</v>
      </c>
    </row>
    <row r="10" spans="1:12">
      <c r="A10" s="611">
        <f t="shared" si="0"/>
        <v>1986</v>
      </c>
      <c r="B10" s="625">
        <f>'a8'!G24</f>
        <v>1650.7193372690892</v>
      </c>
      <c r="C10" s="625">
        <f>'a8'!M24</f>
        <v>687.78903449961001</v>
      </c>
      <c r="D10" s="625">
        <f>'a8'!S24</f>
        <v>674.80923532895565</v>
      </c>
      <c r="E10" s="625">
        <f>'a8'!Y24</f>
        <v>1214.3619452156699</v>
      </c>
      <c r="F10" s="625">
        <f>'a8'!AE24</f>
        <v>789.09725149018732</v>
      </c>
      <c r="G10" s="625">
        <f>'a8'!AK24</f>
        <v>1349.6440563657475</v>
      </c>
      <c r="H10" s="625">
        <f>'a8'!AQ24</f>
        <v>1934.5702808561084</v>
      </c>
      <c r="I10" s="625">
        <f>'a8'!AW24</f>
        <v>1168.6292975041181</v>
      </c>
      <c r="J10" s="625">
        <f>'a8'!BC24</f>
        <v>892.44457055799012</v>
      </c>
      <c r="K10" s="625">
        <f>'a8'!BI24</f>
        <v>1422.1633352300801</v>
      </c>
      <c r="L10" s="625">
        <f>'a8'!BO24</f>
        <v>956.98939182611309</v>
      </c>
    </row>
    <row r="11" spans="1:12">
      <c r="A11" s="611">
        <f t="shared" si="0"/>
        <v>1987</v>
      </c>
      <c r="B11" s="625">
        <f>'a8'!G25</f>
        <v>1714.5076555605472</v>
      </c>
      <c r="C11" s="625">
        <f>'a8'!M25</f>
        <v>716.13774092043161</v>
      </c>
      <c r="D11" s="625">
        <f>'a8'!S25</f>
        <v>696.71173445038187</v>
      </c>
      <c r="E11" s="625">
        <f>'a8'!Y25</f>
        <v>1229.3397368225208</v>
      </c>
      <c r="F11" s="625">
        <f>'a8'!AE25</f>
        <v>793.92933236382567</v>
      </c>
      <c r="G11" s="625">
        <f>'a8'!AK25</f>
        <v>1444.8013940186152</v>
      </c>
      <c r="H11" s="625">
        <f>'a8'!AQ25</f>
        <v>2035.9230034564609</v>
      </c>
      <c r="I11" s="625">
        <f>'a8'!AW25</f>
        <v>1166.8229541972385</v>
      </c>
      <c r="J11" s="625">
        <f>'a8'!BC25</f>
        <v>947.25649898945198</v>
      </c>
      <c r="K11" s="625">
        <f>'a8'!BI25</f>
        <v>1480.6400036804519</v>
      </c>
      <c r="L11" s="625">
        <f>'a8'!BO25</f>
        <v>986.72662348973677</v>
      </c>
    </row>
    <row r="12" spans="1:12">
      <c r="A12" s="611">
        <f t="shared" si="0"/>
        <v>1988</v>
      </c>
      <c r="B12" s="625">
        <f>'a8'!G26</f>
        <v>1795.8263467494774</v>
      </c>
      <c r="C12" s="625">
        <f>'a8'!M26</f>
        <v>784.25765806983509</v>
      </c>
      <c r="D12" s="625">
        <f>'a8'!S26</f>
        <v>691.37846386836634</v>
      </c>
      <c r="E12" s="625">
        <f>'a8'!Y26</f>
        <v>1377.9915659201647</v>
      </c>
      <c r="F12" s="625">
        <f>'a8'!AE26</f>
        <v>896.00849780722626</v>
      </c>
      <c r="G12" s="625">
        <f>'a8'!AK26</f>
        <v>1544.1990586076479</v>
      </c>
      <c r="H12" s="625">
        <f>'a8'!AQ26</f>
        <v>2214.2773153879725</v>
      </c>
      <c r="I12" s="625">
        <f>'a8'!AW26</f>
        <v>1199.4358806700377</v>
      </c>
      <c r="J12" s="625">
        <f>'a8'!BC26</f>
        <v>991.55143618664056</v>
      </c>
      <c r="K12" s="625">
        <f>'a8'!BI26</f>
        <v>1576.1136532298465</v>
      </c>
      <c r="L12" s="625">
        <f>'a8'!BO26</f>
        <v>1049.3494596007065</v>
      </c>
    </row>
    <row r="13" spans="1:12">
      <c r="A13" s="611">
        <f t="shared" si="0"/>
        <v>1989</v>
      </c>
      <c r="B13" s="625">
        <f>'a8'!G27</f>
        <v>1848.3385291447801</v>
      </c>
      <c r="C13" s="625">
        <f>'a8'!M27</f>
        <v>848.12197250678582</v>
      </c>
      <c r="D13" s="625">
        <f>'a8'!S27</f>
        <v>708.8762760103026</v>
      </c>
      <c r="E13" s="625">
        <f>'a8'!Y27</f>
        <v>1423.4286993810645</v>
      </c>
      <c r="F13" s="625">
        <f>'a8'!AE27</f>
        <v>976.64977539513802</v>
      </c>
      <c r="G13" s="625">
        <f>'a8'!AK27</f>
        <v>1636.4152269075444</v>
      </c>
      <c r="H13" s="625">
        <f>'a8'!AQ27</f>
        <v>2316.6934557560508</v>
      </c>
      <c r="I13" s="625">
        <f>'a8'!AW27</f>
        <v>1238.4348359073579</v>
      </c>
      <c r="J13" s="625">
        <f>'a8'!BC27</f>
        <v>1041.1649078542637</v>
      </c>
      <c r="K13" s="625">
        <f>'a8'!BI27</f>
        <v>1633.2263880060061</v>
      </c>
      <c r="L13" s="625">
        <f>'a8'!BO27</f>
        <v>1095.1901098629603</v>
      </c>
    </row>
    <row r="14" spans="1:12">
      <c r="A14" s="611">
        <f t="shared" si="0"/>
        <v>1990</v>
      </c>
      <c r="B14" s="625">
        <f>'a8'!G28</f>
        <v>1906.1996126470151</v>
      </c>
      <c r="C14" s="625">
        <f>'a8'!M28</f>
        <v>903.06940274165754</v>
      </c>
      <c r="D14" s="625">
        <f>'a8'!S28</f>
        <v>718.04865747244742</v>
      </c>
      <c r="E14" s="625">
        <f>'a8'!Y28</f>
        <v>1444.2917421982188</v>
      </c>
      <c r="F14" s="625">
        <f>'a8'!AE28</f>
        <v>988.25581700563646</v>
      </c>
      <c r="G14" s="625">
        <f>'a8'!AK28</f>
        <v>1744.0262359759276</v>
      </c>
      <c r="H14" s="625">
        <f>'a8'!AQ28</f>
        <v>2412.1985576027791</v>
      </c>
      <c r="I14" s="625">
        <f>'a8'!AW28</f>
        <v>1280.4976531486971</v>
      </c>
      <c r="J14" s="625">
        <f>'a8'!BC28</f>
        <v>1103.6841279771568</v>
      </c>
      <c r="K14" s="625">
        <f>'a8'!BI28</f>
        <v>1694.3422684902957</v>
      </c>
      <c r="L14" s="625">
        <f>'a8'!BO28</f>
        <v>1150.6384685620171</v>
      </c>
    </row>
    <row r="15" spans="1:12">
      <c r="A15" s="611">
        <f t="shared" si="0"/>
        <v>1991</v>
      </c>
      <c r="B15" s="625">
        <f>'a8'!G29</f>
        <v>1958.9820741618948</v>
      </c>
      <c r="C15" s="625">
        <f>'a8'!M29</f>
        <v>943.17728125531517</v>
      </c>
      <c r="D15" s="625">
        <f>'a8'!S29</f>
        <v>720.52484852007444</v>
      </c>
      <c r="E15" s="625">
        <f>'a8'!Y29</f>
        <v>1452.9695937017891</v>
      </c>
      <c r="F15" s="625">
        <f>'a8'!AE29</f>
        <v>972.48828214886521</v>
      </c>
      <c r="G15" s="625">
        <f>'a8'!AK29</f>
        <v>1852.2614870918478</v>
      </c>
      <c r="H15" s="625">
        <f>'a8'!AQ29</f>
        <v>2488.3123493867338</v>
      </c>
      <c r="I15" s="625">
        <f>'a8'!AW29</f>
        <v>1325.5985100543605</v>
      </c>
      <c r="J15" s="625">
        <f>'a8'!BC29</f>
        <v>1170.431511999773</v>
      </c>
      <c r="K15" s="625">
        <f>'a8'!BI29</f>
        <v>1746.294344647964</v>
      </c>
      <c r="L15" s="625">
        <f>'a8'!BO29</f>
        <v>1185.8030671654647</v>
      </c>
    </row>
    <row r="16" spans="1:12">
      <c r="A16" s="611">
        <f t="shared" si="0"/>
        <v>1992</v>
      </c>
      <c r="B16" s="625">
        <f>'a8'!G30</f>
        <v>2013.9712926824634</v>
      </c>
      <c r="C16" s="625">
        <f>'a8'!M30</f>
        <v>983.2230224343183</v>
      </c>
      <c r="D16" s="625">
        <f>'a8'!S30</f>
        <v>700.00235474328667</v>
      </c>
      <c r="E16" s="625">
        <f>'a8'!Y30</f>
        <v>1446.3233203612808</v>
      </c>
      <c r="F16" s="625">
        <f>'a8'!AE30</f>
        <v>961.49358624901663</v>
      </c>
      <c r="G16" s="625">
        <f>'a8'!AK30</f>
        <v>1973.5920627845699</v>
      </c>
      <c r="H16" s="625">
        <f>'a8'!AQ30</f>
        <v>2561.8855664191688</v>
      </c>
      <c r="I16" s="625">
        <f>'a8'!AW30</f>
        <v>1356.4040859741688</v>
      </c>
      <c r="J16" s="625">
        <f>'a8'!BC30</f>
        <v>1233.321452276459</v>
      </c>
      <c r="K16" s="625">
        <f>'a8'!BI30</f>
        <v>1770.671337127061</v>
      </c>
      <c r="L16" s="625">
        <f>'a8'!BO30</f>
        <v>1225.4077314069561</v>
      </c>
    </row>
    <row r="17" spans="1:12">
      <c r="A17" s="611">
        <f t="shared" si="0"/>
        <v>1993</v>
      </c>
      <c r="B17" s="625">
        <f>'a8'!G31</f>
        <v>2080.672724053527</v>
      </c>
      <c r="C17" s="625">
        <f>'a8'!M31</f>
        <v>1014.5989868562671</v>
      </c>
      <c r="D17" s="625">
        <f>'a8'!S31</f>
        <v>699.28273165101893</v>
      </c>
      <c r="E17" s="625">
        <f>'a8'!Y31</f>
        <v>1453.4751400447358</v>
      </c>
      <c r="F17" s="625">
        <f>'a8'!AE31</f>
        <v>963.3316691337385</v>
      </c>
      <c r="G17" s="625">
        <f>'a8'!AK31</f>
        <v>2092.2492695118895</v>
      </c>
      <c r="H17" s="625">
        <f>'a8'!AQ31</f>
        <v>2665.5824587217876</v>
      </c>
      <c r="I17" s="625">
        <f>'a8'!AW31</f>
        <v>1393.028242136299</v>
      </c>
      <c r="J17" s="625">
        <f>'a8'!BC31</f>
        <v>1274.518249103028</v>
      </c>
      <c r="K17" s="625">
        <f>'a8'!BI31</f>
        <v>1811.1983185633576</v>
      </c>
      <c r="L17" s="625">
        <f>'a8'!BO31</f>
        <v>1250.2880275984887</v>
      </c>
    </row>
    <row r="18" spans="1:12">
      <c r="A18" s="611">
        <f t="shared" si="0"/>
        <v>1994</v>
      </c>
      <c r="B18" s="625">
        <f>'a8'!G32</f>
        <v>2167.9757866468808</v>
      </c>
      <c r="C18" s="625">
        <f>'a8'!M32</f>
        <v>1041.6888653950537</v>
      </c>
      <c r="D18" s="625">
        <f>'a8'!S32</f>
        <v>701.76937636294781</v>
      </c>
      <c r="E18" s="625">
        <f>'a8'!Y32</f>
        <v>1480.3294352735495</v>
      </c>
      <c r="F18" s="625">
        <f>'a8'!AE32</f>
        <v>965.97578407047831</v>
      </c>
      <c r="G18" s="625">
        <f>'a8'!AK32</f>
        <v>2218.7800070882404</v>
      </c>
      <c r="H18" s="625">
        <f>'a8'!AQ32</f>
        <v>2799.0438691894724</v>
      </c>
      <c r="I18" s="625">
        <f>'a8'!AW32</f>
        <v>1430.8081669049557</v>
      </c>
      <c r="J18" s="625">
        <f>'a8'!BC32</f>
        <v>1307.383278864673</v>
      </c>
      <c r="K18" s="625">
        <f>'a8'!BI32</f>
        <v>1893.823983635079</v>
      </c>
      <c r="L18" s="625">
        <f>'a8'!BO32</f>
        <v>1293.9861359009831</v>
      </c>
    </row>
    <row r="19" spans="1:12">
      <c r="A19" s="611">
        <f t="shared" si="0"/>
        <v>1995</v>
      </c>
      <c r="B19" s="625">
        <f>'a8'!G33</f>
        <v>2236.9063372984369</v>
      </c>
      <c r="C19" s="625">
        <f>'a8'!M33</f>
        <v>1049.1454574989723</v>
      </c>
      <c r="D19" s="625">
        <f>'a8'!S33</f>
        <v>696.38945805186074</v>
      </c>
      <c r="E19" s="625">
        <f>'a8'!Y33</f>
        <v>1498.1653436615472</v>
      </c>
      <c r="F19" s="625">
        <f>'a8'!AE33</f>
        <v>969.91168756548007</v>
      </c>
      <c r="G19" s="625">
        <f>'a8'!AK33</f>
        <v>2335.1552452377846</v>
      </c>
      <c r="H19" s="625">
        <f>'a8'!AQ33</f>
        <v>2904.9278678115152</v>
      </c>
      <c r="I19" s="625">
        <f>'a8'!AW33</f>
        <v>1431.8646683541783</v>
      </c>
      <c r="J19" s="625">
        <f>'a8'!BC33</f>
        <v>1329.0203897272868</v>
      </c>
      <c r="K19" s="625">
        <f>'a8'!BI33</f>
        <v>1950.2359430904905</v>
      </c>
      <c r="L19" s="625">
        <f>'a8'!BO33</f>
        <v>1314.0775714459121</v>
      </c>
    </row>
    <row r="20" spans="1:12">
      <c r="A20" s="611">
        <f t="shared" si="0"/>
        <v>1996</v>
      </c>
      <c r="B20" s="625">
        <f>'a8'!G34</f>
        <v>2280.3371888070178</v>
      </c>
      <c r="C20" s="625">
        <f>'a8'!M34</f>
        <v>1057.9538948288657</v>
      </c>
      <c r="D20" s="625">
        <f>'a8'!S34</f>
        <v>693.68357647853031</v>
      </c>
      <c r="E20" s="625">
        <f>'a8'!Y34</f>
        <v>1497.9808894562352</v>
      </c>
      <c r="F20" s="625">
        <f>'a8'!AE34</f>
        <v>984.45427794149521</v>
      </c>
      <c r="G20" s="625">
        <f>'a8'!AK34</f>
        <v>2435.8226145220697</v>
      </c>
      <c r="H20" s="625">
        <f>'a8'!AQ34</f>
        <v>2970.0431678047084</v>
      </c>
      <c r="I20" s="625">
        <f>'a8'!AW34</f>
        <v>1425.5886147530041</v>
      </c>
      <c r="J20" s="625">
        <f>'a8'!BC34</f>
        <v>1304.1333127897326</v>
      </c>
      <c r="K20" s="625">
        <f>'a8'!BI34</f>
        <v>1977.3855723347483</v>
      </c>
      <c r="L20" s="625">
        <f>'a8'!BO34</f>
        <v>1303.9544598313903</v>
      </c>
    </row>
    <row r="21" spans="1:12">
      <c r="A21" s="611">
        <f t="shared" si="0"/>
        <v>1997</v>
      </c>
      <c r="B21" s="625">
        <f>'a8'!G35</f>
        <v>2334.1347191170203</v>
      </c>
      <c r="C21" s="625">
        <f>'a8'!M35</f>
        <v>1072.562274635103</v>
      </c>
      <c r="D21" s="625">
        <f>'a8'!S35</f>
        <v>705.33615018398325</v>
      </c>
      <c r="E21" s="625">
        <f>'a8'!Y35</f>
        <v>1499.895560804533</v>
      </c>
      <c r="F21" s="625">
        <f>'a8'!AE35</f>
        <v>964.77313804355515</v>
      </c>
      <c r="G21" s="625">
        <f>'a8'!AK35</f>
        <v>2527.4228268429665</v>
      </c>
      <c r="H21" s="625">
        <f>'a8'!AQ35</f>
        <v>3056.1345205083112</v>
      </c>
      <c r="I21" s="625">
        <f>'a8'!AW35</f>
        <v>1397.802660430887</v>
      </c>
      <c r="J21" s="625">
        <f>'a8'!BC35</f>
        <v>1359.4479523548757</v>
      </c>
      <c r="K21" s="625">
        <f>'a8'!BI35</f>
        <v>1995.578348342689</v>
      </c>
      <c r="L21" s="625">
        <f>'a8'!BO35</f>
        <v>1302.0171073893846</v>
      </c>
    </row>
    <row r="22" spans="1:12">
      <c r="A22" s="611">
        <f t="shared" si="0"/>
        <v>1998</v>
      </c>
      <c r="B22" s="625">
        <f>'a8'!G36</f>
        <v>2429.8891737256695</v>
      </c>
      <c r="C22" s="625">
        <f>'a8'!M36</f>
        <v>1124.7202632271931</v>
      </c>
      <c r="D22" s="625">
        <f>'a8'!S36</f>
        <v>764.71735640291956</v>
      </c>
      <c r="E22" s="625">
        <f>'a8'!Y36</f>
        <v>1562.6297886924099</v>
      </c>
      <c r="F22" s="625">
        <f>'a8'!AE36</f>
        <v>988.98145635639946</v>
      </c>
      <c r="G22" s="625">
        <f>'a8'!AK36</f>
        <v>2653.7506290859405</v>
      </c>
      <c r="H22" s="625">
        <f>'a8'!AQ36</f>
        <v>3181.9927223149066</v>
      </c>
      <c r="I22" s="625">
        <f>'a8'!AW36</f>
        <v>1401.9754905557631</v>
      </c>
      <c r="J22" s="625">
        <f>'a8'!BC36</f>
        <v>1402.310612999813</v>
      </c>
      <c r="K22" s="625">
        <f>'a8'!BI36</f>
        <v>2070.3436568939965</v>
      </c>
      <c r="L22" s="625">
        <f>'a8'!BO36</f>
        <v>1329.2183162209813</v>
      </c>
    </row>
    <row r="23" spans="1:12">
      <c r="A23" s="611">
        <f t="shared" si="0"/>
        <v>1999</v>
      </c>
      <c r="B23" s="625">
        <f>'a8'!G37</f>
        <v>2546.001847667022</v>
      </c>
      <c r="C23" s="625">
        <f>'a8'!M37</f>
        <v>1171.0139577197872</v>
      </c>
      <c r="D23" s="625">
        <f>'a8'!S37</f>
        <v>821.14289151118749</v>
      </c>
      <c r="E23" s="625">
        <f>'a8'!Y37</f>
        <v>1632.8876537676299</v>
      </c>
      <c r="F23" s="625">
        <f>'a8'!AE37</f>
        <v>1014.9746520942293</v>
      </c>
      <c r="G23" s="625">
        <f>'a8'!AK37</f>
        <v>2824.2263329912244</v>
      </c>
      <c r="H23" s="625">
        <f>'a8'!AQ37</f>
        <v>3326.3717966993381</v>
      </c>
      <c r="I23" s="625">
        <f>'a8'!AW37</f>
        <v>1477.9077324163486</v>
      </c>
      <c r="J23" s="625">
        <f>'a8'!BC37</f>
        <v>1475.9743902612076</v>
      </c>
      <c r="K23" s="625">
        <f>'a8'!BI37</f>
        <v>2086.5852433707978</v>
      </c>
      <c r="L23" s="625">
        <f>'a8'!BO37</f>
        <v>1392.9743945664407</v>
      </c>
    </row>
    <row r="24" spans="1:12">
      <c r="A24" s="611">
        <f t="shared" si="0"/>
        <v>2000</v>
      </c>
      <c r="B24" s="625">
        <f>'a8'!G38</f>
        <v>2702.8781511777079</v>
      </c>
      <c r="C24" s="625">
        <f>'a8'!M38</f>
        <v>1209.2853714695959</v>
      </c>
      <c r="D24" s="625">
        <f>'a8'!S38</f>
        <v>943.51446354322468</v>
      </c>
      <c r="E24" s="625">
        <f>'a8'!Y38</f>
        <v>1703.0389100800376</v>
      </c>
      <c r="F24" s="625">
        <f>'a8'!AE38</f>
        <v>1020.9213419753268</v>
      </c>
      <c r="G24" s="625">
        <f>'a8'!AK38</f>
        <v>3051.8083007484461</v>
      </c>
      <c r="H24" s="625">
        <f>'a8'!AQ38</f>
        <v>3538.5173492877261</v>
      </c>
      <c r="I24" s="625">
        <f>'a8'!AW38</f>
        <v>1536.3687781812507</v>
      </c>
      <c r="J24" s="625">
        <f>'a8'!BC38</f>
        <v>1572.8617305726714</v>
      </c>
      <c r="K24" s="625">
        <f>'a8'!BI38</f>
        <v>2080.1409110369977</v>
      </c>
      <c r="L24" s="625">
        <f>'a8'!BO38</f>
        <v>1507.90606056348</v>
      </c>
    </row>
    <row r="25" spans="1:12">
      <c r="A25" s="611">
        <f t="shared" si="0"/>
        <v>2001</v>
      </c>
      <c r="B25" s="625">
        <f>'a8'!G39</f>
        <v>2893.1321673421967</v>
      </c>
      <c r="C25" s="625">
        <f>'a8'!M39</f>
        <v>1251.52917434559</v>
      </c>
      <c r="D25" s="625">
        <f>'a8'!S39</f>
        <v>1032.5704939579139</v>
      </c>
      <c r="E25" s="625">
        <f>'a8'!Y39</f>
        <v>1769.6918514758493</v>
      </c>
      <c r="F25" s="625">
        <f>'a8'!AE39</f>
        <v>1028.923378881587</v>
      </c>
      <c r="G25" s="625">
        <f>'a8'!AK39</f>
        <v>3311.8052980570192</v>
      </c>
      <c r="H25" s="625">
        <f>'a8'!AQ39</f>
        <v>3787.440035286621</v>
      </c>
      <c r="I25" s="625">
        <f>'a8'!AW39</f>
        <v>1630.9289001138254</v>
      </c>
      <c r="J25" s="625">
        <f>'a8'!BC39</f>
        <v>1679.5079320239761</v>
      </c>
      <c r="K25" s="625">
        <f>'a8'!BI39</f>
        <v>2140.9568410917309</v>
      </c>
      <c r="L25" s="625">
        <f>'a8'!BO39</f>
        <v>1626.7016257655584</v>
      </c>
    </row>
    <row r="26" spans="1:12">
      <c r="A26" s="611">
        <f t="shared" si="0"/>
        <v>2002</v>
      </c>
      <c r="B26" s="625">
        <f>'a8'!G40</f>
        <v>3040.4651900609219</v>
      </c>
      <c r="C26" s="625">
        <f>'a8'!M40</f>
        <v>1300.5414952657707</v>
      </c>
      <c r="D26" s="625">
        <f>'a8'!S40</f>
        <v>1051.2532886160927</v>
      </c>
      <c r="E26" s="625">
        <f>'a8'!Y40</f>
        <v>1839.6763651287406</v>
      </c>
      <c r="F26" s="625">
        <f>'a8'!AE40</f>
        <v>1105.2395039402272</v>
      </c>
      <c r="G26" s="625">
        <f>'a8'!AK40</f>
        <v>3539.9674124530779</v>
      </c>
      <c r="H26" s="625">
        <f>'a8'!AQ40</f>
        <v>3922.1077201957278</v>
      </c>
      <c r="I26" s="625">
        <f>'a8'!AW40</f>
        <v>1691.4318907487038</v>
      </c>
      <c r="J26" s="625">
        <f>'a8'!BC40</f>
        <v>1784.6122572324493</v>
      </c>
      <c r="K26" s="625">
        <f>'a8'!BI40</f>
        <v>2222.4606641234363</v>
      </c>
      <c r="L26" s="625">
        <f>'a8'!BO40</f>
        <v>1769.9797863049616</v>
      </c>
    </row>
    <row r="27" spans="1:12">
      <c r="A27" s="611">
        <f t="shared" si="0"/>
        <v>2003</v>
      </c>
      <c r="B27" s="625">
        <f>'a8'!G41</f>
        <v>3165.8353656659879</v>
      </c>
      <c r="C27" s="625">
        <f>'a8'!M41</f>
        <v>1363.2713351610175</v>
      </c>
      <c r="D27" s="625">
        <f>'a8'!S41</f>
        <v>1150.6922829438233</v>
      </c>
      <c r="E27" s="625">
        <f>'a8'!Y41</f>
        <v>1882.9548066842378</v>
      </c>
      <c r="F27" s="625">
        <f>'a8'!AE41</f>
        <v>1163.2091571309732</v>
      </c>
      <c r="G27" s="625">
        <f>'a8'!AK41</f>
        <v>3721.8855481791738</v>
      </c>
      <c r="H27" s="625">
        <f>'a8'!AQ41</f>
        <v>4060.4366845631876</v>
      </c>
      <c r="I27" s="625">
        <f>'a8'!AW41</f>
        <v>1731.4678199512111</v>
      </c>
      <c r="J27" s="625">
        <f>'a8'!BC41</f>
        <v>1819.7186550383929</v>
      </c>
      <c r="K27" s="625">
        <f>'a8'!BI41</f>
        <v>2292.5849645499993</v>
      </c>
      <c r="L27" s="625">
        <f>'a8'!BO41</f>
        <v>1890.4649234764634</v>
      </c>
    </row>
    <row r="28" spans="1:12">
      <c r="A28" s="611">
        <f t="shared" si="0"/>
        <v>2004</v>
      </c>
      <c r="B28" s="625">
        <f>'a8'!G42</f>
        <v>3292.3534084881362</v>
      </c>
      <c r="C28" s="625">
        <f>'a8'!M42</f>
        <v>1389.273793243354</v>
      </c>
      <c r="D28" s="625">
        <f>'a8'!S42</f>
        <v>1207.5004708188178</v>
      </c>
      <c r="E28" s="625">
        <f>'a8'!Y42</f>
        <v>1945.1682079043696</v>
      </c>
      <c r="F28" s="625">
        <f>'a8'!AE42</f>
        <v>1216.9074024119514</v>
      </c>
      <c r="G28" s="625">
        <f>'a8'!AK42</f>
        <v>3875.8275825541523</v>
      </c>
      <c r="H28" s="625">
        <f>'a8'!AQ42</f>
        <v>4215.846376774879</v>
      </c>
      <c r="I28" s="625">
        <f>'a8'!AW42</f>
        <v>1794.0409408005789</v>
      </c>
      <c r="J28" s="625">
        <f>'a8'!BC42</f>
        <v>1848.528744093062</v>
      </c>
      <c r="K28" s="625">
        <f>'a8'!BI42</f>
        <v>2404.2705258503283</v>
      </c>
      <c r="L28" s="625">
        <f>'a8'!BO42</f>
        <v>2006.5980169872373</v>
      </c>
    </row>
    <row r="29" spans="1:12">
      <c r="A29" s="611">
        <f t="shared" si="0"/>
        <v>2005</v>
      </c>
      <c r="B29" s="625">
        <f>'a8'!G43</f>
        <v>3398.3439485446179</v>
      </c>
      <c r="C29" s="625">
        <f>'a8'!M43</f>
        <v>1534.0192682720624</v>
      </c>
      <c r="D29" s="625">
        <f>'a8'!S43</f>
        <v>1420.8180116073311</v>
      </c>
      <c r="E29" s="625">
        <f>'a8'!Y43</f>
        <v>2004.5054562775715</v>
      </c>
      <c r="F29" s="625">
        <f>'a8'!AE43</f>
        <v>1291.2373427110667</v>
      </c>
      <c r="G29" s="625">
        <f>'a8'!AK43</f>
        <v>3981.2058629307035</v>
      </c>
      <c r="H29" s="625">
        <f>'a8'!AQ43</f>
        <v>4371.3002558784456</v>
      </c>
      <c r="I29" s="625">
        <f>'a8'!AW43</f>
        <v>1889.7928746765162</v>
      </c>
      <c r="J29" s="625">
        <f>'a8'!BC43</f>
        <v>1888.5888665564189</v>
      </c>
      <c r="K29" s="625">
        <f>'a8'!BI43</f>
        <v>2442.4209768276246</v>
      </c>
      <c r="L29" s="625">
        <f>'a8'!BO43</f>
        <v>2109.9040719739173</v>
      </c>
    </row>
    <row r="30" spans="1:12">
      <c r="A30" s="611">
        <f t="shared" si="0"/>
        <v>2006</v>
      </c>
      <c r="B30" s="625">
        <f>'a8'!G44</f>
        <v>3481.0444614689127</v>
      </c>
      <c r="C30" s="625">
        <f>'a8'!M44</f>
        <v>1596.7112721331252</v>
      </c>
      <c r="D30" s="625">
        <f>'a8'!S44</f>
        <v>1610.6309148659213</v>
      </c>
      <c r="E30" s="625">
        <f>'a8'!Y44</f>
        <v>2080.0452028232171</v>
      </c>
      <c r="F30" s="625">
        <f>'a8'!AE44</f>
        <v>1364.5080230914446</v>
      </c>
      <c r="G30" s="625">
        <f>'a8'!AK44</f>
        <v>4118.8961324496568</v>
      </c>
      <c r="H30" s="625">
        <f>'a8'!AQ44</f>
        <v>4476.9081556183173</v>
      </c>
      <c r="I30" s="625">
        <f>'a8'!AW44</f>
        <v>1926.8041691639587</v>
      </c>
      <c r="J30" s="625">
        <f>'a8'!BC44</f>
        <v>1913.0529012483555</v>
      </c>
      <c r="K30" s="625">
        <f>'a8'!BI44</f>
        <v>2472.432666546466</v>
      </c>
      <c r="L30" s="625">
        <f>'a8'!BO44</f>
        <v>2171.5908974792892</v>
      </c>
    </row>
    <row r="31" spans="1:12">
      <c r="A31" s="611">
        <f t="shared" si="0"/>
        <v>2007</v>
      </c>
      <c r="B31" s="625">
        <f>'a8'!G45</f>
        <v>3533.4796584277578</v>
      </c>
      <c r="C31" s="625">
        <f>'a8'!M45</f>
        <v>1645.3765497904435</v>
      </c>
      <c r="D31" s="625">
        <f>'a8'!S45</f>
        <v>1682.8561835148234</v>
      </c>
      <c r="E31" s="625">
        <f>'a8'!Y45</f>
        <v>2135.6098451699622</v>
      </c>
      <c r="F31" s="625">
        <f>'a8'!AE45</f>
        <v>1460.3049322874406</v>
      </c>
      <c r="G31" s="625">
        <f>'a8'!AK45</f>
        <v>4211.2897298836142</v>
      </c>
      <c r="H31" s="625">
        <f>'a8'!AQ45</f>
        <v>4539.3622218265664</v>
      </c>
      <c r="I31" s="625">
        <f>'a8'!AW45</f>
        <v>1950.8807909268892</v>
      </c>
      <c r="J31" s="625">
        <f>'a8'!BC45</f>
        <v>1906.5248030085802</v>
      </c>
      <c r="K31" s="625">
        <f>'a8'!BI45</f>
        <v>2476.5708805287745</v>
      </c>
      <c r="L31" s="625">
        <f>'a8'!BO45</f>
        <v>2266.9026113024806</v>
      </c>
    </row>
    <row r="32" spans="1:12">
      <c r="A32" s="611">
        <f t="shared" si="0"/>
        <v>2008</v>
      </c>
      <c r="B32" s="625">
        <f>'a8'!G46</f>
        <v>3533.1282378743476</v>
      </c>
      <c r="C32" s="625">
        <f>'a8'!M46</f>
        <v>1666.8152751653859</v>
      </c>
      <c r="D32" s="625">
        <f>'a8'!S46</f>
        <v>1743.8944052984293</v>
      </c>
      <c r="E32" s="625">
        <f>'a8'!Y46</f>
        <v>2174.6665028724278</v>
      </c>
      <c r="F32" s="625">
        <f>'a8'!AE46</f>
        <v>1543.9775549480048</v>
      </c>
      <c r="G32" s="625">
        <f>'a8'!AK46</f>
        <v>4244.2106593439903</v>
      </c>
      <c r="H32" s="625">
        <f>'a8'!AQ46</f>
        <v>4562.3545250062061</v>
      </c>
      <c r="I32" s="625">
        <f>'a8'!AW46</f>
        <v>1932.6501168261339</v>
      </c>
      <c r="J32" s="625">
        <f>'a8'!BC46</f>
        <v>1834.6965428916774</v>
      </c>
      <c r="K32" s="625">
        <f>'a8'!BI46</f>
        <v>2450.36911135634</v>
      </c>
      <c r="L32" s="625">
        <f>'a8'!BO46</f>
        <v>2316.2756886783854</v>
      </c>
    </row>
    <row r="33" spans="1:12">
      <c r="A33" s="611">
        <f t="shared" si="0"/>
        <v>2009</v>
      </c>
      <c r="B33" s="625">
        <f>'a8'!G47</f>
        <v>3526.3780501547531</v>
      </c>
      <c r="C33" s="625">
        <f>'a8'!M47</f>
        <v>1764.8603438932682</v>
      </c>
      <c r="D33" s="625">
        <f>'a8'!S47</f>
        <v>1810.2160913155187</v>
      </c>
      <c r="E33" s="625">
        <f>'a8'!Y47</f>
        <v>2219.910503770237</v>
      </c>
      <c r="F33" s="625">
        <f>'a8'!AE47</f>
        <v>1632.4444555899017</v>
      </c>
      <c r="G33" s="625">
        <f>'a8'!AK47</f>
        <v>4272.2708631023606</v>
      </c>
      <c r="H33" s="625">
        <f>'a8'!AQ47</f>
        <v>4576.2839869380441</v>
      </c>
      <c r="I33" s="625">
        <f>'a8'!AW47</f>
        <v>1929.5036311991928</v>
      </c>
      <c r="J33" s="625">
        <f>'a8'!BC47</f>
        <v>1827.9422803586272</v>
      </c>
      <c r="K33" s="625">
        <f>'a8'!BI47</f>
        <v>2531.824165856684</v>
      </c>
      <c r="L33" s="625">
        <f>'a8'!BO47</f>
        <v>2388.468730937333</v>
      </c>
    </row>
    <row r="34" spans="1:12">
      <c r="A34" s="611">
        <f t="shared" si="0"/>
        <v>2010</v>
      </c>
      <c r="B34" s="625">
        <f>'a8'!G48</f>
        <v>3494.6573660945023</v>
      </c>
      <c r="C34" s="625">
        <f>'a8'!M48</f>
        <v>1867.1514017590398</v>
      </c>
      <c r="D34" s="625">
        <f>'a8'!S48</f>
        <v>1888.8943129875549</v>
      </c>
      <c r="E34" s="625">
        <f>'a8'!Y48</f>
        <v>2265.6199234030441</v>
      </c>
      <c r="F34" s="625">
        <f>'a8'!AE48</f>
        <v>1725.9803369848555</v>
      </c>
      <c r="G34" s="625">
        <f>'a8'!AK48</f>
        <v>4292.7958736756264</v>
      </c>
      <c r="H34" s="625">
        <f>'a8'!AQ48</f>
        <v>4584.5922972106873</v>
      </c>
      <c r="I34" s="625">
        <f>'a8'!AW48</f>
        <v>1926.0199503382855</v>
      </c>
      <c r="J34" s="625">
        <f>'a8'!BC48</f>
        <v>1815.9945900312164</v>
      </c>
      <c r="K34" s="625">
        <f>'a8'!BI48</f>
        <v>2632.9788270518256</v>
      </c>
      <c r="L34" s="625">
        <f>'a8'!BO48</f>
        <v>2464.5546702196111</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3.6726127157667099</v>
      </c>
      <c r="C36" s="617">
        <f t="shared" si="1"/>
        <v>5.456631964221903</v>
      </c>
      <c r="D36" s="617">
        <f t="shared" si="1"/>
        <v>5.9492374103419676</v>
      </c>
      <c r="E36" s="617">
        <f t="shared" si="1"/>
        <v>3.2324990760550731</v>
      </c>
      <c r="F36" s="617">
        <f t="shared" si="1"/>
        <v>1.9393117483884392</v>
      </c>
      <c r="G36" s="617">
        <f t="shared" si="1"/>
        <v>5.520535139155025</v>
      </c>
      <c r="H36" s="617">
        <f t="shared" si="1"/>
        <v>4.5920376330091939</v>
      </c>
      <c r="I36" s="617">
        <f t="shared" si="1"/>
        <v>3.0013088611147154</v>
      </c>
      <c r="J36" s="617">
        <f t="shared" si="1"/>
        <v>4.1897599468815994</v>
      </c>
      <c r="K36" s="617">
        <f t="shared" si="1"/>
        <v>3.1315885265978505</v>
      </c>
      <c r="L36" s="617">
        <f t="shared" si="1"/>
        <v>5.0052030897405064</v>
      </c>
    </row>
    <row r="37" spans="1:12">
      <c r="A37" s="611" t="s">
        <v>1472</v>
      </c>
      <c r="B37" s="617">
        <f t="shared" ref="B37:L37" si="2">100*(POWER(B13/B5, 1/8)-1)</f>
        <v>5.2456785220222235</v>
      </c>
      <c r="C37" s="617">
        <f t="shared" si="2"/>
        <v>9.850673422971834</v>
      </c>
      <c r="D37" s="617">
        <f t="shared" si="2"/>
        <v>9.087502835227923</v>
      </c>
      <c r="E37" s="617">
        <f t="shared" si="2"/>
        <v>5.8895691821229779</v>
      </c>
      <c r="F37" s="617">
        <f t="shared" si="2"/>
        <v>-0.15495241684342353</v>
      </c>
      <c r="G37" s="617">
        <f t="shared" si="2"/>
        <v>7.7062065139590796</v>
      </c>
      <c r="H37" s="617">
        <f t="shared" si="2"/>
        <v>8.0509259656369245</v>
      </c>
      <c r="I37" s="617">
        <f t="shared" si="2"/>
        <v>5.3371326038398115</v>
      </c>
      <c r="J37" s="617">
        <f t="shared" si="2"/>
        <v>8.2471278879926224</v>
      </c>
      <c r="K37" s="617">
        <f t="shared" si="2"/>
        <v>5.346428433036543</v>
      </c>
      <c r="L37" s="617">
        <f t="shared" si="2"/>
        <v>7.8594252733226622</v>
      </c>
    </row>
    <row r="38" spans="1:12">
      <c r="A38" s="611" t="s">
        <v>1473</v>
      </c>
      <c r="B38" s="617">
        <f t="shared" ref="B38:L38" si="3">100*(POWER(B24/B13, 1/11)-1)</f>
        <v>3.515190681249436</v>
      </c>
      <c r="C38" s="617">
        <f t="shared" si="3"/>
        <v>3.2776643494012658</v>
      </c>
      <c r="D38" s="617">
        <f t="shared" si="3"/>
        <v>2.6334481424171052</v>
      </c>
      <c r="E38" s="617">
        <f t="shared" si="3"/>
        <v>1.6437793600341921</v>
      </c>
      <c r="F38" s="617">
        <f t="shared" si="3"/>
        <v>0.40383738574742978</v>
      </c>
      <c r="G38" s="617">
        <f t="shared" si="3"/>
        <v>5.8292685245698639</v>
      </c>
      <c r="H38" s="617">
        <f t="shared" si="3"/>
        <v>3.9257046742960933</v>
      </c>
      <c r="I38" s="617">
        <f t="shared" si="3"/>
        <v>1.9790869735714312</v>
      </c>
      <c r="J38" s="617">
        <f t="shared" si="3"/>
        <v>3.821733241673031</v>
      </c>
      <c r="K38" s="617">
        <f t="shared" si="3"/>
        <v>2.223246546332458</v>
      </c>
      <c r="L38" s="617">
        <f t="shared" si="3"/>
        <v>2.9498903745415417</v>
      </c>
    </row>
    <row r="39" spans="1:12">
      <c r="A39" s="611" t="s">
        <v>1474</v>
      </c>
      <c r="B39" s="617">
        <f t="shared" ref="B39:L39" si="4">100*(POWER(B32/B24, 1/8)-1)</f>
        <v>3.4050184988395849</v>
      </c>
      <c r="C39" s="617">
        <f t="shared" si="4"/>
        <v>4.0925946516649159</v>
      </c>
      <c r="D39" s="617">
        <f t="shared" si="4"/>
        <v>7.9807781395929922</v>
      </c>
      <c r="E39" s="617">
        <f t="shared" si="4"/>
        <v>3.1029310601042859</v>
      </c>
      <c r="F39" s="617">
        <f t="shared" si="4"/>
        <v>5.3067203722207745</v>
      </c>
      <c r="G39" s="617">
        <f t="shared" si="4"/>
        <v>4.2089356559055435</v>
      </c>
      <c r="H39" s="617">
        <f t="shared" si="4"/>
        <v>3.227631440977774</v>
      </c>
      <c r="I39" s="617">
        <f t="shared" si="4"/>
        <v>2.9099152514629356</v>
      </c>
      <c r="J39" s="617">
        <f t="shared" si="4"/>
        <v>1.9434230273429387</v>
      </c>
      <c r="K39" s="617">
        <f t="shared" si="4"/>
        <v>2.0686437842176941</v>
      </c>
      <c r="L39" s="617">
        <f t="shared" si="4"/>
        <v>5.5120340185976557</v>
      </c>
    </row>
    <row r="40" spans="1:12">
      <c r="A40" s="611" t="s">
        <v>1500</v>
      </c>
      <c r="B40" s="611"/>
      <c r="C40" s="611"/>
      <c r="D40" s="611"/>
      <c r="E40" s="611"/>
      <c r="F40" s="611"/>
      <c r="G40" s="611"/>
      <c r="H40" s="611"/>
      <c r="I40" s="611"/>
      <c r="J40" s="611"/>
      <c r="K40" s="611"/>
      <c r="L40" s="611"/>
    </row>
    <row r="41" spans="1:12">
      <c r="A41" s="611" t="s">
        <v>1498</v>
      </c>
      <c r="B41" s="616">
        <f>100*(B34-B5)/B5</f>
        <v>184.61465870525055</v>
      </c>
      <c r="C41" s="616">
        <f t="shared" ref="C41:L41" si="5">100*(C34-C5)/C5</f>
        <v>366.81307252718227</v>
      </c>
      <c r="D41" s="616">
        <f t="shared" si="5"/>
        <v>434.36403320295335</v>
      </c>
      <c r="E41" s="616">
        <f t="shared" si="5"/>
        <v>151.58039118973431</v>
      </c>
      <c r="F41" s="616">
        <f t="shared" si="5"/>
        <v>74.545724626996829</v>
      </c>
      <c r="G41" s="616">
        <f t="shared" si="5"/>
        <v>375.08636464129637</v>
      </c>
      <c r="H41" s="616">
        <f t="shared" si="5"/>
        <v>267.67160645260259</v>
      </c>
      <c r="I41" s="616">
        <f t="shared" si="5"/>
        <v>135.74340885981383</v>
      </c>
      <c r="J41" s="616">
        <f>100*(J34-J5)/J5</f>
        <v>228.79566662595556</v>
      </c>
      <c r="K41" s="616">
        <f t="shared" si="5"/>
        <v>144.54540609697361</v>
      </c>
      <c r="L41" s="616">
        <f t="shared" si="5"/>
        <v>312.20547680359061</v>
      </c>
    </row>
    <row r="42" spans="1:12">
      <c r="A42" s="611" t="s">
        <v>1472</v>
      </c>
      <c r="B42" s="616">
        <f>100*(B13-B5)/B5</f>
        <v>50.533853403836261</v>
      </c>
      <c r="C42" s="616">
        <f t="shared" ref="C42:L42" si="6">100*(C13-C5)/C5</f>
        <v>112.04194983369685</v>
      </c>
      <c r="D42" s="616">
        <f t="shared" si="6"/>
        <v>100.5395343118125</v>
      </c>
      <c r="E42" s="616">
        <f t="shared" si="6"/>
        <v>58.061264081352817</v>
      </c>
      <c r="F42" s="616">
        <f t="shared" si="6"/>
        <v>-1.2329172585273538</v>
      </c>
      <c r="G42" s="616">
        <f t="shared" si="6"/>
        <v>81.103081551720777</v>
      </c>
      <c r="H42" s="616">
        <f t="shared" si="6"/>
        <v>85.792399698069474</v>
      </c>
      <c r="I42" s="616">
        <f t="shared" si="6"/>
        <v>51.583502453474686</v>
      </c>
      <c r="J42" s="616">
        <f t="shared" si="6"/>
        <v>88.508551635943832</v>
      </c>
      <c r="K42" s="616">
        <f t="shared" si="6"/>
        <v>51.690551477177024</v>
      </c>
      <c r="L42" s="616">
        <f t="shared" si="6"/>
        <v>83.174415597934853</v>
      </c>
    </row>
    <row r="43" spans="1:12">
      <c r="A43" s="611" t="s">
        <v>1473</v>
      </c>
      <c r="B43" s="616">
        <f>100*(B24-B13)/B13</f>
        <v>46.232852291853725</v>
      </c>
      <c r="C43" s="616">
        <f t="shared" ref="C43:L43" si="7">100*(C24-C13)/C13</f>
        <v>42.583898386139317</v>
      </c>
      <c r="D43" s="616">
        <f t="shared" si="7"/>
        <v>33.100019774044732</v>
      </c>
      <c r="E43" s="616">
        <f t="shared" si="7"/>
        <v>19.643429335136581</v>
      </c>
      <c r="F43" s="616">
        <f t="shared" si="7"/>
        <v>4.533003303285164</v>
      </c>
      <c r="G43" s="616">
        <f t="shared" si="7"/>
        <v>86.493516472324416</v>
      </c>
      <c r="H43" s="616">
        <f t="shared" si="7"/>
        <v>52.739989854761959</v>
      </c>
      <c r="I43" s="616">
        <f t="shared" si="7"/>
        <v>24.057296648604616</v>
      </c>
      <c r="J43" s="616">
        <f t="shared" si="7"/>
        <v>51.067493603312222</v>
      </c>
      <c r="K43" s="616">
        <f t="shared" si="7"/>
        <v>27.3639053540291</v>
      </c>
      <c r="L43" s="616">
        <f t="shared" si="7"/>
        <v>37.684411773236548</v>
      </c>
    </row>
    <row r="44" spans="1:12">
      <c r="A44" s="611" t="s">
        <v>1474</v>
      </c>
      <c r="B44" s="616">
        <f>100*(B32-B24)/B24</f>
        <v>30.717259168153038</v>
      </c>
      <c r="C44" s="616">
        <f t="shared" ref="C44:L44" si="8">100*(C32-C24)/C24</f>
        <v>37.834734008216124</v>
      </c>
      <c r="D44" s="616">
        <f t="shared" si="8"/>
        <v>84.829642012004754</v>
      </c>
      <c r="E44" s="616">
        <f t="shared" si="8"/>
        <v>27.693295203115778</v>
      </c>
      <c r="F44" s="616">
        <f t="shared" si="8"/>
        <v>51.233742646680717</v>
      </c>
      <c r="G44" s="616">
        <f t="shared" si="8"/>
        <v>39.071994079808732</v>
      </c>
      <c r="H44" s="616">
        <f t="shared" si="8"/>
        <v>28.934072512731071</v>
      </c>
      <c r="I44" s="616">
        <f t="shared" si="8"/>
        <v>25.793373587948068</v>
      </c>
      <c r="J44" s="616">
        <f t="shared" si="8"/>
        <v>16.647033062701144</v>
      </c>
      <c r="K44" s="616">
        <f t="shared" si="8"/>
        <v>17.798226954479496</v>
      </c>
      <c r="L44" s="616">
        <f t="shared" si="8"/>
        <v>53.608752511600819</v>
      </c>
    </row>
    <row r="46" spans="1:12">
      <c r="A46" s="611" t="s">
        <v>1542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EH93"/>
  <sheetViews>
    <sheetView view="pageBreakPreview" zoomScaleSheetLayoutView="100" workbookViewId="0">
      <selection activeCell="E9" sqref="E9"/>
    </sheetView>
  </sheetViews>
  <sheetFormatPr defaultColWidth="8.875" defaultRowHeight="12.75"/>
  <cols>
    <col min="1" max="6" width="8.875" style="1"/>
    <col min="7" max="7" width="9.875" style="1" customWidth="1"/>
    <col min="8" max="16384" width="8.875" style="1"/>
  </cols>
  <sheetData>
    <row r="1" spans="1:12" ht="15.75">
      <c r="B1" s="2" t="s">
        <v>423</v>
      </c>
    </row>
    <row r="3" spans="1:12" s="10" customFormat="1" ht="15">
      <c r="B3" s="10" t="s">
        <v>321</v>
      </c>
      <c r="C3" s="10" t="s">
        <v>449</v>
      </c>
      <c r="D3" s="10" t="s">
        <v>450</v>
      </c>
      <c r="E3" s="10" t="s">
        <v>451</v>
      </c>
      <c r="F3" s="10" t="s">
        <v>452</v>
      </c>
      <c r="G3" s="10" t="s">
        <v>453</v>
      </c>
      <c r="H3" s="10" t="s">
        <v>454</v>
      </c>
      <c r="I3" s="10" t="s">
        <v>455</v>
      </c>
      <c r="J3" s="10" t="s">
        <v>456</v>
      </c>
      <c r="K3" s="10" t="s">
        <v>457</v>
      </c>
      <c r="L3" s="10" t="s">
        <v>458</v>
      </c>
    </row>
    <row r="4" spans="1:12" hidden="1">
      <c r="A4" s="1">
        <v>1971</v>
      </c>
      <c r="B4" s="118">
        <f t="shared" ref="B4:L11" si="0">B5/POWER(B$18/B$12,1/5)</f>
        <v>72.561015533459496</v>
      </c>
      <c r="C4" s="118">
        <f t="shared" si="0"/>
        <v>75.400000000000006</v>
      </c>
      <c r="D4" s="118">
        <f t="shared" si="0"/>
        <v>73.827153767284983</v>
      </c>
      <c r="E4" s="118">
        <f t="shared" si="0"/>
        <v>71.558843368438133</v>
      </c>
      <c r="F4" s="118">
        <f t="shared" si="0"/>
        <v>71.658740095469597</v>
      </c>
      <c r="G4" s="118">
        <f t="shared" si="0"/>
        <v>71.458946912653133</v>
      </c>
      <c r="H4" s="118">
        <f t="shared" si="0"/>
        <v>73.112958148408836</v>
      </c>
      <c r="I4" s="118">
        <f t="shared" si="0"/>
        <v>72.960698995411846</v>
      </c>
      <c r="J4" s="118">
        <f t="shared" si="0"/>
        <v>74.27255004127538</v>
      </c>
      <c r="K4" s="118">
        <f t="shared" si="0"/>
        <v>72.709043839052228</v>
      </c>
      <c r="L4" s="118">
        <f t="shared" si="0"/>
        <v>73.108687594274528</v>
      </c>
    </row>
    <row r="5" spans="1:12" hidden="1">
      <c r="A5" s="1">
        <v>1972</v>
      </c>
      <c r="B5" s="118">
        <f t="shared" si="0"/>
        <v>72.849346536459393</v>
      </c>
      <c r="C5" s="118">
        <f t="shared" si="0"/>
        <v>75.400000000000006</v>
      </c>
      <c r="D5" s="118">
        <f t="shared" si="0"/>
        <v>74.021951076991655</v>
      </c>
      <c r="E5" s="118">
        <f t="shared" si="0"/>
        <v>71.883776698739766</v>
      </c>
      <c r="F5" s="118">
        <f t="shared" si="0"/>
        <v>71.983693034765082</v>
      </c>
      <c r="G5" s="118">
        <f t="shared" si="0"/>
        <v>71.783860582792954</v>
      </c>
      <c r="H5" s="118">
        <f t="shared" si="0"/>
        <v>73.38282612987841</v>
      </c>
      <c r="I5" s="118">
        <f t="shared" si="0"/>
        <v>73.249090198295633</v>
      </c>
      <c r="J5" s="118">
        <f t="shared" si="0"/>
        <v>74.486315495569372</v>
      </c>
      <c r="K5" s="118">
        <f t="shared" si="0"/>
        <v>73.015843955063019</v>
      </c>
      <c r="L5" s="118">
        <f t="shared" si="0"/>
        <v>73.415555415005599</v>
      </c>
    </row>
    <row r="6" spans="1:12" hidden="1">
      <c r="A6" s="1">
        <v>1973</v>
      </c>
      <c r="B6" s="118">
        <f t="shared" si="0"/>
        <v>73.138823261672243</v>
      </c>
      <c r="C6" s="118">
        <f t="shared" si="0"/>
        <v>75.400000000000006</v>
      </c>
      <c r="D6" s="118">
        <f t="shared" si="0"/>
        <v>74.217262370915961</v>
      </c>
      <c r="E6" s="118">
        <f t="shared" si="0"/>
        <v>72.21018548146867</v>
      </c>
      <c r="F6" s="118">
        <f t="shared" si="0"/>
        <v>72.31011954745324</v>
      </c>
      <c r="G6" s="118">
        <f t="shared" si="0"/>
        <v>72.110251589188124</v>
      </c>
      <c r="H6" s="118">
        <f t="shared" si="0"/>
        <v>73.653690223791884</v>
      </c>
      <c r="I6" s="118">
        <f t="shared" si="0"/>
        <v>73.53862132290503</v>
      </c>
      <c r="J6" s="118">
        <f t="shared" si="0"/>
        <v>74.70069619290301</v>
      </c>
      <c r="K6" s="118">
        <f t="shared" si="0"/>
        <v>73.323938632330766</v>
      </c>
      <c r="L6" s="118">
        <f t="shared" si="0"/>
        <v>73.723711288668525</v>
      </c>
    </row>
    <row r="7" spans="1:12" hidden="1">
      <c r="A7" s="1">
        <v>1974</v>
      </c>
      <c r="B7" s="118">
        <f t="shared" si="0"/>
        <v>73.429450261780119</v>
      </c>
      <c r="C7" s="118">
        <f t="shared" si="0"/>
        <v>75.400000000000006</v>
      </c>
      <c r="D7" s="118">
        <f t="shared" si="0"/>
        <v>74.413089005235648</v>
      </c>
      <c r="E7" s="118">
        <f t="shared" si="0"/>
        <v>72.538076416337262</v>
      </c>
      <c r="F7" s="118">
        <f t="shared" si="0"/>
        <v>72.638026315789503</v>
      </c>
      <c r="G7" s="118">
        <f t="shared" si="0"/>
        <v>72.438126649076523</v>
      </c>
      <c r="H7" s="118">
        <f t="shared" si="0"/>
        <v>73.925554106910013</v>
      </c>
      <c r="I7" s="118">
        <f t="shared" si="0"/>
        <v>73.829296875000011</v>
      </c>
      <c r="J7" s="118">
        <f t="shared" si="0"/>
        <v>74.91569390402077</v>
      </c>
      <c r="K7" s="118">
        <f t="shared" si="0"/>
        <v>73.63333333333334</v>
      </c>
      <c r="L7" s="118">
        <f t="shared" si="0"/>
        <v>74.033160621761638</v>
      </c>
    </row>
    <row r="8" spans="1:12" hidden="1">
      <c r="A8" s="1">
        <v>1975</v>
      </c>
      <c r="B8" s="118">
        <f t="shared" si="0"/>
        <v>73.721232107555792</v>
      </c>
      <c r="C8" s="118">
        <f t="shared" si="0"/>
        <v>75.400000000000006</v>
      </c>
      <c r="D8" s="118">
        <f t="shared" si="0"/>
        <v>74.6094323397068</v>
      </c>
      <c r="E8" s="118">
        <f t="shared" si="0"/>
        <v>72.867456233479899</v>
      </c>
      <c r="F8" s="118">
        <f t="shared" si="0"/>
        <v>72.967420052331505</v>
      </c>
      <c r="G8" s="118">
        <f t="shared" si="0"/>
        <v>72.767492510238355</v>
      </c>
      <c r="H8" s="118">
        <f t="shared" si="0"/>
        <v>74.198421469564877</v>
      </c>
      <c r="I8" s="118">
        <f t="shared" si="0"/>
        <v>74.121121378150448</v>
      </c>
      <c r="J8" s="118">
        <f t="shared" si="0"/>
        <v>75.131310404763539</v>
      </c>
      <c r="K8" s="118">
        <f t="shared" si="0"/>
        <v>73.944033543597882</v>
      </c>
      <c r="L8" s="118">
        <f t="shared" si="0"/>
        <v>74.343908843476569</v>
      </c>
    </row>
    <row r="9" spans="1:12" hidden="1">
      <c r="A9" s="1">
        <v>1976</v>
      </c>
      <c r="B9" s="118">
        <f t="shared" si="0"/>
        <v>74.014173387934619</v>
      </c>
      <c r="C9" s="118">
        <f t="shared" si="0"/>
        <v>75.400000000000006</v>
      </c>
      <c r="D9" s="118">
        <f t="shared" si="0"/>
        <v>74.806293737673329</v>
      </c>
      <c r="E9" s="118">
        <f t="shared" si="0"/>
        <v>73.198331693591044</v>
      </c>
      <c r="F9" s="118">
        <f t="shared" si="0"/>
        <v>73.298307500076533</v>
      </c>
      <c r="G9" s="118">
        <f t="shared" si="0"/>
        <v>73.098355951135034</v>
      </c>
      <c r="H9" s="118">
        <f t="shared" si="0"/>
        <v>74.472296015709958</v>
      </c>
      <c r="I9" s="118">
        <f t="shared" si="0"/>
        <v>74.414099373806494</v>
      </c>
      <c r="J9" s="118">
        <f t="shared" si="0"/>
        <v>75.347547476083321</v>
      </c>
      <c r="K9" s="118">
        <f t="shared" si="0"/>
        <v>74.256044771798031</v>
      </c>
      <c r="L9" s="118">
        <f t="shared" si="0"/>
        <v>74.655961405793576</v>
      </c>
    </row>
    <row r="10" spans="1:12" hidden="1">
      <c r="A10" s="1">
        <v>1977</v>
      </c>
      <c r="B10" s="118">
        <f t="shared" si="0"/>
        <v>74.308278710086725</v>
      </c>
      <c r="C10" s="118">
        <f t="shared" si="0"/>
        <v>75.400000000000006</v>
      </c>
      <c r="D10" s="118">
        <f t="shared" si="0"/>
        <v>75.003674566076384</v>
      </c>
      <c r="E10" s="118">
        <f t="shared" si="0"/>
        <v>73.530709588064013</v>
      </c>
      <c r="F10" s="118">
        <f t="shared" si="0"/>
        <v>73.630695432599509</v>
      </c>
      <c r="G10" s="118">
        <f t="shared" si="0"/>
        <v>73.430723781048641</v>
      </c>
      <c r="H10" s="118">
        <f t="shared" si="0"/>
        <v>74.74718146297046</v>
      </c>
      <c r="I10" s="118">
        <f t="shared" si="0"/>
        <v>74.708235421369238</v>
      </c>
      <c r="J10" s="118">
        <f t="shared" si="0"/>
        <v>75.564406904057876</v>
      </c>
      <c r="K10" s="118">
        <f t="shared" si="0"/>
        <v>74.569372549851593</v>
      </c>
      <c r="L10" s="118">
        <f t="shared" si="0"/>
        <v>74.969323783577153</v>
      </c>
    </row>
    <row r="11" spans="1:12" hidden="1">
      <c r="A11" s="1">
        <v>1978</v>
      </c>
      <c r="B11" s="118">
        <f t="shared" si="0"/>
        <v>74.603552699489427</v>
      </c>
      <c r="C11" s="118">
        <f t="shared" si="0"/>
        <v>75.400000000000006</v>
      </c>
      <c r="D11" s="118">
        <f t="shared" si="0"/>
        <v>75.201576195463886</v>
      </c>
      <c r="E11" s="118">
        <f t="shared" si="0"/>
        <v>73.864596739130377</v>
      </c>
      <c r="F11" s="118">
        <f t="shared" si="0"/>
        <v>73.96459065419171</v>
      </c>
      <c r="G11" s="118">
        <f t="shared" si="0"/>
        <v>73.764602840222111</v>
      </c>
      <c r="H11" s="118">
        <f t="shared" si="0"/>
        <v>75.023081542693745</v>
      </c>
      <c r="I11" s="118">
        <f t="shared" si="0"/>
        <v>75.003534098261682</v>
      </c>
      <c r="J11" s="118">
        <f t="shared" si="0"/>
        <v>75.781890479905542</v>
      </c>
      <c r="K11" s="118">
        <f t="shared" si="0"/>
        <v>74.884022433018643</v>
      </c>
      <c r="L11" s="118">
        <f t="shared" si="0"/>
        <v>75.28400147467211</v>
      </c>
    </row>
    <row r="12" spans="1:12" hidden="1">
      <c r="A12" s="1">
        <v>1979</v>
      </c>
      <c r="B12" s="6">
        <v>74.900000000000006</v>
      </c>
      <c r="C12" s="6">
        <v>75.400000000000006</v>
      </c>
      <c r="D12" s="6">
        <v>75.400000000000006</v>
      </c>
      <c r="E12" s="6">
        <v>74.2</v>
      </c>
      <c r="F12" s="6">
        <v>74.3</v>
      </c>
      <c r="G12" s="6">
        <v>74.099999999999994</v>
      </c>
      <c r="H12" s="6">
        <v>75.3</v>
      </c>
      <c r="I12" s="6">
        <v>75.3</v>
      </c>
      <c r="J12" s="6">
        <v>76</v>
      </c>
      <c r="K12" s="6">
        <v>75.2</v>
      </c>
      <c r="L12" s="6">
        <v>75.599999999999994</v>
      </c>
    </row>
    <row r="13" spans="1:12" hidden="1">
      <c r="A13" s="1">
        <v>1980</v>
      </c>
      <c r="B13" s="6">
        <v>75.2</v>
      </c>
      <c r="C13" s="6">
        <v>74.8</v>
      </c>
      <c r="D13" s="6">
        <v>75.900000000000006</v>
      </c>
      <c r="E13" s="6">
        <v>74.2</v>
      </c>
      <c r="F13" s="6">
        <v>74.5</v>
      </c>
      <c r="G13" s="6">
        <v>74.5</v>
      </c>
      <c r="H13" s="6">
        <v>75.5</v>
      </c>
      <c r="I13" s="6">
        <v>75.400000000000006</v>
      </c>
      <c r="J13" s="6">
        <v>75.900000000000006</v>
      </c>
      <c r="K13" s="6">
        <v>75.099999999999994</v>
      </c>
      <c r="L13" s="6">
        <v>76</v>
      </c>
    </row>
    <row r="14" spans="1:12" hidden="1">
      <c r="B14" s="6"/>
      <c r="C14" s="6"/>
      <c r="D14" s="6"/>
      <c r="E14" s="6"/>
      <c r="F14" s="6"/>
      <c r="G14" s="6"/>
      <c r="H14" s="6"/>
      <c r="I14" s="6"/>
      <c r="J14" s="6"/>
      <c r="K14" s="6"/>
      <c r="L14" s="6"/>
    </row>
    <row r="15" spans="1:12" ht="16.5" customHeight="1">
      <c r="A15" s="1">
        <v>1981</v>
      </c>
      <c r="B15" s="6">
        <v>75.599999999999994</v>
      </c>
      <c r="C15" s="6">
        <v>75.599999999999994</v>
      </c>
      <c r="D15" s="6">
        <v>76.7</v>
      </c>
      <c r="E15" s="6">
        <v>74.599999999999994</v>
      </c>
      <c r="F15" s="6">
        <v>75.099999999999994</v>
      </c>
      <c r="G15" s="6">
        <v>75.099999999999994</v>
      </c>
      <c r="H15" s="6">
        <v>75.900000000000006</v>
      </c>
      <c r="I15" s="6">
        <v>75.2</v>
      </c>
      <c r="J15" s="6">
        <v>76.3</v>
      </c>
      <c r="K15" s="6">
        <v>75.5</v>
      </c>
      <c r="L15" s="6">
        <v>76.2</v>
      </c>
    </row>
    <row r="16" spans="1:12" ht="16.5" customHeight="1">
      <c r="A16" s="1">
        <v>1982</v>
      </c>
      <c r="B16" s="6">
        <v>75.8</v>
      </c>
      <c r="C16" s="6">
        <v>75.3</v>
      </c>
      <c r="D16" s="6">
        <v>77.099999999999994</v>
      </c>
      <c r="E16" s="6">
        <v>75.099999999999994</v>
      </c>
      <c r="F16" s="6">
        <v>75.3</v>
      </c>
      <c r="G16" s="6">
        <v>75.400000000000006</v>
      </c>
      <c r="H16" s="6">
        <v>76.099999999999994</v>
      </c>
      <c r="I16" s="6">
        <v>75.900000000000006</v>
      </c>
      <c r="J16" s="6">
        <v>75.7</v>
      </c>
      <c r="K16" s="6">
        <v>75.900000000000006</v>
      </c>
      <c r="L16" s="6">
        <v>76.3</v>
      </c>
    </row>
    <row r="17" spans="1:12" ht="16.5" customHeight="1">
      <c r="A17" s="1">
        <v>1983</v>
      </c>
      <c r="B17" s="6">
        <v>76.099999999999994</v>
      </c>
      <c r="C17" s="6">
        <v>75.099999999999994</v>
      </c>
      <c r="D17" s="6">
        <v>76</v>
      </c>
      <c r="E17" s="6">
        <v>75.099999999999994</v>
      </c>
      <c r="F17" s="6">
        <v>75.8</v>
      </c>
      <c r="G17" s="6">
        <v>75.5</v>
      </c>
      <c r="H17" s="6">
        <v>76.3</v>
      </c>
      <c r="I17" s="6">
        <v>76</v>
      </c>
      <c r="J17" s="6">
        <v>76.900000000000006</v>
      </c>
      <c r="K17" s="6">
        <v>76.599999999999994</v>
      </c>
      <c r="L17" s="6">
        <v>77.2</v>
      </c>
    </row>
    <row r="18" spans="1:12" ht="16.5" customHeight="1">
      <c r="A18" s="1">
        <v>1984</v>
      </c>
      <c r="B18" s="6">
        <v>76.400000000000006</v>
      </c>
      <c r="C18" s="6">
        <v>75.400000000000006</v>
      </c>
      <c r="D18" s="6">
        <v>76.400000000000006</v>
      </c>
      <c r="E18" s="6">
        <v>75.900000000000006</v>
      </c>
      <c r="F18" s="6">
        <v>76</v>
      </c>
      <c r="G18" s="6">
        <v>75.8</v>
      </c>
      <c r="H18" s="6">
        <v>76.7</v>
      </c>
      <c r="I18" s="6">
        <v>76.8</v>
      </c>
      <c r="J18" s="6">
        <v>77.099999999999994</v>
      </c>
      <c r="K18" s="6">
        <v>76.8</v>
      </c>
      <c r="L18" s="6">
        <v>77.2</v>
      </c>
    </row>
    <row r="19" spans="1:12" ht="16.5" customHeight="1">
      <c r="A19" s="1">
        <v>1985</v>
      </c>
      <c r="B19" s="6">
        <v>76.400000000000006</v>
      </c>
      <c r="C19" s="6">
        <v>75.599999999999994</v>
      </c>
      <c r="D19" s="6">
        <v>76.400000000000006</v>
      </c>
      <c r="E19" s="6">
        <v>75.400000000000006</v>
      </c>
      <c r="F19" s="6">
        <v>76.3</v>
      </c>
      <c r="G19" s="6">
        <v>75.8</v>
      </c>
      <c r="H19" s="6">
        <v>76.7</v>
      </c>
      <c r="I19" s="6">
        <v>76.400000000000006</v>
      </c>
      <c r="J19" s="6">
        <v>76.7</v>
      </c>
      <c r="K19" s="6">
        <v>76.7</v>
      </c>
      <c r="L19" s="6">
        <v>77.3</v>
      </c>
    </row>
    <row r="20" spans="1:12" ht="16.5" customHeight="1">
      <c r="A20" s="1">
        <v>1986</v>
      </c>
      <c r="B20" s="6">
        <v>76.599999999999994</v>
      </c>
      <c r="C20" s="6">
        <v>76.2</v>
      </c>
      <c r="D20" s="6">
        <v>75.8</v>
      </c>
      <c r="E20" s="6">
        <v>75.900000000000006</v>
      </c>
      <c r="F20" s="6">
        <v>76.099999999999994</v>
      </c>
      <c r="G20" s="6">
        <v>75.900000000000006</v>
      </c>
      <c r="H20" s="6">
        <v>76.900000000000006</v>
      </c>
      <c r="I20" s="6">
        <v>76.5</v>
      </c>
      <c r="J20" s="6">
        <v>76.900000000000006</v>
      </c>
      <c r="K20" s="6">
        <v>76.7</v>
      </c>
      <c r="L20" s="6">
        <v>77.599999999999994</v>
      </c>
    </row>
    <row r="21" spans="1:12" ht="16.5" customHeight="1">
      <c r="A21" s="1">
        <v>1987</v>
      </c>
      <c r="B21" s="6">
        <v>76.900000000000006</v>
      </c>
      <c r="C21" s="6">
        <v>76</v>
      </c>
      <c r="D21" s="6">
        <v>77.2</v>
      </c>
      <c r="E21" s="6">
        <v>76.3</v>
      </c>
      <c r="F21" s="6">
        <v>76.599999999999994</v>
      </c>
      <c r="G21" s="6">
        <v>76.099999999999994</v>
      </c>
      <c r="H21" s="6">
        <v>77.2</v>
      </c>
      <c r="I21" s="6">
        <v>76.8</v>
      </c>
      <c r="J21" s="6">
        <v>77.5</v>
      </c>
      <c r="K21" s="6">
        <v>77.3</v>
      </c>
      <c r="L21" s="6">
        <v>77.7</v>
      </c>
    </row>
    <row r="22" spans="1:12" ht="16.5" customHeight="1">
      <c r="A22" s="1">
        <v>1988</v>
      </c>
      <c r="B22" s="6">
        <v>77</v>
      </c>
      <c r="C22" s="6">
        <v>76.3</v>
      </c>
      <c r="D22" s="6">
        <v>77</v>
      </c>
      <c r="E22" s="6">
        <v>76.099999999999994</v>
      </c>
      <c r="F22" s="6">
        <v>76.8</v>
      </c>
      <c r="G22" s="6">
        <v>76.5</v>
      </c>
      <c r="H22" s="6">
        <v>77.2</v>
      </c>
      <c r="I22" s="6">
        <v>76.7</v>
      </c>
      <c r="J22" s="6">
        <v>77.3</v>
      </c>
      <c r="K22" s="6">
        <v>77.2</v>
      </c>
      <c r="L22" s="6">
        <v>77.7</v>
      </c>
    </row>
    <row r="23" spans="1:12" ht="16.5" customHeight="1">
      <c r="A23" s="1">
        <v>1989</v>
      </c>
      <c r="B23" s="6">
        <v>77.3</v>
      </c>
      <c r="C23" s="6">
        <v>76.2</v>
      </c>
      <c r="D23" s="6">
        <v>76.900000000000006</v>
      </c>
      <c r="E23" s="6">
        <v>76.3</v>
      </c>
      <c r="F23" s="6">
        <v>76.900000000000006</v>
      </c>
      <c r="G23" s="6">
        <v>76.7</v>
      </c>
      <c r="H23" s="6">
        <v>77.5</v>
      </c>
      <c r="I23" s="6">
        <v>77.3</v>
      </c>
      <c r="J23" s="6">
        <v>78</v>
      </c>
      <c r="K23" s="6">
        <v>77.7</v>
      </c>
      <c r="L23" s="6">
        <v>77.900000000000006</v>
      </c>
    </row>
    <row r="24" spans="1:12" ht="16.5" customHeight="1">
      <c r="A24" s="1">
        <v>1990</v>
      </c>
      <c r="B24" s="6">
        <v>77.599999999999994</v>
      </c>
      <c r="C24" s="6">
        <v>76.099999999999994</v>
      </c>
      <c r="D24" s="6">
        <v>76.599999999999994</v>
      </c>
      <c r="E24" s="6">
        <v>76.7</v>
      </c>
      <c r="F24" s="6">
        <v>77.3</v>
      </c>
      <c r="G24" s="6">
        <v>77.099999999999994</v>
      </c>
      <c r="H24" s="6">
        <v>77.900000000000006</v>
      </c>
      <c r="I24" s="6">
        <v>77.5</v>
      </c>
      <c r="J24" s="6">
        <v>78</v>
      </c>
      <c r="K24" s="6">
        <v>77.900000000000006</v>
      </c>
      <c r="L24" s="6">
        <v>78.099999999999994</v>
      </c>
    </row>
    <row r="25" spans="1:12" ht="16.5" customHeight="1">
      <c r="A25" s="1">
        <v>1991</v>
      </c>
      <c r="B25" s="6">
        <v>77.8</v>
      </c>
      <c r="C25" s="6">
        <v>76.7</v>
      </c>
      <c r="D25" s="6">
        <v>76.400000000000006</v>
      </c>
      <c r="E25" s="6">
        <v>77.3</v>
      </c>
      <c r="F25" s="6">
        <v>77.7</v>
      </c>
      <c r="G25" s="6">
        <v>77.3</v>
      </c>
      <c r="H25" s="6">
        <v>78</v>
      </c>
      <c r="I25" s="6">
        <v>77.599999999999994</v>
      </c>
      <c r="J25" s="6">
        <v>78.099999999999994</v>
      </c>
      <c r="K25" s="6">
        <v>78</v>
      </c>
      <c r="L25" s="6">
        <v>78.400000000000006</v>
      </c>
    </row>
    <row r="26" spans="1:12" ht="16.5" customHeight="1">
      <c r="A26" s="1">
        <v>1992</v>
      </c>
      <c r="B26" s="6">
        <v>78</v>
      </c>
      <c r="C26" s="6">
        <v>76.900000000000006</v>
      </c>
      <c r="D26" s="6">
        <v>77.5</v>
      </c>
      <c r="E26" s="6">
        <v>77</v>
      </c>
      <c r="F26" s="6">
        <v>77.599999999999994</v>
      </c>
      <c r="G26" s="6">
        <v>77.7</v>
      </c>
      <c r="H26" s="6">
        <v>78.2</v>
      </c>
      <c r="I26" s="6">
        <v>77.900000000000006</v>
      </c>
      <c r="J26" s="6">
        <v>78.900000000000006</v>
      </c>
      <c r="K26" s="6">
        <v>78.3</v>
      </c>
      <c r="L26" s="6">
        <v>78.400000000000006</v>
      </c>
    </row>
    <row r="27" spans="1:12" ht="16.5" customHeight="1">
      <c r="A27" s="1">
        <v>1993</v>
      </c>
      <c r="B27" s="6">
        <v>77.900000000000006</v>
      </c>
      <c r="C27" s="6">
        <v>76.8</v>
      </c>
      <c r="D27" s="6">
        <v>77.099999999999994</v>
      </c>
      <c r="E27" s="6">
        <v>77.400000000000006</v>
      </c>
      <c r="F27" s="6">
        <v>77.5</v>
      </c>
      <c r="G27" s="6">
        <v>77.400000000000006</v>
      </c>
      <c r="H27" s="6">
        <v>78.099999999999994</v>
      </c>
      <c r="I27" s="6">
        <v>77.599999999999994</v>
      </c>
      <c r="J27" s="6">
        <v>78.5</v>
      </c>
      <c r="K27" s="6">
        <v>78.2</v>
      </c>
      <c r="L27" s="6">
        <v>78.3</v>
      </c>
    </row>
    <row r="28" spans="1:12" ht="16.5" customHeight="1">
      <c r="A28" s="1">
        <v>1994</v>
      </c>
      <c r="B28" s="6">
        <v>78</v>
      </c>
      <c r="C28" s="6">
        <v>76.599999999999994</v>
      </c>
      <c r="D28" s="6">
        <v>78</v>
      </c>
      <c r="E28" s="6">
        <v>77.2</v>
      </c>
      <c r="F28" s="6">
        <v>77.599999999999994</v>
      </c>
      <c r="G28" s="6">
        <v>77.7</v>
      </c>
      <c r="H28" s="6">
        <v>78.2</v>
      </c>
      <c r="I28" s="6">
        <v>77.900000000000006</v>
      </c>
      <c r="J28" s="6">
        <v>78.400000000000006</v>
      </c>
      <c r="K28" s="6">
        <v>78.3</v>
      </c>
      <c r="L28" s="6">
        <v>78.599999999999994</v>
      </c>
    </row>
    <row r="29" spans="1:12" ht="16.5" customHeight="1">
      <c r="A29" s="1">
        <v>1995</v>
      </c>
      <c r="B29" s="6">
        <v>78.2</v>
      </c>
      <c r="C29" s="6">
        <v>77.2</v>
      </c>
      <c r="D29" s="6">
        <v>77.400000000000006</v>
      </c>
      <c r="E29" s="6">
        <v>77.8</v>
      </c>
      <c r="F29" s="6">
        <v>77.7</v>
      </c>
      <c r="G29" s="6">
        <v>77.7</v>
      </c>
      <c r="H29" s="6">
        <v>78.400000000000006</v>
      </c>
      <c r="I29" s="6">
        <v>77.599999999999994</v>
      </c>
      <c r="J29" s="6">
        <v>78.099999999999994</v>
      </c>
      <c r="K29" s="6">
        <v>78.5</v>
      </c>
      <c r="L29" s="6">
        <v>78.900000000000006</v>
      </c>
    </row>
    <row r="30" spans="1:12" ht="16.5" customHeight="1">
      <c r="A30" s="1">
        <v>1996</v>
      </c>
      <c r="B30" s="6">
        <v>78.400000000000006</v>
      </c>
      <c r="C30" s="6">
        <v>77.5</v>
      </c>
      <c r="D30" s="6">
        <v>77.2</v>
      </c>
      <c r="E30" s="6">
        <v>77.7</v>
      </c>
      <c r="F30" s="6">
        <v>78.099999999999994</v>
      </c>
      <c r="G30" s="6">
        <v>78.099999999999994</v>
      </c>
      <c r="H30" s="6">
        <v>78.599999999999994</v>
      </c>
      <c r="I30" s="6">
        <v>78</v>
      </c>
      <c r="J30" s="6">
        <v>78.3</v>
      </c>
      <c r="K30" s="6">
        <v>78.5</v>
      </c>
      <c r="L30" s="6">
        <v>78.900000000000006</v>
      </c>
    </row>
    <row r="31" spans="1:12" ht="16.5" customHeight="1">
      <c r="A31" s="1">
        <v>1997</v>
      </c>
      <c r="B31" s="6">
        <v>78.599999999999994</v>
      </c>
      <c r="C31" s="6">
        <v>76.900000000000006</v>
      </c>
      <c r="D31" s="6">
        <v>79.400000000000006</v>
      </c>
      <c r="E31" s="6">
        <v>77.8</v>
      </c>
      <c r="F31" s="6">
        <v>78.2</v>
      </c>
      <c r="G31" s="6">
        <v>78</v>
      </c>
      <c r="H31" s="6">
        <v>78.900000000000006</v>
      </c>
      <c r="I31" s="6">
        <v>78</v>
      </c>
      <c r="J31" s="6">
        <v>78.5</v>
      </c>
      <c r="K31" s="6">
        <v>78.900000000000006</v>
      </c>
      <c r="L31" s="6">
        <v>79.3</v>
      </c>
    </row>
    <row r="32" spans="1:12" ht="16.5" customHeight="1">
      <c r="A32" s="1">
        <v>1998</v>
      </c>
      <c r="B32" s="6">
        <v>78.8</v>
      </c>
      <c r="C32" s="6">
        <v>77.3</v>
      </c>
      <c r="D32" s="6">
        <v>77.400000000000006</v>
      </c>
      <c r="E32" s="6">
        <v>77.8</v>
      </c>
      <c r="F32" s="6">
        <v>78</v>
      </c>
      <c r="G32" s="6">
        <v>78.400000000000006</v>
      </c>
      <c r="H32" s="6">
        <v>79.2</v>
      </c>
      <c r="I32" s="6">
        <v>78</v>
      </c>
      <c r="J32" s="6">
        <v>78.5</v>
      </c>
      <c r="K32" s="6">
        <v>79.099999999999994</v>
      </c>
      <c r="L32" s="6">
        <v>79.5</v>
      </c>
    </row>
    <row r="33" spans="1:138" ht="16.5" customHeight="1">
      <c r="A33" s="1">
        <v>1999</v>
      </c>
      <c r="B33" s="6">
        <v>79</v>
      </c>
      <c r="C33" s="6">
        <v>77.7</v>
      </c>
      <c r="D33" s="6">
        <v>78.400000000000006</v>
      </c>
      <c r="E33" s="6">
        <v>78.7</v>
      </c>
      <c r="F33" s="6">
        <v>78.400000000000006</v>
      </c>
      <c r="G33" s="6">
        <v>78.5</v>
      </c>
      <c r="H33" s="6">
        <v>79.400000000000006</v>
      </c>
      <c r="I33" s="6">
        <v>78</v>
      </c>
      <c r="J33" s="6">
        <v>78.5</v>
      </c>
      <c r="K33" s="6">
        <v>79.2</v>
      </c>
      <c r="L33" s="6">
        <v>80</v>
      </c>
    </row>
    <row r="34" spans="1:138" ht="16.5" customHeight="1">
      <c r="A34" s="1">
        <v>2000</v>
      </c>
      <c r="B34" s="6">
        <v>79.400000000000006</v>
      </c>
      <c r="C34" s="6">
        <v>77.3</v>
      </c>
      <c r="D34" s="6">
        <v>78.2</v>
      </c>
      <c r="E34" s="6">
        <v>78.599999999999994</v>
      </c>
      <c r="F34" s="6">
        <v>78.8</v>
      </c>
      <c r="G34" s="6">
        <v>79.2</v>
      </c>
      <c r="H34" s="6">
        <v>79.5</v>
      </c>
      <c r="I34" s="6">
        <v>78.099999999999994</v>
      </c>
      <c r="J34" s="6">
        <v>78.599999999999994</v>
      </c>
      <c r="K34" s="6">
        <v>79.5</v>
      </c>
      <c r="L34" s="6">
        <v>80.5</v>
      </c>
    </row>
    <row r="35" spans="1:138" ht="16.5" customHeight="1">
      <c r="A35" s="1">
        <v>2001</v>
      </c>
      <c r="B35" s="6">
        <v>79.599999999999994</v>
      </c>
      <c r="C35" s="6">
        <v>78.099999999999994</v>
      </c>
      <c r="D35" s="6">
        <v>78.900000000000006</v>
      </c>
      <c r="E35" s="6">
        <v>78.900000000000006</v>
      </c>
      <c r="F35" s="6">
        <v>79</v>
      </c>
      <c r="G35" s="6">
        <v>79.400000000000006</v>
      </c>
      <c r="H35" s="6">
        <v>79.900000000000006</v>
      </c>
      <c r="I35" s="6">
        <v>78.599999999999994</v>
      </c>
      <c r="J35" s="6">
        <v>79.2</v>
      </c>
      <c r="K35" s="6">
        <v>79.7</v>
      </c>
      <c r="L35" s="6">
        <v>80.400000000000006</v>
      </c>
    </row>
    <row r="36" spans="1:138" ht="16.5" customHeight="1">
      <c r="A36" s="1">
        <v>2002</v>
      </c>
      <c r="B36" s="6">
        <v>79.7</v>
      </c>
      <c r="C36" s="6">
        <v>78.3</v>
      </c>
      <c r="D36" s="6">
        <v>78.8</v>
      </c>
      <c r="E36" s="6">
        <v>79</v>
      </c>
      <c r="F36" s="6">
        <v>79.3</v>
      </c>
      <c r="G36" s="6">
        <v>79.400000000000006</v>
      </c>
      <c r="H36" s="6">
        <v>80.099999999999994</v>
      </c>
      <c r="I36" s="6">
        <v>78.7</v>
      </c>
      <c r="J36" s="6">
        <v>79.099999999999994</v>
      </c>
      <c r="K36" s="6">
        <v>79.7</v>
      </c>
      <c r="L36" s="6">
        <v>80.599999999999994</v>
      </c>
    </row>
    <row r="37" spans="1:138" ht="16.5" customHeight="1">
      <c r="A37" s="1">
        <v>2003</v>
      </c>
      <c r="B37" s="6">
        <v>79.900000000000006</v>
      </c>
      <c r="C37" s="6">
        <v>78.2</v>
      </c>
      <c r="D37" s="6">
        <v>79.099999999999994</v>
      </c>
      <c r="E37" s="6">
        <v>79.099999999999994</v>
      </c>
      <c r="F37" s="6">
        <v>79.2</v>
      </c>
      <c r="G37" s="6">
        <v>79.900000000000006</v>
      </c>
      <c r="H37" s="6">
        <v>80.2</v>
      </c>
      <c r="I37" s="6">
        <v>78.7</v>
      </c>
      <c r="J37" s="6">
        <v>79.099999999999994</v>
      </c>
      <c r="K37" s="6">
        <v>79.900000000000006</v>
      </c>
      <c r="L37" s="6">
        <v>80.8</v>
      </c>
    </row>
    <row r="38" spans="1:138" ht="16.5" customHeight="1">
      <c r="A38" s="1">
        <v>2004</v>
      </c>
      <c r="B38" s="6">
        <v>80.2</v>
      </c>
      <c r="C38" s="6">
        <v>78.5</v>
      </c>
      <c r="D38" s="6">
        <v>79.2</v>
      </c>
      <c r="E38" s="6">
        <v>79.099999999999994</v>
      </c>
      <c r="F38" s="6">
        <v>79.7</v>
      </c>
      <c r="G38" s="6">
        <v>80.099999999999994</v>
      </c>
      <c r="H38" s="6">
        <v>80.599999999999994</v>
      </c>
      <c r="I38" s="6">
        <v>78.900000000000006</v>
      </c>
      <c r="J38" s="6">
        <v>79.3</v>
      </c>
      <c r="K38" s="6">
        <v>80.2</v>
      </c>
      <c r="L38" s="6">
        <v>80.900000000000006</v>
      </c>
    </row>
    <row r="39" spans="1:138" ht="16.5" customHeight="1">
      <c r="A39" s="1">
        <v>2005</v>
      </c>
      <c r="B39" s="6">
        <v>80.400000000000006</v>
      </c>
      <c r="C39" s="6">
        <v>78.2</v>
      </c>
      <c r="D39" s="6">
        <v>79.8</v>
      </c>
      <c r="E39" s="6">
        <v>79.3</v>
      </c>
      <c r="F39" s="6">
        <v>79.8</v>
      </c>
      <c r="G39" s="6">
        <v>80.400000000000006</v>
      </c>
      <c r="H39" s="6">
        <v>80.7</v>
      </c>
      <c r="I39" s="6">
        <v>79</v>
      </c>
      <c r="J39" s="6">
        <v>79.3</v>
      </c>
      <c r="K39" s="6">
        <v>80.3</v>
      </c>
      <c r="L39" s="6">
        <v>81.2</v>
      </c>
    </row>
    <row r="40" spans="1:138" ht="16.5" customHeight="1">
      <c r="A40" s="1">
        <v>2006</v>
      </c>
      <c r="B40" s="6">
        <v>80.8</v>
      </c>
      <c r="C40" s="6">
        <v>78.2</v>
      </c>
      <c r="D40" s="6">
        <v>79.900000000000006</v>
      </c>
      <c r="E40" s="6">
        <v>79.599999999999994</v>
      </c>
      <c r="F40" s="6">
        <v>80.099999999999994</v>
      </c>
      <c r="G40" s="6">
        <v>80.900000000000006</v>
      </c>
      <c r="H40" s="6">
        <v>81.099999999999994</v>
      </c>
      <c r="I40" s="6">
        <v>79.3</v>
      </c>
      <c r="J40" s="6">
        <v>79.400000000000006</v>
      </c>
      <c r="K40" s="6">
        <v>80.5</v>
      </c>
      <c r="L40" s="6">
        <v>81.400000000000006</v>
      </c>
    </row>
    <row r="41" spans="1:138" ht="16.5" customHeight="1">
      <c r="A41" s="1">
        <v>2007</v>
      </c>
      <c r="B41" s="118">
        <f>B40*POWER(B$40/B$35, 1/5)</f>
        <v>81.042162185927538</v>
      </c>
      <c r="C41" s="118">
        <f t="shared" ref="C41:L41" si="1">C40*POWER(C$39/C$34, 1/5)</f>
        <v>78.381253554795151</v>
      </c>
      <c r="D41" s="118">
        <f t="shared" si="1"/>
        <v>80.224313048878145</v>
      </c>
      <c r="E41" s="118">
        <f t="shared" si="1"/>
        <v>79.741278779762283</v>
      </c>
      <c r="F41" s="118">
        <f t="shared" si="1"/>
        <v>80.302275303825468</v>
      </c>
      <c r="G41" s="118">
        <f t="shared" si="1"/>
        <v>81.143679113737676</v>
      </c>
      <c r="H41" s="118">
        <f t="shared" si="1"/>
        <v>81.343365216473927</v>
      </c>
      <c r="I41" s="118">
        <f t="shared" si="1"/>
        <v>79.481929009483153</v>
      </c>
      <c r="J41" s="118">
        <f t="shared" si="1"/>
        <v>79.540923807953845</v>
      </c>
      <c r="K41" s="118">
        <f t="shared" si="1"/>
        <v>80.661364362354419</v>
      </c>
      <c r="L41" s="118">
        <f t="shared" si="1"/>
        <v>81.541075370147539</v>
      </c>
    </row>
    <row r="42" spans="1:138" ht="16.5" customHeight="1">
      <c r="A42" s="1">
        <v>2008</v>
      </c>
      <c r="B42" s="118">
        <f t="shared" ref="B42:B44" si="2">B41*POWER(B$40/B$35, 1/5)</f>
        <v>81.285050145670581</v>
      </c>
      <c r="C42" s="118">
        <f t="shared" ref="C42:L42" si="3">C41*POWER(C$39/C$34, 1/5)</f>
        <v>78.562927222776054</v>
      </c>
      <c r="D42" s="118">
        <f t="shared" si="3"/>
        <v>80.549942480155195</v>
      </c>
      <c r="E42" s="118">
        <f t="shared" si="3"/>
        <v>79.8828083094443</v>
      </c>
      <c r="F42" s="118">
        <f t="shared" si="3"/>
        <v>80.505061410379255</v>
      </c>
      <c r="G42" s="118">
        <f t="shared" si="3"/>
        <v>81.388092214007756</v>
      </c>
      <c r="H42" s="118">
        <f t="shared" si="3"/>
        <v>81.587460724299149</v>
      </c>
      <c r="I42" s="118">
        <f t="shared" si="3"/>
        <v>79.664275398089785</v>
      </c>
      <c r="J42" s="118">
        <f t="shared" si="3"/>
        <v>79.6820977358025</v>
      </c>
      <c r="K42" s="118">
        <f t="shared" si="3"/>
        <v>80.823052183807448</v>
      </c>
      <c r="L42" s="118">
        <f t="shared" si="3"/>
        <v>81.682395239804436</v>
      </c>
    </row>
    <row r="43" spans="1:138" ht="16.5" customHeight="1">
      <c r="A43" s="1">
        <v>2009</v>
      </c>
      <c r="B43" s="118">
        <f t="shared" si="2"/>
        <v>81.528666054414458</v>
      </c>
      <c r="C43" s="118">
        <f t="shared" ref="C43:L44" si="4">C42*POWER(C$39/C$34, 1/5)</f>
        <v>78.745021977689618</v>
      </c>
      <c r="D43" s="118">
        <f t="shared" si="4"/>
        <v>80.876893637009985</v>
      </c>
      <c r="E43" s="118">
        <f t="shared" si="4"/>
        <v>80.024589034091818</v>
      </c>
      <c r="F43" s="118">
        <f t="shared" si="4"/>
        <v>80.708359609583653</v>
      </c>
      <c r="G43" s="118">
        <f t="shared" si="4"/>
        <v>81.633241511653111</v>
      </c>
      <c r="H43" s="118">
        <f t="shared" si="4"/>
        <v>81.832288714936979</v>
      </c>
      <c r="I43" s="118">
        <f t="shared" si="4"/>
        <v>79.847040123365545</v>
      </c>
      <c r="J43" s="118">
        <f t="shared" si="4"/>
        <v>79.823522227473518</v>
      </c>
      <c r="K43" s="118">
        <f t="shared" si="4"/>
        <v>80.985064112741341</v>
      </c>
      <c r="L43" s="118">
        <f t="shared" si="4"/>
        <v>81.823960032715888</v>
      </c>
    </row>
    <row r="44" spans="1:138" ht="16.5" customHeight="1">
      <c r="A44" s="1">
        <v>2010</v>
      </c>
      <c r="B44" s="118">
        <f t="shared" si="2"/>
        <v>81.773012093863628</v>
      </c>
      <c r="C44" s="118">
        <f t="shared" si="4"/>
        <v>78.927538795539732</v>
      </c>
      <c r="D44" s="118">
        <f t="shared" si="4"/>
        <v>81.205171884309252</v>
      </c>
      <c r="E44" s="118">
        <f t="shared" si="4"/>
        <v>80.166621399540489</v>
      </c>
      <c r="F44" s="118">
        <f t="shared" si="4"/>
        <v>80.912171194618409</v>
      </c>
      <c r="G44" s="118">
        <f t="shared" si="4"/>
        <v>81.879129224175898</v>
      </c>
      <c r="H44" s="118">
        <f t="shared" si="4"/>
        <v>82.077851386424882</v>
      </c>
      <c r="I44" s="118">
        <f t="shared" si="4"/>
        <v>80.030224145052884</v>
      </c>
      <c r="J44" s="118">
        <f t="shared" si="4"/>
        <v>79.96519772768238</v>
      </c>
      <c r="K44" s="118">
        <f t="shared" si="4"/>
        <v>81.147400798838035</v>
      </c>
      <c r="L44" s="118">
        <f t="shared" si="4"/>
        <v>81.965770173361491</v>
      </c>
    </row>
    <row r="45" spans="1:138" ht="16.5" customHeight="1">
      <c r="B45" s="257" t="s">
        <v>967</v>
      </c>
      <c r="C45" s="118"/>
      <c r="D45" s="118"/>
      <c r="E45" s="118"/>
      <c r="F45" s="118"/>
      <c r="G45" s="118"/>
      <c r="H45" s="118"/>
      <c r="I45" s="118"/>
      <c r="J45" s="118"/>
      <c r="K45" s="118"/>
      <c r="L45" s="118"/>
    </row>
    <row r="46" spans="1:138" ht="16.5" customHeight="1">
      <c r="A46" s="252" t="s">
        <v>988</v>
      </c>
      <c r="B46" s="271">
        <f t="shared" ref="B46:L46" si="5">(POWER(B44/B15, 1/29)-1)*100</f>
        <v>0.27102516433203938</v>
      </c>
      <c r="C46" s="271">
        <f t="shared" si="5"/>
        <v>0.14864111304417893</v>
      </c>
      <c r="D46" s="271">
        <f t="shared" si="5"/>
        <v>0.19701184804155059</v>
      </c>
      <c r="E46" s="271">
        <f t="shared" si="5"/>
        <v>0.24846930911432974</v>
      </c>
      <c r="F46" s="271">
        <f t="shared" si="5"/>
        <v>0.25737789581188331</v>
      </c>
      <c r="G46" s="271">
        <f t="shared" si="5"/>
        <v>0.29845679874134223</v>
      </c>
      <c r="H46" s="271">
        <f t="shared" si="5"/>
        <v>0.27019720268186553</v>
      </c>
      <c r="I46" s="271">
        <f t="shared" si="5"/>
        <v>0.21489655231032856</v>
      </c>
      <c r="J46" s="271">
        <f t="shared" si="5"/>
        <v>0.16191913157888038</v>
      </c>
      <c r="K46" s="271">
        <f t="shared" si="5"/>
        <v>0.24904964088077186</v>
      </c>
      <c r="L46" s="271">
        <f t="shared" si="5"/>
        <v>0.25183471192051776</v>
      </c>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row>
    <row r="47" spans="1:138">
      <c r="B47" s="1">
        <f>(B44-B15)/B15</f>
        <v>8.1653599125180346E-2</v>
      </c>
      <c r="C47" s="1">
        <f>(C44-C15)/C15</f>
        <v>4.401506343306532E-2</v>
      </c>
      <c r="G47" s="1">
        <f>(G44-G15)/G15</f>
        <v>9.0268032279306312E-2</v>
      </c>
    </row>
    <row r="48" spans="1:138">
      <c r="A48" s="1" t="s">
        <v>970</v>
      </c>
    </row>
    <row r="49" spans="1:3">
      <c r="A49" s="1" t="s">
        <v>205</v>
      </c>
    </row>
    <row r="50" spans="1:3">
      <c r="A50" s="1" t="s">
        <v>969</v>
      </c>
    </row>
    <row r="51" spans="1:3">
      <c r="A51" s="1" t="s">
        <v>1010</v>
      </c>
    </row>
    <row r="53" spans="1:3">
      <c r="B53" s="1">
        <f>100*(POWER(B$23/B$15, 1/8)-1)</f>
        <v>0.27835760243803964</v>
      </c>
      <c r="C53" s="1">
        <f>100*(POWER(C$23/C$15, 1/8)-1)</f>
        <v>9.8863581691932545E-2</v>
      </c>
    </row>
    <row r="54" spans="1:3" hidden="1"/>
    <row r="55" spans="1:3" hidden="1"/>
    <row r="56" spans="1:3" hidden="1"/>
    <row r="57" spans="1:3" hidden="1"/>
    <row r="58" spans="1:3" hidden="1"/>
    <row r="59" spans="1:3" hidden="1"/>
    <row r="60" spans="1:3" hidden="1"/>
    <row r="61" spans="1:3" hidden="1"/>
    <row r="62" spans="1:3" hidden="1"/>
    <row r="63" spans="1:3" hidden="1"/>
    <row r="64" spans="1:3" hidden="1"/>
    <row r="65" hidden="1"/>
    <row r="66" hidden="1"/>
    <row r="67" hidden="1"/>
    <row r="68" hidden="1"/>
    <row r="69" hidden="1"/>
    <row r="70" hidden="1"/>
    <row r="71" hidden="1"/>
    <row r="72" hidden="1"/>
    <row r="73" hidden="1"/>
    <row r="74" hidden="1"/>
    <row r="75" hidden="1"/>
    <row r="76" hidden="1"/>
    <row r="77" hidden="1"/>
    <row r="78" hidden="1"/>
    <row r="79" hidden="1"/>
    <row r="80" hidden="1"/>
    <row r="81" spans="2:3" hidden="1"/>
    <row r="82" spans="2:3" hidden="1"/>
    <row r="83" spans="2:3" hidden="1"/>
    <row r="84" spans="2:3" hidden="1"/>
    <row r="85" spans="2:3" hidden="1"/>
    <row r="86" spans="2:3" hidden="1"/>
    <row r="87" spans="2:3" hidden="1"/>
    <row r="88" spans="2:3" hidden="1"/>
    <row r="89" spans="2:3" hidden="1"/>
    <row r="90" spans="2:3" hidden="1"/>
    <row r="91" spans="2:3" hidden="1"/>
    <row r="92" spans="2:3">
      <c r="B92" s="1">
        <f>100*(POWER(B$34/B$23, 1/11)-1)</f>
        <v>0.24397361115435778</v>
      </c>
      <c r="C92" s="1">
        <f>100*(POWER(C$34/C$23, 1/11)-1)</f>
        <v>0.13038031132919237</v>
      </c>
    </row>
    <row r="93" spans="2:3">
      <c r="B93" s="1">
        <f>100*(POWER(B$42/B$34, 1/8)-1)</f>
        <v>0.29372736527166765</v>
      </c>
      <c r="C93" s="1">
        <f>100*(POWER(C$42/C$34, 1/8)-1)</f>
        <v>0.20277993024395702</v>
      </c>
    </row>
  </sheetData>
  <phoneticPr fontId="0" type="noConversion"/>
  <pageMargins left="0.74803149606299213" right="0.74803149606299213" top="0.98425196850393704" bottom="0.98425196850393704" header="0.51181102362204722" footer="0.51181102362204722"/>
  <pageSetup scale="78" orientation="landscape" r:id="rId1"/>
  <headerFooter alignWithMargins="0"/>
  <rowBreaks count="2" manualBreakCount="2">
    <brk id="53" max="16383" man="1"/>
    <brk id="59" max="16383" man="1"/>
  </rowBreaks>
</worksheet>
</file>

<file path=xl/worksheets/sheet160.xml><?xml version="1.0" encoding="utf-8"?>
<worksheet xmlns="http://schemas.openxmlformats.org/spreadsheetml/2006/main" xmlns:r="http://schemas.openxmlformats.org/officeDocument/2006/relationships">
  <dimension ref="A1:L46"/>
  <sheetViews>
    <sheetView topLeftCell="A28" workbookViewId="0">
      <selection activeCell="E9" sqref="E9"/>
    </sheetView>
  </sheetViews>
  <sheetFormatPr defaultRowHeight="12.75"/>
  <cols>
    <col min="1" max="16384" width="9" style="618"/>
  </cols>
  <sheetData>
    <row r="1" spans="1:12">
      <c r="A1" s="611" t="s">
        <v>1510</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5">
        <f>'a13'!G19</f>
        <v>26184.900383233871</v>
      </c>
      <c r="C5" s="625">
        <f>'a13'!K19</f>
        <v>17461.703750220044</v>
      </c>
      <c r="D5" s="625">
        <f>'a13'!O19</f>
        <v>558.35522605768847</v>
      </c>
      <c r="E5" s="625">
        <f>'a13'!S19</f>
        <v>11660.641533725149</v>
      </c>
      <c r="F5" s="625">
        <f>'a13'!W19</f>
        <v>15335.551075302223</v>
      </c>
      <c r="G5" s="625">
        <f>'a13'!AA19</f>
        <v>10498.736507959711</v>
      </c>
      <c r="H5" s="625">
        <f>'a13'!AE19</f>
        <v>8096.80067403261</v>
      </c>
      <c r="I5" s="625">
        <f>'a13'!AI19</f>
        <v>9481.451254577385</v>
      </c>
      <c r="J5" s="625">
        <f>'a13'!AM19</f>
        <v>41942.547327746594</v>
      </c>
      <c r="K5" s="625">
        <f>'a13'!AQ19</f>
        <v>125822.53492501241</v>
      </c>
      <c r="L5" s="625">
        <f>'a13'!AU19</f>
        <v>37284.453141666119</v>
      </c>
    </row>
    <row r="6" spans="1:12">
      <c r="A6" s="611">
        <f t="shared" ref="A6:A34" si="0">A5+1</f>
        <v>1982</v>
      </c>
      <c r="B6" s="625">
        <f>'a13'!G20</f>
        <v>23371.951634971487</v>
      </c>
      <c r="C6" s="625">
        <f>'a13'!K20</f>
        <v>12210.41047572869</v>
      </c>
      <c r="D6" s="625">
        <f>'a13'!O20</f>
        <v>344.06010740952723</v>
      </c>
      <c r="E6" s="625">
        <f>'a13'!S20</f>
        <v>9647.1434930533469</v>
      </c>
      <c r="F6" s="625">
        <f>'a13'!W20</f>
        <v>10467.320601491301</v>
      </c>
      <c r="G6" s="625">
        <f>'a13'!AA20</f>
        <v>8690.798555026855</v>
      </c>
      <c r="H6" s="625">
        <f>'a13'!AE20</f>
        <v>5644.8573400589594</v>
      </c>
      <c r="I6" s="625">
        <f>'a13'!AI20</f>
        <v>6604.682925193114</v>
      </c>
      <c r="J6" s="625">
        <f>'a13'!AM20</f>
        <v>34855.656966646355</v>
      </c>
      <c r="K6" s="625">
        <f>'a13'!AQ20</f>
        <v>122038.95064041788</v>
      </c>
      <c r="L6" s="625">
        <f>'a13'!AU20</f>
        <v>29980.56034667914</v>
      </c>
    </row>
    <row r="7" spans="1:12">
      <c r="A7" s="611">
        <f t="shared" si="0"/>
        <v>1983</v>
      </c>
      <c r="B7" s="625">
        <f>'a13'!G21</f>
        <v>24840.638460009737</v>
      </c>
      <c r="C7" s="625">
        <f>'a13'!K21</f>
        <v>10207.573959743437</v>
      </c>
      <c r="D7" s="625">
        <f>'a13'!O21</f>
        <v>317.34792877170582</v>
      </c>
      <c r="E7" s="625">
        <f>'a13'!S21</f>
        <v>8911.1267799727248</v>
      </c>
      <c r="F7" s="625">
        <f>'a13'!W21</f>
        <v>9319.8632314989154</v>
      </c>
      <c r="G7" s="625">
        <f>'a13'!AA21</f>
        <v>8018.863843485773</v>
      </c>
      <c r="H7" s="625">
        <f>'a13'!AE21</f>
        <v>5217.8683206512142</v>
      </c>
      <c r="I7" s="625">
        <f>'a13'!AI21</f>
        <v>6543.7244940325663</v>
      </c>
      <c r="J7" s="625">
        <f>'a13'!AM21</f>
        <v>39063.872315194298</v>
      </c>
      <c r="K7" s="625">
        <f>'a13'!AQ21</f>
        <v>142222.89067879409</v>
      </c>
      <c r="L7" s="625">
        <f>'a13'!AU21</f>
        <v>26944.935792265096</v>
      </c>
    </row>
    <row r="8" spans="1:12">
      <c r="A8" s="611">
        <f t="shared" si="0"/>
        <v>1984</v>
      </c>
      <c r="B8" s="625">
        <f>'a13'!G22</f>
        <v>23854.9399357357</v>
      </c>
      <c r="C8" s="625">
        <f>'a13'!K22</f>
        <v>9973.3110315602789</v>
      </c>
      <c r="D8" s="625">
        <f>'a13'!O22</f>
        <v>364.48115309129975</v>
      </c>
      <c r="E8" s="625">
        <f>'a13'!S22</f>
        <v>10475.497914933743</v>
      </c>
      <c r="F8" s="625">
        <f>'a13'!W22</f>
        <v>9014.5991381074964</v>
      </c>
      <c r="G8" s="625">
        <f>'a13'!AA22</f>
        <v>7955.4807618924415</v>
      </c>
      <c r="H8" s="625">
        <f>'a13'!AE22</f>
        <v>5558.0500046488105</v>
      </c>
      <c r="I8" s="625">
        <f>'a13'!AI22</f>
        <v>6843.7332965874411</v>
      </c>
      <c r="J8" s="625">
        <f>'a13'!AM22</f>
        <v>43308.397069614017</v>
      </c>
      <c r="K8" s="625">
        <f>'a13'!AQ22</f>
        <v>133430.18622868264</v>
      </c>
      <c r="L8" s="625">
        <f>'a13'!AU22</f>
        <v>25716.432890693108</v>
      </c>
    </row>
    <row r="9" spans="1:12">
      <c r="A9" s="611">
        <f t="shared" si="0"/>
        <v>1985</v>
      </c>
      <c r="B9" s="625">
        <f>'a13'!G23</f>
        <v>21600.683730050143</v>
      </c>
      <c r="C9" s="625">
        <f>'a13'!K23</f>
        <v>7527.4286098158373</v>
      </c>
      <c r="D9" s="625">
        <f>'a13'!O23</f>
        <v>288.30831162328991</v>
      </c>
      <c r="E9" s="625">
        <f>'a13'!S23</f>
        <v>9253.8380268363708</v>
      </c>
      <c r="F9" s="625">
        <f>'a13'!W23</f>
        <v>6902.1921680697524</v>
      </c>
      <c r="G9" s="625">
        <f>'a13'!AA23</f>
        <v>7309.6701376113442</v>
      </c>
      <c r="H9" s="625">
        <f>'a13'!AE23</f>
        <v>4604.4120066780088</v>
      </c>
      <c r="I9" s="625">
        <f>'a13'!AI23</f>
        <v>5868.0069359841555</v>
      </c>
      <c r="J9" s="625">
        <f>'a13'!AM23</f>
        <v>38664.118307116063</v>
      </c>
      <c r="K9" s="625">
        <f>'a13'!AQ23</f>
        <v>128298.54881721389</v>
      </c>
      <c r="L9" s="625">
        <f>'a13'!AU23</f>
        <v>22773.449379230828</v>
      </c>
    </row>
    <row r="10" spans="1:12">
      <c r="A10" s="611">
        <f t="shared" si="0"/>
        <v>1986</v>
      </c>
      <c r="B10" s="625">
        <f>'a13'!G24</f>
        <v>14596.800219283585</v>
      </c>
      <c r="C10" s="625">
        <f>'a13'!K24</f>
        <v>5910.3104245844424</v>
      </c>
      <c r="D10" s="625">
        <f>'a13'!O24</f>
        <v>259.50608782973029</v>
      </c>
      <c r="E10" s="625">
        <f>'a13'!S24</f>
        <v>7897.5876133451129</v>
      </c>
      <c r="F10" s="625">
        <f>'a13'!W24</f>
        <v>7167.6448410806615</v>
      </c>
      <c r="G10" s="625">
        <f>'a13'!AA24</f>
        <v>6993.5379693716777</v>
      </c>
      <c r="H10" s="625">
        <f>'a13'!AE24</f>
        <v>4395.2841442077915</v>
      </c>
      <c r="I10" s="625">
        <f>'a13'!AI24</f>
        <v>4565.3588731417758</v>
      </c>
      <c r="J10" s="625">
        <f>'a13'!AM24</f>
        <v>27105.113914310965</v>
      </c>
      <c r="K10" s="625">
        <f>'a13'!AQ24</f>
        <v>80902.295119210801</v>
      </c>
      <c r="L10" s="625">
        <f>'a13'!AU24</f>
        <v>21897.576555991232</v>
      </c>
    </row>
    <row r="11" spans="1:12">
      <c r="A11" s="611">
        <f t="shared" si="0"/>
        <v>1987</v>
      </c>
      <c r="B11" s="625">
        <f>'a13'!G25</f>
        <v>15551.058535608347</v>
      </c>
      <c r="C11" s="625">
        <f>'a13'!K25</f>
        <v>7316.1139420629279</v>
      </c>
      <c r="D11" s="625">
        <f>'a13'!O25</f>
        <v>315.94768454036057</v>
      </c>
      <c r="E11" s="625">
        <f>'a13'!S25</f>
        <v>10444.929206876161</v>
      </c>
      <c r="F11" s="625">
        <f>'a13'!W25</f>
        <v>12288.292893861821</v>
      </c>
      <c r="G11" s="625">
        <f>'a13'!AA25</f>
        <v>7958.4883818017288</v>
      </c>
      <c r="H11" s="625">
        <f>'a13'!AE25</f>
        <v>5328.7869129439405</v>
      </c>
      <c r="I11" s="625">
        <f>'a13'!AI25</f>
        <v>5702.9005629235244</v>
      </c>
      <c r="J11" s="625">
        <f>'a13'!AM25</f>
        <v>35842.620543903184</v>
      </c>
      <c r="K11" s="625">
        <f>'a13'!AQ25</f>
        <v>72963.366538259172</v>
      </c>
      <c r="L11" s="625">
        <f>'a13'!AU25</f>
        <v>28545.606816655472</v>
      </c>
    </row>
    <row r="12" spans="1:12">
      <c r="A12" s="611">
        <f t="shared" si="0"/>
        <v>1988</v>
      </c>
      <c r="B12" s="625">
        <f>'a13'!G26</f>
        <v>15723.687311470239</v>
      </c>
      <c r="C12" s="625">
        <f>'a13'!K26</f>
        <v>12141.556245023306</v>
      </c>
      <c r="D12" s="625">
        <f>'a13'!O26</f>
        <v>444.09963166945045</v>
      </c>
      <c r="E12" s="625">
        <f>'a13'!S26</f>
        <v>11624.000840665543</v>
      </c>
      <c r="F12" s="625">
        <f>'a13'!W26</f>
        <v>18429.337989685166</v>
      </c>
      <c r="G12" s="625">
        <f>'a13'!AA26</f>
        <v>9881.9411935452736</v>
      </c>
      <c r="H12" s="625">
        <f>'a13'!AE26</f>
        <v>7043.8228794347697</v>
      </c>
      <c r="I12" s="625">
        <f>'a13'!AI26</f>
        <v>7467.1667216254109</v>
      </c>
      <c r="J12" s="625">
        <f>'a13'!AM26</f>
        <v>38461.519899621868</v>
      </c>
      <c r="K12" s="625">
        <f>'a13'!AQ26</f>
        <v>50794.363378385264</v>
      </c>
      <c r="L12" s="625">
        <f>'a13'!AU26</f>
        <v>35431.575237032921</v>
      </c>
    </row>
    <row r="13" spans="1:12">
      <c r="A13" s="611">
        <f t="shared" si="0"/>
        <v>1989</v>
      </c>
      <c r="B13" s="625">
        <f>'a13'!G27</f>
        <v>16087.626750355843</v>
      </c>
      <c r="C13" s="625">
        <f>'a13'!K27</f>
        <v>13256.960074794599</v>
      </c>
      <c r="D13" s="625">
        <f>'a13'!O27</f>
        <v>458.94822997054763</v>
      </c>
      <c r="E13" s="625">
        <f>'a13'!S27</f>
        <v>12457.348882033539</v>
      </c>
      <c r="F13" s="625">
        <f>'a13'!W27</f>
        <v>21015.013316897694</v>
      </c>
      <c r="G13" s="625">
        <f>'a13'!AA27</f>
        <v>10049.093348566594</v>
      </c>
      <c r="H13" s="625">
        <f>'a13'!AE27</f>
        <v>7273.0160621709683</v>
      </c>
      <c r="I13" s="625">
        <f>'a13'!AI27</f>
        <v>8088.3579084422126</v>
      </c>
      <c r="J13" s="625">
        <f>'a13'!AM27</f>
        <v>40699.364749543885</v>
      </c>
      <c r="K13" s="625">
        <f>'a13'!AQ27</f>
        <v>52085.888204122544</v>
      </c>
      <c r="L13" s="625">
        <f>'a13'!AU27</f>
        <v>36924.316693825334</v>
      </c>
    </row>
    <row r="14" spans="1:12">
      <c r="A14" s="611">
        <f t="shared" si="0"/>
        <v>1990</v>
      </c>
      <c r="B14" s="625">
        <f>'a13'!G28</f>
        <v>16040.483694560169</v>
      </c>
      <c r="C14" s="625">
        <f>'a13'!K28</f>
        <v>10413.830591732187</v>
      </c>
      <c r="D14" s="625">
        <f>'a13'!O28</f>
        <v>336.44903435542057</v>
      </c>
      <c r="E14" s="625">
        <f>'a13'!S28</f>
        <v>12808.494243239686</v>
      </c>
      <c r="F14" s="625">
        <f>'a13'!W28</f>
        <v>20311.869110929863</v>
      </c>
      <c r="G14" s="625">
        <f>'a13'!AA28</f>
        <v>8822.6989944175748</v>
      </c>
      <c r="H14" s="625">
        <f>'a13'!AE28</f>
        <v>6210.1009930953551</v>
      </c>
      <c r="I14" s="625">
        <f>'a13'!AI28</f>
        <v>6578.3431191654272</v>
      </c>
      <c r="J14" s="625">
        <f>'a13'!AM28</f>
        <v>38156.240291477174</v>
      </c>
      <c r="K14" s="625">
        <f>'a13'!AQ28</f>
        <v>61182.507634115471</v>
      </c>
      <c r="L14" s="625">
        <f>'a13'!AU28</f>
        <v>36503.478270611522</v>
      </c>
    </row>
    <row r="15" spans="1:12">
      <c r="A15" s="611">
        <f t="shared" si="0"/>
        <v>1991</v>
      </c>
      <c r="B15" s="625">
        <f>'a13'!G29</f>
        <v>12200.730477946299</v>
      </c>
      <c r="C15" s="625">
        <f>'a13'!K29</f>
        <v>7987.1413866219445</v>
      </c>
      <c r="D15" s="625">
        <f>'a13'!O29</f>
        <v>248.30571239894769</v>
      </c>
      <c r="E15" s="625">
        <f>'a13'!S29</f>
        <v>10777.059473577541</v>
      </c>
      <c r="F15" s="625">
        <f>'a13'!W29</f>
        <v>18109.628586897485</v>
      </c>
      <c r="G15" s="625">
        <f>'a13'!AA29</f>
        <v>7155.1897406910775</v>
      </c>
      <c r="H15" s="625">
        <f>'a13'!AE29</f>
        <v>4813.9688004552345</v>
      </c>
      <c r="I15" s="625">
        <f>'a13'!AI29</f>
        <v>4822.9981339776277</v>
      </c>
      <c r="J15" s="625">
        <f>'a13'!AM29</f>
        <v>28308.212172544088</v>
      </c>
      <c r="K15" s="625">
        <f>'a13'!AQ29</f>
        <v>39793.309233444779</v>
      </c>
      <c r="L15" s="625">
        <f>'a13'!AU29</f>
        <v>30810.560532009862</v>
      </c>
    </row>
    <row r="16" spans="1:12">
      <c r="A16" s="611">
        <f t="shared" si="0"/>
        <v>1992</v>
      </c>
      <c r="B16" s="625">
        <f>'a13'!G30</f>
        <v>10965.398364848052</v>
      </c>
      <c r="C16" s="625">
        <f>'a13'!K30</f>
        <v>7455.705667189347</v>
      </c>
      <c r="D16" s="625">
        <f>'a13'!O30</f>
        <v>246.50049445292967</v>
      </c>
      <c r="E16" s="625">
        <f>'a13'!S30</f>
        <v>8973.8252687123677</v>
      </c>
      <c r="F16" s="625">
        <f>'a13'!W30</f>
        <v>14663.838015264044</v>
      </c>
      <c r="G16" s="625">
        <f>'a13'!AA30</f>
        <v>5951.989401396414</v>
      </c>
      <c r="H16" s="625">
        <f>'a13'!AE30</f>
        <v>4384.6785187453224</v>
      </c>
      <c r="I16" s="625">
        <f>'a13'!AI30</f>
        <v>4695.9610786899038</v>
      </c>
      <c r="J16" s="625">
        <f>'a13'!AM30</f>
        <v>28333.731709971526</v>
      </c>
      <c r="K16" s="625">
        <f>'a13'!AQ30</f>
        <v>39862.24592033826</v>
      </c>
      <c r="L16" s="625">
        <f>'a13'!AU30</f>
        <v>24928.372204472227</v>
      </c>
    </row>
    <row r="17" spans="1:12">
      <c r="A17" s="611">
        <f t="shared" si="0"/>
        <v>1993</v>
      </c>
      <c r="B17" s="625">
        <f>'a13'!G31</f>
        <v>9967.9231433028272</v>
      </c>
      <c r="C17" s="625">
        <f>'a13'!K31</f>
        <v>5089.2195068162382</v>
      </c>
      <c r="D17" s="625">
        <f>'a13'!O31</f>
        <v>176.45499591827937</v>
      </c>
      <c r="E17" s="625">
        <f>'a13'!S31</f>
        <v>7031.5386292374615</v>
      </c>
      <c r="F17" s="625">
        <f>'a13'!W31</f>
        <v>10295.999817695518</v>
      </c>
      <c r="G17" s="625">
        <f>'a13'!AA31</f>
        <v>4638.3507854039653</v>
      </c>
      <c r="H17" s="625">
        <f>'a13'!AE31</f>
        <v>3241.502794407967</v>
      </c>
      <c r="I17" s="625">
        <f>'a13'!AI31</f>
        <v>3512.3140952860936</v>
      </c>
      <c r="J17" s="625">
        <f>'a13'!AM31</f>
        <v>23258.656850645122</v>
      </c>
      <c r="K17" s="625">
        <f>'a13'!AQ31</f>
        <v>43484.131207691498</v>
      </c>
      <c r="L17" s="625">
        <f>'a13'!AU31</f>
        <v>22725.90203846899</v>
      </c>
    </row>
    <row r="18" spans="1:12">
      <c r="A18" s="611">
        <f t="shared" si="0"/>
        <v>1994</v>
      </c>
      <c r="B18" s="625">
        <f>'a13'!G32</f>
        <v>10986.729819921422</v>
      </c>
      <c r="C18" s="625">
        <f>'a13'!K32</f>
        <v>7450.7169816147234</v>
      </c>
      <c r="D18" s="625">
        <f>'a13'!O32</f>
        <v>250.795852111426</v>
      </c>
      <c r="E18" s="625">
        <f>'a13'!S32</f>
        <v>6469.9827990802296</v>
      </c>
      <c r="F18" s="625">
        <f>'a13'!W32</f>
        <v>11034.573498302138</v>
      </c>
      <c r="G18" s="625">
        <f>'a13'!AA32</f>
        <v>5444.5502435085837</v>
      </c>
      <c r="H18" s="625">
        <f>'a13'!AE32</f>
        <v>3745.3947617269641</v>
      </c>
      <c r="I18" s="625">
        <f>'a13'!AI32</f>
        <v>4652.9769938812251</v>
      </c>
      <c r="J18" s="625">
        <f>'a13'!AM32</f>
        <v>31781.27630392975</v>
      </c>
      <c r="K18" s="625">
        <f>'a13'!AQ32</f>
        <v>44608.87681805429</v>
      </c>
      <c r="L18" s="625">
        <f>'a13'!AU32</f>
        <v>23365.942595735105</v>
      </c>
    </row>
    <row r="19" spans="1:12">
      <c r="A19" s="611">
        <f t="shared" si="0"/>
        <v>1995</v>
      </c>
      <c r="B19" s="625">
        <f>'a13'!G33</f>
        <v>12634.784381843563</v>
      </c>
      <c r="C19" s="625">
        <f>'a13'!K33</f>
        <v>11758.160861152242</v>
      </c>
      <c r="D19" s="625">
        <f>'a13'!O33</f>
        <v>325.90029275354158</v>
      </c>
      <c r="E19" s="625">
        <f>'a13'!S33</f>
        <v>8812.4742633061105</v>
      </c>
      <c r="F19" s="625">
        <f>'a13'!W33</f>
        <v>17861.145304259524</v>
      </c>
      <c r="G19" s="625">
        <f>'a13'!AA33</f>
        <v>8117.5290720521152</v>
      </c>
      <c r="H19" s="625">
        <f>'a13'!AE33</f>
        <v>4974.4173210382069</v>
      </c>
      <c r="I19" s="625">
        <f>'a13'!AI33</f>
        <v>6181.4683462471639</v>
      </c>
      <c r="J19" s="625">
        <f>'a13'!AM33</f>
        <v>36455.467546288608</v>
      </c>
      <c r="K19" s="625">
        <f>'a13'!AQ33</f>
        <v>39238.836074703984</v>
      </c>
      <c r="L19" s="625">
        <f>'a13'!AU33</f>
        <v>26117.660400194025</v>
      </c>
    </row>
    <row r="20" spans="1:12">
      <c r="A20" s="611">
        <f t="shared" si="0"/>
        <v>1996</v>
      </c>
      <c r="B20" s="625">
        <f>'a13'!G34</f>
        <v>14982.000661962569</v>
      </c>
      <c r="C20" s="625">
        <f>'a13'!K34</f>
        <v>13174.610398659797</v>
      </c>
      <c r="D20" s="625">
        <f>'a13'!O34</f>
        <v>284.09748029306439</v>
      </c>
      <c r="E20" s="625">
        <f>'a13'!S34</f>
        <v>9147.8377098753535</v>
      </c>
      <c r="F20" s="625">
        <f>'a13'!W34</f>
        <v>21902.244356924308</v>
      </c>
      <c r="G20" s="625">
        <f>'a13'!AA34</f>
        <v>9896.1171490900597</v>
      </c>
      <c r="H20" s="625">
        <f>'a13'!AE34</f>
        <v>5521.7727600620638</v>
      </c>
      <c r="I20" s="625">
        <f>'a13'!AI34</f>
        <v>6150.4594366653291</v>
      </c>
      <c r="J20" s="625">
        <f>'a13'!AM34</f>
        <v>35197.595378449441</v>
      </c>
      <c r="K20" s="625">
        <f>'a13'!AQ34</f>
        <v>51913.96326316386</v>
      </c>
      <c r="L20" s="625">
        <f>'a13'!AU34</f>
        <v>29415.938108075214</v>
      </c>
    </row>
    <row r="21" spans="1:12">
      <c r="A21" s="611">
        <f t="shared" si="0"/>
        <v>1997</v>
      </c>
      <c r="B21" s="625">
        <f>'a13'!G35</f>
        <v>15937.188167521033</v>
      </c>
      <c r="C21" s="625">
        <f>'a13'!K35</f>
        <v>15134.310814073275</v>
      </c>
      <c r="D21" s="625">
        <f>'a13'!O35</f>
        <v>287.0470747771119</v>
      </c>
      <c r="E21" s="625">
        <f>'a13'!S35</f>
        <v>9484.6774811157138</v>
      </c>
      <c r="F21" s="625">
        <f>'a13'!W35</f>
        <v>23964.547766632521</v>
      </c>
      <c r="G21" s="625">
        <f>'a13'!AA35</f>
        <v>11718.281274981942</v>
      </c>
      <c r="H21" s="625">
        <f>'a13'!AE35</f>
        <v>6013.0887747688239</v>
      </c>
      <c r="I21" s="625">
        <f>'a13'!AI35</f>
        <v>6293.6524604698552</v>
      </c>
      <c r="J21" s="625">
        <f>'a13'!AM35</f>
        <v>34332.003451931814</v>
      </c>
      <c r="K21" s="625">
        <f>'a13'!AQ35</f>
        <v>50836.673634246894</v>
      </c>
      <c r="L21" s="625">
        <f>'a13'!AU35</f>
        <v>31824.734725047063</v>
      </c>
    </row>
    <row r="22" spans="1:12">
      <c r="A22" s="611">
        <f t="shared" si="0"/>
        <v>1998</v>
      </c>
      <c r="B22" s="625">
        <f>'a13'!G36</f>
        <v>15037.007203688374</v>
      </c>
      <c r="C22" s="625">
        <f>'a13'!K36</f>
        <v>18708.11272258086</v>
      </c>
      <c r="D22" s="625">
        <f>'a13'!O36</f>
        <v>264.80267652795061</v>
      </c>
      <c r="E22" s="625">
        <f>'a13'!S36</f>
        <v>9690.1599465907075</v>
      </c>
      <c r="F22" s="625">
        <f>'a13'!W36</f>
        <v>25402.454995064556</v>
      </c>
      <c r="G22" s="625">
        <f>'a13'!AA36</f>
        <v>12379.145142384381</v>
      </c>
      <c r="H22" s="625">
        <f>'a13'!AE36</f>
        <v>6105.0710127375378</v>
      </c>
      <c r="I22" s="625">
        <f>'a13'!AI36</f>
        <v>5956.5059907710711</v>
      </c>
      <c r="J22" s="625">
        <f>'a13'!AM36</f>
        <v>27291.67989368079</v>
      </c>
      <c r="K22" s="625">
        <f>'a13'!AQ36</f>
        <v>36828.019588248499</v>
      </c>
      <c r="L22" s="625">
        <f>'a13'!AU36</f>
        <v>32875.028474347178</v>
      </c>
    </row>
    <row r="23" spans="1:12">
      <c r="A23" s="611">
        <f t="shared" si="0"/>
        <v>1999</v>
      </c>
      <c r="B23" s="625">
        <f>'a13'!G37</f>
        <v>17574.749787728924</v>
      </c>
      <c r="C23" s="625">
        <f>'a13'!K37</f>
        <v>30360.028759886482</v>
      </c>
      <c r="D23" s="625">
        <f>'a13'!O37</f>
        <v>254.4651001596398</v>
      </c>
      <c r="E23" s="625">
        <f>'a13'!S37</f>
        <v>8024.7109951017874</v>
      </c>
      <c r="F23" s="625">
        <f>'a13'!W37</f>
        <v>25677.821097674041</v>
      </c>
      <c r="G23" s="625">
        <f>'a13'!AA37</f>
        <v>12542.033111300427</v>
      </c>
      <c r="H23" s="625">
        <f>'a13'!AE37</f>
        <v>6114.220693390922</v>
      </c>
      <c r="I23" s="625">
        <f>'a13'!AI37</f>
        <v>6008.6387034848758</v>
      </c>
      <c r="J23" s="625">
        <f>'a13'!AM37</f>
        <v>35662.72412849596</v>
      </c>
      <c r="K23" s="625">
        <f>'a13'!AQ37</f>
        <v>59785.521568928445</v>
      </c>
      <c r="L23" s="625">
        <f>'a13'!AU37</f>
        <v>33459.07786541008</v>
      </c>
    </row>
    <row r="24" spans="1:12">
      <c r="A24" s="611">
        <f t="shared" si="0"/>
        <v>2000</v>
      </c>
      <c r="B24" s="625">
        <f>'a13'!G38</f>
        <v>24117.379868524073</v>
      </c>
      <c r="C24" s="625">
        <f>'a13'!K38</f>
        <v>55063.662762964988</v>
      </c>
      <c r="D24" s="625">
        <f>'a13'!O38</f>
        <v>286.37635779475545</v>
      </c>
      <c r="E24" s="625">
        <f>'a13'!S38</f>
        <v>15856.058370075372</v>
      </c>
      <c r="F24" s="625">
        <f>'a13'!W38</f>
        <v>25617.750099002118</v>
      </c>
      <c r="G24" s="625">
        <f>'a13'!AA38</f>
        <v>12575.545479593955</v>
      </c>
      <c r="H24" s="625">
        <f>'a13'!AE38</f>
        <v>6358.3389663111575</v>
      </c>
      <c r="I24" s="625">
        <f>'a13'!AI38</f>
        <v>6916.2182294542363</v>
      </c>
      <c r="J24" s="625">
        <f>'a13'!AM38</f>
        <v>51385.836750188799</v>
      </c>
      <c r="K24" s="625">
        <f>'a13'!AQ38</f>
        <v>99394.598747331111</v>
      </c>
      <c r="L24" s="625">
        <f>'a13'!AU38</f>
        <v>38652.94925594228</v>
      </c>
    </row>
    <row r="25" spans="1:12">
      <c r="A25" s="611">
        <f t="shared" si="0"/>
        <v>2001</v>
      </c>
      <c r="B25" s="625">
        <f>'a13'!G39</f>
        <v>21640.158900543287</v>
      </c>
      <c r="C25" s="625">
        <f>'a13'!K39</f>
        <v>46971.297895314448</v>
      </c>
      <c r="D25" s="625">
        <f>'a13'!O39</f>
        <v>216.48296263475902</v>
      </c>
      <c r="E25" s="625">
        <f>'a13'!S39</f>
        <v>13086.674697760787</v>
      </c>
      <c r="F25" s="625">
        <f>'a13'!W39</f>
        <v>25017.205043420669</v>
      </c>
      <c r="G25" s="625">
        <f>'a13'!AA39</f>
        <v>12294.664386968345</v>
      </c>
      <c r="H25" s="625">
        <f>'a13'!AE39</f>
        <v>5792.5597569563133</v>
      </c>
      <c r="I25" s="625">
        <f>'a13'!AI39</f>
        <v>5549.5984982614864</v>
      </c>
      <c r="J25" s="625">
        <f>'a13'!AM39</f>
        <v>40748.664130863639</v>
      </c>
      <c r="K25" s="625">
        <f>'a13'!AQ39</f>
        <v>82351.606207619174</v>
      </c>
      <c r="L25" s="625">
        <f>'a13'!AU39</f>
        <v>39011.07266938562</v>
      </c>
    </row>
    <row r="26" spans="1:12">
      <c r="A26" s="611">
        <f t="shared" si="0"/>
        <v>2002</v>
      </c>
      <c r="B26" s="625">
        <f>'a13'!G40</f>
        <v>20607.823215257577</v>
      </c>
      <c r="C26" s="625">
        <f>'a13'!K40</f>
        <v>49338.463794551804</v>
      </c>
      <c r="D26" s="625">
        <f>'a13'!O40</f>
        <v>208.53093310733811</v>
      </c>
      <c r="E26" s="625">
        <f>'a13'!S40</f>
        <v>10500.598862972633</v>
      </c>
      <c r="F26" s="625">
        <f>'a13'!W40</f>
        <v>25966.598935213209</v>
      </c>
      <c r="G26" s="625">
        <f>'a13'!AA40</f>
        <v>12140.328622259685</v>
      </c>
      <c r="H26" s="625">
        <f>'a13'!AE40</f>
        <v>5577.5923035758324</v>
      </c>
      <c r="I26" s="625">
        <f>'a13'!AI40</f>
        <v>5344.9370688022582</v>
      </c>
      <c r="J26" s="625">
        <f>'a13'!AM40</f>
        <v>39406.499114374157</v>
      </c>
      <c r="K26" s="625">
        <f>'a13'!AQ40</f>
        <v>80913.432483616867</v>
      </c>
      <c r="L26" s="625">
        <f>'a13'!AU40</f>
        <v>35953.602129111605</v>
      </c>
    </row>
    <row r="27" spans="1:12">
      <c r="A27" s="611">
        <f t="shared" si="0"/>
        <v>2003</v>
      </c>
      <c r="B27" s="625">
        <f>'a13'!G41</f>
        <v>22383.913975729967</v>
      </c>
      <c r="C27" s="625">
        <f>'a13'!K41</f>
        <v>46509.296434205862</v>
      </c>
      <c r="D27" s="625">
        <f>'a13'!O41</f>
        <v>224.92532201295938</v>
      </c>
      <c r="E27" s="625">
        <f>'a13'!S41</f>
        <v>8387.3145320821804</v>
      </c>
      <c r="F27" s="625">
        <f>'a13'!W41</f>
        <v>25183.942418984174</v>
      </c>
      <c r="G27" s="625">
        <f>'a13'!AA41</f>
        <v>11711.454166651509</v>
      </c>
      <c r="H27" s="625">
        <f>'a13'!AE41</f>
        <v>5527.5482022344477</v>
      </c>
      <c r="I27" s="625">
        <f>'a13'!AI41</f>
        <v>5707.899783588251</v>
      </c>
      <c r="J27" s="625">
        <f>'a13'!AM41</f>
        <v>46250.784151214073</v>
      </c>
      <c r="K27" s="625">
        <f>'a13'!AQ41</f>
        <v>92127.199473455315</v>
      </c>
      <c r="L27" s="625">
        <f>'a13'!AU41</f>
        <v>38611.671737207071</v>
      </c>
    </row>
    <row r="28" spans="1:12">
      <c r="A28" s="611">
        <f t="shared" si="0"/>
        <v>2004</v>
      </c>
      <c r="B28" s="625">
        <f>'a13'!G42</f>
        <v>24926.240622138244</v>
      </c>
      <c r="C28" s="625">
        <f>'a13'!K42</f>
        <v>61499.455478459742</v>
      </c>
      <c r="D28" s="625">
        <f>'a13'!O42</f>
        <v>327.96496992691158</v>
      </c>
      <c r="E28" s="625">
        <f>'a13'!S42</f>
        <v>8752.3581433660147</v>
      </c>
      <c r="F28" s="625">
        <f>'a13'!W42</f>
        <v>27373.25354648324</v>
      </c>
      <c r="G28" s="625">
        <f>'a13'!AA42</f>
        <v>12704.406811913012</v>
      </c>
      <c r="H28" s="625">
        <f>'a13'!AE42</f>
        <v>6476.2442733443622</v>
      </c>
      <c r="I28" s="625">
        <f>'a13'!AI42</f>
        <v>7226.786189214652</v>
      </c>
      <c r="J28" s="625">
        <f>'a13'!AM42</f>
        <v>54396.469839866426</v>
      </c>
      <c r="K28" s="625">
        <f>'a13'!AQ42</f>
        <v>96994.959769917172</v>
      </c>
      <c r="L28" s="625">
        <f>'a13'!AU42</f>
        <v>39559.643924593802</v>
      </c>
    </row>
    <row r="29" spans="1:12">
      <c r="A29" s="611">
        <f t="shared" si="0"/>
        <v>2005</v>
      </c>
      <c r="B29" s="625">
        <f>'a13'!G43</f>
        <v>29908.519082106603</v>
      </c>
      <c r="C29" s="625">
        <f>'a13'!K43</f>
        <v>122211.55268755388</v>
      </c>
      <c r="D29" s="625">
        <f>'a13'!O43</f>
        <v>417.57242926723433</v>
      </c>
      <c r="E29" s="625">
        <f>'a13'!S43</f>
        <v>8909.8575260261168</v>
      </c>
      <c r="F29" s="625">
        <f>'a13'!W43</f>
        <v>26022.173392449487</v>
      </c>
      <c r="G29" s="625">
        <f>'a13'!AA43</f>
        <v>12067.197198139975</v>
      </c>
      <c r="H29" s="625">
        <f>'a13'!AE43</f>
        <v>6791.5874544138187</v>
      </c>
      <c r="I29" s="625">
        <f>'a13'!AI43</f>
        <v>8588.8506819953927</v>
      </c>
      <c r="J29" s="625">
        <f>'a13'!AM43</f>
        <v>68235.969556770404</v>
      </c>
      <c r="K29" s="625">
        <f>'a13'!AQ43</f>
        <v>109065.80937718315</v>
      </c>
      <c r="L29" s="625">
        <f>'a13'!AU43</f>
        <v>42728.452298926713</v>
      </c>
    </row>
    <row r="30" spans="1:12">
      <c r="A30" s="611">
        <f t="shared" si="0"/>
        <v>2006</v>
      </c>
      <c r="B30" s="625">
        <f>'a13'!G44</f>
        <v>31823.119657849365</v>
      </c>
      <c r="C30" s="625">
        <f>'a13'!K44</f>
        <v>115324.2179590008</v>
      </c>
      <c r="D30" s="625">
        <f>'a13'!O44</f>
        <v>567.95123004925472</v>
      </c>
      <c r="E30" s="625">
        <f>'a13'!S44</f>
        <v>10033.014217931708</v>
      </c>
      <c r="F30" s="625">
        <f>'a13'!W44</f>
        <v>26692.845810597915</v>
      </c>
      <c r="G30" s="625">
        <f>'a13'!AA44</f>
        <v>12170.191603466539</v>
      </c>
      <c r="H30" s="625">
        <f>'a13'!AE44</f>
        <v>7609.3550825215307</v>
      </c>
      <c r="I30" s="625">
        <f>'a13'!AI44</f>
        <v>11119.248428200915</v>
      </c>
      <c r="J30" s="625">
        <f>'a13'!AM44</f>
        <v>72870.539689212528</v>
      </c>
      <c r="K30" s="625">
        <f>'a13'!AQ44</f>
        <v>122033.53481945458</v>
      </c>
      <c r="L30" s="625">
        <f>'a13'!AU44</f>
        <v>38458.318838906031</v>
      </c>
    </row>
    <row r="31" spans="1:12">
      <c r="A31" s="611">
        <f t="shared" si="0"/>
        <v>2007</v>
      </c>
      <c r="B31" s="625">
        <f>'a13'!G45</f>
        <v>30293.121031923012</v>
      </c>
      <c r="C31" s="625">
        <f>'a13'!K45</f>
        <v>134401.79505854985</v>
      </c>
      <c r="D31" s="625">
        <f>'a13'!O45</f>
        <v>712.53301563105913</v>
      </c>
      <c r="E31" s="625">
        <f>'a13'!S45</f>
        <v>11074.468823918383</v>
      </c>
      <c r="F31" s="625">
        <f>'a13'!W45</f>
        <v>27014.661693039478</v>
      </c>
      <c r="G31" s="625">
        <f>'a13'!AA45</f>
        <v>12226.527348823312</v>
      </c>
      <c r="H31" s="625">
        <f>'a13'!AE45</f>
        <v>8448.311040246781</v>
      </c>
      <c r="I31" s="625">
        <f>'a13'!AI45</f>
        <v>12815.075397001869</v>
      </c>
      <c r="J31" s="625">
        <f>'a13'!AM45</f>
        <v>76588.93460634083</v>
      </c>
      <c r="K31" s="625">
        <f>'a13'!AQ45</f>
        <v>102164.75182863661</v>
      </c>
      <c r="L31" s="625">
        <f>'a13'!AU45</f>
        <v>36169.922219321852</v>
      </c>
    </row>
    <row r="32" spans="1:12">
      <c r="A32" s="611">
        <f t="shared" si="0"/>
        <v>2008</v>
      </c>
      <c r="B32" s="625">
        <f>'a13'!G46</f>
        <v>43442.582706675261</v>
      </c>
      <c r="C32" s="625">
        <f>'a13'!K46</f>
        <v>153785.76803848884</v>
      </c>
      <c r="D32" s="625">
        <f>'a13'!O46</f>
        <v>845.20390192857985</v>
      </c>
      <c r="E32" s="625">
        <f>'a13'!S46</f>
        <v>12205.650370727704</v>
      </c>
      <c r="F32" s="625">
        <f>'a13'!W46</f>
        <v>28279.393580747754</v>
      </c>
      <c r="G32" s="625">
        <f>'a13'!AA46</f>
        <v>12651.935750302935</v>
      </c>
      <c r="H32" s="625">
        <f>'a13'!AE46</f>
        <v>9391.4806092820036</v>
      </c>
      <c r="I32" s="625">
        <f>'a13'!AI46</f>
        <v>15644.686027358071</v>
      </c>
      <c r="J32" s="625">
        <f>'a13'!AM46</f>
        <v>92179.116719372643</v>
      </c>
      <c r="K32" s="625">
        <f>'a13'!AQ46</f>
        <v>162647.40137503488</v>
      </c>
      <c r="L32" s="625">
        <f>'a13'!AU46</f>
        <v>41643.12248470317</v>
      </c>
    </row>
    <row r="33" spans="1:12">
      <c r="A33" s="611">
        <f t="shared" si="0"/>
        <v>2009</v>
      </c>
      <c r="B33" s="625">
        <f>'a13'!G47</f>
        <v>27068.292730781399</v>
      </c>
      <c r="C33" s="625">
        <f>'a13'!K47</f>
        <v>164398.79993203052</v>
      </c>
      <c r="D33" s="625">
        <f>'a13'!O47</f>
        <v>461.70461346271964</v>
      </c>
      <c r="E33" s="625">
        <f>'a13'!S47</f>
        <v>7768.0967254355237</v>
      </c>
      <c r="F33" s="625">
        <f>'a13'!W47</f>
        <v>19422.102890290527</v>
      </c>
      <c r="G33" s="625">
        <f>'a13'!AA47</f>
        <v>8677.893544245504</v>
      </c>
      <c r="H33" s="625">
        <f>'a13'!AE47</f>
        <v>5713.6699740227941</v>
      </c>
      <c r="I33" s="625">
        <f>'a13'!AI47</f>
        <v>10016.257621785762</v>
      </c>
      <c r="J33" s="625">
        <f>'a13'!AM47</f>
        <v>80495.621313091513</v>
      </c>
      <c r="K33" s="625">
        <f>'a13'!AQ47</f>
        <v>143380.97180443461</v>
      </c>
      <c r="L33" s="625">
        <f>'a13'!AU47</f>
        <v>34309.639884075616</v>
      </c>
    </row>
    <row r="34" spans="1:12">
      <c r="A34" s="611">
        <f t="shared" si="0"/>
        <v>2010</v>
      </c>
      <c r="B34" s="625">
        <f>'a13'!G48</f>
        <v>28010.083236856801</v>
      </c>
      <c r="C34" s="625">
        <f>'a13'!K48</f>
        <v>157098.35419911749</v>
      </c>
      <c r="D34" s="625">
        <f>'a13'!O48</f>
        <v>448.37132798772689</v>
      </c>
      <c r="E34" s="625">
        <f>'a13'!S48</f>
        <v>7318.3730051614575</v>
      </c>
      <c r="F34" s="625">
        <f>'a13'!W48</f>
        <v>17826.429201363768</v>
      </c>
      <c r="G34" s="625">
        <f>'a13'!AA48</f>
        <v>7921.3062775012877</v>
      </c>
      <c r="H34" s="625">
        <f>'a13'!AE48</f>
        <v>5368.4083653452863</v>
      </c>
      <c r="I34" s="625">
        <f>'a13'!AI48</f>
        <v>9532.5933703907194</v>
      </c>
      <c r="J34" s="625">
        <f>'a13'!AM48</f>
        <v>74909.68461977932</v>
      </c>
      <c r="K34" s="625">
        <f>'a13'!AQ48</f>
        <v>136303.93284270604</v>
      </c>
      <c r="L34" s="625">
        <f>'a13'!AU48</f>
        <v>31959.808235314889</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0.23262061728537287</v>
      </c>
      <c r="C36" s="617">
        <f t="shared" si="1"/>
        <v>7.8697031110960047</v>
      </c>
      <c r="D36" s="617">
        <f t="shared" si="1"/>
        <v>-0.75360679326039737</v>
      </c>
      <c r="E36" s="617">
        <f t="shared" si="1"/>
        <v>-1.5934819285327695</v>
      </c>
      <c r="F36" s="617">
        <f t="shared" si="1"/>
        <v>0.52034362663366807</v>
      </c>
      <c r="G36" s="617">
        <f t="shared" si="1"/>
        <v>-0.96667253234928863</v>
      </c>
      <c r="H36" s="617">
        <f t="shared" si="1"/>
        <v>-1.4070334220760317</v>
      </c>
      <c r="I36" s="617">
        <f t="shared" si="1"/>
        <v>1.8551434974112269E-2</v>
      </c>
      <c r="J36" s="617">
        <f t="shared" si="1"/>
        <v>2.0200721636173702</v>
      </c>
      <c r="K36" s="617">
        <f t="shared" si="1"/>
        <v>0.27629385685266072</v>
      </c>
      <c r="L36" s="617">
        <f t="shared" si="1"/>
        <v>-0.52996077206267644</v>
      </c>
    </row>
    <row r="37" spans="1:12">
      <c r="A37" s="611" t="s">
        <v>1472</v>
      </c>
      <c r="B37" s="617">
        <f t="shared" ref="B37:L37" si="2">100*(POWER(B13/B5, 1/8)-1)</f>
        <v>-5.9074730841227048</v>
      </c>
      <c r="C37" s="617">
        <f t="shared" si="2"/>
        <v>-3.3849758957319565</v>
      </c>
      <c r="D37" s="617">
        <f t="shared" si="2"/>
        <v>-2.4209379576821233</v>
      </c>
      <c r="E37" s="617">
        <f t="shared" si="2"/>
        <v>0.82956599871935044</v>
      </c>
      <c r="F37" s="617">
        <f t="shared" si="2"/>
        <v>4.0168710029715227</v>
      </c>
      <c r="G37" s="617">
        <f t="shared" si="2"/>
        <v>-0.54566208883340961</v>
      </c>
      <c r="H37" s="617">
        <f t="shared" si="2"/>
        <v>-1.3322698593763116</v>
      </c>
      <c r="I37" s="617">
        <f t="shared" si="2"/>
        <v>-1.9667968693266702</v>
      </c>
      <c r="J37" s="617">
        <f t="shared" si="2"/>
        <v>-0.37539707741789385</v>
      </c>
      <c r="K37" s="617">
        <f t="shared" si="2"/>
        <v>-10.438737809133801</v>
      </c>
      <c r="L37" s="617">
        <f t="shared" si="2"/>
        <v>-0.12125281563987178</v>
      </c>
    </row>
    <row r="38" spans="1:12">
      <c r="A38" s="611" t="s">
        <v>1473</v>
      </c>
      <c r="B38" s="617">
        <f t="shared" ref="B38:L38" si="3">100*(POWER(B24/B13, 1/11)-1)</f>
        <v>3.7493263902916851</v>
      </c>
      <c r="C38" s="617">
        <f t="shared" si="3"/>
        <v>13.820399181776777</v>
      </c>
      <c r="D38" s="617">
        <f t="shared" si="3"/>
        <v>-4.1969345404693996</v>
      </c>
      <c r="E38" s="617">
        <f t="shared" si="3"/>
        <v>2.2173246360737808</v>
      </c>
      <c r="F38" s="617">
        <f t="shared" si="3"/>
        <v>1.8167453754695417</v>
      </c>
      <c r="G38" s="617">
        <f t="shared" si="3"/>
        <v>2.0597596086812331</v>
      </c>
      <c r="H38" s="617">
        <f t="shared" si="3"/>
        <v>-1.2144192714809932</v>
      </c>
      <c r="I38" s="617">
        <f t="shared" si="3"/>
        <v>-1.4131617082058345</v>
      </c>
      <c r="J38" s="617">
        <f t="shared" si="3"/>
        <v>2.1421682985712787</v>
      </c>
      <c r="K38" s="617">
        <f t="shared" si="3"/>
        <v>6.0505618362154179</v>
      </c>
      <c r="L38" s="617">
        <f t="shared" si="3"/>
        <v>0.41680035089068923</v>
      </c>
    </row>
    <row r="39" spans="1:12">
      <c r="A39" s="611" t="s">
        <v>1474</v>
      </c>
      <c r="B39" s="617">
        <f t="shared" ref="B39:L39" si="4">100*(POWER(B32/B24, 1/8)-1)</f>
        <v>7.6336800021443274</v>
      </c>
      <c r="C39" s="617">
        <f t="shared" si="4"/>
        <v>13.698930919609564</v>
      </c>
      <c r="D39" s="617">
        <f t="shared" si="4"/>
        <v>14.486173874605534</v>
      </c>
      <c r="E39" s="617">
        <f t="shared" si="4"/>
        <v>-3.2177507122575832</v>
      </c>
      <c r="F39" s="617">
        <f t="shared" si="4"/>
        <v>1.24326409891935</v>
      </c>
      <c r="G39" s="617">
        <f t="shared" si="4"/>
        <v>7.5730336725765568E-2</v>
      </c>
      <c r="H39" s="617">
        <f t="shared" si="4"/>
        <v>4.9962525168880667</v>
      </c>
      <c r="I39" s="617">
        <f t="shared" si="4"/>
        <v>10.741976498144368</v>
      </c>
      <c r="J39" s="617">
        <f t="shared" si="4"/>
        <v>7.5780427796121819</v>
      </c>
      <c r="K39" s="617">
        <f t="shared" si="4"/>
        <v>6.349522185252221</v>
      </c>
      <c r="L39" s="617">
        <f t="shared" si="4"/>
        <v>0.93576553336143231</v>
      </c>
    </row>
    <row r="40" spans="1:12">
      <c r="A40" s="611" t="s">
        <v>1500</v>
      </c>
      <c r="B40" s="611"/>
      <c r="C40" s="611"/>
      <c r="D40" s="611"/>
      <c r="E40" s="611"/>
      <c r="F40" s="611"/>
      <c r="G40" s="611"/>
      <c r="H40" s="611"/>
      <c r="I40" s="611"/>
      <c r="J40" s="611"/>
      <c r="K40" s="611"/>
      <c r="L40" s="611"/>
    </row>
    <row r="41" spans="1:12">
      <c r="A41" s="611" t="s">
        <v>1498</v>
      </c>
      <c r="B41" s="616">
        <f>100*(B34-B5)/B5</f>
        <v>6.9703639384153995</v>
      </c>
      <c r="C41" s="616">
        <f t="shared" ref="C41:L41" si="5">100*(C34-C5)/C5</f>
        <v>799.67368846890338</v>
      </c>
      <c r="D41" s="616">
        <f t="shared" si="5"/>
        <v>-19.697836240651252</v>
      </c>
      <c r="E41" s="616">
        <f t="shared" si="5"/>
        <v>-37.238676071165486</v>
      </c>
      <c r="F41" s="616">
        <f t="shared" si="5"/>
        <v>16.242508103103535</v>
      </c>
      <c r="G41" s="616">
        <f t="shared" si="5"/>
        <v>-24.549908729534472</v>
      </c>
      <c r="H41" s="616">
        <f t="shared" si="5"/>
        <v>-33.697165319106816</v>
      </c>
      <c r="I41" s="616">
        <f t="shared" si="5"/>
        <v>0.53939122229462888</v>
      </c>
      <c r="J41" s="616">
        <f>100*(J34-J5)/J5</f>
        <v>78.600703563428326</v>
      </c>
      <c r="K41" s="616">
        <f t="shared" si="5"/>
        <v>8.3303026154578106</v>
      </c>
      <c r="L41" s="616">
        <f t="shared" si="5"/>
        <v>-14.281139879186892</v>
      </c>
    </row>
    <row r="42" spans="1:12">
      <c r="A42" s="611" t="s">
        <v>1472</v>
      </c>
      <c r="B42" s="616">
        <f>100*(B13-B5)/B5</f>
        <v>-38.561436114316052</v>
      </c>
      <c r="C42" s="616">
        <f t="shared" ref="C42:L42" si="6">100*(C13-C5)/C5</f>
        <v>-24.079801922950725</v>
      </c>
      <c r="D42" s="616">
        <f t="shared" si="6"/>
        <v>-17.803540013229902</v>
      </c>
      <c r="E42" s="616">
        <f t="shared" si="6"/>
        <v>6.8324486779233888</v>
      </c>
      <c r="F42" s="616">
        <f t="shared" si="6"/>
        <v>37.034614626547054</v>
      </c>
      <c r="G42" s="616">
        <f t="shared" si="6"/>
        <v>-4.2828311678478306</v>
      </c>
      <c r="H42" s="616">
        <f t="shared" si="6"/>
        <v>-10.174198983354199</v>
      </c>
      <c r="I42" s="616">
        <f t="shared" si="6"/>
        <v>-14.692828225664559</v>
      </c>
      <c r="J42" s="616">
        <f t="shared" si="6"/>
        <v>-2.9640130545440084</v>
      </c>
      <c r="K42" s="616">
        <f t="shared" si="6"/>
        <v>-58.60368873098556</v>
      </c>
      <c r="L42" s="616">
        <f t="shared" si="6"/>
        <v>-0.96591586437491639</v>
      </c>
    </row>
    <row r="43" spans="1:12">
      <c r="A43" s="611" t="s">
        <v>1473</v>
      </c>
      <c r="B43" s="616">
        <f>100*(B24-B13)/B13</f>
        <v>49.912602043621007</v>
      </c>
      <c r="C43" s="616">
        <f t="shared" ref="C43:L43" si="7">100*(C24-C13)/C13</f>
        <v>315.35663117562899</v>
      </c>
      <c r="D43" s="616">
        <f t="shared" si="7"/>
        <v>-37.601598809274577</v>
      </c>
      <c r="E43" s="616">
        <f t="shared" si="7"/>
        <v>27.282767145934084</v>
      </c>
      <c r="F43" s="616">
        <f t="shared" si="7"/>
        <v>21.902135928714678</v>
      </c>
      <c r="G43" s="616">
        <f t="shared" si="7"/>
        <v>25.141095255003631</v>
      </c>
      <c r="H43" s="616">
        <f t="shared" si="7"/>
        <v>-12.576310681029668</v>
      </c>
      <c r="I43" s="616">
        <f t="shared" si="7"/>
        <v>-14.491689070343403</v>
      </c>
      <c r="J43" s="616">
        <f t="shared" si="7"/>
        <v>26.257097786187622</v>
      </c>
      <c r="K43" s="616">
        <f t="shared" si="7"/>
        <v>90.828268796737419</v>
      </c>
      <c r="L43" s="616">
        <f t="shared" si="7"/>
        <v>4.6815559958784982</v>
      </c>
    </row>
    <row r="44" spans="1:12">
      <c r="A44" s="611" t="s">
        <v>1474</v>
      </c>
      <c r="B44" s="616">
        <f>100*(B32-B24)/B24</f>
        <v>80.129777544254623</v>
      </c>
      <c r="C44" s="616">
        <f t="shared" ref="C44:L44" si="8">100*(C32-C24)/C24</f>
        <v>179.28721106058148</v>
      </c>
      <c r="D44" s="616">
        <f t="shared" si="8"/>
        <v>195.13745772768485</v>
      </c>
      <c r="E44" s="616">
        <f t="shared" si="8"/>
        <v>-23.022165497554962</v>
      </c>
      <c r="F44" s="616">
        <f t="shared" si="8"/>
        <v>10.389840916784156</v>
      </c>
      <c r="G44" s="616">
        <f t="shared" si="8"/>
        <v>0.60745095179319908</v>
      </c>
      <c r="H44" s="616">
        <f t="shared" si="8"/>
        <v>47.703364967510502</v>
      </c>
      <c r="I44" s="616">
        <f t="shared" si="8"/>
        <v>126.20289742639606</v>
      </c>
      <c r="J44" s="616">
        <f t="shared" si="8"/>
        <v>79.386232761956464</v>
      </c>
      <c r="K44" s="616">
        <f t="shared" si="8"/>
        <v>63.638068290307579</v>
      </c>
      <c r="L44" s="616">
        <f t="shared" si="8"/>
        <v>7.7359510369087774</v>
      </c>
    </row>
    <row r="46" spans="1:12">
      <c r="A46" s="611" t="s">
        <v>1543</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dimension ref="A1:L46"/>
  <sheetViews>
    <sheetView workbookViewId="0">
      <selection activeCell="E9" sqref="E9"/>
    </sheetView>
  </sheetViews>
  <sheetFormatPr defaultRowHeight="12.75"/>
  <cols>
    <col min="1" max="16384" width="9" style="618"/>
  </cols>
  <sheetData>
    <row r="1" spans="1:12">
      <c r="A1" s="611" t="s">
        <v>1511</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5">
        <f>'a16'!D19</f>
        <v>-9818.5184573276856</v>
      </c>
      <c r="C5" s="625">
        <f>'a16'!H19</f>
        <v>-6042.7746076231751</v>
      </c>
      <c r="D5" s="625">
        <f>'a16'!L19</f>
        <v>-7148.1431920578507</v>
      </c>
      <c r="E5" s="625">
        <f>'a16'!P19</f>
        <v>-8277.9192312453288</v>
      </c>
      <c r="F5" s="625">
        <f>'a16'!T19</f>
        <v>-7216.129562589771</v>
      </c>
      <c r="G5" s="625">
        <f>'a16'!X19</f>
        <v>-8649.5409689137341</v>
      </c>
      <c r="H5" s="625">
        <f>'a16'!AB19</f>
        <v>-10982.95521219717</v>
      </c>
      <c r="I5" s="625">
        <f>'a16'!AF19</f>
        <v>-9230.8550564287762</v>
      </c>
      <c r="J5" s="625">
        <f>'a16'!AJ19</f>
        <v>-9116.605272920433</v>
      </c>
      <c r="K5" s="625">
        <f>'a16'!AN19</f>
        <v>-13689.59428059681</v>
      </c>
      <c r="L5" s="625">
        <f>'a16'!AR19</f>
        <v>-10144.927222115259</v>
      </c>
    </row>
    <row r="6" spans="1:12">
      <c r="A6" s="611">
        <f t="shared" ref="A6:A34" si="0">A5+1</f>
        <v>1982</v>
      </c>
      <c r="B6" s="625">
        <f>'a16'!D20</f>
        <v>-9004.3045855856999</v>
      </c>
      <c r="C6" s="625">
        <f>'a16'!H20</f>
        <v>-5655.0434844445699</v>
      </c>
      <c r="D6" s="625">
        <f>'a16'!L20</f>
        <v>-6712.8933918967332</v>
      </c>
      <c r="E6" s="625">
        <f>'a16'!P20</f>
        <v>-7467.1110030007885</v>
      </c>
      <c r="F6" s="625">
        <f>'a16'!T20</f>
        <v>-6643.0269961522163</v>
      </c>
      <c r="G6" s="625">
        <f>'a16'!X20</f>
        <v>-7885.4508300016187</v>
      </c>
      <c r="H6" s="625">
        <f>'a16'!AB20</f>
        <v>-10033.120243076772</v>
      </c>
      <c r="I6" s="625">
        <f>'a16'!AF20</f>
        <v>-8685.2331746214713</v>
      </c>
      <c r="J6" s="625">
        <f>'a16'!AJ20</f>
        <v>-8768.6814281078714</v>
      </c>
      <c r="K6" s="625">
        <f>'a16'!AN20</f>
        <v>-12109.860393784886</v>
      </c>
      <c r="L6" s="625">
        <f>'a16'!AR20</f>
        <v>-9378.6237729280947</v>
      </c>
    </row>
    <row r="7" spans="1:12">
      <c r="A7" s="611">
        <f t="shared" si="0"/>
        <v>1983</v>
      </c>
      <c r="B7" s="625">
        <f>'a16'!D21</f>
        <v>-8931.3755338897863</v>
      </c>
      <c r="C7" s="625">
        <f>'a16'!H21</f>
        <v>-5716.643179416661</v>
      </c>
      <c r="D7" s="625">
        <f>'a16'!L21</f>
        <v>-6523.8887719902632</v>
      </c>
      <c r="E7" s="625">
        <f>'a16'!P21</f>
        <v>-7088.3348816885127</v>
      </c>
      <c r="F7" s="625">
        <f>'a16'!T21</f>
        <v>-6513.0709882352421</v>
      </c>
      <c r="G7" s="625">
        <f>'a16'!X21</f>
        <v>-7848.2983738800076</v>
      </c>
      <c r="H7" s="625">
        <f>'a16'!AB21</f>
        <v>-9802.9933355812573</v>
      </c>
      <c r="I7" s="625">
        <f>'a16'!AF21</f>
        <v>-8485.3121492794016</v>
      </c>
      <c r="J7" s="625">
        <f>'a16'!AJ21</f>
        <v>-8831.2067137545509</v>
      </c>
      <c r="K7" s="625">
        <f>'a16'!AN21</f>
        <v>-12190.184048808957</v>
      </c>
      <c r="L7" s="625">
        <f>'a16'!AR21</f>
        <v>-9357.9434618605883</v>
      </c>
    </row>
    <row r="8" spans="1:12">
      <c r="A8" s="611">
        <f t="shared" si="0"/>
        <v>1984</v>
      </c>
      <c r="B8" s="625">
        <f>'a16'!D22</f>
        <v>-9163.805562133457</v>
      </c>
      <c r="C8" s="625">
        <f>'a16'!H22</f>
        <v>-5895.5062663032031</v>
      </c>
      <c r="D8" s="625">
        <f>'a16'!L22</f>
        <v>-6887.4911728213592</v>
      </c>
      <c r="E8" s="625">
        <f>'a16'!P22</f>
        <v>-7220.3823959132624</v>
      </c>
      <c r="F8" s="625">
        <f>'a16'!T22</f>
        <v>-6438.7494152850013</v>
      </c>
      <c r="G8" s="625">
        <f>'a16'!X22</f>
        <v>-7990.1256336048746</v>
      </c>
      <c r="H8" s="625">
        <f>'a16'!AB22</f>
        <v>-9994.9572158656738</v>
      </c>
      <c r="I8" s="625">
        <f>'a16'!AF22</f>
        <v>-8631.0730346559412</v>
      </c>
      <c r="J8" s="625">
        <f>'a16'!AJ22</f>
        <v>-8915.2190154231357</v>
      </c>
      <c r="K8" s="625">
        <f>'a16'!AN22</f>
        <v>-12732.510325937539</v>
      </c>
      <c r="L8" s="625">
        <f>'a16'!AR22</f>
        <v>-9479.0054724545917</v>
      </c>
    </row>
    <row r="9" spans="1:12">
      <c r="A9" s="611">
        <f t="shared" si="0"/>
        <v>1985</v>
      </c>
      <c r="B9" s="625">
        <f>'a16'!D23</f>
        <v>-10149.732338945325</v>
      </c>
      <c r="C9" s="625">
        <f>'a16'!H23</f>
        <v>-6340.6657487799057</v>
      </c>
      <c r="D9" s="625">
        <f>'a16'!L23</f>
        <v>-7399.5414963045314</v>
      </c>
      <c r="E9" s="625">
        <f>'a16'!P23</f>
        <v>-7927.5666165911034</v>
      </c>
      <c r="F9" s="625">
        <f>'a16'!T23</f>
        <v>-7043.717440973076</v>
      </c>
      <c r="G9" s="625">
        <f>'a16'!X23</f>
        <v>-8786.1901464617604</v>
      </c>
      <c r="H9" s="625">
        <f>'a16'!AB23</f>
        <v>-10922.862742080413</v>
      </c>
      <c r="I9" s="625">
        <f>'a16'!AF23</f>
        <v>-9802.8860575144681</v>
      </c>
      <c r="J9" s="625">
        <f>'a16'!AJ23</f>
        <v>-9942.5152088398627</v>
      </c>
      <c r="K9" s="625">
        <f>'a16'!AN23</f>
        <v>-14516.595393500069</v>
      </c>
      <c r="L9" s="625">
        <f>'a16'!AR23</f>
        <v>-10685.644378445584</v>
      </c>
    </row>
    <row r="10" spans="1:12">
      <c r="A10" s="611">
        <f t="shared" si="0"/>
        <v>1986</v>
      </c>
      <c r="B10" s="625">
        <f>'a16'!D24</f>
        <v>-10787.929317086766</v>
      </c>
      <c r="C10" s="625">
        <f>'a16'!H24</f>
        <v>-6637.6621638163815</v>
      </c>
      <c r="D10" s="625">
        <f>'a16'!L24</f>
        <v>-7812.9747385662504</v>
      </c>
      <c r="E10" s="625">
        <f>'a16'!P24</f>
        <v>-8624.504236982013</v>
      </c>
      <c r="F10" s="625">
        <f>'a16'!T24</f>
        <v>-7802.7736319995247</v>
      </c>
      <c r="G10" s="625">
        <f>'a16'!X24</f>
        <v>-9199.538314704645</v>
      </c>
      <c r="H10" s="625">
        <f>'a16'!AB24</f>
        <v>-11801.805732760035</v>
      </c>
      <c r="I10" s="625">
        <f>'a16'!AF24</f>
        <v>-10302.464897447537</v>
      </c>
      <c r="J10" s="625">
        <f>'a16'!AJ24</f>
        <v>-11241.832505398223</v>
      </c>
      <c r="K10" s="625">
        <f>'a16'!AN24</f>
        <v>-14871.550986623477</v>
      </c>
      <c r="L10" s="625">
        <f>'a16'!AR24</f>
        <v>-11251.294350075159</v>
      </c>
    </row>
    <row r="11" spans="1:12">
      <c r="A11" s="611">
        <f t="shared" si="0"/>
        <v>1987</v>
      </c>
      <c r="B11" s="625">
        <f>'a16'!D25</f>
        <v>-10995.597113997484</v>
      </c>
      <c r="C11" s="625">
        <f>'a16'!H25</f>
        <v>-6868.8803980706234</v>
      </c>
      <c r="D11" s="625">
        <f>'a16'!L25</f>
        <v>-7939.4952601164669</v>
      </c>
      <c r="E11" s="625">
        <f>'a16'!P25</f>
        <v>-8624.6151795188198</v>
      </c>
      <c r="F11" s="625">
        <f>'a16'!T25</f>
        <v>-8141.1674841457352</v>
      </c>
      <c r="G11" s="625">
        <f>'a16'!X25</f>
        <v>-9493.3430387877124</v>
      </c>
      <c r="H11" s="625">
        <f>'a16'!AB25</f>
        <v>-12038.027955067866</v>
      </c>
      <c r="I11" s="625">
        <f>'a16'!AF25</f>
        <v>-10323.829062347979</v>
      </c>
      <c r="J11" s="625">
        <f>'a16'!AJ25</f>
        <v>-10856.455824558134</v>
      </c>
      <c r="K11" s="625">
        <f>'a16'!AN25</f>
        <v>-14886.656847720689</v>
      </c>
      <c r="L11" s="625">
        <f>'a16'!AR25</f>
        <v>-11632.553239613906</v>
      </c>
    </row>
    <row r="12" spans="1:12">
      <c r="A12" s="611">
        <f t="shared" si="0"/>
        <v>1988</v>
      </c>
      <c r="B12" s="625">
        <f>'a16'!D26</f>
        <v>-10547.95596342661</v>
      </c>
      <c r="C12" s="625">
        <f>'a16'!H26</f>
        <v>-6855.7265539778718</v>
      </c>
      <c r="D12" s="625">
        <f>'a16'!L26</f>
        <v>-7627.3849227430646</v>
      </c>
      <c r="E12" s="625">
        <f>'a16'!P26</f>
        <v>-8077.5572814561037</v>
      </c>
      <c r="F12" s="625">
        <f>'a16'!T26</f>
        <v>-7595.7427085161216</v>
      </c>
      <c r="G12" s="625">
        <f>'a16'!X26</f>
        <v>-9130.4124851731904</v>
      </c>
      <c r="H12" s="625">
        <f>'a16'!AB26</f>
        <v>-11602.053843221343</v>
      </c>
      <c r="I12" s="625">
        <f>'a16'!AF26</f>
        <v>-9382.5071318236187</v>
      </c>
      <c r="J12" s="625">
        <f>'a16'!AJ26</f>
        <v>-9645.4327593776943</v>
      </c>
      <c r="K12" s="625">
        <f>'a16'!AN26</f>
        <v>-14550.546805112614</v>
      </c>
      <c r="L12" s="625">
        <f>'a16'!AR26</f>
        <v>-11079.285638587056</v>
      </c>
    </row>
    <row r="13" spans="1:12">
      <c r="A13" s="611">
        <f t="shared" si="0"/>
        <v>1989</v>
      </c>
      <c r="B13" s="625">
        <f>'a16'!D27</f>
        <v>-10661.201486545036</v>
      </c>
      <c r="C13" s="625">
        <f>'a16'!H27</f>
        <v>-7094.8319702443296</v>
      </c>
      <c r="D13" s="625">
        <f>'a16'!L27</f>
        <v>-7771.8311984726643</v>
      </c>
      <c r="E13" s="625">
        <f>'a16'!P27</f>
        <v>-8151.3207431111659</v>
      </c>
      <c r="F13" s="625">
        <f>'a16'!T27</f>
        <v>-7597.8562362195844</v>
      </c>
      <c r="G13" s="625">
        <f>'a16'!X27</f>
        <v>-9187.007381003119</v>
      </c>
      <c r="H13" s="625">
        <f>'a16'!AB27</f>
        <v>-11698.735719754728</v>
      </c>
      <c r="I13" s="625">
        <f>'a16'!AF27</f>
        <v>-9598.360080752147</v>
      </c>
      <c r="J13" s="625">
        <f>'a16'!AJ27</f>
        <v>-9780.2819039870847</v>
      </c>
      <c r="K13" s="625">
        <f>'a16'!AN27</f>
        <v>-14444.87837509404</v>
      </c>
      <c r="L13" s="625">
        <f>'a16'!AR27</f>
        <v>-11153.400675158942</v>
      </c>
    </row>
    <row r="14" spans="1:12">
      <c r="A14" s="611">
        <f t="shared" si="0"/>
        <v>1990</v>
      </c>
      <c r="B14" s="625">
        <f>'a16'!D28</f>
        <v>-11066.3317769154</v>
      </c>
      <c r="C14" s="625">
        <f>'a16'!H28</f>
        <v>-7529.8303651465021</v>
      </c>
      <c r="D14" s="625">
        <f>'a16'!L28</f>
        <v>-8092.0626915813937</v>
      </c>
      <c r="E14" s="625">
        <f>'a16'!P28</f>
        <v>-8555.4994376929899</v>
      </c>
      <c r="F14" s="625">
        <f>'a16'!T28</f>
        <v>-7925.9010222781098</v>
      </c>
      <c r="G14" s="625">
        <f>'a16'!X28</f>
        <v>-9626.0277939083626</v>
      </c>
      <c r="H14" s="625">
        <f>'a16'!AB28</f>
        <v>-11839.032825421602</v>
      </c>
      <c r="I14" s="625">
        <f>'a16'!AF28</f>
        <v>-10328.481121222176</v>
      </c>
      <c r="J14" s="625">
        <f>'a16'!AJ28</f>
        <v>-11162.008459570156</v>
      </c>
      <c r="K14" s="625">
        <f>'a16'!AN28</f>
        <v>-15305.156657622039</v>
      </c>
      <c r="L14" s="625">
        <f>'a16'!AR28</f>
        <v>-11515.870947083386</v>
      </c>
    </row>
    <row r="15" spans="1:12">
      <c r="A15" s="611">
        <f t="shared" si="0"/>
        <v>1991</v>
      </c>
      <c r="B15" s="625">
        <f>'a16'!D29</f>
        <v>-11247.098436357892</v>
      </c>
      <c r="C15" s="625">
        <f>'a16'!H29</f>
        <v>-7741.8623873594015</v>
      </c>
      <c r="D15" s="625">
        <f>'a16'!L29</f>
        <v>-8451.2754029030239</v>
      </c>
      <c r="E15" s="625">
        <f>'a16'!P29</f>
        <v>-8785.6051685481343</v>
      </c>
      <c r="F15" s="625">
        <f>'a16'!T29</f>
        <v>-8251.1927886703597</v>
      </c>
      <c r="G15" s="625">
        <f>'a16'!X29</f>
        <v>-9716.8009782891477</v>
      </c>
      <c r="H15" s="625">
        <f>'a16'!AB29</f>
        <v>-11865.814243144518</v>
      </c>
      <c r="I15" s="625">
        <f>'a16'!AF29</f>
        <v>-10274.809998138762</v>
      </c>
      <c r="J15" s="625">
        <f>'a16'!AJ29</f>
        <v>-11498.995185007729</v>
      </c>
      <c r="K15" s="625">
        <f>'a16'!AN29</f>
        <v>-15812.202476983381</v>
      </c>
      <c r="L15" s="625">
        <f>'a16'!AR29</f>
        <v>-11964.268171257147</v>
      </c>
    </row>
    <row r="16" spans="1:12">
      <c r="A16" s="611">
        <f t="shared" si="0"/>
        <v>1992</v>
      </c>
      <c r="B16" s="625">
        <f>'a16'!D30</f>
        <v>-12232.367578635545</v>
      </c>
      <c r="C16" s="625">
        <f>'a16'!H30</f>
        <v>-8295.9409019138875</v>
      </c>
      <c r="D16" s="625">
        <f>'a16'!L30</f>
        <v>-9357.3367183318405</v>
      </c>
      <c r="E16" s="625">
        <f>'a16'!P30</f>
        <v>-9584.9254879932869</v>
      </c>
      <c r="F16" s="625">
        <f>'a16'!T30</f>
        <v>-9016.8158021858253</v>
      </c>
      <c r="G16" s="625">
        <f>'a16'!X30</f>
        <v>-10523.30334425655</v>
      </c>
      <c r="H16" s="625">
        <f>'a16'!AB30</f>
        <v>-13020.753849905921</v>
      </c>
      <c r="I16" s="625">
        <f>'a16'!AF30</f>
        <v>-11295.085761098762</v>
      </c>
      <c r="J16" s="625">
        <f>'a16'!AJ30</f>
        <v>-12040.523043427882</v>
      </c>
      <c r="K16" s="625">
        <f>'a16'!AN30</f>
        <v>-16879.080855113039</v>
      </c>
      <c r="L16" s="625">
        <f>'a16'!AR30</f>
        <v>-12884.554821192731</v>
      </c>
    </row>
    <row r="17" spans="1:12">
      <c r="A17" s="611">
        <f t="shared" si="0"/>
        <v>1993</v>
      </c>
      <c r="B17" s="625">
        <f>'a16'!D31</f>
        <v>-12942.770632553136</v>
      </c>
      <c r="C17" s="625">
        <f>'a16'!H31</f>
        <v>-8713.678504708274</v>
      </c>
      <c r="D17" s="625">
        <f>'a16'!L31</f>
        <v>-9355.0312227358336</v>
      </c>
      <c r="E17" s="625">
        <f>'a16'!P31</f>
        <v>-10064.441852933674</v>
      </c>
      <c r="F17" s="625">
        <f>'a16'!T31</f>
        <v>-9432.4779313817035</v>
      </c>
      <c r="G17" s="625">
        <f>'a16'!X31</f>
        <v>-11282.231350924205</v>
      </c>
      <c r="H17" s="625">
        <f>'a16'!AB31</f>
        <v>-13601.263679315882</v>
      </c>
      <c r="I17" s="625">
        <f>'a16'!AF31</f>
        <v>-11829.345775690232</v>
      </c>
      <c r="J17" s="625">
        <f>'a16'!AJ31</f>
        <v>-12865.064582705649</v>
      </c>
      <c r="K17" s="625">
        <f>'a16'!AN31</f>
        <v>-18631.471347447645</v>
      </c>
      <c r="L17" s="625">
        <f>'a16'!AR31</f>
        <v>-13680.983572458739</v>
      </c>
    </row>
    <row r="18" spans="1:12">
      <c r="A18" s="611">
        <f t="shared" si="0"/>
        <v>1994</v>
      </c>
      <c r="B18" s="625">
        <f>'a16'!D32</f>
        <v>-13021.86978079974</v>
      </c>
      <c r="C18" s="625">
        <f>'a16'!H32</f>
        <v>-8935.8536172713157</v>
      </c>
      <c r="D18" s="625">
        <f>'a16'!L32</f>
        <v>-9899.8328508036011</v>
      </c>
      <c r="E18" s="625">
        <f>'a16'!P32</f>
        <v>-9776.6782387575022</v>
      </c>
      <c r="F18" s="625">
        <f>'a16'!T32</f>
        <v>-9611.4691482924227</v>
      </c>
      <c r="G18" s="625">
        <f>'a16'!X32</f>
        <v>-11366.23847318011</v>
      </c>
      <c r="H18" s="625">
        <f>'a16'!AB32</f>
        <v>-13723.857109112841</v>
      </c>
      <c r="I18" s="625">
        <f>'a16'!AF32</f>
        <v>-11709.132383278898</v>
      </c>
      <c r="J18" s="625">
        <f>'a16'!AJ32</f>
        <v>-13221.599980110039</v>
      </c>
      <c r="K18" s="625">
        <f>'a16'!AN32</f>
        <v>-19024.735619550465</v>
      </c>
      <c r="L18" s="625">
        <f>'a16'!AR32</f>
        <v>-13379.887131993317</v>
      </c>
    </row>
    <row r="19" spans="1:12">
      <c r="A19" s="611">
        <f t="shared" si="0"/>
        <v>1995</v>
      </c>
      <c r="B19" s="625">
        <f>'a16'!D33</f>
        <v>-12265.63011374738</v>
      </c>
      <c r="C19" s="625">
        <f>'a16'!H33</f>
        <v>-8555.2062283144842</v>
      </c>
      <c r="D19" s="625">
        <f>'a16'!L33</f>
        <v>-10034.097227657316</v>
      </c>
      <c r="E19" s="625">
        <f>'a16'!P33</f>
        <v>-9237.6792526314021</v>
      </c>
      <c r="F19" s="625">
        <f>'a16'!T33</f>
        <v>-9205.6057592798225</v>
      </c>
      <c r="G19" s="625">
        <f>'a16'!X33</f>
        <v>-10659.211562982229</v>
      </c>
      <c r="H19" s="625">
        <f>'a16'!AB33</f>
        <v>-13034.145574833245</v>
      </c>
      <c r="I19" s="625">
        <f>'a16'!AF33</f>
        <v>-10810.799730608136</v>
      </c>
      <c r="J19" s="625">
        <f>'a16'!AJ33</f>
        <v>-12177.159372208054</v>
      </c>
      <c r="K19" s="625">
        <f>'a16'!AN33</f>
        <v>-17904.044872112918</v>
      </c>
      <c r="L19" s="625">
        <f>'a16'!AR33</f>
        <v>-12274.555320931328</v>
      </c>
    </row>
    <row r="20" spans="1:12">
      <c r="A20" s="611">
        <f t="shared" si="0"/>
        <v>1996</v>
      </c>
      <c r="B20" s="625">
        <f>'a16'!D34</f>
        <v>-11479.941849331412</v>
      </c>
      <c r="C20" s="625">
        <f>'a16'!H34</f>
        <v>-7730.9594688493144</v>
      </c>
      <c r="D20" s="625">
        <f>'a16'!L34</f>
        <v>-8980.6486413932016</v>
      </c>
      <c r="E20" s="625">
        <f>'a16'!P34</f>
        <v>-8531.2655885097447</v>
      </c>
      <c r="F20" s="625">
        <f>'a16'!T34</f>
        <v>-8593.1060441904247</v>
      </c>
      <c r="G20" s="625">
        <f>'a16'!X34</f>
        <v>-9944.0452780388332</v>
      </c>
      <c r="H20" s="625">
        <f>'a16'!AB34</f>
        <v>-12146.012023606791</v>
      </c>
      <c r="I20" s="625">
        <f>'a16'!AF34</f>
        <v>-10224.422289382941</v>
      </c>
      <c r="J20" s="625">
        <f>'a16'!AJ34</f>
        <v>-11562.083882357118</v>
      </c>
      <c r="K20" s="625">
        <f>'a16'!AN34</f>
        <v>-16784.037034804867</v>
      </c>
      <c r="L20" s="625">
        <f>'a16'!AR34</f>
        <v>-11372.593312188104</v>
      </c>
    </row>
    <row r="21" spans="1:12">
      <c r="A21" s="611">
        <f t="shared" si="0"/>
        <v>1997</v>
      </c>
      <c r="B21" s="625">
        <f>'a16'!D35</f>
        <v>-10468.778607237738</v>
      </c>
      <c r="C21" s="625">
        <f>'a16'!H35</f>
        <v>-6902.5246223661352</v>
      </c>
      <c r="D21" s="625">
        <f>'a16'!L35</f>
        <v>-7555.8720823574158</v>
      </c>
      <c r="E21" s="625">
        <f>'a16'!P35</f>
        <v>-7697.3200627567649</v>
      </c>
      <c r="F21" s="625">
        <f>'a16'!T35</f>
        <v>-7582.099884698986</v>
      </c>
      <c r="G21" s="625">
        <f>'a16'!X35</f>
        <v>-9227.4462767862005</v>
      </c>
      <c r="H21" s="625">
        <f>'a16'!AB35</f>
        <v>-11120.20228948556</v>
      </c>
      <c r="I21" s="625">
        <f>'a16'!AF35</f>
        <v>-9341.5835311269129</v>
      </c>
      <c r="J21" s="625">
        <f>'a16'!AJ35</f>
        <v>-10459.969555430933</v>
      </c>
      <c r="K21" s="625">
        <f>'a16'!AN35</f>
        <v>-15310.846109231246</v>
      </c>
      <c r="L21" s="625">
        <f>'a16'!AR35</f>
        <v>-9967.0994635838997</v>
      </c>
    </row>
    <row r="22" spans="1:12">
      <c r="A22" s="611">
        <f t="shared" si="0"/>
        <v>1998</v>
      </c>
      <c r="B22" s="625">
        <f>'a16'!D36</f>
        <v>-10766.305502002879</v>
      </c>
      <c r="C22" s="625">
        <f>'a16'!H36</f>
        <v>-7399.1874737583967</v>
      </c>
      <c r="D22" s="625">
        <f>'a16'!L36</f>
        <v>-7916.4615597008578</v>
      </c>
      <c r="E22" s="625">
        <f>'a16'!P36</f>
        <v>-7985.0593675776699</v>
      </c>
      <c r="F22" s="625">
        <f>'a16'!T36</f>
        <v>-7882.2164177343175</v>
      </c>
      <c r="G22" s="625">
        <f>'a16'!X36</f>
        <v>-9447.1610001051085</v>
      </c>
      <c r="H22" s="625">
        <f>'a16'!AB36</f>
        <v>-11465.563575077229</v>
      </c>
      <c r="I22" s="625">
        <f>'a16'!AF36</f>
        <v>-9690.4888847246402</v>
      </c>
      <c r="J22" s="625">
        <f>'a16'!AJ36</f>
        <v>-10924.472507472645</v>
      </c>
      <c r="K22" s="625">
        <f>'a16'!AN36</f>
        <v>-15648.016505013762</v>
      </c>
      <c r="L22" s="625">
        <f>'a16'!AR36</f>
        <v>-9991.6440643125006</v>
      </c>
    </row>
    <row r="23" spans="1:12">
      <c r="A23" s="611">
        <f t="shared" si="0"/>
        <v>1999</v>
      </c>
      <c r="B23" s="625">
        <f>'a16'!D37</f>
        <v>-8536.0508189594657</v>
      </c>
      <c r="C23" s="625">
        <f>'a16'!H37</f>
        <v>-5977.8189751094897</v>
      </c>
      <c r="D23" s="625">
        <f>'a16'!L37</f>
        <v>-6208.2587458596918</v>
      </c>
      <c r="E23" s="625">
        <f>'a16'!P37</f>
        <v>-6377.3772331519594</v>
      </c>
      <c r="F23" s="625">
        <f>'a16'!T37</f>
        <v>-6346.2898442788637</v>
      </c>
      <c r="G23" s="625">
        <f>'a16'!X37</f>
        <v>-7561.3764809967643</v>
      </c>
      <c r="H23" s="625">
        <f>'a16'!AB37</f>
        <v>-9217.3112713787104</v>
      </c>
      <c r="I23" s="625">
        <f>'a16'!AF37</f>
        <v>-7461.6474359098456</v>
      </c>
      <c r="J23" s="625">
        <f>'a16'!AJ37</f>
        <v>-8368.3067868062699</v>
      </c>
      <c r="K23" s="625">
        <f>'a16'!AN37</f>
        <v>-11803.697934890602</v>
      </c>
      <c r="L23" s="625">
        <f>'a16'!AR37</f>
        <v>-7756.0754302716532</v>
      </c>
    </row>
    <row r="24" spans="1:12">
      <c r="A24" s="611">
        <f t="shared" si="0"/>
        <v>2000</v>
      </c>
      <c r="B24" s="625">
        <f>'a16'!D38</f>
        <v>-6958.7643776496725</v>
      </c>
      <c r="C24" s="625">
        <f>'a16'!H38</f>
        <v>-5004.4569165486819</v>
      </c>
      <c r="D24" s="625">
        <f>'a16'!L38</f>
        <v>-4926.1189336430361</v>
      </c>
      <c r="E24" s="625">
        <f>'a16'!P38</f>
        <v>-5146.5080839601378</v>
      </c>
      <c r="F24" s="625">
        <f>'a16'!T38</f>
        <v>-5053.7643127611545</v>
      </c>
      <c r="G24" s="625">
        <f>'a16'!X38</f>
        <v>-6138.1161191251031</v>
      </c>
      <c r="H24" s="625">
        <f>'a16'!AB38</f>
        <v>-7502.0363078592491</v>
      </c>
      <c r="I24" s="625">
        <f>'a16'!AF38</f>
        <v>-6024.8576628288647</v>
      </c>
      <c r="J24" s="625">
        <f>'a16'!AJ38</f>
        <v>-6811.4814733362064</v>
      </c>
      <c r="K24" s="625">
        <f>'a16'!AN38</f>
        <v>-9676.0740441984399</v>
      </c>
      <c r="L24" s="625">
        <f>'a16'!AR38</f>
        <v>-6300.5056799281483</v>
      </c>
    </row>
    <row r="25" spans="1:12">
      <c r="A25" s="611">
        <f t="shared" si="0"/>
        <v>2001</v>
      </c>
      <c r="B25" s="625">
        <f>'a16'!D39</f>
        <v>-6631.4379946768795</v>
      </c>
      <c r="C25" s="625">
        <f>'a16'!H39</f>
        <v>-4848.2662445662318</v>
      </c>
      <c r="D25" s="625">
        <f>'a16'!L39</f>
        <v>-4652.9526292693581</v>
      </c>
      <c r="E25" s="625">
        <f>'a16'!P39</f>
        <v>-5011.9336320627717</v>
      </c>
      <c r="F25" s="625">
        <f>'a16'!T39</f>
        <v>-4838.8644538825711</v>
      </c>
      <c r="G25" s="625">
        <f>'a16'!X39</f>
        <v>-5853.6273863078522</v>
      </c>
      <c r="H25" s="625">
        <f>'a16'!AB39</f>
        <v>-7072.2485306905774</v>
      </c>
      <c r="I25" s="625">
        <f>'a16'!AF39</f>
        <v>-5699.0421147092966</v>
      </c>
      <c r="J25" s="625">
        <f>'a16'!AJ39</f>
        <v>-6413.6283250381575</v>
      </c>
      <c r="K25" s="625">
        <f>'a16'!AN39</f>
        <v>-9321.9558270886209</v>
      </c>
      <c r="L25" s="625">
        <f>'a16'!AR39</f>
        <v>-5930.410041744004</v>
      </c>
    </row>
    <row r="26" spans="1:12">
      <c r="A26" s="611">
        <f t="shared" si="0"/>
        <v>2002</v>
      </c>
      <c r="B26" s="625">
        <f>'a16'!D40</f>
        <v>-6656.0658827155594</v>
      </c>
      <c r="C26" s="625">
        <f>'a16'!H40</f>
        <v>-5628.735519857546</v>
      </c>
      <c r="D26" s="625">
        <f>'a16'!L40</f>
        <v>-4763.7801501298054</v>
      </c>
      <c r="E26" s="625">
        <f>'a16'!P40</f>
        <v>-5118.3989746321968</v>
      </c>
      <c r="F26" s="625">
        <f>'a16'!T40</f>
        <v>-4981.1918464445971</v>
      </c>
      <c r="G26" s="625">
        <f>'a16'!X40</f>
        <v>-5874.1355840523165</v>
      </c>
      <c r="H26" s="625">
        <f>'a16'!AB40</f>
        <v>-7109.3660175967043</v>
      </c>
      <c r="I26" s="625">
        <f>'a16'!AF40</f>
        <v>-5674.9347507774473</v>
      </c>
      <c r="J26" s="625">
        <f>'a16'!AJ40</f>
        <v>-6411.8743323365643</v>
      </c>
      <c r="K26" s="625">
        <f>'a16'!AN40</f>
        <v>-9004.7340579546399</v>
      </c>
      <c r="L26" s="625">
        <f>'a16'!AR40</f>
        <v>-6039.7281214702462</v>
      </c>
    </row>
    <row r="27" spans="1:12">
      <c r="A27" s="611">
        <f t="shared" si="0"/>
        <v>2003</v>
      </c>
      <c r="B27" s="625">
        <f>'a16'!D41</f>
        <v>-6630.169640746908</v>
      </c>
      <c r="C27" s="625">
        <f>'a16'!H41</f>
        <v>-5889.2787936420973</v>
      </c>
      <c r="D27" s="625">
        <f>'a16'!L41</f>
        <v>-4762.4811207728135</v>
      </c>
      <c r="E27" s="625">
        <f>'a16'!P41</f>
        <v>-5091.2294035124942</v>
      </c>
      <c r="F27" s="625">
        <f>'a16'!T41</f>
        <v>-5025.5102323531282</v>
      </c>
      <c r="G27" s="625">
        <f>'a16'!X41</f>
        <v>-5823.3395618681361</v>
      </c>
      <c r="H27" s="625">
        <f>'a16'!AB41</f>
        <v>-7039.9945834080872</v>
      </c>
      <c r="I27" s="625">
        <f>'a16'!AF41</f>
        <v>-5639.1352191757696</v>
      </c>
      <c r="J27" s="625">
        <f>'a16'!AJ41</f>
        <v>-6603.1362259002399</v>
      </c>
      <c r="K27" s="625">
        <f>'a16'!AN41</f>
        <v>-9014.096304123259</v>
      </c>
      <c r="L27" s="625">
        <f>'a16'!AR41</f>
        <v>-6022.8235997026131</v>
      </c>
    </row>
    <row r="28" spans="1:12">
      <c r="A28" s="611">
        <f t="shared" si="0"/>
        <v>2004</v>
      </c>
      <c r="B28" s="625">
        <f>'a16'!D42</f>
        <v>-5592.7145821136455</v>
      </c>
      <c r="C28" s="625">
        <f>'a16'!H42</f>
        <v>-4832.005698040788</v>
      </c>
      <c r="D28" s="625">
        <f>'a16'!L42</f>
        <v>-4044.4016937221622</v>
      </c>
      <c r="E28" s="625">
        <f>'a16'!P42</f>
        <v>-4240.2150439480556</v>
      </c>
      <c r="F28" s="625">
        <f>'a16'!T42</f>
        <v>-4294.1649335837674</v>
      </c>
      <c r="G28" s="625">
        <f>'a16'!X42</f>
        <v>-4901.8088701617835</v>
      </c>
      <c r="H28" s="625">
        <f>'a16'!AB42</f>
        <v>-5875.7026461798223</v>
      </c>
      <c r="I28" s="625">
        <f>'a16'!AF42</f>
        <v>-4741.0252953198305</v>
      </c>
      <c r="J28" s="625">
        <f>'a16'!AJ42</f>
        <v>-5721.9246345553747</v>
      </c>
      <c r="K28" s="625">
        <f>'a16'!AN42</f>
        <v>-7719.8991973235834</v>
      </c>
      <c r="L28" s="625">
        <f>'a16'!AR42</f>
        <v>-5121.7640354499854</v>
      </c>
    </row>
    <row r="29" spans="1:12">
      <c r="A29" s="611">
        <f t="shared" si="0"/>
        <v>2005</v>
      </c>
      <c r="B29" s="625">
        <f>'a16'!D43</f>
        <v>-4645.5161858921583</v>
      </c>
      <c r="C29" s="625">
        <f>'a16'!H43</f>
        <v>-4073.623000472227</v>
      </c>
      <c r="D29" s="625">
        <f>'a16'!L43</f>
        <v>-3294.6306259713583</v>
      </c>
      <c r="E29" s="625">
        <f>'a16'!P43</f>
        <v>-3497.3129740855065</v>
      </c>
      <c r="F29" s="625">
        <f>'a16'!T43</f>
        <v>-3550.1713805484183</v>
      </c>
      <c r="G29" s="625">
        <f>'a16'!X43</f>
        <v>-4030.7271684756474</v>
      </c>
      <c r="H29" s="625">
        <f>'a16'!AB43</f>
        <v>-4857.2680605719952</v>
      </c>
      <c r="I29" s="625">
        <f>'a16'!AF43</f>
        <v>-3952.33180308069</v>
      </c>
      <c r="J29" s="625">
        <f>'a16'!AJ43</f>
        <v>-4795.229014775683</v>
      </c>
      <c r="K29" s="625">
        <f>'a16'!AN43</f>
        <v>-6396.499815956181</v>
      </c>
      <c r="L29" s="625">
        <f>'a16'!AR43</f>
        <v>-4319.5221447648601</v>
      </c>
    </row>
    <row r="30" spans="1:12">
      <c r="A30" s="611">
        <f t="shared" si="0"/>
        <v>2006</v>
      </c>
      <c r="B30" s="625">
        <f>'a16'!D44</f>
        <v>-2468.938355925603</v>
      </c>
      <c r="C30" s="625">
        <f>'a16'!H44</f>
        <v>-2232.5294798487639</v>
      </c>
      <c r="D30" s="625">
        <f>'a16'!L44</f>
        <v>-1791.7766999411454</v>
      </c>
      <c r="E30" s="625">
        <f>'a16'!P44</f>
        <v>-1834.968761794958</v>
      </c>
      <c r="F30" s="625">
        <f>'a16'!T44</f>
        <v>-1908.8105916891479</v>
      </c>
      <c r="G30" s="625">
        <f>'a16'!X44</f>
        <v>-2135.0619404372219</v>
      </c>
      <c r="H30" s="625">
        <f>'a16'!AB44</f>
        <v>-2567.7476442025049</v>
      </c>
      <c r="I30" s="625">
        <f>'a16'!AF44</f>
        <v>-2117.8899183580615</v>
      </c>
      <c r="J30" s="625">
        <f>'a16'!AJ44</f>
        <v>-2453.0561871708164</v>
      </c>
      <c r="K30" s="625">
        <f>'a16'!AN44</f>
        <v>-3421.9960366041087</v>
      </c>
      <c r="L30" s="625">
        <f>'a16'!AR44</f>
        <v>-2319.6968049301568</v>
      </c>
    </row>
    <row r="31" spans="1:12">
      <c r="A31" s="611">
        <f t="shared" si="0"/>
        <v>2007</v>
      </c>
      <c r="B31" s="625">
        <f>'a16'!D45</f>
        <v>-3377.6055938748154</v>
      </c>
      <c r="C31" s="625">
        <f>'a16'!H45</f>
        <v>-3339.3366130517297</v>
      </c>
      <c r="D31" s="625">
        <f>'a16'!L45</f>
        <v>-2476.4988123497619</v>
      </c>
      <c r="E31" s="625">
        <f>'a16'!P45</f>
        <v>-2538.713869268076</v>
      </c>
      <c r="F31" s="625">
        <f>'a16'!T45</f>
        <v>-2611.6691081881781</v>
      </c>
      <c r="G31" s="625">
        <f>'a16'!X45</f>
        <v>-2933.727523841053</v>
      </c>
      <c r="H31" s="625">
        <f>'a16'!AB45</f>
        <v>-3515.7057340138081</v>
      </c>
      <c r="I31" s="625">
        <f>'a16'!AF45</f>
        <v>-2911.1328564276923</v>
      </c>
      <c r="J31" s="625">
        <f>'a16'!AJ45</f>
        <v>-3397.5136569110387</v>
      </c>
      <c r="K31" s="625">
        <f>'a16'!AN45</f>
        <v>-4581.203787152228</v>
      </c>
      <c r="L31" s="625">
        <f>'a16'!AR45</f>
        <v>-3177.3062856084648</v>
      </c>
    </row>
    <row r="32" spans="1:12">
      <c r="A32" s="611">
        <f t="shared" si="0"/>
        <v>2008</v>
      </c>
      <c r="B32" s="625">
        <f>'a16'!D46</f>
        <v>-761.19538119101901</v>
      </c>
      <c r="C32" s="625">
        <f>'a16'!H46</f>
        <v>-746.39824973283294</v>
      </c>
      <c r="D32" s="625">
        <f>'a16'!L46</f>
        <v>-570.63526532537958</v>
      </c>
      <c r="E32" s="625">
        <f>'a16'!P46</f>
        <v>-590.80430401005344</v>
      </c>
      <c r="F32" s="625">
        <f>'a16'!T46</f>
        <v>-609.86011854426818</v>
      </c>
      <c r="G32" s="625">
        <f>'a16'!X46</f>
        <v>-681.55306881782087</v>
      </c>
      <c r="H32" s="625">
        <f>'a16'!AB46</f>
        <v>-816.70548391856482</v>
      </c>
      <c r="I32" s="625">
        <f>'a16'!AF46</f>
        <v>-667.87869238786368</v>
      </c>
      <c r="J32" s="625">
        <f>'a16'!AJ46</f>
        <v>-646.55610291090511</v>
      </c>
      <c r="K32" s="625">
        <f>'a16'!AN46</f>
        <v>-945.17464391590886</v>
      </c>
      <c r="L32" s="625">
        <f>'a16'!AR46</f>
        <v>-721.71482027718253</v>
      </c>
    </row>
    <row r="33" spans="1:12">
      <c r="A33" s="611">
        <f t="shared" si="0"/>
        <v>2009</v>
      </c>
      <c r="B33" s="625">
        <f>'a16'!D47</f>
        <v>-3825.3772352613573</v>
      </c>
      <c r="C33" s="625">
        <f>'a16'!H47</f>
        <v>-4213.934686278395</v>
      </c>
      <c r="D33" s="625">
        <f>'a16'!L47</f>
        <v>-2747.5583965238757</v>
      </c>
      <c r="E33" s="625">
        <f>'a16'!P47</f>
        <v>-2908.5141152791662</v>
      </c>
      <c r="F33" s="625">
        <f>'a16'!T47</f>
        <v>-3002.6834057138581</v>
      </c>
      <c r="G33" s="625">
        <f>'a16'!X47</f>
        <v>-3335.4116061099735</v>
      </c>
      <c r="H33" s="625">
        <f>'a16'!AB47</f>
        <v>-3921.0970449333749</v>
      </c>
      <c r="I33" s="625">
        <f>'a16'!AF47</f>
        <v>-3294.237152332299</v>
      </c>
      <c r="J33" s="625">
        <f>'a16'!AJ47</f>
        <v>-3522.8057348458024</v>
      </c>
      <c r="K33" s="625">
        <f>'a16'!AN47</f>
        <v>-5187.0051845982862</v>
      </c>
      <c r="L33" s="625">
        <f>'a16'!AR47</f>
        <v>-3587.6449612662677</v>
      </c>
    </row>
    <row r="34" spans="1:12">
      <c r="A34" s="611">
        <f t="shared" si="0"/>
        <v>2010</v>
      </c>
      <c r="B34" s="625">
        <f>'a16'!D48</f>
        <v>-3700.7225654546814</v>
      </c>
      <c r="C34" s="625">
        <f>'a16'!H48</f>
        <v>-4035.8764343353878</v>
      </c>
      <c r="D34" s="625">
        <f>'a16'!L48</f>
        <v>-2668.2133360850889</v>
      </c>
      <c r="E34" s="625">
        <f>'a16'!P48</f>
        <v>-2843.2134321251501</v>
      </c>
      <c r="F34" s="625">
        <f>'a16'!T48</f>
        <v>-2928.8507001666512</v>
      </c>
      <c r="G34" s="625">
        <f>'a16'!X48</f>
        <v>-3248.6385468392505</v>
      </c>
      <c r="H34" s="625">
        <f>'a16'!AB48</f>
        <v>-3809.8938234224843</v>
      </c>
      <c r="I34" s="625">
        <f>'a16'!AF48</f>
        <v>-3160.5012060509725</v>
      </c>
      <c r="J34" s="625">
        <f>'a16'!AJ48</f>
        <v>-3282.6759397015144</v>
      </c>
      <c r="K34" s="625">
        <f>'a16'!AN48</f>
        <v>-4937.3450729223387</v>
      </c>
      <c r="L34" s="625">
        <f>'a16'!AR48</f>
        <v>-3467.1176120256277</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-3.3086540299143263</v>
      </c>
      <c r="C36" s="617">
        <f t="shared" si="1"/>
        <v>-1.3822197475435449</v>
      </c>
      <c r="D36" s="617">
        <f t="shared" si="1"/>
        <v>-3.3409948465644046</v>
      </c>
      <c r="E36" s="617">
        <f t="shared" si="1"/>
        <v>-3.6179526179117572</v>
      </c>
      <c r="F36" s="617">
        <f t="shared" si="1"/>
        <v>-3.0614973182392591</v>
      </c>
      <c r="G36" s="617">
        <f t="shared" si="1"/>
        <v>-3.3204166499518739</v>
      </c>
      <c r="H36" s="617">
        <f t="shared" si="1"/>
        <v>-3.584999249678078</v>
      </c>
      <c r="I36" s="617">
        <f t="shared" si="1"/>
        <v>-3.6284687379996683</v>
      </c>
      <c r="J36" s="617">
        <f t="shared" si="1"/>
        <v>-3.460894368951184</v>
      </c>
      <c r="K36" s="617">
        <f t="shared" si="1"/>
        <v>-3.4554669532813054</v>
      </c>
      <c r="L36" s="617">
        <f t="shared" si="1"/>
        <v>-3.6345471026970944</v>
      </c>
    </row>
    <row r="37" spans="1:12">
      <c r="A37" s="611" t="s">
        <v>1472</v>
      </c>
      <c r="B37" s="617">
        <f t="shared" ref="B37:L37" si="2">100*(POWER(B13/B5, 1/8)-1)</f>
        <v>1.0345761251699725</v>
      </c>
      <c r="C37" s="617">
        <f t="shared" si="2"/>
        <v>2.0265531698950623</v>
      </c>
      <c r="D37" s="617">
        <f t="shared" si="2"/>
        <v>1.0511509614820724</v>
      </c>
      <c r="E37" s="617">
        <f t="shared" si="2"/>
        <v>-0.19246040385034746</v>
      </c>
      <c r="F37" s="617">
        <f t="shared" si="2"/>
        <v>0.64642279945537062</v>
      </c>
      <c r="G37" s="617">
        <f t="shared" si="2"/>
        <v>0.7563962366757826</v>
      </c>
      <c r="H37" s="617">
        <f t="shared" si="2"/>
        <v>0.79232532667792288</v>
      </c>
      <c r="I37" s="617">
        <f t="shared" si="2"/>
        <v>0.48919989327145252</v>
      </c>
      <c r="J37" s="617">
        <f t="shared" si="2"/>
        <v>0.88225414938827296</v>
      </c>
      <c r="K37" s="617">
        <f t="shared" si="2"/>
        <v>0.67355715324608489</v>
      </c>
      <c r="L37" s="617">
        <f t="shared" si="2"/>
        <v>1.1916776325584078</v>
      </c>
    </row>
    <row r="38" spans="1:12">
      <c r="A38" s="611" t="s">
        <v>1473</v>
      </c>
      <c r="B38" s="617">
        <f t="shared" ref="B38:L38" si="3">100*(POWER(B24/B13, 1/11)-1)</f>
        <v>-3.8040235602124883</v>
      </c>
      <c r="C38" s="617">
        <f t="shared" si="3"/>
        <v>-3.1232566511640414</v>
      </c>
      <c r="D38" s="617">
        <f t="shared" si="3"/>
        <v>-4.060307701484744</v>
      </c>
      <c r="E38" s="617">
        <f t="shared" si="3"/>
        <v>-4.094379054809572</v>
      </c>
      <c r="F38" s="617">
        <f t="shared" si="3"/>
        <v>-3.638805729436323</v>
      </c>
      <c r="G38" s="617">
        <f t="shared" si="3"/>
        <v>-3.5997243177712246</v>
      </c>
      <c r="H38" s="617">
        <f t="shared" si="3"/>
        <v>-3.9586617643719957</v>
      </c>
      <c r="I38" s="617">
        <f t="shared" si="3"/>
        <v>-4.1452555064960599</v>
      </c>
      <c r="J38" s="617">
        <f t="shared" si="3"/>
        <v>-3.2352249094456109</v>
      </c>
      <c r="K38" s="617">
        <f t="shared" si="3"/>
        <v>-3.5770351431067104</v>
      </c>
      <c r="L38" s="617">
        <f t="shared" si="3"/>
        <v>-5.0594713238197535</v>
      </c>
    </row>
    <row r="39" spans="1:12">
      <c r="A39" s="611" t="s">
        <v>1474</v>
      </c>
      <c r="B39" s="617">
        <f t="shared" ref="B39:L39" si="4">100*(POWER(B32/B24, 1/8)-1)</f>
        <v>-24.164858474116691</v>
      </c>
      <c r="C39" s="617">
        <f t="shared" si="4"/>
        <v>-21.168152062867694</v>
      </c>
      <c r="D39" s="617">
        <f t="shared" si="4"/>
        <v>-23.61963765355878</v>
      </c>
      <c r="E39" s="617">
        <f t="shared" si="4"/>
        <v>-23.705826278899778</v>
      </c>
      <c r="F39" s="617">
        <f t="shared" si="4"/>
        <v>-23.228167659244626</v>
      </c>
      <c r="G39" s="617">
        <f t="shared" si="4"/>
        <v>-24.022837121272456</v>
      </c>
      <c r="H39" s="617">
        <f t="shared" si="4"/>
        <v>-24.210195159038996</v>
      </c>
      <c r="I39" s="617">
        <f t="shared" si="4"/>
        <v>-24.03844446073251</v>
      </c>
      <c r="J39" s="617">
        <f t="shared" si="4"/>
        <v>-25.497545748735472</v>
      </c>
      <c r="K39" s="617">
        <f t="shared" si="4"/>
        <v>-25.230132692811324</v>
      </c>
      <c r="L39" s="617">
        <f t="shared" si="4"/>
        <v>-23.72648217695048</v>
      </c>
    </row>
    <row r="40" spans="1:12">
      <c r="A40" s="611" t="s">
        <v>1500</v>
      </c>
      <c r="B40" s="611"/>
      <c r="C40" s="611"/>
      <c r="D40" s="611"/>
      <c r="E40" s="611"/>
      <c r="F40" s="611"/>
      <c r="G40" s="611"/>
      <c r="H40" s="611"/>
      <c r="I40" s="611"/>
      <c r="J40" s="611"/>
      <c r="K40" s="611"/>
      <c r="L40" s="611"/>
    </row>
    <row r="41" spans="1:12">
      <c r="A41" s="611" t="s">
        <v>1498</v>
      </c>
      <c r="B41" s="616">
        <f>100*(B34-B5)/B5</f>
        <v>-62.308747683895376</v>
      </c>
      <c r="C41" s="616">
        <f t="shared" ref="C41:L41" si="5">100*(C34-C5)/C5</f>
        <v>-33.211534495362677</v>
      </c>
      <c r="D41" s="616">
        <f t="shared" si="5"/>
        <v>-62.672637293420699</v>
      </c>
      <c r="E41" s="616">
        <f t="shared" si="5"/>
        <v>-65.653042114818774</v>
      </c>
      <c r="F41" s="616">
        <f t="shared" si="5"/>
        <v>-59.412442989514084</v>
      </c>
      <c r="G41" s="616">
        <f t="shared" si="5"/>
        <v>-62.441491883618006</v>
      </c>
      <c r="H41" s="616">
        <f t="shared" si="5"/>
        <v>-65.310849859504202</v>
      </c>
      <c r="I41" s="616">
        <f t="shared" si="5"/>
        <v>-65.761555275966998</v>
      </c>
      <c r="J41" s="616">
        <f>100*(J34-J5)/J5</f>
        <v>-63.992343186643922</v>
      </c>
      <c r="K41" s="616">
        <f t="shared" si="5"/>
        <v>-63.933590932491164</v>
      </c>
      <c r="L41" s="616">
        <f t="shared" si="5"/>
        <v>-65.82412533756235</v>
      </c>
    </row>
    <row r="42" spans="1:12">
      <c r="A42" s="611" t="s">
        <v>1472</v>
      </c>
      <c r="B42" s="616">
        <f>100*(B13-B5)/B5</f>
        <v>8.5825884310320344</v>
      </c>
      <c r="C42" s="616">
        <f t="shared" ref="C42:L42" si="6">100*(C13-C5)/C5</f>
        <v>17.410170508328189</v>
      </c>
      <c r="D42" s="616">
        <f t="shared" si="6"/>
        <v>8.7251750511626565</v>
      </c>
      <c r="E42" s="616">
        <f t="shared" si="6"/>
        <v>-1.5293515749261228</v>
      </c>
      <c r="F42" s="616">
        <f t="shared" si="6"/>
        <v>5.2899088121807063</v>
      </c>
      <c r="G42" s="616">
        <f t="shared" si="6"/>
        <v>6.2138142824113753</v>
      </c>
      <c r="H42" s="616">
        <f t="shared" si="6"/>
        <v>6.5171940860019602</v>
      </c>
      <c r="I42" s="616">
        <f t="shared" si="6"/>
        <v>3.9812674132221817</v>
      </c>
      <c r="J42" s="616">
        <f t="shared" si="6"/>
        <v>7.2798658184533638</v>
      </c>
      <c r="K42" s="616">
        <f t="shared" si="6"/>
        <v>5.5172131402589901</v>
      </c>
      <c r="L42" s="616">
        <f t="shared" si="6"/>
        <v>9.9406672020798652</v>
      </c>
    </row>
    <row r="43" spans="1:12">
      <c r="A43" s="611" t="s">
        <v>1473</v>
      </c>
      <c r="B43" s="616">
        <f>100*(B24-B13)/B13</f>
        <v>-34.728141228434929</v>
      </c>
      <c r="C43" s="616">
        <f t="shared" ref="C43:L43" si="7">100*(C24-C13)/C13</f>
        <v>-29.463348285944821</v>
      </c>
      <c r="D43" s="616">
        <f t="shared" si="7"/>
        <v>-36.615724044403763</v>
      </c>
      <c r="E43" s="616">
        <f t="shared" si="7"/>
        <v>-36.862893190535431</v>
      </c>
      <c r="F43" s="616">
        <f t="shared" si="7"/>
        <v>-33.484338797179937</v>
      </c>
      <c r="G43" s="616">
        <f t="shared" si="7"/>
        <v>-33.186990446774963</v>
      </c>
      <c r="H43" s="616">
        <f t="shared" si="7"/>
        <v>-35.873102123410185</v>
      </c>
      <c r="I43" s="616">
        <f t="shared" si="7"/>
        <v>-37.230343390526933</v>
      </c>
      <c r="J43" s="616">
        <f t="shared" si="7"/>
        <v>-30.354957656594749</v>
      </c>
      <c r="K43" s="616">
        <f t="shared" si="7"/>
        <v>-33.013807434460688</v>
      </c>
      <c r="L43" s="616">
        <f t="shared" si="7"/>
        <v>-43.51045153465391</v>
      </c>
    </row>
    <row r="44" spans="1:12">
      <c r="A44" s="611" t="s">
        <v>1474</v>
      </c>
      <c r="B44" s="616">
        <f>100*(B32-B24)/B24</f>
        <v>-89.061342791892116</v>
      </c>
      <c r="C44" s="616">
        <f t="shared" ref="C44:L44" si="8">100*(C32-C24)/C24</f>
        <v>-85.085329693524741</v>
      </c>
      <c r="D44" s="616">
        <f t="shared" si="8"/>
        <v>-88.416128944264543</v>
      </c>
      <c r="E44" s="616">
        <f t="shared" si="8"/>
        <v>-88.520288040518508</v>
      </c>
      <c r="F44" s="616">
        <f t="shared" si="8"/>
        <v>-87.932557183081855</v>
      </c>
      <c r="G44" s="616">
        <f t="shared" si="8"/>
        <v>-88.896380329230951</v>
      </c>
      <c r="H44" s="616">
        <f t="shared" si="8"/>
        <v>-89.113549303100939</v>
      </c>
      <c r="I44" s="616">
        <f t="shared" si="8"/>
        <v>-88.914614589014647</v>
      </c>
      <c r="J44" s="616">
        <f t="shared" si="8"/>
        <v>-90.50784905689207</v>
      </c>
      <c r="K44" s="616">
        <f t="shared" si="8"/>
        <v>-90.23183742085341</v>
      </c>
      <c r="L44" s="616">
        <f t="shared" si="8"/>
        <v>-88.545128646159512</v>
      </c>
    </row>
    <row r="46" spans="1:12">
      <c r="A46" s="611" t="s">
        <v>1544</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dimension ref="A1:L46"/>
  <sheetViews>
    <sheetView workbookViewId="0">
      <selection activeCell="E9" sqref="E9"/>
    </sheetView>
  </sheetViews>
  <sheetFormatPr defaultRowHeight="12.75"/>
  <cols>
    <col min="1" max="16384" width="9" style="618"/>
  </cols>
  <sheetData>
    <row r="1" spans="1:12">
      <c r="A1" s="611" t="s">
        <v>1512</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5">
        <f>'a15'!R18</f>
        <v>77530.178961133061</v>
      </c>
      <c r="C5" s="625">
        <f>'a15'!AI18</f>
        <v>66933.710637172117</v>
      </c>
      <c r="D5" s="625">
        <f>'a15'!AZ18</f>
        <v>62022.122028161939</v>
      </c>
      <c r="E5" s="625">
        <f>'a15'!BQ18</f>
        <v>63659.403464385934</v>
      </c>
      <c r="F5" s="625">
        <f>'a15'!CH18</f>
        <v>63781.532931773574</v>
      </c>
      <c r="G5" s="625">
        <f>'a15'!CY18</f>
        <v>78931.016925527103</v>
      </c>
      <c r="H5" s="625">
        <f>'a15'!DP18</f>
        <v>76247.937292116258</v>
      </c>
      <c r="I5" s="625">
        <f>'a15'!EG18</f>
        <v>94292.588426717615</v>
      </c>
      <c r="J5" s="625">
        <f>'a15'!EX18</f>
        <v>92287.874654605184</v>
      </c>
      <c r="K5" s="625">
        <f>'a15'!FO18</f>
        <v>74529.677642482144</v>
      </c>
      <c r="L5" s="625">
        <f>'a15'!GF18</f>
        <v>89667.765390435263</v>
      </c>
    </row>
    <row r="6" spans="1:12">
      <c r="A6" s="611">
        <f t="shared" ref="A6:A34" si="0">A5+1</f>
        <v>1982</v>
      </c>
      <c r="B6" s="625">
        <f>'a15'!R19</f>
        <v>78481.282063478051</v>
      </c>
      <c r="C6" s="625">
        <f>'a15'!AI19</f>
        <v>69171.923309178936</v>
      </c>
      <c r="D6" s="625">
        <f>'a15'!AZ19</f>
        <v>63183.653532256525</v>
      </c>
      <c r="E6" s="625">
        <f>'a15'!BQ19</f>
        <v>64442.072357653022</v>
      </c>
      <c r="F6" s="625">
        <f>'a15'!CH19</f>
        <v>64660.220032264951</v>
      </c>
      <c r="G6" s="625">
        <f>'a15'!CY19</f>
        <v>79716.168496367973</v>
      </c>
      <c r="H6" s="625">
        <f>'a15'!DP19</f>
        <v>77296.727936931537</v>
      </c>
      <c r="I6" s="625">
        <f>'a15'!EG19</f>
        <v>95213.199723199737</v>
      </c>
      <c r="J6" s="625">
        <f>'a15'!EX19</f>
        <v>93744.073471743512</v>
      </c>
      <c r="K6" s="625">
        <f>'a15'!FO19</f>
        <v>75382.835152485932</v>
      </c>
      <c r="L6" s="625">
        <f>'a15'!GF19</f>
        <v>90565.63422244192</v>
      </c>
    </row>
    <row r="7" spans="1:12">
      <c r="A7" s="611">
        <f t="shared" si="0"/>
        <v>1983</v>
      </c>
      <c r="B7" s="625">
        <f>'a15'!R20</f>
        <v>79639.371029764225</v>
      </c>
      <c r="C7" s="625">
        <f>'a15'!AI20</f>
        <v>70498.013868282738</v>
      </c>
      <c r="D7" s="625">
        <f>'a15'!AZ20</f>
        <v>64766.867988751706</v>
      </c>
      <c r="E7" s="625">
        <f>'a15'!BQ20</f>
        <v>65573.523981753358</v>
      </c>
      <c r="F7" s="625">
        <f>'a15'!CH20</f>
        <v>65345.336310903382</v>
      </c>
      <c r="G7" s="625">
        <f>'a15'!CY20</f>
        <v>81090.04760714469</v>
      </c>
      <c r="H7" s="625">
        <f>'a15'!DP20</f>
        <v>78598.229349428337</v>
      </c>
      <c r="I7" s="625">
        <f>'a15'!EG20</f>
        <v>95462.69456514786</v>
      </c>
      <c r="J7" s="625">
        <f>'a15'!EX20</f>
        <v>93486.662248255918</v>
      </c>
      <c r="K7" s="625">
        <f>'a15'!FO20</f>
        <v>76346.415797682159</v>
      </c>
      <c r="L7" s="625">
        <f>'a15'!GF20</f>
        <v>91507.790928162663</v>
      </c>
    </row>
    <row r="8" spans="1:12">
      <c r="A8" s="611">
        <f t="shared" si="0"/>
        <v>1984</v>
      </c>
      <c r="B8" s="625">
        <f>'a15'!R21</f>
        <v>80382.348905194347</v>
      </c>
      <c r="C8" s="625">
        <f>'a15'!AI21</f>
        <v>71630.259999129892</v>
      </c>
      <c r="D8" s="625">
        <f>'a15'!AZ21</f>
        <v>65596.059265710603</v>
      </c>
      <c r="E8" s="625">
        <f>'a15'!BQ21</f>
        <v>66511.05144072081</v>
      </c>
      <c r="F8" s="625">
        <f>'a15'!CH21</f>
        <v>65747.197263656271</v>
      </c>
      <c r="G8" s="625">
        <f>'a15'!CY21</f>
        <v>81903.852855545454</v>
      </c>
      <c r="H8" s="625">
        <f>'a15'!DP21</f>
        <v>79458.438992692885</v>
      </c>
      <c r="I8" s="625">
        <f>'a15'!EG21</f>
        <v>97023.425330779428</v>
      </c>
      <c r="J8" s="625">
        <f>'a15'!EX21</f>
        <v>94873.17434544093</v>
      </c>
      <c r="K8" s="625">
        <f>'a15'!FO21</f>
        <v>76493.70583175373</v>
      </c>
      <c r="L8" s="625">
        <f>'a15'!GF21</f>
        <v>91776.784275610698</v>
      </c>
    </row>
    <row r="9" spans="1:12">
      <c r="A9" s="611">
        <f t="shared" si="0"/>
        <v>1985</v>
      </c>
      <c r="B9" s="625">
        <f>'a15'!R22</f>
        <v>81184.235378060272</v>
      </c>
      <c r="C9" s="625">
        <f>'a15'!AI22</f>
        <v>72028.760037232743</v>
      </c>
      <c r="D9" s="625">
        <f>'a15'!AZ22</f>
        <v>66715.12444229683</v>
      </c>
      <c r="E9" s="625">
        <f>'a15'!BQ22</f>
        <v>67103.152181719895</v>
      </c>
      <c r="F9" s="625">
        <f>'a15'!CH22</f>
        <v>67146.717792101656</v>
      </c>
      <c r="G9" s="625">
        <f>'a15'!CY22</f>
        <v>82487.169183852209</v>
      </c>
      <c r="H9" s="625">
        <f>'a15'!DP22</f>
        <v>80484.955984553366</v>
      </c>
      <c r="I9" s="625">
        <f>'a15'!EG22</f>
        <v>96850.358321504187</v>
      </c>
      <c r="J9" s="625">
        <f>'a15'!EX22</f>
        <v>96919.585385576342</v>
      </c>
      <c r="K9" s="625">
        <f>'a15'!FO22</f>
        <v>77496.604948477092</v>
      </c>
      <c r="L9" s="625">
        <f>'a15'!GF22</f>
        <v>93196.844740033426</v>
      </c>
    </row>
    <row r="10" spans="1:12">
      <c r="A10" s="611">
        <f t="shared" si="0"/>
        <v>1986</v>
      </c>
      <c r="B10" s="625">
        <f>'a15'!R23</f>
        <v>82004.239664548804</v>
      </c>
      <c r="C10" s="625">
        <f>'a15'!AI23</f>
        <v>73336.822171207968</v>
      </c>
      <c r="D10" s="625">
        <f>'a15'!AZ23</f>
        <v>67036.901646539147</v>
      </c>
      <c r="E10" s="625">
        <f>'a15'!BQ23</f>
        <v>68416.953396056429</v>
      </c>
      <c r="F10" s="625">
        <f>'a15'!CH23</f>
        <v>68362.120575499473</v>
      </c>
      <c r="G10" s="625">
        <f>'a15'!CY23</f>
        <v>83680.824207846948</v>
      </c>
      <c r="H10" s="625">
        <f>'a15'!DP23</f>
        <v>80907.687145759977</v>
      </c>
      <c r="I10" s="625">
        <f>'a15'!EG23</f>
        <v>98054.34295363295</v>
      </c>
      <c r="J10" s="625">
        <f>'a15'!EX23</f>
        <v>97463.977987745864</v>
      </c>
      <c r="K10" s="625">
        <f>'a15'!FO23</f>
        <v>78315.105375498024</v>
      </c>
      <c r="L10" s="625">
        <f>'a15'!GF23</f>
        <v>94492.814294200696</v>
      </c>
    </row>
    <row r="11" spans="1:12">
      <c r="A11" s="611">
        <f t="shared" si="0"/>
        <v>1987</v>
      </c>
      <c r="B11" s="625">
        <f>'a15'!R24</f>
        <v>82753.258353677069</v>
      </c>
      <c r="C11" s="625">
        <f>'a15'!AI24</f>
        <v>74901.799079377262</v>
      </c>
      <c r="D11" s="625">
        <f>'a15'!AZ24</f>
        <v>66023.686264226897</v>
      </c>
      <c r="E11" s="625">
        <f>'a15'!BQ24</f>
        <v>68917.69631361941</v>
      </c>
      <c r="F11" s="625">
        <f>'a15'!CH24</f>
        <v>69154.380752100842</v>
      </c>
      <c r="G11" s="625">
        <f>'a15'!CY24</f>
        <v>84217.867152313658</v>
      </c>
      <c r="H11" s="625">
        <f>'a15'!DP24</f>
        <v>81976.326968343812</v>
      </c>
      <c r="I11" s="625">
        <f>'a15'!EG24</f>
        <v>98723.442649545148</v>
      </c>
      <c r="J11" s="625">
        <f>'a15'!EX24</f>
        <v>97878.402089600495</v>
      </c>
      <c r="K11" s="625">
        <f>'a15'!FO24</f>
        <v>78233.221033436741</v>
      </c>
      <c r="L11" s="625">
        <f>'a15'!GF24</f>
        <v>94578.40767623132</v>
      </c>
    </row>
    <row r="12" spans="1:12">
      <c r="A12" s="611">
        <f t="shared" si="0"/>
        <v>1988</v>
      </c>
      <c r="B12" s="625">
        <f>'a15'!R25</f>
        <v>83637.697793676882</v>
      </c>
      <c r="C12" s="625">
        <f>'a15'!AI25</f>
        <v>76188.693616706383</v>
      </c>
      <c r="D12" s="625">
        <f>'a15'!AZ25</f>
        <v>67430.752032083779</v>
      </c>
      <c r="E12" s="625">
        <f>'a15'!BQ25</f>
        <v>70027.650008667188</v>
      </c>
      <c r="F12" s="625">
        <f>'a15'!CH25</f>
        <v>70215.395370972299</v>
      </c>
      <c r="G12" s="625">
        <f>'a15'!CY25</f>
        <v>85101.119517586907</v>
      </c>
      <c r="H12" s="625">
        <f>'a15'!DP25</f>
        <v>82819.630403193674</v>
      </c>
      <c r="I12" s="625">
        <f>'a15'!EG25</f>
        <v>99040.072923604399</v>
      </c>
      <c r="J12" s="625">
        <f>'a15'!EX25</f>
        <v>98725.267336875258</v>
      </c>
      <c r="K12" s="625">
        <f>'a15'!FO25</f>
        <v>78675.431874629227</v>
      </c>
      <c r="L12" s="625">
        <f>'a15'!GF25</f>
        <v>95018.528180372305</v>
      </c>
    </row>
    <row r="13" spans="1:12">
      <c r="A13" s="611">
        <f t="shared" si="0"/>
        <v>1989</v>
      </c>
      <c r="B13" s="625">
        <f>'a15'!R26</f>
        <v>83646.442214305891</v>
      </c>
      <c r="C13" s="625">
        <f>'a15'!AI26</f>
        <v>77916.378664028132</v>
      </c>
      <c r="D13" s="625">
        <f>'a15'!AZ26</f>
        <v>68162.651360792253</v>
      </c>
      <c r="E13" s="625">
        <f>'a15'!BQ26</f>
        <v>70681.586584375385</v>
      </c>
      <c r="F13" s="625">
        <f>'a15'!CH26</f>
        <v>71285.001855496404</v>
      </c>
      <c r="G13" s="625">
        <f>'a15'!CY26</f>
        <v>84843.827555097756</v>
      </c>
      <c r="H13" s="625">
        <f>'a15'!DP26</f>
        <v>82298.149469921147</v>
      </c>
      <c r="I13" s="625">
        <f>'a15'!EG26</f>
        <v>99581.651153355182</v>
      </c>
      <c r="J13" s="625">
        <f>'a15'!EX26</f>
        <v>100167.08469859169</v>
      </c>
      <c r="K13" s="625">
        <f>'a15'!FO26</f>
        <v>79612.426907911722</v>
      </c>
      <c r="L13" s="625">
        <f>'a15'!GF26</f>
        <v>94622.338406479888</v>
      </c>
    </row>
    <row r="14" spans="1:12">
      <c r="A14" s="611">
        <f t="shared" si="0"/>
        <v>1990</v>
      </c>
      <c r="B14" s="625">
        <f>'a15'!R27</f>
        <v>88418.232532402428</v>
      </c>
      <c r="C14" s="625">
        <f>'a15'!AI27</f>
        <v>82851.964215004351</v>
      </c>
      <c r="D14" s="625">
        <f>'a15'!AZ27</f>
        <v>74255.890414242182</v>
      </c>
      <c r="E14" s="625">
        <f>'a15'!BQ27</f>
        <v>75991.609066474251</v>
      </c>
      <c r="F14" s="625">
        <f>'a15'!CH27</f>
        <v>77661.034992278481</v>
      </c>
      <c r="G14" s="625">
        <f>'a15'!CY27</f>
        <v>89581.939084499114</v>
      </c>
      <c r="H14" s="625">
        <f>'a15'!DP27</f>
        <v>86197.61254835235</v>
      </c>
      <c r="I14" s="625">
        <f>'a15'!EG27</f>
        <v>105307.81964295302</v>
      </c>
      <c r="J14" s="625">
        <f>'a15'!EX27</f>
        <v>104442.82375214898</v>
      </c>
      <c r="K14" s="625">
        <f>'a15'!FO27</f>
        <v>82432.484393129664</v>
      </c>
      <c r="L14" s="625">
        <f>'a15'!GF27</f>
        <v>100882.86258301961</v>
      </c>
    </row>
    <row r="15" spans="1:12">
      <c r="A15" s="611">
        <f t="shared" si="0"/>
        <v>1991</v>
      </c>
      <c r="B15" s="625">
        <f>'a15'!R28</f>
        <v>89066.701726938409</v>
      </c>
      <c r="C15" s="625">
        <f>'a15'!AI28</f>
        <v>84298.163093625655</v>
      </c>
      <c r="D15" s="625">
        <f>'a15'!AZ28</f>
        <v>75268.376126898773</v>
      </c>
      <c r="E15" s="625">
        <f>'a15'!BQ28</f>
        <v>76918.796124581131</v>
      </c>
      <c r="F15" s="625">
        <f>'a15'!CH28</f>
        <v>77881.872563069468</v>
      </c>
      <c r="G15" s="625">
        <f>'a15'!CY28</f>
        <v>90209.86846910727</v>
      </c>
      <c r="H15" s="625">
        <f>'a15'!DP28</f>
        <v>86904.61574761536</v>
      </c>
      <c r="I15" s="625">
        <f>'a15'!EG28</f>
        <v>106019.48222007982</v>
      </c>
      <c r="J15" s="625">
        <f>'a15'!EX28</f>
        <v>104794.01279890312</v>
      </c>
      <c r="K15" s="625">
        <f>'a15'!FO28</f>
        <v>83046.277085469017</v>
      </c>
      <c r="L15" s="625">
        <f>'a15'!GF28</f>
        <v>101151.99268830467</v>
      </c>
    </row>
    <row r="16" spans="1:12">
      <c r="A16" s="611">
        <f t="shared" si="0"/>
        <v>1992</v>
      </c>
      <c r="B16" s="625">
        <f>'a15'!R29</f>
        <v>90031.161412721151</v>
      </c>
      <c r="C16" s="625">
        <f>'a15'!AI29</f>
        <v>85708.614790670545</v>
      </c>
      <c r="D16" s="625">
        <f>'a15'!AZ29</f>
        <v>77881.78517823547</v>
      </c>
      <c r="E16" s="625">
        <f>'a15'!BQ29</f>
        <v>77237.862305307906</v>
      </c>
      <c r="F16" s="625">
        <f>'a15'!CH29</f>
        <v>79132.3959984393</v>
      </c>
      <c r="G16" s="625">
        <f>'a15'!CY29</f>
        <v>91757.370717116864</v>
      </c>
      <c r="H16" s="625">
        <f>'a15'!DP29</f>
        <v>87630.330812814951</v>
      </c>
      <c r="I16" s="625">
        <f>'a15'!EG29</f>
        <v>106407.33754886282</v>
      </c>
      <c r="J16" s="625">
        <f>'a15'!EX29</f>
        <v>105714.3950923743</v>
      </c>
      <c r="K16" s="625">
        <f>'a15'!FO29</f>
        <v>83905.06319214715</v>
      </c>
      <c r="L16" s="625">
        <f>'a15'!GF29</f>
        <v>101993.20715207826</v>
      </c>
    </row>
    <row r="17" spans="1:12">
      <c r="A17" s="611">
        <f t="shared" si="0"/>
        <v>1993</v>
      </c>
      <c r="B17" s="625">
        <f>'a15'!R30</f>
        <v>91165.534575267317</v>
      </c>
      <c r="C17" s="625">
        <f>'a15'!AI30</f>
        <v>86944.186483150435</v>
      </c>
      <c r="D17" s="625">
        <f>'a15'!AZ30</f>
        <v>80688.00957115124</v>
      </c>
      <c r="E17" s="625">
        <f>'a15'!BQ30</f>
        <v>78669.527254063971</v>
      </c>
      <c r="F17" s="625">
        <f>'a15'!CH30</f>
        <v>80719.133881536283</v>
      </c>
      <c r="G17" s="625">
        <f>'a15'!CY30</f>
        <v>93087.280354505885</v>
      </c>
      <c r="H17" s="625">
        <f>'a15'!DP30</f>
        <v>88454.845606856994</v>
      </c>
      <c r="I17" s="625">
        <f>'a15'!EG30</f>
        <v>106721.98939443039</v>
      </c>
      <c r="J17" s="625">
        <f>'a15'!EX30</f>
        <v>107919.65839953786</v>
      </c>
      <c r="K17" s="625">
        <f>'a15'!FO30</f>
        <v>85067.232490598049</v>
      </c>
      <c r="L17" s="625">
        <f>'a15'!GF30</f>
        <v>103555.52534047738</v>
      </c>
    </row>
    <row r="18" spans="1:12">
      <c r="A18" s="611">
        <f t="shared" si="0"/>
        <v>1994</v>
      </c>
      <c r="B18" s="625">
        <f>'a15'!R31</f>
        <v>92010.018049406688</v>
      </c>
      <c r="C18" s="625">
        <f>'a15'!AI31</f>
        <v>88083.655366665407</v>
      </c>
      <c r="D18" s="625">
        <f>'a15'!AZ31</f>
        <v>81327.004114811352</v>
      </c>
      <c r="E18" s="625">
        <f>'a15'!BQ31</f>
        <v>79187.641929892416</v>
      </c>
      <c r="F18" s="625">
        <f>'a15'!CH31</f>
        <v>81932.361672542916</v>
      </c>
      <c r="G18" s="625">
        <f>'a15'!CY31</f>
        <v>93517.380872479262</v>
      </c>
      <c r="H18" s="625">
        <f>'a15'!DP31</f>
        <v>89447.452010476729</v>
      </c>
      <c r="I18" s="625">
        <f>'a15'!EG31</f>
        <v>106974.12704780254</v>
      </c>
      <c r="J18" s="625">
        <f>'a15'!EX31</f>
        <v>108555.0023844346</v>
      </c>
      <c r="K18" s="625">
        <f>'a15'!FO31</f>
        <v>85802.912021041338</v>
      </c>
      <c r="L18" s="625">
        <f>'a15'!GF31</f>
        <v>105036.90089231596</v>
      </c>
    </row>
    <row r="19" spans="1:12">
      <c r="A19" s="611">
        <f t="shared" si="0"/>
        <v>1995</v>
      </c>
      <c r="B19" s="625">
        <f>'a15'!R32</f>
        <v>92728.589184461685</v>
      </c>
      <c r="C19" s="625">
        <f>'a15'!AI32</f>
        <v>89878.54312152187</v>
      </c>
      <c r="D19" s="625">
        <f>'a15'!AZ32</f>
        <v>82776.732227870496</v>
      </c>
      <c r="E19" s="625">
        <f>'a15'!BQ32</f>
        <v>79641.422932125686</v>
      </c>
      <c r="F19" s="625">
        <f>'a15'!CH32</f>
        <v>83212.410428054034</v>
      </c>
      <c r="G19" s="625">
        <f>'a15'!CY32</f>
        <v>95108.326283062372</v>
      </c>
      <c r="H19" s="625">
        <f>'a15'!DP32</f>
        <v>89749.967029383624</v>
      </c>
      <c r="I19" s="625">
        <f>'a15'!EG32</f>
        <v>107776.04277116827</v>
      </c>
      <c r="J19" s="625">
        <f>'a15'!EX32</f>
        <v>110112.862446656</v>
      </c>
      <c r="K19" s="625">
        <f>'a15'!FO32</f>
        <v>85860.775307886128</v>
      </c>
      <c r="L19" s="625">
        <f>'a15'!GF32</f>
        <v>105423.74392486874</v>
      </c>
    </row>
    <row r="20" spans="1:12">
      <c r="A20" s="611">
        <f t="shared" si="0"/>
        <v>1996</v>
      </c>
      <c r="B20" s="625">
        <f>'a15'!R33</f>
        <v>93454.214844169008</v>
      </c>
      <c r="C20" s="625">
        <f>'a15'!AI33</f>
        <v>90770.207598245659</v>
      </c>
      <c r="D20" s="625">
        <f>'a15'!AZ33</f>
        <v>82741.031629884717</v>
      </c>
      <c r="E20" s="625">
        <f>'a15'!BQ33</f>
        <v>80518.532717354799</v>
      </c>
      <c r="F20" s="625">
        <f>'a15'!CH33</f>
        <v>83399.52390201675</v>
      </c>
      <c r="G20" s="625">
        <f>'a15'!CY33</f>
        <v>96047.865323097954</v>
      </c>
      <c r="H20" s="625">
        <f>'a15'!DP33</f>
        <v>90292.804325716934</v>
      </c>
      <c r="I20" s="625">
        <f>'a15'!EG33</f>
        <v>108565.736047092</v>
      </c>
      <c r="J20" s="625">
        <f>'a15'!EX33</f>
        <v>110801.25514245086</v>
      </c>
      <c r="K20" s="625">
        <f>'a15'!FO33</f>
        <v>86502.367608891756</v>
      </c>
      <c r="L20" s="625">
        <f>'a15'!GF33</f>
        <v>106467.43725573424</v>
      </c>
    </row>
    <row r="21" spans="1:12">
      <c r="A21" s="611">
        <f t="shared" si="0"/>
        <v>1997</v>
      </c>
      <c r="B21" s="625">
        <f>'a15'!R34</f>
        <v>94566.425529290194</v>
      </c>
      <c r="C21" s="625">
        <f>'a15'!AI34</f>
        <v>92203.499645774849</v>
      </c>
      <c r="D21" s="625">
        <f>'a15'!AZ34</f>
        <v>83969.523063125496</v>
      </c>
      <c r="E21" s="625">
        <f>'a15'!BQ34</f>
        <v>81488.146263950402</v>
      </c>
      <c r="F21" s="625">
        <f>'a15'!CH34</f>
        <v>84907.563145661072</v>
      </c>
      <c r="G21" s="625">
        <f>'a15'!CY34</f>
        <v>97786.112250319711</v>
      </c>
      <c r="H21" s="625">
        <f>'a15'!DP34</f>
        <v>91106.394039529216</v>
      </c>
      <c r="I21" s="625">
        <f>'a15'!EG34</f>
        <v>109881.32061476793</v>
      </c>
      <c r="J21" s="625">
        <f>'a15'!EX34</f>
        <v>111687.05185751698</v>
      </c>
      <c r="K21" s="625">
        <f>'a15'!FO34</f>
        <v>87713.501620415103</v>
      </c>
      <c r="L21" s="625">
        <f>'a15'!GF34</f>
        <v>106986.18405217405</v>
      </c>
    </row>
    <row r="22" spans="1:12">
      <c r="A22" s="611">
        <f t="shared" si="0"/>
        <v>1998</v>
      </c>
      <c r="B22" s="625">
        <f>'a15'!R35</f>
        <v>95285.729035807046</v>
      </c>
      <c r="C22" s="625">
        <f>'a15'!AI35</f>
        <v>93904.841361395462</v>
      </c>
      <c r="D22" s="625">
        <f>'a15'!AZ35</f>
        <v>85043.977869629569</v>
      </c>
      <c r="E22" s="625">
        <f>'a15'!BQ35</f>
        <v>82619.739093907192</v>
      </c>
      <c r="F22" s="625">
        <f>'a15'!CH35</f>
        <v>85958.359282754958</v>
      </c>
      <c r="G22" s="625">
        <f>'a15'!CY35</f>
        <v>98520.116834741697</v>
      </c>
      <c r="H22" s="625">
        <f>'a15'!DP35</f>
        <v>91491.342729341646</v>
      </c>
      <c r="I22" s="625">
        <f>'a15'!EG35</f>
        <v>110687.776327407</v>
      </c>
      <c r="J22" s="625">
        <f>'a15'!EX35</f>
        <v>113914.59054266638</v>
      </c>
      <c r="K22" s="625">
        <f>'a15'!FO35</f>
        <v>88353.391810564994</v>
      </c>
      <c r="L22" s="625">
        <f>'a15'!GF35</f>
        <v>108233.32206397897</v>
      </c>
    </row>
    <row r="23" spans="1:12">
      <c r="A23" s="611">
        <f t="shared" si="0"/>
        <v>1999</v>
      </c>
      <c r="B23" s="625">
        <f>'a15'!R36</f>
        <v>96208.631917573468</v>
      </c>
      <c r="C23" s="625">
        <f>'a15'!AI36</f>
        <v>95264.142093277638</v>
      </c>
      <c r="D23" s="625">
        <f>'a15'!AZ36</f>
        <v>85586.585093730042</v>
      </c>
      <c r="E23" s="625">
        <f>'a15'!BQ36</f>
        <v>83206.596445830437</v>
      </c>
      <c r="F23" s="625">
        <f>'a15'!CH36</f>
        <v>87199.98802202291</v>
      </c>
      <c r="G23" s="625">
        <f>'a15'!CY36</f>
        <v>99321.939310737565</v>
      </c>
      <c r="H23" s="625">
        <f>'a15'!DP36</f>
        <v>92564.459377802254</v>
      </c>
      <c r="I23" s="625">
        <f>'a15'!EG36</f>
        <v>111135.11183970183</v>
      </c>
      <c r="J23" s="625">
        <f>'a15'!EX36</f>
        <v>115022.86918617913</v>
      </c>
      <c r="K23" s="625">
        <f>'a15'!FO36</f>
        <v>89068.703787828912</v>
      </c>
      <c r="L23" s="625">
        <f>'a15'!GF36</f>
        <v>109171.97910647935</v>
      </c>
    </row>
    <row r="24" spans="1:12">
      <c r="A24" s="611">
        <f t="shared" si="0"/>
        <v>2000</v>
      </c>
      <c r="B24" s="625">
        <f>'a15'!R37</f>
        <v>97264.259836112949</v>
      </c>
      <c r="C24" s="625">
        <f>'a15'!AI37</f>
        <v>96425.043273713702</v>
      </c>
      <c r="D24" s="625">
        <f>'a15'!AZ37</f>
        <v>86028.722087798349</v>
      </c>
      <c r="E24" s="625">
        <f>'a15'!BQ37</f>
        <v>84487.192390642376</v>
      </c>
      <c r="F24" s="625">
        <f>'a15'!CH37</f>
        <v>87755.601163015104</v>
      </c>
      <c r="G24" s="625">
        <f>'a15'!CY37</f>
        <v>100010.8990410156</v>
      </c>
      <c r="H24" s="625">
        <f>'a15'!DP37</f>
        <v>93793.929434625345</v>
      </c>
      <c r="I24" s="625">
        <f>'a15'!EG37</f>
        <v>112311.21880438423</v>
      </c>
      <c r="J24" s="625">
        <f>'a15'!EX37</f>
        <v>116531.23814576927</v>
      </c>
      <c r="K24" s="625">
        <f>'a15'!FO37</f>
        <v>89522.99281159231</v>
      </c>
      <c r="L24" s="625">
        <f>'a15'!GF37</f>
        <v>110609.83388946047</v>
      </c>
    </row>
    <row r="25" spans="1:12">
      <c r="A25" s="611">
        <f t="shared" si="0"/>
        <v>2001</v>
      </c>
      <c r="B25" s="625">
        <f>'a15'!R38</f>
        <v>98390.138911302696</v>
      </c>
      <c r="C25" s="625">
        <f>'a15'!AI38</f>
        <v>98115.146560411027</v>
      </c>
      <c r="D25" s="625">
        <f>'a15'!AZ38</f>
        <v>88824.178799294838</v>
      </c>
      <c r="E25" s="625">
        <f>'a15'!BQ38</f>
        <v>86252.431627338199</v>
      </c>
      <c r="F25" s="625">
        <f>'a15'!CH38</f>
        <v>89312.423454255535</v>
      </c>
      <c r="G25" s="625">
        <f>'a15'!CY38</f>
        <v>101268.91428130535</v>
      </c>
      <c r="H25" s="625">
        <f>'a15'!DP38</f>
        <v>94582.78794260713</v>
      </c>
      <c r="I25" s="625">
        <f>'a15'!EG38</f>
        <v>112961.62950702458</v>
      </c>
      <c r="J25" s="625">
        <f>'a15'!EX38</f>
        <v>117561.37128814087</v>
      </c>
      <c r="K25" s="625">
        <f>'a15'!FO38</f>
        <v>91950.807725769191</v>
      </c>
      <c r="L25" s="625">
        <f>'a15'!GF38</f>
        <v>111186.1419232476</v>
      </c>
    </row>
    <row r="26" spans="1:12">
      <c r="A26" s="611">
        <f t="shared" si="0"/>
        <v>2002</v>
      </c>
      <c r="B26" s="625">
        <f>'a15'!R39</f>
        <v>99281.446990420402</v>
      </c>
      <c r="C26" s="625">
        <f>'a15'!AI39</f>
        <v>99899.743613615181</v>
      </c>
      <c r="D26" s="625">
        <f>'a15'!AZ39</f>
        <v>90476.574004728434</v>
      </c>
      <c r="E26" s="625">
        <f>'a15'!BQ39</f>
        <v>86585.910174331846</v>
      </c>
      <c r="F26" s="625">
        <f>'a15'!CH39</f>
        <v>89747.742591564194</v>
      </c>
      <c r="G26" s="625">
        <f>'a15'!CY39</f>
        <v>102195.19098907063</v>
      </c>
      <c r="H26" s="625">
        <f>'a15'!DP39</f>
        <v>95496.21034961204</v>
      </c>
      <c r="I26" s="625">
        <f>'a15'!EG39</f>
        <v>113577.74009465543</v>
      </c>
      <c r="J26" s="625">
        <f>'a15'!EX39</f>
        <v>119297.10802103356</v>
      </c>
      <c r="K26" s="625">
        <f>'a15'!FO39</f>
        <v>92653.060021054596</v>
      </c>
      <c r="L26" s="625">
        <f>'a15'!GF39</f>
        <v>112205.71337361135</v>
      </c>
    </row>
    <row r="27" spans="1:12">
      <c r="A27" s="611">
        <f t="shared" si="0"/>
        <v>2003</v>
      </c>
      <c r="B27" s="625">
        <f>'a15'!R40</f>
        <v>100568.48525941581</v>
      </c>
      <c r="C27" s="625">
        <f>'a15'!AI40</f>
        <v>101545.77776852532</v>
      </c>
      <c r="D27" s="625">
        <f>'a15'!AZ40</f>
        <v>91812.558339666124</v>
      </c>
      <c r="E27" s="625">
        <f>'a15'!BQ40</f>
        <v>87934.665257896791</v>
      </c>
      <c r="F27" s="625">
        <f>'a15'!CH40</f>
        <v>90917.27413673031</v>
      </c>
      <c r="G27" s="625">
        <f>'a15'!CY40</f>
        <v>103703.29953713308</v>
      </c>
      <c r="H27" s="625">
        <f>'a15'!DP40</f>
        <v>96717.224301849041</v>
      </c>
      <c r="I27" s="625">
        <f>'a15'!EG40</f>
        <v>114475.27603304686</v>
      </c>
      <c r="J27" s="625">
        <f>'a15'!EX40</f>
        <v>121490.09356147253</v>
      </c>
      <c r="K27" s="625">
        <f>'a15'!FO40</f>
        <v>93100.629200299765</v>
      </c>
      <c r="L27" s="625">
        <f>'a15'!GF40</f>
        <v>114073.57091947949</v>
      </c>
    </row>
    <row r="28" spans="1:12">
      <c r="A28" s="611">
        <f t="shared" si="0"/>
        <v>2004</v>
      </c>
      <c r="B28" s="625">
        <f>'a15'!R41</f>
        <v>101171.69546788384</v>
      </c>
      <c r="C28" s="625">
        <f>'a15'!AI41</f>
        <v>101107.31453718992</v>
      </c>
      <c r="D28" s="625">
        <f>'a15'!AZ41</f>
        <v>93283.29035616068</v>
      </c>
      <c r="E28" s="625">
        <f>'a15'!BQ41</f>
        <v>88642.037394342769</v>
      </c>
      <c r="F28" s="625">
        <f>'a15'!CH41</f>
        <v>91984.111844474566</v>
      </c>
      <c r="G28" s="625">
        <f>'a15'!CY41</f>
        <v>104384.68089958256</v>
      </c>
      <c r="H28" s="625">
        <f>'a15'!DP41</f>
        <v>97274.266447097005</v>
      </c>
      <c r="I28" s="625">
        <f>'a15'!EG41</f>
        <v>115297.24496112597</v>
      </c>
      <c r="J28" s="625">
        <f>'a15'!EX41</f>
        <v>122123.07881786383</v>
      </c>
      <c r="K28" s="625">
        <f>'a15'!FO41</f>
        <v>93431.878356006593</v>
      </c>
      <c r="L28" s="625">
        <f>'a15'!GF41</f>
        <v>114774.36943561079</v>
      </c>
    </row>
    <row r="29" spans="1:12">
      <c r="A29" s="611">
        <f t="shared" si="0"/>
        <v>2005</v>
      </c>
      <c r="B29" s="625">
        <f>'a15'!R42</f>
        <v>102397.8906899548</v>
      </c>
      <c r="C29" s="625">
        <f>'a15'!AI42</f>
        <v>102602.08535648274</v>
      </c>
      <c r="D29" s="625">
        <f>'a15'!AZ42</f>
        <v>93783.564596093478</v>
      </c>
      <c r="E29" s="625">
        <f>'a15'!BQ42</f>
        <v>88993.936370854761</v>
      </c>
      <c r="F29" s="625">
        <f>'a15'!CH42</f>
        <v>92613.888666535277</v>
      </c>
      <c r="G29" s="625">
        <f>'a15'!CY42</f>
        <v>105807.96282698691</v>
      </c>
      <c r="H29" s="625">
        <f>'a15'!DP42</f>
        <v>98203.941522839988</v>
      </c>
      <c r="I29" s="625">
        <f>'a15'!EG42</f>
        <v>116252.05781982538</v>
      </c>
      <c r="J29" s="625">
        <f>'a15'!EX42</f>
        <v>124073.43254438313</v>
      </c>
      <c r="K29" s="625">
        <f>'a15'!FO42</f>
        <v>95910.300172640695</v>
      </c>
      <c r="L29" s="625">
        <f>'a15'!GF42</f>
        <v>116116.14892578397</v>
      </c>
    </row>
    <row r="30" spans="1:12">
      <c r="A30" s="611">
        <f t="shared" si="0"/>
        <v>2006</v>
      </c>
      <c r="B30" s="625">
        <f>'a15'!R43</f>
        <v>103427.26558003515</v>
      </c>
      <c r="C30" s="625">
        <f>'a15'!AI43</f>
        <v>103017.79084216473</v>
      </c>
      <c r="D30" s="625">
        <f>'a15'!AZ43</f>
        <v>94926.431511299757</v>
      </c>
      <c r="E30" s="625">
        <f>'a15'!BQ43</f>
        <v>89875.062239115185</v>
      </c>
      <c r="F30" s="625">
        <f>'a15'!CH43</f>
        <v>93948.189135096021</v>
      </c>
      <c r="G30" s="625">
        <f>'a15'!CY43</f>
        <v>106812.84687410796</v>
      </c>
      <c r="H30" s="625">
        <f>'a15'!DP43</f>
        <v>99354.505376460904</v>
      </c>
      <c r="I30" s="625">
        <f>'a15'!EG43</f>
        <v>117045.62959599384</v>
      </c>
      <c r="J30" s="625">
        <f>'a15'!EX43</f>
        <v>125654.35929827254</v>
      </c>
      <c r="K30" s="625">
        <f>'a15'!FO43</f>
        <v>96394.581819141633</v>
      </c>
      <c r="L30" s="625">
        <f>'a15'!GF43</f>
        <v>117255.26181374113</v>
      </c>
    </row>
    <row r="31" spans="1:12">
      <c r="A31" s="611">
        <f t="shared" si="0"/>
        <v>2007</v>
      </c>
      <c r="B31" s="625">
        <f>'a15'!R44</f>
        <v>104523.02425768241</v>
      </c>
      <c r="C31" s="625">
        <f>'a15'!AI44</f>
        <v>104340.68652223909</v>
      </c>
      <c r="D31" s="625">
        <f>'a15'!AZ44</f>
        <v>94854.883535641566</v>
      </c>
      <c r="E31" s="625">
        <f>'a15'!BQ44</f>
        <v>90624.153745924094</v>
      </c>
      <c r="F31" s="625">
        <f>'a15'!CH44</f>
        <v>94596.737336101476</v>
      </c>
      <c r="G31" s="625">
        <f>'a15'!CY44</f>
        <v>108029.05597378721</v>
      </c>
      <c r="H31" s="625">
        <f>'a15'!DP44</f>
        <v>100497.44331107684</v>
      </c>
      <c r="I31" s="625">
        <f>'a15'!EG44</f>
        <v>117431.67321650787</v>
      </c>
      <c r="J31" s="625">
        <f>'a15'!EX44</f>
        <v>125655.86942463214</v>
      </c>
      <c r="K31" s="625">
        <f>'a15'!FO44</f>
        <v>97054.28469072227</v>
      </c>
      <c r="L31" s="625">
        <f>'a15'!GF44</f>
        <v>118707.48291322688</v>
      </c>
    </row>
    <row r="32" spans="1:12">
      <c r="A32" s="611">
        <f t="shared" si="0"/>
        <v>2008</v>
      </c>
      <c r="B32" s="625">
        <f>'a15'!R45</f>
        <v>105378.31374007903</v>
      </c>
      <c r="C32" s="625">
        <f>'a15'!AI45</f>
        <v>105263.0655938344</v>
      </c>
      <c r="D32" s="625">
        <f>'a15'!AZ45</f>
        <v>95240.266820102188</v>
      </c>
      <c r="E32" s="625">
        <f>'a15'!BQ45</f>
        <v>91027.082163315878</v>
      </c>
      <c r="F32" s="625">
        <f>'a15'!CH45</f>
        <v>95738.832901143382</v>
      </c>
      <c r="G32" s="625">
        <f>'a15'!CY45</f>
        <v>108481.78041401161</v>
      </c>
      <c r="H32" s="625">
        <f>'a15'!DP45</f>
        <v>101479.78188953016</v>
      </c>
      <c r="I32" s="625">
        <f>'a15'!EG45</f>
        <v>118624.67199683824</v>
      </c>
      <c r="J32" s="625">
        <f>'a15'!EX45</f>
        <v>127120.85247800703</v>
      </c>
      <c r="K32" s="625">
        <f>'a15'!FO45</f>
        <v>98251.477635840682</v>
      </c>
      <c r="L32" s="625">
        <f>'a15'!GF45</f>
        <v>119590.37280987909</v>
      </c>
    </row>
    <row r="33" spans="1:12">
      <c r="A33" s="611">
        <f t="shared" si="0"/>
        <v>2009</v>
      </c>
      <c r="B33" s="625">
        <f>'a15'!R46</f>
        <v>106022.00193392082</v>
      </c>
      <c r="C33" s="625">
        <f>'a15'!AI46</f>
        <v>106162.64374853135</v>
      </c>
      <c r="D33" s="625">
        <f>'a15'!AZ46</f>
        <v>96913.37193604889</v>
      </c>
      <c r="E33" s="625">
        <f>'a15'!BQ46</f>
        <v>92121.639750650502</v>
      </c>
      <c r="F33" s="625">
        <f>'a15'!CH46</f>
        <v>96475.747931157865</v>
      </c>
      <c r="G33" s="625">
        <f>'a15'!CY46</f>
        <v>109160.39755200516</v>
      </c>
      <c r="H33" s="625">
        <f>'a15'!DP46</f>
        <v>101929.21985889052</v>
      </c>
      <c r="I33" s="625">
        <f>'a15'!EG46</f>
        <v>119176.3903997344</v>
      </c>
      <c r="J33" s="625">
        <f>'a15'!EX46</f>
        <v>127709.01865337623</v>
      </c>
      <c r="K33" s="625">
        <f>'a15'!FO46</f>
        <v>98629.424995165304</v>
      </c>
      <c r="L33" s="625">
        <f>'a15'!GF46</f>
        <v>121048.74277659999</v>
      </c>
    </row>
    <row r="34" spans="1:12">
      <c r="A34" s="611">
        <f t="shared" si="0"/>
        <v>2010</v>
      </c>
      <c r="B34" s="625">
        <f>'a15'!R47</f>
        <v>107093.46362773265</v>
      </c>
      <c r="C34" s="625">
        <f>'a15'!AI47</f>
        <v>107080.9891671855</v>
      </c>
      <c r="D34" s="625">
        <f>'a15'!AZ47</f>
        <v>99000.867151773258</v>
      </c>
      <c r="E34" s="625">
        <f>'a15'!BQ47</f>
        <v>94109.91835403342</v>
      </c>
      <c r="F34" s="625">
        <f>'a15'!CH47</f>
        <v>96903.836916702552</v>
      </c>
      <c r="G34" s="625">
        <f>'a15'!CY47</f>
        <v>110090.80747550845</v>
      </c>
      <c r="H34" s="625">
        <f>'a15'!DP47</f>
        <v>103118.35382189663</v>
      </c>
      <c r="I34" s="625">
        <f>'a15'!EG47</f>
        <v>120331.81675989063</v>
      </c>
      <c r="J34" s="625">
        <f>'a15'!EX47</f>
        <v>129459.78011360542</v>
      </c>
      <c r="K34" s="625">
        <f>'a15'!FO47</f>
        <v>98960.432901142922</v>
      </c>
      <c r="L34" s="625">
        <f>'a15'!GF47</f>
        <v>122490.50510472561</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1.1201397919554656</v>
      </c>
      <c r="C36" s="617">
        <f t="shared" si="1"/>
        <v>1.6334830474413753</v>
      </c>
      <c r="D36" s="617">
        <f t="shared" si="1"/>
        <v>1.6256146802437366</v>
      </c>
      <c r="E36" s="617">
        <f t="shared" si="1"/>
        <v>1.3571138725266829</v>
      </c>
      <c r="F36" s="617">
        <f t="shared" si="1"/>
        <v>1.4527108172177616</v>
      </c>
      <c r="G36" s="617">
        <f t="shared" si="1"/>
        <v>1.1539565389389494</v>
      </c>
      <c r="H36" s="617">
        <f t="shared" si="1"/>
        <v>1.0464269128400927</v>
      </c>
      <c r="I36" s="617">
        <f t="shared" si="1"/>
        <v>0.84440889768266914</v>
      </c>
      <c r="J36" s="617">
        <f t="shared" si="1"/>
        <v>1.173931919172766</v>
      </c>
      <c r="K36" s="617">
        <f t="shared" si="1"/>
        <v>0.9824592309283009</v>
      </c>
      <c r="L36" s="617">
        <f t="shared" si="1"/>
        <v>1.0813990054097777</v>
      </c>
    </row>
    <row r="37" spans="1:12">
      <c r="A37" s="611" t="s">
        <v>1472</v>
      </c>
      <c r="B37" s="617">
        <f t="shared" ref="B37:L37" si="2">100*(POWER(B13/B5, 1/8)-1)</f>
        <v>0.95366402206278345</v>
      </c>
      <c r="C37" s="617">
        <f t="shared" si="2"/>
        <v>1.9173169960810643</v>
      </c>
      <c r="D37" s="617">
        <f t="shared" si="2"/>
        <v>1.1870609601351001</v>
      </c>
      <c r="E37" s="617">
        <f t="shared" si="2"/>
        <v>1.3165669605046615</v>
      </c>
      <c r="F37" s="617">
        <f t="shared" si="2"/>
        <v>1.3999875190804811</v>
      </c>
      <c r="G37" s="617">
        <f t="shared" si="2"/>
        <v>0.9070638168425349</v>
      </c>
      <c r="H37" s="617">
        <f t="shared" si="2"/>
        <v>0.95904790877694435</v>
      </c>
      <c r="I37" s="617">
        <f t="shared" si="2"/>
        <v>0.68452386993149705</v>
      </c>
      <c r="J37" s="617">
        <f t="shared" si="2"/>
        <v>1.029347639100564</v>
      </c>
      <c r="K37" s="617">
        <f t="shared" si="2"/>
        <v>0.82806961027273029</v>
      </c>
      <c r="L37" s="617">
        <f t="shared" si="2"/>
        <v>0.67454285194974428</v>
      </c>
    </row>
    <row r="38" spans="1:12">
      <c r="A38" s="611" t="s">
        <v>1473</v>
      </c>
      <c r="B38" s="617">
        <f t="shared" ref="B38:L38" si="3">100*(POWER(B24/B13, 1/11)-1)</f>
        <v>1.3806505862726581</v>
      </c>
      <c r="C38" s="617">
        <f t="shared" si="3"/>
        <v>1.9564355495484742</v>
      </c>
      <c r="D38" s="617">
        <f t="shared" si="3"/>
        <v>2.1387729334179761</v>
      </c>
      <c r="E38" s="617">
        <f t="shared" si="3"/>
        <v>1.6351783294150213</v>
      </c>
      <c r="F38" s="617">
        <f t="shared" si="3"/>
        <v>1.9076932025918314</v>
      </c>
      <c r="G38" s="617">
        <f t="shared" si="3"/>
        <v>1.5063872210267837</v>
      </c>
      <c r="H38" s="617">
        <f t="shared" si="3"/>
        <v>1.1957426420387662</v>
      </c>
      <c r="I38" s="617">
        <f t="shared" si="3"/>
        <v>1.0996001446672121</v>
      </c>
      <c r="J38" s="617">
        <f t="shared" si="3"/>
        <v>1.3851393531841616</v>
      </c>
      <c r="K38" s="617">
        <f t="shared" si="3"/>
        <v>1.0723020013821305</v>
      </c>
      <c r="L38" s="617">
        <f t="shared" si="3"/>
        <v>1.4293499481854655</v>
      </c>
    </row>
    <row r="39" spans="1:12">
      <c r="A39" s="611" t="s">
        <v>1474</v>
      </c>
      <c r="B39" s="617">
        <f t="shared" ref="B39:L39" si="4">100*(POWER(B32/B24, 1/8)-1)</f>
        <v>1.0065982130450735</v>
      </c>
      <c r="C39" s="617">
        <f t="shared" si="4"/>
        <v>1.1022385093871767</v>
      </c>
      <c r="D39" s="617">
        <f t="shared" si="4"/>
        <v>1.2796382493388103</v>
      </c>
      <c r="E39" s="617">
        <f t="shared" si="4"/>
        <v>0.93632024266072644</v>
      </c>
      <c r="F39" s="617">
        <f t="shared" si="4"/>
        <v>1.0942978941136383</v>
      </c>
      <c r="G39" s="617">
        <f t="shared" si="4"/>
        <v>1.0214700733684579</v>
      </c>
      <c r="H39" s="617">
        <f t="shared" si="4"/>
        <v>0.98935519724041576</v>
      </c>
      <c r="I39" s="617">
        <f t="shared" si="4"/>
        <v>0.68597629790203563</v>
      </c>
      <c r="J39" s="617">
        <f t="shared" si="4"/>
        <v>1.0931675432637622</v>
      </c>
      <c r="K39" s="617">
        <f t="shared" si="4"/>
        <v>1.1697233148379116</v>
      </c>
      <c r="L39" s="617">
        <f t="shared" si="4"/>
        <v>0.98056817426954712</v>
      </c>
    </row>
    <row r="40" spans="1:12">
      <c r="A40" s="611" t="s">
        <v>1500</v>
      </c>
      <c r="B40" s="611"/>
      <c r="C40" s="611"/>
      <c r="D40" s="611"/>
      <c r="E40" s="611"/>
      <c r="F40" s="611"/>
      <c r="G40" s="611"/>
      <c r="H40" s="611"/>
      <c r="I40" s="611"/>
      <c r="J40" s="611"/>
      <c r="K40" s="611"/>
      <c r="L40" s="611"/>
    </row>
    <row r="41" spans="1:12">
      <c r="A41" s="611" t="s">
        <v>1498</v>
      </c>
      <c r="B41" s="616">
        <f>100*(B34-B5)/B5</f>
        <v>38.131325198436684</v>
      </c>
      <c r="C41" s="616">
        <f t="shared" ref="C41:L41" si="5">100*(C34-C5)/C5</f>
        <v>59.980655708212453</v>
      </c>
      <c r="D41" s="616">
        <f t="shared" si="5"/>
        <v>59.621863803403322</v>
      </c>
      <c r="E41" s="616">
        <f t="shared" si="5"/>
        <v>47.833490784567182</v>
      </c>
      <c r="F41" s="616">
        <f t="shared" si="5"/>
        <v>51.930868485647018</v>
      </c>
      <c r="G41" s="616">
        <f t="shared" si="5"/>
        <v>39.477244515145671</v>
      </c>
      <c r="H41" s="616">
        <f t="shared" si="5"/>
        <v>35.240843862878727</v>
      </c>
      <c r="I41" s="616">
        <f t="shared" si="5"/>
        <v>27.615350015987946</v>
      </c>
      <c r="J41" s="616">
        <f>100*(J34-J5)/J5</f>
        <v>40.278211626520914</v>
      </c>
      <c r="K41" s="616">
        <f t="shared" si="5"/>
        <v>32.779901955104087</v>
      </c>
      <c r="L41" s="616">
        <f t="shared" si="5"/>
        <v>36.604837392090857</v>
      </c>
    </row>
    <row r="42" spans="1:12">
      <c r="A42" s="611" t="s">
        <v>1472</v>
      </c>
      <c r="B42" s="616">
        <f>100*(B13-B5)/B5</f>
        <v>7.8888806076908411</v>
      </c>
      <c r="C42" s="616">
        <f t="shared" ref="C42:L42" si="6">100*(C13-C5)/C5</f>
        <v>16.40827607241113</v>
      </c>
      <c r="D42" s="616">
        <f t="shared" si="6"/>
        <v>9.9005469852226735</v>
      </c>
      <c r="E42" s="616">
        <f t="shared" si="6"/>
        <v>11.030865414750535</v>
      </c>
      <c r="F42" s="616">
        <f t="shared" si="6"/>
        <v>11.764328291935554</v>
      </c>
      <c r="G42" s="616">
        <f t="shared" si="6"/>
        <v>7.4911116819253714</v>
      </c>
      <c r="H42" s="616">
        <f t="shared" si="6"/>
        <v>7.9349191501741236</v>
      </c>
      <c r="I42" s="616">
        <f t="shared" si="6"/>
        <v>5.6092030295128925</v>
      </c>
      <c r="J42" s="616">
        <f t="shared" si="6"/>
        <v>8.5376438383428823</v>
      </c>
      <c r="K42" s="616">
        <f t="shared" si="6"/>
        <v>6.8197655299295104</v>
      </c>
      <c r="L42" s="616">
        <f t="shared" si="6"/>
        <v>5.5254784085130364</v>
      </c>
    </row>
    <row r="43" spans="1:12">
      <c r="A43" s="611" t="s">
        <v>1473</v>
      </c>
      <c r="B43" s="616">
        <f>100*(B24-B13)/B13</f>
        <v>16.28021140088374</v>
      </c>
      <c r="C43" s="616">
        <f t="shared" ref="C43:L43" si="7">100*(C24-C13)/C13</f>
        <v>23.754523666319358</v>
      </c>
      <c r="D43" s="616">
        <f t="shared" si="7"/>
        <v>26.210938645034592</v>
      </c>
      <c r="E43" s="616">
        <f t="shared" si="7"/>
        <v>19.53211079916365</v>
      </c>
      <c r="F43" s="616">
        <f t="shared" si="7"/>
        <v>23.105280043208332</v>
      </c>
      <c r="G43" s="616">
        <f t="shared" si="7"/>
        <v>17.876458338785238</v>
      </c>
      <c r="H43" s="616">
        <f t="shared" si="7"/>
        <v>13.968454988050185</v>
      </c>
      <c r="I43" s="616">
        <f t="shared" si="7"/>
        <v>12.783045373916915</v>
      </c>
      <c r="J43" s="616">
        <f t="shared" si="7"/>
        <v>16.336857058801527</v>
      </c>
      <c r="K43" s="616">
        <f t="shared" si="7"/>
        <v>12.448516253805717</v>
      </c>
      <c r="L43" s="616">
        <f t="shared" si="7"/>
        <v>16.896111163836689</v>
      </c>
    </row>
    <row r="44" spans="1:12">
      <c r="A44" s="611" t="s">
        <v>1474</v>
      </c>
      <c r="B44" s="616">
        <f>100*(B32-B24)/B24</f>
        <v>8.3422769243687167</v>
      </c>
      <c r="C44" s="616">
        <f t="shared" ref="C44:L44" si="8">100*(C32-C24)/C24</f>
        <v>9.165691836956654</v>
      </c>
      <c r="D44" s="616">
        <f t="shared" si="8"/>
        <v>10.707522451516612</v>
      </c>
      <c r="E44" s="616">
        <f t="shared" si="8"/>
        <v>7.740687774822832</v>
      </c>
      <c r="F44" s="616">
        <f t="shared" si="8"/>
        <v>9.0971193089984066</v>
      </c>
      <c r="G44" s="616">
        <f t="shared" si="8"/>
        <v>8.4699582287746527</v>
      </c>
      <c r="H44" s="616">
        <f t="shared" si="8"/>
        <v>8.194402880051932</v>
      </c>
      <c r="I44" s="616">
        <f t="shared" si="8"/>
        <v>5.6213913976397443</v>
      </c>
      <c r="J44" s="616">
        <f t="shared" si="8"/>
        <v>9.0873610378971357</v>
      </c>
      <c r="K44" s="616">
        <f t="shared" si="8"/>
        <v>9.7499922088374618</v>
      </c>
      <c r="L44" s="616">
        <f t="shared" si="8"/>
        <v>8.1191143722297348</v>
      </c>
    </row>
    <row r="46" spans="1:12">
      <c r="A46" s="611" t="s">
        <v>1545</v>
      </c>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dimension ref="A1:L46"/>
  <sheetViews>
    <sheetView topLeftCell="A28" workbookViewId="0">
      <selection activeCell="E9" sqref="E9"/>
    </sheetView>
  </sheetViews>
  <sheetFormatPr defaultRowHeight="12.75"/>
  <cols>
    <col min="1" max="16384" width="9" style="618"/>
  </cols>
  <sheetData>
    <row r="1" spans="1:12">
      <c r="A1" s="611" t="s">
        <v>1513</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5">
        <f>'a9'!E17</f>
        <v>642.49719231534937</v>
      </c>
      <c r="C5" s="625">
        <f>'a9'!I17</f>
        <v>478.18644518521205</v>
      </c>
      <c r="D5" s="625">
        <f>'a9'!M17</f>
        <v>457.72330155944314</v>
      </c>
      <c r="E5" s="625">
        <f>'a9'!Q17</f>
        <v>608.84459556512672</v>
      </c>
      <c r="F5" s="625">
        <f>'a9'!U17</f>
        <v>592.71293758934405</v>
      </c>
      <c r="G5" s="625">
        <f>'a9'!Y17</f>
        <v>345.24079564478416</v>
      </c>
      <c r="H5" s="625">
        <f>'a9'!AC17</f>
        <v>520.6021355130365</v>
      </c>
      <c r="I5" s="625">
        <f>'a9'!AG17</f>
        <v>469.0659935022835</v>
      </c>
      <c r="J5" s="625">
        <f>'a9'!AK17</f>
        <v>1304.2328693801553</v>
      </c>
      <c r="K5" s="625">
        <f>'a9'!AO17</f>
        <v>2204.7161759315909</v>
      </c>
      <c r="L5" s="625">
        <f>'a9'!AS17</f>
        <v>504.70584959834787</v>
      </c>
    </row>
    <row r="6" spans="1:12">
      <c r="A6" s="611">
        <f t="shared" ref="A6:A34" si="0">A5+1</f>
        <v>1982</v>
      </c>
      <c r="B6" s="625">
        <f>'a9'!E18</f>
        <v>606.87674097663819</v>
      </c>
      <c r="C6" s="625">
        <f>'a9'!I18</f>
        <v>458.28128003543418</v>
      </c>
      <c r="D6" s="625">
        <f>'a9'!M18</f>
        <v>437.38986380027467</v>
      </c>
      <c r="E6" s="625">
        <f>'a9'!Q18</f>
        <v>579.14911408895432</v>
      </c>
      <c r="F6" s="625">
        <f>'a9'!U18</f>
        <v>565.73642674139114</v>
      </c>
      <c r="G6" s="625">
        <f>'a9'!Y18</f>
        <v>328.32683007952596</v>
      </c>
      <c r="H6" s="625">
        <f>'a9'!AC18</f>
        <v>491.59944565024904</v>
      </c>
      <c r="I6" s="625">
        <f>'a9'!AG18</f>
        <v>444.21097375256147</v>
      </c>
      <c r="J6" s="625">
        <f>'a9'!AK18</f>
        <v>1232.9919782635063</v>
      </c>
      <c r="K6" s="625">
        <f>'a9'!AO18</f>
        <v>2037.4013083937748</v>
      </c>
      <c r="L6" s="625">
        <f>'a9'!AS18</f>
        <v>474.05161502232954</v>
      </c>
    </row>
    <row r="7" spans="1:12">
      <c r="A7" s="611">
        <f t="shared" si="0"/>
        <v>1983</v>
      </c>
      <c r="B7" s="625">
        <f>'a9'!E19</f>
        <v>580.88618458529083</v>
      </c>
      <c r="C7" s="625">
        <f>'a9'!I19</f>
        <v>438.90529426224225</v>
      </c>
      <c r="D7" s="625">
        <f>'a9'!M19</f>
        <v>417.69979988285996</v>
      </c>
      <c r="E7" s="625">
        <f>'a9'!Q19</f>
        <v>553.88802282514553</v>
      </c>
      <c r="F7" s="625">
        <f>'a9'!U19</f>
        <v>541.23719100181074</v>
      </c>
      <c r="G7" s="625">
        <f>'a9'!Y19</f>
        <v>316.31347651628914</v>
      </c>
      <c r="H7" s="625">
        <f>'a9'!AC19</f>
        <v>468.94971713835719</v>
      </c>
      <c r="I7" s="625">
        <f>'a9'!AG19</f>
        <v>423.52389006890832</v>
      </c>
      <c r="J7" s="625">
        <f>'a9'!AK19</f>
        <v>1174.4508452847708</v>
      </c>
      <c r="K7" s="625">
        <f>'a9'!AO19</f>
        <v>1949.9681054123009</v>
      </c>
      <c r="L7" s="625">
        <f>'a9'!AS19</f>
        <v>453.37278927375706</v>
      </c>
    </row>
    <row r="8" spans="1:12">
      <c r="A8" s="611">
        <f t="shared" si="0"/>
        <v>1984</v>
      </c>
      <c r="B8" s="625">
        <f>'a9'!E20</f>
        <v>596.7952679573101</v>
      </c>
      <c r="C8" s="625">
        <f>'a9'!I20</f>
        <v>454.49585899873858</v>
      </c>
      <c r="D8" s="625">
        <f>'a9'!M20</f>
        <v>428.20917982967433</v>
      </c>
      <c r="E8" s="625">
        <f>'a9'!Q20</f>
        <v>568.44403706119238</v>
      </c>
      <c r="F8" s="625">
        <f>'a9'!U20</f>
        <v>556.93582483732735</v>
      </c>
      <c r="G8" s="625">
        <f>'a9'!Y20</f>
        <v>326.66168025987736</v>
      </c>
      <c r="H8" s="625">
        <f>'a9'!AC20</f>
        <v>479.57641344926867</v>
      </c>
      <c r="I8" s="625">
        <f>'a9'!AG20</f>
        <v>434.30873793914759</v>
      </c>
      <c r="J8" s="625">
        <f>'a9'!AK20</f>
        <v>1202.0149674303154</v>
      </c>
      <c r="K8" s="625">
        <f>'a9'!AO20</f>
        <v>2022.1048213124693</v>
      </c>
      <c r="L8" s="625">
        <f>'a9'!AS20</f>
        <v>463.87704111722007</v>
      </c>
    </row>
    <row r="9" spans="1:12">
      <c r="A9" s="611">
        <f t="shared" si="0"/>
        <v>1985</v>
      </c>
      <c r="B9" s="625">
        <f>'a9'!E21</f>
        <v>618.59525860166707</v>
      </c>
      <c r="C9" s="625">
        <f>'a9'!I21</f>
        <v>476.070744205783</v>
      </c>
      <c r="D9" s="625">
        <f>'a9'!M21</f>
        <v>444.21895278822865</v>
      </c>
      <c r="E9" s="625">
        <f>'a9'!Q21</f>
        <v>588.99412858404264</v>
      </c>
      <c r="F9" s="625">
        <f>'a9'!U21</f>
        <v>580.32453819395823</v>
      </c>
      <c r="G9" s="625">
        <f>'a9'!Y21</f>
        <v>339.92953959570326</v>
      </c>
      <c r="H9" s="625">
        <f>'a9'!AC21</f>
        <v>494.79385311200377</v>
      </c>
      <c r="I9" s="625">
        <f>'a9'!AG21</f>
        <v>449.82144878041129</v>
      </c>
      <c r="J9" s="625">
        <f>'a9'!AK21</f>
        <v>1244.7080078117385</v>
      </c>
      <c r="K9" s="625">
        <f>'a9'!AO21</f>
        <v>2105.8995478364109</v>
      </c>
      <c r="L9" s="625">
        <f>'a9'!AS21</f>
        <v>480.67693255596294</v>
      </c>
    </row>
    <row r="10" spans="1:12">
      <c r="A10" s="611">
        <f t="shared" si="0"/>
        <v>1986</v>
      </c>
      <c r="B10" s="625">
        <f>'a9'!E22</f>
        <v>603.49023761867727</v>
      </c>
      <c r="C10" s="625">
        <f>'a9'!I22</f>
        <v>471.50235068968749</v>
      </c>
      <c r="D10" s="625">
        <f>'a9'!M22</f>
        <v>434.91698978101925</v>
      </c>
      <c r="E10" s="625">
        <f>'a9'!Q22</f>
        <v>578.23801243296225</v>
      </c>
      <c r="F10" s="625">
        <f>'a9'!U22</f>
        <v>570.44388587461538</v>
      </c>
      <c r="G10" s="625">
        <f>'a9'!Y22</f>
        <v>332.82656209592886</v>
      </c>
      <c r="H10" s="625">
        <f>'a9'!AC22</f>
        <v>480.16213709232522</v>
      </c>
      <c r="I10" s="625">
        <f>'a9'!AG22</f>
        <v>439.54399692842867</v>
      </c>
      <c r="J10" s="625">
        <f>'a9'!AK22</f>
        <v>1221.9280891441308</v>
      </c>
      <c r="K10" s="625">
        <f>'a9'!AO22</f>
        <v>2050.7453556038759</v>
      </c>
      <c r="L10" s="625">
        <f>'a9'!AS22</f>
        <v>469.13190090463019</v>
      </c>
    </row>
    <row r="11" spans="1:12">
      <c r="A11" s="611">
        <f t="shared" si="0"/>
        <v>1987</v>
      </c>
      <c r="B11" s="625">
        <f>'a9'!E23</f>
        <v>620.70388321646647</v>
      </c>
      <c r="C11" s="625">
        <f>'a9'!I23</f>
        <v>492.29492536691635</v>
      </c>
      <c r="D11" s="625">
        <f>'a9'!M23</f>
        <v>452.53552793015757</v>
      </c>
      <c r="E11" s="625">
        <f>'a9'!Q23</f>
        <v>599.57534406742843</v>
      </c>
      <c r="F11" s="625">
        <f>'a9'!U23</f>
        <v>592.25441255435373</v>
      </c>
      <c r="G11" s="625">
        <f>'a9'!Y23</f>
        <v>343.08696764921939</v>
      </c>
      <c r="H11" s="625">
        <f>'a9'!AC23</f>
        <v>489.99639708519851</v>
      </c>
      <c r="I11" s="625">
        <f>'a9'!AG23</f>
        <v>455.23524391653348</v>
      </c>
      <c r="J11" s="625">
        <f>'a9'!AK23</f>
        <v>1268.4247266556108</v>
      </c>
      <c r="K11" s="625">
        <f>'a9'!AO23</f>
        <v>2130.2687592383195</v>
      </c>
      <c r="L11" s="625">
        <f>'a9'!AS23</f>
        <v>481.69410416264714</v>
      </c>
    </row>
    <row r="12" spans="1:12">
      <c r="A12" s="611">
        <f t="shared" si="0"/>
        <v>1988</v>
      </c>
      <c r="B12" s="625">
        <f>'a9'!E24</f>
        <v>657.93442666214992</v>
      </c>
      <c r="C12" s="625">
        <f>'a9'!I24</f>
        <v>528.87253844426664</v>
      </c>
      <c r="D12" s="625">
        <f>'a9'!M24</f>
        <v>483.50373283487852</v>
      </c>
      <c r="E12" s="625">
        <f>'a9'!Q24</f>
        <v>641.24228247740905</v>
      </c>
      <c r="F12" s="625">
        <f>'a9'!U24</f>
        <v>633.7239804949163</v>
      </c>
      <c r="G12" s="625">
        <f>'a9'!Y24</f>
        <v>365.44315432208884</v>
      </c>
      <c r="H12" s="625">
        <f>'a9'!AC24</f>
        <v>515.43328788009512</v>
      </c>
      <c r="I12" s="625">
        <f>'a9'!AG24</f>
        <v>487.16216570795228</v>
      </c>
      <c r="J12" s="625">
        <f>'a9'!AK24</f>
        <v>1368.1120525839845</v>
      </c>
      <c r="K12" s="625">
        <f>'a9'!AO24</f>
        <v>2272.8600261398051</v>
      </c>
      <c r="L12" s="625">
        <f>'a9'!AS24</f>
        <v>506.27167786534454</v>
      </c>
    </row>
    <row r="13" spans="1:12">
      <c r="A13" s="611">
        <f t="shared" si="0"/>
        <v>1989</v>
      </c>
      <c r="B13" s="625">
        <f>'a9'!E25</f>
        <v>673.46005928876934</v>
      </c>
      <c r="C13" s="625">
        <f>'a9'!I25</f>
        <v>549.65331614226534</v>
      </c>
      <c r="D13" s="625">
        <f>'a9'!M25</f>
        <v>500.52818842271739</v>
      </c>
      <c r="E13" s="625">
        <f>'a9'!Q25</f>
        <v>663.35871508807418</v>
      </c>
      <c r="F13" s="625">
        <f>'a9'!U25</f>
        <v>656.1276516333528</v>
      </c>
      <c r="G13" s="625">
        <f>'a9'!Y25</f>
        <v>375.99650917042112</v>
      </c>
      <c r="H13" s="625">
        <f>'a9'!AC25</f>
        <v>523.07564855524845</v>
      </c>
      <c r="I13" s="625">
        <f>'a9'!AG25</f>
        <v>506.9313144394099</v>
      </c>
      <c r="J13" s="625">
        <f>'a9'!AK25</f>
        <v>1438.0364684599806</v>
      </c>
      <c r="K13" s="625">
        <f>'a9'!AO25</f>
        <v>2329.0670712304459</v>
      </c>
      <c r="L13" s="625">
        <f>'a9'!AS25</f>
        <v>514.07253219446193</v>
      </c>
    </row>
    <row r="14" spans="1:12">
      <c r="A14" s="611">
        <f t="shared" si="0"/>
        <v>1990</v>
      </c>
      <c r="B14" s="625">
        <f>'a9'!E26</f>
        <v>630.9193138399645</v>
      </c>
      <c r="C14" s="625">
        <f>'a9'!I26</f>
        <v>527.32430095043446</v>
      </c>
      <c r="D14" s="625">
        <f>'a9'!M26</f>
        <v>479.94969935581366</v>
      </c>
      <c r="E14" s="625">
        <f>'a9'!Q26</f>
        <v>632.68540063119553</v>
      </c>
      <c r="F14" s="625">
        <f>'a9'!U26</f>
        <v>626.08391411190541</v>
      </c>
      <c r="G14" s="625">
        <f>'a9'!Y26</f>
        <v>357.52344487491303</v>
      </c>
      <c r="H14" s="625">
        <f>'a9'!AC26</f>
        <v>493.14022817544316</v>
      </c>
      <c r="I14" s="625">
        <f>'a9'!AG26</f>
        <v>486.30928794369282</v>
      </c>
      <c r="J14" s="625">
        <f>'a9'!AK26</f>
        <v>1397.6298336471361</v>
      </c>
      <c r="K14" s="625">
        <f>'a9'!AO26</f>
        <v>2194.1764762047997</v>
      </c>
      <c r="L14" s="625">
        <f>'a9'!AS26</f>
        <v>479.57785427397931</v>
      </c>
    </row>
    <row r="15" spans="1:12">
      <c r="A15" s="611">
        <f t="shared" si="0"/>
        <v>1991</v>
      </c>
      <c r="B15" s="625">
        <f>'a9'!E27</f>
        <v>615.73398098005123</v>
      </c>
      <c r="C15" s="625">
        <f>'a9'!I27</f>
        <v>434.78450145270301</v>
      </c>
      <c r="D15" s="625">
        <f>'a9'!M27</f>
        <v>438.33258989974144</v>
      </c>
      <c r="E15" s="625">
        <f>'a9'!Q27</f>
        <v>616.6472034140312</v>
      </c>
      <c r="F15" s="625">
        <f>'a9'!U27</f>
        <v>583.17339921838368</v>
      </c>
      <c r="G15" s="625">
        <f>'a9'!Y27</f>
        <v>325.74422906802749</v>
      </c>
      <c r="H15" s="625">
        <f>'a9'!AC27</f>
        <v>495.07925756800171</v>
      </c>
      <c r="I15" s="625">
        <f>'a9'!AG27</f>
        <v>506.0082590272691</v>
      </c>
      <c r="J15" s="625">
        <f>'a9'!AK27</f>
        <v>1423.729046134486</v>
      </c>
      <c r="K15" s="625">
        <f>'a9'!AO27</f>
        <v>2156.4956050546789</v>
      </c>
      <c r="L15" s="625">
        <f>'a9'!AS27</f>
        <v>468.89259280901405</v>
      </c>
    </row>
    <row r="16" spans="1:12">
      <c r="A16" s="611">
        <f t="shared" si="0"/>
        <v>1992</v>
      </c>
      <c r="B16" s="625">
        <f>'a9'!E28</f>
        <v>634.58164906384252</v>
      </c>
      <c r="C16" s="625">
        <f>'a9'!I28</f>
        <v>432.8407535269011</v>
      </c>
      <c r="D16" s="625">
        <f>'a9'!M28</f>
        <v>441.42027418389739</v>
      </c>
      <c r="E16" s="625">
        <f>'a9'!Q28</f>
        <v>629.70517281231707</v>
      </c>
      <c r="F16" s="625">
        <f>'a9'!U28</f>
        <v>604.12392649593858</v>
      </c>
      <c r="G16" s="625">
        <f>'a9'!Y28</f>
        <v>327.09166372480485</v>
      </c>
      <c r="H16" s="625">
        <f>'a9'!AC28</f>
        <v>496.71449047179902</v>
      </c>
      <c r="I16" s="625">
        <f>'a9'!AG28</f>
        <v>509.97346110648732</v>
      </c>
      <c r="J16" s="625">
        <f>'a9'!AK28</f>
        <v>1574.5995272446783</v>
      </c>
      <c r="K16" s="625">
        <f>'a9'!AO28</f>
        <v>2223.3568299572435</v>
      </c>
      <c r="L16" s="625">
        <f>'a9'!AS28</f>
        <v>449.75247990236437</v>
      </c>
    </row>
    <row r="17" spans="1:12">
      <c r="A17" s="611">
        <f t="shared" si="0"/>
        <v>1993</v>
      </c>
      <c r="B17" s="625">
        <f>'a9'!E29</f>
        <v>621.45233588928977</v>
      </c>
      <c r="C17" s="625">
        <f>'a9'!I29</f>
        <v>436.13046453973885</v>
      </c>
      <c r="D17" s="625">
        <f>'a9'!M29</f>
        <v>430.04930520159115</v>
      </c>
      <c r="E17" s="625">
        <f>'a9'!Q29</f>
        <v>620.2614503695512</v>
      </c>
      <c r="F17" s="625">
        <f>'a9'!U29</f>
        <v>576.82615844192787</v>
      </c>
      <c r="G17" s="625">
        <f>'a9'!Y29</f>
        <v>327.83367795818651</v>
      </c>
      <c r="H17" s="625">
        <f>'a9'!AC29</f>
        <v>469.52712257916227</v>
      </c>
      <c r="I17" s="625">
        <f>'a9'!AG29</f>
        <v>505.05210577979688</v>
      </c>
      <c r="J17" s="625">
        <f>'a9'!AK29</f>
        <v>1674.7271054852408</v>
      </c>
      <c r="K17" s="625">
        <f>'a9'!AO29</f>
        <v>2256.142093708675</v>
      </c>
      <c r="L17" s="625">
        <f>'a9'!AS29</f>
        <v>460.88926817267367</v>
      </c>
    </row>
    <row r="18" spans="1:12">
      <c r="A18" s="611">
        <f t="shared" si="0"/>
        <v>1994</v>
      </c>
      <c r="B18" s="625">
        <f>'a9'!E30</f>
        <v>635.10432854385942</v>
      </c>
      <c r="C18" s="625">
        <f>'a9'!I30</f>
        <v>387.6914385477798</v>
      </c>
      <c r="D18" s="625">
        <f>'a9'!M30</f>
        <v>423.72260028794153</v>
      </c>
      <c r="E18" s="625">
        <f>'a9'!Q30</f>
        <v>602.35468015048764</v>
      </c>
      <c r="F18" s="625">
        <f>'a9'!U30</f>
        <v>621.52703388263876</v>
      </c>
      <c r="G18" s="625">
        <f>'a9'!Y30</f>
        <v>336.80034977932212</v>
      </c>
      <c r="H18" s="625">
        <f>'a9'!AC30</f>
        <v>469.28740417552638</v>
      </c>
      <c r="I18" s="625">
        <f>'a9'!AG30</f>
        <v>521.14088575926849</v>
      </c>
      <c r="J18" s="625">
        <f>'a9'!AK30</f>
        <v>1803.1536519501167</v>
      </c>
      <c r="K18" s="625">
        <f>'a9'!AO30</f>
        <v>2337.8999493920114</v>
      </c>
      <c r="L18" s="625">
        <f>'a9'!AS30</f>
        <v>467.68162689087956</v>
      </c>
    </row>
    <row r="19" spans="1:12">
      <c r="A19" s="611">
        <f t="shared" si="0"/>
        <v>1995</v>
      </c>
      <c r="B19" s="625">
        <f>'a9'!E31</f>
        <v>646.75637053608523</v>
      </c>
      <c r="C19" s="625">
        <f>'a9'!I31</f>
        <v>441.99448780477496</v>
      </c>
      <c r="D19" s="625">
        <f>'a9'!M31</f>
        <v>411.64196718065216</v>
      </c>
      <c r="E19" s="625">
        <f>'a9'!Q31</f>
        <v>280.08401268141938</v>
      </c>
      <c r="F19" s="625">
        <f>'a9'!U31</f>
        <v>639.94566806325747</v>
      </c>
      <c r="G19" s="625">
        <f>'a9'!Y31</f>
        <v>331.89318891484174</v>
      </c>
      <c r="H19" s="625">
        <f>'a9'!AC31</f>
        <v>471.62301895871798</v>
      </c>
      <c r="I19" s="625">
        <f>'a9'!AG31</f>
        <v>539.56814061291414</v>
      </c>
      <c r="J19" s="625">
        <f>'a9'!AK31</f>
        <v>1870.5308417749636</v>
      </c>
      <c r="K19" s="625">
        <f>'a9'!AO31</f>
        <v>2369.0334994574782</v>
      </c>
      <c r="L19" s="625">
        <f>'a9'!AS31</f>
        <v>492.30869561628941</v>
      </c>
    </row>
    <row r="20" spans="1:12">
      <c r="A20" s="611">
        <f t="shared" si="0"/>
        <v>1996</v>
      </c>
      <c r="B20" s="625">
        <f>'a9'!E32</f>
        <v>658.03183277534379</v>
      </c>
      <c r="C20" s="625">
        <f>'a9'!I32</f>
        <v>475.63125281048826</v>
      </c>
      <c r="D20" s="625">
        <f>'a9'!M32</f>
        <v>445.50034111358593</v>
      </c>
      <c r="E20" s="625">
        <f>'a9'!Q32</f>
        <v>605.81629767045592</v>
      </c>
      <c r="F20" s="625">
        <f>'a9'!U32</f>
        <v>654.02847034802789</v>
      </c>
      <c r="G20" s="625">
        <f>'a9'!Y32</f>
        <v>334.67241751352867</v>
      </c>
      <c r="H20" s="625">
        <f>'a9'!AC32</f>
        <v>458.11904532016831</v>
      </c>
      <c r="I20" s="625">
        <f>'a9'!AG32</f>
        <v>500.30317552267542</v>
      </c>
      <c r="J20" s="625">
        <f>'a9'!AK32</f>
        <v>1839.8559705232535</v>
      </c>
      <c r="K20" s="625">
        <f>'a9'!AO32</f>
        <v>2346.2123123244919</v>
      </c>
      <c r="L20" s="625">
        <f>'a9'!AS32</f>
        <v>477.57613275405009</v>
      </c>
    </row>
    <row r="21" spans="1:12">
      <c r="A21" s="611">
        <f t="shared" si="0"/>
        <v>1997</v>
      </c>
      <c r="B21" s="625">
        <f>'a9'!E33</f>
        <v>664.39684425747532</v>
      </c>
      <c r="C21" s="625">
        <f>'a9'!I33</f>
        <v>488.2568936769556</v>
      </c>
      <c r="D21" s="625">
        <f>'a9'!M33</f>
        <v>473.20979454680611</v>
      </c>
      <c r="E21" s="625">
        <f>'a9'!Q33</f>
        <v>598.78151778499262</v>
      </c>
      <c r="F21" s="625">
        <f>'a9'!U33</f>
        <v>627.20842974111883</v>
      </c>
      <c r="G21" s="625">
        <f>'a9'!Y33</f>
        <v>335.81626458207757</v>
      </c>
      <c r="H21" s="625">
        <f>'a9'!AC33</f>
        <v>470.30144590399811</v>
      </c>
      <c r="I21" s="625">
        <f>'a9'!AG33</f>
        <v>520.48197855066098</v>
      </c>
      <c r="J21" s="625">
        <f>'a9'!AK33</f>
        <v>1913.9048152641567</v>
      </c>
      <c r="K21" s="625">
        <f>'a9'!AO33</f>
        <v>2358.9506214161352</v>
      </c>
      <c r="L21" s="625">
        <f>'a9'!AS33</f>
        <v>482.81751017712526</v>
      </c>
    </row>
    <row r="22" spans="1:12">
      <c r="A22" s="611">
        <f t="shared" si="0"/>
        <v>1998</v>
      </c>
      <c r="B22" s="625">
        <f>'a9'!E34</f>
        <v>664.79762456148978</v>
      </c>
      <c r="C22" s="625">
        <f>'a9'!I34</f>
        <v>527.40904000199168</v>
      </c>
      <c r="D22" s="625">
        <f>'a9'!M34</f>
        <v>483.1293966663888</v>
      </c>
      <c r="E22" s="625">
        <f>'a9'!Q34</f>
        <v>618.1657026451785</v>
      </c>
      <c r="F22" s="625">
        <f>'a9'!U34</f>
        <v>727.95763600209432</v>
      </c>
      <c r="G22" s="625">
        <f>'a9'!Y34</f>
        <v>334.43280402032093</v>
      </c>
      <c r="H22" s="625">
        <f>'a9'!AC34</f>
        <v>474.79146774846282</v>
      </c>
      <c r="I22" s="625">
        <f>'a9'!AG34</f>
        <v>509.35701786651185</v>
      </c>
      <c r="J22" s="625">
        <f>'a9'!AK34</f>
        <v>1990.3205186966507</v>
      </c>
      <c r="K22" s="625">
        <f>'a9'!AO34</f>
        <v>2336.6573886963342</v>
      </c>
      <c r="L22" s="625">
        <f>'a9'!AS34</f>
        <v>464.53146820672004</v>
      </c>
    </row>
    <row r="23" spans="1:12">
      <c r="A23" s="611">
        <f t="shared" si="0"/>
        <v>1999</v>
      </c>
      <c r="B23" s="625">
        <f>'a9'!E35</f>
        <v>672.07810995072566</v>
      </c>
      <c r="C23" s="625">
        <f>'a9'!I35</f>
        <v>682.49606361174324</v>
      </c>
      <c r="D23" s="625">
        <f>'a9'!M35</f>
        <v>477.0011651430861</v>
      </c>
      <c r="E23" s="625">
        <f>'a9'!Q35</f>
        <v>626.36652712214789</v>
      </c>
      <c r="F23" s="625">
        <f>'a9'!U35</f>
        <v>765.99813795479963</v>
      </c>
      <c r="G23" s="625">
        <f>'a9'!Y35</f>
        <v>340.79420391849976</v>
      </c>
      <c r="H23" s="625">
        <f>'a9'!AC35</f>
        <v>471.58275090688858</v>
      </c>
      <c r="I23" s="625">
        <f>'a9'!AG35</f>
        <v>514.98852745953786</v>
      </c>
      <c r="J23" s="625">
        <f>'a9'!AK35</f>
        <v>2008.4213119025756</v>
      </c>
      <c r="K23" s="625">
        <f>'a9'!AO35</f>
        <v>2316.4936211729532</v>
      </c>
      <c r="L23" s="625">
        <f>'a9'!AS35</f>
        <v>467.48134162273988</v>
      </c>
    </row>
    <row r="24" spans="1:12">
      <c r="A24" s="611">
        <f t="shared" si="0"/>
        <v>2000</v>
      </c>
      <c r="B24" s="625">
        <f>'a9'!E36</f>
        <v>690.93815749447094</v>
      </c>
      <c r="C24" s="625">
        <f>'a9'!I36</f>
        <v>509.47616617824872</v>
      </c>
      <c r="D24" s="625">
        <f>'a9'!M36</f>
        <v>487.41824417020808</v>
      </c>
      <c r="E24" s="625">
        <f>'a9'!Q36</f>
        <v>661.13847074917192</v>
      </c>
      <c r="F24" s="625">
        <f>'a9'!U36</f>
        <v>758.46114556677423</v>
      </c>
      <c r="G24" s="625">
        <f>'a9'!Y36</f>
        <v>328.07147542925992</v>
      </c>
      <c r="H24" s="625">
        <f>'a9'!AC36</f>
        <v>496.65941129704078</v>
      </c>
      <c r="I24" s="625">
        <f>'a9'!AG36</f>
        <v>551.85085049568977</v>
      </c>
      <c r="J24" s="625">
        <f>'a9'!AK36</f>
        <v>2107.8759082826373</v>
      </c>
      <c r="K24" s="625">
        <f>'a9'!AO36</f>
        <v>2473.8069627631526</v>
      </c>
      <c r="L24" s="625">
        <f>'a9'!AS36</f>
        <v>475.84466242467664</v>
      </c>
    </row>
    <row r="25" spans="1:12">
      <c r="A25" s="611">
        <f t="shared" si="0"/>
        <v>2001</v>
      </c>
      <c r="B25" s="625">
        <f>'a9'!E37</f>
        <v>676.83183395783465</v>
      </c>
      <c r="C25" s="625">
        <f>'a9'!I37</f>
        <v>560.17499976261001</v>
      </c>
      <c r="D25" s="625">
        <f>'a9'!M37</f>
        <v>462.39340123378582</v>
      </c>
      <c r="E25" s="625">
        <f>'a9'!Q37</f>
        <v>636.76387964916523</v>
      </c>
      <c r="F25" s="625">
        <f>'a9'!U37</f>
        <v>846.93046331435119</v>
      </c>
      <c r="G25" s="625">
        <f>'a9'!Y37</f>
        <v>317.99810348796319</v>
      </c>
      <c r="H25" s="625">
        <f>'a9'!AC37</f>
        <v>468.24149730694228</v>
      </c>
      <c r="I25" s="625">
        <f>'a9'!AG37</f>
        <v>508.37350229702406</v>
      </c>
      <c r="J25" s="625">
        <f>'a9'!AK37</f>
        <v>2101.0016472223506</v>
      </c>
      <c r="K25" s="625">
        <f>'a9'!AO37</f>
        <v>2430.269658382912</v>
      </c>
      <c r="L25" s="625">
        <f>'a9'!AS37</f>
        <v>483.00333463665135</v>
      </c>
    </row>
    <row r="26" spans="1:12">
      <c r="A26" s="611">
        <f t="shared" si="0"/>
        <v>2002</v>
      </c>
      <c r="B26" s="625">
        <f>'a9'!E38</f>
        <v>675.27468238751419</v>
      </c>
      <c r="C26" s="625">
        <f>'a9'!I38</f>
        <v>694.68470640303576</v>
      </c>
      <c r="D26" s="625">
        <f>'a9'!M38</f>
        <v>468.30074366462281</v>
      </c>
      <c r="E26" s="625">
        <f>'a9'!Q38</f>
        <v>616.06397297377328</v>
      </c>
      <c r="F26" s="625">
        <f>'a9'!U38</f>
        <v>797.83554582113572</v>
      </c>
      <c r="G26" s="625">
        <f>'a9'!Y38</f>
        <v>326.7271995443835</v>
      </c>
      <c r="H26" s="625">
        <f>'a9'!AC38</f>
        <v>475.11173565777392</v>
      </c>
      <c r="I26" s="625">
        <f>'a9'!AG38</f>
        <v>526.75645697659638</v>
      </c>
      <c r="J26" s="625">
        <f>'a9'!AK38</f>
        <v>2137.0458337057944</v>
      </c>
      <c r="K26" s="625">
        <f>'a9'!AO38</f>
        <v>2375.6205895219155</v>
      </c>
      <c r="L26" s="625">
        <f>'a9'!AS38</f>
        <v>460.62513272147771</v>
      </c>
    </row>
    <row r="27" spans="1:12">
      <c r="A27" s="611">
        <f t="shared" si="0"/>
        <v>2003</v>
      </c>
      <c r="B27" s="625">
        <f>'a9'!E39</f>
        <v>690.69614374146215</v>
      </c>
      <c r="C27" s="625">
        <f>'a9'!I39</f>
        <v>648.44676568036243</v>
      </c>
      <c r="D27" s="625">
        <f>'a9'!M39</f>
        <v>489.15746554773432</v>
      </c>
      <c r="E27" s="625">
        <f>'a9'!Q39</f>
        <v>680.60701808887484</v>
      </c>
      <c r="F27" s="625">
        <f>'a9'!U39</f>
        <v>786.32249772306488</v>
      </c>
      <c r="G27" s="625">
        <f>'a9'!Y39</f>
        <v>343.57825454493587</v>
      </c>
      <c r="H27" s="625">
        <f>'a9'!AC39</f>
        <v>478.72172861581583</v>
      </c>
      <c r="I27" s="625">
        <f>'a9'!AG39</f>
        <v>538.89185742743416</v>
      </c>
      <c r="J27" s="625">
        <f>'a9'!AK39</f>
        <v>2214.6475541915465</v>
      </c>
      <c r="K27" s="625">
        <f>'a9'!AO39</f>
        <v>2417.1917996377015</v>
      </c>
      <c r="L27" s="625">
        <f>'a9'!AS39</f>
        <v>465.48799077091229</v>
      </c>
    </row>
    <row r="28" spans="1:12">
      <c r="A28" s="611">
        <f t="shared" si="0"/>
        <v>2004</v>
      </c>
      <c r="B28" s="625">
        <f>'a9'!E40</f>
        <v>687.89541774864665</v>
      </c>
      <c r="C28" s="625">
        <f>'a9'!I40</f>
        <v>596.13891040275769</v>
      </c>
      <c r="D28" s="625">
        <f>'a9'!M40</f>
        <v>507.31340827609944</v>
      </c>
      <c r="E28" s="625">
        <f>'a9'!Q40</f>
        <v>732.7000814058506</v>
      </c>
      <c r="F28" s="625">
        <f>'a9'!U40</f>
        <v>832.14990052193286</v>
      </c>
      <c r="G28" s="625">
        <f>'a9'!Y40</f>
        <v>347.91024743955558</v>
      </c>
      <c r="H28" s="625">
        <f>'a9'!AC40</f>
        <v>470.64948297331443</v>
      </c>
      <c r="I28" s="625">
        <f>'a9'!AG40</f>
        <v>539.50579246055304</v>
      </c>
      <c r="J28" s="625">
        <f>'a9'!AK40</f>
        <v>2263.7374368595483</v>
      </c>
      <c r="K28" s="625">
        <f>'a9'!AO40</f>
        <v>2405.803601052326</v>
      </c>
      <c r="L28" s="625">
        <f>'a9'!AS40</f>
        <v>491.10236422136478</v>
      </c>
    </row>
    <row r="29" spans="1:12">
      <c r="A29" s="611">
        <f t="shared" si="0"/>
        <v>2005</v>
      </c>
      <c r="B29" s="625">
        <f>'a9'!E41</f>
        <v>671.29713765708152</v>
      </c>
      <c r="C29" s="625">
        <f>'a9'!I41</f>
        <v>596.11494027865285</v>
      </c>
      <c r="D29" s="625">
        <f>'a9'!M41</f>
        <v>488.39253180931019</v>
      </c>
      <c r="E29" s="625">
        <f>'a9'!Q41</f>
        <v>702.32660700070949</v>
      </c>
      <c r="F29" s="625">
        <f>'a9'!U41</f>
        <v>833.71749666321773</v>
      </c>
      <c r="G29" s="625">
        <f>'a9'!Y41</f>
        <v>332.26223471993967</v>
      </c>
      <c r="H29" s="625">
        <f>'a9'!AC41</f>
        <v>467.7855647889233</v>
      </c>
      <c r="I29" s="625">
        <f>'a9'!AG41</f>
        <v>529.73395296416425</v>
      </c>
      <c r="J29" s="625">
        <f>'a9'!AK41</f>
        <v>2291.836299728725</v>
      </c>
      <c r="K29" s="625">
        <f>'a9'!AO41</f>
        <v>2286.5048507297392</v>
      </c>
      <c r="L29" s="625">
        <f>'a9'!AS41</f>
        <v>466.15847320498739</v>
      </c>
    </row>
    <row r="30" spans="1:12">
      <c r="A30" s="611">
        <f t="shared" si="0"/>
        <v>2006</v>
      </c>
      <c r="B30" s="625">
        <f>'a9'!E42</f>
        <v>653.57098277186867</v>
      </c>
      <c r="C30" s="625">
        <f>'a9'!I42</f>
        <v>565.78647254101008</v>
      </c>
      <c r="D30" s="625">
        <f>'a9'!M42</f>
        <v>464.75589174767197</v>
      </c>
      <c r="E30" s="625">
        <f>'a9'!Q42</f>
        <v>651.88750394845738</v>
      </c>
      <c r="F30" s="625">
        <f>'a9'!U42</f>
        <v>740.37049609926532</v>
      </c>
      <c r="G30" s="625">
        <f>'a9'!Y42</f>
        <v>323.9524038340582</v>
      </c>
      <c r="H30" s="625">
        <f>'a9'!AC42</f>
        <v>444.40455518627169</v>
      </c>
      <c r="I30" s="625">
        <f>'a9'!AG42</f>
        <v>529.69270451477951</v>
      </c>
      <c r="J30" s="625">
        <f>'a9'!AK42</f>
        <v>2266.2303258578931</v>
      </c>
      <c r="K30" s="625">
        <f>'a9'!AO42</f>
        <v>2258.7522183347742</v>
      </c>
      <c r="L30" s="625">
        <f>'a9'!AS42</f>
        <v>452.9303172806043</v>
      </c>
    </row>
    <row r="31" spans="1:12">
      <c r="A31" s="611">
        <f t="shared" si="0"/>
        <v>2007</v>
      </c>
      <c r="B31" s="625">
        <f>'a9'!E43</f>
        <v>672.62964334107403</v>
      </c>
      <c r="C31" s="625">
        <f>'a9'!I43</f>
        <v>639.62724621229268</v>
      </c>
      <c r="D31" s="625">
        <f>'a9'!M43</f>
        <v>453.00309490229171</v>
      </c>
      <c r="E31" s="625">
        <f>'a9'!Q43</f>
        <v>675.52790857858406</v>
      </c>
      <c r="F31" s="625">
        <f>'a9'!U43</f>
        <v>759.71307244992124</v>
      </c>
      <c r="G31" s="625">
        <f>'a9'!Y43</f>
        <v>332.27975096466002</v>
      </c>
      <c r="H31" s="625">
        <f>'a9'!AC43</f>
        <v>453.57965363329811</v>
      </c>
      <c r="I31" s="625">
        <f>'a9'!AG43</f>
        <v>537.97575246271629</v>
      </c>
      <c r="J31" s="625">
        <f>'a9'!AK43</f>
        <v>2321.2359031058863</v>
      </c>
      <c r="K31" s="625">
        <f>'a9'!AO43</f>
        <v>2312.2933294317618</v>
      </c>
      <c r="L31" s="625">
        <f>'a9'!AS43</f>
        <v>472.05269534255518</v>
      </c>
    </row>
    <row r="32" spans="1:12">
      <c r="A32" s="611">
        <f t="shared" si="0"/>
        <v>2008</v>
      </c>
      <c r="B32" s="625">
        <f>'a9'!E44</f>
        <v>650.61063062777464</v>
      </c>
      <c r="C32" s="625">
        <f>'a9'!I44</f>
        <v>600.25175458690273</v>
      </c>
      <c r="D32" s="625">
        <f>'a9'!M44</f>
        <v>431.17650508958496</v>
      </c>
      <c r="E32" s="625">
        <f>'a9'!Q44</f>
        <v>684.30834818368692</v>
      </c>
      <c r="F32" s="625">
        <f>'a9'!U44</f>
        <v>735.32342519967494</v>
      </c>
      <c r="G32" s="625">
        <f>'a9'!Y44</f>
        <v>311.75783227172587</v>
      </c>
      <c r="H32" s="625">
        <f>'a9'!AC44</f>
        <v>426.25723309184548</v>
      </c>
      <c r="I32" s="625">
        <f>'a9'!AG44</f>
        <v>535.11630218869232</v>
      </c>
      <c r="J32" s="625">
        <f>'a9'!AK44</f>
        <v>2318.5978151636291</v>
      </c>
      <c r="K32" s="625">
        <f>'a9'!AO44</f>
        <v>2234.153751721788</v>
      </c>
      <c r="L32" s="625">
        <f>'a9'!AS44</f>
        <v>469.04208477451169</v>
      </c>
    </row>
    <row r="33" spans="1:12">
      <c r="A33" s="611">
        <f t="shared" si="0"/>
        <v>2009</v>
      </c>
      <c r="B33" s="625">
        <f>'a9'!E45</f>
        <v>605.92904341659141</v>
      </c>
      <c r="C33" s="625">
        <f>'a9'!I45</f>
        <v>574.27317717558299</v>
      </c>
      <c r="D33" s="625">
        <f>'a9'!M45</f>
        <v>405.00493570125087</v>
      </c>
      <c r="E33" s="625">
        <f>'a9'!Q45</f>
        <v>660.55066535499827</v>
      </c>
      <c r="F33" s="625">
        <f>'a9'!U45</f>
        <v>702.40723357292791</v>
      </c>
      <c r="G33" s="625">
        <f>'a9'!Y45</f>
        <v>306.06800576220724</v>
      </c>
      <c r="H33" s="625">
        <f>'a9'!AC45</f>
        <v>366.41368438069924</v>
      </c>
      <c r="I33" s="625">
        <f>'a9'!AG45</f>
        <v>497.11849817013075</v>
      </c>
      <c r="J33" s="625">
        <f>'a9'!AK45</f>
        <v>2268.5384169866134</v>
      </c>
      <c r="K33" s="625">
        <f>'a9'!AO45</f>
        <v>2096.2733709422946</v>
      </c>
      <c r="L33" s="625">
        <f>'a9'!AS45</f>
        <v>446.31394919534387</v>
      </c>
    </row>
    <row r="34" spans="1:12">
      <c r="A34" s="611">
        <f t="shared" si="0"/>
        <v>2010</v>
      </c>
      <c r="B34" s="625">
        <f>'a9'!E46</f>
        <v>590.38445397574412</v>
      </c>
      <c r="C34" s="625">
        <f>'a9'!I46</f>
        <v>566.15434397081469</v>
      </c>
      <c r="D34" s="625">
        <f>'a9'!M46</f>
        <v>385.87526410736575</v>
      </c>
      <c r="E34" s="625">
        <f>'a9'!Q46</f>
        <v>644.64055639130856</v>
      </c>
      <c r="F34" s="625">
        <f>'a9'!U46</f>
        <v>676.79097497604062</v>
      </c>
      <c r="G34" s="625">
        <f>'a9'!Y46</f>
        <v>297.60013838674229</v>
      </c>
      <c r="H34" s="625">
        <f>'a9'!AC46</f>
        <v>348.34582246905006</v>
      </c>
      <c r="I34" s="625">
        <f>'a9'!AG46</f>
        <v>486.50132524303638</v>
      </c>
      <c r="J34" s="625">
        <f>'a9'!AK46</f>
        <v>2247.701964115201</v>
      </c>
      <c r="K34" s="625">
        <f>'a9'!AO46</f>
        <v>2062.7277601690203</v>
      </c>
      <c r="L34" s="625">
        <f>'a9'!AS46</f>
        <v>437.18183628647586</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-0.29125951484213486</v>
      </c>
      <c r="C36" s="617">
        <f t="shared" si="1"/>
        <v>0.58399527826455966</v>
      </c>
      <c r="D36" s="617">
        <f t="shared" si="1"/>
        <v>-0.58706547653692986</v>
      </c>
      <c r="E36" s="617">
        <f t="shared" si="1"/>
        <v>0.19719358200140924</v>
      </c>
      <c r="F36" s="617">
        <f t="shared" si="1"/>
        <v>0.45846941312934764</v>
      </c>
      <c r="G36" s="617">
        <f t="shared" si="1"/>
        <v>-0.51073050016087196</v>
      </c>
      <c r="H36" s="617">
        <f t="shared" si="1"/>
        <v>-1.3759303615207497</v>
      </c>
      <c r="I36" s="617">
        <f t="shared" si="1"/>
        <v>0.12592803670399277</v>
      </c>
      <c r="J36" s="617">
        <f t="shared" si="1"/>
        <v>1.8945974883234795</v>
      </c>
      <c r="K36" s="617">
        <f t="shared" si="1"/>
        <v>-0.22928680397469314</v>
      </c>
      <c r="L36" s="617">
        <f t="shared" si="1"/>
        <v>-0.49403963682755903</v>
      </c>
    </row>
    <row r="37" spans="1:12">
      <c r="A37" s="611" t="s">
        <v>1472</v>
      </c>
      <c r="B37" s="617">
        <f t="shared" ref="B37:L37" si="2">100*(POWER(B13/B5, 1/8)-1)</f>
        <v>0.59006209919389985</v>
      </c>
      <c r="C37" s="617">
        <f t="shared" si="2"/>
        <v>1.7563332365113205</v>
      </c>
      <c r="D37" s="617">
        <f t="shared" si="2"/>
        <v>1.1237554887199241</v>
      </c>
      <c r="E37" s="617">
        <f t="shared" si="2"/>
        <v>1.0776760024958865</v>
      </c>
      <c r="F37" s="617">
        <f t="shared" si="2"/>
        <v>1.2786705172413093</v>
      </c>
      <c r="G37" s="617">
        <f t="shared" si="2"/>
        <v>1.0724313499022697</v>
      </c>
      <c r="H37" s="617">
        <f t="shared" si="2"/>
        <v>5.9267588040379238E-2</v>
      </c>
      <c r="I37" s="617">
        <f t="shared" si="2"/>
        <v>0.97512428268680118</v>
      </c>
      <c r="J37" s="617">
        <f t="shared" si="2"/>
        <v>1.2282770062328696</v>
      </c>
      <c r="K37" s="617">
        <f t="shared" si="2"/>
        <v>0.6882200059838528</v>
      </c>
      <c r="L37" s="617">
        <f t="shared" si="2"/>
        <v>0.2301216893362934</v>
      </c>
    </row>
    <row r="38" spans="1:12">
      <c r="A38" s="611" t="s">
        <v>1473</v>
      </c>
      <c r="B38" s="617">
        <f t="shared" ref="B38:L38" si="3">100*(POWER(B24/B13, 1/11)-1)</f>
        <v>0.23319540365815961</v>
      </c>
      <c r="C38" s="617">
        <f t="shared" si="3"/>
        <v>-0.68766715064838557</v>
      </c>
      <c r="D38" s="617">
        <f t="shared" si="3"/>
        <v>-0.24099410169746704</v>
      </c>
      <c r="E38" s="617">
        <f t="shared" si="3"/>
        <v>-3.0473424968591178E-2</v>
      </c>
      <c r="F38" s="617">
        <f t="shared" si="3"/>
        <v>1.3263205442822557</v>
      </c>
      <c r="G38" s="617">
        <f t="shared" si="3"/>
        <v>-1.2318800236078231</v>
      </c>
      <c r="H38" s="617">
        <f t="shared" si="3"/>
        <v>-0.46999744881891514</v>
      </c>
      <c r="I38" s="617">
        <f t="shared" si="3"/>
        <v>0.77482536887465425</v>
      </c>
      <c r="J38" s="617">
        <f t="shared" si="3"/>
        <v>3.5375156538254071</v>
      </c>
      <c r="K38" s="617">
        <f t="shared" si="3"/>
        <v>0.54959984139177909</v>
      </c>
      <c r="L38" s="617">
        <f t="shared" si="3"/>
        <v>-0.70001934440236946</v>
      </c>
    </row>
    <row r="39" spans="1:12">
      <c r="A39" s="611" t="s">
        <v>1474</v>
      </c>
      <c r="B39" s="617">
        <f t="shared" ref="B39:L39" si="4">100*(POWER(B32/B24, 1/8)-1)</f>
        <v>-0.74891863617581045</v>
      </c>
      <c r="C39" s="617">
        <f t="shared" si="4"/>
        <v>2.0707241132904119</v>
      </c>
      <c r="D39" s="617">
        <f t="shared" si="4"/>
        <v>-1.520879033127942</v>
      </c>
      <c r="E39" s="617">
        <f t="shared" si="4"/>
        <v>0.43149467904350924</v>
      </c>
      <c r="F39" s="617">
        <f t="shared" si="4"/>
        <v>-0.3865152918813175</v>
      </c>
      <c r="G39" s="617">
        <f t="shared" si="4"/>
        <v>-0.63553177105836189</v>
      </c>
      <c r="H39" s="617">
        <f t="shared" si="4"/>
        <v>-1.8926293366980707</v>
      </c>
      <c r="I39" s="617">
        <f t="shared" si="4"/>
        <v>-0.38418138835559779</v>
      </c>
      <c r="J39" s="617">
        <f t="shared" si="4"/>
        <v>1.1981440610769889</v>
      </c>
      <c r="K39" s="617">
        <f t="shared" si="4"/>
        <v>-1.2656193496001444</v>
      </c>
      <c r="L39" s="617">
        <f t="shared" si="4"/>
        <v>-0.17982517184133018</v>
      </c>
    </row>
    <row r="40" spans="1:12">
      <c r="A40" s="611" t="s">
        <v>1500</v>
      </c>
      <c r="B40" s="611"/>
      <c r="C40" s="611"/>
      <c r="D40" s="611"/>
      <c r="E40" s="611"/>
      <c r="F40" s="611"/>
      <c r="G40" s="611"/>
      <c r="H40" s="611"/>
      <c r="I40" s="611"/>
      <c r="J40" s="611"/>
      <c r="K40" s="611"/>
      <c r="L40" s="611"/>
    </row>
    <row r="41" spans="1:12">
      <c r="A41" s="611" t="s">
        <v>1498</v>
      </c>
      <c r="B41" s="616">
        <f>100*(B34-B5)/B5</f>
        <v>-8.1109674817111657</v>
      </c>
      <c r="C41" s="616">
        <f t="shared" ref="C41:L41" si="5">100*(C34-C5)/C5</f>
        <v>18.396150637756108</v>
      </c>
      <c r="D41" s="616">
        <f t="shared" si="5"/>
        <v>-15.696827582798228</v>
      </c>
      <c r="E41" s="616">
        <f t="shared" si="5"/>
        <v>5.8793263645472944</v>
      </c>
      <c r="F41" s="616">
        <f t="shared" si="5"/>
        <v>14.185288029759406</v>
      </c>
      <c r="G41" s="616">
        <f t="shared" si="5"/>
        <v>-13.799254856039379</v>
      </c>
      <c r="H41" s="616">
        <f t="shared" si="5"/>
        <v>-33.087899817051934</v>
      </c>
      <c r="I41" s="616">
        <f t="shared" si="5"/>
        <v>3.7170317145721614</v>
      </c>
      <c r="J41" s="616">
        <f>100*(J34-J5)/J5</f>
        <v>72.339006084353258</v>
      </c>
      <c r="K41" s="616">
        <f t="shared" si="5"/>
        <v>-6.4402129087012394</v>
      </c>
      <c r="L41" s="616">
        <f t="shared" si="5"/>
        <v>-13.378884624699435</v>
      </c>
    </row>
    <row r="42" spans="1:12">
      <c r="A42" s="611" t="s">
        <v>1472</v>
      </c>
      <c r="B42" s="616">
        <f>100*(B13-B5)/B5</f>
        <v>4.8191443237035712</v>
      </c>
      <c r="C42" s="616">
        <f t="shared" ref="C42:L42" si="6">100*(C13-C5)/C5</f>
        <v>14.945398740730221</v>
      </c>
      <c r="D42" s="616">
        <f t="shared" si="6"/>
        <v>9.3516949470214605</v>
      </c>
      <c r="E42" s="616">
        <f t="shared" si="6"/>
        <v>8.9537001592906815</v>
      </c>
      <c r="F42" s="616">
        <f t="shared" si="6"/>
        <v>10.69906020643421</v>
      </c>
      <c r="G42" s="616">
        <f t="shared" si="6"/>
        <v>8.9084818230118152</v>
      </c>
      <c r="H42" s="616">
        <f t="shared" si="6"/>
        <v>0.47512541218725146</v>
      </c>
      <c r="I42" s="616">
        <f t="shared" si="6"/>
        <v>8.0724933083306247</v>
      </c>
      <c r="J42" s="616">
        <f t="shared" si="6"/>
        <v>10.25918010664892</v>
      </c>
      <c r="K42" s="616">
        <f t="shared" si="6"/>
        <v>5.6402223858275633</v>
      </c>
      <c r="L42" s="616">
        <f t="shared" si="6"/>
        <v>1.8558696324935009</v>
      </c>
    </row>
    <row r="43" spans="1:12">
      <c r="A43" s="611" t="s">
        <v>1473</v>
      </c>
      <c r="B43" s="616">
        <f>100*(B24-B13)/B13</f>
        <v>2.5952687118757933</v>
      </c>
      <c r="C43" s="616">
        <f t="shared" ref="C43:L43" si="7">100*(C24-C13)/C13</f>
        <v>-7.3095438131801744</v>
      </c>
      <c r="D43" s="616">
        <f t="shared" si="7"/>
        <v>-2.6192219650649129</v>
      </c>
      <c r="E43" s="616">
        <f t="shared" si="7"/>
        <v>-0.33469739499954859</v>
      </c>
      <c r="F43" s="616">
        <f t="shared" si="7"/>
        <v>15.596583024457848</v>
      </c>
      <c r="G43" s="616">
        <f t="shared" si="7"/>
        <v>-12.746137948700767</v>
      </c>
      <c r="H43" s="616">
        <f t="shared" si="7"/>
        <v>-5.0501753104297933</v>
      </c>
      <c r="I43" s="616">
        <f t="shared" si="7"/>
        <v>8.861069493399544</v>
      </c>
      <c r="J43" s="616">
        <f t="shared" si="7"/>
        <v>46.580142751177931</v>
      </c>
      <c r="K43" s="616">
        <f t="shared" si="7"/>
        <v>6.2145007896333624</v>
      </c>
      <c r="L43" s="616">
        <f t="shared" si="7"/>
        <v>-7.4362793916646286</v>
      </c>
    </row>
    <row r="44" spans="1:12">
      <c r="A44" s="611" t="s">
        <v>1474</v>
      </c>
      <c r="B44" s="616">
        <f>100*(B32-B24)/B24</f>
        <v>-5.8366333410988398</v>
      </c>
      <c r="C44" s="616">
        <f t="shared" ref="C44:L44" si="8">100*(C32-C24)/C24</f>
        <v>17.817435718257851</v>
      </c>
      <c r="D44" s="616">
        <f t="shared" si="8"/>
        <v>-11.538702080462814</v>
      </c>
      <c r="E44" s="616">
        <f t="shared" si="8"/>
        <v>3.5045423099127713</v>
      </c>
      <c r="F44" s="616">
        <f t="shared" si="8"/>
        <v>-3.0506137990508662</v>
      </c>
      <c r="G44" s="616">
        <f t="shared" si="8"/>
        <v>-4.9725881033054513</v>
      </c>
      <c r="H44" s="616">
        <f t="shared" si="8"/>
        <v>-14.175142281375061</v>
      </c>
      <c r="I44" s="616">
        <f t="shared" si="8"/>
        <v>-3.0324404305920623</v>
      </c>
      <c r="J44" s="616">
        <f t="shared" si="8"/>
        <v>9.9968838797856261</v>
      </c>
      <c r="K44" s="616">
        <f t="shared" si="8"/>
        <v>-9.6876277999347451</v>
      </c>
      <c r="L44" s="616">
        <f t="shared" si="8"/>
        <v>-1.4295794798878838</v>
      </c>
    </row>
    <row r="46" spans="1:12">
      <c r="A46" s="611" t="s">
        <v>1546</v>
      </c>
    </row>
  </sheetData>
  <pageMargins left="0.7" right="0.7" top="0.75" bottom="0.75" header="0.3" footer="0.3"/>
</worksheet>
</file>

<file path=xl/worksheets/sheet164.xml><?xml version="1.0" encoding="utf-8"?>
<worksheet xmlns="http://schemas.openxmlformats.org/spreadsheetml/2006/main" xmlns:r="http://schemas.openxmlformats.org/officeDocument/2006/relationships">
  <dimension ref="A1:L46"/>
  <sheetViews>
    <sheetView topLeftCell="A21" workbookViewId="0">
      <selection activeCell="E9" sqref="E9"/>
    </sheetView>
  </sheetViews>
  <sheetFormatPr defaultRowHeight="12.75"/>
  <cols>
    <col min="1" max="16384" width="9" style="618"/>
  </cols>
  <sheetData>
    <row r="1" spans="1:12">
      <c r="A1" s="611" t="s">
        <v>1514</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5">
        <f>'a9'!B17</f>
        <v>538.52876957494414</v>
      </c>
      <c r="C5" s="625">
        <f>'a9'!F17</f>
        <v>8.9182532813837216</v>
      </c>
      <c r="D5" s="625">
        <f>'a9'!J17</f>
        <v>1.8703935453357956</v>
      </c>
      <c r="E5" s="625">
        <f>'a9'!N17</f>
        <v>17.619649340119818</v>
      </c>
      <c r="F5" s="625">
        <f>'a9'!R17</f>
        <v>14.637862528714924</v>
      </c>
      <c r="G5" s="625">
        <f>'a9'!V17</f>
        <v>77.074671216011296</v>
      </c>
      <c r="H5" s="625">
        <f>'a9'!Z17</f>
        <v>158.12505818056246</v>
      </c>
      <c r="I5" s="625">
        <f>'a9'!AD17</f>
        <v>16.264291698572141</v>
      </c>
      <c r="J5" s="625">
        <f>'a9'!AH17</f>
        <v>39.847514661501741</v>
      </c>
      <c r="K5" s="625">
        <f>'a9'!AL17</f>
        <v>153.60719937540352</v>
      </c>
      <c r="L5" s="625">
        <f>'a9'!AP17</f>
        <v>45.720731108208341</v>
      </c>
    </row>
    <row r="6" spans="1:12">
      <c r="A6" s="611">
        <f t="shared" ref="A6:A34" si="0">A5+1</f>
        <v>1982</v>
      </c>
      <c r="B6" s="625">
        <f>'a9'!B18</f>
        <v>514.75982102908279</v>
      </c>
      <c r="C6" s="625">
        <f>'a9'!F18</f>
        <v>8.5246299220755812</v>
      </c>
      <c r="D6" s="625">
        <f>'a9'!J18</f>
        <v>1.7878403180036935</v>
      </c>
      <c r="E6" s="625">
        <f>'a9'!N18</f>
        <v>16.841974010179722</v>
      </c>
      <c r="F6" s="625">
        <f>'a9'!R18</f>
        <v>13.991793793072386</v>
      </c>
      <c r="G6" s="625">
        <f>'a9'!V18</f>
        <v>73.672840157350279</v>
      </c>
      <c r="H6" s="625">
        <f>'a9'!Z18</f>
        <v>151.14592060417698</v>
      </c>
      <c r="I6" s="625">
        <f>'a9'!AD18</f>
        <v>15.546437547858206</v>
      </c>
      <c r="J6" s="625">
        <f>'a9'!AH18</f>
        <v>38.088771992252603</v>
      </c>
      <c r="K6" s="625">
        <f>'a9'!AL18</f>
        <v>146.82746572977194</v>
      </c>
      <c r="L6" s="625">
        <f>'a9'!AP18</f>
        <v>43.702763328979174</v>
      </c>
    </row>
    <row r="7" spans="1:12">
      <c r="A7" s="611">
        <f t="shared" si="0"/>
        <v>1983</v>
      </c>
      <c r="B7" s="625">
        <f>'a9'!B19</f>
        <v>497.60890380313208</v>
      </c>
      <c r="C7" s="625">
        <f>'a9'!F19</f>
        <v>8.2406038264042181</v>
      </c>
      <c r="D7" s="625">
        <f>'a9'!J19</f>
        <v>1.7282725350209451</v>
      </c>
      <c r="E7" s="625">
        <f>'a9'!N19</f>
        <v>16.28082822845818</v>
      </c>
      <c r="F7" s="625">
        <f>'a9'!R19</f>
        <v>13.525611143642182</v>
      </c>
      <c r="G7" s="625">
        <f>'a9'!V19</f>
        <v>71.218187071152968</v>
      </c>
      <c r="H7" s="625">
        <f>'a9'!Z19</f>
        <v>146.10999692206059</v>
      </c>
      <c r="I7" s="625">
        <f>'a9'!AD19</f>
        <v>15.028456826269091</v>
      </c>
      <c r="J7" s="625">
        <f>'a9'!AH19</f>
        <v>36.819719224359268</v>
      </c>
      <c r="K7" s="625">
        <f>'a9'!AL19</f>
        <v>141.93542558143028</v>
      </c>
      <c r="L7" s="625">
        <f>'a9'!AP19</f>
        <v>42.24666196717866</v>
      </c>
    </row>
    <row r="8" spans="1:12">
      <c r="A8" s="611">
        <f t="shared" si="0"/>
        <v>1984</v>
      </c>
      <c r="B8" s="625">
        <f>'a9'!B20</f>
        <v>516.08633109619689</v>
      </c>
      <c r="C8" s="625">
        <f>'a9'!F20</f>
        <v>8.5465974629521195</v>
      </c>
      <c r="D8" s="625">
        <f>'a9'!J20</f>
        <v>1.7924474922300797</v>
      </c>
      <c r="E8" s="625">
        <f>'a9'!N20</f>
        <v>16.885374926805099</v>
      </c>
      <c r="F8" s="625">
        <f>'a9'!R20</f>
        <v>14.027849939191931</v>
      </c>
      <c r="G8" s="625">
        <f>'a9'!V20</f>
        <v>73.862691346485903</v>
      </c>
      <c r="H8" s="625">
        <f>'a9'!Z20</f>
        <v>151.53541600978934</v>
      </c>
      <c r="I8" s="625">
        <f>'a9'!AD20</f>
        <v>15.58649993243548</v>
      </c>
      <c r="J8" s="625">
        <f>'a9'!AH20</f>
        <v>38.186924834466915</v>
      </c>
      <c r="K8" s="625">
        <f>'a9'!AL20</f>
        <v>147.20583269522393</v>
      </c>
      <c r="L8" s="625">
        <f>'a9'!AP20</f>
        <v>43.815383143401952</v>
      </c>
    </row>
    <row r="9" spans="1:12">
      <c r="A9" s="611">
        <f t="shared" si="0"/>
        <v>1985</v>
      </c>
      <c r="B9" s="625">
        <f>'a9'!B21</f>
        <v>539.84868008948558</v>
      </c>
      <c r="C9" s="625">
        <f>'a9'!F21</f>
        <v>8.9401115310121178</v>
      </c>
      <c r="D9" s="625">
        <f>'a9'!J21</f>
        <v>1.8749777982973743</v>
      </c>
      <c r="E9" s="625">
        <f>'a9'!N21</f>
        <v>17.662834331786861</v>
      </c>
      <c r="F9" s="625">
        <f>'a9'!R21</f>
        <v>14.673739291022933</v>
      </c>
      <c r="G9" s="625">
        <f>'a9'!V21</f>
        <v>77.263577871867653</v>
      </c>
      <c r="H9" s="625">
        <f>'a9'!Z21</f>
        <v>158.51261579808721</v>
      </c>
      <c r="I9" s="625">
        <f>'a9'!AD21</f>
        <v>16.304154767803258</v>
      </c>
      <c r="J9" s="625">
        <f>'a9'!AH21</f>
        <v>39.945179181117979</v>
      </c>
      <c r="K9" s="625">
        <f>'a9'!AL21</f>
        <v>153.98368391814185</v>
      </c>
      <c r="L9" s="625">
        <f>'a9'!AP21</f>
        <v>45.832790625046925</v>
      </c>
    </row>
    <row r="10" spans="1:12">
      <c r="A10" s="611">
        <f t="shared" si="0"/>
        <v>1986</v>
      </c>
      <c r="B10" s="625">
        <f>'a9'!B22</f>
        <v>531.92789709172268</v>
      </c>
      <c r="C10" s="625">
        <f>'a9'!F22</f>
        <v>8.8089401749921183</v>
      </c>
      <c r="D10" s="625">
        <f>'a9'!J22</f>
        <v>1.8474676962749428</v>
      </c>
      <c r="E10" s="625">
        <f>'a9'!N22</f>
        <v>17.403681196792942</v>
      </c>
      <c r="F10" s="625">
        <f>'a9'!R22</f>
        <v>14.458442840412596</v>
      </c>
      <c r="G10" s="625">
        <f>'a9'!V22</f>
        <v>76.129949030073746</v>
      </c>
      <c r="H10" s="625">
        <f>'a9'!Z22</f>
        <v>156.18688253532125</v>
      </c>
      <c r="I10" s="625">
        <f>'a9'!AD22</f>
        <v>16.064936489347332</v>
      </c>
      <c r="J10" s="625">
        <f>'a9'!AH22</f>
        <v>39.359094398900957</v>
      </c>
      <c r="K10" s="625">
        <f>'a9'!AL22</f>
        <v>151.7244001771692</v>
      </c>
      <c r="L10" s="625">
        <f>'a9'!AP22</f>
        <v>45.160321464498601</v>
      </c>
    </row>
    <row r="11" spans="1:12">
      <c r="A11" s="611">
        <f t="shared" si="0"/>
        <v>1987</v>
      </c>
      <c r="B11" s="625">
        <f>'a9'!B23</f>
        <v>554.35977628635351</v>
      </c>
      <c r="C11" s="625">
        <f>'a9'!F23</f>
        <v>9.1804211274266923</v>
      </c>
      <c r="D11" s="625">
        <f>'a9'!J23</f>
        <v>1.9253770753569659</v>
      </c>
      <c r="E11" s="625">
        <f>'a9'!N23</f>
        <v>18.13761013017432</v>
      </c>
      <c r="F11" s="625">
        <f>'a9'!R23</f>
        <v>15.068168415837127</v>
      </c>
      <c r="G11" s="625">
        <f>'a9'!V23</f>
        <v>79.340417646352279</v>
      </c>
      <c r="H11" s="625">
        <f>'a9'!Z23</f>
        <v>162.77342424515413</v>
      </c>
      <c r="I11" s="625">
        <f>'a9'!AD23</f>
        <v>16.742409350930142</v>
      </c>
      <c r="J11" s="625">
        <f>'a9'!AH23</f>
        <v>41.018902909778845</v>
      </c>
      <c r="K11" s="625">
        <f>'a9'!AL23</f>
        <v>158.12275498100686</v>
      </c>
      <c r="L11" s="625">
        <f>'a9'!AP23</f>
        <v>47.064772953170277</v>
      </c>
    </row>
    <row r="12" spans="1:12">
      <c r="A12" s="611">
        <f t="shared" si="0"/>
        <v>1988</v>
      </c>
      <c r="B12" s="625">
        <f>'a9'!B24</f>
        <v>595.27964205816556</v>
      </c>
      <c r="C12" s="625">
        <f>'a9'!F24</f>
        <v>9.8580705824061976</v>
      </c>
      <c r="D12" s="625">
        <f>'a9'!J24</f>
        <v>2.0674980856718164</v>
      </c>
      <c r="E12" s="625">
        <f>'a9'!N24</f>
        <v>19.476431241835954</v>
      </c>
      <c r="F12" s="625">
        <f>'a9'!R24</f>
        <v>16.180419800909871</v>
      </c>
      <c r="G12" s="625">
        <f>'a9'!V24</f>
        <v>85.196901791210621</v>
      </c>
      <c r="H12" s="625">
        <f>'a9'!Z24</f>
        <v>174.78848550365601</v>
      </c>
      <c r="I12" s="625">
        <f>'a9'!AD24</f>
        <v>17.97824422323319</v>
      </c>
      <c r="J12" s="625">
        <f>'a9'!AH24</f>
        <v>44.04669834692131</v>
      </c>
      <c r="K12" s="625">
        <f>'a9'!AL24</f>
        <v>169.79452877498011</v>
      </c>
      <c r="L12" s="625">
        <f>'a9'!AP24</f>
        <v>50.538842094199964</v>
      </c>
    </row>
    <row r="13" spans="1:12">
      <c r="A13" s="611">
        <f t="shared" si="0"/>
        <v>1989</v>
      </c>
      <c r="B13" s="625">
        <f>'a9'!B25</f>
        <v>620.35794183445194</v>
      </c>
      <c r="C13" s="625">
        <f>'a9'!F25</f>
        <v>10.273377325345704</v>
      </c>
      <c r="D13" s="625">
        <f>'a9'!J25</f>
        <v>2.1545988919418044</v>
      </c>
      <c r="E13" s="625">
        <f>'a9'!N25</f>
        <v>20.296946083509752</v>
      </c>
      <c r="F13" s="625">
        <f>'a9'!R25</f>
        <v>16.862078284761949</v>
      </c>
      <c r="G13" s="625">
        <f>'a9'!V25</f>
        <v>88.78612825248112</v>
      </c>
      <c r="H13" s="625">
        <f>'a9'!Z25</f>
        <v>182.15208023662598</v>
      </c>
      <c r="I13" s="625">
        <f>'a9'!AD25</f>
        <v>18.73564253862439</v>
      </c>
      <c r="J13" s="625">
        <f>'a9'!AH25</f>
        <v>45.902324219629755</v>
      </c>
      <c r="K13" s="625">
        <f>'a9'!AL25</f>
        <v>176.94773508700811</v>
      </c>
      <c r="L13" s="625">
        <f>'a9'!AP25</f>
        <v>52.667972914132996</v>
      </c>
    </row>
    <row r="14" spans="1:12">
      <c r="A14" s="611">
        <f t="shared" si="0"/>
        <v>1990</v>
      </c>
      <c r="B14" s="625">
        <f>'a9'!B26</f>
        <v>590</v>
      </c>
      <c r="C14" s="625">
        <f>'a9'!F26</f>
        <v>9.8699999999999992</v>
      </c>
      <c r="D14" s="625">
        <f>'a9'!J26</f>
        <v>2.0699999999999998</v>
      </c>
      <c r="E14" s="625">
        <f>'a9'!N26</f>
        <v>19.5</v>
      </c>
      <c r="F14" s="625">
        <f>'a9'!R26</f>
        <v>16.2</v>
      </c>
      <c r="G14" s="625">
        <f>'a9'!V26</f>
        <v>85.3</v>
      </c>
      <c r="H14" s="625">
        <f>'a9'!Z26</f>
        <v>175</v>
      </c>
      <c r="I14" s="625">
        <f>'a9'!AD26</f>
        <v>18</v>
      </c>
      <c r="J14" s="625">
        <f>'a9'!AH26</f>
        <v>44.1</v>
      </c>
      <c r="K14" s="625">
        <f>'a9'!AL26</f>
        <v>170</v>
      </c>
      <c r="L14" s="625">
        <f>'a9'!AP26</f>
        <v>50.6</v>
      </c>
    </row>
    <row r="15" spans="1:12">
      <c r="A15" s="611">
        <f t="shared" si="0"/>
        <v>1991</v>
      </c>
      <c r="B15" s="625">
        <f>'a9'!B27</f>
        <v>583</v>
      </c>
      <c r="C15" s="625">
        <f>'a9'!F27</f>
        <v>8.17</v>
      </c>
      <c r="D15" s="625">
        <f>'a9'!J27</f>
        <v>1.89</v>
      </c>
      <c r="E15" s="625">
        <f>'a9'!N27</f>
        <v>19.100000000000001</v>
      </c>
      <c r="F15" s="625">
        <f>'a9'!R27</f>
        <v>15.2</v>
      </c>
      <c r="G15" s="625">
        <f>'a9'!V27</f>
        <v>78.5</v>
      </c>
      <c r="H15" s="625">
        <f>'a9'!Z27</f>
        <v>178</v>
      </c>
      <c r="I15" s="625">
        <f>'a9'!AD27</f>
        <v>18.8</v>
      </c>
      <c r="J15" s="625">
        <f>'a9'!AH27</f>
        <v>44.7</v>
      </c>
      <c r="K15" s="625">
        <f>'a9'!AL27</f>
        <v>170</v>
      </c>
      <c r="L15" s="625">
        <f>'a9'!AP27</f>
        <v>50.7</v>
      </c>
    </row>
    <row r="16" spans="1:12">
      <c r="A16" s="611">
        <f t="shared" si="0"/>
        <v>1992</v>
      </c>
      <c r="B16" s="625">
        <f>'a9'!B28</f>
        <v>608</v>
      </c>
      <c r="C16" s="625">
        <f>'a9'!F28</f>
        <v>8.14</v>
      </c>
      <c r="D16" s="625">
        <f>'a9'!J28</f>
        <v>1.91</v>
      </c>
      <c r="E16" s="625">
        <f>'a9'!N28</f>
        <v>19.600000000000001</v>
      </c>
      <c r="F16" s="625">
        <f>'a9'!R28</f>
        <v>15.8</v>
      </c>
      <c r="G16" s="625">
        <f>'a9'!V28</f>
        <v>79.3</v>
      </c>
      <c r="H16" s="625">
        <f>'a9'!Z28</f>
        <v>181</v>
      </c>
      <c r="I16" s="625">
        <f>'a9'!AD28</f>
        <v>19</v>
      </c>
      <c r="J16" s="625">
        <f>'a9'!AH28</f>
        <v>49.5</v>
      </c>
      <c r="K16" s="625">
        <f>'a9'!AL28</f>
        <v>178</v>
      </c>
      <c r="L16" s="625">
        <f>'a9'!AP28</f>
        <v>50</v>
      </c>
    </row>
    <row r="17" spans="1:12">
      <c r="A17" s="611">
        <f t="shared" si="0"/>
        <v>1993</v>
      </c>
      <c r="B17" s="625">
        <f>'a9'!B29</f>
        <v>602</v>
      </c>
      <c r="C17" s="625">
        <f>'a9'!F29</f>
        <v>8.1999999999999993</v>
      </c>
      <c r="D17" s="625">
        <f>'a9'!J29</f>
        <v>1.88</v>
      </c>
      <c r="E17" s="625">
        <f>'a9'!N29</f>
        <v>19.399999999999999</v>
      </c>
      <c r="F17" s="625">
        <f>'a9'!R29</f>
        <v>15.1</v>
      </c>
      <c r="G17" s="625">
        <f>'a9'!V29</f>
        <v>80</v>
      </c>
      <c r="H17" s="625">
        <f>'a9'!Z29</f>
        <v>173</v>
      </c>
      <c r="I17" s="625">
        <f>'a9'!AD29</f>
        <v>18.899999999999999</v>
      </c>
      <c r="J17" s="625">
        <f>'a9'!AH29</f>
        <v>52.8</v>
      </c>
      <c r="K17" s="625">
        <f>'a9'!AL29</f>
        <v>183</v>
      </c>
      <c r="L17" s="625">
        <f>'a9'!AP29</f>
        <v>52.7</v>
      </c>
    </row>
    <row r="18" spans="1:12">
      <c r="A18" s="611">
        <f t="shared" si="0"/>
        <v>1994</v>
      </c>
      <c r="B18" s="625">
        <f>'a9'!B30</f>
        <v>622</v>
      </c>
      <c r="C18" s="625">
        <f>'a9'!F30</f>
        <v>7.22</v>
      </c>
      <c r="D18" s="625">
        <f>'a9'!J30</f>
        <v>1.87</v>
      </c>
      <c r="E18" s="625">
        <f>'a9'!N30</f>
        <v>18.899999999999999</v>
      </c>
      <c r="F18" s="625">
        <f>'a9'!R30</f>
        <v>16.3</v>
      </c>
      <c r="G18" s="625">
        <f>'a9'!V30</f>
        <v>82.6</v>
      </c>
      <c r="H18" s="625">
        <f>'a9'!Z30</f>
        <v>175</v>
      </c>
      <c r="I18" s="625">
        <f>'a9'!AD30</f>
        <v>19.600000000000001</v>
      </c>
      <c r="J18" s="625">
        <f>'a9'!AH30</f>
        <v>57</v>
      </c>
      <c r="K18" s="625">
        <f>'a9'!AL30</f>
        <v>192</v>
      </c>
      <c r="L18" s="625">
        <f>'a9'!AP30</f>
        <v>55.1</v>
      </c>
    </row>
    <row r="19" spans="1:12">
      <c r="A19" s="611">
        <f t="shared" si="0"/>
        <v>1995</v>
      </c>
      <c r="B19" s="625">
        <f>'a9'!B31</f>
        <v>640</v>
      </c>
      <c r="C19" s="625">
        <f>'a9'!F31</f>
        <v>8.1300000000000008</v>
      </c>
      <c r="D19" s="625">
        <f>'a9'!J31</f>
        <v>1.83</v>
      </c>
      <c r="E19" s="625">
        <f>'a9'!N31</f>
        <v>8.8000000000000007</v>
      </c>
      <c r="F19" s="625">
        <f>'a9'!R31</f>
        <v>16.8</v>
      </c>
      <c r="G19" s="625">
        <f>'a9'!V31</f>
        <v>81.7</v>
      </c>
      <c r="H19" s="625">
        <f>'a9'!Z31</f>
        <v>178</v>
      </c>
      <c r="I19" s="625">
        <f>'a9'!AD31</f>
        <v>20.399999999999999</v>
      </c>
      <c r="J19" s="625">
        <f>'a9'!AH31</f>
        <v>59.4</v>
      </c>
      <c r="K19" s="625">
        <f>'a9'!AL31</f>
        <v>197</v>
      </c>
      <c r="L19" s="625">
        <f>'a9'!AP31</f>
        <v>59.6</v>
      </c>
    </row>
    <row r="20" spans="1:12">
      <c r="A20" s="611">
        <f t="shared" si="0"/>
        <v>1996</v>
      </c>
      <c r="B20" s="625">
        <f>'a9'!B32</f>
        <v>658</v>
      </c>
      <c r="C20" s="625">
        <f>'a9'!F32</f>
        <v>8.6300000000000008</v>
      </c>
      <c r="D20" s="625">
        <f>'a9'!J32</f>
        <v>2</v>
      </c>
      <c r="E20" s="625">
        <f>'a9'!N32</f>
        <v>19.100000000000001</v>
      </c>
      <c r="F20" s="625">
        <f>'a9'!R32</f>
        <v>17.2</v>
      </c>
      <c r="G20" s="625">
        <f>'a9'!V32</f>
        <v>82.7</v>
      </c>
      <c r="H20" s="625">
        <f>'a9'!Z32</f>
        <v>175</v>
      </c>
      <c r="I20" s="625">
        <f>'a9'!AD32</f>
        <v>19</v>
      </c>
      <c r="J20" s="625">
        <f>'a9'!AH32</f>
        <v>58.7</v>
      </c>
      <c r="K20" s="625">
        <f>'a9'!AL32</f>
        <v>198</v>
      </c>
      <c r="L20" s="625">
        <f>'a9'!AP32</f>
        <v>59.3</v>
      </c>
    </row>
    <row r="21" spans="1:12">
      <c r="A21" s="611">
        <f t="shared" si="0"/>
        <v>1997</v>
      </c>
      <c r="B21" s="625">
        <f>'a9'!B33</f>
        <v>671</v>
      </c>
      <c r="C21" s="625">
        <f>'a9'!F33</f>
        <v>8.7200000000000006</v>
      </c>
      <c r="D21" s="625">
        <f>'a9'!J33</f>
        <v>2.13</v>
      </c>
      <c r="E21" s="625">
        <f>'a9'!N33</f>
        <v>18.899999999999999</v>
      </c>
      <c r="F21" s="625">
        <f>'a9'!R33</f>
        <v>16.5</v>
      </c>
      <c r="G21" s="625">
        <f>'a9'!V33</f>
        <v>83.3</v>
      </c>
      <c r="H21" s="625">
        <f>'a9'!Z33</f>
        <v>182</v>
      </c>
      <c r="I21" s="625">
        <f>'a9'!AD33</f>
        <v>19.8</v>
      </c>
      <c r="J21" s="625">
        <f>'a9'!AH33</f>
        <v>61</v>
      </c>
      <c r="K21" s="625">
        <f>'a9'!AL33</f>
        <v>203</v>
      </c>
      <c r="L21" s="625">
        <f>'a9'!AP33</f>
        <v>61.1</v>
      </c>
    </row>
    <row r="22" spans="1:12">
      <c r="A22" s="611">
        <f t="shared" si="0"/>
        <v>1998</v>
      </c>
      <c r="B22" s="625">
        <f>'a9'!B34</f>
        <v>677</v>
      </c>
      <c r="C22" s="625">
        <f>'a9'!F34</f>
        <v>9.23</v>
      </c>
      <c r="D22" s="625">
        <f>'a9'!J34</f>
        <v>2.17</v>
      </c>
      <c r="E22" s="625">
        <f>'a9'!N34</f>
        <v>19.5</v>
      </c>
      <c r="F22" s="625">
        <f>'a9'!R34</f>
        <v>19.100000000000001</v>
      </c>
      <c r="G22" s="625">
        <f>'a9'!V34</f>
        <v>83.2</v>
      </c>
      <c r="H22" s="625">
        <f>'a9'!Z34</f>
        <v>186</v>
      </c>
      <c r="I22" s="625">
        <f>'a9'!AD34</f>
        <v>19.399999999999999</v>
      </c>
      <c r="J22" s="625">
        <f>'a9'!AH34</f>
        <v>63.4</v>
      </c>
      <c r="K22" s="625">
        <f>'a9'!AL34</f>
        <v>206</v>
      </c>
      <c r="L22" s="625">
        <f>'a9'!AP34</f>
        <v>59.3</v>
      </c>
    </row>
    <row r="23" spans="1:12">
      <c r="A23" s="611">
        <f t="shared" si="0"/>
        <v>1999</v>
      </c>
      <c r="B23" s="625">
        <f>'a9'!B35</f>
        <v>690</v>
      </c>
      <c r="C23" s="625">
        <f>'a9'!F35</f>
        <v>11.8</v>
      </c>
      <c r="D23" s="625">
        <f>'a9'!J35</f>
        <v>2.15</v>
      </c>
      <c r="E23" s="625">
        <f>'a9'!N35</f>
        <v>19.8</v>
      </c>
      <c r="F23" s="625">
        <f>'a9'!R35</f>
        <v>20.100000000000001</v>
      </c>
      <c r="G23" s="625">
        <f>'a9'!V35</f>
        <v>85.1</v>
      </c>
      <c r="H23" s="625">
        <f>'a9'!Z35</f>
        <v>187</v>
      </c>
      <c r="I23" s="625">
        <f>'a9'!AD35</f>
        <v>19.7</v>
      </c>
      <c r="J23" s="625">
        <f>'a9'!AH35</f>
        <v>63.8</v>
      </c>
      <c r="K23" s="625">
        <f>'a9'!AL35</f>
        <v>208</v>
      </c>
      <c r="L23" s="625">
        <f>'a9'!AP35</f>
        <v>60.1</v>
      </c>
    </row>
    <row r="24" spans="1:12">
      <c r="A24" s="611">
        <f t="shared" si="0"/>
        <v>2000</v>
      </c>
      <c r="B24" s="625">
        <f>'a9'!B36</f>
        <v>716</v>
      </c>
      <c r="C24" s="625">
        <f>'a9'!F36</f>
        <v>8.7200000000000006</v>
      </c>
      <c r="D24" s="625">
        <f>'a9'!J36</f>
        <v>2.2000000000000002</v>
      </c>
      <c r="E24" s="625">
        <f>'a9'!N36</f>
        <v>20.9</v>
      </c>
      <c r="F24" s="625">
        <f>'a9'!R36</f>
        <v>19.899999999999999</v>
      </c>
      <c r="G24" s="625">
        <f>'a9'!V36</f>
        <v>82.3</v>
      </c>
      <c r="H24" s="625">
        <f>'a9'!Z36</f>
        <v>200</v>
      </c>
      <c r="I24" s="625">
        <f>'a9'!AD36</f>
        <v>21.2</v>
      </c>
      <c r="J24" s="625">
        <f>'a9'!AH36</f>
        <v>66.5</v>
      </c>
      <c r="K24" s="625">
        <f>'a9'!AL36</f>
        <v>226</v>
      </c>
      <c r="L24" s="625">
        <f>'a9'!AP36</f>
        <v>61.6</v>
      </c>
    </row>
    <row r="25" spans="1:12">
      <c r="A25" s="611">
        <f t="shared" si="0"/>
        <v>2001</v>
      </c>
      <c r="B25" s="625">
        <f>'a9'!B37</f>
        <v>709</v>
      </c>
      <c r="C25" s="625">
        <f>'a9'!F37</f>
        <v>9.48</v>
      </c>
      <c r="D25" s="625">
        <f>'a9'!J37</f>
        <v>2.09</v>
      </c>
      <c r="E25" s="625">
        <f>'a9'!N37</f>
        <v>20.100000000000001</v>
      </c>
      <c r="F25" s="625">
        <f>'a9'!R37</f>
        <v>22.2</v>
      </c>
      <c r="G25" s="625">
        <f>'a9'!V37</f>
        <v>80.2</v>
      </c>
      <c r="H25" s="625">
        <f>'a9'!Z37</f>
        <v>192</v>
      </c>
      <c r="I25" s="625">
        <f>'a9'!AD37</f>
        <v>19.600000000000001</v>
      </c>
      <c r="J25" s="625">
        <f>'a9'!AH37</f>
        <v>65.8</v>
      </c>
      <c r="K25" s="625">
        <f>'a9'!AL37</f>
        <v>226</v>
      </c>
      <c r="L25" s="625">
        <f>'a9'!AP37</f>
        <v>63.1</v>
      </c>
    </row>
    <row r="26" spans="1:12">
      <c r="A26" s="611">
        <f t="shared" si="0"/>
        <v>2002</v>
      </c>
      <c r="B26" s="625">
        <f>'a9'!B38</f>
        <v>715</v>
      </c>
      <c r="C26" s="625">
        <f>'a9'!F38</f>
        <v>11.7</v>
      </c>
      <c r="D26" s="625">
        <f>'a9'!J38</f>
        <v>2.12</v>
      </c>
      <c r="E26" s="625">
        <f>'a9'!N38</f>
        <v>19.5</v>
      </c>
      <c r="F26" s="625">
        <f>'a9'!R38</f>
        <v>20.9</v>
      </c>
      <c r="G26" s="625">
        <f>'a9'!V38</f>
        <v>82.9</v>
      </c>
      <c r="H26" s="625">
        <f>'a9'!Z38</f>
        <v>198</v>
      </c>
      <c r="I26" s="625">
        <f>'a9'!AD38</f>
        <v>20.399999999999999</v>
      </c>
      <c r="J26" s="625">
        <f>'a9'!AH38</f>
        <v>66.7</v>
      </c>
      <c r="K26" s="625">
        <f>'a9'!AL38</f>
        <v>226</v>
      </c>
      <c r="L26" s="625">
        <f>'a9'!AP38</f>
        <v>60.5</v>
      </c>
    </row>
    <row r="27" spans="1:12">
      <c r="A27" s="611">
        <f t="shared" si="0"/>
        <v>2003</v>
      </c>
      <c r="B27" s="625">
        <f>'a9'!B39</f>
        <v>738</v>
      </c>
      <c r="C27" s="625">
        <f>'a9'!F39</f>
        <v>10.9</v>
      </c>
      <c r="D27" s="625">
        <f>'a9'!J39</f>
        <v>2.2200000000000002</v>
      </c>
      <c r="E27" s="625">
        <f>'a9'!N39</f>
        <v>21.6</v>
      </c>
      <c r="F27" s="625">
        <f>'a9'!R39</f>
        <v>20.6</v>
      </c>
      <c r="G27" s="625">
        <f>'a9'!V39</f>
        <v>87.7</v>
      </c>
      <c r="H27" s="625">
        <f>'a9'!Z39</f>
        <v>202</v>
      </c>
      <c r="I27" s="625">
        <f>'a9'!AD39</f>
        <v>21</v>
      </c>
      <c r="J27" s="625">
        <f>'a9'!AH39</f>
        <v>69.099999999999994</v>
      </c>
      <c r="K27" s="625">
        <f>'a9'!AL39</f>
        <v>234</v>
      </c>
      <c r="L27" s="625">
        <f>'a9'!AP39</f>
        <v>61.5</v>
      </c>
    </row>
    <row r="28" spans="1:12">
      <c r="A28" s="611">
        <f t="shared" si="0"/>
        <v>2004</v>
      </c>
      <c r="B28" s="625">
        <f>'a9'!B40</f>
        <v>742</v>
      </c>
      <c r="C28" s="625">
        <f>'a9'!F40</f>
        <v>10</v>
      </c>
      <c r="D28" s="625">
        <f>'a9'!J40</f>
        <v>2.31</v>
      </c>
      <c r="E28" s="625">
        <f>'a9'!N40</f>
        <v>23.3</v>
      </c>
      <c r="F28" s="625">
        <f>'a9'!R40</f>
        <v>21.8</v>
      </c>
      <c r="G28" s="625">
        <f>'a9'!V40</f>
        <v>89.4</v>
      </c>
      <c r="H28" s="625">
        <f>'a9'!Z40</f>
        <v>201</v>
      </c>
      <c r="I28" s="625">
        <f>'a9'!AD40</f>
        <v>21.2</v>
      </c>
      <c r="J28" s="625">
        <f>'a9'!AH40</f>
        <v>70.7</v>
      </c>
      <c r="K28" s="625">
        <f>'a9'!AL40</f>
        <v>237</v>
      </c>
      <c r="L28" s="625">
        <f>'a9'!AP40</f>
        <v>65.400000000000006</v>
      </c>
    </row>
    <row r="29" spans="1:12">
      <c r="A29" s="611">
        <f t="shared" si="0"/>
        <v>2005</v>
      </c>
      <c r="B29" s="625">
        <f>'a9'!B41</f>
        <v>731</v>
      </c>
      <c r="C29" s="625">
        <f>'a9'!F41</f>
        <v>9.94</v>
      </c>
      <c r="D29" s="625">
        <f>'a9'!J41</f>
        <v>2.23</v>
      </c>
      <c r="E29" s="625">
        <f>'a9'!N41</f>
        <v>22.3</v>
      </c>
      <c r="F29" s="625">
        <f>'a9'!R41</f>
        <v>21.8</v>
      </c>
      <c r="G29" s="625">
        <f>'a9'!V41</f>
        <v>85.9</v>
      </c>
      <c r="H29" s="625">
        <f>'a9'!Z41</f>
        <v>202</v>
      </c>
      <c r="I29" s="625">
        <f>'a9'!AD41</f>
        <v>20.9</v>
      </c>
      <c r="J29" s="625">
        <f>'a9'!AH41</f>
        <v>71.3</v>
      </c>
      <c r="K29" s="625">
        <f>'a9'!AL41</f>
        <v>231</v>
      </c>
      <c r="L29" s="625">
        <f>'a9'!AP41</f>
        <v>62.7</v>
      </c>
    </row>
    <row r="30" spans="1:12">
      <c r="A30" s="611">
        <f t="shared" si="0"/>
        <v>2006</v>
      </c>
      <c r="B30" s="625">
        <f>'a9'!B42</f>
        <v>719</v>
      </c>
      <c r="C30" s="625">
        <f>'a9'!F42</f>
        <v>9.36</v>
      </c>
      <c r="D30" s="625">
        <f>'a9'!J42</f>
        <v>2.12</v>
      </c>
      <c r="E30" s="625">
        <f>'a9'!N42</f>
        <v>20.7</v>
      </c>
      <c r="F30" s="625">
        <f>'a9'!R42</f>
        <v>19.3</v>
      </c>
      <c r="G30" s="625">
        <f>'a9'!V42</f>
        <v>84.3</v>
      </c>
      <c r="H30" s="625">
        <f>'a9'!Z42</f>
        <v>194</v>
      </c>
      <c r="I30" s="625">
        <f>'a9'!AD42</f>
        <v>21</v>
      </c>
      <c r="J30" s="625">
        <f>'a9'!AH42</f>
        <v>70.400000000000006</v>
      </c>
      <c r="K30" s="625">
        <f>'a9'!AL42</f>
        <v>235</v>
      </c>
      <c r="L30" s="625">
        <f>'a9'!AP42</f>
        <v>61.6</v>
      </c>
    </row>
    <row r="31" spans="1:12">
      <c r="A31" s="611">
        <f t="shared" si="0"/>
        <v>2007</v>
      </c>
      <c r="B31" s="625">
        <f>'a9'!B43</f>
        <v>748</v>
      </c>
      <c r="C31" s="625">
        <f>'a9'!F43</f>
        <v>10.5</v>
      </c>
      <c r="D31" s="625">
        <f>'a9'!J43</f>
        <v>2.0699999999999998</v>
      </c>
      <c r="E31" s="625">
        <f>'a9'!N43</f>
        <v>21.4</v>
      </c>
      <c r="F31" s="625">
        <f>'a9'!R43</f>
        <v>19.8</v>
      </c>
      <c r="G31" s="625">
        <f>'a9'!V43</f>
        <v>87.1</v>
      </c>
      <c r="H31" s="625">
        <f>'a9'!Z43</f>
        <v>200</v>
      </c>
      <c r="I31" s="625">
        <f>'a9'!AD43</f>
        <v>21.5</v>
      </c>
      <c r="J31" s="625">
        <f>'a9'!AH43</f>
        <v>72.7</v>
      </c>
      <c r="K31" s="625">
        <f>'a9'!AL43</f>
        <v>247</v>
      </c>
      <c r="L31" s="625">
        <f>'a9'!AP43</f>
        <v>65.2</v>
      </c>
    </row>
    <row r="32" spans="1:12">
      <c r="A32" s="611">
        <f t="shared" si="0"/>
        <v>2008</v>
      </c>
      <c r="B32" s="625">
        <f>'a9'!B44</f>
        <v>732</v>
      </c>
      <c r="C32" s="625">
        <f>'a9'!F44</f>
        <v>9.85</v>
      </c>
      <c r="D32" s="625">
        <f>'a9'!J44</f>
        <v>1.99</v>
      </c>
      <c r="E32" s="625">
        <f>'a9'!N44</f>
        <v>21.7</v>
      </c>
      <c r="F32" s="625">
        <f>'a9'!R44</f>
        <v>19.2</v>
      </c>
      <c r="G32" s="625">
        <f>'a9'!V44</f>
        <v>82.4</v>
      </c>
      <c r="H32" s="625">
        <f>'a9'!Z44</f>
        <v>190</v>
      </c>
      <c r="I32" s="625">
        <f>'a9'!AD44</f>
        <v>21.6</v>
      </c>
      <c r="J32" s="625">
        <f>'a9'!AH44</f>
        <v>73.599999999999994</v>
      </c>
      <c r="K32" s="625">
        <f>'a9'!AL44</f>
        <v>244</v>
      </c>
      <c r="L32" s="625">
        <f>'a9'!AP44</f>
        <v>65.900000000000006</v>
      </c>
    </row>
    <row r="33" spans="1:12">
      <c r="A33" s="611">
        <f t="shared" si="0"/>
        <v>2009</v>
      </c>
      <c r="B33" s="625">
        <f>'a9'!B45</f>
        <v>690</v>
      </c>
      <c r="C33" s="625">
        <f>'a9'!F45</f>
        <v>9.4600000000000009</v>
      </c>
      <c r="D33" s="625">
        <f>'a9'!J45</f>
        <v>1.89</v>
      </c>
      <c r="E33" s="625">
        <f>'a9'!N45</f>
        <v>21</v>
      </c>
      <c r="F33" s="625">
        <f>'a9'!R45</f>
        <v>18.399999999999999</v>
      </c>
      <c r="G33" s="625">
        <f>'a9'!V45</f>
        <v>81.7</v>
      </c>
      <c r="H33" s="625">
        <f>'a9'!Z45</f>
        <v>165</v>
      </c>
      <c r="I33" s="625">
        <f>'a9'!AD45</f>
        <v>20.3</v>
      </c>
      <c r="J33" s="625">
        <f>'a9'!AH45</f>
        <v>73.099999999999994</v>
      </c>
      <c r="K33" s="625">
        <f>'a9'!AL45</f>
        <v>234</v>
      </c>
      <c r="L33" s="625">
        <f>'a9'!AP45</f>
        <v>63.8</v>
      </c>
    </row>
    <row r="34" spans="1:12">
      <c r="A34" s="611">
        <f t="shared" si="0"/>
        <v>2010</v>
      </c>
      <c r="B34" s="625">
        <f>'a9'!B46</f>
        <v>680.04574534667199</v>
      </c>
      <c r="C34" s="625">
        <f>'a9'!F46</f>
        <v>9.3555508512622634</v>
      </c>
      <c r="D34" s="625">
        <f>'a9'!J46</f>
        <v>1.8156484742239054</v>
      </c>
      <c r="E34" s="625">
        <f>'a9'!N46</f>
        <v>20.567995540656277</v>
      </c>
      <c r="F34" s="625">
        <f>'a9'!R46</f>
        <v>17.78648329845597</v>
      </c>
      <c r="G34" s="625">
        <f>'a9'!V46</f>
        <v>80.24148623104594</v>
      </c>
      <c r="H34" s="625">
        <f>'a9'!Z46</f>
        <v>158.61400148788772</v>
      </c>
      <c r="I34" s="625">
        <f>'a9'!AD46</f>
        <v>20.124637826052446</v>
      </c>
      <c r="J34" s="625">
        <f>'a9'!AH46</f>
        <v>73.58968934693678</v>
      </c>
      <c r="K34" s="625">
        <f>'a9'!AL46</f>
        <v>233.40457243242159</v>
      </c>
      <c r="L34" s="625">
        <f>'a9'!AP46</f>
        <v>63.484728234406823</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0.80779397685870613</v>
      </c>
      <c r="C36" s="617">
        <f t="shared" si="1"/>
        <v>0.16520436103326652</v>
      </c>
      <c r="D36" s="617">
        <f t="shared" si="1"/>
        <v>-0.1023826249025972</v>
      </c>
      <c r="E36" s="617">
        <f t="shared" si="1"/>
        <v>0.53494829725311277</v>
      </c>
      <c r="F36" s="617">
        <f t="shared" si="1"/>
        <v>0.67408006420281996</v>
      </c>
      <c r="G36" s="617">
        <f t="shared" si="1"/>
        <v>0.13894456901510921</v>
      </c>
      <c r="H36" s="617">
        <f t="shared" si="1"/>
        <v>1.0646634461664028E-2</v>
      </c>
      <c r="I36" s="617">
        <f t="shared" si="1"/>
        <v>0.73709226861939925</v>
      </c>
      <c r="J36" s="617">
        <f t="shared" si="1"/>
        <v>2.1378588435343904</v>
      </c>
      <c r="K36" s="617">
        <f t="shared" si="1"/>
        <v>1.4531278266675995</v>
      </c>
      <c r="L36" s="617">
        <f t="shared" si="1"/>
        <v>1.1383181837347989</v>
      </c>
    </row>
    <row r="37" spans="1:12">
      <c r="A37" s="611" t="s">
        <v>1472</v>
      </c>
      <c r="B37" s="617">
        <f t="shared" ref="B37:L37" si="2">100*(POWER(B13/B5, 1/8)-1)</f>
        <v>1.7839215959163823</v>
      </c>
      <c r="C37" s="617">
        <f t="shared" si="2"/>
        <v>1.7839215959163823</v>
      </c>
      <c r="D37" s="617">
        <f t="shared" si="2"/>
        <v>1.7839215959163823</v>
      </c>
      <c r="E37" s="617">
        <f t="shared" si="2"/>
        <v>1.7839215959163823</v>
      </c>
      <c r="F37" s="617">
        <f t="shared" si="2"/>
        <v>1.7839215959163823</v>
      </c>
      <c r="G37" s="617">
        <f t="shared" si="2"/>
        <v>1.7839215959163823</v>
      </c>
      <c r="H37" s="617">
        <f t="shared" si="2"/>
        <v>1.7839215959163823</v>
      </c>
      <c r="I37" s="617">
        <f t="shared" si="2"/>
        <v>1.7839215959163823</v>
      </c>
      <c r="J37" s="617">
        <f t="shared" si="2"/>
        <v>1.7839215959163823</v>
      </c>
      <c r="K37" s="617">
        <f t="shared" si="2"/>
        <v>1.7839215959163823</v>
      </c>
      <c r="L37" s="617">
        <f t="shared" si="2"/>
        <v>1.7839215959163823</v>
      </c>
    </row>
    <row r="38" spans="1:12">
      <c r="A38" s="611" t="s">
        <v>1473</v>
      </c>
      <c r="B38" s="617">
        <f t="shared" ref="B38:L38" si="3">100*(POWER(B24/B13, 1/11)-1)</f>
        <v>1.3120190558249867</v>
      </c>
      <c r="C38" s="617">
        <f t="shared" si="3"/>
        <v>-1.4792821032470149</v>
      </c>
      <c r="D38" s="617">
        <f t="shared" si="3"/>
        <v>0.18975055497369997</v>
      </c>
      <c r="E38" s="617">
        <f t="shared" si="3"/>
        <v>0.26652476082851262</v>
      </c>
      <c r="F38" s="617">
        <f t="shared" si="3"/>
        <v>1.5173282868822469</v>
      </c>
      <c r="G38" s="617">
        <f t="shared" si="3"/>
        <v>-0.6872576603829339</v>
      </c>
      <c r="H38" s="617">
        <f t="shared" si="3"/>
        <v>0.85339742020242859</v>
      </c>
      <c r="I38" s="617">
        <f t="shared" si="3"/>
        <v>1.1297288126469462</v>
      </c>
      <c r="J38" s="617">
        <f t="shared" si="3"/>
        <v>3.4272979911055712</v>
      </c>
      <c r="K38" s="617">
        <f t="shared" si="3"/>
        <v>2.2492925627143112</v>
      </c>
      <c r="L38" s="617">
        <f t="shared" si="3"/>
        <v>1.4343192665022597</v>
      </c>
    </row>
    <row r="39" spans="1:12">
      <c r="A39" s="611" t="s">
        <v>1474</v>
      </c>
      <c r="B39" s="617">
        <f t="shared" ref="B39:L39" si="4">100*(POWER(B32/B24, 1/8)-1)</f>
        <v>0.27663627142531233</v>
      </c>
      <c r="C39" s="617">
        <f t="shared" si="4"/>
        <v>1.5348118068083894</v>
      </c>
      <c r="D39" s="617">
        <f t="shared" si="4"/>
        <v>-1.2462037791998726</v>
      </c>
      <c r="E39" s="617">
        <f t="shared" si="4"/>
        <v>0.47064283029802922</v>
      </c>
      <c r="F39" s="617">
        <f t="shared" si="4"/>
        <v>-0.44661784171892149</v>
      </c>
      <c r="G39" s="617">
        <f t="shared" si="4"/>
        <v>1.5180267491032851E-2</v>
      </c>
      <c r="H39" s="617">
        <f t="shared" si="4"/>
        <v>-0.63911509545450107</v>
      </c>
      <c r="I39" s="617">
        <f t="shared" si="4"/>
        <v>0.23392484086959264</v>
      </c>
      <c r="J39" s="617">
        <f t="shared" si="4"/>
        <v>1.2761121735677783</v>
      </c>
      <c r="K39" s="617">
        <f t="shared" si="4"/>
        <v>0.96251801901030554</v>
      </c>
      <c r="L39" s="617">
        <f t="shared" si="4"/>
        <v>0.84702425881741927</v>
      </c>
    </row>
    <row r="40" spans="1:12">
      <c r="A40" s="611" t="s">
        <v>1500</v>
      </c>
      <c r="B40" s="611"/>
      <c r="C40" s="611"/>
      <c r="D40" s="611"/>
      <c r="E40" s="611"/>
      <c r="F40" s="611"/>
      <c r="G40" s="611"/>
      <c r="H40" s="611"/>
      <c r="I40" s="611"/>
      <c r="J40" s="611"/>
      <c r="K40" s="611"/>
      <c r="L40" s="611"/>
    </row>
    <row r="41" spans="1:12">
      <c r="A41" s="611" t="s">
        <v>1498</v>
      </c>
      <c r="B41" s="616">
        <f>100*(B34-B5)/B5</f>
        <v>26.278443003783423</v>
      </c>
      <c r="C41" s="616">
        <f t="shared" ref="C41:L41" si="5">100*(C34-C5)/C5</f>
        <v>4.9033993101695392</v>
      </c>
      <c r="D41" s="616">
        <f t="shared" si="5"/>
        <v>-2.9269279317397188</v>
      </c>
      <c r="E41" s="616">
        <f t="shared" si="5"/>
        <v>16.733285343103258</v>
      </c>
      <c r="F41" s="616">
        <f t="shared" si="5"/>
        <v>21.510112993372033</v>
      </c>
      <c r="G41" s="616">
        <f t="shared" si="5"/>
        <v>4.1087622756887967</v>
      </c>
      <c r="H41" s="616">
        <f t="shared" si="5"/>
        <v>0.30921304501082614</v>
      </c>
      <c r="I41" s="616">
        <f t="shared" si="5"/>
        <v>23.735101405118119</v>
      </c>
      <c r="J41" s="616">
        <f>100*(J34-J5)/J5</f>
        <v>84.67824147144286</v>
      </c>
      <c r="K41" s="616">
        <f t="shared" si="5"/>
        <v>51.948979853476636</v>
      </c>
      <c r="L41" s="616">
        <f t="shared" si="5"/>
        <v>38.853265675380406</v>
      </c>
    </row>
    <row r="42" spans="1:12">
      <c r="A42" s="611" t="s">
        <v>1472</v>
      </c>
      <c r="B42" s="616">
        <f>100*(B13-B5)/B5</f>
        <v>15.194949069126766</v>
      </c>
      <c r="C42" s="616">
        <f t="shared" ref="C42:L42" si="6">100*(C13-C5)/C5</f>
        <v>15.194949069126757</v>
      </c>
      <c r="D42" s="616">
        <f t="shared" si="6"/>
        <v>15.194949069126778</v>
      </c>
      <c r="E42" s="616">
        <f t="shared" si="6"/>
        <v>15.194949069126753</v>
      </c>
      <c r="F42" s="616">
        <f t="shared" si="6"/>
        <v>15.194949069126771</v>
      </c>
      <c r="G42" s="616">
        <f t="shared" si="6"/>
        <v>15.194949069126766</v>
      </c>
      <c r="H42" s="616">
        <f t="shared" si="6"/>
        <v>15.194949069126755</v>
      </c>
      <c r="I42" s="616">
        <f t="shared" si="6"/>
        <v>15.194949069126766</v>
      </c>
      <c r="J42" s="616">
        <f t="shared" si="6"/>
        <v>15.194949069126773</v>
      </c>
      <c r="K42" s="616">
        <f t="shared" si="6"/>
        <v>15.194949069126777</v>
      </c>
      <c r="L42" s="616">
        <f t="shared" si="6"/>
        <v>15.194949069126766</v>
      </c>
    </row>
    <row r="43" spans="1:12">
      <c r="A43" s="611" t="s">
        <v>1473</v>
      </c>
      <c r="B43" s="616">
        <f>100*(B24-B13)/B13</f>
        <v>15.417237648755853</v>
      </c>
      <c r="C43" s="616">
        <f t="shared" ref="C43:L43" si="7">100*(C24-C13)/C13</f>
        <v>-15.120415381934118</v>
      </c>
      <c r="D43" s="616">
        <f t="shared" si="7"/>
        <v>2.1071721622059587</v>
      </c>
      <c r="E43" s="616">
        <f t="shared" si="7"/>
        <v>2.9711559266553769</v>
      </c>
      <c r="F43" s="616">
        <f t="shared" si="7"/>
        <v>18.016294693539532</v>
      </c>
      <c r="G43" s="616">
        <f t="shared" si="7"/>
        <v>-7.3053396742749275</v>
      </c>
      <c r="H43" s="616">
        <f t="shared" si="7"/>
        <v>9.7983617536448406</v>
      </c>
      <c r="I43" s="616">
        <f t="shared" si="7"/>
        <v>13.153311696117298</v>
      </c>
      <c r="J43" s="616">
        <f t="shared" si="7"/>
        <v>44.872838424948029</v>
      </c>
      <c r="K43" s="616">
        <f t="shared" si="7"/>
        <v>27.72132962813685</v>
      </c>
      <c r="L43" s="616">
        <f t="shared" si="7"/>
        <v>16.959124476708638</v>
      </c>
    </row>
    <row r="44" spans="1:12">
      <c r="A44" s="611" t="s">
        <v>1474</v>
      </c>
      <c r="B44" s="616">
        <f>100*(B32-B24)/B24</f>
        <v>2.2346368715083798</v>
      </c>
      <c r="C44" s="616">
        <f t="shared" ref="C44:L44" si="8">100*(C32-C24)/C24</f>
        <v>12.958715596330263</v>
      </c>
      <c r="D44" s="616">
        <f t="shared" si="8"/>
        <v>-9.5454545454545521</v>
      </c>
      <c r="E44" s="616">
        <f t="shared" si="8"/>
        <v>3.8277511961722523</v>
      </c>
      <c r="F44" s="616">
        <f t="shared" si="8"/>
        <v>-3.517587939698489</v>
      </c>
      <c r="G44" s="616">
        <f t="shared" si="8"/>
        <v>0.12150668286756808</v>
      </c>
      <c r="H44" s="616">
        <f t="shared" si="8"/>
        <v>-5</v>
      </c>
      <c r="I44" s="616">
        <f t="shared" si="8"/>
        <v>1.8867924528301987</v>
      </c>
      <c r="J44" s="616">
        <f t="shared" si="8"/>
        <v>10.6766917293233</v>
      </c>
      <c r="K44" s="616">
        <f t="shared" si="8"/>
        <v>7.9646017699115044</v>
      </c>
      <c r="L44" s="616">
        <f t="shared" si="8"/>
        <v>6.9805194805194875</v>
      </c>
    </row>
    <row r="46" spans="1:12">
      <c r="A46" s="611" t="s">
        <v>1546</v>
      </c>
    </row>
  </sheetData>
  <pageMargins left="0.7" right="0.7" top="0.75" bottom="0.75" header="0.3" footer="0.3"/>
</worksheet>
</file>

<file path=xl/worksheets/sheet165.xml><?xml version="1.0" encoding="utf-8"?>
<worksheet xmlns="http://schemas.openxmlformats.org/spreadsheetml/2006/main" xmlns:r="http://schemas.openxmlformats.org/officeDocument/2006/relationships">
  <dimension ref="A1:L46"/>
  <sheetViews>
    <sheetView topLeftCell="A29" workbookViewId="0">
      <selection activeCell="E9" sqref="E9"/>
    </sheetView>
  </sheetViews>
  <sheetFormatPr defaultRowHeight="12.75"/>
  <cols>
    <col min="1" max="16384" width="9" style="618"/>
  </cols>
  <sheetData>
    <row r="1" spans="1:12">
      <c r="A1" s="611" t="s">
        <v>1515</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8">
        <f>'a17'!$B17</f>
        <v>0.34799999999999998</v>
      </c>
      <c r="C5" s="628">
        <f>'a17'!$D17</f>
        <v>0.32700000000000001</v>
      </c>
      <c r="D5" s="628">
        <f>'a17'!$F17</f>
        <v>0.33900000000000002</v>
      </c>
      <c r="E5" s="628">
        <f>'a17'!$H17</f>
        <v>0.34200000000000003</v>
      </c>
      <c r="F5" s="628">
        <f>'a17'!$J17</f>
        <v>0.35199999999999998</v>
      </c>
      <c r="G5" s="628">
        <f>'a17'!$L17</f>
        <v>0.34499999999999997</v>
      </c>
      <c r="H5" s="628">
        <f>'a17'!$N17</f>
        <v>0.33800000000000002</v>
      </c>
      <c r="I5" s="628">
        <f>'a17'!$P17</f>
        <v>0.35799999999999998</v>
      </c>
      <c r="J5" s="628">
        <f>'a17'!$R17</f>
        <v>0.376</v>
      </c>
      <c r="K5" s="628">
        <f>'a17'!$T17</f>
        <v>0.34599999999999997</v>
      </c>
      <c r="L5" s="628">
        <f>'a17'!$V17</f>
        <v>0.35399999999999998</v>
      </c>
    </row>
    <row r="6" spans="1:12">
      <c r="A6" s="611">
        <f t="shared" ref="A6:A34" si="0">A5+1</f>
        <v>1982</v>
      </c>
      <c r="B6" s="628">
        <f>'a17'!$B18</f>
        <v>0.35099999999999998</v>
      </c>
      <c r="C6" s="628">
        <f>'a17'!$D18</f>
        <v>0.32500000000000001</v>
      </c>
      <c r="D6" s="628">
        <f>'a17'!$F18</f>
        <v>0.33500000000000002</v>
      </c>
      <c r="E6" s="628">
        <f>'a17'!$H18</f>
        <v>0.34699999999999998</v>
      </c>
      <c r="F6" s="628">
        <f>'a17'!$J18</f>
        <v>0.35099999999999998</v>
      </c>
      <c r="G6" s="628">
        <f>'a17'!$L18</f>
        <v>0.34399999999999997</v>
      </c>
      <c r="H6" s="628">
        <f>'a17'!$N18</f>
        <v>0.34300000000000003</v>
      </c>
      <c r="I6" s="628">
        <f>'a17'!$P18</f>
        <v>0.35899999999999999</v>
      </c>
      <c r="J6" s="628">
        <f>'a17'!$R18</f>
        <v>0.36299999999999999</v>
      </c>
      <c r="K6" s="628">
        <f>'a17'!$T18</f>
        <v>0.35799999999999998</v>
      </c>
      <c r="L6" s="628">
        <f>'a17'!$V18</f>
        <v>0.35799999999999998</v>
      </c>
    </row>
    <row r="7" spans="1:12">
      <c r="A7" s="611">
        <f t="shared" si="0"/>
        <v>1983</v>
      </c>
      <c r="B7" s="628">
        <f>'a17'!$B19</f>
        <v>0.36099999999999999</v>
      </c>
      <c r="C7" s="628">
        <f>'a17'!$D19</f>
        <v>0.33700000000000002</v>
      </c>
      <c r="D7" s="628">
        <f>'a17'!$F19</f>
        <v>0.35599999999999998</v>
      </c>
      <c r="E7" s="628">
        <f>'a17'!$H19</f>
        <v>0.35899999999999999</v>
      </c>
      <c r="F7" s="628">
        <f>'a17'!$J19</f>
        <v>0.36699999999999999</v>
      </c>
      <c r="G7" s="628">
        <f>'a17'!$L19</f>
        <v>0.34599999999999997</v>
      </c>
      <c r="H7" s="628">
        <f>'a17'!$N19</f>
        <v>0.36399999999999999</v>
      </c>
      <c r="I7" s="628">
        <f>'a17'!$P19</f>
        <v>0.35699999999999998</v>
      </c>
      <c r="J7" s="628">
        <f>'a17'!$R19</f>
        <v>0.378</v>
      </c>
      <c r="K7" s="628">
        <f>'a17'!$T19</f>
        <v>0.36299999999999999</v>
      </c>
      <c r="L7" s="628">
        <f>'a17'!$V19</f>
        <v>0.35799999999999998</v>
      </c>
    </row>
    <row r="8" spans="1:12">
      <c r="A8" s="611">
        <f t="shared" si="0"/>
        <v>1984</v>
      </c>
      <c r="B8" s="628">
        <f>'a17'!$B20</f>
        <v>0.35699999999999998</v>
      </c>
      <c r="C8" s="628">
        <f>'a17'!$D20</f>
        <v>0.33</v>
      </c>
      <c r="D8" s="628">
        <f>'a17'!$F20</f>
        <v>0.34799999999999998</v>
      </c>
      <c r="E8" s="628">
        <f>'a17'!$H20</f>
        <v>0.35199999999999998</v>
      </c>
      <c r="F8" s="628">
        <f>'a17'!$J20</f>
        <v>0.35</v>
      </c>
      <c r="G8" s="628">
        <f>'a17'!$L20</f>
        <v>0.35599999999999998</v>
      </c>
      <c r="H8" s="628">
        <f>'a17'!$N20</f>
        <v>0.35299999999999998</v>
      </c>
      <c r="I8" s="628">
        <f>'a17'!$P20</f>
        <v>0.35099999999999998</v>
      </c>
      <c r="J8" s="628">
        <f>'a17'!$R20</f>
        <v>0.36499999999999999</v>
      </c>
      <c r="K8" s="628">
        <f>'a17'!$T20</f>
        <v>0.35699999999999998</v>
      </c>
      <c r="L8" s="628">
        <f>'a17'!$V20</f>
        <v>0.36299999999999999</v>
      </c>
    </row>
    <row r="9" spans="1:12">
      <c r="A9" s="611">
        <f t="shared" si="0"/>
        <v>1985</v>
      </c>
      <c r="B9" s="628">
        <f>'a17'!$B21</f>
        <v>0.35699999999999998</v>
      </c>
      <c r="C9" s="628">
        <f>'a17'!$D21</f>
        <v>0.34599999999999997</v>
      </c>
      <c r="D9" s="628">
        <f>'a17'!$F21</f>
        <v>0.34100000000000003</v>
      </c>
      <c r="E9" s="628">
        <f>'a17'!$H21</f>
        <v>0.36699999999999999</v>
      </c>
      <c r="F9" s="628">
        <f>'a17'!$J21</f>
        <v>0.34200000000000003</v>
      </c>
      <c r="G9" s="628">
        <f>'a17'!$L21</f>
        <v>0.34699999999999998</v>
      </c>
      <c r="H9" s="628">
        <f>'a17'!$N21</f>
        <v>0.35099999999999998</v>
      </c>
      <c r="I9" s="628">
        <f>'a17'!$P21</f>
        <v>0.35</v>
      </c>
      <c r="J9" s="628">
        <f>'a17'!$R21</f>
        <v>0.372</v>
      </c>
      <c r="K9" s="628">
        <f>'a17'!$T21</f>
        <v>0.35199999999999998</v>
      </c>
      <c r="L9" s="628">
        <f>'a17'!$V21</f>
        <v>0.375</v>
      </c>
    </row>
    <row r="10" spans="1:12">
      <c r="A10" s="611">
        <f t="shared" si="0"/>
        <v>1986</v>
      </c>
      <c r="B10" s="628">
        <f>'a17'!$B22</f>
        <v>0.35799999999999998</v>
      </c>
      <c r="C10" s="628">
        <f>'a17'!$D22</f>
        <v>0.32900000000000001</v>
      </c>
      <c r="D10" s="628">
        <f>'a17'!$F22</f>
        <v>0.33100000000000002</v>
      </c>
      <c r="E10" s="628">
        <f>'a17'!$H22</f>
        <v>0.35299999999999998</v>
      </c>
      <c r="F10" s="628">
        <f>'a17'!$J22</f>
        <v>0.33</v>
      </c>
      <c r="G10" s="628">
        <f>'a17'!$L22</f>
        <v>0.35499999999999998</v>
      </c>
      <c r="H10" s="628">
        <f>'a17'!$N22</f>
        <v>0.35199999999999998</v>
      </c>
      <c r="I10" s="628">
        <f>'a17'!$P22</f>
        <v>0.34399999999999997</v>
      </c>
      <c r="J10" s="628">
        <f>'a17'!$R22</f>
        <v>0.374</v>
      </c>
      <c r="K10" s="628">
        <f>'a17'!$T22</f>
        <v>0.36</v>
      </c>
      <c r="L10" s="628">
        <f>'a17'!$V22</f>
        <v>0.36099999999999999</v>
      </c>
    </row>
    <row r="11" spans="1:12">
      <c r="A11" s="611">
        <f t="shared" si="0"/>
        <v>1987</v>
      </c>
      <c r="B11" s="628">
        <f>'a17'!$B23</f>
        <v>0.35499999999999998</v>
      </c>
      <c r="C11" s="628">
        <f>'a17'!$D23</f>
        <v>0.33200000000000002</v>
      </c>
      <c r="D11" s="628">
        <f>'a17'!$F23</f>
        <v>0.33700000000000002</v>
      </c>
      <c r="E11" s="628">
        <f>'a17'!$H23</f>
        <v>0.34300000000000003</v>
      </c>
      <c r="F11" s="628">
        <f>'a17'!$J23</f>
        <v>0.34399999999999997</v>
      </c>
      <c r="G11" s="628">
        <f>'a17'!$L23</f>
        <v>0.35199999999999998</v>
      </c>
      <c r="H11" s="628">
        <f>'a17'!$N23</f>
        <v>0.34899999999999998</v>
      </c>
      <c r="I11" s="628">
        <f>'a17'!$P23</f>
        <v>0.34899999999999998</v>
      </c>
      <c r="J11" s="628">
        <f>'a17'!$R23</f>
        <v>0.35499999999999998</v>
      </c>
      <c r="K11" s="628">
        <f>'a17'!$T23</f>
        <v>0.35799999999999998</v>
      </c>
      <c r="L11" s="628">
        <f>'a17'!$V23</f>
        <v>0.36299999999999999</v>
      </c>
    </row>
    <row r="12" spans="1:12">
      <c r="A12" s="611">
        <f t="shared" si="0"/>
        <v>1988</v>
      </c>
      <c r="B12" s="628">
        <f>'a17'!$B24</f>
        <v>0.35399999999999998</v>
      </c>
      <c r="C12" s="628">
        <f>'a17'!$D24</f>
        <v>0.316</v>
      </c>
      <c r="D12" s="628">
        <f>'a17'!$F24</f>
        <v>0.32800000000000001</v>
      </c>
      <c r="E12" s="628">
        <f>'a17'!$H24</f>
        <v>0.34300000000000003</v>
      </c>
      <c r="F12" s="628">
        <f>'a17'!$J24</f>
        <v>0.33</v>
      </c>
      <c r="G12" s="628">
        <f>'a17'!$L24</f>
        <v>0.34899999999999998</v>
      </c>
      <c r="H12" s="628">
        <f>'a17'!$N24</f>
        <v>0.35099999999999998</v>
      </c>
      <c r="I12" s="628">
        <f>'a17'!$P24</f>
        <v>0.35</v>
      </c>
      <c r="J12" s="628">
        <f>'a17'!$R24</f>
        <v>0.35399999999999998</v>
      </c>
      <c r="K12" s="628">
        <f>'a17'!$T24</f>
        <v>0.35099999999999998</v>
      </c>
      <c r="L12" s="628">
        <f>'a17'!$V24</f>
        <v>0.34699999999999998</v>
      </c>
    </row>
    <row r="13" spans="1:12">
      <c r="A13" s="611">
        <f t="shared" si="0"/>
        <v>1989</v>
      </c>
      <c r="B13" s="628">
        <f>'a17'!$B25</f>
        <v>0.35099999999999998</v>
      </c>
      <c r="C13" s="628">
        <f>'a17'!$D25</f>
        <v>0.315</v>
      </c>
      <c r="D13" s="628">
        <f>'a17'!$F25</f>
        <v>0.34599999999999997</v>
      </c>
      <c r="E13" s="628">
        <f>'a17'!$H25</f>
        <v>0.35</v>
      </c>
      <c r="F13" s="628">
        <f>'a17'!$J25</f>
        <v>0.33500000000000002</v>
      </c>
      <c r="G13" s="628">
        <f>'a17'!$L25</f>
        <v>0.34200000000000003</v>
      </c>
      <c r="H13" s="628">
        <f>'a17'!$N25</f>
        <v>0.35099999999999998</v>
      </c>
      <c r="I13" s="628">
        <f>'a17'!$P25</f>
        <v>0.34300000000000003</v>
      </c>
      <c r="J13" s="628">
        <f>'a17'!$R25</f>
        <v>0.35099999999999998</v>
      </c>
      <c r="K13" s="628">
        <f>'a17'!$T25</f>
        <v>0.35199999999999998</v>
      </c>
      <c r="L13" s="628">
        <f>'a17'!$V25</f>
        <v>0.34100000000000003</v>
      </c>
    </row>
    <row r="14" spans="1:12">
      <c r="A14" s="611">
        <f t="shared" si="0"/>
        <v>1990</v>
      </c>
      <c r="B14" s="628">
        <f>'a17'!$B26</f>
        <v>0.35699999999999998</v>
      </c>
      <c r="C14" s="628">
        <f>'a17'!$D26</f>
        <v>0.33</v>
      </c>
      <c r="D14" s="628">
        <f>'a17'!$F26</f>
        <v>0.33</v>
      </c>
      <c r="E14" s="628">
        <f>'a17'!$H26</f>
        <v>0.33800000000000002</v>
      </c>
      <c r="F14" s="628">
        <f>'a17'!$J26</f>
        <v>0.33400000000000002</v>
      </c>
      <c r="G14" s="628">
        <f>'a17'!$L26</f>
        <v>0.35199999999999998</v>
      </c>
      <c r="H14" s="628">
        <f>'a17'!$N26</f>
        <v>0.35199999999999998</v>
      </c>
      <c r="I14" s="628">
        <f>'a17'!$P26</f>
        <v>0.34200000000000003</v>
      </c>
      <c r="J14" s="628">
        <f>'a17'!$R26</f>
        <v>0.36199999999999999</v>
      </c>
      <c r="K14" s="628">
        <f>'a17'!$T26</f>
        <v>0.35599999999999998</v>
      </c>
      <c r="L14" s="628">
        <f>'a17'!$V26</f>
        <v>0.36699999999999999</v>
      </c>
    </row>
    <row r="15" spans="1:12">
      <c r="A15" s="611">
        <f t="shared" si="0"/>
        <v>1991</v>
      </c>
      <c r="B15" s="628">
        <f>'a17'!$B27</f>
        <v>0.36399999999999999</v>
      </c>
      <c r="C15" s="628">
        <f>'a17'!$D27</f>
        <v>0.34599999999999997</v>
      </c>
      <c r="D15" s="628">
        <f>'a17'!$F27</f>
        <v>0.34399999999999997</v>
      </c>
      <c r="E15" s="628">
        <f>'a17'!$H27</f>
        <v>0.33600000000000002</v>
      </c>
      <c r="F15" s="628">
        <f>'a17'!$J27</f>
        <v>0.34200000000000003</v>
      </c>
      <c r="G15" s="628">
        <f>'a17'!$L27</f>
        <v>0.35699999999999998</v>
      </c>
      <c r="H15" s="628">
        <f>'a17'!$N27</f>
        <v>0.36199999999999999</v>
      </c>
      <c r="I15" s="628">
        <f>'a17'!$P27</f>
        <v>0.34399999999999997</v>
      </c>
      <c r="J15" s="628">
        <f>'a17'!$R27</f>
        <v>0.35699999999999998</v>
      </c>
      <c r="K15" s="628">
        <f>'a17'!$T27</f>
        <v>0.36599999999999999</v>
      </c>
      <c r="L15" s="628">
        <f>'a17'!$V27</f>
        <v>0.36699999999999999</v>
      </c>
    </row>
    <row r="16" spans="1:12">
      <c r="A16" s="611">
        <f t="shared" si="0"/>
        <v>1992</v>
      </c>
      <c r="B16" s="628">
        <f>'a17'!$B28</f>
        <v>0.36399999999999999</v>
      </c>
      <c r="C16" s="628">
        <f>'a17'!$D28</f>
        <v>0.34300000000000003</v>
      </c>
      <c r="D16" s="628">
        <f>'a17'!$F28</f>
        <v>0.32700000000000001</v>
      </c>
      <c r="E16" s="628">
        <f>'a17'!$H28</f>
        <v>0.35199999999999998</v>
      </c>
      <c r="F16" s="628">
        <f>'a17'!$J28</f>
        <v>0.34799999999999998</v>
      </c>
      <c r="G16" s="628">
        <f>'a17'!$L28</f>
        <v>0.35299999999999998</v>
      </c>
      <c r="H16" s="628">
        <f>'a17'!$N28</f>
        <v>0.35699999999999998</v>
      </c>
      <c r="I16" s="628">
        <f>'a17'!$P28</f>
        <v>0.36099999999999999</v>
      </c>
      <c r="J16" s="628">
        <f>'a17'!$R28</f>
        <v>0.373</v>
      </c>
      <c r="K16" s="628">
        <f>'a17'!$T28</f>
        <v>0.378</v>
      </c>
      <c r="L16" s="628">
        <f>'a17'!$V28</f>
        <v>0.374</v>
      </c>
    </row>
    <row r="17" spans="1:12">
      <c r="A17" s="611">
        <f t="shared" si="0"/>
        <v>1993</v>
      </c>
      <c r="B17" s="628">
        <f>'a17'!$B29</f>
        <v>0.36699999999999999</v>
      </c>
      <c r="C17" s="628">
        <f>'a17'!$D29</f>
        <v>0.34799999999999998</v>
      </c>
      <c r="D17" s="628">
        <f>'a17'!$F29</f>
        <v>0.32700000000000001</v>
      </c>
      <c r="E17" s="628">
        <f>'a17'!$H29</f>
        <v>0.34</v>
      </c>
      <c r="F17" s="628">
        <f>'a17'!$J29</f>
        <v>0.34599999999999997</v>
      </c>
      <c r="G17" s="628">
        <f>'a17'!$L29</f>
        <v>0.35099999999999998</v>
      </c>
      <c r="H17" s="628">
        <f>'a17'!$N29</f>
        <v>0.36399999999999999</v>
      </c>
      <c r="I17" s="628">
        <f>'a17'!$P29</f>
        <v>0.36099999999999999</v>
      </c>
      <c r="J17" s="628">
        <f>'a17'!$R29</f>
        <v>0.35799999999999998</v>
      </c>
      <c r="K17" s="628">
        <f>'a17'!$T29</f>
        <v>0.38700000000000001</v>
      </c>
      <c r="L17" s="628">
        <f>'a17'!$V29</f>
        <v>0.374</v>
      </c>
    </row>
    <row r="18" spans="1:12">
      <c r="A18" s="611">
        <f t="shared" si="0"/>
        <v>1994</v>
      </c>
      <c r="B18" s="628">
        <f>'a17'!$B30</f>
        <v>0.36199999999999999</v>
      </c>
      <c r="C18" s="628">
        <f>'a17'!$D30</f>
        <v>0.34499999999999997</v>
      </c>
      <c r="D18" s="628">
        <f>'a17'!$F30</f>
        <v>0.32300000000000001</v>
      </c>
      <c r="E18" s="628">
        <f>'a17'!$H30</f>
        <v>0.36</v>
      </c>
      <c r="F18" s="628">
        <f>'a17'!$J30</f>
        <v>0.34799999999999998</v>
      </c>
      <c r="G18" s="628">
        <f>'a17'!$L30</f>
        <v>0.35499999999999998</v>
      </c>
      <c r="H18" s="628">
        <f>'a17'!$N30</f>
        <v>0.35899999999999999</v>
      </c>
      <c r="I18" s="628">
        <f>'a17'!$P30</f>
        <v>0.35399999999999998</v>
      </c>
      <c r="J18" s="628">
        <f>'a17'!$R30</f>
        <v>0.35499999999999998</v>
      </c>
      <c r="K18" s="628">
        <f>'a17'!$T30</f>
        <v>0.35899999999999999</v>
      </c>
      <c r="L18" s="628">
        <f>'a17'!$V30</f>
        <v>0.37</v>
      </c>
    </row>
    <row r="19" spans="1:12">
      <c r="A19" s="611">
        <f t="shared" si="0"/>
        <v>1995</v>
      </c>
      <c r="B19" s="628">
        <f>'a17'!$B31</f>
        <v>0.36599999999999999</v>
      </c>
      <c r="C19" s="628">
        <f>'a17'!$D31</f>
        <v>0.34899999999999998</v>
      </c>
      <c r="D19" s="628">
        <f>'a17'!$F31</f>
        <v>0.33300000000000002</v>
      </c>
      <c r="E19" s="628">
        <f>'a17'!$H31</f>
        <v>0.35399999999999998</v>
      </c>
      <c r="F19" s="628">
        <f>'a17'!$J31</f>
        <v>0.34899999999999998</v>
      </c>
      <c r="G19" s="628">
        <f>'a17'!$L31</f>
        <v>0.36</v>
      </c>
      <c r="H19" s="628">
        <f>'a17'!$N31</f>
        <v>0.36399999999999999</v>
      </c>
      <c r="I19" s="628">
        <f>'a17'!$P31</f>
        <v>0.35399999999999998</v>
      </c>
      <c r="J19" s="628">
        <f>'a17'!$R31</f>
        <v>0.36499999999999999</v>
      </c>
      <c r="K19" s="628">
        <f>'a17'!$T31</f>
        <v>0.35799999999999998</v>
      </c>
      <c r="L19" s="628">
        <f>'a17'!$V31</f>
        <v>0.373</v>
      </c>
    </row>
    <row r="20" spans="1:12">
      <c r="A20" s="611">
        <f t="shared" si="0"/>
        <v>1996</v>
      </c>
      <c r="B20" s="628">
        <f>'a17'!$B32</f>
        <v>0.377</v>
      </c>
      <c r="C20" s="628">
        <f>'a17'!$D32</f>
        <v>0.35</v>
      </c>
      <c r="D20" s="628">
        <f>'a17'!$F32</f>
        <v>0.34399999999999997</v>
      </c>
      <c r="E20" s="628">
        <f>'a17'!$H32</f>
        <v>0.36399999999999999</v>
      </c>
      <c r="F20" s="628">
        <f>'a17'!$J32</f>
        <v>0.35599999999999998</v>
      </c>
      <c r="G20" s="628">
        <f>'a17'!$L32</f>
        <v>0.36299999999999999</v>
      </c>
      <c r="H20" s="628">
        <f>'a17'!$N32</f>
        <v>0.377</v>
      </c>
      <c r="I20" s="628">
        <f>'a17'!$P32</f>
        <v>0.36099999999999999</v>
      </c>
      <c r="J20" s="628">
        <f>'a17'!$R32</f>
        <v>0.36599999999999999</v>
      </c>
      <c r="K20" s="628">
        <f>'a17'!$T32</f>
        <v>0.38400000000000001</v>
      </c>
      <c r="L20" s="628">
        <f>'a17'!$V32</f>
        <v>0.38600000000000001</v>
      </c>
    </row>
    <row r="21" spans="1:12">
      <c r="A21" s="611">
        <f t="shared" si="0"/>
        <v>1997</v>
      </c>
      <c r="B21" s="628">
        <f>'a17'!$B33</f>
        <v>0.38500000000000001</v>
      </c>
      <c r="C21" s="628">
        <f>'a17'!$D33</f>
        <v>0.35</v>
      </c>
      <c r="D21" s="628">
        <f>'a17'!$F33</f>
        <v>0.35499999999999998</v>
      </c>
      <c r="E21" s="628">
        <f>'a17'!$H33</f>
        <v>0.36799999999999999</v>
      </c>
      <c r="F21" s="628">
        <f>'a17'!$J33</f>
        <v>0.36199999999999999</v>
      </c>
      <c r="G21" s="628">
        <f>'a17'!$L33</f>
        <v>0.376</v>
      </c>
      <c r="H21" s="628">
        <f>'a17'!$N33</f>
        <v>0.38200000000000001</v>
      </c>
      <c r="I21" s="628">
        <f>'a17'!$P33</f>
        <v>0.36199999999999999</v>
      </c>
      <c r="J21" s="628">
        <f>'a17'!$R33</f>
        <v>0.36399999999999999</v>
      </c>
      <c r="K21" s="628">
        <f>'a17'!$T33</f>
        <v>0.39600000000000002</v>
      </c>
      <c r="L21" s="628">
        <f>'a17'!$V33</f>
        <v>0.39200000000000002</v>
      </c>
    </row>
    <row r="22" spans="1:12">
      <c r="A22" s="611">
        <f t="shared" si="0"/>
        <v>1998</v>
      </c>
      <c r="B22" s="628">
        <f>'a17'!$B34</f>
        <v>0.38600000000000001</v>
      </c>
      <c r="C22" s="628">
        <f>'a17'!$D34</f>
        <v>0.35799999999999998</v>
      </c>
      <c r="D22" s="628">
        <f>'a17'!$F34</f>
        <v>0.35</v>
      </c>
      <c r="E22" s="628">
        <f>'a17'!$H34</f>
        <v>0.37</v>
      </c>
      <c r="F22" s="628">
        <f>'a17'!$J34</f>
        <v>0.36099999999999999</v>
      </c>
      <c r="G22" s="628">
        <f>'a17'!$L34</f>
        <v>0.372</v>
      </c>
      <c r="H22" s="628">
        <f>'a17'!$N34</f>
        <v>0.38400000000000001</v>
      </c>
      <c r="I22" s="628">
        <f>'a17'!$P34</f>
        <v>0.36699999999999999</v>
      </c>
      <c r="J22" s="628">
        <f>'a17'!$R34</f>
        <v>0.36899999999999999</v>
      </c>
      <c r="K22" s="628">
        <f>'a17'!$T34</f>
        <v>0.39600000000000002</v>
      </c>
      <c r="L22" s="628">
        <f>'a17'!$V34</f>
        <v>0.39</v>
      </c>
    </row>
    <row r="23" spans="1:12">
      <c r="A23" s="611">
        <f t="shared" si="0"/>
        <v>1999</v>
      </c>
      <c r="B23" s="628">
        <f>'a17'!$B35</f>
        <v>0.38600000000000001</v>
      </c>
      <c r="C23" s="628">
        <f>'a17'!$D35</f>
        <v>0.36099999999999999</v>
      </c>
      <c r="D23" s="628">
        <f>'a17'!$F35</f>
        <v>0.36599999999999999</v>
      </c>
      <c r="E23" s="628">
        <f>'a17'!$H35</f>
        <v>0.371</v>
      </c>
      <c r="F23" s="628">
        <f>'a17'!$J35</f>
        <v>0.35199999999999998</v>
      </c>
      <c r="G23" s="628">
        <f>'a17'!$L35</f>
        <v>0.36399999999999999</v>
      </c>
      <c r="H23" s="628">
        <f>'a17'!$N35</f>
        <v>0.39100000000000001</v>
      </c>
      <c r="I23" s="628">
        <f>'a17'!$P35</f>
        <v>0.35799999999999998</v>
      </c>
      <c r="J23" s="628">
        <f>'a17'!$R35</f>
        <v>0.36</v>
      </c>
      <c r="K23" s="628">
        <f>'a17'!$T35</f>
        <v>0.379</v>
      </c>
      <c r="L23" s="628">
        <f>'a17'!$V35</f>
        <v>0.39100000000000001</v>
      </c>
    </row>
    <row r="24" spans="1:12">
      <c r="A24" s="611">
        <f t="shared" si="0"/>
        <v>2000</v>
      </c>
      <c r="B24" s="628">
        <f>'a17'!$B36</f>
        <v>0.39200000000000002</v>
      </c>
      <c r="C24" s="628">
        <f>'a17'!$D36</f>
        <v>0.36799999999999999</v>
      </c>
      <c r="D24" s="628">
        <f>'a17'!$F36</f>
        <v>0.36199999999999999</v>
      </c>
      <c r="E24" s="628">
        <f>'a17'!$H36</f>
        <v>0.372</v>
      </c>
      <c r="F24" s="628">
        <f>'a17'!$J36</f>
        <v>0.36499999999999999</v>
      </c>
      <c r="G24" s="628">
        <f>'a17'!$L36</f>
        <v>0.376</v>
      </c>
      <c r="H24" s="628">
        <f>'a17'!$N36</f>
        <v>0.39600000000000002</v>
      </c>
      <c r="I24" s="628">
        <f>'a17'!$P36</f>
        <v>0.36399999999999999</v>
      </c>
      <c r="J24" s="628">
        <f>'a17'!$R36</f>
        <v>0.36899999999999999</v>
      </c>
      <c r="K24" s="628">
        <f>'a17'!$T36</f>
        <v>0.38500000000000001</v>
      </c>
      <c r="L24" s="628">
        <f>'a17'!$V36</f>
        <v>0.39</v>
      </c>
    </row>
    <row r="25" spans="1:12">
      <c r="A25" s="611">
        <f t="shared" si="0"/>
        <v>2001</v>
      </c>
      <c r="B25" s="628">
        <f>'a17'!$B37</f>
        <v>0.39200000000000002</v>
      </c>
      <c r="C25" s="628">
        <f>'a17'!$D37</f>
        <v>0.36</v>
      </c>
      <c r="D25" s="628">
        <f>'a17'!$F37</f>
        <v>0.35799999999999998</v>
      </c>
      <c r="E25" s="628">
        <f>'a17'!$H37</f>
        <v>0.376</v>
      </c>
      <c r="F25" s="628">
        <f>'a17'!$J37</f>
        <v>0.37</v>
      </c>
      <c r="G25" s="628">
        <f>'a17'!$L37</f>
        <v>0.378</v>
      </c>
      <c r="H25" s="628">
        <f>'a17'!$N37</f>
        <v>0.39200000000000002</v>
      </c>
      <c r="I25" s="628">
        <f>'a17'!$P37</f>
        <v>0.36199999999999999</v>
      </c>
      <c r="J25" s="628">
        <f>'a17'!$R37</f>
        <v>0.36599999999999999</v>
      </c>
      <c r="K25" s="628">
        <f>'a17'!$T37</f>
        <v>0.38400000000000001</v>
      </c>
      <c r="L25" s="628">
        <f>'a17'!$V37</f>
        <v>0.4</v>
      </c>
    </row>
    <row r="26" spans="1:12">
      <c r="A26" s="611">
        <f t="shared" si="0"/>
        <v>2002</v>
      </c>
      <c r="B26" s="628">
        <f>'a17'!$B38</f>
        <v>0.39100000000000001</v>
      </c>
      <c r="C26" s="628">
        <f>'a17'!$D38</f>
        <v>0.36499999999999999</v>
      </c>
      <c r="D26" s="628">
        <f>'a17'!$F38</f>
        <v>0.35899999999999999</v>
      </c>
      <c r="E26" s="628">
        <f>'a17'!$H38</f>
        <v>0.376</v>
      </c>
      <c r="F26" s="628">
        <f>'a17'!$J38</f>
        <v>0.37</v>
      </c>
      <c r="G26" s="628">
        <f>'a17'!$L38</f>
        <v>0.374</v>
      </c>
      <c r="H26" s="628">
        <f>'a17'!$N38</f>
        <v>0.39200000000000002</v>
      </c>
      <c r="I26" s="628">
        <f>'a17'!$P38</f>
        <v>0.37</v>
      </c>
      <c r="J26" s="628">
        <f>'a17'!$R38</f>
        <v>0.36699999999999999</v>
      </c>
      <c r="K26" s="628">
        <f>'a17'!$T38</f>
        <v>0.377</v>
      </c>
      <c r="L26" s="628">
        <f>'a17'!$V38</f>
        <v>0.40799999999999997</v>
      </c>
    </row>
    <row r="27" spans="1:12">
      <c r="A27" s="611">
        <f t="shared" si="0"/>
        <v>2003</v>
      </c>
      <c r="B27" s="628">
        <f>'a17'!$B39</f>
        <v>0.38900000000000001</v>
      </c>
      <c r="C27" s="628">
        <f>'a17'!$D39</f>
        <v>0.36399999999999999</v>
      </c>
      <c r="D27" s="628">
        <f>'a17'!$F39</f>
        <v>0.34699999999999998</v>
      </c>
      <c r="E27" s="628">
        <f>'a17'!$H39</f>
        <v>0.37</v>
      </c>
      <c r="F27" s="628">
        <f>'a17'!$J39</f>
        <v>0.371</v>
      </c>
      <c r="G27" s="628">
        <f>'a17'!$L39</f>
        <v>0.37</v>
      </c>
      <c r="H27" s="628">
        <f>'a17'!$N39</f>
        <v>0.39</v>
      </c>
      <c r="I27" s="628">
        <f>'a17'!$P39</f>
        <v>0.35699999999999998</v>
      </c>
      <c r="J27" s="628">
        <f>'a17'!$R39</f>
        <v>0.374</v>
      </c>
      <c r="K27" s="628">
        <f>'a17'!$T39</f>
        <v>0.39400000000000002</v>
      </c>
      <c r="L27" s="628">
        <f>'a17'!$V39</f>
        <v>0.39500000000000002</v>
      </c>
    </row>
    <row r="28" spans="1:12">
      <c r="A28" s="611">
        <f t="shared" si="0"/>
        <v>2004</v>
      </c>
      <c r="B28" s="628">
        <f>'a17'!$B40</f>
        <v>0.39400000000000002</v>
      </c>
      <c r="C28" s="628">
        <f>'a17'!$D40</f>
        <v>0.36499999999999999</v>
      </c>
      <c r="D28" s="628">
        <f>'a17'!$F40</f>
        <v>0.34200000000000003</v>
      </c>
      <c r="E28" s="628">
        <f>'a17'!$H40</f>
        <v>0.372</v>
      </c>
      <c r="F28" s="628">
        <f>'a17'!$J40</f>
        <v>0.371</v>
      </c>
      <c r="G28" s="628">
        <f>'a17'!$L40</f>
        <v>0.374</v>
      </c>
      <c r="H28" s="628">
        <f>'a17'!$N40</f>
        <v>0.4</v>
      </c>
      <c r="I28" s="628">
        <f>'a17'!$P40</f>
        <v>0.36899999999999999</v>
      </c>
      <c r="J28" s="628">
        <f>'a17'!$R40</f>
        <v>0.38100000000000001</v>
      </c>
      <c r="K28" s="628">
        <f>'a17'!$T40</f>
        <v>0.39</v>
      </c>
      <c r="L28" s="628">
        <f>'a17'!$V40</f>
        <v>0.39500000000000002</v>
      </c>
    </row>
    <row r="29" spans="1:12">
      <c r="A29" s="611">
        <f t="shared" si="0"/>
        <v>2005</v>
      </c>
      <c r="B29" s="628">
        <f>'a17'!$B41</f>
        <v>0.39300000000000002</v>
      </c>
      <c r="C29" s="628">
        <f>'a17'!$D41</f>
        <v>0.36499999999999999</v>
      </c>
      <c r="D29" s="628">
        <f>'a17'!$F41</f>
        <v>0.33600000000000002</v>
      </c>
      <c r="E29" s="628">
        <f>'a17'!$H41</f>
        <v>0.375</v>
      </c>
      <c r="F29" s="628">
        <f>'a17'!$J41</f>
        <v>0.36899999999999999</v>
      </c>
      <c r="G29" s="628">
        <f>'a17'!$L41</f>
        <v>0.38</v>
      </c>
      <c r="H29" s="628">
        <f>'a17'!$N41</f>
        <v>0.39400000000000002</v>
      </c>
      <c r="I29" s="628">
        <f>'a17'!$P41</f>
        <v>0.373</v>
      </c>
      <c r="J29" s="628">
        <f>'a17'!$R41</f>
        <v>0.39600000000000002</v>
      </c>
      <c r="K29" s="628">
        <f>'a17'!$T41</f>
        <v>0.38300000000000001</v>
      </c>
      <c r="L29" s="628">
        <f>'a17'!$V41</f>
        <v>0.39800000000000002</v>
      </c>
    </row>
    <row r="30" spans="1:12">
      <c r="A30" s="611">
        <f t="shared" si="0"/>
        <v>2006</v>
      </c>
      <c r="B30" s="628">
        <f>'a17'!$B42</f>
        <v>0.39200000000000002</v>
      </c>
      <c r="C30" s="628">
        <f>'a17'!$D42</f>
        <v>0.36399999999999999</v>
      </c>
      <c r="D30" s="628">
        <f>'a17'!$F42</f>
        <v>0.34300000000000003</v>
      </c>
      <c r="E30" s="628">
        <f>'a17'!$H42</f>
        <v>0.374</v>
      </c>
      <c r="F30" s="628">
        <f>'a17'!$J42</f>
        <v>0.36699999999999999</v>
      </c>
      <c r="G30" s="628">
        <f>'a17'!$L42</f>
        <v>0.375</v>
      </c>
      <c r="H30" s="628">
        <f>'a17'!$N42</f>
        <v>0.39100000000000001</v>
      </c>
      <c r="I30" s="628">
        <f>'a17'!$P42</f>
        <v>0.376</v>
      </c>
      <c r="J30" s="628">
        <f>'a17'!$R42</f>
        <v>0.39500000000000002</v>
      </c>
      <c r="K30" s="628">
        <f>'a17'!$T42</f>
        <v>0.38900000000000001</v>
      </c>
      <c r="L30" s="628">
        <f>'a17'!$V42</f>
        <v>0.4</v>
      </c>
    </row>
    <row r="31" spans="1:12">
      <c r="A31" s="611">
        <f t="shared" si="0"/>
        <v>2007</v>
      </c>
      <c r="B31" s="628">
        <f>'a17'!$B43</f>
        <v>0.39400000000000002</v>
      </c>
      <c r="C31" s="628">
        <f>'a17'!$D43</f>
        <v>0.371</v>
      </c>
      <c r="D31" s="628">
        <f>'a17'!$F43</f>
        <v>0.32900000000000001</v>
      </c>
      <c r="E31" s="628">
        <f>'a17'!$H43</f>
        <v>0.372</v>
      </c>
      <c r="F31" s="628">
        <f>'a17'!$J43</f>
        <v>0.36599999999999999</v>
      </c>
      <c r="G31" s="628">
        <f>'a17'!$L43</f>
        <v>0.376</v>
      </c>
      <c r="H31" s="628">
        <f>'a17'!$N43</f>
        <v>0.39200000000000002</v>
      </c>
      <c r="I31" s="628">
        <f>'a17'!$P43</f>
        <v>0.38</v>
      </c>
      <c r="J31" s="628">
        <f>'a17'!$R43</f>
        <v>0.38500000000000001</v>
      </c>
      <c r="K31" s="628">
        <f>'a17'!$T43</f>
        <v>0.39400000000000002</v>
      </c>
      <c r="L31" s="628">
        <f>'a17'!$V43</f>
        <v>0.40100000000000002</v>
      </c>
    </row>
    <row r="32" spans="1:12">
      <c r="A32" s="611">
        <f t="shared" si="0"/>
        <v>2008</v>
      </c>
      <c r="B32" s="628">
        <f>'a17'!$B44</f>
        <v>0.39600000000000002</v>
      </c>
      <c r="C32" s="628">
        <f>'a17'!$D44</f>
        <v>0.38200000000000001</v>
      </c>
      <c r="D32" s="628">
        <f>'a17'!$F44</f>
        <v>0.34300000000000003</v>
      </c>
      <c r="E32" s="628">
        <f>'a17'!$H44</f>
        <v>0.379</v>
      </c>
      <c r="F32" s="628">
        <f>'a17'!$J44</f>
        <v>0.35899999999999999</v>
      </c>
      <c r="G32" s="628">
        <f>'a17'!$L44</f>
        <v>0.38</v>
      </c>
      <c r="H32" s="628">
        <f>'a17'!$N44</f>
        <v>0.39600000000000002</v>
      </c>
      <c r="I32" s="628">
        <f>'a17'!$P44</f>
        <v>0.36899999999999999</v>
      </c>
      <c r="J32" s="628">
        <f>'a17'!$R44</f>
        <v>0.38400000000000001</v>
      </c>
      <c r="K32" s="628">
        <f>'a17'!$T44</f>
        <v>0.38300000000000001</v>
      </c>
      <c r="L32" s="628">
        <f>'a17'!$V44</f>
        <v>0.40699999999999997</v>
      </c>
    </row>
    <row r="33" spans="1:12">
      <c r="A33" s="611">
        <f t="shared" si="0"/>
        <v>2009</v>
      </c>
      <c r="B33" s="628">
        <f>'a17'!$B45</f>
        <v>0.39400000000000002</v>
      </c>
      <c r="C33" s="628">
        <f>'a17'!$D45</f>
        <v>0.36699999999999999</v>
      </c>
      <c r="D33" s="628">
        <f>'a17'!$F45</f>
        <v>0.33300000000000002</v>
      </c>
      <c r="E33" s="628">
        <f>'a17'!$H45</f>
        <v>0.38500000000000001</v>
      </c>
      <c r="F33" s="628">
        <f>'a17'!$J45</f>
        <v>0.36399999999999999</v>
      </c>
      <c r="G33" s="628">
        <f>'a17'!$L45</f>
        <v>0.376</v>
      </c>
      <c r="H33" s="628">
        <f>'a17'!$N45</f>
        <v>0.39600000000000002</v>
      </c>
      <c r="I33" s="628">
        <f>'a17'!$P45</f>
        <v>0.36299999999999999</v>
      </c>
      <c r="J33" s="628">
        <f>'a17'!$R45</f>
        <v>0.38500000000000001</v>
      </c>
      <c r="K33" s="628">
        <f>'a17'!$T45</f>
        <v>0.39500000000000002</v>
      </c>
      <c r="L33" s="628">
        <f>'a17'!$V45</f>
        <v>0.40500000000000003</v>
      </c>
    </row>
    <row r="34" spans="1:12">
      <c r="A34" s="611">
        <f t="shared" si="0"/>
        <v>2010</v>
      </c>
      <c r="B34" s="628">
        <f>'a17'!$B46</f>
        <v>0.39400000000000002</v>
      </c>
      <c r="C34" s="628">
        <f>'a17'!$D46</f>
        <v>0.36699999999999999</v>
      </c>
      <c r="D34" s="628">
        <f>'a17'!$F46</f>
        <v>0.33300000000000002</v>
      </c>
      <c r="E34" s="628">
        <f>'a17'!$H46</f>
        <v>0.38500000000000001</v>
      </c>
      <c r="F34" s="628">
        <f>'a17'!$J46</f>
        <v>0.36399999999999999</v>
      </c>
      <c r="G34" s="628">
        <f>'a17'!$L46</f>
        <v>0.376</v>
      </c>
      <c r="H34" s="628">
        <f>'a17'!$N46</f>
        <v>0.39600000000000002</v>
      </c>
      <c r="I34" s="628">
        <f>'a17'!$P46</f>
        <v>0.36299999999999999</v>
      </c>
      <c r="J34" s="628">
        <f>'a17'!$R46</f>
        <v>0.38500000000000001</v>
      </c>
      <c r="K34" s="628">
        <f>'a17'!$T46</f>
        <v>0.39500000000000002</v>
      </c>
      <c r="L34" s="628">
        <f>'a17'!$V46</f>
        <v>0.40500000000000003</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0.4290156814794166</v>
      </c>
      <c r="C36" s="617">
        <f t="shared" si="1"/>
        <v>0.39872963763045721</v>
      </c>
      <c r="D36" s="617">
        <f t="shared" si="1"/>
        <v>-6.1559035680580632E-2</v>
      </c>
      <c r="E36" s="617">
        <f t="shared" si="1"/>
        <v>0.40922330752379832</v>
      </c>
      <c r="F36" s="617">
        <f t="shared" si="1"/>
        <v>0.1156623271258983</v>
      </c>
      <c r="G36" s="617">
        <f t="shared" si="1"/>
        <v>0.29714656073513979</v>
      </c>
      <c r="H36" s="617">
        <f t="shared" si="1"/>
        <v>0.54759147177756429</v>
      </c>
      <c r="I36" s="617">
        <f t="shared" si="1"/>
        <v>4.7838500563202047E-2</v>
      </c>
      <c r="J36" s="617">
        <f t="shared" si="1"/>
        <v>8.159944976113831E-2</v>
      </c>
      <c r="K36" s="617">
        <f t="shared" si="1"/>
        <v>0.45775828492533588</v>
      </c>
      <c r="L36" s="617">
        <f t="shared" si="1"/>
        <v>0.4651826097442191</v>
      </c>
    </row>
    <row r="37" spans="1:12">
      <c r="A37" s="611" t="s">
        <v>1472</v>
      </c>
      <c r="B37" s="617">
        <f t="shared" ref="B37:L37" si="2">100*(POWER(B13/B5, 1/8)-1)</f>
        <v>0.10735437974798145</v>
      </c>
      <c r="C37" s="617">
        <f t="shared" si="2"/>
        <v>-0.4662537973475267</v>
      </c>
      <c r="D37" s="617">
        <f t="shared" si="2"/>
        <v>0.25580998277456857</v>
      </c>
      <c r="E37" s="617">
        <f t="shared" si="2"/>
        <v>0.28944831280452998</v>
      </c>
      <c r="F37" s="617">
        <f t="shared" si="2"/>
        <v>-0.61684768176895055</v>
      </c>
      <c r="G37" s="617">
        <f t="shared" si="2"/>
        <v>-0.10911142975329469</v>
      </c>
      <c r="H37" s="617">
        <f t="shared" si="2"/>
        <v>0.47286861133433167</v>
      </c>
      <c r="I37" s="617">
        <f t="shared" si="2"/>
        <v>-0.53360299483463658</v>
      </c>
      <c r="J37" s="617">
        <f t="shared" si="2"/>
        <v>-0.85634876467827192</v>
      </c>
      <c r="K37" s="617">
        <f t="shared" si="2"/>
        <v>0.21513609307333148</v>
      </c>
      <c r="L37" s="617">
        <f t="shared" si="2"/>
        <v>-0.46658852601902945</v>
      </c>
    </row>
    <row r="38" spans="1:12">
      <c r="A38" s="611" t="s">
        <v>1473</v>
      </c>
      <c r="B38" s="617">
        <f t="shared" ref="B38:L38" si="3">100*(POWER(B24/B13, 1/11)-1)</f>
        <v>1.0093840423616163</v>
      </c>
      <c r="C38" s="617">
        <f t="shared" si="3"/>
        <v>1.4237704155323883</v>
      </c>
      <c r="D38" s="617">
        <f t="shared" si="3"/>
        <v>0.41180410853074445</v>
      </c>
      <c r="E38" s="617">
        <f t="shared" si="3"/>
        <v>0.55572664328105148</v>
      </c>
      <c r="F38" s="617">
        <f t="shared" si="3"/>
        <v>0.78274594288021415</v>
      </c>
      <c r="G38" s="617">
        <f t="shared" si="3"/>
        <v>0.86534452101361126</v>
      </c>
      <c r="H38" s="617">
        <f t="shared" si="3"/>
        <v>1.1026529665165041</v>
      </c>
      <c r="I38" s="617">
        <f t="shared" si="3"/>
        <v>0.54167469438763938</v>
      </c>
      <c r="J38" s="617">
        <f t="shared" si="3"/>
        <v>0.45567524354055422</v>
      </c>
      <c r="K38" s="617">
        <f t="shared" si="3"/>
        <v>0.81798333933409406</v>
      </c>
      <c r="L38" s="617">
        <f t="shared" si="3"/>
        <v>1.2280637278147433</v>
      </c>
    </row>
    <row r="39" spans="1:12">
      <c r="A39" s="611" t="s">
        <v>1474</v>
      </c>
      <c r="B39" s="617">
        <f t="shared" ref="B39:L39" si="4">100*(POWER(B32/B24, 1/8)-1)</f>
        <v>0.12698520131635416</v>
      </c>
      <c r="C39" s="617">
        <f t="shared" si="4"/>
        <v>0.4678117187683517</v>
      </c>
      <c r="D39" s="617">
        <f t="shared" si="4"/>
        <v>-0.67165629622544243</v>
      </c>
      <c r="E39" s="617">
        <f t="shared" si="4"/>
        <v>0.23330110961261585</v>
      </c>
      <c r="F39" s="617">
        <f t="shared" si="4"/>
        <v>-0.20697257943431691</v>
      </c>
      <c r="G39" s="617">
        <f t="shared" si="4"/>
        <v>0.13236389040438556</v>
      </c>
      <c r="H39" s="617">
        <f t="shared" si="4"/>
        <v>0</v>
      </c>
      <c r="I39" s="617">
        <f t="shared" si="4"/>
        <v>0.17068019816912638</v>
      </c>
      <c r="J39" s="617">
        <f t="shared" si="4"/>
        <v>0.4993163065903472</v>
      </c>
      <c r="K39" s="617">
        <f t="shared" si="4"/>
        <v>-6.5083125579235013E-2</v>
      </c>
      <c r="L39" s="617">
        <f t="shared" si="4"/>
        <v>0.53475531824931366</v>
      </c>
    </row>
    <row r="40" spans="1:12">
      <c r="A40" s="611" t="s">
        <v>1500</v>
      </c>
      <c r="B40" s="611"/>
      <c r="C40" s="611"/>
      <c r="D40" s="611"/>
      <c r="E40" s="611"/>
      <c r="F40" s="611"/>
      <c r="G40" s="611"/>
      <c r="H40" s="611"/>
      <c r="I40" s="611"/>
      <c r="J40" s="611"/>
      <c r="K40" s="611"/>
      <c r="L40" s="611"/>
    </row>
    <row r="41" spans="1:12">
      <c r="A41" s="611" t="s">
        <v>1498</v>
      </c>
      <c r="B41" s="616">
        <f>100*(B34-B5)/B5</f>
        <v>13.218390804597714</v>
      </c>
      <c r="C41" s="616">
        <f t="shared" ref="C41:L41" si="5">100*(C34-C5)/C5</f>
        <v>12.232415902140668</v>
      </c>
      <c r="D41" s="616">
        <f t="shared" si="5"/>
        <v>-1.7699115044247802</v>
      </c>
      <c r="E41" s="616">
        <f t="shared" si="5"/>
        <v>12.573099415204672</v>
      </c>
      <c r="F41" s="616">
        <f t="shared" si="5"/>
        <v>3.4090909090909123</v>
      </c>
      <c r="G41" s="616">
        <f t="shared" si="5"/>
        <v>8.9855072463768195</v>
      </c>
      <c r="H41" s="616">
        <f t="shared" si="5"/>
        <v>17.159763313609467</v>
      </c>
      <c r="I41" s="616">
        <f t="shared" si="5"/>
        <v>1.3966480446927387</v>
      </c>
      <c r="J41" s="616">
        <f>100*(J34-J5)/J5</f>
        <v>2.3936170212765977</v>
      </c>
      <c r="K41" s="616">
        <f t="shared" si="5"/>
        <v>14.161849710982672</v>
      </c>
      <c r="L41" s="616">
        <f t="shared" si="5"/>
        <v>14.406779661016964</v>
      </c>
    </row>
    <row r="42" spans="1:12">
      <c r="A42" s="611" t="s">
        <v>1472</v>
      </c>
      <c r="B42" s="616">
        <f>100*(B13-B5)/B5</f>
        <v>0.86206896551724221</v>
      </c>
      <c r="C42" s="616">
        <f t="shared" ref="C42:L42" si="6">100*(C13-C5)/C5</f>
        <v>-3.6697247706422051</v>
      </c>
      <c r="D42" s="616">
        <f t="shared" si="6"/>
        <v>2.064896755162227</v>
      </c>
      <c r="E42" s="616">
        <f t="shared" si="6"/>
        <v>2.3391812865496933</v>
      </c>
      <c r="F42" s="616">
        <f t="shared" si="6"/>
        <v>-4.8295454545454435</v>
      </c>
      <c r="G42" s="616">
        <f t="shared" si="6"/>
        <v>-0.86956521739128911</v>
      </c>
      <c r="H42" s="616">
        <f t="shared" si="6"/>
        <v>3.8461538461538329</v>
      </c>
      <c r="I42" s="616">
        <f t="shared" si="6"/>
        <v>-4.1899441340782007</v>
      </c>
      <c r="J42" s="616">
        <f t="shared" si="6"/>
        <v>-6.6489361702127718</v>
      </c>
      <c r="K42" s="616">
        <f t="shared" si="6"/>
        <v>1.7341040462427761</v>
      </c>
      <c r="L42" s="616">
        <f t="shared" si="6"/>
        <v>-3.6723163841807787</v>
      </c>
    </row>
    <row r="43" spans="1:12">
      <c r="A43" s="611" t="s">
        <v>1473</v>
      </c>
      <c r="B43" s="616">
        <f>100*(B24-B13)/B13</f>
        <v>11.680911680911692</v>
      </c>
      <c r="C43" s="616">
        <f t="shared" ref="C43:L43" si="7">100*(C24-C13)/C13</f>
        <v>16.825396825396822</v>
      </c>
      <c r="D43" s="616">
        <f t="shared" si="7"/>
        <v>4.6242774566474036</v>
      </c>
      <c r="E43" s="616">
        <f t="shared" si="7"/>
        <v>6.2857142857142918</v>
      </c>
      <c r="F43" s="616">
        <f t="shared" si="7"/>
        <v>8.955223880597007</v>
      </c>
      <c r="G43" s="616">
        <f t="shared" si="7"/>
        <v>9.9415204678362503</v>
      </c>
      <c r="H43" s="616">
        <f t="shared" si="7"/>
        <v>12.820512820512832</v>
      </c>
      <c r="I43" s="616">
        <f t="shared" si="7"/>
        <v>6.1224489795918249</v>
      </c>
      <c r="J43" s="616">
        <f t="shared" si="7"/>
        <v>5.1282051282051331</v>
      </c>
      <c r="K43" s="616">
        <f t="shared" si="7"/>
        <v>9.3750000000000089</v>
      </c>
      <c r="L43" s="616">
        <f t="shared" si="7"/>
        <v>14.369501466275654</v>
      </c>
    </row>
    <row r="44" spans="1:12">
      <c r="A44" s="611" t="s">
        <v>1474</v>
      </c>
      <c r="B44" s="616">
        <f>100*(B32-B24)/B24</f>
        <v>1.020408163265307</v>
      </c>
      <c r="C44" s="616">
        <f t="shared" ref="C44:L44" si="8">100*(C32-C24)/C24</f>
        <v>3.8043478260869601</v>
      </c>
      <c r="D44" s="616">
        <f t="shared" si="8"/>
        <v>-5.2486187845303762</v>
      </c>
      <c r="E44" s="616">
        <f t="shared" si="8"/>
        <v>1.8817204301075285</v>
      </c>
      <c r="F44" s="616">
        <f t="shared" si="8"/>
        <v>-1.6438356164383576</v>
      </c>
      <c r="G44" s="616">
        <f t="shared" si="8"/>
        <v>1.0638297872340434</v>
      </c>
      <c r="H44" s="616">
        <f t="shared" si="8"/>
        <v>0</v>
      </c>
      <c r="I44" s="616">
        <f t="shared" si="8"/>
        <v>1.373626373626375</v>
      </c>
      <c r="J44" s="616">
        <f t="shared" si="8"/>
        <v>4.065040650406508</v>
      </c>
      <c r="K44" s="616">
        <f t="shared" si="8"/>
        <v>-0.51948051948051988</v>
      </c>
      <c r="L44" s="616">
        <f t="shared" si="8"/>
        <v>4.3589743589743488</v>
      </c>
    </row>
    <row r="46" spans="1:12">
      <c r="A46" s="611" t="s">
        <v>1547</v>
      </c>
    </row>
  </sheetData>
  <pageMargins left="0.7" right="0.7" top="0.75" bottom="0.75" header="0.3" footer="0.3"/>
</worksheet>
</file>

<file path=xl/worksheets/sheet166.xml><?xml version="1.0" encoding="utf-8"?>
<worksheet xmlns="http://schemas.openxmlformats.org/spreadsheetml/2006/main" xmlns:r="http://schemas.openxmlformats.org/officeDocument/2006/relationships">
  <dimension ref="A1:L46"/>
  <sheetViews>
    <sheetView topLeftCell="A29" workbookViewId="0">
      <selection activeCell="E9" sqref="E9"/>
    </sheetView>
  </sheetViews>
  <sheetFormatPr defaultRowHeight="12.75"/>
  <cols>
    <col min="1" max="16384" width="9" style="618"/>
  </cols>
  <sheetData>
    <row r="1" spans="1:12">
      <c r="A1" s="611" t="s">
        <v>1516</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9">
        <f>'a18'!B17</f>
        <v>12</v>
      </c>
      <c r="C5" s="629">
        <f>'a18'!F17</f>
        <v>19.899999999999999</v>
      </c>
      <c r="D5" s="629">
        <f>'a18'!J17</f>
        <v>21</v>
      </c>
      <c r="E5" s="629">
        <f>'a18'!N17</f>
        <v>16.2</v>
      </c>
      <c r="F5" s="629">
        <f>'a18'!R17</f>
        <v>20.5</v>
      </c>
      <c r="G5" s="629">
        <f>'a18'!V17</f>
        <v>14.2</v>
      </c>
      <c r="H5" s="629">
        <f>'a18'!Z17</f>
        <v>9.4</v>
      </c>
      <c r="I5" s="629">
        <f>'a18'!AD17</f>
        <v>14.5</v>
      </c>
      <c r="J5" s="629">
        <f>'a18'!AH17</f>
        <v>16.3</v>
      </c>
      <c r="K5" s="629">
        <f>'a18'!AL17</f>
        <v>8.6999999999999993</v>
      </c>
      <c r="L5" s="629">
        <f>'a18'!AP17</f>
        <v>10.199999999999999</v>
      </c>
    </row>
    <row r="6" spans="1:12">
      <c r="A6" s="611">
        <f t="shared" ref="A6:A34" si="0">A5+1</f>
        <v>1982</v>
      </c>
      <c r="B6" s="629">
        <f>'a18'!B18</f>
        <v>12.2</v>
      </c>
      <c r="C6" s="629">
        <f>'a18'!F18</f>
        <v>21.2</v>
      </c>
      <c r="D6" s="629">
        <f>'a18'!J18</f>
        <v>18.3</v>
      </c>
      <c r="E6" s="629">
        <f>'a18'!N18</f>
        <v>16.7</v>
      </c>
      <c r="F6" s="629">
        <f>'a18'!R18</f>
        <v>20.399999999999999</v>
      </c>
      <c r="G6" s="629">
        <f>'a18'!V18</f>
        <v>14</v>
      </c>
      <c r="H6" s="629">
        <f>'a18'!Z18</f>
        <v>9.9</v>
      </c>
      <c r="I6" s="629">
        <f>'a18'!AD18</f>
        <v>14.5</v>
      </c>
      <c r="J6" s="629">
        <f>'a18'!AH18</f>
        <v>13.3</v>
      </c>
      <c r="K6" s="629">
        <f>'a18'!AL18</f>
        <v>8.6999999999999993</v>
      </c>
      <c r="L6" s="629">
        <f>'a18'!AP18</f>
        <v>11.6</v>
      </c>
    </row>
    <row r="7" spans="1:12">
      <c r="A7" s="611">
        <f t="shared" si="0"/>
        <v>1983</v>
      </c>
      <c r="B7" s="629">
        <f>'a18'!B19</f>
        <v>12.9</v>
      </c>
      <c r="C7" s="629">
        <f>'a18'!F19</f>
        <v>26.3</v>
      </c>
      <c r="D7" s="629">
        <f>'a18'!J19</f>
        <v>14.3</v>
      </c>
      <c r="E7" s="629">
        <f>'a18'!N19</f>
        <v>16</v>
      </c>
      <c r="F7" s="629">
        <f>'a18'!R19</f>
        <v>20.9</v>
      </c>
      <c r="G7" s="629">
        <f>'a18'!V19</f>
        <v>14.1</v>
      </c>
      <c r="H7" s="629">
        <f>'a18'!Z19</f>
        <v>10.4</v>
      </c>
      <c r="I7" s="629">
        <f>'a18'!AD19</f>
        <v>13.6</v>
      </c>
      <c r="J7" s="629">
        <f>'a18'!AH19</f>
        <v>16.8</v>
      </c>
      <c r="K7" s="629">
        <f>'a18'!AL19</f>
        <v>11.4</v>
      </c>
      <c r="L7" s="629">
        <f>'a18'!AP19</f>
        <v>12.4</v>
      </c>
    </row>
    <row r="8" spans="1:12">
      <c r="A8" s="611">
        <f t="shared" si="0"/>
        <v>1984</v>
      </c>
      <c r="B8" s="629">
        <f>'a18'!B20</f>
        <v>13</v>
      </c>
      <c r="C8" s="629">
        <f>'a18'!F20</f>
        <v>23.2</v>
      </c>
      <c r="D8" s="629">
        <f>'a18'!J20</f>
        <v>15.3</v>
      </c>
      <c r="E8" s="629">
        <f>'a18'!N20</f>
        <v>15</v>
      </c>
      <c r="F8" s="629">
        <f>'a18'!R20</f>
        <v>20</v>
      </c>
      <c r="G8" s="629">
        <f>'a18'!V20</f>
        <v>15.2</v>
      </c>
      <c r="H8" s="629">
        <f>'a18'!Z20</f>
        <v>9.6</v>
      </c>
      <c r="I8" s="629">
        <f>'a18'!AD20</f>
        <v>13.3</v>
      </c>
      <c r="J8" s="629">
        <f>'a18'!AH20</f>
        <v>17.600000000000001</v>
      </c>
      <c r="K8" s="629">
        <f>'a18'!AL20</f>
        <v>12.6</v>
      </c>
      <c r="L8" s="629">
        <f>'a18'!AP20</f>
        <v>13.2</v>
      </c>
    </row>
    <row r="9" spans="1:12">
      <c r="A9" s="611">
        <f t="shared" si="0"/>
        <v>1985</v>
      </c>
      <c r="B9" s="629">
        <f>'a18'!B21</f>
        <v>12.1</v>
      </c>
      <c r="C9" s="629">
        <f>'a18'!F21</f>
        <v>23.8</v>
      </c>
      <c r="D9" s="629">
        <f>'a18'!J21</f>
        <v>16.2</v>
      </c>
      <c r="E9" s="629">
        <f>'a18'!N21</f>
        <v>15</v>
      </c>
      <c r="F9" s="629">
        <f>'a18'!R21</f>
        <v>16.100000000000001</v>
      </c>
      <c r="G9" s="629">
        <f>'a18'!V21</f>
        <v>14.1</v>
      </c>
      <c r="H9" s="629">
        <f>'a18'!Z21</f>
        <v>8.8000000000000007</v>
      </c>
      <c r="I9" s="629">
        <f>'a18'!AD21</f>
        <v>13.1</v>
      </c>
      <c r="J9" s="629">
        <f>'a18'!AH21</f>
        <v>16.600000000000001</v>
      </c>
      <c r="K9" s="629">
        <f>'a18'!AL21</f>
        <v>10</v>
      </c>
      <c r="L9" s="629">
        <f>'a18'!AP21</f>
        <v>13.8</v>
      </c>
    </row>
    <row r="10" spans="1:12">
      <c r="A10" s="611">
        <f t="shared" si="0"/>
        <v>1986</v>
      </c>
      <c r="B10" s="629">
        <f>'a18'!B22</f>
        <v>11.6</v>
      </c>
      <c r="C10" s="629">
        <f>'a18'!F22</f>
        <v>23.3</v>
      </c>
      <c r="D10" s="629">
        <f>'a18'!J22</f>
        <v>14.4</v>
      </c>
      <c r="E10" s="629">
        <f>'a18'!N22</f>
        <v>15.8</v>
      </c>
      <c r="F10" s="629">
        <f>'a18'!R22</f>
        <v>15.8</v>
      </c>
      <c r="G10" s="629">
        <f>'a18'!V22</f>
        <v>13.6</v>
      </c>
      <c r="H10" s="629">
        <f>'a18'!Z22</f>
        <v>8.1999999999999993</v>
      </c>
      <c r="I10" s="629">
        <f>'a18'!AD22</f>
        <v>13.9</v>
      </c>
      <c r="J10" s="629">
        <f>'a18'!AH22</f>
        <v>18.100000000000001</v>
      </c>
      <c r="K10" s="629">
        <f>'a18'!AL22</f>
        <v>10</v>
      </c>
      <c r="L10" s="629">
        <f>'a18'!AP22</f>
        <v>12</v>
      </c>
    </row>
    <row r="11" spans="1:12">
      <c r="A11" s="611">
        <f t="shared" si="0"/>
        <v>1987</v>
      </c>
      <c r="B11" s="629">
        <f>'a18'!B23</f>
        <v>11.5</v>
      </c>
      <c r="C11" s="629">
        <f>'a18'!F23</f>
        <v>22</v>
      </c>
      <c r="D11" s="629">
        <f>'a18'!J23</f>
        <v>14</v>
      </c>
      <c r="E11" s="629">
        <f>'a18'!N23</f>
        <v>13.8</v>
      </c>
      <c r="F11" s="629">
        <f>'a18'!R23</f>
        <v>16.8</v>
      </c>
      <c r="G11" s="629">
        <f>'a18'!V23</f>
        <v>14.1</v>
      </c>
      <c r="H11" s="629">
        <f>'a18'!Z23</f>
        <v>7.4</v>
      </c>
      <c r="I11" s="629">
        <f>'a18'!AD23</f>
        <v>13.3</v>
      </c>
      <c r="J11" s="629">
        <f>'a18'!AH23</f>
        <v>15.8</v>
      </c>
      <c r="K11" s="629">
        <f>'a18'!AL23</f>
        <v>12.5</v>
      </c>
      <c r="L11" s="629">
        <f>'a18'!AP23</f>
        <v>11.8</v>
      </c>
    </row>
    <row r="12" spans="1:12">
      <c r="A12" s="611">
        <f t="shared" si="0"/>
        <v>1988</v>
      </c>
      <c r="B12" s="629">
        <f>'a18'!B24</f>
        <v>11.1</v>
      </c>
      <c r="C12" s="629">
        <f>'a18'!F24</f>
        <v>18.899999999999999</v>
      </c>
      <c r="D12" s="629">
        <f>'a18'!J24</f>
        <v>15.4</v>
      </c>
      <c r="E12" s="629">
        <f>'a18'!N24</f>
        <v>14.5</v>
      </c>
      <c r="F12" s="629">
        <f>'a18'!R24</f>
        <v>15.7</v>
      </c>
      <c r="G12" s="629">
        <f>'a18'!V24</f>
        <v>13.7</v>
      </c>
      <c r="H12" s="629">
        <f>'a18'!Z24</f>
        <v>7.5</v>
      </c>
      <c r="I12" s="629">
        <f>'a18'!AD24</f>
        <v>13.3</v>
      </c>
      <c r="J12" s="629">
        <f>'a18'!AH24</f>
        <v>17.600000000000001</v>
      </c>
      <c r="K12" s="629">
        <f>'a18'!AL24</f>
        <v>11.1</v>
      </c>
      <c r="L12" s="629">
        <f>'a18'!AP24</f>
        <v>9.6999999999999993</v>
      </c>
    </row>
    <row r="13" spans="1:12">
      <c r="A13" s="611">
        <f t="shared" si="0"/>
        <v>1989</v>
      </c>
      <c r="B13" s="629">
        <f>'a18'!B25</f>
        <v>10.5</v>
      </c>
      <c r="C13" s="629">
        <f>'a18'!F25</f>
        <v>16.7</v>
      </c>
      <c r="D13" s="629">
        <f>'a18'!J25</f>
        <v>15</v>
      </c>
      <c r="E13" s="629">
        <f>'a18'!N25</f>
        <v>14.7</v>
      </c>
      <c r="F13" s="629">
        <f>'a18'!R25</f>
        <v>14.4</v>
      </c>
      <c r="G13" s="629">
        <f>'a18'!V25</f>
        <v>12.1</v>
      </c>
      <c r="H13" s="629">
        <f>'a18'!Z25</f>
        <v>7.1</v>
      </c>
      <c r="I13" s="629">
        <f>'a18'!AD25</f>
        <v>14</v>
      </c>
      <c r="J13" s="629">
        <f>'a18'!AH25</f>
        <v>17.5</v>
      </c>
      <c r="K13" s="629">
        <f>'a18'!AL25</f>
        <v>12</v>
      </c>
      <c r="L13" s="629">
        <f>'a18'!AP25</f>
        <v>10.199999999999999</v>
      </c>
    </row>
    <row r="14" spans="1:12">
      <c r="A14" s="611">
        <f t="shared" si="0"/>
        <v>1990</v>
      </c>
      <c r="B14" s="629">
        <f>'a18'!B26</f>
        <v>11.7</v>
      </c>
      <c r="C14" s="629">
        <f>'a18'!F26</f>
        <v>18.600000000000001</v>
      </c>
      <c r="D14" s="629">
        <f>'a18'!J26</f>
        <v>13.7</v>
      </c>
      <c r="E14" s="629">
        <f>'a18'!N26</f>
        <v>13.6</v>
      </c>
      <c r="F14" s="629">
        <f>'a18'!R26</f>
        <v>15.7</v>
      </c>
      <c r="G14" s="629">
        <f>'a18'!V26</f>
        <v>13.9</v>
      </c>
      <c r="H14" s="629">
        <f>'a18'!Z26</f>
        <v>8.3000000000000007</v>
      </c>
      <c r="I14" s="629">
        <f>'a18'!AD26</f>
        <v>14</v>
      </c>
      <c r="J14" s="629">
        <f>'a18'!AH26</f>
        <v>18.100000000000001</v>
      </c>
      <c r="K14" s="629">
        <f>'a18'!AL26</f>
        <v>11.8</v>
      </c>
      <c r="L14" s="629">
        <f>'a18'!AP26</f>
        <v>12</v>
      </c>
    </row>
    <row r="15" spans="1:12">
      <c r="A15" s="611">
        <f t="shared" si="0"/>
        <v>1991</v>
      </c>
      <c r="B15" s="629">
        <f>'a18'!B27</f>
        <v>11.5</v>
      </c>
      <c r="C15" s="629">
        <f>'a18'!F27</f>
        <v>17.399999999999999</v>
      </c>
      <c r="D15" s="629">
        <f>'a18'!J27</f>
        <v>14.1</v>
      </c>
      <c r="E15" s="629">
        <f>'a18'!N27</f>
        <v>13.8</v>
      </c>
      <c r="F15" s="629">
        <f>'a18'!R27</f>
        <v>15.2</v>
      </c>
      <c r="G15" s="629">
        <f>'a18'!V27</f>
        <v>13.9</v>
      </c>
      <c r="H15" s="629">
        <f>'a18'!Z27</f>
        <v>8.6999999999999993</v>
      </c>
      <c r="I15" s="629">
        <f>'a18'!AD27</f>
        <v>14.6</v>
      </c>
      <c r="J15" s="629">
        <f>'a18'!AH27</f>
        <v>17.100000000000001</v>
      </c>
      <c r="K15" s="629">
        <f>'a18'!AL27</f>
        <v>11</v>
      </c>
      <c r="L15" s="629">
        <f>'a18'!AP27</f>
        <v>10.1</v>
      </c>
    </row>
    <row r="16" spans="1:12">
      <c r="A16" s="611">
        <f t="shared" si="0"/>
        <v>1992</v>
      </c>
      <c r="B16" s="629">
        <f>'a18'!B28</f>
        <v>11.8</v>
      </c>
      <c r="C16" s="629">
        <f>'a18'!F28</f>
        <v>20.6</v>
      </c>
      <c r="D16" s="629">
        <f>'a18'!J28</f>
        <v>11.7</v>
      </c>
      <c r="E16" s="629">
        <f>'a18'!N28</f>
        <v>13.6</v>
      </c>
      <c r="F16" s="629">
        <f>'a18'!R28</f>
        <v>14.5</v>
      </c>
      <c r="G16" s="629">
        <f>'a18'!V28</f>
        <v>13.4</v>
      </c>
      <c r="H16" s="629">
        <f>'a18'!Z28</f>
        <v>9</v>
      </c>
      <c r="I16" s="629">
        <f>'a18'!AD28</f>
        <v>14.7</v>
      </c>
      <c r="J16" s="629">
        <f>'a18'!AH28</f>
        <v>17.2</v>
      </c>
      <c r="K16" s="629">
        <f>'a18'!AL28</f>
        <v>13.7</v>
      </c>
      <c r="L16" s="629">
        <f>'a18'!AP28</f>
        <v>11.1</v>
      </c>
    </row>
    <row r="17" spans="1:12">
      <c r="A17" s="611">
        <f t="shared" si="0"/>
        <v>1993</v>
      </c>
      <c r="B17" s="629">
        <f>'a18'!B29</f>
        <v>11.9</v>
      </c>
      <c r="C17" s="629">
        <f>'a18'!F29</f>
        <v>17.8</v>
      </c>
      <c r="D17" s="629">
        <f>'a18'!J29</f>
        <v>10.3</v>
      </c>
      <c r="E17" s="629">
        <f>'a18'!N29</f>
        <v>14.9</v>
      </c>
      <c r="F17" s="629">
        <f>'a18'!R29</f>
        <v>14.6</v>
      </c>
      <c r="G17" s="629">
        <f>'a18'!V29</f>
        <v>15.1</v>
      </c>
      <c r="H17" s="629">
        <f>'a18'!Z29</f>
        <v>9.1</v>
      </c>
      <c r="I17" s="629">
        <f>'a18'!AD29</f>
        <v>14.1</v>
      </c>
      <c r="J17" s="629">
        <f>'a18'!AH29</f>
        <v>15.9</v>
      </c>
      <c r="K17" s="629">
        <f>'a18'!AL29</f>
        <v>11.2</v>
      </c>
      <c r="L17" s="629">
        <f>'a18'!AP29</f>
        <v>10.7</v>
      </c>
    </row>
    <row r="18" spans="1:12">
      <c r="A18" s="611">
        <f t="shared" si="0"/>
        <v>1994</v>
      </c>
      <c r="B18" s="629">
        <f>'a18'!B30</f>
        <v>11.8</v>
      </c>
      <c r="C18" s="629">
        <f>'a18'!F30</f>
        <v>18</v>
      </c>
      <c r="D18" s="629">
        <f>'a18'!J30</f>
        <v>9.3000000000000007</v>
      </c>
      <c r="E18" s="629">
        <f>'a18'!N30</f>
        <v>15.2</v>
      </c>
      <c r="F18" s="629">
        <f>'a18'!R30</f>
        <v>14.8</v>
      </c>
      <c r="G18" s="629">
        <f>'a18'!V30</f>
        <v>15</v>
      </c>
      <c r="H18" s="629">
        <f>'a18'!Z30</f>
        <v>8.9</v>
      </c>
      <c r="I18" s="629">
        <f>'a18'!AD30</f>
        <v>13.5</v>
      </c>
      <c r="J18" s="629">
        <f>'a18'!AH30</f>
        <v>15.6</v>
      </c>
      <c r="K18" s="629">
        <f>'a18'!AL30</f>
        <v>11.8</v>
      </c>
      <c r="L18" s="629">
        <f>'a18'!AP30</f>
        <v>10.7</v>
      </c>
    </row>
    <row r="19" spans="1:12">
      <c r="A19" s="611">
        <f t="shared" si="0"/>
        <v>1995</v>
      </c>
      <c r="B19" s="629">
        <f>'a18'!B31</f>
        <v>12.1</v>
      </c>
      <c r="C19" s="629">
        <f>'a18'!F31</f>
        <v>18.899999999999999</v>
      </c>
      <c r="D19" s="629">
        <f>'a18'!J31</f>
        <v>10.8</v>
      </c>
      <c r="E19" s="629">
        <f>'a18'!N31</f>
        <v>14.8</v>
      </c>
      <c r="F19" s="629">
        <f>'a18'!R31</f>
        <v>15</v>
      </c>
      <c r="G19" s="629">
        <f>'a18'!V31</f>
        <v>15.2</v>
      </c>
      <c r="H19" s="629">
        <f>'a18'!Z31</f>
        <v>9.5</v>
      </c>
      <c r="I19" s="629">
        <f>'a18'!AD31</f>
        <v>12.5</v>
      </c>
      <c r="J19" s="629">
        <f>'a18'!AH31</f>
        <v>15.2</v>
      </c>
      <c r="K19" s="629">
        <f>'a18'!AL31</f>
        <v>11</v>
      </c>
      <c r="L19" s="629">
        <f>'a18'!AP31</f>
        <v>11.2</v>
      </c>
    </row>
    <row r="20" spans="1:12">
      <c r="A20" s="611">
        <f t="shared" si="0"/>
        <v>1996</v>
      </c>
      <c r="B20" s="629">
        <f>'a18'!B32</f>
        <v>12.7</v>
      </c>
      <c r="C20" s="629">
        <f>'a18'!F32</f>
        <v>18.899999999999999</v>
      </c>
      <c r="D20" s="629">
        <f>'a18'!J32</f>
        <v>11.8</v>
      </c>
      <c r="E20" s="629">
        <f>'a18'!N32</f>
        <v>15.7</v>
      </c>
      <c r="F20" s="629">
        <f>'a18'!R32</f>
        <v>14.8</v>
      </c>
      <c r="G20" s="629">
        <f>'a18'!V32</f>
        <v>15</v>
      </c>
      <c r="H20" s="629">
        <f>'a18'!Z32</f>
        <v>10.9</v>
      </c>
      <c r="I20" s="629">
        <f>'a18'!AD32</f>
        <v>13.6</v>
      </c>
      <c r="J20" s="629">
        <f>'a18'!AH32</f>
        <v>15.1</v>
      </c>
      <c r="K20" s="629">
        <f>'a18'!AL32</f>
        <v>11.4</v>
      </c>
      <c r="L20" s="629">
        <f>'a18'!AP32</f>
        <v>11.5</v>
      </c>
    </row>
    <row r="21" spans="1:12">
      <c r="A21" s="611">
        <f t="shared" si="0"/>
        <v>1997</v>
      </c>
      <c r="B21" s="629">
        <f>'a18'!B33</f>
        <v>12.7</v>
      </c>
      <c r="C21" s="629">
        <f>'a18'!F33</f>
        <v>18.8</v>
      </c>
      <c r="D21" s="629">
        <f>'a18'!J33</f>
        <v>11.6</v>
      </c>
      <c r="E21" s="629">
        <f>'a18'!N33</f>
        <v>15.9</v>
      </c>
      <c r="F21" s="629">
        <f>'a18'!R33</f>
        <v>15.8</v>
      </c>
      <c r="G21" s="629">
        <f>'a18'!V33</f>
        <v>15.8</v>
      </c>
      <c r="H21" s="629">
        <f>'a18'!Z33</f>
        <v>10.5</v>
      </c>
      <c r="I21" s="629">
        <f>'a18'!AD33</f>
        <v>13.8</v>
      </c>
      <c r="J21" s="629">
        <f>'a18'!AH33</f>
        <v>13.5</v>
      </c>
      <c r="K21" s="629">
        <f>'a18'!AL33</f>
        <v>10.199999999999999</v>
      </c>
      <c r="L21" s="629">
        <f>'a18'!AP33</f>
        <v>12.4</v>
      </c>
    </row>
    <row r="22" spans="1:12">
      <c r="A22" s="611">
        <f t="shared" si="0"/>
        <v>1998</v>
      </c>
      <c r="B22" s="629">
        <f>'a18'!B34</f>
        <v>12.9</v>
      </c>
      <c r="C22" s="629">
        <f>'a18'!F34</f>
        <v>19</v>
      </c>
      <c r="D22" s="629">
        <f>'a18'!J34</f>
        <v>12.3</v>
      </c>
      <c r="E22" s="629">
        <f>'a18'!N34</f>
        <v>15.9</v>
      </c>
      <c r="F22" s="629">
        <f>'a18'!R34</f>
        <v>14.6</v>
      </c>
      <c r="G22" s="629">
        <f>'a18'!V34</f>
        <v>15.3</v>
      </c>
      <c r="H22" s="629">
        <f>'a18'!Z34</f>
        <v>10.6</v>
      </c>
      <c r="I22" s="629">
        <f>'a18'!AD34</f>
        <v>13.2</v>
      </c>
      <c r="J22" s="629">
        <f>'a18'!AH34</f>
        <v>15.1</v>
      </c>
      <c r="K22" s="629">
        <f>'a18'!AL34</f>
        <v>11.3</v>
      </c>
      <c r="L22" s="629">
        <f>'a18'!AP34</f>
        <v>13.7</v>
      </c>
    </row>
    <row r="23" spans="1:12">
      <c r="A23" s="611">
        <f t="shared" si="0"/>
        <v>1999</v>
      </c>
      <c r="B23" s="629">
        <f>'a18'!B35</f>
        <v>12.4</v>
      </c>
      <c r="C23" s="629">
        <f>'a18'!F35</f>
        <v>21.4</v>
      </c>
      <c r="D23" s="629">
        <f>'a18'!J35</f>
        <v>16.3</v>
      </c>
      <c r="E23" s="629">
        <f>'a18'!N35</f>
        <v>15.7</v>
      </c>
      <c r="F23" s="629">
        <f>'a18'!R35</f>
        <v>16.5</v>
      </c>
      <c r="G23" s="629">
        <f>'a18'!V35</f>
        <v>13.6</v>
      </c>
      <c r="H23" s="629">
        <f>'a18'!Z35</f>
        <v>10</v>
      </c>
      <c r="I23" s="629">
        <f>'a18'!AD35</f>
        <v>15.2</v>
      </c>
      <c r="J23" s="629">
        <f>'a18'!AH35</f>
        <v>14.7</v>
      </c>
      <c r="K23" s="629">
        <f>'a18'!AL35</f>
        <v>10.9</v>
      </c>
      <c r="L23" s="629">
        <f>'a18'!AP35</f>
        <v>14.6</v>
      </c>
    </row>
    <row r="24" spans="1:12">
      <c r="A24" s="611">
        <f t="shared" si="0"/>
        <v>2000</v>
      </c>
      <c r="B24" s="629">
        <f>'a18'!B36</f>
        <v>12.8</v>
      </c>
      <c r="C24" s="629">
        <f>'a18'!F36</f>
        <v>21.4</v>
      </c>
      <c r="D24" s="629">
        <f>'a18'!J36</f>
        <v>15.7</v>
      </c>
      <c r="E24" s="629">
        <f>'a18'!N36</f>
        <v>15.9</v>
      </c>
      <c r="F24" s="629">
        <f>'a18'!R36</f>
        <v>14.8</v>
      </c>
      <c r="G24" s="629">
        <f>'a18'!V36</f>
        <v>15</v>
      </c>
      <c r="H24" s="629">
        <f>'a18'!Z36</f>
        <v>10.1</v>
      </c>
      <c r="I24" s="629">
        <f>'a18'!AD36</f>
        <v>14.4</v>
      </c>
      <c r="J24" s="629">
        <f>'a18'!AH36</f>
        <v>16.8</v>
      </c>
      <c r="K24" s="629">
        <f>'a18'!AL36</f>
        <v>10.3</v>
      </c>
      <c r="L24" s="629">
        <f>'a18'!AP36</f>
        <v>14.9</v>
      </c>
    </row>
    <row r="25" spans="1:12">
      <c r="A25" s="611">
        <f t="shared" si="0"/>
        <v>2001</v>
      </c>
      <c r="B25" s="629">
        <f>'a18'!B37</f>
        <v>12.5</v>
      </c>
      <c r="C25" s="629">
        <f>'a18'!F37</f>
        <v>19.899999999999999</v>
      </c>
      <c r="D25" s="629">
        <f>'a18'!J37</f>
        <v>16.3</v>
      </c>
      <c r="E25" s="629">
        <f>'a18'!N37</f>
        <v>16.8</v>
      </c>
      <c r="F25" s="629">
        <f>'a18'!R37</f>
        <v>15</v>
      </c>
      <c r="G25" s="629">
        <f>'a18'!V37</f>
        <v>14.4</v>
      </c>
      <c r="H25" s="629">
        <f>'a18'!Z37</f>
        <v>9.9</v>
      </c>
      <c r="I25" s="629">
        <f>'a18'!AD37</f>
        <v>13.9</v>
      </c>
      <c r="J25" s="629">
        <f>'a18'!AH37</f>
        <v>15.4</v>
      </c>
      <c r="K25" s="629">
        <f>'a18'!AL37</f>
        <v>9.6</v>
      </c>
      <c r="L25" s="629">
        <f>'a18'!AP37</f>
        <v>15.2</v>
      </c>
    </row>
    <row r="26" spans="1:12">
      <c r="A26" s="611">
        <f t="shared" si="0"/>
        <v>2002</v>
      </c>
      <c r="B26" s="629">
        <f>'a18'!B38</f>
        <v>12.9</v>
      </c>
      <c r="C26" s="629">
        <f>'a18'!F38</f>
        <v>22</v>
      </c>
      <c r="D26" s="629">
        <f>'a18'!J38</f>
        <v>14.8</v>
      </c>
      <c r="E26" s="629">
        <f>'a18'!N38</f>
        <v>16.7</v>
      </c>
      <c r="F26" s="629">
        <f>'a18'!R38</f>
        <v>16.7</v>
      </c>
      <c r="G26" s="629">
        <f>'a18'!V38</f>
        <v>13.7</v>
      </c>
      <c r="H26" s="629">
        <f>'a18'!Z38</f>
        <v>10.9</v>
      </c>
      <c r="I26" s="629">
        <f>'a18'!AD38</f>
        <v>14.3</v>
      </c>
      <c r="J26" s="629">
        <f>'a18'!AH38</f>
        <v>16.7</v>
      </c>
      <c r="K26" s="629">
        <f>'a18'!AL38</f>
        <v>8.3000000000000007</v>
      </c>
      <c r="L26" s="629">
        <f>'a18'!AP38</f>
        <v>17</v>
      </c>
    </row>
    <row r="27" spans="1:12">
      <c r="A27" s="611">
        <f t="shared" si="0"/>
        <v>2003</v>
      </c>
      <c r="B27" s="629">
        <f>'a18'!B39</f>
        <v>13.2</v>
      </c>
      <c r="C27" s="629">
        <f>'a18'!F39</f>
        <v>19.7</v>
      </c>
      <c r="D27" s="629">
        <f>'a18'!J39</f>
        <v>12.7</v>
      </c>
      <c r="E27" s="629">
        <f>'a18'!N39</f>
        <v>17.399999999999999</v>
      </c>
      <c r="F27" s="629">
        <f>'a18'!R39</f>
        <v>17.2</v>
      </c>
      <c r="G27" s="629">
        <f>'a18'!V39</f>
        <v>14.3</v>
      </c>
      <c r="H27" s="629">
        <f>'a18'!Z39</f>
        <v>10.9</v>
      </c>
      <c r="I27" s="629">
        <f>'a18'!AD39</f>
        <v>14.9</v>
      </c>
      <c r="J27" s="629">
        <f>'a18'!AH39</f>
        <v>16.2</v>
      </c>
      <c r="K27" s="629">
        <f>'a18'!AL39</f>
        <v>10.9</v>
      </c>
      <c r="L27" s="629">
        <f>'a18'!AP39</f>
        <v>16.3</v>
      </c>
    </row>
    <row r="28" spans="1:12">
      <c r="A28" s="611">
        <f t="shared" si="0"/>
        <v>2004</v>
      </c>
      <c r="B28" s="629">
        <f>'a18'!B40</f>
        <v>13.4</v>
      </c>
      <c r="C28" s="629">
        <f>'a18'!F40</f>
        <v>21.5</v>
      </c>
      <c r="D28" s="629">
        <f>'a18'!J40</f>
        <v>12.9</v>
      </c>
      <c r="E28" s="629">
        <f>'a18'!N40</f>
        <v>15.7</v>
      </c>
      <c r="F28" s="629">
        <f>'a18'!R40</f>
        <v>18.100000000000001</v>
      </c>
      <c r="G28" s="629">
        <f>'a18'!V40</f>
        <v>13</v>
      </c>
      <c r="H28" s="629">
        <f>'a18'!Z40</f>
        <v>12.3</v>
      </c>
      <c r="I28" s="629">
        <f>'a18'!AD40</f>
        <v>14.3</v>
      </c>
      <c r="J28" s="629">
        <f>'a18'!AH40</f>
        <v>17.3</v>
      </c>
      <c r="K28" s="629">
        <f>'a18'!AL40</f>
        <v>11.1</v>
      </c>
      <c r="L28" s="629">
        <f>'a18'!AP40</f>
        <v>15.8</v>
      </c>
    </row>
    <row r="29" spans="1:12">
      <c r="A29" s="611">
        <f t="shared" si="0"/>
        <v>2005</v>
      </c>
      <c r="B29" s="629">
        <f>'a18'!B41</f>
        <v>13</v>
      </c>
      <c r="C29" s="629">
        <f>'a18'!F41</f>
        <v>19.100000000000001</v>
      </c>
      <c r="D29" s="629">
        <f>'a18'!J41</f>
        <v>11.2</v>
      </c>
      <c r="E29" s="629">
        <f>'a18'!N41</f>
        <v>14.8</v>
      </c>
      <c r="F29" s="629">
        <f>'a18'!R41</f>
        <v>17.5</v>
      </c>
      <c r="G29" s="629">
        <f>'a18'!V41</f>
        <v>14.1</v>
      </c>
      <c r="H29" s="629">
        <f>'a18'!Z41</f>
        <v>11.7</v>
      </c>
      <c r="I29" s="629">
        <f>'a18'!AD41</f>
        <v>14.7</v>
      </c>
      <c r="J29" s="629">
        <f>'a18'!AH41</f>
        <v>17.8</v>
      </c>
      <c r="K29" s="629">
        <f>'a18'!AL41</f>
        <v>8.6999999999999993</v>
      </c>
      <c r="L29" s="629">
        <f>'a18'!AP41</f>
        <v>14.8</v>
      </c>
    </row>
    <row r="30" spans="1:12">
      <c r="A30" s="611">
        <f t="shared" si="0"/>
        <v>2006</v>
      </c>
      <c r="B30" s="629">
        <f>'a18'!B42</f>
        <v>12.6</v>
      </c>
      <c r="C30" s="629">
        <f>'a18'!F42</f>
        <v>18.3</v>
      </c>
      <c r="D30" s="629">
        <f>'a18'!J42</f>
        <v>11.5</v>
      </c>
      <c r="E30" s="629">
        <f>'a18'!N42</f>
        <v>14.4</v>
      </c>
      <c r="F30" s="629">
        <f>'a18'!R42</f>
        <v>18.399999999999999</v>
      </c>
      <c r="G30" s="629">
        <f>'a18'!V42</f>
        <v>13.9</v>
      </c>
      <c r="H30" s="629">
        <f>'a18'!Z42</f>
        <v>11.5</v>
      </c>
      <c r="I30" s="629">
        <f>'a18'!AD42</f>
        <v>14.5</v>
      </c>
      <c r="J30" s="629">
        <f>'a18'!AH42</f>
        <v>16.5</v>
      </c>
      <c r="K30" s="629">
        <f>'a18'!AL42</f>
        <v>7.3</v>
      </c>
      <c r="L30" s="629">
        <f>'a18'!AP42</f>
        <v>14.5</v>
      </c>
    </row>
    <row r="31" spans="1:12">
      <c r="A31" s="611">
        <f t="shared" si="0"/>
        <v>2007</v>
      </c>
      <c r="B31" s="629">
        <f>'a18'!B43</f>
        <v>12.5</v>
      </c>
      <c r="C31" s="629">
        <f>'a18'!F43</f>
        <v>16.399999999999999</v>
      </c>
      <c r="D31" s="629">
        <f>'a18'!J43</f>
        <v>11.5</v>
      </c>
      <c r="E31" s="629">
        <f>'a18'!N43</f>
        <v>15.4</v>
      </c>
      <c r="F31" s="629">
        <f>'a18'!R43</f>
        <v>18.2</v>
      </c>
      <c r="G31" s="629">
        <f>'a18'!V43</f>
        <v>14.6</v>
      </c>
      <c r="H31" s="629">
        <f>'a18'!Z43</f>
        <v>11.2</v>
      </c>
      <c r="I31" s="629">
        <f>'a18'!AD43</f>
        <v>14.3</v>
      </c>
      <c r="J31" s="629">
        <f>'a18'!AH43</f>
        <v>14.8</v>
      </c>
      <c r="K31" s="629">
        <f>'a18'!AL43</f>
        <v>7.3</v>
      </c>
      <c r="L31" s="629">
        <f>'a18'!AP43</f>
        <v>13.5</v>
      </c>
    </row>
    <row r="32" spans="1:12">
      <c r="A32" s="611">
        <f t="shared" si="0"/>
        <v>2008</v>
      </c>
      <c r="B32" s="629">
        <f>'a18'!B44</f>
        <v>13.3</v>
      </c>
      <c r="C32" s="629">
        <f>'a18'!F44</f>
        <v>17.5</v>
      </c>
      <c r="D32" s="629">
        <f>'a18'!J44</f>
        <v>12.4</v>
      </c>
      <c r="E32" s="629">
        <f>'a18'!N44</f>
        <v>17.399999999999999</v>
      </c>
      <c r="F32" s="629">
        <f>'a18'!R44</f>
        <v>17</v>
      </c>
      <c r="G32" s="629">
        <f>'a18'!V44</f>
        <v>15.7</v>
      </c>
      <c r="H32" s="629">
        <f>'a18'!Z44</f>
        <v>12.5</v>
      </c>
      <c r="I32" s="629">
        <f>'a18'!AD44</f>
        <v>13.7</v>
      </c>
      <c r="J32" s="629">
        <f>'a18'!AH44</f>
        <v>14.7</v>
      </c>
      <c r="K32" s="629">
        <f>'a18'!AL44</f>
        <v>7</v>
      </c>
      <c r="L32" s="629">
        <f>'a18'!AP44</f>
        <v>14.2</v>
      </c>
    </row>
    <row r="33" spans="1:12">
      <c r="A33" s="611">
        <f t="shared" si="0"/>
        <v>2009</v>
      </c>
      <c r="B33" s="629">
        <f>'a18'!B45</f>
        <v>13.3</v>
      </c>
      <c r="C33" s="629">
        <f>'a18'!F45</f>
        <v>15.7</v>
      </c>
      <c r="D33" s="629">
        <f>'a18'!J45</f>
        <v>12</v>
      </c>
      <c r="E33" s="629">
        <f>'a18'!N45</f>
        <v>16.899999999999999</v>
      </c>
      <c r="F33" s="629">
        <f>'a18'!R45</f>
        <v>14.6</v>
      </c>
      <c r="G33" s="629">
        <f>'a18'!V45</f>
        <v>13.7</v>
      </c>
      <c r="H33" s="629">
        <f>'a18'!Z45</f>
        <v>13.1</v>
      </c>
      <c r="I33" s="629">
        <f>'a18'!AD45</f>
        <v>15.3</v>
      </c>
      <c r="J33" s="629">
        <f>'a18'!AH45</f>
        <v>11.7</v>
      </c>
      <c r="K33" s="629">
        <f>'a18'!AL45</f>
        <v>9.1</v>
      </c>
      <c r="L33" s="629">
        <f>'a18'!AP45</f>
        <v>15</v>
      </c>
    </row>
    <row r="34" spans="1:12">
      <c r="A34" s="611">
        <f t="shared" si="0"/>
        <v>2010</v>
      </c>
      <c r="B34" s="629">
        <f>'a18'!B46</f>
        <v>13.3</v>
      </c>
      <c r="C34" s="629">
        <f>'a18'!F46</f>
        <v>15.7</v>
      </c>
      <c r="D34" s="629">
        <f>'a18'!J46</f>
        <v>12</v>
      </c>
      <c r="E34" s="629">
        <f>'a18'!N46</f>
        <v>16.899999999999999</v>
      </c>
      <c r="F34" s="629">
        <f>'a18'!R46</f>
        <v>14.6</v>
      </c>
      <c r="G34" s="629">
        <f>'a18'!V46</f>
        <v>13.7</v>
      </c>
      <c r="H34" s="629">
        <f>'a18'!Z46</f>
        <v>13.1</v>
      </c>
      <c r="I34" s="629">
        <f>'a18'!AD46</f>
        <v>15.3</v>
      </c>
      <c r="J34" s="629">
        <f>'a18'!AH46</f>
        <v>11.7</v>
      </c>
      <c r="K34" s="629">
        <f>'a18'!AL46</f>
        <v>9.1</v>
      </c>
      <c r="L34" s="629">
        <f>'a18'!AP46</f>
        <v>15</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0.35531037552447575</v>
      </c>
      <c r="C36" s="617">
        <f t="shared" si="1"/>
        <v>-0.8141128988808144</v>
      </c>
      <c r="D36" s="617">
        <f t="shared" si="1"/>
        <v>-1.9112099055992426</v>
      </c>
      <c r="E36" s="617">
        <f t="shared" si="1"/>
        <v>0.14597671723048933</v>
      </c>
      <c r="F36" s="617">
        <f t="shared" si="1"/>
        <v>-1.163534374318842</v>
      </c>
      <c r="G36" s="617">
        <f t="shared" si="1"/>
        <v>-0.12353098852224687</v>
      </c>
      <c r="H36" s="617">
        <f t="shared" si="1"/>
        <v>1.1510658817175168</v>
      </c>
      <c r="I36" s="617">
        <f t="shared" si="1"/>
        <v>0.18535840073601317</v>
      </c>
      <c r="J36" s="617">
        <f t="shared" si="1"/>
        <v>-1.1368548412477142</v>
      </c>
      <c r="K36" s="617">
        <f t="shared" si="1"/>
        <v>0.15512498024434773</v>
      </c>
      <c r="L36" s="617">
        <f t="shared" si="1"/>
        <v>1.3387527327127557</v>
      </c>
    </row>
    <row r="37" spans="1:12">
      <c r="A37" s="611" t="s">
        <v>1472</v>
      </c>
      <c r="B37" s="617">
        <f t="shared" ref="B37:L37" si="2">100*(POWER(B13/B5, 1/8)-1)</f>
        <v>-1.6552894084366776</v>
      </c>
      <c r="C37" s="617">
        <f t="shared" si="2"/>
        <v>-2.1675511885505983</v>
      </c>
      <c r="D37" s="617">
        <f t="shared" si="2"/>
        <v>-4.118681943513181</v>
      </c>
      <c r="E37" s="617">
        <f t="shared" si="2"/>
        <v>-1.2072010050225734</v>
      </c>
      <c r="F37" s="617">
        <f t="shared" si="2"/>
        <v>-4.3189177726635002</v>
      </c>
      <c r="G37" s="617">
        <f t="shared" si="2"/>
        <v>-1.9805800310334631</v>
      </c>
      <c r="H37" s="617">
        <f t="shared" si="2"/>
        <v>-3.4468800367548402</v>
      </c>
      <c r="I37" s="617">
        <f t="shared" si="2"/>
        <v>-0.43768087090604313</v>
      </c>
      <c r="J37" s="617">
        <f t="shared" si="2"/>
        <v>0.89190110910577491</v>
      </c>
      <c r="K37" s="617">
        <f t="shared" si="2"/>
        <v>4.1016826217792124</v>
      </c>
      <c r="L37" s="617">
        <f t="shared" si="2"/>
        <v>0</v>
      </c>
    </row>
    <row r="38" spans="1:12">
      <c r="A38" s="611" t="s">
        <v>1473</v>
      </c>
      <c r="B38" s="617">
        <f t="shared" ref="B38:L38" si="3">100*(POWER(B24/B13, 1/11)-1)</f>
        <v>1.8169447647095494</v>
      </c>
      <c r="C38" s="617">
        <f t="shared" si="3"/>
        <v>2.2799869250952121</v>
      </c>
      <c r="D38" s="617">
        <f t="shared" si="3"/>
        <v>0.41550183659078144</v>
      </c>
      <c r="E38" s="617">
        <f t="shared" si="3"/>
        <v>0.71592892689462673</v>
      </c>
      <c r="F38" s="617">
        <f t="shared" si="3"/>
        <v>0.24939204942218129</v>
      </c>
      <c r="G38" s="617">
        <f t="shared" si="3"/>
        <v>1.9723325276792325</v>
      </c>
      <c r="H38" s="617">
        <f t="shared" si="3"/>
        <v>3.2558866888727112</v>
      </c>
      <c r="I38" s="617">
        <f t="shared" si="3"/>
        <v>0.25642709482471826</v>
      </c>
      <c r="J38" s="617">
        <f t="shared" si="3"/>
        <v>-0.37042128253242934</v>
      </c>
      <c r="K38" s="617">
        <f t="shared" si="3"/>
        <v>-1.3791536345002742</v>
      </c>
      <c r="L38" s="617">
        <f t="shared" si="3"/>
        <v>3.5052485124131394</v>
      </c>
    </row>
    <row r="39" spans="1:12">
      <c r="A39" s="611" t="s">
        <v>1474</v>
      </c>
      <c r="B39" s="617">
        <f t="shared" ref="B39:L39" si="4">100*(POWER(B32/B24, 1/8)-1)</f>
        <v>0.48013477451425146</v>
      </c>
      <c r="C39" s="617">
        <f t="shared" si="4"/>
        <v>-2.4835159541195417</v>
      </c>
      <c r="D39" s="617">
        <f t="shared" si="4"/>
        <v>-2.9064782256924215</v>
      </c>
      <c r="E39" s="617">
        <f t="shared" si="4"/>
        <v>1.1332620208123201</v>
      </c>
      <c r="F39" s="617">
        <f t="shared" si="4"/>
        <v>1.7474188464881912</v>
      </c>
      <c r="G39" s="617">
        <f t="shared" si="4"/>
        <v>0.57175973275602754</v>
      </c>
      <c r="H39" s="617">
        <f t="shared" si="4"/>
        <v>2.7007416621491531</v>
      </c>
      <c r="I39" s="617">
        <f t="shared" si="4"/>
        <v>-0.62096864265528406</v>
      </c>
      <c r="J39" s="617">
        <f t="shared" si="4"/>
        <v>-1.6552894084366776</v>
      </c>
      <c r="K39" s="617">
        <f t="shared" si="4"/>
        <v>-4.7132308140965034</v>
      </c>
      <c r="L39" s="617">
        <f t="shared" si="4"/>
        <v>-0.59968527101744717</v>
      </c>
    </row>
    <row r="40" spans="1:12">
      <c r="A40" s="611" t="s">
        <v>1500</v>
      </c>
      <c r="B40" s="611"/>
      <c r="C40" s="611"/>
      <c r="D40" s="611"/>
      <c r="E40" s="611"/>
      <c r="F40" s="611"/>
      <c r="G40" s="611"/>
      <c r="H40" s="611"/>
      <c r="I40" s="611"/>
      <c r="J40" s="611"/>
      <c r="K40" s="611"/>
      <c r="L40" s="611"/>
    </row>
    <row r="41" spans="1:12">
      <c r="A41" s="611" t="s">
        <v>1498</v>
      </c>
      <c r="B41" s="616">
        <f>100*(B34-B5)/B5</f>
        <v>10.833333333333337</v>
      </c>
      <c r="C41" s="616">
        <f t="shared" ref="C41:L41" si="5">100*(C34-C5)/C5</f>
        <v>-21.105527638190953</v>
      </c>
      <c r="D41" s="616">
        <f t="shared" si="5"/>
        <v>-42.857142857142854</v>
      </c>
      <c r="E41" s="616">
        <f t="shared" si="5"/>
        <v>4.3209876543209838</v>
      </c>
      <c r="F41" s="616">
        <f t="shared" si="5"/>
        <v>-28.780487804878049</v>
      </c>
      <c r="G41" s="616">
        <f t="shared" si="5"/>
        <v>-3.5211267605633805</v>
      </c>
      <c r="H41" s="616">
        <f t="shared" si="5"/>
        <v>39.361702127659569</v>
      </c>
      <c r="I41" s="616">
        <f t="shared" si="5"/>
        <v>5.5172413793103496</v>
      </c>
      <c r="J41" s="616">
        <f>100*(J34-J5)/J5</f>
        <v>-28.220858895705526</v>
      </c>
      <c r="K41" s="616">
        <f t="shared" si="5"/>
        <v>4.5977011494252915</v>
      </c>
      <c r="L41" s="616">
        <f t="shared" si="5"/>
        <v>47.058823529411775</v>
      </c>
    </row>
    <row r="42" spans="1:12">
      <c r="A42" s="611" t="s">
        <v>1472</v>
      </c>
      <c r="B42" s="616">
        <f>100*(B13-B5)/B5</f>
        <v>-12.5</v>
      </c>
      <c r="C42" s="616">
        <f t="shared" ref="C42:L42" si="6">100*(C13-C5)/C5</f>
        <v>-16.08040201005025</v>
      </c>
      <c r="D42" s="616">
        <f t="shared" si="6"/>
        <v>-28.571428571428573</v>
      </c>
      <c r="E42" s="616">
        <f t="shared" si="6"/>
        <v>-9.2592592592592595</v>
      </c>
      <c r="F42" s="616">
        <f t="shared" si="6"/>
        <v>-29.756097560975611</v>
      </c>
      <c r="G42" s="616">
        <f t="shared" si="6"/>
        <v>-14.788732394366196</v>
      </c>
      <c r="H42" s="616">
        <f t="shared" si="6"/>
        <v>-24.468085106382983</v>
      </c>
      <c r="I42" s="616">
        <f t="shared" si="6"/>
        <v>-3.4482758620689653</v>
      </c>
      <c r="J42" s="616">
        <f t="shared" si="6"/>
        <v>7.3619631901840448</v>
      </c>
      <c r="K42" s="616">
        <f t="shared" si="6"/>
        <v>37.931034482758633</v>
      </c>
      <c r="L42" s="616">
        <f t="shared" si="6"/>
        <v>0</v>
      </c>
    </row>
    <row r="43" spans="1:12">
      <c r="A43" s="611" t="s">
        <v>1473</v>
      </c>
      <c r="B43" s="616">
        <f>100*(B24-B13)/B13</f>
        <v>21.904761904761909</v>
      </c>
      <c r="C43" s="616">
        <f t="shared" ref="C43:L43" si="7">100*(C24-C13)/C13</f>
        <v>28.143712574850298</v>
      </c>
      <c r="D43" s="616">
        <f t="shared" si="7"/>
        <v>4.6666666666666616</v>
      </c>
      <c r="E43" s="616">
        <f t="shared" si="7"/>
        <v>8.1632653061224563</v>
      </c>
      <c r="F43" s="616">
        <f t="shared" si="7"/>
        <v>2.7777777777777803</v>
      </c>
      <c r="G43" s="616">
        <f t="shared" si="7"/>
        <v>23.966942148760335</v>
      </c>
      <c r="H43" s="616">
        <f t="shared" si="7"/>
        <v>42.253521126760567</v>
      </c>
      <c r="I43" s="616">
        <f t="shared" si="7"/>
        <v>2.8571428571428599</v>
      </c>
      <c r="J43" s="616">
        <f t="shared" si="7"/>
        <v>-3.999999999999996</v>
      </c>
      <c r="K43" s="616">
        <f t="shared" si="7"/>
        <v>-14.166666666666663</v>
      </c>
      <c r="L43" s="616">
        <f t="shared" si="7"/>
        <v>46.078431372549034</v>
      </c>
    </row>
    <row r="44" spans="1:12">
      <c r="A44" s="611" t="s">
        <v>1474</v>
      </c>
      <c r="B44" s="616">
        <f>100*(B32-B24)/B24</f>
        <v>3.90625</v>
      </c>
      <c r="C44" s="616">
        <f t="shared" ref="C44:L44" si="8">100*(C32-C24)/C24</f>
        <v>-18.224299065420556</v>
      </c>
      <c r="D44" s="616">
        <f t="shared" si="8"/>
        <v>-21.01910828025477</v>
      </c>
      <c r="E44" s="616">
        <f t="shared" si="8"/>
        <v>9.4339622641509333</v>
      </c>
      <c r="F44" s="616">
        <f t="shared" si="8"/>
        <v>14.86486486486486</v>
      </c>
      <c r="G44" s="616">
        <f t="shared" si="8"/>
        <v>4.6666666666666616</v>
      </c>
      <c r="H44" s="616">
        <f t="shared" si="8"/>
        <v>23.762376237623766</v>
      </c>
      <c r="I44" s="616">
        <f t="shared" si="8"/>
        <v>-4.8611111111111187</v>
      </c>
      <c r="J44" s="616">
        <f t="shared" si="8"/>
        <v>-12.500000000000007</v>
      </c>
      <c r="K44" s="616">
        <f t="shared" si="8"/>
        <v>-32.038834951456316</v>
      </c>
      <c r="L44" s="616">
        <f t="shared" si="8"/>
        <v>-4.6979865771812159</v>
      </c>
    </row>
    <row r="46" spans="1:12">
      <c r="A46" s="611" t="s">
        <v>1548</v>
      </c>
    </row>
  </sheetData>
  <pageMargins left="0.7" right="0.7" top="0.75" bottom="0.75" header="0.3" footer="0.3"/>
</worksheet>
</file>

<file path=xl/worksheets/sheet167.xml><?xml version="1.0" encoding="utf-8"?>
<worksheet xmlns="http://schemas.openxmlformats.org/spreadsheetml/2006/main" xmlns:r="http://schemas.openxmlformats.org/officeDocument/2006/relationships">
  <dimension ref="A1:L46"/>
  <sheetViews>
    <sheetView topLeftCell="A28" workbookViewId="0">
      <selection activeCell="E9" sqref="E9"/>
    </sheetView>
  </sheetViews>
  <sheetFormatPr defaultRowHeight="12.75"/>
  <cols>
    <col min="1" max="16384" width="9" style="618"/>
  </cols>
  <sheetData>
    <row r="1" spans="1:12">
      <c r="A1" s="611" t="s">
        <v>1517</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8">
        <f>'a18'!C17</f>
        <v>0.30640000000000001</v>
      </c>
      <c r="C5" s="628">
        <f>'a18'!G17</f>
        <v>0.29089999999999999</v>
      </c>
      <c r="D5" s="628">
        <f>'a18'!K17</f>
        <v>0.26519999999999999</v>
      </c>
      <c r="E5" s="628">
        <f>'a18'!O17</f>
        <v>0.29630000000000001</v>
      </c>
      <c r="F5" s="628">
        <f>'a18'!S17</f>
        <v>0.2979</v>
      </c>
      <c r="G5" s="628">
        <f>'a18'!W17</f>
        <v>0.28970000000000001</v>
      </c>
      <c r="H5" s="628">
        <f>'a18'!AA17</f>
        <v>0.30059999999999998</v>
      </c>
      <c r="I5" s="628">
        <f>'a18'!AE17</f>
        <v>0.33409999999999995</v>
      </c>
      <c r="J5" s="628">
        <f>'a18'!AI17</f>
        <v>0.33270000000000005</v>
      </c>
      <c r="K5" s="628">
        <f>'a18'!AM17</f>
        <v>0.35509999999999997</v>
      </c>
      <c r="L5" s="628">
        <f>'a18'!AQ17</f>
        <v>0.33310000000000001</v>
      </c>
    </row>
    <row r="6" spans="1:12">
      <c r="A6" s="611">
        <f t="shared" ref="A6:A34" si="0">A5+1</f>
        <v>1982</v>
      </c>
      <c r="B6" s="628">
        <f>'a18'!C18</f>
        <v>0.3024</v>
      </c>
      <c r="C6" s="628">
        <f>'a18'!G18</f>
        <v>0.28889999999999999</v>
      </c>
      <c r="D6" s="628">
        <f>'a18'!K18</f>
        <v>0.24559999999999998</v>
      </c>
      <c r="E6" s="628">
        <f>'a18'!O18</f>
        <v>0.28460000000000002</v>
      </c>
      <c r="F6" s="628">
        <f>'a18'!S18</f>
        <v>0.29630000000000001</v>
      </c>
      <c r="G6" s="628">
        <f>'a18'!W18</f>
        <v>0.2838</v>
      </c>
      <c r="H6" s="628">
        <f>'a18'!AA18</f>
        <v>0.29710000000000003</v>
      </c>
      <c r="I6" s="628">
        <f>'a18'!AE18</f>
        <v>0.31430000000000002</v>
      </c>
      <c r="J6" s="628">
        <f>'a18'!AI18</f>
        <v>0.33450000000000002</v>
      </c>
      <c r="K6" s="628">
        <f>'a18'!AM18</f>
        <v>0.33049999999999996</v>
      </c>
      <c r="L6" s="628">
        <f>'a18'!AQ18</f>
        <v>0.3528</v>
      </c>
    </row>
    <row r="7" spans="1:12">
      <c r="A7" s="611">
        <f t="shared" si="0"/>
        <v>1983</v>
      </c>
      <c r="B7" s="628">
        <f>'a18'!C19</f>
        <v>0.29320000000000002</v>
      </c>
      <c r="C7" s="628">
        <f>'a18'!G19</f>
        <v>0.27860000000000001</v>
      </c>
      <c r="D7" s="628">
        <f>'a18'!K19</f>
        <v>0.2452</v>
      </c>
      <c r="E7" s="628">
        <f>'a18'!O19</f>
        <v>0.27250000000000002</v>
      </c>
      <c r="F7" s="628">
        <f>'a18'!S19</f>
        <v>0.31090000000000001</v>
      </c>
      <c r="G7" s="628">
        <f>'a18'!W19</f>
        <v>0.27910000000000001</v>
      </c>
      <c r="H7" s="628">
        <f>'a18'!AA19</f>
        <v>0.30049999999999999</v>
      </c>
      <c r="I7" s="628">
        <f>'a18'!AE19</f>
        <v>0.30590000000000001</v>
      </c>
      <c r="J7" s="628">
        <f>'a18'!AI19</f>
        <v>0.25739999999999996</v>
      </c>
      <c r="K7" s="628">
        <f>'a18'!AM19</f>
        <v>0.34450000000000003</v>
      </c>
      <c r="L7" s="628">
        <f>'a18'!AQ19</f>
        <v>0.29220000000000002</v>
      </c>
    </row>
    <row r="8" spans="1:12">
      <c r="A8" s="611">
        <f t="shared" si="0"/>
        <v>1984</v>
      </c>
      <c r="B8" s="628">
        <f>'a18'!C20</f>
        <v>0.31090000000000001</v>
      </c>
      <c r="C8" s="628">
        <f>'a18'!G20</f>
        <v>0.29139999999999999</v>
      </c>
      <c r="D8" s="628">
        <f>'a18'!K20</f>
        <v>0.2792</v>
      </c>
      <c r="E8" s="628">
        <f>'a18'!O20</f>
        <v>0.29780000000000001</v>
      </c>
      <c r="F8" s="628">
        <f>'a18'!S20</f>
        <v>0.28989999999999999</v>
      </c>
      <c r="G8" s="628">
        <f>'a18'!W20</f>
        <v>0.28639999999999999</v>
      </c>
      <c r="H8" s="628">
        <f>'a18'!AA20</f>
        <v>0.3246</v>
      </c>
      <c r="I8" s="628">
        <f>'a18'!AE20</f>
        <v>0.34320000000000001</v>
      </c>
      <c r="J8" s="628">
        <f>'a18'!AI20</f>
        <v>0.31739999999999996</v>
      </c>
      <c r="K8" s="628">
        <f>'a18'!AM20</f>
        <v>0.35820000000000002</v>
      </c>
      <c r="L8" s="628">
        <f>'a18'!AQ20</f>
        <v>0.313</v>
      </c>
    </row>
    <row r="9" spans="1:12">
      <c r="A9" s="611">
        <f t="shared" si="0"/>
        <v>1985</v>
      </c>
      <c r="B9" s="628">
        <f>'a18'!C21</f>
        <v>0.30260000000000004</v>
      </c>
      <c r="C9" s="628">
        <f>'a18'!G21</f>
        <v>0.2883</v>
      </c>
      <c r="D9" s="628">
        <f>'a18'!K21</f>
        <v>0.23039999999999999</v>
      </c>
      <c r="E9" s="628">
        <f>'a18'!O21</f>
        <v>0.27940000000000004</v>
      </c>
      <c r="F9" s="628">
        <f>'a18'!S21</f>
        <v>0.29600000000000004</v>
      </c>
      <c r="G9" s="628">
        <f>'a18'!W21</f>
        <v>0.28149999999999997</v>
      </c>
      <c r="H9" s="628">
        <f>'a18'!AA21</f>
        <v>0.31079999999999997</v>
      </c>
      <c r="I9" s="628">
        <f>'a18'!AE21</f>
        <v>0.30870000000000003</v>
      </c>
      <c r="J9" s="628">
        <f>'a18'!AI21</f>
        <v>0.36890000000000001</v>
      </c>
      <c r="K9" s="628">
        <f>'a18'!AM21</f>
        <v>0.33039999999999997</v>
      </c>
      <c r="L9" s="628">
        <f>'a18'!AQ21</f>
        <v>0.30670000000000003</v>
      </c>
    </row>
    <row r="10" spans="1:12">
      <c r="A10" s="611">
        <f t="shared" si="0"/>
        <v>1986</v>
      </c>
      <c r="B10" s="628">
        <f>'a18'!C22</f>
        <v>0.29719999999999996</v>
      </c>
      <c r="C10" s="628">
        <f>'a18'!G22</f>
        <v>0.27610000000000001</v>
      </c>
      <c r="D10" s="628">
        <f>'a18'!K22</f>
        <v>0.23050000000000001</v>
      </c>
      <c r="E10" s="628">
        <f>'a18'!O22</f>
        <v>0.27649999999999997</v>
      </c>
      <c r="F10" s="628">
        <f>'a18'!S22</f>
        <v>0.28570000000000001</v>
      </c>
      <c r="G10" s="628">
        <f>'a18'!W22</f>
        <v>0.2878</v>
      </c>
      <c r="H10" s="628">
        <f>'a18'!AA22</f>
        <v>0.29969999999999997</v>
      </c>
      <c r="I10" s="628">
        <f>'a18'!AE22</f>
        <v>0.29649999999999999</v>
      </c>
      <c r="J10" s="628">
        <f>'a18'!AI22</f>
        <v>0.3543</v>
      </c>
      <c r="K10" s="628">
        <f>'a18'!AM22</f>
        <v>0.32390000000000002</v>
      </c>
      <c r="L10" s="628">
        <f>'a18'!AQ22</f>
        <v>0.29249999999999998</v>
      </c>
    </row>
    <row r="11" spans="1:12">
      <c r="A11" s="611">
        <f t="shared" si="0"/>
        <v>1987</v>
      </c>
      <c r="B11" s="628">
        <f>'a18'!C23</f>
        <v>0.28899999999999998</v>
      </c>
      <c r="C11" s="628">
        <f>'a18'!G23</f>
        <v>0.28639999999999999</v>
      </c>
      <c r="D11" s="628">
        <f>'a18'!K23</f>
        <v>0.255</v>
      </c>
      <c r="E11" s="628">
        <f>'a18'!O23</f>
        <v>0.29780000000000001</v>
      </c>
      <c r="F11" s="628">
        <f>'a18'!S23</f>
        <v>0.2878</v>
      </c>
      <c r="G11" s="628">
        <f>'a18'!W23</f>
        <v>0.28149999999999997</v>
      </c>
      <c r="H11" s="628">
        <f>'a18'!AA23</f>
        <v>0.2843</v>
      </c>
      <c r="I11" s="628">
        <f>'a18'!AE23</f>
        <v>0.28449999999999998</v>
      </c>
      <c r="J11" s="628">
        <f>'a18'!AI23</f>
        <v>0.3009</v>
      </c>
      <c r="K11" s="628">
        <f>'a18'!AM23</f>
        <v>0.30870000000000003</v>
      </c>
      <c r="L11" s="628">
        <f>'a18'!AQ23</f>
        <v>0.29820000000000002</v>
      </c>
    </row>
    <row r="12" spans="1:12">
      <c r="A12" s="611">
        <f t="shared" si="0"/>
        <v>1988</v>
      </c>
      <c r="B12" s="628">
        <f>'a18'!C24</f>
        <v>0.28220000000000001</v>
      </c>
      <c r="C12" s="628">
        <f>'a18'!G24</f>
        <v>0.2843</v>
      </c>
      <c r="D12" s="628">
        <f>'a18'!K24</f>
        <v>0.22239999999999999</v>
      </c>
      <c r="E12" s="628">
        <f>'a18'!O24</f>
        <v>0.255</v>
      </c>
      <c r="F12" s="628">
        <f>'a18'!S24</f>
        <v>0.2767</v>
      </c>
      <c r="G12" s="628">
        <f>'a18'!W24</f>
        <v>0.26769999999999999</v>
      </c>
      <c r="H12" s="628">
        <f>'a18'!AA24</f>
        <v>0.29139999999999999</v>
      </c>
      <c r="I12" s="628">
        <f>'a18'!AE24</f>
        <v>0.28289999999999998</v>
      </c>
      <c r="J12" s="628">
        <f>'a18'!AI24</f>
        <v>0.30820000000000003</v>
      </c>
      <c r="K12" s="628">
        <f>'a18'!AM24</f>
        <v>0.2913</v>
      </c>
      <c r="L12" s="628">
        <f>'a18'!AQ24</f>
        <v>0.29749999999999999</v>
      </c>
    </row>
    <row r="13" spans="1:12">
      <c r="A13" s="611">
        <f t="shared" si="0"/>
        <v>1989</v>
      </c>
      <c r="B13" s="628">
        <f>'a18'!C25</f>
        <v>0.2878</v>
      </c>
      <c r="C13" s="628">
        <f>'a18'!G25</f>
        <v>0.28470000000000001</v>
      </c>
      <c r="D13" s="628">
        <f>'a18'!K25</f>
        <v>0.22510000000000002</v>
      </c>
      <c r="E13" s="628">
        <f>'a18'!O25</f>
        <v>0.25340000000000001</v>
      </c>
      <c r="F13" s="628">
        <f>'a18'!S25</f>
        <v>0.2928</v>
      </c>
      <c r="G13" s="628">
        <f>'a18'!W25</f>
        <v>0.2873</v>
      </c>
      <c r="H13" s="628">
        <f>'a18'!AA25</f>
        <v>0.2737</v>
      </c>
      <c r="I13" s="628">
        <f>'a18'!AE25</f>
        <v>0.2641</v>
      </c>
      <c r="J13" s="628">
        <f>'a18'!AI25</f>
        <v>0.30920000000000003</v>
      </c>
      <c r="K13" s="628">
        <f>'a18'!AM25</f>
        <v>0.32950000000000002</v>
      </c>
      <c r="L13" s="628">
        <f>'a18'!AQ25</f>
        <v>0.29809999999999998</v>
      </c>
    </row>
    <row r="14" spans="1:12">
      <c r="A14" s="611">
        <f t="shared" si="0"/>
        <v>1990</v>
      </c>
      <c r="B14" s="628">
        <f>'a18'!C26</f>
        <v>0.29649999999999999</v>
      </c>
      <c r="C14" s="628">
        <f>'a18'!G26</f>
        <v>0.2999</v>
      </c>
      <c r="D14" s="628">
        <f>'a18'!K26</f>
        <v>0.22450000000000001</v>
      </c>
      <c r="E14" s="628">
        <f>'a18'!O26</f>
        <v>0.26739999999999997</v>
      </c>
      <c r="F14" s="628">
        <f>'a18'!S26</f>
        <v>0.2727</v>
      </c>
      <c r="G14" s="628">
        <f>'a18'!W26</f>
        <v>0.27</v>
      </c>
      <c r="H14" s="628">
        <f>'a18'!AA26</f>
        <v>0.30280000000000001</v>
      </c>
      <c r="I14" s="628">
        <f>'a18'!AE26</f>
        <v>0.31309999999999999</v>
      </c>
      <c r="J14" s="628">
        <f>'a18'!AI26</f>
        <v>0.35450000000000004</v>
      </c>
      <c r="K14" s="628">
        <f>'a18'!AM26</f>
        <v>0.29170000000000001</v>
      </c>
      <c r="L14" s="628">
        <f>'a18'!AQ26</f>
        <v>0.33789999999999998</v>
      </c>
    </row>
    <row r="15" spans="1:12">
      <c r="A15" s="611">
        <f t="shared" si="0"/>
        <v>1991</v>
      </c>
      <c r="B15" s="628">
        <f>'a18'!C27</f>
        <v>0.29609999999999997</v>
      </c>
      <c r="C15" s="628">
        <f>'a18'!G27</f>
        <v>0.31609999999999999</v>
      </c>
      <c r="D15" s="628">
        <f>'a18'!K27</f>
        <v>0.24579999999999999</v>
      </c>
      <c r="E15" s="628">
        <f>'a18'!O27</f>
        <v>0.27940000000000004</v>
      </c>
      <c r="F15" s="628">
        <f>'a18'!S27</f>
        <v>0.28050000000000003</v>
      </c>
      <c r="G15" s="628">
        <f>'a18'!W27</f>
        <v>0.28350000000000003</v>
      </c>
      <c r="H15" s="628">
        <f>'a18'!AA27</f>
        <v>0.2994</v>
      </c>
      <c r="I15" s="628">
        <f>'a18'!AE27</f>
        <v>0.28889999999999999</v>
      </c>
      <c r="J15" s="628">
        <f>'a18'!AI27</f>
        <v>0.34539999999999998</v>
      </c>
      <c r="K15" s="628">
        <f>'a18'!AM27</f>
        <v>0.30609999999999998</v>
      </c>
      <c r="L15" s="628">
        <f>'a18'!AQ27</f>
        <v>0.3029</v>
      </c>
    </row>
    <row r="16" spans="1:12">
      <c r="A16" s="611">
        <f t="shared" si="0"/>
        <v>1992</v>
      </c>
      <c r="B16" s="628">
        <f>'a18'!C28</f>
        <v>0.2959</v>
      </c>
      <c r="C16" s="628">
        <f>'a18'!G28</f>
        <v>0.30680000000000002</v>
      </c>
      <c r="D16" s="628">
        <f>'a18'!K28</f>
        <v>0.27229999999999999</v>
      </c>
      <c r="E16" s="628">
        <f>'a18'!O28</f>
        <v>0.26669999999999999</v>
      </c>
      <c r="F16" s="628">
        <f>'a18'!S28</f>
        <v>0.2828</v>
      </c>
      <c r="G16" s="628">
        <f>'a18'!W28</f>
        <v>0.27110000000000001</v>
      </c>
      <c r="H16" s="628">
        <f>'a18'!AA28</f>
        <v>0.31059999999999999</v>
      </c>
      <c r="I16" s="628">
        <f>'a18'!AE28</f>
        <v>0.29260000000000003</v>
      </c>
      <c r="J16" s="628">
        <f>'a18'!AI28</f>
        <v>0.32520000000000004</v>
      </c>
      <c r="K16" s="628">
        <f>'a18'!AM28</f>
        <v>0.31180000000000002</v>
      </c>
      <c r="L16" s="628">
        <f>'a18'!AQ28</f>
        <v>0.30530000000000002</v>
      </c>
    </row>
    <row r="17" spans="1:12">
      <c r="A17" s="611">
        <f t="shared" si="0"/>
        <v>1993</v>
      </c>
      <c r="B17" s="628">
        <f>'a18'!C29</f>
        <v>0.28270000000000001</v>
      </c>
      <c r="C17" s="628">
        <f>'a18'!G29</f>
        <v>0.29909999999999998</v>
      </c>
      <c r="D17" s="628">
        <f>'a18'!K29</f>
        <v>0.2354</v>
      </c>
      <c r="E17" s="628">
        <f>'a18'!O29</f>
        <v>0.26379999999999998</v>
      </c>
      <c r="F17" s="628">
        <f>'a18'!S29</f>
        <v>0.29299999999999998</v>
      </c>
      <c r="G17" s="628">
        <f>'a18'!W29</f>
        <v>0.2717</v>
      </c>
      <c r="H17" s="628">
        <f>'a18'!AA29</f>
        <v>0.27379999999999999</v>
      </c>
      <c r="I17" s="628">
        <f>'a18'!AE29</f>
        <v>0.30120000000000002</v>
      </c>
      <c r="J17" s="628">
        <f>'a18'!AI29</f>
        <v>0.31519999999999998</v>
      </c>
      <c r="K17" s="628">
        <f>'a18'!AM29</f>
        <v>0.2944</v>
      </c>
      <c r="L17" s="628">
        <f>'a18'!AQ29</f>
        <v>0.3075</v>
      </c>
    </row>
    <row r="18" spans="1:12">
      <c r="A18" s="611">
        <f t="shared" si="0"/>
        <v>1994</v>
      </c>
      <c r="B18" s="628">
        <f>'a18'!C30</f>
        <v>0.29510000000000003</v>
      </c>
      <c r="C18" s="628">
        <f>'a18'!G30</f>
        <v>0.29930000000000001</v>
      </c>
      <c r="D18" s="628">
        <f>'a18'!K30</f>
        <v>0.23260000000000003</v>
      </c>
      <c r="E18" s="628">
        <f>'a18'!O30</f>
        <v>0.28110000000000002</v>
      </c>
      <c r="F18" s="628">
        <f>'a18'!S30</f>
        <v>0.32600000000000001</v>
      </c>
      <c r="G18" s="628">
        <f>'a18'!W30</f>
        <v>0.27050000000000002</v>
      </c>
      <c r="H18" s="628">
        <f>'a18'!AA30</f>
        <v>0.30659999999999998</v>
      </c>
      <c r="I18" s="628">
        <f>'a18'!AE30</f>
        <v>0.30879999999999996</v>
      </c>
      <c r="J18" s="628">
        <f>'a18'!AI30</f>
        <v>0.31859999999999999</v>
      </c>
      <c r="K18" s="628">
        <f>'a18'!AM30</f>
        <v>0.28949999999999998</v>
      </c>
      <c r="L18" s="628">
        <f>'a18'!AQ30</f>
        <v>0.32130000000000003</v>
      </c>
    </row>
    <row r="19" spans="1:12">
      <c r="A19" s="611">
        <f t="shared" si="0"/>
        <v>1995</v>
      </c>
      <c r="B19" s="628">
        <f>'a18'!C31</f>
        <v>0.29630000000000001</v>
      </c>
      <c r="C19" s="628">
        <f>'a18'!G31</f>
        <v>0.312</v>
      </c>
      <c r="D19" s="628">
        <f>'a18'!K31</f>
        <v>0.27289999999999998</v>
      </c>
      <c r="E19" s="628">
        <f>'a18'!O31</f>
        <v>0.28439999999999999</v>
      </c>
      <c r="F19" s="628">
        <f>'a18'!S31</f>
        <v>0.29980000000000001</v>
      </c>
      <c r="G19" s="628">
        <f>'a18'!W31</f>
        <v>0.29389999999999999</v>
      </c>
      <c r="H19" s="628">
        <f>'a18'!AA31</f>
        <v>0.28239999999999998</v>
      </c>
      <c r="I19" s="628">
        <f>'a18'!AE31</f>
        <v>0.26600000000000001</v>
      </c>
      <c r="J19" s="628">
        <f>'a18'!AI31</f>
        <v>0.34700000000000003</v>
      </c>
      <c r="K19" s="628">
        <f>'a18'!AM31</f>
        <v>0.31530000000000002</v>
      </c>
      <c r="L19" s="628">
        <f>'a18'!AQ31</f>
        <v>0.31420000000000003</v>
      </c>
    </row>
    <row r="20" spans="1:12">
      <c r="A20" s="611">
        <f t="shared" si="0"/>
        <v>1996</v>
      </c>
      <c r="B20" s="628">
        <f>'a18'!C32</f>
        <v>0.30449999999999999</v>
      </c>
      <c r="C20" s="628">
        <f>'a18'!G32</f>
        <v>0.31940000000000002</v>
      </c>
      <c r="D20" s="628">
        <f>'a18'!K32</f>
        <v>0.25459999999999999</v>
      </c>
      <c r="E20" s="628">
        <f>'a18'!O32</f>
        <v>0.29370000000000002</v>
      </c>
      <c r="F20" s="628">
        <f>'a18'!S32</f>
        <v>0.2848</v>
      </c>
      <c r="G20" s="628">
        <f>'a18'!W32</f>
        <v>0.27960000000000002</v>
      </c>
      <c r="H20" s="628">
        <f>'a18'!AA32</f>
        <v>0.31069999999999998</v>
      </c>
      <c r="I20" s="628">
        <f>'a18'!AE32</f>
        <v>0.28300000000000003</v>
      </c>
      <c r="J20" s="628">
        <f>'a18'!AI32</f>
        <v>0.32270000000000004</v>
      </c>
      <c r="K20" s="628">
        <f>'a18'!AM32</f>
        <v>0.31170000000000003</v>
      </c>
      <c r="L20" s="628">
        <f>'a18'!AQ32</f>
        <v>0.35149999999999998</v>
      </c>
    </row>
    <row r="21" spans="1:12">
      <c r="A21" s="611">
        <f t="shared" si="0"/>
        <v>1997</v>
      </c>
      <c r="B21" s="628">
        <f>'a18'!C33</f>
        <v>0.31440000000000001</v>
      </c>
      <c r="C21" s="628">
        <f>'a18'!G33</f>
        <v>0.29659999999999997</v>
      </c>
      <c r="D21" s="628">
        <f>'a18'!K33</f>
        <v>0.26090000000000002</v>
      </c>
      <c r="E21" s="628">
        <f>'a18'!O33</f>
        <v>0.30909999999999999</v>
      </c>
      <c r="F21" s="628">
        <f>'a18'!S33</f>
        <v>0.28999999999999998</v>
      </c>
      <c r="G21" s="628">
        <f>'a18'!W33</f>
        <v>0.29049999999999998</v>
      </c>
      <c r="H21" s="628">
        <f>'a18'!AA33</f>
        <v>0.32850000000000001</v>
      </c>
      <c r="I21" s="628">
        <f>'a18'!AE33</f>
        <v>0.29160000000000003</v>
      </c>
      <c r="J21" s="628">
        <f>'a18'!AI33</f>
        <v>0.2883</v>
      </c>
      <c r="K21" s="628">
        <f>'a18'!AM33</f>
        <v>0.34499999999999997</v>
      </c>
      <c r="L21" s="628">
        <f>'a18'!AQ33</f>
        <v>0.3448</v>
      </c>
    </row>
    <row r="22" spans="1:12">
      <c r="A22" s="611">
        <f t="shared" si="0"/>
        <v>1998</v>
      </c>
      <c r="B22" s="628">
        <f>'a18'!C34</f>
        <v>0.31340000000000001</v>
      </c>
      <c r="C22" s="628">
        <f>'a18'!G34</f>
        <v>0.31230000000000002</v>
      </c>
      <c r="D22" s="628">
        <f>'a18'!K34</f>
        <v>0.2238</v>
      </c>
      <c r="E22" s="628">
        <f>'a18'!O34</f>
        <v>0.3261</v>
      </c>
      <c r="F22" s="628">
        <f>'a18'!S34</f>
        <v>0.30570000000000003</v>
      </c>
      <c r="G22" s="628">
        <f>'a18'!W34</f>
        <v>0.28179999999999999</v>
      </c>
      <c r="H22" s="628">
        <f>'a18'!AA34</f>
        <v>0.31759999999999999</v>
      </c>
      <c r="I22" s="628">
        <f>'a18'!AE34</f>
        <v>0.33039999999999997</v>
      </c>
      <c r="J22" s="628">
        <f>'a18'!AI34</f>
        <v>0.30609999999999998</v>
      </c>
      <c r="K22" s="628">
        <f>'a18'!AM34</f>
        <v>0.33659999999999995</v>
      </c>
      <c r="L22" s="628">
        <f>'a18'!AQ34</f>
        <v>0.35420000000000001</v>
      </c>
    </row>
    <row r="23" spans="1:12">
      <c r="A23" s="611">
        <f t="shared" si="0"/>
        <v>1999</v>
      </c>
      <c r="B23" s="628">
        <f>'a18'!C35</f>
        <v>0.32979999999999998</v>
      </c>
      <c r="C23" s="628">
        <f>'a18'!G35</f>
        <v>0.2999</v>
      </c>
      <c r="D23" s="628">
        <f>'a18'!K35</f>
        <v>0.2505</v>
      </c>
      <c r="E23" s="628">
        <f>'a18'!O35</f>
        <v>0.30059999999999998</v>
      </c>
      <c r="F23" s="628">
        <f>'a18'!S35</f>
        <v>0.28510000000000002</v>
      </c>
      <c r="G23" s="628">
        <f>'a18'!W35</f>
        <v>0.30709999999999998</v>
      </c>
      <c r="H23" s="628">
        <f>'a18'!AA35</f>
        <v>0.35409999999999997</v>
      </c>
      <c r="I23" s="628">
        <f>'a18'!AE35</f>
        <v>0.32240000000000002</v>
      </c>
      <c r="J23" s="628">
        <f>'a18'!AI35</f>
        <v>0.2898</v>
      </c>
      <c r="K23" s="628">
        <f>'a18'!AM35</f>
        <v>0.34450000000000003</v>
      </c>
      <c r="L23" s="628">
        <f>'a18'!AQ35</f>
        <v>0.34970000000000001</v>
      </c>
    </row>
    <row r="24" spans="1:12">
      <c r="A24" s="611">
        <f t="shared" si="0"/>
        <v>2000</v>
      </c>
      <c r="B24" s="628">
        <f>'a18'!C36</f>
        <v>0.31469999999999998</v>
      </c>
      <c r="C24" s="628">
        <f>'a18'!G36</f>
        <v>0.28439999999999999</v>
      </c>
      <c r="D24" s="628">
        <f>'a18'!K36</f>
        <v>0.27339999999999998</v>
      </c>
      <c r="E24" s="628">
        <f>'a18'!O36</f>
        <v>0.28820000000000001</v>
      </c>
      <c r="F24" s="628">
        <f>'a18'!S36</f>
        <v>0.2898</v>
      </c>
      <c r="G24" s="628">
        <f>'a18'!W36</f>
        <v>0.29449999999999998</v>
      </c>
      <c r="H24" s="628">
        <f>'a18'!AA36</f>
        <v>0.32020000000000004</v>
      </c>
      <c r="I24" s="628">
        <f>'a18'!AE36</f>
        <v>0.32590000000000002</v>
      </c>
      <c r="J24" s="628">
        <f>'a18'!AI36</f>
        <v>0.30820000000000003</v>
      </c>
      <c r="K24" s="628">
        <f>'a18'!AM36</f>
        <v>0.33840000000000003</v>
      </c>
      <c r="L24" s="628">
        <f>'a18'!AQ36</f>
        <v>0.3458</v>
      </c>
    </row>
    <row r="25" spans="1:12">
      <c r="A25" s="611">
        <f t="shared" si="0"/>
        <v>2001</v>
      </c>
      <c r="B25" s="628">
        <f>'a18'!C37</f>
        <v>0.31609999999999999</v>
      </c>
      <c r="C25" s="628">
        <f>'a18'!G37</f>
        <v>0.27279999999999999</v>
      </c>
      <c r="D25" s="628">
        <f>'a18'!K37</f>
        <v>0.24789999999999998</v>
      </c>
      <c r="E25" s="628">
        <f>'a18'!O37</f>
        <v>0.2762</v>
      </c>
      <c r="F25" s="628">
        <f>'a18'!S37</f>
        <v>0.28360000000000002</v>
      </c>
      <c r="G25" s="628">
        <f>'a18'!W37</f>
        <v>0.29089999999999999</v>
      </c>
      <c r="H25" s="628">
        <f>'a18'!AA37</f>
        <v>0.3251</v>
      </c>
      <c r="I25" s="628">
        <f>'a18'!AE37</f>
        <v>0.3039</v>
      </c>
      <c r="J25" s="628">
        <f>'a18'!AI37</f>
        <v>0.28999999999999998</v>
      </c>
      <c r="K25" s="628">
        <f>'a18'!AM37</f>
        <v>0.34899999999999998</v>
      </c>
      <c r="L25" s="628">
        <f>'a18'!AQ37</f>
        <v>0.36119999999999997</v>
      </c>
    </row>
    <row r="26" spans="1:12">
      <c r="A26" s="611">
        <f t="shared" si="0"/>
        <v>2002</v>
      </c>
      <c r="B26" s="628">
        <f>'a18'!C38</f>
        <v>0.31559999999999999</v>
      </c>
      <c r="C26" s="628">
        <f>'a18'!G38</f>
        <v>0.27789999999999998</v>
      </c>
      <c r="D26" s="628">
        <f>'a18'!K38</f>
        <v>0.2402</v>
      </c>
      <c r="E26" s="628">
        <f>'a18'!O38</f>
        <v>0.28170000000000001</v>
      </c>
      <c r="F26" s="628">
        <f>'a18'!S38</f>
        <v>0.29070000000000001</v>
      </c>
      <c r="G26" s="628">
        <f>'a18'!W38</f>
        <v>0.30709999999999998</v>
      </c>
      <c r="H26" s="628">
        <f>'a18'!AA38</f>
        <v>0.32189999999999996</v>
      </c>
      <c r="I26" s="628">
        <f>'a18'!AE38</f>
        <v>0.31709999999999999</v>
      </c>
      <c r="J26" s="628">
        <f>'a18'!AI38</f>
        <v>0.27100000000000002</v>
      </c>
      <c r="K26" s="628">
        <f>'a18'!AM38</f>
        <v>0.35539999999999999</v>
      </c>
      <c r="L26" s="628">
        <f>'a18'!AQ38</f>
        <v>0.33159999999999995</v>
      </c>
    </row>
    <row r="27" spans="1:12">
      <c r="A27" s="611">
        <f t="shared" si="0"/>
        <v>2003</v>
      </c>
      <c r="B27" s="628">
        <f>'a18'!C39</f>
        <v>0.30890000000000001</v>
      </c>
      <c r="C27" s="628">
        <f>'a18'!G39</f>
        <v>0.30370000000000003</v>
      </c>
      <c r="D27" s="628">
        <f>'a18'!K39</f>
        <v>0.25869999999999999</v>
      </c>
      <c r="E27" s="628">
        <f>'a18'!O39</f>
        <v>0.29510000000000003</v>
      </c>
      <c r="F27" s="628">
        <f>'a18'!S39</f>
        <v>0.30309999999999998</v>
      </c>
      <c r="G27" s="628">
        <f>'a18'!W39</f>
        <v>0.28539999999999999</v>
      </c>
      <c r="H27" s="628">
        <f>'a18'!AA39</f>
        <v>0.30930000000000002</v>
      </c>
      <c r="I27" s="628">
        <f>'a18'!AE39</f>
        <v>0.30070000000000002</v>
      </c>
      <c r="J27" s="628">
        <f>'a18'!AI39</f>
        <v>0.27460000000000001</v>
      </c>
      <c r="K27" s="628">
        <f>'a18'!AM39</f>
        <v>0.3372</v>
      </c>
      <c r="L27" s="628">
        <f>'a18'!AQ39</f>
        <v>0.34740000000000004</v>
      </c>
    </row>
    <row r="28" spans="1:12">
      <c r="A28" s="611">
        <f t="shared" si="0"/>
        <v>2004</v>
      </c>
      <c r="B28" s="628">
        <f>'a18'!C40</f>
        <v>0.31319999999999998</v>
      </c>
      <c r="C28" s="628">
        <f>'a18'!G40</f>
        <v>0.28749999999999998</v>
      </c>
      <c r="D28" s="628">
        <f>'a18'!K40</f>
        <v>0.24390000000000001</v>
      </c>
      <c r="E28" s="628">
        <f>'a18'!O40</f>
        <v>0.31</v>
      </c>
      <c r="F28" s="628">
        <f>'a18'!S40</f>
        <v>0.2747</v>
      </c>
      <c r="G28" s="628">
        <f>'a18'!W40</f>
        <v>0.2843</v>
      </c>
      <c r="H28" s="628">
        <f>'a18'!AA40</f>
        <v>0.32090000000000002</v>
      </c>
      <c r="I28" s="628">
        <f>'a18'!AE40</f>
        <v>0.29799999999999999</v>
      </c>
      <c r="J28" s="628">
        <f>'a18'!AI40</f>
        <v>0.29969999999999997</v>
      </c>
      <c r="K28" s="628">
        <f>'a18'!AM40</f>
        <v>0.33799999999999997</v>
      </c>
      <c r="L28" s="628">
        <f>'a18'!AQ40</f>
        <v>0.34700000000000003</v>
      </c>
    </row>
    <row r="29" spans="1:12">
      <c r="A29" s="611">
        <f t="shared" si="0"/>
        <v>2005</v>
      </c>
      <c r="B29" s="628">
        <f>'a18'!C41</f>
        <v>0.31769999999999998</v>
      </c>
      <c r="C29" s="628">
        <f>'a18'!G41</f>
        <v>0.27649999999999997</v>
      </c>
      <c r="D29" s="628">
        <f>'a18'!K41</f>
        <v>0.22719999999999999</v>
      </c>
      <c r="E29" s="628">
        <f>'a18'!O41</f>
        <v>0.28649999999999998</v>
      </c>
      <c r="F29" s="628">
        <f>'a18'!S41</f>
        <v>0.2959</v>
      </c>
      <c r="G29" s="628">
        <f>'a18'!W41</f>
        <v>0.29570000000000002</v>
      </c>
      <c r="H29" s="628">
        <f>'a18'!AA41</f>
        <v>0.32319999999999999</v>
      </c>
      <c r="I29" s="628">
        <f>'a18'!AE41</f>
        <v>0.311</v>
      </c>
      <c r="J29" s="628">
        <f>'a18'!AI41</f>
        <v>0.34799999999999998</v>
      </c>
      <c r="K29" s="628">
        <f>'a18'!AM41</f>
        <v>0.33939999999999998</v>
      </c>
      <c r="L29" s="628">
        <f>'a18'!AQ41</f>
        <v>0.34619999999999995</v>
      </c>
    </row>
    <row r="30" spans="1:12">
      <c r="A30" s="611">
        <f t="shared" si="0"/>
        <v>2006</v>
      </c>
      <c r="B30" s="628">
        <f>'a18'!C42</f>
        <v>0.30260000000000004</v>
      </c>
      <c r="C30" s="628">
        <f>'a18'!G42</f>
        <v>0.26519999999999999</v>
      </c>
      <c r="D30" s="628">
        <f>'a18'!K42</f>
        <v>0.25619999999999998</v>
      </c>
      <c r="E30" s="628">
        <f>'a18'!O42</f>
        <v>0.28910000000000002</v>
      </c>
      <c r="F30" s="628">
        <f>'a18'!S42</f>
        <v>0.27829999999999999</v>
      </c>
      <c r="G30" s="628">
        <f>'a18'!W42</f>
        <v>0.26879999999999998</v>
      </c>
      <c r="H30" s="628">
        <f>'a18'!AA42</f>
        <v>0.31280000000000002</v>
      </c>
      <c r="I30" s="628">
        <f>'a18'!AE42</f>
        <v>0.29859999999999998</v>
      </c>
      <c r="J30" s="628">
        <f>'a18'!AI42</f>
        <v>0.35240000000000005</v>
      </c>
      <c r="K30" s="628">
        <f>'a18'!AM42</f>
        <v>0.313</v>
      </c>
      <c r="L30" s="628">
        <f>'a18'!AQ42</f>
        <v>0.33560000000000001</v>
      </c>
    </row>
    <row r="31" spans="1:12">
      <c r="A31" s="611">
        <f t="shared" si="0"/>
        <v>2007</v>
      </c>
      <c r="B31" s="628">
        <f>'a18'!C43</f>
        <v>0.2964</v>
      </c>
      <c r="C31" s="628">
        <f>'a18'!G43</f>
        <v>0.2596</v>
      </c>
      <c r="D31" s="628">
        <f>'a18'!K43</f>
        <v>0.23089999999999999</v>
      </c>
      <c r="E31" s="628">
        <f>'a18'!O43</f>
        <v>0.29530000000000001</v>
      </c>
      <c r="F31" s="628">
        <f>'a18'!S43</f>
        <v>0.28600000000000003</v>
      </c>
      <c r="G31" s="628">
        <f>'a18'!W43</f>
        <v>0.27100000000000002</v>
      </c>
      <c r="H31" s="628">
        <f>'a18'!AA43</f>
        <v>0.30399999999999999</v>
      </c>
      <c r="I31" s="628">
        <f>'a18'!AE43</f>
        <v>0.29430000000000001</v>
      </c>
      <c r="J31" s="628">
        <f>'a18'!AI43</f>
        <v>0.32250000000000001</v>
      </c>
      <c r="K31" s="628">
        <f>'a18'!AM43</f>
        <v>0.32150000000000001</v>
      </c>
      <c r="L31" s="628">
        <f>'a18'!AQ43</f>
        <v>0.3196</v>
      </c>
    </row>
    <row r="32" spans="1:12">
      <c r="A32" s="611">
        <f t="shared" si="0"/>
        <v>2008</v>
      </c>
      <c r="B32" s="628">
        <f>'a18'!C44</f>
        <v>0.30269999999999997</v>
      </c>
      <c r="C32" s="628">
        <f>'a18'!G44</f>
        <v>0.27440000000000003</v>
      </c>
      <c r="D32" s="628">
        <f>'a18'!K44</f>
        <v>0.27629999999999999</v>
      </c>
      <c r="E32" s="628">
        <f>'a18'!O44</f>
        <v>0.28289999999999998</v>
      </c>
      <c r="F32" s="628">
        <f>'a18'!S44</f>
        <v>0.29239999999999999</v>
      </c>
      <c r="G32" s="628">
        <f>'a18'!W44</f>
        <v>0.28029999999999999</v>
      </c>
      <c r="H32" s="628">
        <f>'a18'!AA44</f>
        <v>0.30449999999999999</v>
      </c>
      <c r="I32" s="628">
        <f>'a18'!AE44</f>
        <v>0.28190000000000004</v>
      </c>
      <c r="J32" s="628">
        <f>'a18'!AI44</f>
        <v>0.2762</v>
      </c>
      <c r="K32" s="628">
        <f>'a18'!AM44</f>
        <v>0.31489999999999996</v>
      </c>
      <c r="L32" s="628">
        <f>'a18'!AQ44</f>
        <v>0.35960000000000003</v>
      </c>
    </row>
    <row r="33" spans="1:12">
      <c r="A33" s="611">
        <f t="shared" si="0"/>
        <v>2009</v>
      </c>
      <c r="B33" s="628">
        <f>'a18'!C45</f>
        <v>0.30790000000000001</v>
      </c>
      <c r="C33" s="628">
        <f>'a18'!G45</f>
        <v>0.29370000000000002</v>
      </c>
      <c r="D33" s="628">
        <f>'a18'!K45</f>
        <v>0.2268</v>
      </c>
      <c r="E33" s="628">
        <f>'a18'!O45</f>
        <v>0.28089999999999998</v>
      </c>
      <c r="F33" s="628">
        <f>'a18'!S45</f>
        <v>0.30269999999999997</v>
      </c>
      <c r="G33" s="628">
        <f>'a18'!W45</f>
        <v>0.28179999999999999</v>
      </c>
      <c r="H33" s="628">
        <f>'a18'!AA45</f>
        <v>0.30159999999999998</v>
      </c>
      <c r="I33" s="628">
        <f>'a18'!AE45</f>
        <v>0.26140000000000002</v>
      </c>
      <c r="J33" s="628">
        <f>'a18'!AI45</f>
        <v>0.34029999999999999</v>
      </c>
      <c r="K33" s="628">
        <f>'a18'!AM45</f>
        <v>0.37840000000000001</v>
      </c>
      <c r="L33" s="628">
        <f>'a18'!AQ45</f>
        <v>0.34860000000000002</v>
      </c>
    </row>
    <row r="34" spans="1:12">
      <c r="A34" s="611">
        <f t="shared" si="0"/>
        <v>2010</v>
      </c>
      <c r="B34" s="628">
        <f>'a18'!C46</f>
        <v>0.30790000000000001</v>
      </c>
      <c r="C34" s="628">
        <f>'a18'!G46</f>
        <v>0.29370000000000002</v>
      </c>
      <c r="D34" s="628">
        <f>'a18'!K46</f>
        <v>0.2268</v>
      </c>
      <c r="E34" s="628">
        <f>'a18'!O46</f>
        <v>0.28089999999999998</v>
      </c>
      <c r="F34" s="628">
        <f>'a18'!S46</f>
        <v>0.30269999999999997</v>
      </c>
      <c r="G34" s="628">
        <f>'a18'!W46</f>
        <v>0.28179999999999999</v>
      </c>
      <c r="H34" s="628">
        <f>'a18'!AA46</f>
        <v>0.30159999999999998</v>
      </c>
      <c r="I34" s="628">
        <f>'a18'!AE46</f>
        <v>0.26140000000000002</v>
      </c>
      <c r="J34" s="628">
        <f>'a18'!AI46</f>
        <v>0.34029999999999999</v>
      </c>
      <c r="K34" s="628">
        <f>'a18'!AM46</f>
        <v>0.37840000000000001</v>
      </c>
      <c r="L34" s="628">
        <f>'a18'!AQ46</f>
        <v>0.34860000000000002</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1.6841476858941995E-2</v>
      </c>
      <c r="C36" s="617">
        <f t="shared" si="1"/>
        <v>3.303743099691836E-2</v>
      </c>
      <c r="D36" s="617">
        <f t="shared" si="1"/>
        <v>-0.53791247770990092</v>
      </c>
      <c r="E36" s="617">
        <f t="shared" si="1"/>
        <v>-0.18387804875535929</v>
      </c>
      <c r="F36" s="617">
        <f t="shared" si="1"/>
        <v>5.5133663049033999E-2</v>
      </c>
      <c r="G36" s="617">
        <f t="shared" si="1"/>
        <v>-9.5293550660546789E-2</v>
      </c>
      <c r="H36" s="617">
        <f t="shared" si="1"/>
        <v>1.1452927573296634E-2</v>
      </c>
      <c r="I36" s="617">
        <f t="shared" si="1"/>
        <v>-0.84259748734725193</v>
      </c>
      <c r="J36" s="617">
        <f t="shared" si="1"/>
        <v>7.7914470264195401E-2</v>
      </c>
      <c r="K36" s="617">
        <f t="shared" si="1"/>
        <v>0.21938649812394129</v>
      </c>
      <c r="L36" s="617">
        <f t="shared" si="1"/>
        <v>0.15695887199147496</v>
      </c>
    </row>
    <row r="37" spans="1:12">
      <c r="A37" s="611" t="s">
        <v>1472</v>
      </c>
      <c r="B37" s="617">
        <f t="shared" ref="B37:L37" si="2">100*(POWER(B13/B5, 1/8)-1)</f>
        <v>-0.77976448234329254</v>
      </c>
      <c r="C37" s="617">
        <f t="shared" si="2"/>
        <v>-0.26893236746496907</v>
      </c>
      <c r="D37" s="617">
        <f t="shared" si="2"/>
        <v>-2.028389572396061</v>
      </c>
      <c r="E37" s="617">
        <f t="shared" si="2"/>
        <v>-1.9360528654884024</v>
      </c>
      <c r="F37" s="617">
        <f t="shared" si="2"/>
        <v>-0.21561817971765818</v>
      </c>
      <c r="G37" s="617">
        <f t="shared" si="2"/>
        <v>-0.10393268740630512</v>
      </c>
      <c r="H37" s="617">
        <f t="shared" si="2"/>
        <v>-1.1650088659766356</v>
      </c>
      <c r="I37" s="617">
        <f t="shared" si="2"/>
        <v>-2.896140738829267</v>
      </c>
      <c r="J37" s="617">
        <f t="shared" si="2"/>
        <v>-0.91148142124911624</v>
      </c>
      <c r="K37" s="617">
        <f t="shared" si="2"/>
        <v>-0.9309283556207304</v>
      </c>
      <c r="L37" s="617">
        <f t="shared" si="2"/>
        <v>-1.3780880229363301</v>
      </c>
    </row>
    <row r="38" spans="1:12">
      <c r="A38" s="611" t="s">
        <v>1473</v>
      </c>
      <c r="B38" s="617">
        <f t="shared" ref="B38:L38" si="3">100*(POWER(B24/B13, 1/11)-1)</f>
        <v>0.81561736083308745</v>
      </c>
      <c r="C38" s="617">
        <f t="shared" si="3"/>
        <v>-9.5840530176194427E-3</v>
      </c>
      <c r="D38" s="617">
        <f t="shared" si="3"/>
        <v>1.7828997486824205</v>
      </c>
      <c r="E38" s="617">
        <f t="shared" si="3"/>
        <v>1.1767371268069038</v>
      </c>
      <c r="F38" s="617">
        <f t="shared" si="3"/>
        <v>-9.3581205458226346E-2</v>
      </c>
      <c r="G38" s="617">
        <f t="shared" si="3"/>
        <v>0.22527187581637964</v>
      </c>
      <c r="H38" s="617">
        <f t="shared" si="3"/>
        <v>1.4367063225575682</v>
      </c>
      <c r="I38" s="617">
        <f t="shared" si="3"/>
        <v>1.9298654286362682</v>
      </c>
      <c r="J38" s="617">
        <f t="shared" si="3"/>
        <v>-2.9444698990577223E-2</v>
      </c>
      <c r="K38" s="617">
        <f t="shared" si="3"/>
        <v>0.24258716575218386</v>
      </c>
      <c r="L38" s="617">
        <f t="shared" si="3"/>
        <v>1.3585231245380136</v>
      </c>
    </row>
    <row r="39" spans="1:12">
      <c r="A39" s="611" t="s">
        <v>1474</v>
      </c>
      <c r="B39" s="617">
        <f t="shared" ref="B39:L39" si="4">100*(POWER(B32/B24, 1/8)-1)</f>
        <v>-0.48479092756533726</v>
      </c>
      <c r="C39" s="617">
        <f t="shared" si="4"/>
        <v>-0.44643552671354003</v>
      </c>
      <c r="D39" s="617">
        <f t="shared" si="4"/>
        <v>0.13197836037992516</v>
      </c>
      <c r="E39" s="617">
        <f t="shared" si="4"/>
        <v>-0.23174611880947271</v>
      </c>
      <c r="F39" s="617">
        <f t="shared" si="4"/>
        <v>0.11170857246141086</v>
      </c>
      <c r="G39" s="617">
        <f t="shared" si="4"/>
        <v>-0.61582777119479903</v>
      </c>
      <c r="H39" s="617">
        <f t="shared" si="4"/>
        <v>-0.62646340167170633</v>
      </c>
      <c r="I39" s="617">
        <f t="shared" si="4"/>
        <v>-1.7966417812475766</v>
      </c>
      <c r="J39" s="617">
        <f t="shared" si="4"/>
        <v>-1.3609502050830113</v>
      </c>
      <c r="K39" s="617">
        <f t="shared" si="4"/>
        <v>-0.89563383539803532</v>
      </c>
      <c r="L39" s="617">
        <f t="shared" si="4"/>
        <v>0.49034489189461183</v>
      </c>
    </row>
    <row r="40" spans="1:12">
      <c r="A40" s="611" t="s">
        <v>1500</v>
      </c>
      <c r="B40" s="611"/>
      <c r="C40" s="611"/>
      <c r="D40" s="611"/>
      <c r="E40" s="611"/>
      <c r="F40" s="611"/>
      <c r="G40" s="611"/>
      <c r="H40" s="611"/>
      <c r="I40" s="611"/>
      <c r="J40" s="611"/>
      <c r="K40" s="611"/>
      <c r="L40" s="611"/>
    </row>
    <row r="41" spans="1:12">
      <c r="A41" s="611" t="s">
        <v>1498</v>
      </c>
      <c r="B41" s="616">
        <f>100*(B34-B5)/B5</f>
        <v>0.48955613577023543</v>
      </c>
      <c r="C41" s="616">
        <f t="shared" ref="C41:L41" si="5">100*(C34-C5)/C5</f>
        <v>0.96253007906497934</v>
      </c>
      <c r="D41" s="616">
        <f t="shared" si="5"/>
        <v>-14.47963800904977</v>
      </c>
      <c r="E41" s="616">
        <f t="shared" si="5"/>
        <v>-5.1974350320621072</v>
      </c>
      <c r="F41" s="616">
        <f t="shared" si="5"/>
        <v>1.611278952668671</v>
      </c>
      <c r="G41" s="616">
        <f t="shared" si="5"/>
        <v>-2.7269589230238238</v>
      </c>
      <c r="H41" s="616">
        <f t="shared" si="5"/>
        <v>0.33266799733865632</v>
      </c>
      <c r="I41" s="616">
        <f t="shared" si="5"/>
        <v>-21.759952110146646</v>
      </c>
      <c r="J41" s="616">
        <f>100*(J34-J5)/J5</f>
        <v>2.2843402464682714</v>
      </c>
      <c r="K41" s="616">
        <f t="shared" si="5"/>
        <v>6.5615319628273854</v>
      </c>
      <c r="L41" s="616">
        <f t="shared" si="5"/>
        <v>4.6532572800960716</v>
      </c>
    </row>
    <row r="42" spans="1:12">
      <c r="A42" s="611" t="s">
        <v>1472</v>
      </c>
      <c r="B42" s="616">
        <f>100*(B13-B5)/B5</f>
        <v>-6.0704960835509159</v>
      </c>
      <c r="C42" s="616">
        <f t="shared" ref="C42:L42" si="6">100*(C13-C5)/C5</f>
        <v>-2.131316603643858</v>
      </c>
      <c r="D42" s="616">
        <f t="shared" si="6"/>
        <v>-15.120663650075404</v>
      </c>
      <c r="E42" s="616">
        <f t="shared" si="6"/>
        <v>-14.478569017887272</v>
      </c>
      <c r="F42" s="616">
        <f t="shared" si="6"/>
        <v>-1.7119838872104711</v>
      </c>
      <c r="G42" s="616">
        <f t="shared" si="6"/>
        <v>-0.82844321712116431</v>
      </c>
      <c r="H42" s="616">
        <f t="shared" si="6"/>
        <v>-8.9487691284098396</v>
      </c>
      <c r="I42" s="616">
        <f t="shared" si="6"/>
        <v>-20.951810835079304</v>
      </c>
      <c r="J42" s="616">
        <f t="shared" si="6"/>
        <v>-7.0634204989480072</v>
      </c>
      <c r="K42" s="616">
        <f t="shared" si="6"/>
        <v>-7.2092368346944404</v>
      </c>
      <c r="L42" s="616">
        <f t="shared" si="6"/>
        <v>-10.507355148604033</v>
      </c>
    </row>
    <row r="43" spans="1:12">
      <c r="A43" s="611" t="s">
        <v>1473</v>
      </c>
      <c r="B43" s="616">
        <f>100*(B24-B13)/B13</f>
        <v>9.3467685892981152</v>
      </c>
      <c r="C43" s="616">
        <f t="shared" ref="C43:L43" si="7">100*(C24-C13)/C13</f>
        <v>-0.10537407797682559</v>
      </c>
      <c r="D43" s="616">
        <f t="shared" si="7"/>
        <v>21.457130164371367</v>
      </c>
      <c r="E43" s="616">
        <f t="shared" si="7"/>
        <v>13.733228097868979</v>
      </c>
      <c r="F43" s="616">
        <f t="shared" si="7"/>
        <v>-1.024590163934427</v>
      </c>
      <c r="G43" s="616">
        <f t="shared" si="7"/>
        <v>2.5060911938739938</v>
      </c>
      <c r="H43" s="616">
        <f t="shared" si="7"/>
        <v>16.989404457435164</v>
      </c>
      <c r="I43" s="616">
        <f t="shared" si="7"/>
        <v>23.400227186671724</v>
      </c>
      <c r="J43" s="616">
        <f t="shared" si="7"/>
        <v>-0.32341526520051772</v>
      </c>
      <c r="K43" s="616">
        <f t="shared" si="7"/>
        <v>2.7010622154780024</v>
      </c>
      <c r="L43" s="616">
        <f t="shared" si="7"/>
        <v>16.001341831600143</v>
      </c>
    </row>
    <row r="44" spans="1:12">
      <c r="A44" s="611" t="s">
        <v>1474</v>
      </c>
      <c r="B44" s="616">
        <f>100*(B32-B24)/B24</f>
        <v>-3.8131553860819865</v>
      </c>
      <c r="C44" s="616">
        <f t="shared" ref="C44:L44" si="8">100*(C32-C24)/C24</f>
        <v>-3.5161744022503352</v>
      </c>
      <c r="D44" s="616">
        <f t="shared" si="8"/>
        <v>1.0607168983174886</v>
      </c>
      <c r="E44" s="616">
        <f t="shared" si="8"/>
        <v>-1.8390006939625352</v>
      </c>
      <c r="F44" s="616">
        <f t="shared" si="8"/>
        <v>0.8971704623878507</v>
      </c>
      <c r="G44" s="616">
        <f t="shared" si="8"/>
        <v>-4.821731748726652</v>
      </c>
      <c r="H44" s="616">
        <f t="shared" si="8"/>
        <v>-4.9031855090568532</v>
      </c>
      <c r="I44" s="616">
        <f t="shared" si="8"/>
        <v>-13.501073949064125</v>
      </c>
      <c r="J44" s="616">
        <f t="shared" si="8"/>
        <v>-10.382868267358866</v>
      </c>
      <c r="K44" s="616">
        <f t="shared" si="8"/>
        <v>-6.944444444444466</v>
      </c>
      <c r="L44" s="616">
        <f t="shared" si="8"/>
        <v>3.9907460960092638</v>
      </c>
    </row>
    <row r="46" spans="1:12">
      <c r="A46" s="611" t="s">
        <v>1548</v>
      </c>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dimension ref="A1:L46"/>
  <sheetViews>
    <sheetView workbookViewId="0">
      <selection activeCell="E9" sqref="E9"/>
    </sheetView>
  </sheetViews>
  <sheetFormatPr defaultRowHeight="12.75"/>
  <cols>
    <col min="1" max="16384" width="9" style="618"/>
  </cols>
  <sheetData>
    <row r="1" spans="1:12">
      <c r="A1" s="611" t="s">
        <v>1518</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8">
        <f>'a18'!D17</f>
        <v>6.9491520000000001E-2</v>
      </c>
      <c r="C5" s="628">
        <f>'a18'!H17</f>
        <v>0.10941039899999998</v>
      </c>
      <c r="D5" s="628">
        <f>'a18'!L17</f>
        <v>0.10525787999999998</v>
      </c>
      <c r="E5" s="628">
        <f>'a18'!P17</f>
        <v>9.0721133999999995E-2</v>
      </c>
      <c r="F5" s="628">
        <f>'a18'!T17</f>
        <v>0.115421355</v>
      </c>
      <c r="G5" s="628">
        <f>'a18'!X17</f>
        <v>7.7749685999999998E-2</v>
      </c>
      <c r="H5" s="628">
        <f>'a18'!AB17</f>
        <v>5.3404595999999999E-2</v>
      </c>
      <c r="I5" s="628">
        <f>'a18'!AF17</f>
        <v>9.1560104999999989E-2</v>
      </c>
      <c r="J5" s="628">
        <f>'a18'!AJ17</f>
        <v>0.10249488900000003</v>
      </c>
      <c r="K5" s="628">
        <f>'a18'!AN17</f>
        <v>5.8389092999999982E-2</v>
      </c>
      <c r="L5" s="628">
        <f>'a18'!AR17</f>
        <v>6.4215017999999999E-2</v>
      </c>
    </row>
    <row r="6" spans="1:12">
      <c r="A6" s="611">
        <f t="shared" ref="A6:A34" si="0">A5+1</f>
        <v>1982</v>
      </c>
      <c r="B6" s="628">
        <f>'a18'!D18</f>
        <v>6.9727391999999985E-2</v>
      </c>
      <c r="C6" s="628">
        <f>'a18'!H18</f>
        <v>0.11575645199999998</v>
      </c>
      <c r="D6" s="628">
        <f>'a18'!L18</f>
        <v>8.4945672E-2</v>
      </c>
      <c r="E6" s="628">
        <f>'a18'!P18</f>
        <v>8.9828297999999987E-2</v>
      </c>
      <c r="F6" s="628">
        <f>'a18'!T18</f>
        <v>0.11424142799999998</v>
      </c>
      <c r="G6" s="628">
        <f>'a18'!X18</f>
        <v>7.509347999999999E-2</v>
      </c>
      <c r="H6" s="628">
        <f>'a18'!AB18</f>
        <v>5.5590381000000001E-2</v>
      </c>
      <c r="I6" s="628">
        <f>'a18'!AF18</f>
        <v>8.6133915000000005E-2</v>
      </c>
      <c r="J6" s="628">
        <f>'a18'!AJ18</f>
        <v>8.408326499999999E-2</v>
      </c>
      <c r="K6" s="628">
        <f>'a18'!AN18</f>
        <v>5.4344114999999985E-2</v>
      </c>
      <c r="L6" s="628">
        <f>'a18'!AR18</f>
        <v>7.7347871999999998E-2</v>
      </c>
    </row>
    <row r="7" spans="1:12">
      <c r="A7" s="611">
        <f t="shared" si="0"/>
        <v>1983</v>
      </c>
      <c r="B7" s="628">
        <f>'a18'!D19</f>
        <v>7.1485092E-2</v>
      </c>
      <c r="C7" s="628">
        <f>'a18'!H19</f>
        <v>0.13848370199999999</v>
      </c>
      <c r="D7" s="628">
        <f>'a18'!L19</f>
        <v>6.6270203999999999E-2</v>
      </c>
      <c r="E7" s="628">
        <f>'a18'!P19</f>
        <v>8.2404000000000005E-2</v>
      </c>
      <c r="F7" s="628">
        <f>'a18'!T19</f>
        <v>0.12280860899999999</v>
      </c>
      <c r="G7" s="628">
        <f>'a18'!X19</f>
        <v>7.4377359000000004E-2</v>
      </c>
      <c r="H7" s="628">
        <f>'a18'!AB19</f>
        <v>5.9066279999999999E-2</v>
      </c>
      <c r="I7" s="628">
        <f>'a18'!AF19</f>
        <v>7.8628535999999999E-2</v>
      </c>
      <c r="J7" s="628">
        <f>'a18'!AJ19</f>
        <v>8.1729647999999988E-2</v>
      </c>
      <c r="K7" s="628">
        <f>'a18'!AN19</f>
        <v>7.4225970000000002E-2</v>
      </c>
      <c r="L7" s="628">
        <f>'a18'!AR19</f>
        <v>6.8479992000000003E-2</v>
      </c>
    </row>
    <row r="8" spans="1:12">
      <c r="A8" s="611">
        <f t="shared" si="0"/>
        <v>1984</v>
      </c>
      <c r="B8" s="628">
        <f>'a18'!D20</f>
        <v>7.6388130000000012E-2</v>
      </c>
      <c r="C8" s="628">
        <f>'a18'!H20</f>
        <v>0.12777307199999999</v>
      </c>
      <c r="D8" s="628">
        <f>'a18'!L20</f>
        <v>8.0736264000000002E-2</v>
      </c>
      <c r="E8" s="628">
        <f>'a18'!P20</f>
        <v>8.442630000000001E-2</v>
      </c>
      <c r="F8" s="628">
        <f>'a18'!T20</f>
        <v>0.10958219999999999</v>
      </c>
      <c r="G8" s="628">
        <f>'a18'!X20</f>
        <v>8.2276991999999993E-2</v>
      </c>
      <c r="H8" s="628">
        <f>'a18'!AB20</f>
        <v>5.8895423999999988E-2</v>
      </c>
      <c r="I8" s="628">
        <f>'a18'!AF20</f>
        <v>8.6270184000000014E-2</v>
      </c>
      <c r="J8" s="628">
        <f>'a18'!AJ20</f>
        <v>0.105579936</v>
      </c>
      <c r="K8" s="628">
        <f>'a18'!AN20</f>
        <v>8.5301747999999997E-2</v>
      </c>
      <c r="L8" s="628">
        <f>'a18'!AR20</f>
        <v>7.8087239999999988E-2</v>
      </c>
    </row>
    <row r="9" spans="1:12">
      <c r="A9" s="611">
        <f t="shared" si="0"/>
        <v>1985</v>
      </c>
      <c r="B9" s="628">
        <f>'a18'!D21</f>
        <v>6.9201594000000005E-2</v>
      </c>
      <c r="C9" s="628">
        <f>'a18'!H21</f>
        <v>0.12968310599999999</v>
      </c>
      <c r="D9" s="628">
        <f>'a18'!L21</f>
        <v>7.0543871999999994E-2</v>
      </c>
      <c r="E9" s="628">
        <f>'a18'!P21</f>
        <v>7.92099E-2</v>
      </c>
      <c r="F9" s="628">
        <f>'a18'!T21</f>
        <v>9.0069840000000012E-2</v>
      </c>
      <c r="G9" s="628">
        <f>'a18'!X21</f>
        <v>7.5016934999999993E-2</v>
      </c>
      <c r="H9" s="628">
        <f>'a18'!AB21</f>
        <v>5.1692255999999992E-2</v>
      </c>
      <c r="I9" s="628">
        <f>'a18'!AF21</f>
        <v>7.6431032999999995E-2</v>
      </c>
      <c r="J9" s="628">
        <f>'a18'!AJ21</f>
        <v>0.11573868600000001</v>
      </c>
      <c r="K9" s="628">
        <f>'a18'!AN21</f>
        <v>6.244559999999999E-2</v>
      </c>
      <c r="L9" s="628">
        <f>'a18'!AR21</f>
        <v>7.9993494000000012E-2</v>
      </c>
    </row>
    <row r="10" spans="1:12">
      <c r="A10" s="611">
        <f t="shared" si="0"/>
        <v>1986</v>
      </c>
      <c r="B10" s="628">
        <f>'a18'!D22</f>
        <v>6.5158127999999996E-2</v>
      </c>
      <c r="C10" s="628">
        <f>'a18'!H22</f>
        <v>0.121586157</v>
      </c>
      <c r="D10" s="628">
        <f>'a18'!L22</f>
        <v>6.2732880000000005E-2</v>
      </c>
      <c r="E10" s="628">
        <f>'a18'!P22</f>
        <v>8.2568429999999984E-2</v>
      </c>
      <c r="F10" s="628">
        <f>'a18'!T22</f>
        <v>8.5315734000000004E-2</v>
      </c>
      <c r="G10" s="628">
        <f>'a18'!X22</f>
        <v>7.3976111999999997E-2</v>
      </c>
      <c r="H10" s="628">
        <f>'a18'!AB22</f>
        <v>4.6447505999999986E-2</v>
      </c>
      <c r="I10" s="628">
        <f>'a18'!AF22</f>
        <v>7.7893514999999983E-2</v>
      </c>
      <c r="J10" s="628">
        <f>'a18'!AJ22</f>
        <v>0.121202487</v>
      </c>
      <c r="K10" s="628">
        <f>'a18'!AN22</f>
        <v>6.1217100000000003E-2</v>
      </c>
      <c r="L10" s="628">
        <f>'a18'!AR22</f>
        <v>6.6338999999999995E-2</v>
      </c>
    </row>
    <row r="11" spans="1:12">
      <c r="A11" s="611">
        <f t="shared" si="0"/>
        <v>1987</v>
      </c>
      <c r="B11" s="628">
        <f>'a18'!D23</f>
        <v>6.2814149999999985E-2</v>
      </c>
      <c r="C11" s="628">
        <f>'a18'!H23</f>
        <v>0.11908511999999999</v>
      </c>
      <c r="D11" s="628">
        <f>'a18'!L23</f>
        <v>6.7473000000000005E-2</v>
      </c>
      <c r="E11" s="628">
        <f>'a18'!P23</f>
        <v>7.7672196000000013E-2</v>
      </c>
      <c r="F11" s="628">
        <f>'a18'!T23</f>
        <v>9.1382255999999995E-2</v>
      </c>
      <c r="G11" s="628">
        <f>'a18'!X23</f>
        <v>7.5016934999999993E-2</v>
      </c>
      <c r="H11" s="628">
        <f>'a18'!AB23</f>
        <v>3.9762198000000006E-2</v>
      </c>
      <c r="I11" s="628">
        <f>'a18'!AF23</f>
        <v>7.1514764999999994E-2</v>
      </c>
      <c r="J11" s="628">
        <f>'a18'!AJ23</f>
        <v>8.9854757999999993E-2</v>
      </c>
      <c r="K11" s="628">
        <f>'a18'!AN23</f>
        <v>7.2930375000000006E-2</v>
      </c>
      <c r="L11" s="628">
        <f>'a18'!AR23</f>
        <v>6.6504564000000002E-2</v>
      </c>
    </row>
    <row r="12" spans="1:12">
      <c r="A12" s="611">
        <f t="shared" si="0"/>
        <v>1988</v>
      </c>
      <c r="B12" s="628">
        <f>'a18'!D24</f>
        <v>5.9202737999999998E-2</v>
      </c>
      <c r="C12" s="628">
        <f>'a18'!H24</f>
        <v>0.10155480299999999</v>
      </c>
      <c r="D12" s="628">
        <f>'a18'!L24</f>
        <v>6.4731743999999994E-2</v>
      </c>
      <c r="E12" s="628">
        <f>'a18'!P24</f>
        <v>6.9882749999999993E-2</v>
      </c>
      <c r="F12" s="628">
        <f>'a18'!T24</f>
        <v>8.2105191000000008E-2</v>
      </c>
      <c r="G12" s="628">
        <f>'a18'!X24</f>
        <v>6.9315560999999998E-2</v>
      </c>
      <c r="H12" s="628">
        <f>'a18'!AB24</f>
        <v>4.1305949999999994E-2</v>
      </c>
      <c r="I12" s="628">
        <f>'a18'!AF24</f>
        <v>7.1112572999999998E-2</v>
      </c>
      <c r="J12" s="628">
        <f>'a18'!AJ24</f>
        <v>0.10251964800000002</v>
      </c>
      <c r="K12" s="628">
        <f>'a18'!AN24</f>
        <v>6.1111826999999994E-2</v>
      </c>
      <c r="L12" s="628">
        <f>'a18'!AR24</f>
        <v>5.454067499999999E-2</v>
      </c>
    </row>
    <row r="13" spans="1:12">
      <c r="A13" s="611">
        <f t="shared" si="0"/>
        <v>1989</v>
      </c>
      <c r="B13" s="628">
        <f>'a18'!D25</f>
        <v>5.7113909999999997E-2</v>
      </c>
      <c r="C13" s="628">
        <f>'a18'!H25</f>
        <v>8.9859860999999985E-2</v>
      </c>
      <c r="D13" s="628">
        <f>'a18'!L25</f>
        <v>6.3815850000000007E-2</v>
      </c>
      <c r="E13" s="628">
        <f>'a18'!P25</f>
        <v>7.0402121999999998E-2</v>
      </c>
      <c r="F13" s="628">
        <f>'a18'!T25</f>
        <v>7.9688448000000009E-2</v>
      </c>
      <c r="G13" s="628">
        <f>'a18'!X25</f>
        <v>6.5702636999999994E-2</v>
      </c>
      <c r="H13" s="628">
        <f>'a18'!AB25</f>
        <v>3.6727802999999996E-2</v>
      </c>
      <c r="I13" s="628">
        <f>'a18'!AF25</f>
        <v>6.9880860000000003E-2</v>
      </c>
      <c r="J13" s="628">
        <f>'a18'!AJ25</f>
        <v>0.10226790000000001</v>
      </c>
      <c r="K13" s="628">
        <f>'a18'!AN25</f>
        <v>7.4730600000000008E-2</v>
      </c>
      <c r="L13" s="628">
        <f>'a18'!AR25</f>
        <v>5.7467717999999994E-2</v>
      </c>
    </row>
    <row r="14" spans="1:12">
      <c r="A14" s="611">
        <f t="shared" si="0"/>
        <v>1990</v>
      </c>
      <c r="B14" s="628">
        <f>'a18'!D26</f>
        <v>6.5565044999999988E-2</v>
      </c>
      <c r="C14" s="628">
        <f>'a18'!H26</f>
        <v>0.10542684599999999</v>
      </c>
      <c r="D14" s="628">
        <f>'a18'!L26</f>
        <v>5.8129784999999996E-2</v>
      </c>
      <c r="E14" s="628">
        <f>'a18'!P26</f>
        <v>6.873249599999999E-2</v>
      </c>
      <c r="F14" s="628">
        <f>'a18'!T26</f>
        <v>8.0918271E-2</v>
      </c>
      <c r="G14" s="628">
        <f>'a18'!X26</f>
        <v>7.09317E-2</v>
      </c>
      <c r="H14" s="628">
        <f>'a18'!AB26</f>
        <v>4.7500236000000001E-2</v>
      </c>
      <c r="I14" s="628">
        <f>'a18'!AF26</f>
        <v>8.2846259999999991E-2</v>
      </c>
      <c r="J14" s="628">
        <f>'a18'!AJ26</f>
        <v>0.12127090500000001</v>
      </c>
      <c r="K14" s="628">
        <f>'a18'!AN26</f>
        <v>6.5054934000000009E-2</v>
      </c>
      <c r="L14" s="628">
        <f>'a18'!AR26</f>
        <v>7.6635720000000004E-2</v>
      </c>
    </row>
    <row r="15" spans="1:12">
      <c r="A15" s="611">
        <f t="shared" si="0"/>
        <v>1991</v>
      </c>
      <c r="B15" s="628">
        <f>'a18'!D27</f>
        <v>6.4357335000000002E-2</v>
      </c>
      <c r="C15" s="628">
        <f>'a18'!H27</f>
        <v>0.10395264599999997</v>
      </c>
      <c r="D15" s="628">
        <f>'a18'!L27</f>
        <v>6.5503241999999989E-2</v>
      </c>
      <c r="E15" s="628">
        <f>'a18'!P27</f>
        <v>7.2873108000000006E-2</v>
      </c>
      <c r="F15" s="628">
        <f>'a18'!T27</f>
        <v>8.0582039999999994E-2</v>
      </c>
      <c r="G15" s="628">
        <f>'a18'!X27</f>
        <v>7.4478285000000005E-2</v>
      </c>
      <c r="H15" s="628">
        <f>'a18'!AB27</f>
        <v>4.9230341999999989E-2</v>
      </c>
      <c r="I15" s="628">
        <f>'a18'!AF27</f>
        <v>7.9719065999999991E-2</v>
      </c>
      <c r="J15" s="628">
        <f>'a18'!AJ27</f>
        <v>0.11162982599999999</v>
      </c>
      <c r="K15" s="628">
        <f>'a18'!AN27</f>
        <v>6.3638189999999997E-2</v>
      </c>
      <c r="L15" s="628">
        <f>'a18'!AR27</f>
        <v>5.7820580999999996E-2</v>
      </c>
    </row>
    <row r="16" spans="1:12">
      <c r="A16" s="611">
        <f t="shared" si="0"/>
        <v>1992</v>
      </c>
      <c r="B16" s="628">
        <f>'a18'!D28</f>
        <v>6.5991618000000002E-2</v>
      </c>
      <c r="C16" s="628">
        <f>'a18'!H28</f>
        <v>0.11944951200000001</v>
      </c>
      <c r="D16" s="628">
        <f>'a18'!L28</f>
        <v>6.0213698999999989E-2</v>
      </c>
      <c r="E16" s="628">
        <f>'a18'!P28</f>
        <v>6.8552567999999994E-2</v>
      </c>
      <c r="F16" s="628">
        <f>'a18'!T28</f>
        <v>7.7501340000000002E-2</v>
      </c>
      <c r="G16" s="628">
        <f>'a18'!X28</f>
        <v>6.8658785999999999E-2</v>
      </c>
      <c r="H16" s="628">
        <f>'a18'!AB28</f>
        <v>5.2833059999999994E-2</v>
      </c>
      <c r="I16" s="628">
        <f>'a18'!AF28</f>
        <v>8.1293057999999987E-2</v>
      </c>
      <c r="J16" s="628">
        <f>'a18'!AJ28</f>
        <v>0.105716016</v>
      </c>
      <c r="K16" s="628">
        <f>'a18'!AN28</f>
        <v>8.0734373999999998E-2</v>
      </c>
      <c r="L16" s="628">
        <f>'a18'!AR28</f>
        <v>6.4048886999999999E-2</v>
      </c>
    </row>
    <row r="17" spans="1:12">
      <c r="A17" s="611">
        <f t="shared" si="0"/>
        <v>1993</v>
      </c>
      <c r="B17" s="628">
        <f>'a18'!D29</f>
        <v>6.3582056999999997E-2</v>
      </c>
      <c r="C17" s="628">
        <f>'a18'!H29</f>
        <v>0.10062322199999998</v>
      </c>
      <c r="D17" s="628">
        <f>'a18'!L29</f>
        <v>4.5825317999999997E-2</v>
      </c>
      <c r="E17" s="628">
        <f>'a18'!P29</f>
        <v>7.428871799999999E-2</v>
      </c>
      <c r="F17" s="628">
        <f>'a18'!T29</f>
        <v>8.0850419999999992E-2</v>
      </c>
      <c r="G17" s="628">
        <f>'a18'!X29</f>
        <v>7.754046299999999E-2</v>
      </c>
      <c r="H17" s="628">
        <f>'a18'!AB29</f>
        <v>4.7090861999999997E-2</v>
      </c>
      <c r="I17" s="628">
        <f>'a18'!AF29</f>
        <v>8.0266788000000006E-2</v>
      </c>
      <c r="J17" s="628">
        <f>'a18'!AJ29</f>
        <v>9.4720751999999991E-2</v>
      </c>
      <c r="K17" s="628">
        <f>'a18'!AN29</f>
        <v>6.2318591999999985E-2</v>
      </c>
      <c r="L17" s="628">
        <f>'a18'!AR29</f>
        <v>6.2185724999999997E-2</v>
      </c>
    </row>
    <row r="18" spans="1:12">
      <c r="A18" s="611">
        <f t="shared" si="0"/>
        <v>1994</v>
      </c>
      <c r="B18" s="628">
        <f>'a18'!D30</f>
        <v>6.5813202000000001E-2</v>
      </c>
      <c r="C18" s="628">
        <f>'a18'!H30</f>
        <v>0.10182186</v>
      </c>
      <c r="D18" s="628">
        <f>'a18'!L30</f>
        <v>4.0884102000000012E-2</v>
      </c>
      <c r="E18" s="628">
        <f>'a18'!P30</f>
        <v>8.0754407999999986E-2</v>
      </c>
      <c r="F18" s="628">
        <f>'a18'!T30</f>
        <v>9.1188720000000015E-2</v>
      </c>
      <c r="G18" s="628">
        <f>'a18'!X30</f>
        <v>7.6686749999999998E-2</v>
      </c>
      <c r="H18" s="628">
        <f>'a18'!AB30</f>
        <v>5.1573186E-2</v>
      </c>
      <c r="I18" s="628">
        <f>'a18'!AF30</f>
        <v>7.8790319999999983E-2</v>
      </c>
      <c r="J18" s="628">
        <f>'a18'!AJ30</f>
        <v>9.3936023999999993E-2</v>
      </c>
      <c r="K18" s="628">
        <f>'a18'!AN30</f>
        <v>6.4564289999999996E-2</v>
      </c>
      <c r="L18" s="628">
        <f>'a18'!AR30</f>
        <v>6.4976498999999993E-2</v>
      </c>
    </row>
    <row r="19" spans="1:12">
      <c r="A19" s="611">
        <f t="shared" si="0"/>
        <v>1995</v>
      </c>
      <c r="B19" s="628">
        <f>'a18'!D31</f>
        <v>6.7760846999999999E-2</v>
      </c>
      <c r="C19" s="628">
        <f>'a18'!H31</f>
        <v>0.11144952</v>
      </c>
      <c r="D19" s="628">
        <f>'a18'!L31</f>
        <v>5.5704347999999994E-2</v>
      </c>
      <c r="E19" s="628">
        <f>'a18'!P31</f>
        <v>7.9552368000000012E-2</v>
      </c>
      <c r="F19" s="628">
        <f>'a18'!T31</f>
        <v>8.4993299999999994E-2</v>
      </c>
      <c r="G19" s="628">
        <f>'a18'!X31</f>
        <v>8.4431591999999986E-2</v>
      </c>
      <c r="H19" s="628">
        <f>'a18'!AB31</f>
        <v>5.0704920000000001E-2</v>
      </c>
      <c r="I19" s="628">
        <f>'a18'!AF31</f>
        <v>6.2842499999999996E-2</v>
      </c>
      <c r="J19" s="628">
        <f>'a18'!AJ31</f>
        <v>9.9686159999999996E-2</v>
      </c>
      <c r="K19" s="628">
        <f>'a18'!AN31</f>
        <v>6.5550869999999997E-2</v>
      </c>
      <c r="L19" s="628">
        <f>'a18'!AR31</f>
        <v>6.6509855999999992E-2</v>
      </c>
    </row>
    <row r="20" spans="1:12">
      <c r="A20" s="611">
        <f t="shared" si="0"/>
        <v>1996</v>
      </c>
      <c r="B20" s="628">
        <f>'a18'!D32</f>
        <v>7.3089134999999986E-2</v>
      </c>
      <c r="C20" s="628">
        <f>'a18'!H32</f>
        <v>0.11409287399999998</v>
      </c>
      <c r="D20" s="628">
        <f>'a18'!L32</f>
        <v>5.6780891999999999E-2</v>
      </c>
      <c r="E20" s="628">
        <f>'a18'!P32</f>
        <v>8.7149600999999993E-2</v>
      </c>
      <c r="F20" s="628">
        <f>'a18'!T32</f>
        <v>7.9664256000000003E-2</v>
      </c>
      <c r="G20" s="628">
        <f>'a18'!X32</f>
        <v>7.9266599999999993E-2</v>
      </c>
      <c r="H20" s="628">
        <f>'a18'!AB32</f>
        <v>6.4007306999999999E-2</v>
      </c>
      <c r="I20" s="628">
        <f>'a18'!AF32</f>
        <v>7.2742319999999999E-2</v>
      </c>
      <c r="J20" s="628">
        <f>'a18'!AJ32</f>
        <v>9.2095353000000005E-2</v>
      </c>
      <c r="K20" s="628">
        <f>'a18'!AN32</f>
        <v>6.7158882000000017E-2</v>
      </c>
      <c r="L20" s="628">
        <f>'a18'!AR32</f>
        <v>7.6398524999999995E-2</v>
      </c>
    </row>
    <row r="21" spans="1:12">
      <c r="A21" s="611">
        <f t="shared" si="0"/>
        <v>1997</v>
      </c>
      <c r="B21" s="628">
        <f>'a18'!D33</f>
        <v>7.5465431999999999E-2</v>
      </c>
      <c r="C21" s="628">
        <f>'a18'!H33</f>
        <v>0.105387912</v>
      </c>
      <c r="D21" s="628">
        <f>'a18'!L33</f>
        <v>5.7199715999999998E-2</v>
      </c>
      <c r="E21" s="628">
        <f>'a18'!P33</f>
        <v>9.2887640999999993E-2</v>
      </c>
      <c r="F21" s="628">
        <f>'a18'!T33</f>
        <v>8.6599799999999991E-2</v>
      </c>
      <c r="G21" s="628">
        <f>'a18'!X33</f>
        <v>8.6749110000000004E-2</v>
      </c>
      <c r="H21" s="628">
        <f>'a18'!AB33</f>
        <v>6.5190824999999994E-2</v>
      </c>
      <c r="I21" s="628">
        <f>'a18'!AF33</f>
        <v>7.6055112000000008E-2</v>
      </c>
      <c r="J21" s="628">
        <f>'a18'!AJ33</f>
        <v>7.355974500000001E-2</v>
      </c>
      <c r="K21" s="628">
        <f>'a18'!AN33</f>
        <v>6.6509099999999988E-2</v>
      </c>
      <c r="L21" s="628">
        <f>'a18'!AR33</f>
        <v>8.0807327999999998E-2</v>
      </c>
    </row>
    <row r="22" spans="1:12">
      <c r="A22" s="611">
        <f t="shared" si="0"/>
        <v>1998</v>
      </c>
      <c r="B22" s="628">
        <f>'a18'!D34</f>
        <v>7.6410054000000005E-2</v>
      </c>
      <c r="C22" s="628">
        <f>'a18'!H34</f>
        <v>0.11214692999999999</v>
      </c>
      <c r="D22" s="628">
        <f>'a18'!L34</f>
        <v>5.2026786000000005E-2</v>
      </c>
      <c r="E22" s="628">
        <f>'a18'!P34</f>
        <v>9.7996310999999989E-2</v>
      </c>
      <c r="F22" s="628">
        <f>'a18'!T34</f>
        <v>8.4354858000000005E-2</v>
      </c>
      <c r="G22" s="628">
        <f>'a18'!X34</f>
        <v>8.1488105999999991E-2</v>
      </c>
      <c r="H22" s="628">
        <f>'a18'!AB34</f>
        <v>6.3627983999999985E-2</v>
      </c>
      <c r="I22" s="628">
        <f>'a18'!AF34</f>
        <v>8.2428191999999997E-2</v>
      </c>
      <c r="J22" s="628">
        <f>'a18'!AJ34</f>
        <v>8.7357878999999986E-2</v>
      </c>
      <c r="K22" s="628">
        <f>'a18'!AN34</f>
        <v>7.1887661999999991E-2</v>
      </c>
      <c r="L22" s="628">
        <f>'a18'!AR34</f>
        <v>9.1713006E-2</v>
      </c>
    </row>
    <row r="23" spans="1:12">
      <c r="A23" s="611">
        <f t="shared" si="0"/>
        <v>1999</v>
      </c>
      <c r="B23" s="628">
        <f>'a18'!D35</f>
        <v>7.7291927999999996E-2</v>
      </c>
      <c r="C23" s="628">
        <f>'a18'!H35</f>
        <v>0.12129755399999999</v>
      </c>
      <c r="D23" s="628">
        <f>'a18'!L35</f>
        <v>7.7171534999999999E-2</v>
      </c>
      <c r="E23" s="628">
        <f>'a18'!P35</f>
        <v>8.9197037999999992E-2</v>
      </c>
      <c r="F23" s="628">
        <f>'a18'!T35</f>
        <v>8.8908435000000008E-2</v>
      </c>
      <c r="G23" s="628">
        <f>'a18'!X35</f>
        <v>7.8936983999999988E-2</v>
      </c>
      <c r="H23" s="628">
        <f>'a18'!AB35</f>
        <v>6.6924899999999982E-2</v>
      </c>
      <c r="I23" s="628">
        <f>'a18'!AF35</f>
        <v>9.2619071999999997E-2</v>
      </c>
      <c r="J23" s="628">
        <f>'a18'!AJ35</f>
        <v>8.0515133999999988E-2</v>
      </c>
      <c r="K23" s="628">
        <f>'a18'!AN35</f>
        <v>7.0970444999999993E-2</v>
      </c>
      <c r="L23" s="628">
        <f>'a18'!AR35</f>
        <v>9.6496218000000009E-2</v>
      </c>
    </row>
    <row r="24" spans="1:12">
      <c r="A24" s="611">
        <f t="shared" si="0"/>
        <v>2000</v>
      </c>
      <c r="B24" s="628">
        <f>'a18'!D36</f>
        <v>7.6132223999999984E-2</v>
      </c>
      <c r="C24" s="628">
        <f>'a18'!H36</f>
        <v>0.11502842399999999</v>
      </c>
      <c r="D24" s="628">
        <f>'a18'!L36</f>
        <v>8.1125981999999985E-2</v>
      </c>
      <c r="E24" s="628">
        <f>'a18'!P36</f>
        <v>8.6606981999999999E-2</v>
      </c>
      <c r="F24" s="628">
        <f>'a18'!T36</f>
        <v>8.1062856000000003E-2</v>
      </c>
      <c r="G24" s="628">
        <f>'a18'!X36</f>
        <v>8.3490749999999989E-2</v>
      </c>
      <c r="H24" s="628">
        <f>'a18'!AB36</f>
        <v>6.1122978000000001E-2</v>
      </c>
      <c r="I24" s="628">
        <f>'a18'!AF36</f>
        <v>8.8696944E-2</v>
      </c>
      <c r="J24" s="628">
        <f>'a18'!AJ36</f>
        <v>9.7859664000000013E-2</v>
      </c>
      <c r="K24" s="628">
        <f>'a18'!AN36</f>
        <v>6.5876328000000012E-2</v>
      </c>
      <c r="L24" s="628">
        <f>'a18'!AR36</f>
        <v>9.7380738000000008E-2</v>
      </c>
    </row>
    <row r="25" spans="1:12">
      <c r="A25" s="611">
        <f t="shared" si="0"/>
        <v>2001</v>
      </c>
      <c r="B25" s="628">
        <f>'a18'!D37</f>
        <v>7.4678624999999998E-2</v>
      </c>
      <c r="C25" s="628">
        <f>'a18'!H37</f>
        <v>0.10260280799999999</v>
      </c>
      <c r="D25" s="628">
        <f>'a18'!L37</f>
        <v>7.6370553000000008E-2</v>
      </c>
      <c r="E25" s="628">
        <f>'a18'!P37</f>
        <v>8.7699024E-2</v>
      </c>
      <c r="F25" s="628">
        <f>'a18'!T37</f>
        <v>8.0400600000000003E-2</v>
      </c>
      <c r="G25" s="628">
        <f>'a18'!X37</f>
        <v>7.9171343999999991E-2</v>
      </c>
      <c r="H25" s="628">
        <f>'a18'!AB37</f>
        <v>6.0829461000000001E-2</v>
      </c>
      <c r="I25" s="628">
        <f>'a18'!AF37</f>
        <v>7.9837568999999997E-2</v>
      </c>
      <c r="J25" s="628">
        <f>'a18'!AJ37</f>
        <v>8.4407399999999994E-2</v>
      </c>
      <c r="K25" s="628">
        <f>'a18'!AN37</f>
        <v>6.3322559999999986E-2</v>
      </c>
      <c r="L25" s="628">
        <f>'a18'!AR37</f>
        <v>0.10376553599999998</v>
      </c>
    </row>
    <row r="26" spans="1:12">
      <c r="A26" s="611">
        <f t="shared" si="0"/>
        <v>2002</v>
      </c>
      <c r="B26" s="628">
        <f>'a18'!D38</f>
        <v>7.6946436000000007E-2</v>
      </c>
      <c r="C26" s="628">
        <f>'a18'!H38</f>
        <v>0.11555081999999998</v>
      </c>
      <c r="D26" s="628">
        <f>'a18'!L38</f>
        <v>6.7188744000000009E-2</v>
      </c>
      <c r="E26" s="628">
        <f>'a18'!P38</f>
        <v>8.8912970999999993E-2</v>
      </c>
      <c r="F26" s="628">
        <f>'a18'!T38</f>
        <v>9.1753640999999997E-2</v>
      </c>
      <c r="G26" s="628">
        <f>'a18'!X38</f>
        <v>7.9517402999999987E-2</v>
      </c>
      <c r="H26" s="628">
        <f>'a18'!AB38</f>
        <v>6.6314618999999991E-2</v>
      </c>
      <c r="I26" s="628">
        <f>'a18'!AF38</f>
        <v>8.5702616999999995E-2</v>
      </c>
      <c r="J26" s="628">
        <f>'a18'!AJ38</f>
        <v>8.5535730000000004E-2</v>
      </c>
      <c r="K26" s="628">
        <f>'a18'!AN38</f>
        <v>5.5751598000000006E-2</v>
      </c>
      <c r="L26" s="628">
        <f>'a18'!AR38</f>
        <v>0.10654307999999998</v>
      </c>
    </row>
    <row r="27" spans="1:12">
      <c r="A27" s="611">
        <f t="shared" si="0"/>
        <v>2003</v>
      </c>
      <c r="B27" s="628">
        <f>'a18'!D39</f>
        <v>7.7064371999999992E-2</v>
      </c>
      <c r="C27" s="628">
        <f>'a18'!H39</f>
        <v>0.113076621</v>
      </c>
      <c r="D27" s="628">
        <f>'a18'!L39</f>
        <v>6.2095760999999999E-2</v>
      </c>
      <c r="E27" s="628">
        <f>'a18'!P39</f>
        <v>9.704658599999999E-2</v>
      </c>
      <c r="F27" s="628">
        <f>'a18'!T39</f>
        <v>9.8531747999999975E-2</v>
      </c>
      <c r="G27" s="628">
        <f>'a18'!X39</f>
        <v>7.7135058000000006E-2</v>
      </c>
      <c r="H27" s="628">
        <f>'a18'!AB39</f>
        <v>6.3718892999999999E-2</v>
      </c>
      <c r="I27" s="628">
        <f>'a18'!AF39</f>
        <v>8.4680126999999994E-2</v>
      </c>
      <c r="J27" s="628">
        <f>'a18'!AJ39</f>
        <v>8.4077028000000012E-2</v>
      </c>
      <c r="K27" s="628">
        <f>'a18'!AN39</f>
        <v>6.9466572000000004E-2</v>
      </c>
      <c r="L27" s="628">
        <f>'a18'!AR39</f>
        <v>0.10702351800000003</v>
      </c>
    </row>
    <row r="28" spans="1:12">
      <c r="A28" s="611">
        <f t="shared" si="0"/>
        <v>2004</v>
      </c>
      <c r="B28" s="628">
        <f>'a18'!D40</f>
        <v>7.9321032E-2</v>
      </c>
      <c r="C28" s="628">
        <f>'a18'!H40</f>
        <v>0.11682562499999997</v>
      </c>
      <c r="D28" s="628">
        <f>'a18'!L40</f>
        <v>5.9465258999999999E-2</v>
      </c>
      <c r="E28" s="628">
        <f>'a18'!P40</f>
        <v>9.1986299999999993E-2</v>
      </c>
      <c r="F28" s="628">
        <f>'a18'!T40</f>
        <v>9.3972122999999991E-2</v>
      </c>
      <c r="G28" s="628">
        <f>'a18'!X40</f>
        <v>6.9852509999999993E-2</v>
      </c>
      <c r="H28" s="628">
        <f>'a18'!AB40</f>
        <v>7.4599623000000004E-2</v>
      </c>
      <c r="I28" s="628">
        <f>'a18'!AF40</f>
        <v>8.0540459999999994E-2</v>
      </c>
      <c r="J28" s="628">
        <f>'a18'!AJ40</f>
        <v>9.7992908999999989E-2</v>
      </c>
      <c r="K28" s="628">
        <f>'a18'!AN40</f>
        <v>7.0909019999999975E-2</v>
      </c>
      <c r="L28" s="628">
        <f>'a18'!AR40</f>
        <v>0.10362114</v>
      </c>
    </row>
    <row r="29" spans="1:12">
      <c r="A29" s="611">
        <f t="shared" si="0"/>
        <v>2005</v>
      </c>
      <c r="B29" s="628">
        <f>'a18'!D41</f>
        <v>7.8058889999999992E-2</v>
      </c>
      <c r="C29" s="628">
        <f>'a18'!H41</f>
        <v>9.9813734999999987E-2</v>
      </c>
      <c r="D29" s="628">
        <f>'a18'!L41</f>
        <v>4.8093695999999991E-2</v>
      </c>
      <c r="E29" s="628">
        <f>'a18'!P41</f>
        <v>8.0139779999999994E-2</v>
      </c>
      <c r="F29" s="628">
        <f>'a18'!T41</f>
        <v>9.7868925000000009E-2</v>
      </c>
      <c r="G29" s="628">
        <f>'a18'!X41</f>
        <v>7.8801092999999989E-2</v>
      </c>
      <c r="H29" s="628">
        <f>'a18'!AB41</f>
        <v>7.1469215999999988E-2</v>
      </c>
      <c r="I29" s="628">
        <f>'a18'!AF41</f>
        <v>8.6405129999999983E-2</v>
      </c>
      <c r="J29" s="628">
        <f>'a18'!AJ41</f>
        <v>0.11707415999999998</v>
      </c>
      <c r="K29" s="628">
        <f>'a18'!AN41</f>
        <v>5.5807541999999995E-2</v>
      </c>
      <c r="L29" s="628">
        <f>'a18'!AR41</f>
        <v>9.6839064000000002E-2</v>
      </c>
    </row>
    <row r="30" spans="1:12">
      <c r="A30" s="611">
        <f t="shared" si="0"/>
        <v>2006</v>
      </c>
      <c r="B30" s="628">
        <f>'a18'!D42</f>
        <v>7.2061163999999997E-2</v>
      </c>
      <c r="C30" s="628">
        <f>'a18'!H42</f>
        <v>9.1724724000000007E-2</v>
      </c>
      <c r="D30" s="628">
        <f>'a18'!L42</f>
        <v>5.5685069999999996E-2</v>
      </c>
      <c r="E30" s="628">
        <f>'a18'!P42</f>
        <v>7.8681456000000011E-2</v>
      </c>
      <c r="F30" s="628">
        <f>'a18'!T42</f>
        <v>9.6781607999999991E-2</v>
      </c>
      <c r="G30" s="628">
        <f>'a18'!X42</f>
        <v>7.0616447999999998E-2</v>
      </c>
      <c r="H30" s="628">
        <f>'a18'!AB42</f>
        <v>6.7987080000000005E-2</v>
      </c>
      <c r="I30" s="628">
        <f>'a18'!AF42</f>
        <v>8.1831329999999994E-2</v>
      </c>
      <c r="J30" s="628">
        <f>'a18'!AJ42</f>
        <v>0.10989594</v>
      </c>
      <c r="K30" s="628">
        <f>'a18'!AN42</f>
        <v>4.3184609999999991E-2</v>
      </c>
      <c r="L30" s="628">
        <f>'a18'!AR42</f>
        <v>9.197118E-2</v>
      </c>
    </row>
    <row r="31" spans="1:12">
      <c r="A31" s="611">
        <f t="shared" si="0"/>
        <v>2007</v>
      </c>
      <c r="B31" s="628">
        <f>'a18'!D43</f>
        <v>7.002449999999999E-2</v>
      </c>
      <c r="C31" s="628">
        <f>'a18'!H43</f>
        <v>8.046561599999999E-2</v>
      </c>
      <c r="D31" s="628">
        <f>'a18'!L43</f>
        <v>5.0186114999999996E-2</v>
      </c>
      <c r="E31" s="628">
        <f>'a18'!P43</f>
        <v>8.5950018000000003E-2</v>
      </c>
      <c r="F31" s="628">
        <f>'a18'!T43</f>
        <v>9.8378279999999999E-2</v>
      </c>
      <c r="G31" s="628">
        <f>'a18'!X43</f>
        <v>7.4779740000000011E-2</v>
      </c>
      <c r="H31" s="628">
        <f>'a18'!AB43</f>
        <v>6.4350719999999986E-2</v>
      </c>
      <c r="I31" s="628">
        <f>'a18'!AF43</f>
        <v>7.9540461000000007E-2</v>
      </c>
      <c r="J31" s="628">
        <f>'a18'!AJ43</f>
        <v>9.0209700000000004E-2</v>
      </c>
      <c r="K31" s="628">
        <f>'a18'!AN43</f>
        <v>4.4357355000000001E-2</v>
      </c>
      <c r="L31" s="628">
        <f>'a18'!AR43</f>
        <v>8.1545939999999997E-2</v>
      </c>
    </row>
    <row r="32" spans="1:12">
      <c r="A32" s="611">
        <f t="shared" si="0"/>
        <v>2008</v>
      </c>
      <c r="B32" s="628">
        <f>'a18'!D44</f>
        <v>7.6089698999999997E-2</v>
      </c>
      <c r="C32" s="628">
        <f>'a18'!H44</f>
        <v>9.07578E-2</v>
      </c>
      <c r="D32" s="628">
        <f>'a18'!L44</f>
        <v>6.4753668E-2</v>
      </c>
      <c r="E32" s="628">
        <f>'a18'!P44</f>
        <v>9.3034493999999981E-2</v>
      </c>
      <c r="F32" s="628">
        <f>'a18'!T44</f>
        <v>9.3948119999999982E-2</v>
      </c>
      <c r="G32" s="628">
        <f>'a18'!X44</f>
        <v>8.3173419000000012E-2</v>
      </c>
      <c r="H32" s="628">
        <f>'a18'!AB44</f>
        <v>7.1938124999999992E-2</v>
      </c>
      <c r="I32" s="628">
        <f>'a18'!AF44</f>
        <v>7.2992367000000002E-2</v>
      </c>
      <c r="J32" s="628">
        <f>'a18'!AJ44</f>
        <v>7.6736645999999992E-2</v>
      </c>
      <c r="K32" s="628">
        <f>'a18'!AN44</f>
        <v>4.1661269999999993E-2</v>
      </c>
      <c r="L32" s="628">
        <f>'a18'!AR44</f>
        <v>9.6509447999999998E-2</v>
      </c>
    </row>
    <row r="33" spans="1:12">
      <c r="A33" s="611">
        <f t="shared" si="0"/>
        <v>2009</v>
      </c>
      <c r="B33" s="628">
        <f>'a18'!D45</f>
        <v>7.7396823000000003E-2</v>
      </c>
      <c r="C33" s="628">
        <f>'a18'!H45</f>
        <v>8.7149600999999993E-2</v>
      </c>
      <c r="D33" s="628">
        <f>'a18'!L45</f>
        <v>5.1438239999999996E-2</v>
      </c>
      <c r="E33" s="628">
        <f>'a18'!P45</f>
        <v>8.9722268999999966E-2</v>
      </c>
      <c r="F33" s="628">
        <f>'a18'!T45</f>
        <v>8.3527037999999984E-2</v>
      </c>
      <c r="G33" s="628">
        <f>'a18'!X45</f>
        <v>7.296647399999999E-2</v>
      </c>
      <c r="H33" s="628">
        <f>'a18'!AB45</f>
        <v>7.4673143999999997E-2</v>
      </c>
      <c r="I33" s="628">
        <f>'a18'!AF45</f>
        <v>7.5589037999999997E-2</v>
      </c>
      <c r="J33" s="628">
        <f>'a18'!AJ45</f>
        <v>7.5250538999999991E-2</v>
      </c>
      <c r="K33" s="628">
        <f>'a18'!AN45</f>
        <v>6.5081015999999992E-2</v>
      </c>
      <c r="L33" s="628">
        <f>'a18'!AR45</f>
        <v>9.8828099999999988E-2</v>
      </c>
    </row>
    <row r="34" spans="1:12">
      <c r="A34" s="611">
        <f t="shared" si="0"/>
        <v>2010</v>
      </c>
      <c r="B34" s="628">
        <f>'a18'!D46</f>
        <v>7.7396823000000003E-2</v>
      </c>
      <c r="C34" s="628">
        <f>'a18'!H46</f>
        <v>8.7149600999999993E-2</v>
      </c>
      <c r="D34" s="628">
        <f>'a18'!L46</f>
        <v>5.1438239999999996E-2</v>
      </c>
      <c r="E34" s="628">
        <f>'a18'!P46</f>
        <v>8.9722268999999966E-2</v>
      </c>
      <c r="F34" s="628">
        <f>'a18'!T46</f>
        <v>8.3527037999999984E-2</v>
      </c>
      <c r="G34" s="628">
        <f>'a18'!X46</f>
        <v>7.296647399999999E-2</v>
      </c>
      <c r="H34" s="628">
        <f>'a18'!AB46</f>
        <v>7.4673143999999997E-2</v>
      </c>
      <c r="I34" s="628">
        <f>'a18'!AF46</f>
        <v>7.5589037999999997E-2</v>
      </c>
      <c r="J34" s="628">
        <f>'a18'!AJ46</f>
        <v>7.5250538999999991E-2</v>
      </c>
      <c r="K34" s="628">
        <f>'a18'!AN46</f>
        <v>6.5081015999999992E-2</v>
      </c>
      <c r="L34" s="628">
        <f>'a18'!AR46</f>
        <v>9.8828099999999988E-2</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0.37221169189809444</v>
      </c>
      <c r="C36" s="617">
        <f t="shared" si="1"/>
        <v>-0.78134442987108921</v>
      </c>
      <c r="D36" s="617">
        <f t="shared" si="1"/>
        <v>-2.4388417467516965</v>
      </c>
      <c r="E36" s="617">
        <f t="shared" si="1"/>
        <v>-3.8169750664152069E-2</v>
      </c>
      <c r="F36" s="617">
        <f t="shared" si="1"/>
        <v>-1.1090422103911979</v>
      </c>
      <c r="G36" s="617">
        <f t="shared" si="1"/>
        <v>-0.21870682211766468</v>
      </c>
      <c r="H36" s="617">
        <f t="shared" si="1"/>
        <v>1.1626506400325587</v>
      </c>
      <c r="I36" s="617">
        <f t="shared" si="1"/>
        <v>-0.65880091183841971</v>
      </c>
      <c r="J36" s="617">
        <f t="shared" si="1"/>
        <v>-1.0598261454107472</v>
      </c>
      <c r="K36" s="617">
        <f t="shared" si="1"/>
        <v>0.37485180163014942</v>
      </c>
      <c r="L36" s="617">
        <f t="shared" si="1"/>
        <v>1.4978128958922587</v>
      </c>
    </row>
    <row r="37" spans="1:12">
      <c r="A37" s="611" t="s">
        <v>1472</v>
      </c>
      <c r="B37" s="617">
        <f t="shared" ref="B37:L37" si="2">100*(POWER(B13/B5, 1/8)-1)</f>
        <v>-2.4221465318929991</v>
      </c>
      <c r="C37" s="617">
        <f t="shared" si="2"/>
        <v>-2.4306543092881938</v>
      </c>
      <c r="D37" s="617">
        <f t="shared" si="2"/>
        <v>-6.0635286008468565</v>
      </c>
      <c r="E37" s="617">
        <f t="shared" si="2"/>
        <v>-3.1198818208610368</v>
      </c>
      <c r="F37" s="617">
        <f t="shared" si="2"/>
        <v>-4.52522358049624</v>
      </c>
      <c r="G37" s="617">
        <f t="shared" si="2"/>
        <v>-2.0824542483872777</v>
      </c>
      <c r="H37" s="617">
        <f t="shared" si="2"/>
        <v>-4.5717324447037022</v>
      </c>
      <c r="I37" s="617">
        <f t="shared" si="2"/>
        <v>-3.3211457557269397</v>
      </c>
      <c r="J37" s="617">
        <f t="shared" si="2"/>
        <v>-2.770982504877173E-2</v>
      </c>
      <c r="K37" s="617">
        <f t="shared" si="2"/>
        <v>3.1325705395747638</v>
      </c>
      <c r="L37" s="617">
        <f t="shared" si="2"/>
        <v>-1.3780880229363301</v>
      </c>
    </row>
    <row r="38" spans="1:12">
      <c r="A38" s="611" t="s">
        <v>1473</v>
      </c>
      <c r="B38" s="617">
        <f t="shared" ref="B38:L38" si="3">100*(POWER(B24/B13, 1/11)-1)</f>
        <v>2.6473814424803566</v>
      </c>
      <c r="C38" s="617">
        <f t="shared" si="3"/>
        <v>2.2701843569219005</v>
      </c>
      <c r="D38" s="617">
        <f t="shared" si="3"/>
        <v>2.20580956647356</v>
      </c>
      <c r="E38" s="617">
        <f t="shared" si="3"/>
        <v>1.9010906551858664</v>
      </c>
      <c r="F38" s="617">
        <f t="shared" si="3"/>
        <v>0.15557745987779814</v>
      </c>
      <c r="G38" s="617">
        <f t="shared" si="3"/>
        <v>2.2020475139780338</v>
      </c>
      <c r="H38" s="617">
        <f t="shared" si="3"/>
        <v>4.7393705413446119</v>
      </c>
      <c r="I38" s="617">
        <f t="shared" si="3"/>
        <v>2.1912412213136667</v>
      </c>
      <c r="J38" s="617">
        <f t="shared" si="3"/>
        <v>-0.39975691209136466</v>
      </c>
      <c r="K38" s="617">
        <f t="shared" si="3"/>
        <v>-1.1399121184613947</v>
      </c>
      <c r="L38" s="617">
        <f t="shared" si="3"/>
        <v>4.9113912485648115</v>
      </c>
    </row>
    <row r="39" spans="1:12">
      <c r="A39" s="611" t="s">
        <v>1474</v>
      </c>
      <c r="B39" s="617">
        <f t="shared" ref="B39:L39" si="4">100*(POWER(B32/B24, 1/8)-1)</f>
        <v>-6.9838028780244699E-3</v>
      </c>
      <c r="C39" s="617">
        <f t="shared" si="4"/>
        <v>-2.9188641833022944</v>
      </c>
      <c r="D39" s="617">
        <f t="shared" si="4"/>
        <v>-2.7783357876195569</v>
      </c>
      <c r="E39" s="617">
        <f t="shared" si="4"/>
        <v>0.89888961125366151</v>
      </c>
      <c r="F39" s="617">
        <f t="shared" si="4"/>
        <v>1.8610794355979232</v>
      </c>
      <c r="G39" s="617">
        <f t="shared" si="4"/>
        <v>-4.7589093657585124E-2</v>
      </c>
      <c r="H39" s="617">
        <f t="shared" si="4"/>
        <v>2.0573591023903992</v>
      </c>
      <c r="I39" s="617">
        <f t="shared" si="4"/>
        <v>-2.4064538418204773</v>
      </c>
      <c r="J39" s="617">
        <f t="shared" si="4"/>
        <v>-2.9937119489208519</v>
      </c>
      <c r="K39" s="617">
        <f t="shared" si="4"/>
        <v>-5.5666513595830853</v>
      </c>
      <c r="L39" s="617">
        <f t="shared" si="4"/>
        <v>-0.11228090521671064</v>
      </c>
    </row>
    <row r="40" spans="1:12">
      <c r="A40" s="611" t="s">
        <v>1500</v>
      </c>
      <c r="B40" s="611"/>
      <c r="C40" s="611"/>
      <c r="D40" s="611"/>
      <c r="E40" s="611"/>
      <c r="F40" s="611"/>
      <c r="G40" s="611"/>
      <c r="H40" s="611"/>
      <c r="I40" s="611"/>
      <c r="J40" s="611"/>
      <c r="K40" s="611"/>
      <c r="L40" s="611"/>
    </row>
    <row r="41" spans="1:12">
      <c r="A41" s="611" t="s">
        <v>1498</v>
      </c>
      <c r="B41" s="616">
        <f>100*(B34-B5)/B5</f>
        <v>11.375924717145347</v>
      </c>
      <c r="C41" s="616">
        <f t="shared" ref="C41:L41" si="5">100*(C34-C5)/C5</f>
        <v>-20.346144610988933</v>
      </c>
      <c r="D41" s="616">
        <f t="shared" si="5"/>
        <v>-51.13122171945701</v>
      </c>
      <c r="E41" s="616">
        <f t="shared" si="5"/>
        <v>-1.1010279038179014</v>
      </c>
      <c r="F41" s="616">
        <f t="shared" si="5"/>
        <v>-27.632942794684759</v>
      </c>
      <c r="G41" s="616">
        <f t="shared" si="5"/>
        <v>-6.1520660031990468</v>
      </c>
      <c r="H41" s="616">
        <f t="shared" si="5"/>
        <v>39.825313911184722</v>
      </c>
      <c r="I41" s="616">
        <f t="shared" si="5"/>
        <v>-17.443259812775437</v>
      </c>
      <c r="J41" s="616">
        <f>100*(J34-J5)/J5</f>
        <v>-26.581179086890891</v>
      </c>
      <c r="K41" s="616">
        <f t="shared" si="5"/>
        <v>11.460912742727501</v>
      </c>
      <c r="L41" s="616">
        <f t="shared" si="5"/>
        <v>53.901848941317731</v>
      </c>
    </row>
    <row r="42" spans="1:12">
      <c r="A42" s="611" t="s">
        <v>1472</v>
      </c>
      <c r="B42" s="616">
        <f>100*(B13-B5)/B5</f>
        <v>-17.811684073107052</v>
      </c>
      <c r="C42" s="616">
        <f t="shared" ref="C42:L42" si="6">100*(C13-C5)/C5</f>
        <v>-17.868994335721229</v>
      </c>
      <c r="D42" s="616">
        <f t="shared" si="6"/>
        <v>-39.371902607196709</v>
      </c>
      <c r="E42" s="616">
        <f t="shared" si="6"/>
        <v>-22.397220034749562</v>
      </c>
      <c r="F42" s="616">
        <f t="shared" si="6"/>
        <v>-30.958661852479544</v>
      </c>
      <c r="G42" s="616">
        <f t="shared" si="6"/>
        <v>-15.494659361068035</v>
      </c>
      <c r="H42" s="616">
        <f t="shared" si="6"/>
        <v>-31.227261788479783</v>
      </c>
      <c r="I42" s="616">
        <f t="shared" si="6"/>
        <v>-23.677610461455878</v>
      </c>
      <c r="J42" s="616">
        <f t="shared" si="6"/>
        <v>-0.22146372586444243</v>
      </c>
      <c r="K42" s="616">
        <f t="shared" si="6"/>
        <v>27.987259538352532</v>
      </c>
      <c r="L42" s="616">
        <f t="shared" si="6"/>
        <v>-10.507355148604031</v>
      </c>
    </row>
    <row r="43" spans="1:12">
      <c r="A43" s="611" t="s">
        <v>1473</v>
      </c>
      <c r="B43" s="616">
        <f>100*(B24-B13)/B13</f>
        <v>33.298917899334832</v>
      </c>
      <c r="C43" s="616">
        <f t="shared" ref="C43:L43" si="7">100*(C24-C13)/C13</f>
        <v>28.008682319239298</v>
      </c>
      <c r="D43" s="616">
        <f t="shared" si="7"/>
        <v>27.125129572042017</v>
      </c>
      <c r="E43" s="616">
        <f t="shared" si="7"/>
        <v>23.017573248715433</v>
      </c>
      <c r="F43" s="616">
        <f t="shared" si="7"/>
        <v>1.7247267759562759</v>
      </c>
      <c r="G43" s="616">
        <f t="shared" si="7"/>
        <v>27.073666769265284</v>
      </c>
      <c r="H43" s="616">
        <f t="shared" si="7"/>
        <v>66.421547185928887</v>
      </c>
      <c r="I43" s="616">
        <f t="shared" si="7"/>
        <v>26.92594796343376</v>
      </c>
      <c r="J43" s="616">
        <f t="shared" si="7"/>
        <v>-4.310478654592492</v>
      </c>
      <c r="K43" s="616">
        <f t="shared" si="7"/>
        <v>-11.848254931714713</v>
      </c>
      <c r="L43" s="616">
        <f t="shared" si="7"/>
        <v>69.452940518710037</v>
      </c>
    </row>
    <row r="44" spans="1:12">
      <c r="A44" s="611" t="s">
        <v>1474</v>
      </c>
      <c r="B44" s="616">
        <f>100*(B32-B24)/B24</f>
        <v>-5.5856768350794166E-2</v>
      </c>
      <c r="C44" s="616">
        <f t="shared" ref="C44:L44" si="8">100*(C32-C24)/C24</f>
        <v>-21.099675328943039</v>
      </c>
      <c r="D44" s="616">
        <f t="shared" si="8"/>
        <v>-20.18134461534159</v>
      </c>
      <c r="E44" s="616">
        <f t="shared" si="8"/>
        <v>7.4214709386824982</v>
      </c>
      <c r="F44" s="616">
        <f t="shared" si="8"/>
        <v>15.895398504094132</v>
      </c>
      <c r="G44" s="616">
        <f t="shared" si="8"/>
        <v>-0.38007923033387092</v>
      </c>
      <c r="H44" s="616">
        <f t="shared" si="8"/>
        <v>17.69407734027617</v>
      </c>
      <c r="I44" s="616">
        <f t="shared" si="8"/>
        <v>-17.705882854317956</v>
      </c>
      <c r="J44" s="616">
        <f t="shared" si="8"/>
        <v>-21.585009733939021</v>
      </c>
      <c r="K44" s="616">
        <f t="shared" si="8"/>
        <v>-36.758360302049645</v>
      </c>
      <c r="L44" s="616">
        <f t="shared" si="8"/>
        <v>-0.89472519709186282</v>
      </c>
    </row>
    <row r="46" spans="1:12">
      <c r="A46" s="611" t="s">
        <v>1548</v>
      </c>
    </row>
  </sheetData>
  <pageMargins left="0.7" right="0.7" top="0.75" bottom="0.75" header="0.3" footer="0.3"/>
</worksheet>
</file>

<file path=xl/worksheets/sheet169.xml><?xml version="1.0" encoding="utf-8"?>
<worksheet xmlns="http://schemas.openxmlformats.org/spreadsheetml/2006/main" xmlns:r="http://schemas.openxmlformats.org/officeDocument/2006/relationships">
  <dimension ref="A1:L46"/>
  <sheetViews>
    <sheetView topLeftCell="A28" workbookViewId="0">
      <selection activeCell="E9" sqref="E9"/>
    </sheetView>
  </sheetViews>
  <sheetFormatPr defaultRowHeight="12.75"/>
  <cols>
    <col min="1" max="16384" width="9" style="618"/>
  </cols>
  <sheetData>
    <row r="1" spans="1:12">
      <c r="A1" s="611" t="s">
        <v>1519</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9">
        <f>'a20 (2)'!B15</f>
        <v>7.6</v>
      </c>
      <c r="C5" s="629">
        <f>'a20 (2)'!C15</f>
        <v>13.5</v>
      </c>
      <c r="D5" s="629">
        <f>'a20 (2)'!D15</f>
        <v>11.3</v>
      </c>
      <c r="E5" s="629">
        <f>'a20 (2)'!E15</f>
        <v>10</v>
      </c>
      <c r="F5" s="629">
        <f>'a20 (2)'!F15</f>
        <v>11.6</v>
      </c>
      <c r="G5" s="629">
        <f>'a20 (2)'!G15</f>
        <v>10.5</v>
      </c>
      <c r="H5" s="629">
        <f>'a20 (2)'!H15</f>
        <v>6.6</v>
      </c>
      <c r="I5" s="629">
        <f>'a20 (2)'!I15</f>
        <v>6</v>
      </c>
      <c r="J5" s="629">
        <f>'a20 (2)'!J15</f>
        <v>4.5</v>
      </c>
      <c r="K5" s="629">
        <f>'a20 (2)'!K15</f>
        <v>3.9</v>
      </c>
      <c r="L5" s="629">
        <f>'a20 (2)'!L15</f>
        <v>6.8</v>
      </c>
    </row>
    <row r="6" spans="1:12">
      <c r="A6" s="611">
        <f t="shared" ref="A6:A34" si="0">A5+1</f>
        <v>1982</v>
      </c>
      <c r="B6" s="629">
        <f>'a20 (2)'!B16</f>
        <v>11</v>
      </c>
      <c r="C6" s="629">
        <f>'a20 (2)'!C16</f>
        <v>16.2</v>
      </c>
      <c r="D6" s="629">
        <f>'a20 (2)'!D16</f>
        <v>12.6</v>
      </c>
      <c r="E6" s="629">
        <f>'a20 (2)'!E16</f>
        <v>12.8</v>
      </c>
      <c r="F6" s="629">
        <f>'a20 (2)'!F16</f>
        <v>14</v>
      </c>
      <c r="G6" s="629">
        <f>'a20 (2)'!G16</f>
        <v>14</v>
      </c>
      <c r="H6" s="629">
        <f>'a20 (2)'!H16</f>
        <v>9.8000000000000007</v>
      </c>
      <c r="I6" s="629">
        <f>'a20 (2)'!I16</f>
        <v>8.5</v>
      </c>
      <c r="J6" s="629">
        <f>'a20 (2)'!J16</f>
        <v>6.3</v>
      </c>
      <c r="K6" s="629">
        <f>'a20 (2)'!K16</f>
        <v>7.7</v>
      </c>
      <c r="L6" s="629">
        <f>'a20 (2)'!L16</f>
        <v>12.1</v>
      </c>
    </row>
    <row r="7" spans="1:12">
      <c r="A7" s="611">
        <f t="shared" si="0"/>
        <v>1983</v>
      </c>
      <c r="B7" s="629">
        <f>'a20 (2)'!B17</f>
        <v>12</v>
      </c>
      <c r="C7" s="629">
        <f>'a20 (2)'!C17</f>
        <v>18.100000000000001</v>
      </c>
      <c r="D7" s="629">
        <f>'a20 (2)'!D17</f>
        <v>12.2</v>
      </c>
      <c r="E7" s="629">
        <f>'a20 (2)'!E17</f>
        <v>13.4</v>
      </c>
      <c r="F7" s="629">
        <f>'a20 (2)'!F17</f>
        <v>14.9</v>
      </c>
      <c r="G7" s="629">
        <f>'a20 (2)'!G17</f>
        <v>14.2</v>
      </c>
      <c r="H7" s="629">
        <f>'a20 (2)'!H17</f>
        <v>10.4</v>
      </c>
      <c r="I7" s="629">
        <f>'a20 (2)'!I17</f>
        <v>9.5</v>
      </c>
      <c r="J7" s="629">
        <f>'a20 (2)'!J17</f>
        <v>7.7</v>
      </c>
      <c r="K7" s="629">
        <f>'a20 (2)'!K17</f>
        <v>11</v>
      </c>
      <c r="L7" s="629">
        <f>'a20 (2)'!L17</f>
        <v>13.9</v>
      </c>
    </row>
    <row r="8" spans="1:12">
      <c r="A8" s="611">
        <f t="shared" si="0"/>
        <v>1984</v>
      </c>
      <c r="B8" s="629">
        <f>'a20 (2)'!B18</f>
        <v>11.3</v>
      </c>
      <c r="C8" s="629">
        <f>'a20 (2)'!C18</f>
        <v>20.100000000000001</v>
      </c>
      <c r="D8" s="629">
        <f>'a20 (2)'!D18</f>
        <v>12.5</v>
      </c>
      <c r="E8" s="629">
        <f>'a20 (2)'!E18</f>
        <v>13</v>
      </c>
      <c r="F8" s="629">
        <f>'a20 (2)'!F18</f>
        <v>14.6</v>
      </c>
      <c r="G8" s="629">
        <f>'a20 (2)'!G18</f>
        <v>13.1</v>
      </c>
      <c r="H8" s="629">
        <f>'a20 (2)'!H18</f>
        <v>9</v>
      </c>
      <c r="I8" s="629">
        <f>'a20 (2)'!I18</f>
        <v>8.6</v>
      </c>
      <c r="J8" s="629">
        <f>'a20 (2)'!J18</f>
        <v>8.1</v>
      </c>
      <c r="K8" s="629">
        <f>'a20 (2)'!K18</f>
        <v>11.3</v>
      </c>
      <c r="L8" s="629">
        <f>'a20 (2)'!L18</f>
        <v>15</v>
      </c>
    </row>
    <row r="9" spans="1:12">
      <c r="A9" s="611">
        <f t="shared" si="0"/>
        <v>1985</v>
      </c>
      <c r="B9" s="629">
        <f>'a20 (2)'!B19</f>
        <v>10.6</v>
      </c>
      <c r="C9" s="629">
        <f>'a20 (2)'!C19</f>
        <v>20.2</v>
      </c>
      <c r="D9" s="629">
        <f>'a20 (2)'!D19</f>
        <v>13.7</v>
      </c>
      <c r="E9" s="629">
        <f>'a20 (2)'!E19</f>
        <v>13.5</v>
      </c>
      <c r="F9" s="629">
        <f>'a20 (2)'!F19</f>
        <v>15.2</v>
      </c>
      <c r="G9" s="629">
        <f>'a20 (2)'!G19</f>
        <v>12.3</v>
      </c>
      <c r="H9" s="629">
        <f>'a20 (2)'!H19</f>
        <v>8</v>
      </c>
      <c r="I9" s="629">
        <f>'a20 (2)'!I19</f>
        <v>8.4</v>
      </c>
      <c r="J9" s="629">
        <f>'a20 (2)'!J19</f>
        <v>8.4</v>
      </c>
      <c r="K9" s="629">
        <f>'a20 (2)'!K19</f>
        <v>9.9</v>
      </c>
      <c r="L9" s="629">
        <f>'a20 (2)'!L19</f>
        <v>14.6</v>
      </c>
    </row>
    <row r="10" spans="1:12">
      <c r="A10" s="611">
        <f t="shared" si="0"/>
        <v>1986</v>
      </c>
      <c r="B10" s="629">
        <f>'a20 (2)'!B20</f>
        <v>9.6999999999999993</v>
      </c>
      <c r="C10" s="629">
        <f>'a20 (2)'!C20</f>
        <v>18.899999999999999</v>
      </c>
      <c r="D10" s="629">
        <f>'a20 (2)'!D20</f>
        <v>13.2</v>
      </c>
      <c r="E10" s="629">
        <f>'a20 (2)'!E20</f>
        <v>13.3</v>
      </c>
      <c r="F10" s="629">
        <f>'a20 (2)'!F20</f>
        <v>14.4</v>
      </c>
      <c r="G10" s="629">
        <f>'a20 (2)'!G20</f>
        <v>11.1</v>
      </c>
      <c r="H10" s="629">
        <f>'a20 (2)'!H20</f>
        <v>7</v>
      </c>
      <c r="I10" s="629">
        <f>'a20 (2)'!I20</f>
        <v>7.8</v>
      </c>
      <c r="J10" s="629">
        <f>'a20 (2)'!J20</f>
        <v>7.9</v>
      </c>
      <c r="K10" s="629">
        <f>'a20 (2)'!K20</f>
        <v>10.1</v>
      </c>
      <c r="L10" s="629">
        <f>'a20 (2)'!L20</f>
        <v>12.9</v>
      </c>
    </row>
    <row r="11" spans="1:12">
      <c r="A11" s="611">
        <f t="shared" si="0"/>
        <v>1987</v>
      </c>
      <c r="B11" s="629">
        <f>'a20 (2)'!B21</f>
        <v>8.8000000000000007</v>
      </c>
      <c r="C11" s="629">
        <f>'a20 (2)'!C21</f>
        <v>17.8</v>
      </c>
      <c r="D11" s="629">
        <f>'a20 (2)'!D21</f>
        <v>12.3</v>
      </c>
      <c r="E11" s="629">
        <f>'a20 (2)'!E21</f>
        <v>12</v>
      </c>
      <c r="F11" s="629">
        <f>'a20 (2)'!F21</f>
        <v>13.2</v>
      </c>
      <c r="G11" s="629">
        <f>'a20 (2)'!G21</f>
        <v>10.199999999999999</v>
      </c>
      <c r="H11" s="629">
        <f>'a20 (2)'!H21</f>
        <v>6.1</v>
      </c>
      <c r="I11" s="629">
        <f>'a20 (2)'!I21</f>
        <v>7.5</v>
      </c>
      <c r="J11" s="629">
        <f>'a20 (2)'!J21</f>
        <v>7.3</v>
      </c>
      <c r="K11" s="629">
        <f>'a20 (2)'!K21</f>
        <v>9.6</v>
      </c>
      <c r="L11" s="629">
        <f>'a20 (2)'!L21</f>
        <v>12.1</v>
      </c>
    </row>
    <row r="12" spans="1:12">
      <c r="A12" s="611">
        <f t="shared" si="0"/>
        <v>1988</v>
      </c>
      <c r="B12" s="629">
        <f>'a20 (2)'!B22</f>
        <v>7.8</v>
      </c>
      <c r="C12" s="629">
        <f>'a20 (2)'!C22</f>
        <v>16.2</v>
      </c>
      <c r="D12" s="629">
        <f>'a20 (2)'!D22</f>
        <v>12.2</v>
      </c>
      <c r="E12" s="629">
        <f>'a20 (2)'!E22</f>
        <v>10.199999999999999</v>
      </c>
      <c r="F12" s="629">
        <f>'a20 (2)'!F22</f>
        <v>11.8</v>
      </c>
      <c r="G12" s="629">
        <f>'a20 (2)'!G22</f>
        <v>9.5</v>
      </c>
      <c r="H12" s="629">
        <f>'a20 (2)'!H22</f>
        <v>5</v>
      </c>
      <c r="I12" s="629">
        <f>'a20 (2)'!I22</f>
        <v>7.7</v>
      </c>
      <c r="J12" s="629">
        <f>'a20 (2)'!J22</f>
        <v>7.3</v>
      </c>
      <c r="K12" s="629">
        <f>'a20 (2)'!K22</f>
        <v>8</v>
      </c>
      <c r="L12" s="629">
        <f>'a20 (2)'!L22</f>
        <v>10.3</v>
      </c>
    </row>
    <row r="13" spans="1:12">
      <c r="A13" s="611">
        <f t="shared" si="0"/>
        <v>1989</v>
      </c>
      <c r="B13" s="629">
        <f>'a20 (2)'!B23</f>
        <v>7.5</v>
      </c>
      <c r="C13" s="629">
        <f>'a20 (2)'!C23</f>
        <v>15.5</v>
      </c>
      <c r="D13" s="629">
        <f>'a20 (2)'!D23</f>
        <v>13.7</v>
      </c>
      <c r="E13" s="629">
        <f>'a20 (2)'!E23</f>
        <v>9.9</v>
      </c>
      <c r="F13" s="629">
        <f>'a20 (2)'!F23</f>
        <v>12.1</v>
      </c>
      <c r="G13" s="629">
        <f>'a20 (2)'!G23</f>
        <v>9.6</v>
      </c>
      <c r="H13" s="629">
        <f>'a20 (2)'!H23</f>
        <v>5</v>
      </c>
      <c r="I13" s="629">
        <f>'a20 (2)'!I23</f>
        <v>7.5</v>
      </c>
      <c r="J13" s="629">
        <f>'a20 (2)'!J23</f>
        <v>7.3</v>
      </c>
      <c r="K13" s="629">
        <f>'a20 (2)'!K23</f>
        <v>7.2</v>
      </c>
      <c r="L13" s="629">
        <f>'a20 (2)'!L23</f>
        <v>9.1</v>
      </c>
    </row>
    <row r="14" spans="1:12">
      <c r="A14" s="611">
        <f t="shared" si="0"/>
        <v>1990</v>
      </c>
      <c r="B14" s="629">
        <f>'a20 (2)'!B24</f>
        <v>8.1</v>
      </c>
      <c r="C14" s="629">
        <f>'a20 (2)'!C24</f>
        <v>17</v>
      </c>
      <c r="D14" s="629">
        <f>'a20 (2)'!D24</f>
        <v>14.4</v>
      </c>
      <c r="E14" s="629">
        <f>'a20 (2)'!E24</f>
        <v>10.7</v>
      </c>
      <c r="F14" s="629">
        <f>'a20 (2)'!F24</f>
        <v>12.1</v>
      </c>
      <c r="G14" s="629">
        <f>'a20 (2)'!G24</f>
        <v>10.4</v>
      </c>
      <c r="H14" s="629">
        <f>'a20 (2)'!H24</f>
        <v>6.2</v>
      </c>
      <c r="I14" s="629">
        <f>'a20 (2)'!I24</f>
        <v>7.4</v>
      </c>
      <c r="J14" s="629">
        <f>'a20 (2)'!J24</f>
        <v>7</v>
      </c>
      <c r="K14" s="629">
        <f>'a20 (2)'!K24</f>
        <v>6.9</v>
      </c>
      <c r="L14" s="629">
        <f>'a20 (2)'!L24</f>
        <v>8.4</v>
      </c>
    </row>
    <row r="15" spans="1:12">
      <c r="A15" s="611">
        <f t="shared" si="0"/>
        <v>1991</v>
      </c>
      <c r="B15" s="629">
        <f>'a20 (2)'!B25</f>
        <v>10.3</v>
      </c>
      <c r="C15" s="629">
        <f>'a20 (2)'!C25</f>
        <v>18</v>
      </c>
      <c r="D15" s="629">
        <f>'a20 (2)'!D25</f>
        <v>16.5</v>
      </c>
      <c r="E15" s="629">
        <f>'a20 (2)'!E25</f>
        <v>12.1</v>
      </c>
      <c r="F15" s="629">
        <f>'a20 (2)'!F25</f>
        <v>12.7</v>
      </c>
      <c r="G15" s="629">
        <f>'a20 (2)'!G25</f>
        <v>12.1</v>
      </c>
      <c r="H15" s="629">
        <f>'a20 (2)'!H25</f>
        <v>9.5</v>
      </c>
      <c r="I15" s="629">
        <f>'a20 (2)'!I25</f>
        <v>8.6</v>
      </c>
      <c r="J15" s="629">
        <f>'a20 (2)'!J25</f>
        <v>7.4</v>
      </c>
      <c r="K15" s="629">
        <f>'a20 (2)'!K25</f>
        <v>8.1999999999999993</v>
      </c>
      <c r="L15" s="629">
        <f>'a20 (2)'!L25</f>
        <v>9.9</v>
      </c>
    </row>
    <row r="16" spans="1:12">
      <c r="A16" s="611">
        <f t="shared" si="0"/>
        <v>1992</v>
      </c>
      <c r="B16" s="629">
        <f>'a20 (2)'!B26</f>
        <v>11.2</v>
      </c>
      <c r="C16" s="629">
        <f>'a20 (2)'!C26</f>
        <v>20</v>
      </c>
      <c r="D16" s="629">
        <f>'a20 (2)'!D26</f>
        <v>17.600000000000001</v>
      </c>
      <c r="E16" s="629">
        <f>'a20 (2)'!E26</f>
        <v>13.1</v>
      </c>
      <c r="F16" s="629">
        <f>'a20 (2)'!F26</f>
        <v>13</v>
      </c>
      <c r="G16" s="629">
        <f>'a20 (2)'!G26</f>
        <v>12.7</v>
      </c>
      <c r="H16" s="629">
        <f>'a20 (2)'!H26</f>
        <v>10.8</v>
      </c>
      <c r="I16" s="629">
        <f>'a20 (2)'!I26</f>
        <v>9.3000000000000007</v>
      </c>
      <c r="J16" s="629">
        <f>'a20 (2)'!J26</f>
        <v>8</v>
      </c>
      <c r="K16" s="629">
        <f>'a20 (2)'!K26</f>
        <v>9.5</v>
      </c>
      <c r="L16" s="629">
        <f>'a20 (2)'!L26</f>
        <v>10.1</v>
      </c>
    </row>
    <row r="17" spans="1:12">
      <c r="A17" s="611">
        <f t="shared" si="0"/>
        <v>1993</v>
      </c>
      <c r="B17" s="629">
        <f>'a20 (2)'!B27</f>
        <v>11.4</v>
      </c>
      <c r="C17" s="629">
        <f>'a20 (2)'!C27</f>
        <v>20.100000000000001</v>
      </c>
      <c r="D17" s="629">
        <f>'a20 (2)'!D27</f>
        <v>16.899999999999999</v>
      </c>
      <c r="E17" s="629">
        <f>'a20 (2)'!E27</f>
        <v>14.3</v>
      </c>
      <c r="F17" s="629">
        <f>'a20 (2)'!F27</f>
        <v>12.6</v>
      </c>
      <c r="G17" s="629">
        <f>'a20 (2)'!G27</f>
        <v>13.2</v>
      </c>
      <c r="H17" s="629">
        <f>'a20 (2)'!H27</f>
        <v>10.9</v>
      </c>
      <c r="I17" s="629">
        <f>'a20 (2)'!I27</f>
        <v>9.3000000000000007</v>
      </c>
      <c r="J17" s="629">
        <f>'a20 (2)'!J27</f>
        <v>8.3000000000000007</v>
      </c>
      <c r="K17" s="629">
        <f>'a20 (2)'!K27</f>
        <v>9.6</v>
      </c>
      <c r="L17" s="629">
        <f>'a20 (2)'!L27</f>
        <v>9.6999999999999993</v>
      </c>
    </row>
    <row r="18" spans="1:12">
      <c r="A18" s="611">
        <f t="shared" si="0"/>
        <v>1994</v>
      </c>
      <c r="B18" s="629">
        <f>'a20 (2)'!B28</f>
        <v>10.4</v>
      </c>
      <c r="C18" s="629">
        <f>'a20 (2)'!C28</f>
        <v>20</v>
      </c>
      <c r="D18" s="629">
        <f>'a20 (2)'!D28</f>
        <v>16.5</v>
      </c>
      <c r="E18" s="629">
        <f>'a20 (2)'!E28</f>
        <v>13.5</v>
      </c>
      <c r="F18" s="629">
        <f>'a20 (2)'!F28</f>
        <v>12.5</v>
      </c>
      <c r="G18" s="629">
        <f>'a20 (2)'!G28</f>
        <v>12.3</v>
      </c>
      <c r="H18" s="629">
        <f>'a20 (2)'!H28</f>
        <v>9.6</v>
      </c>
      <c r="I18" s="629">
        <f>'a20 (2)'!I28</f>
        <v>8.8000000000000007</v>
      </c>
      <c r="J18" s="629">
        <f>'a20 (2)'!J28</f>
        <v>6.9</v>
      </c>
      <c r="K18" s="629">
        <f>'a20 (2)'!K28</f>
        <v>8.8000000000000007</v>
      </c>
      <c r="L18" s="629">
        <f>'a20 (2)'!L28</f>
        <v>9.1</v>
      </c>
    </row>
    <row r="19" spans="1:12">
      <c r="A19" s="611">
        <f t="shared" si="0"/>
        <v>1995</v>
      </c>
      <c r="B19" s="629">
        <f>'a20 (2)'!B29</f>
        <v>9.5</v>
      </c>
      <c r="C19" s="629">
        <f>'a20 (2)'!C29</f>
        <v>18</v>
      </c>
      <c r="D19" s="629">
        <f>'a20 (2)'!D29</f>
        <v>14.8</v>
      </c>
      <c r="E19" s="629">
        <f>'a20 (2)'!E29</f>
        <v>12.2</v>
      </c>
      <c r="F19" s="629">
        <f>'a20 (2)'!F29</f>
        <v>11.4</v>
      </c>
      <c r="G19" s="629">
        <f>'a20 (2)'!G29</f>
        <v>11.5</v>
      </c>
      <c r="H19" s="629">
        <f>'a20 (2)'!H29</f>
        <v>8.6999999999999993</v>
      </c>
      <c r="I19" s="629">
        <f>'a20 (2)'!I29</f>
        <v>7.3</v>
      </c>
      <c r="J19" s="629">
        <f>'a20 (2)'!J29</f>
        <v>6.7</v>
      </c>
      <c r="K19" s="629">
        <f>'a20 (2)'!K29</f>
        <v>7.8</v>
      </c>
      <c r="L19" s="629">
        <f>'a20 (2)'!L29</f>
        <v>8.5</v>
      </c>
    </row>
    <row r="20" spans="1:12">
      <c r="A20" s="611">
        <f t="shared" si="0"/>
        <v>1996</v>
      </c>
      <c r="B20" s="629">
        <f>'a20 (2)'!B30</f>
        <v>9.6</v>
      </c>
      <c r="C20" s="629">
        <f>'a20 (2)'!C30</f>
        <v>18.899999999999999</v>
      </c>
      <c r="D20" s="629">
        <f>'a20 (2)'!D30</f>
        <v>14.6</v>
      </c>
      <c r="E20" s="629">
        <f>'a20 (2)'!E30</f>
        <v>12.4</v>
      </c>
      <c r="F20" s="629">
        <f>'a20 (2)'!F30</f>
        <v>11.6</v>
      </c>
      <c r="G20" s="629">
        <f>'a20 (2)'!G30</f>
        <v>11.8</v>
      </c>
      <c r="H20" s="629">
        <f>'a20 (2)'!H30</f>
        <v>9</v>
      </c>
      <c r="I20" s="629">
        <f>'a20 (2)'!I30</f>
        <v>7.2</v>
      </c>
      <c r="J20" s="629">
        <f>'a20 (2)'!J30</f>
        <v>6.6</v>
      </c>
      <c r="K20" s="629">
        <f>'a20 (2)'!K30</f>
        <v>6.9</v>
      </c>
      <c r="L20" s="629">
        <f>'a20 (2)'!L30</f>
        <v>8.6999999999999993</v>
      </c>
    </row>
    <row r="21" spans="1:12">
      <c r="A21" s="611">
        <f t="shared" si="0"/>
        <v>1997</v>
      </c>
      <c r="B21" s="629">
        <f>'a20 (2)'!B31</f>
        <v>9.1</v>
      </c>
      <c r="C21" s="629">
        <f>'a20 (2)'!C31</f>
        <v>18.100000000000001</v>
      </c>
      <c r="D21" s="629">
        <f>'a20 (2)'!D31</f>
        <v>15.3</v>
      </c>
      <c r="E21" s="629">
        <f>'a20 (2)'!E31</f>
        <v>12.1</v>
      </c>
      <c r="F21" s="629">
        <f>'a20 (2)'!F31</f>
        <v>12.6</v>
      </c>
      <c r="G21" s="629">
        <f>'a20 (2)'!G31</f>
        <v>11.4</v>
      </c>
      <c r="H21" s="629">
        <f>'a20 (2)'!H31</f>
        <v>8.4</v>
      </c>
      <c r="I21" s="629">
        <f>'a20 (2)'!I31</f>
        <v>6.5</v>
      </c>
      <c r="J21" s="629">
        <f>'a20 (2)'!J31</f>
        <v>5.9</v>
      </c>
      <c r="K21" s="629">
        <f>'a20 (2)'!K31</f>
        <v>5.9</v>
      </c>
      <c r="L21" s="629">
        <f>'a20 (2)'!L31</f>
        <v>8.5</v>
      </c>
    </row>
    <row r="22" spans="1:12">
      <c r="A22" s="611">
        <f t="shared" si="0"/>
        <v>1998</v>
      </c>
      <c r="B22" s="629">
        <f>'a20 (2)'!B32</f>
        <v>8.3000000000000007</v>
      </c>
      <c r="C22" s="629">
        <f>'a20 (2)'!C32</f>
        <v>17.600000000000001</v>
      </c>
      <c r="D22" s="629">
        <f>'a20 (2)'!D32</f>
        <v>13.9</v>
      </c>
      <c r="E22" s="629">
        <f>'a20 (2)'!E32</f>
        <v>10.5</v>
      </c>
      <c r="F22" s="629">
        <f>'a20 (2)'!F32</f>
        <v>12.2</v>
      </c>
      <c r="G22" s="629">
        <f>'a20 (2)'!G32</f>
        <v>10.3</v>
      </c>
      <c r="H22" s="629">
        <f>'a20 (2)'!H32</f>
        <v>7.2</v>
      </c>
      <c r="I22" s="629">
        <f>'a20 (2)'!I32</f>
        <v>5.5</v>
      </c>
      <c r="J22" s="629">
        <f>'a20 (2)'!J32</f>
        <v>5.8</v>
      </c>
      <c r="K22" s="629">
        <f>'a20 (2)'!K32</f>
        <v>5.6</v>
      </c>
      <c r="L22" s="629">
        <f>'a20 (2)'!L32</f>
        <v>8.8000000000000007</v>
      </c>
    </row>
    <row r="23" spans="1:12">
      <c r="A23" s="611">
        <f t="shared" si="0"/>
        <v>1999</v>
      </c>
      <c r="B23" s="629">
        <f>'a20 (2)'!B33</f>
        <v>7.6</v>
      </c>
      <c r="C23" s="629">
        <f>'a20 (2)'!C33</f>
        <v>16.7</v>
      </c>
      <c r="D23" s="629">
        <f>'a20 (2)'!D33</f>
        <v>14.3</v>
      </c>
      <c r="E23" s="629">
        <f>'a20 (2)'!E33</f>
        <v>9.6</v>
      </c>
      <c r="F23" s="629">
        <f>'a20 (2)'!F33</f>
        <v>10.199999999999999</v>
      </c>
      <c r="G23" s="629">
        <f>'a20 (2)'!G33</f>
        <v>9.3000000000000007</v>
      </c>
      <c r="H23" s="629">
        <f>'a20 (2)'!H33</f>
        <v>6.3</v>
      </c>
      <c r="I23" s="629">
        <f>'a20 (2)'!I33</f>
        <v>5.6</v>
      </c>
      <c r="J23" s="629">
        <f>'a20 (2)'!J33</f>
        <v>6</v>
      </c>
      <c r="K23" s="629">
        <f>'a20 (2)'!K33</f>
        <v>5.7</v>
      </c>
      <c r="L23" s="629">
        <f>'a20 (2)'!L33</f>
        <v>8.3000000000000007</v>
      </c>
    </row>
    <row r="24" spans="1:12">
      <c r="A24" s="611">
        <f t="shared" si="0"/>
        <v>2000</v>
      </c>
      <c r="B24" s="629">
        <f>'a20 (2)'!B34</f>
        <v>6.8</v>
      </c>
      <c r="C24" s="629">
        <f>'a20 (2)'!C34</f>
        <v>16.600000000000001</v>
      </c>
      <c r="D24" s="629">
        <f>'a20 (2)'!D34</f>
        <v>12</v>
      </c>
      <c r="E24" s="629">
        <f>'a20 (2)'!E34</f>
        <v>9.1</v>
      </c>
      <c r="F24" s="629">
        <f>'a20 (2)'!F34</f>
        <v>10</v>
      </c>
      <c r="G24" s="629">
        <f>'a20 (2)'!G34</f>
        <v>8.5</v>
      </c>
      <c r="H24" s="629">
        <f>'a20 (2)'!H34</f>
        <v>5.7</v>
      </c>
      <c r="I24" s="629">
        <f>'a20 (2)'!I34</f>
        <v>5</v>
      </c>
      <c r="J24" s="629">
        <f>'a20 (2)'!J34</f>
        <v>5.0999999999999996</v>
      </c>
      <c r="K24" s="629">
        <f>'a20 (2)'!K34</f>
        <v>5</v>
      </c>
      <c r="L24" s="629">
        <f>'a20 (2)'!L34</f>
        <v>7.2</v>
      </c>
    </row>
    <row r="25" spans="1:12">
      <c r="A25" s="611">
        <f t="shared" si="0"/>
        <v>2001</v>
      </c>
      <c r="B25" s="629">
        <f>'a20 (2)'!B35</f>
        <v>7.2</v>
      </c>
      <c r="C25" s="629">
        <f>'a20 (2)'!C35</f>
        <v>15.8</v>
      </c>
      <c r="D25" s="629">
        <f>'a20 (2)'!D35</f>
        <v>11.9</v>
      </c>
      <c r="E25" s="629">
        <f>'a20 (2)'!E35</f>
        <v>9.6999999999999993</v>
      </c>
      <c r="F25" s="629">
        <f>'a20 (2)'!F35</f>
        <v>11</v>
      </c>
      <c r="G25" s="629">
        <f>'a20 (2)'!G35</f>
        <v>8.8000000000000007</v>
      </c>
      <c r="H25" s="629">
        <f>'a20 (2)'!H35</f>
        <v>6.3</v>
      </c>
      <c r="I25" s="629">
        <f>'a20 (2)'!I35</f>
        <v>5.0999999999999996</v>
      </c>
      <c r="J25" s="629">
        <f>'a20 (2)'!J35</f>
        <v>5.8</v>
      </c>
      <c r="K25" s="629">
        <f>'a20 (2)'!K35</f>
        <v>4.7</v>
      </c>
      <c r="L25" s="629">
        <f>'a20 (2)'!L35</f>
        <v>7.7</v>
      </c>
    </row>
    <row r="26" spans="1:12">
      <c r="A26" s="611">
        <f t="shared" si="0"/>
        <v>2002</v>
      </c>
      <c r="B26" s="629">
        <f>'a20 (2)'!B36</f>
        <v>7.7</v>
      </c>
      <c r="C26" s="629">
        <f>'a20 (2)'!C36</f>
        <v>16.5</v>
      </c>
      <c r="D26" s="629">
        <f>'a20 (2)'!D36</f>
        <v>12</v>
      </c>
      <c r="E26" s="629">
        <f>'a20 (2)'!E36</f>
        <v>9.6</v>
      </c>
      <c r="F26" s="629">
        <f>'a20 (2)'!F36</f>
        <v>10.1</v>
      </c>
      <c r="G26" s="629">
        <f>'a20 (2)'!G36</f>
        <v>8.6999999999999993</v>
      </c>
      <c r="H26" s="629">
        <f>'a20 (2)'!H36</f>
        <v>7.2</v>
      </c>
      <c r="I26" s="629">
        <f>'a20 (2)'!I36</f>
        <v>5.0999999999999996</v>
      </c>
      <c r="J26" s="629">
        <f>'a20 (2)'!J36</f>
        <v>5.7</v>
      </c>
      <c r="K26" s="629">
        <f>'a20 (2)'!K36</f>
        <v>5.3</v>
      </c>
      <c r="L26" s="629">
        <f>'a20 (2)'!L36</f>
        <v>8.5</v>
      </c>
    </row>
    <row r="27" spans="1:12">
      <c r="A27" s="611">
        <f t="shared" si="0"/>
        <v>2003</v>
      </c>
      <c r="B27" s="629">
        <f>'a20 (2)'!B37</f>
        <v>7.6</v>
      </c>
      <c r="C27" s="629">
        <f>'a20 (2)'!C37</f>
        <v>16.399999999999999</v>
      </c>
      <c r="D27" s="629">
        <f>'a20 (2)'!D37</f>
        <v>11.1</v>
      </c>
      <c r="E27" s="629">
        <f>'a20 (2)'!E37</f>
        <v>9.1</v>
      </c>
      <c r="F27" s="629">
        <f>'a20 (2)'!F37</f>
        <v>10.199999999999999</v>
      </c>
      <c r="G27" s="629">
        <f>'a20 (2)'!G37</f>
        <v>9.1999999999999993</v>
      </c>
      <c r="H27" s="629">
        <f>'a20 (2)'!H37</f>
        <v>6.9</v>
      </c>
      <c r="I27" s="629">
        <f>'a20 (2)'!I37</f>
        <v>5</v>
      </c>
      <c r="J27" s="629">
        <f>'a20 (2)'!J37</f>
        <v>5.6</v>
      </c>
      <c r="K27" s="629">
        <f>'a20 (2)'!K37</f>
        <v>5.0999999999999996</v>
      </c>
      <c r="L27" s="629">
        <f>'a20 (2)'!L37</f>
        <v>8</v>
      </c>
    </row>
    <row r="28" spans="1:12">
      <c r="A28" s="611">
        <f t="shared" si="0"/>
        <v>2004</v>
      </c>
      <c r="B28" s="629">
        <f>'a20 (2)'!B38</f>
        <v>7.2</v>
      </c>
      <c r="C28" s="629">
        <f>'a20 (2)'!C38</f>
        <v>15.6</v>
      </c>
      <c r="D28" s="629">
        <f>'a20 (2)'!D38</f>
        <v>11.2</v>
      </c>
      <c r="E28" s="629">
        <f>'a20 (2)'!E38</f>
        <v>8.8000000000000007</v>
      </c>
      <c r="F28" s="629">
        <f>'a20 (2)'!F38</f>
        <v>9.6999999999999993</v>
      </c>
      <c r="G28" s="629">
        <f>'a20 (2)'!G38</f>
        <v>8.5</v>
      </c>
      <c r="H28" s="629">
        <f>'a20 (2)'!H38</f>
        <v>6.8</v>
      </c>
      <c r="I28" s="629">
        <f>'a20 (2)'!I38</f>
        <v>5.3</v>
      </c>
      <c r="J28" s="629">
        <f>'a20 (2)'!J38</f>
        <v>5.3</v>
      </c>
      <c r="K28" s="629">
        <f>'a20 (2)'!K38</f>
        <v>4.7</v>
      </c>
      <c r="L28" s="629">
        <f>'a20 (2)'!L38</f>
        <v>7.2</v>
      </c>
    </row>
    <row r="29" spans="1:12">
      <c r="A29" s="611">
        <f t="shared" si="0"/>
        <v>2005</v>
      </c>
      <c r="B29" s="629">
        <f>'a20 (2)'!B39</f>
        <v>6.8</v>
      </c>
      <c r="C29" s="629">
        <f>'a20 (2)'!C39</f>
        <v>15.1</v>
      </c>
      <c r="D29" s="629">
        <f>'a20 (2)'!D39</f>
        <v>10.8</v>
      </c>
      <c r="E29" s="629">
        <f>'a20 (2)'!E39</f>
        <v>8.4</v>
      </c>
      <c r="F29" s="629">
        <f>'a20 (2)'!F39</f>
        <v>9.6</v>
      </c>
      <c r="G29" s="629">
        <f>'a20 (2)'!G39</f>
        <v>8.3000000000000007</v>
      </c>
      <c r="H29" s="629">
        <f>'a20 (2)'!H39</f>
        <v>6.6</v>
      </c>
      <c r="I29" s="629">
        <f>'a20 (2)'!I39</f>
        <v>4.8</v>
      </c>
      <c r="J29" s="629">
        <f>'a20 (2)'!J39</f>
        <v>5.0999999999999996</v>
      </c>
      <c r="K29" s="629">
        <f>'a20 (2)'!K39</f>
        <v>4</v>
      </c>
      <c r="L29" s="629">
        <f>'a20 (2)'!L39</f>
        <v>5.8</v>
      </c>
    </row>
    <row r="30" spans="1:12">
      <c r="A30" s="611">
        <f t="shared" si="0"/>
        <v>2006</v>
      </c>
      <c r="B30" s="629">
        <f>'a20 (2)'!B40</f>
        <v>6.3</v>
      </c>
      <c r="C30" s="629">
        <f>'a20 (2)'!C40</f>
        <v>14.7</v>
      </c>
      <c r="D30" s="629">
        <f>'a20 (2)'!D40</f>
        <v>11.1</v>
      </c>
      <c r="E30" s="629">
        <f>'a20 (2)'!E40</f>
        <v>7.9</v>
      </c>
      <c r="F30" s="629">
        <f>'a20 (2)'!F40</f>
        <v>8.6999999999999993</v>
      </c>
      <c r="G30" s="629">
        <f>'a20 (2)'!G40</f>
        <v>8.1</v>
      </c>
      <c r="H30" s="629">
        <f>'a20 (2)'!H40</f>
        <v>6.3</v>
      </c>
      <c r="I30" s="629">
        <f>'a20 (2)'!I40</f>
        <v>4.3</v>
      </c>
      <c r="J30" s="629">
        <f>'a20 (2)'!J40</f>
        <v>4.7</v>
      </c>
      <c r="K30" s="629">
        <f>'a20 (2)'!K40</f>
        <v>3.4</v>
      </c>
      <c r="L30" s="629">
        <f>'a20 (2)'!L40</f>
        <v>4.8</v>
      </c>
    </row>
    <row r="31" spans="1:12">
      <c r="A31" s="611">
        <f t="shared" si="0"/>
        <v>2007</v>
      </c>
      <c r="B31" s="629">
        <f>'a20 (2)'!B41</f>
        <v>6</v>
      </c>
      <c r="C31" s="629">
        <f>'a20 (2)'!C41</f>
        <v>13.5</v>
      </c>
      <c r="D31" s="629">
        <f>'a20 (2)'!D41</f>
        <v>10.3</v>
      </c>
      <c r="E31" s="629">
        <f>'a20 (2)'!E41</f>
        <v>8</v>
      </c>
      <c r="F31" s="629">
        <f>'a20 (2)'!F41</f>
        <v>7.5</v>
      </c>
      <c r="G31" s="629">
        <f>'a20 (2)'!G41</f>
        <v>7.2</v>
      </c>
      <c r="H31" s="629">
        <f>'a20 (2)'!H41</f>
        <v>6.4</v>
      </c>
      <c r="I31" s="629">
        <f>'a20 (2)'!I41</f>
        <v>4.4000000000000004</v>
      </c>
      <c r="J31" s="629">
        <f>'a20 (2)'!J41</f>
        <v>4.2</v>
      </c>
      <c r="K31" s="629">
        <f>'a20 (2)'!K41</f>
        <v>3.5</v>
      </c>
      <c r="L31" s="629">
        <f>'a20 (2)'!L41</f>
        <v>4.3</v>
      </c>
    </row>
    <row r="32" spans="1:12">
      <c r="A32" s="611">
        <f t="shared" si="0"/>
        <v>2008</v>
      </c>
      <c r="B32" s="629">
        <f>'a20 (2)'!B42</f>
        <v>6.1</v>
      </c>
      <c r="C32" s="629">
        <f>'a20 (2)'!C42</f>
        <v>13.2</v>
      </c>
      <c r="D32" s="629">
        <f>'a20 (2)'!D42</f>
        <v>10.8</v>
      </c>
      <c r="E32" s="629">
        <f>'a20 (2)'!E42</f>
        <v>7.7</v>
      </c>
      <c r="F32" s="629">
        <f>'a20 (2)'!F42</f>
        <v>8.5</v>
      </c>
      <c r="G32" s="629">
        <f>'a20 (2)'!G42</f>
        <v>7.2</v>
      </c>
      <c r="H32" s="629">
        <f>'a20 (2)'!H42</f>
        <v>6.5</v>
      </c>
      <c r="I32" s="629">
        <f>'a20 (2)'!I42</f>
        <v>4.2</v>
      </c>
      <c r="J32" s="629">
        <f>'a20 (2)'!J42</f>
        <v>4.0999999999999996</v>
      </c>
      <c r="K32" s="629">
        <f>'a20 (2)'!K42</f>
        <v>3.6</v>
      </c>
      <c r="L32" s="629">
        <f>'a20 (2)'!L42</f>
        <v>4.5999999999999996</v>
      </c>
    </row>
    <row r="33" spans="1:12">
      <c r="A33" s="611">
        <f t="shared" si="0"/>
        <v>2009</v>
      </c>
      <c r="B33" s="629">
        <f>'a20 (2)'!B43</f>
        <v>8.3000000000000007</v>
      </c>
      <c r="C33" s="629">
        <f>'a20 (2)'!C43</f>
        <v>15.5</v>
      </c>
      <c r="D33" s="629">
        <f>'a20 (2)'!D43</f>
        <v>12.1</v>
      </c>
      <c r="E33" s="629">
        <f>'a20 (2)'!E43</f>
        <v>9.1999999999999993</v>
      </c>
      <c r="F33" s="629">
        <f>'a20 (2)'!F43</f>
        <v>8.8000000000000007</v>
      </c>
      <c r="G33" s="629">
        <f>'a20 (2)'!G43</f>
        <v>8.5</v>
      </c>
      <c r="H33" s="629">
        <f>'a20 (2)'!H43</f>
        <v>9</v>
      </c>
      <c r="I33" s="629">
        <f>'a20 (2)'!I43</f>
        <v>5.2</v>
      </c>
      <c r="J33" s="629">
        <f>'a20 (2)'!J43</f>
        <v>4.8</v>
      </c>
      <c r="K33" s="629">
        <f>'a20 (2)'!K43</f>
        <v>6.6</v>
      </c>
      <c r="L33" s="629">
        <f>'a20 (2)'!L43</f>
        <v>7.7</v>
      </c>
    </row>
    <row r="34" spans="1:12">
      <c r="A34" s="611">
        <f t="shared" si="0"/>
        <v>2010</v>
      </c>
      <c r="B34" s="629">
        <f>'a20 (2)'!B44</f>
        <v>8</v>
      </c>
      <c r="C34" s="629">
        <f>'a20 (2)'!C44</f>
        <v>14.4</v>
      </c>
      <c r="D34" s="629">
        <f>'a20 (2)'!D44</f>
        <v>11.2</v>
      </c>
      <c r="E34" s="629">
        <f>'a20 (2)'!E44</f>
        <v>9.3000000000000007</v>
      </c>
      <c r="F34" s="629">
        <f>'a20 (2)'!F44</f>
        <v>9.3000000000000007</v>
      </c>
      <c r="G34" s="629">
        <f>'a20 (2)'!G44</f>
        <v>8</v>
      </c>
      <c r="H34" s="629">
        <f>'a20 (2)'!H44</f>
        <v>8.6999999999999993</v>
      </c>
      <c r="I34" s="629">
        <f>'a20 (2)'!I44</f>
        <v>5.4</v>
      </c>
      <c r="J34" s="629">
        <f>'a20 (2)'!J44</f>
        <v>5.2</v>
      </c>
      <c r="K34" s="629">
        <f>'a20 (2)'!K44</f>
        <v>6.5</v>
      </c>
      <c r="L34" s="629">
        <f>'a20 (2)'!L44</f>
        <v>7.6</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0.17702994223509627</v>
      </c>
      <c r="C36" s="617">
        <f t="shared" si="1"/>
        <v>0.22279444341630761</v>
      </c>
      <c r="D36" s="617">
        <f t="shared" si="1"/>
        <v>-3.0646845712634097E-2</v>
      </c>
      <c r="E36" s="617">
        <f t="shared" si="1"/>
        <v>-0.2499309196937527</v>
      </c>
      <c r="F36" s="617">
        <f t="shared" si="1"/>
        <v>-0.75914074960942157</v>
      </c>
      <c r="G36" s="617">
        <f t="shared" si="1"/>
        <v>-0.93331974725571198</v>
      </c>
      <c r="H36" s="617">
        <f t="shared" si="1"/>
        <v>0.95714950527343579</v>
      </c>
      <c r="I36" s="617">
        <f t="shared" si="1"/>
        <v>-0.36265294299977491</v>
      </c>
      <c r="J36" s="617">
        <f t="shared" si="1"/>
        <v>0.49980081956264577</v>
      </c>
      <c r="K36" s="617">
        <f t="shared" si="1"/>
        <v>1.7770730028732862</v>
      </c>
      <c r="L36" s="617">
        <f t="shared" si="1"/>
        <v>0.38427311589956936</v>
      </c>
    </row>
    <row r="37" spans="1:12">
      <c r="A37" s="611" t="s">
        <v>1472</v>
      </c>
      <c r="B37" s="617">
        <f t="shared" ref="B37:L37" si="2">100*(POWER(B13/B5, 1/8)-1)</f>
        <v>-0.1654283505851728</v>
      </c>
      <c r="C37" s="617">
        <f t="shared" si="2"/>
        <v>1.741875991345232</v>
      </c>
      <c r="D37" s="617">
        <f t="shared" si="2"/>
        <v>2.4366259940218571</v>
      </c>
      <c r="E37" s="617">
        <f t="shared" si="2"/>
        <v>-0.12555031772735203</v>
      </c>
      <c r="F37" s="617">
        <f t="shared" si="2"/>
        <v>0.52889818538148781</v>
      </c>
      <c r="G37" s="617">
        <f t="shared" si="2"/>
        <v>-1.1139016408372004</v>
      </c>
      <c r="H37" s="617">
        <f t="shared" si="2"/>
        <v>-3.4108690431626565</v>
      </c>
      <c r="I37" s="617">
        <f t="shared" si="2"/>
        <v>2.8285594297889682</v>
      </c>
      <c r="J37" s="617">
        <f t="shared" si="2"/>
        <v>6.2340633877926654</v>
      </c>
      <c r="K37" s="617">
        <f t="shared" si="2"/>
        <v>7.9651235737972392</v>
      </c>
      <c r="L37" s="617">
        <f t="shared" si="2"/>
        <v>3.7090270548034487</v>
      </c>
    </row>
    <row r="38" spans="1:12">
      <c r="A38" s="611" t="s">
        <v>1473</v>
      </c>
      <c r="B38" s="617">
        <f t="shared" ref="B38:L38" si="3">100*(POWER(B24/B13, 1/11)-1)</f>
        <v>-0.88677572892958967</v>
      </c>
      <c r="C38" s="617">
        <f t="shared" si="3"/>
        <v>0.62524355103499296</v>
      </c>
      <c r="D38" s="617">
        <f t="shared" si="3"/>
        <v>-1.1972226881967085</v>
      </c>
      <c r="E38" s="617">
        <f t="shared" si="3"/>
        <v>-0.76307679655581717</v>
      </c>
      <c r="F38" s="617">
        <f t="shared" si="3"/>
        <v>-1.7179837912294493</v>
      </c>
      <c r="G38" s="617">
        <f t="shared" si="3"/>
        <v>-1.1002383848907282</v>
      </c>
      <c r="H38" s="617">
        <f t="shared" si="3"/>
        <v>1.1982886570432116</v>
      </c>
      <c r="I38" s="617">
        <f t="shared" si="3"/>
        <v>-3.6189388115712484</v>
      </c>
      <c r="J38" s="617">
        <f t="shared" si="3"/>
        <v>-3.2077322481965487</v>
      </c>
      <c r="K38" s="617">
        <f t="shared" si="3"/>
        <v>-3.2605954685917649</v>
      </c>
      <c r="L38" s="617">
        <f t="shared" si="3"/>
        <v>-2.1065269225605365</v>
      </c>
    </row>
    <row r="39" spans="1:12">
      <c r="A39" s="611" t="s">
        <v>1474</v>
      </c>
      <c r="B39" s="617">
        <f t="shared" ref="B39:L39" si="4">100*(POWER(B32/B24, 1/8)-1)</f>
        <v>-1.3487448291852999</v>
      </c>
      <c r="C39" s="617">
        <f t="shared" si="4"/>
        <v>-2.8241763384366236</v>
      </c>
      <c r="D39" s="617">
        <f t="shared" si="4"/>
        <v>-1.3083718633998487</v>
      </c>
      <c r="E39" s="617">
        <f t="shared" si="4"/>
        <v>-2.0665246305667906</v>
      </c>
      <c r="F39" s="617">
        <f t="shared" si="4"/>
        <v>-2.0109909528528869</v>
      </c>
      <c r="G39" s="617">
        <f t="shared" si="4"/>
        <v>-2.0534380421322829</v>
      </c>
      <c r="H39" s="617">
        <f t="shared" si="4"/>
        <v>1.6552499688891498</v>
      </c>
      <c r="I39" s="617">
        <f t="shared" si="4"/>
        <v>-2.1558396357677534</v>
      </c>
      <c r="J39" s="617">
        <f t="shared" si="4"/>
        <v>-2.6912911587354427</v>
      </c>
      <c r="K39" s="617">
        <f t="shared" si="4"/>
        <v>-4.0231345417354518</v>
      </c>
      <c r="L39" s="617">
        <f t="shared" si="4"/>
        <v>-5.4463786119686164</v>
      </c>
    </row>
    <row r="40" spans="1:12">
      <c r="A40" s="611" t="s">
        <v>1500</v>
      </c>
      <c r="B40" s="611"/>
      <c r="C40" s="611"/>
      <c r="D40" s="611"/>
      <c r="E40" s="611"/>
      <c r="F40" s="611"/>
      <c r="G40" s="611"/>
      <c r="H40" s="611"/>
      <c r="I40" s="611"/>
      <c r="J40" s="611"/>
      <c r="K40" s="611"/>
      <c r="L40" s="611"/>
    </row>
    <row r="41" spans="1:12">
      <c r="A41" s="611" t="s">
        <v>1498</v>
      </c>
      <c r="B41" s="616">
        <f>100*(B34-B5)/B5</f>
        <v>5.2631578947368469</v>
      </c>
      <c r="C41" s="616">
        <f t="shared" ref="C41:L41" si="5">100*(C34-C5)/C5</f>
        <v>6.6666666666666687</v>
      </c>
      <c r="D41" s="616">
        <f t="shared" si="5"/>
        <v>-0.88495575221240186</v>
      </c>
      <c r="E41" s="616">
        <f t="shared" si="5"/>
        <v>-6.9999999999999929</v>
      </c>
      <c r="F41" s="616">
        <f t="shared" si="5"/>
        <v>-19.827586206896541</v>
      </c>
      <c r="G41" s="616">
        <f t="shared" si="5"/>
        <v>-23.80952380952381</v>
      </c>
      <c r="H41" s="616">
        <f t="shared" si="5"/>
        <v>31.818181818181817</v>
      </c>
      <c r="I41" s="616">
        <f t="shared" si="5"/>
        <v>-9.9999999999999947</v>
      </c>
      <c r="J41" s="616">
        <f>100*(J34-J5)/J5</f>
        <v>15.555555555555559</v>
      </c>
      <c r="K41" s="616">
        <f t="shared" si="5"/>
        <v>66.666666666666671</v>
      </c>
      <c r="L41" s="616">
        <f t="shared" si="5"/>
        <v>11.76470588235294</v>
      </c>
    </row>
    <row r="42" spans="1:12">
      <c r="A42" s="611" t="s">
        <v>1472</v>
      </c>
      <c r="B42" s="616">
        <f>100*(B13-B5)/B5</f>
        <v>-1.315789473684206</v>
      </c>
      <c r="C42" s="616">
        <f t="shared" ref="C42:L42" si="6">100*(C13-C5)/C5</f>
        <v>14.814814814814815</v>
      </c>
      <c r="D42" s="616">
        <f t="shared" si="6"/>
        <v>21.238938053097332</v>
      </c>
      <c r="E42" s="616">
        <f t="shared" si="6"/>
        <v>-0.99999999999999645</v>
      </c>
      <c r="F42" s="616">
        <f t="shared" si="6"/>
        <v>4.3103448275862073</v>
      </c>
      <c r="G42" s="616">
        <f t="shared" si="6"/>
        <v>-8.5714285714285747</v>
      </c>
      <c r="H42" s="616">
        <f t="shared" si="6"/>
        <v>-24.242424242424239</v>
      </c>
      <c r="I42" s="616">
        <f t="shared" si="6"/>
        <v>25</v>
      </c>
      <c r="J42" s="616">
        <f t="shared" si="6"/>
        <v>62.222222222222221</v>
      </c>
      <c r="K42" s="616">
        <f t="shared" si="6"/>
        <v>84.615384615384613</v>
      </c>
      <c r="L42" s="616">
        <f t="shared" si="6"/>
        <v>33.823529411764703</v>
      </c>
    </row>
    <row r="43" spans="1:12">
      <c r="A43" s="611" t="s">
        <v>1473</v>
      </c>
      <c r="B43" s="616">
        <f>100*(B24-B13)/B13</f>
        <v>-9.3333333333333357</v>
      </c>
      <c r="C43" s="616">
        <f t="shared" ref="C43:L43" si="7">100*(C24-C13)/C13</f>
        <v>7.0967741935483959</v>
      </c>
      <c r="D43" s="616">
        <f t="shared" si="7"/>
        <v>-12.408759124087588</v>
      </c>
      <c r="E43" s="616">
        <f t="shared" si="7"/>
        <v>-8.0808080808080884</v>
      </c>
      <c r="F43" s="616">
        <f t="shared" si="7"/>
        <v>-17.355371900826444</v>
      </c>
      <c r="G43" s="616">
        <f t="shared" si="7"/>
        <v>-11.45833333333333</v>
      </c>
      <c r="H43" s="616">
        <f t="shared" si="7"/>
        <v>14.000000000000004</v>
      </c>
      <c r="I43" s="616">
        <f t="shared" si="7"/>
        <v>-33.333333333333336</v>
      </c>
      <c r="J43" s="616">
        <f t="shared" si="7"/>
        <v>-30.136986301369866</v>
      </c>
      <c r="K43" s="616">
        <f t="shared" si="7"/>
        <v>-30.555555555555557</v>
      </c>
      <c r="L43" s="616">
        <f t="shared" si="7"/>
        <v>-20.879120879120872</v>
      </c>
    </row>
    <row r="44" spans="1:12">
      <c r="A44" s="611" t="s">
        <v>1474</v>
      </c>
      <c r="B44" s="616">
        <f>100*(B32-B24)/B24</f>
        <v>-10.294117647058826</v>
      </c>
      <c r="C44" s="616">
        <f t="shared" ref="C44:L44" si="8">100*(C32-C24)/C24</f>
        <v>-20.481927710843387</v>
      </c>
      <c r="D44" s="616">
        <f t="shared" si="8"/>
        <v>-9.9999999999999947</v>
      </c>
      <c r="E44" s="616">
        <f t="shared" si="8"/>
        <v>-15.38461538461538</v>
      </c>
      <c r="F44" s="616">
        <f t="shared" si="8"/>
        <v>-15</v>
      </c>
      <c r="G44" s="616">
        <f t="shared" si="8"/>
        <v>-15.294117647058821</v>
      </c>
      <c r="H44" s="616">
        <f t="shared" si="8"/>
        <v>14.035087719298243</v>
      </c>
      <c r="I44" s="616">
        <f t="shared" si="8"/>
        <v>-15.999999999999996</v>
      </c>
      <c r="J44" s="616">
        <f t="shared" si="8"/>
        <v>-19.607843137254903</v>
      </c>
      <c r="K44" s="616">
        <f t="shared" si="8"/>
        <v>-28</v>
      </c>
      <c r="L44" s="616">
        <f t="shared" si="8"/>
        <v>-36.111111111111121</v>
      </c>
    </row>
    <row r="46" spans="1:12">
      <c r="A46" s="611" t="s">
        <v>1549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EH57"/>
  <sheetViews>
    <sheetView view="pageBreakPreview" zoomScaleSheetLayoutView="100" workbookViewId="0">
      <pane xSplit="1" ySplit="6" topLeftCell="T7" activePane="bottomRight" state="frozen"/>
      <selection activeCell="E9" sqref="E9"/>
      <selection pane="topRight" activeCell="E9" sqref="E9"/>
      <selection pane="bottomLeft" activeCell="E9" sqref="E9"/>
      <selection pane="bottomRight" activeCell="E9" sqref="E9"/>
    </sheetView>
  </sheetViews>
  <sheetFormatPr defaultColWidth="8.875" defaultRowHeight="12.75"/>
  <cols>
    <col min="1" max="1" width="8.875" style="1" customWidth="1"/>
    <col min="2" max="2" width="10.375" style="1" customWidth="1"/>
    <col min="3" max="3" width="8.875" style="1" customWidth="1"/>
    <col min="4" max="4" width="9.5" style="1" customWidth="1"/>
    <col min="5" max="5" width="10.75" style="1" customWidth="1"/>
    <col min="6" max="6" width="11" style="1" customWidth="1"/>
    <col min="7" max="7" width="9.875" style="1" customWidth="1"/>
    <col min="8" max="8" width="11" style="1" customWidth="1"/>
    <col min="9" max="9" width="11.5" style="1" customWidth="1"/>
    <col min="10" max="10" width="10.5" style="1" customWidth="1"/>
    <col min="11" max="95" width="10.875" style="1" customWidth="1"/>
    <col min="96" max="16384" width="8.875" style="1"/>
  </cols>
  <sheetData>
    <row r="1" spans="1:30" ht="15.75">
      <c r="B1" s="2" t="s">
        <v>74</v>
      </c>
      <c r="Q1" s="2" t="s">
        <v>200</v>
      </c>
    </row>
    <row r="3" spans="1:30" s="3" customFormat="1" ht="15">
      <c r="B3" s="3" t="s">
        <v>321</v>
      </c>
      <c r="K3" s="3" t="s">
        <v>370</v>
      </c>
      <c r="M3" s="3" t="s">
        <v>371</v>
      </c>
      <c r="O3" s="3" t="s">
        <v>372</v>
      </c>
      <c r="Q3" s="3" t="s">
        <v>373</v>
      </c>
      <c r="S3" s="3" t="s">
        <v>374</v>
      </c>
      <c r="U3" s="3" t="s">
        <v>375</v>
      </c>
      <c r="W3" s="3" t="s">
        <v>376</v>
      </c>
      <c r="Y3" s="3" t="s">
        <v>377</v>
      </c>
      <c r="AA3" s="3" t="s">
        <v>378</v>
      </c>
      <c r="AC3" s="3" t="s">
        <v>379</v>
      </c>
    </row>
    <row r="4" spans="1:30" s="4" customFormat="1" ht="76.5">
      <c r="B4" s="4" t="s">
        <v>400</v>
      </c>
      <c r="C4" s="4" t="s">
        <v>401</v>
      </c>
      <c r="D4" s="4" t="s">
        <v>402</v>
      </c>
      <c r="E4" s="4" t="s">
        <v>403</v>
      </c>
      <c r="F4" s="4" t="s">
        <v>691</v>
      </c>
      <c r="G4" s="4" t="s">
        <v>369</v>
      </c>
      <c r="H4" s="4" t="s">
        <v>693</v>
      </c>
      <c r="I4" s="4" t="s">
        <v>694</v>
      </c>
      <c r="J4" s="4" t="s">
        <v>404</v>
      </c>
      <c r="K4" s="4" t="s">
        <v>694</v>
      </c>
      <c r="L4" s="4" t="s">
        <v>693</v>
      </c>
      <c r="M4" s="4" t="s">
        <v>694</v>
      </c>
      <c r="N4" s="4" t="s">
        <v>693</v>
      </c>
      <c r="O4" s="4" t="s">
        <v>694</v>
      </c>
      <c r="P4" s="4" t="s">
        <v>693</v>
      </c>
      <c r="Q4" s="4" t="s">
        <v>694</v>
      </c>
      <c r="R4" s="4" t="s">
        <v>693</v>
      </c>
      <c r="S4" s="4" t="s">
        <v>694</v>
      </c>
      <c r="T4" s="4" t="s">
        <v>693</v>
      </c>
      <c r="U4" s="4" t="s">
        <v>694</v>
      </c>
      <c r="V4" s="4" t="s">
        <v>693</v>
      </c>
      <c r="W4" s="4" t="s">
        <v>694</v>
      </c>
      <c r="X4" s="4" t="s">
        <v>693</v>
      </c>
      <c r="Y4" s="4" t="s">
        <v>694</v>
      </c>
      <c r="Z4" s="4" t="s">
        <v>693</v>
      </c>
      <c r="AA4" s="4" t="s">
        <v>694</v>
      </c>
      <c r="AB4" s="4" t="s">
        <v>693</v>
      </c>
      <c r="AC4" s="4" t="s">
        <v>694</v>
      </c>
      <c r="AD4" s="4" t="s">
        <v>693</v>
      </c>
    </row>
    <row r="5" spans="1:30" s="4" customFormat="1" hidden="1"/>
    <row r="6" spans="1:30" s="4" customFormat="1" ht="25.5">
      <c r="B6" s="4" t="s">
        <v>105</v>
      </c>
      <c r="C6" s="4" t="s">
        <v>106</v>
      </c>
      <c r="D6" s="4" t="s">
        <v>107</v>
      </c>
      <c r="E6" s="4" t="s">
        <v>108</v>
      </c>
      <c r="F6" s="4" t="s">
        <v>109</v>
      </c>
      <c r="G6" s="4" t="s">
        <v>110</v>
      </c>
      <c r="H6" s="4" t="s">
        <v>213</v>
      </c>
      <c r="I6" s="4" t="s">
        <v>112</v>
      </c>
      <c r="J6" s="4" t="s">
        <v>176</v>
      </c>
      <c r="K6" s="4" t="s">
        <v>113</v>
      </c>
      <c r="L6" s="4" t="s">
        <v>177</v>
      </c>
      <c r="M6" s="4" t="s">
        <v>115</v>
      </c>
      <c r="N6" s="4" t="s">
        <v>178</v>
      </c>
      <c r="O6" s="4" t="s">
        <v>139</v>
      </c>
      <c r="P6" s="4" t="s">
        <v>179</v>
      </c>
      <c r="Q6" s="4" t="s">
        <v>105</v>
      </c>
      <c r="R6" s="4" t="s">
        <v>106</v>
      </c>
      <c r="S6" s="4" t="s">
        <v>107</v>
      </c>
      <c r="T6" s="4" t="s">
        <v>108</v>
      </c>
      <c r="U6" s="4" t="s">
        <v>109</v>
      </c>
      <c r="V6" s="4" t="s">
        <v>110</v>
      </c>
      <c r="W6" s="4" t="s">
        <v>175</v>
      </c>
      <c r="X6" s="4" t="s">
        <v>112</v>
      </c>
      <c r="Y6" s="4" t="s">
        <v>176</v>
      </c>
      <c r="Z6" s="4" t="s">
        <v>113</v>
      </c>
      <c r="AA6" s="4" t="s">
        <v>177</v>
      </c>
      <c r="AB6" s="4" t="s">
        <v>115</v>
      </c>
      <c r="AC6" s="4" t="s">
        <v>178</v>
      </c>
      <c r="AD6" s="4" t="s">
        <v>139</v>
      </c>
    </row>
    <row r="7" spans="1:30" s="4" customFormat="1" hidden="1"/>
    <row r="8" spans="1:30" hidden="1">
      <c r="A8" s="1">
        <v>1971</v>
      </c>
      <c r="B8" s="6">
        <v>10.199999999999999</v>
      </c>
      <c r="C8" s="6">
        <v>1.9</v>
      </c>
      <c r="D8" s="6">
        <v>0.5</v>
      </c>
      <c r="E8" s="6">
        <v>7.2</v>
      </c>
      <c r="F8" s="6">
        <f>(SUM(B8:E8))/'a1'!$B$24*100</f>
        <v>30.182926829268297</v>
      </c>
      <c r="G8" s="7">
        <f>'a1'!F8</f>
        <v>21962032</v>
      </c>
      <c r="H8" s="7">
        <f t="shared" ref="H8:H17" si="0">F8*1000000000/G8</f>
        <v>1374.3230512216855</v>
      </c>
      <c r="I8" s="7">
        <f>'a1'!G8</f>
        <v>11453.143174332288</v>
      </c>
      <c r="J8" s="9">
        <f>H8/I8*100</f>
        <v>11.999527381284201</v>
      </c>
      <c r="K8" s="7">
        <f>'a1'!M8</f>
        <v>7441.7672356925686</v>
      </c>
      <c r="L8" s="7">
        <f>K8*($J8/100)</f>
        <v>892.97689709836618</v>
      </c>
      <c r="M8" s="7">
        <f>'a1'!S8</f>
        <v>9905.6814040041645</v>
      </c>
      <c r="N8" s="7">
        <f>M8*($J8/100)</f>
        <v>1188.6349523762572</v>
      </c>
      <c r="O8" s="7">
        <f>'a1'!Y8</f>
        <v>10973.690017829069</v>
      </c>
      <c r="P8" s="7">
        <f t="shared" ref="P8:P44" si="1">O8*($J8/100)</f>
        <v>1316.7909384266502</v>
      </c>
      <c r="Q8" s="7">
        <f>'a1'!AE8</f>
        <v>8904.3455424717486</v>
      </c>
      <c r="R8" s="7">
        <f t="shared" ref="R8:R44" si="2">Q8*($J8/100)</f>
        <v>1068.4793814930567</v>
      </c>
      <c r="S8" s="7">
        <f>'a1'!AK8</f>
        <v>9877.4920181473481</v>
      </c>
      <c r="T8" s="7">
        <f t="shared" ref="T8:T44" si="3">S8*($J8/100)</f>
        <v>1185.2523593017524</v>
      </c>
      <c r="U8" s="7">
        <f>'a1'!AQ8</f>
        <v>12924.407073198356</v>
      </c>
      <c r="V8" s="7">
        <f t="shared" ref="V8:V44" si="4">U8*($J8/100)</f>
        <v>1550.8677656170687</v>
      </c>
      <c r="W8" s="7">
        <f>'a1'!AW8</f>
        <v>10963.201344925839</v>
      </c>
      <c r="X8" s="7">
        <f t="shared" ref="X8:X44" si="5">W8*($J8/100)</f>
        <v>1315.5323472496939</v>
      </c>
      <c r="Y8" s="7">
        <f>'a1'!BC8</f>
        <v>9078.7271774896944</v>
      </c>
      <c r="Z8" s="7">
        <f t="shared" ref="Z8:Z44" si="6">Y8*($J8/100)</f>
        <v>1089.4043535349663</v>
      </c>
      <c r="AA8" s="7">
        <f>'a1'!BI8</f>
        <v>11509.104753847409</v>
      </c>
      <c r="AB8" s="7">
        <f t="shared" ref="AB8:AB44" si="7">AA8*($J8/100)</f>
        <v>1381.0381762786014</v>
      </c>
      <c r="AC8" s="7">
        <f>'a1'!BO8</f>
        <v>13354.425060866773</v>
      </c>
      <c r="AD8" s="7">
        <f t="shared" ref="AD8:AD44" si="8">AC8*($J8/100)</f>
        <v>1602.4678917917879</v>
      </c>
    </row>
    <row r="9" spans="1:30" hidden="1">
      <c r="A9" s="1">
        <v>1972</v>
      </c>
      <c r="B9" s="6">
        <v>11.9</v>
      </c>
      <c r="C9" s="6">
        <v>2.1</v>
      </c>
      <c r="D9" s="6">
        <v>0.6</v>
      </c>
      <c r="E9" s="6">
        <v>8.5</v>
      </c>
      <c r="F9" s="6">
        <f>(SUM(B9:E9))/'a1'!$B$24*100</f>
        <v>35.213414634146346</v>
      </c>
      <c r="G9" s="7">
        <f>'a1'!F9</f>
        <v>22218463</v>
      </c>
      <c r="H9" s="7">
        <f t="shared" si="0"/>
        <v>1584.8717633684359</v>
      </c>
      <c r="I9" s="7">
        <f>'a1'!G9</f>
        <v>12088.80192503593</v>
      </c>
      <c r="J9" s="9">
        <f t="shared" ref="J9:J39" si="9">H9/I9*100</f>
        <v>13.1102467655307</v>
      </c>
      <c r="K9" s="7">
        <f>'a1'!M9</f>
        <v>8052.1417487677536</v>
      </c>
      <c r="L9" s="7">
        <f t="shared" ref="L9:N40" si="10">K9*($J9/100)</f>
        <v>1055.6556531737715</v>
      </c>
      <c r="M9" s="7">
        <f>'a1'!S9</f>
        <v>10563.437354588848</v>
      </c>
      <c r="N9" s="7">
        <f t="shared" si="10"/>
        <v>1384.8927041088464</v>
      </c>
      <c r="O9" s="7">
        <f>'a1'!Y9</f>
        <v>11608.084024049811</v>
      </c>
      <c r="P9" s="7">
        <f t="shared" si="1"/>
        <v>1521.8484603030763</v>
      </c>
      <c r="Q9" s="7">
        <f>'a1'!AE9</f>
        <v>9307.316636025158</v>
      </c>
      <c r="R9" s="7">
        <f t="shared" si="2"/>
        <v>1220.212178232189</v>
      </c>
      <c r="S9" s="7">
        <f>'a1'!AK9</f>
        <v>10560.008691080071</v>
      </c>
      <c r="T9" s="7">
        <f t="shared" si="3"/>
        <v>1384.4431978620858</v>
      </c>
      <c r="U9" s="7">
        <f>'a1'!AQ9</f>
        <v>13549.299272437223</v>
      </c>
      <c r="V9" s="7">
        <f t="shared" si="4"/>
        <v>1776.3465696167757</v>
      </c>
      <c r="W9" s="7">
        <f>'a1'!AW9</f>
        <v>11613.541551389708</v>
      </c>
      <c r="X9" s="7">
        <f t="shared" si="5"/>
        <v>1522.5639556046331</v>
      </c>
      <c r="Y9" s="7">
        <f>'a1'!BC9</f>
        <v>9713.8119500570283</v>
      </c>
      <c r="Z9" s="7">
        <f t="shared" si="6"/>
        <v>1273.5047169920863</v>
      </c>
      <c r="AA9" s="7">
        <f>'a1'!BI9</f>
        <v>12125.050185524584</v>
      </c>
      <c r="AB9" s="7">
        <f t="shared" si="7"/>
        <v>1589.623999766711</v>
      </c>
      <c r="AC9" s="7">
        <f>'a1'!BO9</f>
        <v>13939.230258871525</v>
      </c>
      <c r="AD9" s="7">
        <f t="shared" si="8"/>
        <v>1827.4674841535807</v>
      </c>
    </row>
    <row r="10" spans="1:30" hidden="1">
      <c r="A10" s="1">
        <v>1973</v>
      </c>
      <c r="B10" s="6">
        <v>12.6</v>
      </c>
      <c r="C10" s="6">
        <v>2.2000000000000002</v>
      </c>
      <c r="D10" s="6">
        <v>0.7</v>
      </c>
      <c r="E10" s="6">
        <v>8.5</v>
      </c>
      <c r="F10" s="6">
        <f>(SUM(B10:E10))/'a1'!$B$24*100</f>
        <v>36.585365853658544</v>
      </c>
      <c r="G10" s="7">
        <f>'a1'!F10</f>
        <v>22491777</v>
      </c>
      <c r="H10" s="7">
        <f t="shared" si="0"/>
        <v>1626.6107321648506</v>
      </c>
      <c r="I10" s="7">
        <f>'a1'!G10</f>
        <v>12677.725695810441</v>
      </c>
      <c r="J10" s="9">
        <f t="shared" si="9"/>
        <v>12.830461639522539</v>
      </c>
      <c r="K10" s="7">
        <f>'a1'!M10</f>
        <v>8625.33083667766</v>
      </c>
      <c r="L10" s="7">
        <f t="shared" si="10"/>
        <v>1106.6697642818356</v>
      </c>
      <c r="M10" s="7">
        <f>'a1'!S10</f>
        <v>11115.354792032203</v>
      </c>
      <c r="N10" s="7">
        <f t="shared" si="10"/>
        <v>1426.1513326885222</v>
      </c>
      <c r="O10" s="7">
        <f>'a1'!Y10</f>
        <v>12130.66180998934</v>
      </c>
      <c r="P10" s="7">
        <f t="shared" si="1"/>
        <v>1556.4199101508927</v>
      </c>
      <c r="Q10" s="7">
        <f>'a1'!AE10</f>
        <v>9664.6099119227238</v>
      </c>
      <c r="R10" s="7">
        <f t="shared" si="2"/>
        <v>1240.0140673587382</v>
      </c>
      <c r="S10" s="7">
        <f>'a1'!AK10</f>
        <v>11228.64223816081</v>
      </c>
      <c r="T10" s="7">
        <f t="shared" si="3"/>
        <v>1440.6866350064479</v>
      </c>
      <c r="U10" s="7">
        <f>'a1'!AQ10</f>
        <v>14048.652026290079</v>
      </c>
      <c r="V10" s="7">
        <f t="shared" si="4"/>
        <v>1802.5069091031546</v>
      </c>
      <c r="W10" s="7">
        <f>'a1'!AW10</f>
        <v>12215.440794165101</v>
      </c>
      <c r="X10" s="7">
        <f t="shared" si="5"/>
        <v>1567.2974451939406</v>
      </c>
      <c r="Y10" s="7">
        <f>'a1'!BC10</f>
        <v>10300.293297234008</v>
      </c>
      <c r="Z10" s="7">
        <f t="shared" si="6"/>
        <v>1321.5751802599207</v>
      </c>
      <c r="AA10" s="7">
        <f>'a1'!BI10</f>
        <v>12608.521734299951</v>
      </c>
      <c r="AB10" s="7">
        <f t="shared" si="7"/>
        <v>1617.7315444302171</v>
      </c>
      <c r="AC10" s="7">
        <f>'a1'!BO10</f>
        <v>14630.278569379574</v>
      </c>
      <c r="AD10" s="7">
        <f t="shared" si="8"/>
        <v>1877.1322795995331</v>
      </c>
    </row>
    <row r="11" spans="1:30" hidden="1">
      <c r="A11" s="1">
        <v>1974</v>
      </c>
      <c r="B11" s="6">
        <v>12.6</v>
      </c>
      <c r="C11" s="6">
        <v>2.2999999999999998</v>
      </c>
      <c r="D11" s="6">
        <v>0.8</v>
      </c>
      <c r="E11" s="6">
        <v>7.7</v>
      </c>
      <c r="F11" s="6">
        <f>(SUM(B11:E11))/'a1'!$B$24*100</f>
        <v>35.670731707317074</v>
      </c>
      <c r="G11" s="7">
        <f>'a1'!F11</f>
        <v>22807969</v>
      </c>
      <c r="H11" s="7">
        <f t="shared" si="0"/>
        <v>1563.9591454774898</v>
      </c>
      <c r="I11" s="7">
        <f>'a1'!G11</f>
        <v>13129.205267594634</v>
      </c>
      <c r="J11" s="9">
        <f t="shared" si="9"/>
        <v>11.91206256282425</v>
      </c>
      <c r="K11" s="7">
        <f>'a1'!M11</f>
        <v>9207.5155223281126</v>
      </c>
      <c r="L11" s="7">
        <f t="shared" si="10"/>
        <v>1096.8050095014787</v>
      </c>
      <c r="M11" s="7">
        <f>'a1'!S11</f>
        <v>11669.411194669659</v>
      </c>
      <c r="N11" s="7">
        <f t="shared" si="10"/>
        <v>1390.0675622222666</v>
      </c>
      <c r="O11" s="7">
        <f>'a1'!Y11</f>
        <v>12584.783724963618</v>
      </c>
      <c r="P11" s="7">
        <f t="shared" si="1"/>
        <v>1499.1073107137902</v>
      </c>
      <c r="Q11" s="7">
        <f>'a1'!AE11</f>
        <v>10132.23871402236</v>
      </c>
      <c r="R11" s="7">
        <f t="shared" si="2"/>
        <v>1206.9586146290428</v>
      </c>
      <c r="S11" s="7">
        <f>'a1'!AK11</f>
        <v>11620.383247984482</v>
      </c>
      <c r="T11" s="7">
        <f t="shared" si="3"/>
        <v>1384.2273225398601</v>
      </c>
      <c r="U11" s="7">
        <f>'a1'!AQ11</f>
        <v>14481.186894083045</v>
      </c>
      <c r="V11" s="7">
        <f t="shared" si="4"/>
        <v>1725.008042662678</v>
      </c>
      <c r="W11" s="7">
        <f>'a1'!AW11</f>
        <v>12666.561648785311</v>
      </c>
      <c r="X11" s="7">
        <f t="shared" si="5"/>
        <v>1508.8487481620091</v>
      </c>
      <c r="Y11" s="7">
        <f>'a1'!BC11</f>
        <v>11189.471004687706</v>
      </c>
      <c r="Z11" s="7">
        <f t="shared" si="6"/>
        <v>1332.8967865274788</v>
      </c>
      <c r="AA11" s="7">
        <f>'a1'!BI11</f>
        <v>13286.738690552247</v>
      </c>
      <c r="AB11" s="7">
        <f t="shared" si="7"/>
        <v>1582.7246253775591</v>
      </c>
      <c r="AC11" s="7">
        <f>'a1'!BO11</f>
        <v>15202.261502992884</v>
      </c>
      <c r="AD11" s="7">
        <f t="shared" si="8"/>
        <v>1810.9029012006583</v>
      </c>
    </row>
    <row r="12" spans="1:30" hidden="1">
      <c r="A12" s="1">
        <v>1975</v>
      </c>
      <c r="B12" s="6">
        <v>12.6</v>
      </c>
      <c r="C12" s="6">
        <v>2.4</v>
      </c>
      <c r="D12" s="6">
        <v>1</v>
      </c>
      <c r="E12" s="6">
        <v>8.5</v>
      </c>
      <c r="F12" s="6">
        <f>(SUM(B12:E12))/'a1'!$B$24*100</f>
        <v>37.34756097560976</v>
      </c>
      <c r="G12" s="7">
        <f>'a1'!F12</f>
        <v>23143275</v>
      </c>
      <c r="H12" s="7">
        <f t="shared" si="0"/>
        <v>1613.7543617145695</v>
      </c>
      <c r="I12" s="7">
        <f>'a1'!G12</f>
        <v>13514.936222892316</v>
      </c>
      <c r="J12" s="9">
        <f t="shared" si="9"/>
        <v>11.940525172298679</v>
      </c>
      <c r="K12" s="7">
        <f>'a1'!M12</f>
        <v>9554.8073644716042</v>
      </c>
      <c r="L12" s="7">
        <f t="shared" si="10"/>
        <v>1140.8941785193799</v>
      </c>
      <c r="M12" s="7">
        <f>'a1'!S12</f>
        <v>11905.357740742273</v>
      </c>
      <c r="N12" s="7">
        <f t="shared" si="10"/>
        <v>1421.5622378855405</v>
      </c>
      <c r="O12" s="7">
        <f>'a1'!Y12</f>
        <v>12703.176420631853</v>
      </c>
      <c r="P12" s="7">
        <f t="shared" si="1"/>
        <v>1516.8259781870568</v>
      </c>
      <c r="Q12" s="7">
        <f>'a1'!AE12</f>
        <v>10649.421408531138</v>
      </c>
      <c r="R12" s="7">
        <f t="shared" si="2"/>
        <v>1271.5968439898252</v>
      </c>
      <c r="S12" s="7">
        <f>'a1'!AK12</f>
        <v>12019.07526007973</v>
      </c>
      <c r="T12" s="7">
        <f t="shared" si="3"/>
        <v>1435.1407069073432</v>
      </c>
      <c r="U12" s="7">
        <f>'a1'!AQ12</f>
        <v>14789.002993835647</v>
      </c>
      <c r="V12" s="7">
        <f t="shared" si="4"/>
        <v>1765.8846252109508</v>
      </c>
      <c r="W12" s="7">
        <f>'a1'!AW12</f>
        <v>12991.554768270053</v>
      </c>
      <c r="X12" s="7">
        <f t="shared" si="5"/>
        <v>1551.259867378255</v>
      </c>
      <c r="Y12" s="7">
        <f>'a1'!BC12</f>
        <v>11695.419772016397</v>
      </c>
      <c r="Z12" s="7">
        <f t="shared" si="6"/>
        <v>1396.4945418836148</v>
      </c>
      <c r="AA12" s="7">
        <f>'a1'!BI12</f>
        <v>14087.549491778896</v>
      </c>
      <c r="AB12" s="7">
        <f t="shared" si="7"/>
        <v>1682.1273932258939</v>
      </c>
      <c r="AC12" s="7">
        <f>'a1'!BO12</f>
        <v>15277.292697925495</v>
      </c>
      <c r="AD12" s="7">
        <f t="shared" si="8"/>
        <v>1824.1889802415419</v>
      </c>
    </row>
    <row r="13" spans="1:30" hidden="1">
      <c r="A13" s="1">
        <v>1976</v>
      </c>
      <c r="B13" s="6">
        <v>13.7</v>
      </c>
      <c r="C13" s="6">
        <v>2.5</v>
      </c>
      <c r="D13" s="6">
        <v>1.1000000000000001</v>
      </c>
      <c r="E13" s="6">
        <v>9.1</v>
      </c>
      <c r="F13" s="6">
        <f>(SUM(B13:E13))/'a1'!$B$24*100</f>
        <v>40.243902439024396</v>
      </c>
      <c r="G13" s="7">
        <f>'a1'!F13</f>
        <v>23449808</v>
      </c>
      <c r="H13" s="7">
        <f t="shared" si="0"/>
        <v>1716.1719379120034</v>
      </c>
      <c r="I13" s="7">
        <f>'a1'!G13</f>
        <v>14152.03858815421</v>
      </c>
      <c r="J13" s="9">
        <f t="shared" si="9"/>
        <v>12.126676501210957</v>
      </c>
      <c r="K13" s="7">
        <f>'a1'!M13</f>
        <v>9848.8191464571155</v>
      </c>
      <c r="L13" s="7">
        <f t="shared" si="10"/>
        <v>1194.3344370801806</v>
      </c>
      <c r="M13" s="7">
        <f>'a1'!S13</f>
        <v>12421.739100259412</v>
      </c>
      <c r="N13" s="7">
        <f t="shared" si="10"/>
        <v>1506.3441165128916</v>
      </c>
      <c r="O13" s="7">
        <f>'a1'!Y13</f>
        <v>13468.527375335028</v>
      </c>
      <c r="P13" s="7">
        <f t="shared" si="1"/>
        <v>1633.2847442839179</v>
      </c>
      <c r="Q13" s="7">
        <f>'a1'!AE13</f>
        <v>10998.763524948316</v>
      </c>
      <c r="R13" s="7">
        <f t="shared" si="2"/>
        <v>1333.7844718036695</v>
      </c>
      <c r="S13" s="7">
        <f>'a1'!AK13</f>
        <v>12476.203643305109</v>
      </c>
      <c r="T13" s="7">
        <f t="shared" si="3"/>
        <v>1512.9488554559059</v>
      </c>
      <c r="U13" s="7">
        <f>'a1'!AQ13</f>
        <v>15391.383473628666</v>
      </c>
      <c r="V13" s="7">
        <f t="shared" si="4"/>
        <v>1866.4632829077943</v>
      </c>
      <c r="W13" s="7">
        <f>'a1'!AW13</f>
        <v>13674.551944858304</v>
      </c>
      <c r="X13" s="7">
        <f t="shared" si="5"/>
        <v>1658.268677343018</v>
      </c>
      <c r="Y13" s="7">
        <f>'a1'!BC13</f>
        <v>12529.946516626895</v>
      </c>
      <c r="Z13" s="7">
        <f t="shared" si="6"/>
        <v>1519.4660798460945</v>
      </c>
      <c r="AA13" s="7">
        <f>'a1'!BI13</f>
        <v>15270.518357983121</v>
      </c>
      <c r="AB13" s="7">
        <f t="shared" si="7"/>
        <v>1851.8063613306444</v>
      </c>
      <c r="AC13" s="7">
        <f>'a1'!BO13</f>
        <v>16310.683402174434</v>
      </c>
      <c r="AD13" s="7">
        <f t="shared" si="8"/>
        <v>1977.943811318403</v>
      </c>
    </row>
    <row r="14" spans="1:30" hidden="1">
      <c r="A14" s="1">
        <v>1977</v>
      </c>
      <c r="B14" s="6">
        <v>14.7</v>
      </c>
      <c r="C14" s="6">
        <v>2.5</v>
      </c>
      <c r="D14" s="6">
        <v>1.2</v>
      </c>
      <c r="E14" s="6">
        <v>9.6999999999999993</v>
      </c>
      <c r="F14" s="6">
        <f>(SUM(B14:E14))/'a1'!$B$24*100</f>
        <v>42.835365853658537</v>
      </c>
      <c r="G14" s="7">
        <f>'a1'!F14</f>
        <v>23725843</v>
      </c>
      <c r="H14" s="7">
        <f t="shared" si="0"/>
        <v>1805.4307218360393</v>
      </c>
      <c r="I14" s="7">
        <f>'a1'!G14</f>
        <v>14437.466135772765</v>
      </c>
      <c r="J14" s="9">
        <f t="shared" si="9"/>
        <v>12.50517718869374</v>
      </c>
      <c r="K14" s="7">
        <f>'a1'!M14</f>
        <v>10088.126536814008</v>
      </c>
      <c r="L14" s="7">
        <f t="shared" si="10"/>
        <v>1261.5380984482251</v>
      </c>
      <c r="M14" s="7">
        <f>'a1'!S14</f>
        <v>12714.326076396386</v>
      </c>
      <c r="N14" s="7">
        <f t="shared" si="10"/>
        <v>1589.9490042016605</v>
      </c>
      <c r="O14" s="7">
        <f>'a1'!Y14</f>
        <v>13606.966881340522</v>
      </c>
      <c r="P14" s="7">
        <f t="shared" si="1"/>
        <v>1701.5753185185069</v>
      </c>
      <c r="Q14" s="7">
        <f>'a1'!AE14</f>
        <v>11001.115859227113</v>
      </c>
      <c r="R14" s="7">
        <f t="shared" si="2"/>
        <v>1375.7090309298383</v>
      </c>
      <c r="S14" s="7">
        <f>'a1'!AK14</f>
        <v>12642.242697724971</v>
      </c>
      <c r="T14" s="7">
        <f t="shared" si="3"/>
        <v>1580.934849975203</v>
      </c>
      <c r="U14" s="7">
        <f>'a1'!AQ14</f>
        <v>15492.587503599338</v>
      </c>
      <c r="V14" s="7">
        <f t="shared" si="4"/>
        <v>1937.3755184385211</v>
      </c>
      <c r="W14" s="7">
        <f>'a1'!AW14</f>
        <v>13771.884549389806</v>
      </c>
      <c r="X14" s="7">
        <f t="shared" si="5"/>
        <v>1722.1985651235316</v>
      </c>
      <c r="Y14" s="7">
        <f>'a1'!BC14</f>
        <v>12510.246662662963</v>
      </c>
      <c r="Z14" s="7">
        <f t="shared" si="6"/>
        <v>1564.4285119086487</v>
      </c>
      <c r="AA14" s="7">
        <f>'a1'!BI14</f>
        <v>15581.16910879434</v>
      </c>
      <c r="AB14" s="7">
        <f t="shared" si="7"/>
        <v>1948.4528051247453</v>
      </c>
      <c r="AC14" s="7">
        <f>'a1'!BO14</f>
        <v>16565.239706948396</v>
      </c>
      <c r="AD14" s="7">
        <f t="shared" si="8"/>
        <v>2071.5125770857485</v>
      </c>
    </row>
    <row r="15" spans="1:30" hidden="1">
      <c r="A15" s="1">
        <v>1978</v>
      </c>
      <c r="B15" s="6">
        <v>15.4</v>
      </c>
      <c r="C15" s="6">
        <v>2.6</v>
      </c>
      <c r="D15" s="6">
        <v>1.2</v>
      </c>
      <c r="E15" s="6">
        <v>10.199999999999999</v>
      </c>
      <c r="F15" s="6">
        <f>(SUM(B15:E15))/'a1'!$B$24*100</f>
        <v>44.81707317073171</v>
      </c>
      <c r="G15" s="7">
        <f>'a1'!F15</f>
        <v>23963203</v>
      </c>
      <c r="H15" s="7">
        <f t="shared" si="0"/>
        <v>1870.2455248044976</v>
      </c>
      <c r="I15" s="7">
        <f>'a1'!G15</f>
        <v>14668.522399171321</v>
      </c>
      <c r="J15" s="9">
        <f t="shared" si="9"/>
        <v>12.750060803057808</v>
      </c>
      <c r="K15" s="7">
        <f>'a1'!M15</f>
        <v>10264.226466733577</v>
      </c>
      <c r="L15" s="7">
        <f t="shared" si="10"/>
        <v>1308.6951154720832</v>
      </c>
      <c r="M15" s="7">
        <f>'a1'!S15</f>
        <v>13260.506430646868</v>
      </c>
      <c r="N15" s="7">
        <f t="shared" si="10"/>
        <v>1690.7226327008664</v>
      </c>
      <c r="O15" s="7">
        <f>'a1'!Y15</f>
        <v>13936.192689137471</v>
      </c>
      <c r="P15" s="7">
        <f t="shared" si="1"/>
        <v>1776.8730414963247</v>
      </c>
      <c r="Q15" s="7">
        <f>'a1'!AE15</f>
        <v>11254.581326729727</v>
      </c>
      <c r="R15" s="7">
        <f t="shared" si="2"/>
        <v>1434.9659622876304</v>
      </c>
      <c r="S15" s="7">
        <f>'a1'!AK15</f>
        <v>12772.06086318101</v>
      </c>
      <c r="T15" s="7">
        <f t="shared" si="3"/>
        <v>1628.4455258591288</v>
      </c>
      <c r="U15" s="7">
        <f>'a1'!AQ15</f>
        <v>15577.106192078776</v>
      </c>
      <c r="V15" s="7">
        <f t="shared" si="4"/>
        <v>1986.0905108469267</v>
      </c>
      <c r="W15" s="7">
        <f>'a1'!AW15</f>
        <v>13785.013243909278</v>
      </c>
      <c r="X15" s="7">
        <f t="shared" si="5"/>
        <v>1757.5975703080044</v>
      </c>
      <c r="Y15" s="7">
        <f>'a1'!BC15</f>
        <v>12910.280773458579</v>
      </c>
      <c r="Z15" s="7">
        <f t="shared" si="6"/>
        <v>1646.0686484614507</v>
      </c>
      <c r="AA15" s="7">
        <f>'a1'!BI15</f>
        <v>16055.06098983833</v>
      </c>
      <c r="AB15" s="7">
        <f t="shared" si="7"/>
        <v>2047.0300381724019</v>
      </c>
      <c r="AC15" s="7">
        <f>'a1'!BO15</f>
        <v>16696.591897727885</v>
      </c>
      <c r="AD15" s="7">
        <f t="shared" si="8"/>
        <v>2128.8256189987292</v>
      </c>
    </row>
    <row r="16" spans="1:30" hidden="1">
      <c r="A16" s="1">
        <v>1979</v>
      </c>
      <c r="B16" s="6">
        <v>15.9</v>
      </c>
      <c r="C16" s="6">
        <v>2.7</v>
      </c>
      <c r="D16" s="6">
        <v>1.2</v>
      </c>
      <c r="E16" s="6">
        <v>9.8000000000000007</v>
      </c>
      <c r="F16" s="6">
        <f>(SUM(B16:E16))/'a1'!$B$24*100</f>
        <v>45.121951219512205</v>
      </c>
      <c r="G16" s="7">
        <f>'a1'!F16</f>
        <v>24201544</v>
      </c>
      <c r="H16" s="7">
        <f t="shared" si="0"/>
        <v>1864.4244854589529</v>
      </c>
      <c r="I16" s="7">
        <f>'a1'!G16</f>
        <v>14850.079766559193</v>
      </c>
      <c r="J16" s="9">
        <f t="shared" si="9"/>
        <v>12.554979601237157</v>
      </c>
      <c r="K16" s="7">
        <f>'a1'!M16</f>
        <v>10488.358068115072</v>
      </c>
      <c r="L16" s="7">
        <f t="shared" si="10"/>
        <v>1316.811215956559</v>
      </c>
      <c r="M16" s="7">
        <f>'a1'!S16</f>
        <v>13250.130062896997</v>
      </c>
      <c r="N16" s="7">
        <f t="shared" si="10"/>
        <v>1663.5511265341099</v>
      </c>
      <c r="O16" s="7">
        <f>'a1'!Y16</f>
        <v>14230.185069805053</v>
      </c>
      <c r="P16" s="7">
        <f t="shared" si="1"/>
        <v>1786.5968327323199</v>
      </c>
      <c r="Q16" s="7">
        <f>'a1'!AE16</f>
        <v>11558.62792672489</v>
      </c>
      <c r="R16" s="7">
        <f t="shared" si="2"/>
        <v>1451.1833783832112</v>
      </c>
      <c r="S16" s="7">
        <f>'a1'!AK16</f>
        <v>13087.392949301327</v>
      </c>
      <c r="T16" s="7">
        <f t="shared" si="3"/>
        <v>1643.1195151185316</v>
      </c>
      <c r="U16" s="7">
        <f>'a1'!AQ16</f>
        <v>15629.882594009365</v>
      </c>
      <c r="V16" s="7">
        <f t="shared" si="4"/>
        <v>1962.3285713751927</v>
      </c>
      <c r="W16" s="7">
        <f>'a1'!AW16</f>
        <v>14064.794795429985</v>
      </c>
      <c r="X16" s="7">
        <f t="shared" si="5"/>
        <v>1765.8321175220999</v>
      </c>
      <c r="Y16" s="7">
        <f>'a1'!BC16</f>
        <v>13269.694330573069</v>
      </c>
      <c r="Z16" s="7">
        <f t="shared" si="6"/>
        <v>1666.0074163499723</v>
      </c>
      <c r="AA16" s="7">
        <f>'a1'!BI16</f>
        <v>16654.302058413828</v>
      </c>
      <c r="AB16" s="7">
        <f t="shared" si="7"/>
        <v>2090.9442261622762</v>
      </c>
      <c r="AC16" s="7">
        <f>'a1'!BO16</f>
        <v>16945.251720659006</v>
      </c>
      <c r="AD16" s="7">
        <f t="shared" si="8"/>
        <v>2127.4728969070266</v>
      </c>
    </row>
    <row r="17" spans="1:30" hidden="1">
      <c r="A17" s="1">
        <v>1980</v>
      </c>
      <c r="B17" s="6">
        <v>15.9</v>
      </c>
      <c r="C17" s="6">
        <v>2.8</v>
      </c>
      <c r="D17" s="6">
        <v>1.2</v>
      </c>
      <c r="E17" s="6">
        <v>8.8000000000000007</v>
      </c>
      <c r="F17" s="6">
        <f>(SUM(B17:E17))/'a1'!$B$24*100</f>
        <v>43.75</v>
      </c>
      <c r="G17" s="7">
        <f>'a1'!F17</f>
        <v>24515667</v>
      </c>
      <c r="H17" s="7">
        <f t="shared" si="0"/>
        <v>1784.5731058428883</v>
      </c>
      <c r="I17" s="7">
        <f>'a1'!G17</f>
        <v>14966.808521095998</v>
      </c>
      <c r="J17" s="9">
        <f t="shared" si="9"/>
        <v>11.923538029684142</v>
      </c>
      <c r="K17" s="7">
        <f>'a1'!M17</f>
        <v>10284.047003685329</v>
      </c>
      <c r="L17" s="7">
        <f t="shared" si="10"/>
        <v>1226.2222554750126</v>
      </c>
      <c r="M17" s="7">
        <f>'a1'!S17</f>
        <v>12873.246286906253</v>
      </c>
      <c r="N17" s="7">
        <f t="shared" si="10"/>
        <v>1534.9464166741686</v>
      </c>
      <c r="O17" s="7">
        <f>'a1'!Y17</f>
        <v>14077.740198187146</v>
      </c>
      <c r="P17" s="7">
        <f t="shared" si="1"/>
        <v>1678.5647062509761</v>
      </c>
      <c r="Q17" s="7">
        <f>'a1'!AE17</f>
        <v>11546.013150231642</v>
      </c>
      <c r="R17" s="7">
        <f t="shared" si="2"/>
        <v>1376.6932688802017</v>
      </c>
      <c r="S17" s="7">
        <f>'a1'!AK17</f>
        <v>13046.710796695768</v>
      </c>
      <c r="T17" s="7">
        <f t="shared" si="3"/>
        <v>1555.6295234669267</v>
      </c>
      <c r="U17" s="7">
        <f>'a1'!AQ17</f>
        <v>15664.924088313655</v>
      </c>
      <c r="V17" s="7">
        <f t="shared" si="4"/>
        <v>1867.8131809912304</v>
      </c>
      <c r="W17" s="7">
        <f>'a1'!AW17</f>
        <v>14141.904977301969</v>
      </c>
      <c r="X17" s="7">
        <f t="shared" si="5"/>
        <v>1686.2154180903947</v>
      </c>
      <c r="Y17" s="7">
        <f>'a1'!BC17</f>
        <v>13327.975520065034</v>
      </c>
      <c r="Z17" s="7">
        <f t="shared" si="6"/>
        <v>1589.166229721947</v>
      </c>
      <c r="AA17" s="7">
        <f>'a1'!BI17</f>
        <v>17154.618183869425</v>
      </c>
      <c r="AB17" s="7">
        <f t="shared" si="7"/>
        <v>2045.4374230007818</v>
      </c>
      <c r="AC17" s="7">
        <f>'a1'!BO17</f>
        <v>17416.860881626479</v>
      </c>
      <c r="AD17" s="7">
        <f t="shared" si="8"/>
        <v>2076.7060307979136</v>
      </c>
    </row>
    <row r="18" spans="1:30" hidden="1">
      <c r="B18" s="6"/>
      <c r="C18" s="6"/>
      <c r="D18" s="6"/>
      <c r="E18" s="6"/>
      <c r="F18" s="6"/>
      <c r="G18" s="7"/>
      <c r="H18" s="7"/>
      <c r="I18" s="7"/>
      <c r="J18" s="9"/>
      <c r="K18" s="7"/>
      <c r="L18" s="7"/>
      <c r="M18" s="7"/>
      <c r="N18" s="7"/>
      <c r="O18" s="7"/>
      <c r="P18" s="7"/>
      <c r="Q18" s="7"/>
      <c r="R18" s="7"/>
      <c r="S18" s="7"/>
      <c r="T18" s="7"/>
      <c r="U18" s="7"/>
      <c r="V18" s="7"/>
      <c r="W18" s="7"/>
      <c r="X18" s="7"/>
      <c r="Y18" s="7"/>
      <c r="Z18" s="7"/>
      <c r="AA18" s="7"/>
      <c r="AB18" s="7"/>
      <c r="AC18" s="7"/>
      <c r="AD18" s="7"/>
    </row>
    <row r="19" spans="1:30" ht="18" customHeight="1">
      <c r="A19" s="1">
        <v>1981</v>
      </c>
      <c r="B19" s="6">
        <v>16.2</v>
      </c>
      <c r="C19" s="6">
        <v>2.8</v>
      </c>
      <c r="D19" s="6">
        <v>1.4</v>
      </c>
      <c r="E19" s="6">
        <v>8.1999999999999993</v>
      </c>
      <c r="F19" s="6">
        <f>(SUM(B19:E19))/'a1'!$B$24*100</f>
        <v>43.597560975609753</v>
      </c>
      <c r="G19" s="7">
        <f>'a1'!F19</f>
        <v>24819915</v>
      </c>
      <c r="H19" s="7">
        <f t="shared" ref="H19:H46" si="11">F19*1000000000/G19</f>
        <v>1756.5556117178382</v>
      </c>
      <c r="I19" s="7">
        <f>'a1'!G19</f>
        <v>14849.083890899707</v>
      </c>
      <c r="J19" s="13">
        <f t="shared" si="9"/>
        <v>11.829387082891675</v>
      </c>
      <c r="K19" s="7">
        <f>'a1'!M19</f>
        <v>10170.31054993725</v>
      </c>
      <c r="L19" s="7">
        <f t="shared" si="10"/>
        <v>1203.0854024842463</v>
      </c>
      <c r="M19" s="7">
        <f>'a1'!S19</f>
        <v>11873.639225906711</v>
      </c>
      <c r="N19" s="7">
        <f t="shared" si="10"/>
        <v>1404.5787448585675</v>
      </c>
      <c r="O19" s="7">
        <f>'a1'!Y19</f>
        <v>12968.038452585244</v>
      </c>
      <c r="P19" s="7">
        <f t="shared" si="1"/>
        <v>1534.0394656145443</v>
      </c>
      <c r="Q19" s="7">
        <f>'a1'!AE19</f>
        <v>11328.665785249377</v>
      </c>
      <c r="R19" s="7">
        <f t="shared" si="2"/>
        <v>1340.1117270642585</v>
      </c>
      <c r="S19" s="7">
        <f>'a1'!AK19</f>
        <v>12937.272336127451</v>
      </c>
      <c r="T19" s="7">
        <f t="shared" si="3"/>
        <v>1530.4000226083788</v>
      </c>
      <c r="U19" s="7">
        <f>'a1'!AQ19</f>
        <v>15700.239415742975</v>
      </c>
      <c r="V19" s="7">
        <f t="shared" si="4"/>
        <v>1857.2420934289669</v>
      </c>
      <c r="W19" s="7">
        <f>'a1'!AW19</f>
        <v>14411.734883563728</v>
      </c>
      <c r="X19" s="7">
        <f t="shared" si="5"/>
        <v>1704.8199047368812</v>
      </c>
      <c r="Y19" s="7">
        <f>'a1'!BC19</f>
        <v>13641.688162753302</v>
      </c>
      <c r="Z19" s="7">
        <f t="shared" si="6"/>
        <v>1613.7280974131018</v>
      </c>
      <c r="AA19" s="7">
        <f>'a1'!BI19</f>
        <v>17319.597888179673</v>
      </c>
      <c r="AB19" s="7">
        <f t="shared" si="7"/>
        <v>2048.8022753931054</v>
      </c>
      <c r="AC19" s="7">
        <f>'a1'!BO19</f>
        <v>17371.304604398705</v>
      </c>
      <c r="AD19" s="7">
        <f t="shared" si="8"/>
        <v>2054.9188630025074</v>
      </c>
    </row>
    <row r="20" spans="1:30" ht="18" customHeight="1">
      <c r="A20" s="1">
        <v>1982</v>
      </c>
      <c r="B20" s="6">
        <v>15.8</v>
      </c>
      <c r="C20" s="6">
        <v>2.9</v>
      </c>
      <c r="D20" s="6">
        <v>1.4</v>
      </c>
      <c r="E20" s="6">
        <v>7.9</v>
      </c>
      <c r="F20" s="6">
        <f>(SUM(B20:E20))/'a1'!$B$24*100</f>
        <v>42.682926829268297</v>
      </c>
      <c r="G20" s="7">
        <f>'a1'!F20</f>
        <v>25116942</v>
      </c>
      <c r="H20" s="7">
        <f t="shared" si="11"/>
        <v>1699.3679735880385</v>
      </c>
      <c r="I20" s="7">
        <f>'a1'!G20</f>
        <v>14311.933355581265</v>
      </c>
      <c r="J20" s="13">
        <f t="shared" si="9"/>
        <v>11.873783446073212</v>
      </c>
      <c r="K20" s="7">
        <f>'a1'!M20</f>
        <v>10115.110797410225</v>
      </c>
      <c r="L20" s="7">
        <f t="shared" si="10"/>
        <v>1201.0463514148594</v>
      </c>
      <c r="M20" s="7">
        <f>'a1'!S20</f>
        <v>11700.165064569375</v>
      </c>
      <c r="N20" s="7">
        <f t="shared" si="10"/>
        <v>1389.2522626000796</v>
      </c>
      <c r="O20" s="7">
        <f>'a1'!Y20</f>
        <v>12708.401723788704</v>
      </c>
      <c r="P20" s="7">
        <f t="shared" si="1"/>
        <v>1508.9681001397057</v>
      </c>
      <c r="Q20" s="7">
        <f>'a1'!AE20</f>
        <v>11176.651019072537</v>
      </c>
      <c r="R20" s="7">
        <f t="shared" si="2"/>
        <v>1327.0913385280078</v>
      </c>
      <c r="S20" s="7">
        <f>'a1'!AK20</f>
        <v>12419.477706621143</v>
      </c>
      <c r="T20" s="7">
        <f t="shared" si="3"/>
        <v>1474.6618880175342</v>
      </c>
      <c r="U20" s="7">
        <f>'a1'!AQ20</f>
        <v>15212.513317955654</v>
      </c>
      <c r="V20" s="7">
        <f t="shared" si="4"/>
        <v>1806.3008880791012</v>
      </c>
      <c r="W20" s="7">
        <f>'a1'!AW20</f>
        <v>14304.11088914912</v>
      </c>
      <c r="X20" s="7">
        <f t="shared" si="5"/>
        <v>1698.4391508637441</v>
      </c>
      <c r="Y20" s="7">
        <f>'a1'!BC20</f>
        <v>13454.53292275756</v>
      </c>
      <c r="Z20" s="7">
        <f t="shared" si="6"/>
        <v>1597.5621029288575</v>
      </c>
      <c r="AA20" s="7">
        <f>'a1'!BI20</f>
        <v>16564.922249598811</v>
      </c>
      <c r="AB20" s="7">
        <f t="shared" si="7"/>
        <v>1966.8829959277618</v>
      </c>
      <c r="AC20" s="7">
        <f>'a1'!BO20</f>
        <v>16132.727368171116</v>
      </c>
      <c r="AD20" s="7">
        <f t="shared" si="8"/>
        <v>1915.5651116420245</v>
      </c>
    </row>
    <row r="21" spans="1:30" ht="18" customHeight="1">
      <c r="A21" s="1">
        <v>1983</v>
      </c>
      <c r="B21" s="6">
        <v>16.8</v>
      </c>
      <c r="C21" s="6">
        <v>2.9</v>
      </c>
      <c r="D21" s="6">
        <v>1.7</v>
      </c>
      <c r="E21" s="6">
        <v>7.9</v>
      </c>
      <c r="F21" s="6">
        <f>(SUM(B21:E21))/'a1'!$B$24*100</f>
        <v>44.664634146341463</v>
      </c>
      <c r="G21" s="7">
        <f>'a1'!F21</f>
        <v>25366451</v>
      </c>
      <c r="H21" s="7">
        <f t="shared" si="11"/>
        <v>1760.7758431142558</v>
      </c>
      <c r="I21" s="7">
        <f>'a1'!G21</f>
        <v>14573.776993872734</v>
      </c>
      <c r="J21" s="13">
        <f t="shared" si="9"/>
        <v>12.081808606338223</v>
      </c>
      <c r="K21" s="7">
        <f>'a1'!M21</f>
        <v>10235.442810671933</v>
      </c>
      <c r="L21" s="7">
        <f t="shared" si="10"/>
        <v>1236.6266103965886</v>
      </c>
      <c r="M21" s="7">
        <f>'a1'!S21</f>
        <v>12142.092052884846</v>
      </c>
      <c r="N21" s="7">
        <f t="shared" si="10"/>
        <v>1466.9843226349508</v>
      </c>
      <c r="O21" s="7">
        <f>'a1'!Y21</f>
        <v>13181.095234420798</v>
      </c>
      <c r="P21" s="7">
        <f t="shared" si="1"/>
        <v>1592.5146984418893</v>
      </c>
      <c r="Q21" s="7">
        <f>'a1'!AE21</f>
        <v>11608.159565330521</v>
      </c>
      <c r="R21" s="7">
        <f t="shared" si="2"/>
        <v>1402.4756214015765</v>
      </c>
      <c r="S21" s="7">
        <f>'a1'!AK21</f>
        <v>12798.774370829153</v>
      </c>
      <c r="T21" s="7">
        <f t="shared" si="3"/>
        <v>1546.3234234406475</v>
      </c>
      <c r="U21" s="7">
        <f>'a1'!AQ21</f>
        <v>15599.093053603028</v>
      </c>
      <c r="V21" s="7">
        <f t="shared" si="4"/>
        <v>1884.6525670609187</v>
      </c>
      <c r="W21" s="7">
        <f>'a1'!AW21</f>
        <v>14263.714529437077</v>
      </c>
      <c r="X21" s="7">
        <f t="shared" si="5"/>
        <v>1723.3146896010444</v>
      </c>
      <c r="Y21" s="7">
        <f>'a1'!BC21</f>
        <v>13663.933746750308</v>
      </c>
      <c r="Z21" s="7">
        <f t="shared" si="6"/>
        <v>1650.8503233792317</v>
      </c>
      <c r="AA21" s="7">
        <f>'a1'!BI21</f>
        <v>16461.068680603628</v>
      </c>
      <c r="AB21" s="7">
        <f t="shared" si="7"/>
        <v>1988.7948125484149</v>
      </c>
      <c r="AC21" s="7">
        <f>'a1'!BO21</f>
        <v>16063.273559227131</v>
      </c>
      <c r="AD21" s="7">
        <f t="shared" si="8"/>
        <v>1940.7339673383558</v>
      </c>
    </row>
    <row r="22" spans="1:30" ht="18" customHeight="1">
      <c r="A22" s="1">
        <v>1984</v>
      </c>
      <c r="B22" s="6">
        <v>18.100000000000001</v>
      </c>
      <c r="C22" s="6">
        <v>3</v>
      </c>
      <c r="D22" s="6">
        <v>1.8</v>
      </c>
      <c r="E22" s="6">
        <v>8.5</v>
      </c>
      <c r="F22" s="6">
        <f>(SUM(B22:E22))/'a1'!$B$24*100</f>
        <v>47.865853658536594</v>
      </c>
      <c r="G22" s="7">
        <f>'a1'!F22</f>
        <v>25607053</v>
      </c>
      <c r="H22" s="7">
        <f t="shared" si="11"/>
        <v>1869.2449169584877</v>
      </c>
      <c r="I22" s="7">
        <f>'a1'!G22</f>
        <v>15082.719592918404</v>
      </c>
      <c r="J22" s="13">
        <f t="shared" si="9"/>
        <v>12.393288262390891</v>
      </c>
      <c r="K22" s="7">
        <f>'a1'!M22</f>
        <v>10686.73338332773</v>
      </c>
      <c r="L22" s="7">
        <f t="shared" si="10"/>
        <v>1324.4376740289645</v>
      </c>
      <c r="M22" s="7">
        <f>'a1'!S22</f>
        <v>12728.838602119104</v>
      </c>
      <c r="N22" s="7">
        <f t="shared" si="10"/>
        <v>1577.5216604151078</v>
      </c>
      <c r="O22" s="7">
        <f>'a1'!Y22</f>
        <v>13838.633983345318</v>
      </c>
      <c r="P22" s="7">
        <f t="shared" si="1"/>
        <v>1715.0618011331726</v>
      </c>
      <c r="Q22" s="7">
        <f>'a1'!AE22</f>
        <v>12069.597272959438</v>
      </c>
      <c r="R22" s="7">
        <f t="shared" si="2"/>
        <v>1495.8199821475332</v>
      </c>
      <c r="S22" s="7">
        <f>'a1'!AK22</f>
        <v>13427.544252792095</v>
      </c>
      <c r="T22" s="7">
        <f t="shared" si="3"/>
        <v>1664.1142658086255</v>
      </c>
      <c r="U22" s="7">
        <f>'a1'!AQ22</f>
        <v>16145.433141743144</v>
      </c>
      <c r="V22" s="7">
        <f t="shared" si="4"/>
        <v>2000.9500704678221</v>
      </c>
      <c r="W22" s="7">
        <f>'a1'!AW22</f>
        <v>15030.649088924343</v>
      </c>
      <c r="X22" s="7">
        <f t="shared" si="5"/>
        <v>1862.7916692988242</v>
      </c>
      <c r="Y22" s="7">
        <f>'a1'!BC22</f>
        <v>13993.48521360319</v>
      </c>
      <c r="Z22" s="7">
        <f t="shared" si="6"/>
        <v>1734.252960476889</v>
      </c>
      <c r="AA22" s="7">
        <f>'a1'!BI22</f>
        <v>16672.32686984081</v>
      </c>
      <c r="AB22" s="7">
        <f t="shared" si="7"/>
        <v>2066.2495290274237</v>
      </c>
      <c r="AC22" s="7">
        <f>'a1'!BO22</f>
        <v>16337.306734808619</v>
      </c>
      <c r="AD22" s="7">
        <f t="shared" si="8"/>
        <v>2024.7295179558332</v>
      </c>
    </row>
    <row r="23" spans="1:30" ht="18" customHeight="1">
      <c r="A23" s="1">
        <v>1985</v>
      </c>
      <c r="B23" s="6">
        <v>19.100000000000001</v>
      </c>
      <c r="C23" s="6">
        <v>3.1</v>
      </c>
      <c r="D23" s="6">
        <v>1.9</v>
      </c>
      <c r="E23" s="6">
        <v>9</v>
      </c>
      <c r="F23" s="6">
        <f>(SUM(B23:E23))/'a1'!$B$24*100</f>
        <v>50.457317073170735</v>
      </c>
      <c r="G23" s="7">
        <f>'a1'!F23</f>
        <v>25842116</v>
      </c>
      <c r="H23" s="7">
        <f t="shared" si="11"/>
        <v>1952.5226600318153</v>
      </c>
      <c r="I23" s="7">
        <f>'a1'!G23</f>
        <v>15723.712408070609</v>
      </c>
      <c r="J23" s="13">
        <f t="shared" si="9"/>
        <v>12.417695066908193</v>
      </c>
      <c r="K23" s="7">
        <f>'a1'!M23</f>
        <v>11055.198308230116</v>
      </c>
      <c r="L23" s="7">
        <f t="shared" si="10"/>
        <v>1372.8008149580089</v>
      </c>
      <c r="M23" s="7">
        <f>'a1'!S23</f>
        <v>12850.751063713084</v>
      </c>
      <c r="N23" s="7">
        <f t="shared" si="10"/>
        <v>1595.7670808993516</v>
      </c>
      <c r="O23" s="7">
        <f>'a1'!Y23</f>
        <v>14313.968084818163</v>
      </c>
      <c r="P23" s="7">
        <f t="shared" si="1"/>
        <v>1777.4649087472781</v>
      </c>
      <c r="Q23" s="7">
        <f>'a1'!AE23</f>
        <v>12522.00025715933</v>
      </c>
      <c r="R23" s="7">
        <f t="shared" si="2"/>
        <v>1554.9438082115053</v>
      </c>
      <c r="S23" s="7">
        <f>'a1'!AK23</f>
        <v>14057.273228337715</v>
      </c>
      <c r="T23" s="7">
        <f t="shared" si="3"/>
        <v>1745.5893242170985</v>
      </c>
      <c r="U23" s="7">
        <f>'a1'!AQ23</f>
        <v>16875.932054297431</v>
      </c>
      <c r="V23" s="7">
        <f t="shared" si="4"/>
        <v>2095.6017822012705</v>
      </c>
      <c r="W23" s="7">
        <f>'a1'!AW23</f>
        <v>15528.940087483083</v>
      </c>
      <c r="X23" s="7">
        <f t="shared" si="5"/>
        <v>1928.3364271865155</v>
      </c>
      <c r="Y23" s="7">
        <f>'a1'!BC23</f>
        <v>14240.02466514721</v>
      </c>
      <c r="Z23" s="7">
        <f t="shared" si="6"/>
        <v>1768.2828403704948</v>
      </c>
      <c r="AA23" s="7">
        <f>'a1'!BI23</f>
        <v>17567.134818610182</v>
      </c>
      <c r="AB23" s="7">
        <f t="shared" si="7"/>
        <v>2181.4332337676678</v>
      </c>
      <c r="AC23" s="7">
        <f>'a1'!BO23</f>
        <v>16868.500916430236</v>
      </c>
      <c r="AD23" s="7">
        <f t="shared" si="8"/>
        <v>2094.6790061609204</v>
      </c>
    </row>
    <row r="24" spans="1:30" ht="18" customHeight="1">
      <c r="A24" s="1">
        <v>1986</v>
      </c>
      <c r="B24" s="6">
        <v>18.8</v>
      </c>
      <c r="C24" s="6">
        <v>3.1</v>
      </c>
      <c r="D24" s="6">
        <v>2.1</v>
      </c>
      <c r="E24" s="6">
        <v>9.3000000000000007</v>
      </c>
      <c r="F24" s="6">
        <f>(SUM(B24:E24))/'a1'!$B$24*100</f>
        <v>50.762195121951223</v>
      </c>
      <c r="G24" s="7">
        <f>'a1'!F24</f>
        <v>26100278</v>
      </c>
      <c r="H24" s="7">
        <f t="shared" si="11"/>
        <v>1944.8909747992425</v>
      </c>
      <c r="I24" s="7">
        <f>'a1'!G24</f>
        <v>16189.176222567437</v>
      </c>
      <c r="J24" s="13">
        <f t="shared" si="9"/>
        <v>12.013526494869438</v>
      </c>
      <c r="K24" s="7">
        <f>'a1'!M24</f>
        <v>11492.158679590357</v>
      </c>
      <c r="L24" s="7">
        <f t="shared" si="10"/>
        <v>1380.6135278050253</v>
      </c>
      <c r="M24" s="7">
        <f>'a1'!S24</f>
        <v>13290.66616836401</v>
      </c>
      <c r="N24" s="7">
        <f t="shared" si="10"/>
        <v>1596.6777014810591</v>
      </c>
      <c r="O24" s="7">
        <f>'a1'!Y24</f>
        <v>14754.461599371039</v>
      </c>
      <c r="P24" s="7">
        <f t="shared" si="1"/>
        <v>1772.5311534157768</v>
      </c>
      <c r="Q24" s="7">
        <f>'a1'!AE24</f>
        <v>13031.382625834633</v>
      </c>
      <c r="R24" s="7">
        <f t="shared" si="2"/>
        <v>1565.5286044024563</v>
      </c>
      <c r="S24" s="7">
        <f>'a1'!AK24</f>
        <v>14502.613976688128</v>
      </c>
      <c r="T24" s="7">
        <f t="shared" si="3"/>
        <v>1742.2753725380664</v>
      </c>
      <c r="U24" s="7">
        <f>'a1'!AQ24</f>
        <v>17530.11621153757</v>
      </c>
      <c r="V24" s="7">
        <f t="shared" si="4"/>
        <v>2105.9851556544686</v>
      </c>
      <c r="W24" s="7">
        <f>'a1'!AW24</f>
        <v>15790.360880654334</v>
      </c>
      <c r="X24" s="7">
        <f t="shared" si="5"/>
        <v>1896.9791880329076</v>
      </c>
      <c r="Y24" s="7">
        <f>'a1'!BC24</f>
        <v>14696.947751422404</v>
      </c>
      <c r="Z24" s="7">
        <f t="shared" si="6"/>
        <v>1765.6217120542485</v>
      </c>
      <c r="AA24" s="7">
        <f>'a1'!BI24</f>
        <v>17641.691294036409</v>
      </c>
      <c r="AB24" s="7">
        <f t="shared" si="7"/>
        <v>2119.3892577521392</v>
      </c>
      <c r="AC24" s="7">
        <f>'a1'!BO24</f>
        <v>17161.619258887855</v>
      </c>
      <c r="AD24" s="7">
        <f t="shared" si="8"/>
        <v>2061.7156766151084</v>
      </c>
    </row>
    <row r="25" spans="1:30" ht="18" customHeight="1">
      <c r="A25" s="1">
        <v>1987</v>
      </c>
      <c r="B25" s="6">
        <v>18.899999999999999</v>
      </c>
      <c r="C25" s="6">
        <v>3.2</v>
      </c>
      <c r="D25" s="6">
        <v>1.8</v>
      </c>
      <c r="E25" s="6">
        <v>9.6</v>
      </c>
      <c r="F25" s="6">
        <f>(SUM(B25:E25))/'a1'!$B$24*100</f>
        <v>51.067073170731717</v>
      </c>
      <c r="G25" s="7">
        <f>'a1'!F25</f>
        <v>26446601</v>
      </c>
      <c r="H25" s="7">
        <f t="shared" si="11"/>
        <v>1930.9503391657672</v>
      </c>
      <c r="I25" s="7">
        <f>'a1'!G25</f>
        <v>16642.403309219208</v>
      </c>
      <c r="J25" s="13">
        <f t="shared" si="9"/>
        <v>11.602593106826705</v>
      </c>
      <c r="K25" s="7">
        <f>'a1'!M25</f>
        <v>11987.99809471492</v>
      </c>
      <c r="L25" s="7">
        <f t="shared" si="10"/>
        <v>1390.91864058391</v>
      </c>
      <c r="M25" s="7">
        <f>'a1'!S25</f>
        <v>13720.353542027813</v>
      </c>
      <c r="N25" s="7">
        <f t="shared" si="10"/>
        <v>1591.9167942995725</v>
      </c>
      <c r="O25" s="7">
        <f>'a1'!Y25</f>
        <v>15135.30571638955</v>
      </c>
      <c r="P25" s="7">
        <f t="shared" si="1"/>
        <v>1756.0879377469621</v>
      </c>
      <c r="Q25" s="7">
        <f>'a1'!AE25</f>
        <v>13421.859713535083</v>
      </c>
      <c r="R25" s="7">
        <f t="shared" si="2"/>
        <v>1557.2837699305719</v>
      </c>
      <c r="S25" s="7">
        <f>'a1'!AK25</f>
        <v>14877.357422252839</v>
      </c>
      <c r="T25" s="7">
        <f t="shared" si="3"/>
        <v>1726.1592467522789</v>
      </c>
      <c r="U25" s="7">
        <f>'a1'!AQ25</f>
        <v>18050.42464965301</v>
      </c>
      <c r="V25" s="7">
        <f t="shared" si="4"/>
        <v>2094.3173261535885</v>
      </c>
      <c r="W25" s="7">
        <f>'a1'!AW25</f>
        <v>15945.40288226313</v>
      </c>
      <c r="X25" s="7">
        <f t="shared" si="5"/>
        <v>1850.0802156732086</v>
      </c>
      <c r="Y25" s="7">
        <f>'a1'!BC25</f>
        <v>14957.411848772123</v>
      </c>
      <c r="Z25" s="7">
        <f t="shared" si="6"/>
        <v>1735.4476361253151</v>
      </c>
      <c r="AA25" s="7">
        <f>'a1'!BI25</f>
        <v>17966.493190767091</v>
      </c>
      <c r="AB25" s="7">
        <f t="shared" si="7"/>
        <v>2084.5791004904318</v>
      </c>
      <c r="AC25" s="7">
        <f>'a1'!BO25</f>
        <v>17832.477380979326</v>
      </c>
      <c r="AD25" s="7">
        <f t="shared" si="8"/>
        <v>2069.0297913819386</v>
      </c>
    </row>
    <row r="26" spans="1:30" ht="18" customHeight="1">
      <c r="A26" s="1">
        <v>1988</v>
      </c>
      <c r="B26" s="6">
        <v>19.8</v>
      </c>
      <c r="C26" s="6">
        <v>3.3</v>
      </c>
      <c r="D26" s="6">
        <v>2</v>
      </c>
      <c r="E26" s="6">
        <v>9.6999999999999993</v>
      </c>
      <c r="F26" s="6">
        <f>(SUM(B26:E26))/'a1'!$B$24*100</f>
        <v>53.048780487804883</v>
      </c>
      <c r="G26" s="7">
        <f>'a1'!F26</f>
        <v>26791747</v>
      </c>
      <c r="H26" s="7">
        <f t="shared" si="11"/>
        <v>1980.0418572109122</v>
      </c>
      <c r="I26" s="7">
        <f>'a1'!G26</f>
        <v>17147.444696308903</v>
      </c>
      <c r="J26" s="13">
        <f t="shared" si="9"/>
        <v>11.547154064518597</v>
      </c>
      <c r="K26" s="7">
        <f>'a1'!M26</f>
        <v>12549.958085644421</v>
      </c>
      <c r="L26" s="7">
        <f t="shared" si="10"/>
        <v>1449.16299518187</v>
      </c>
      <c r="M26" s="7">
        <f>'a1'!S26</f>
        <v>14069.255698473962</v>
      </c>
      <c r="N26" s="7">
        <f t="shared" si="10"/>
        <v>1624.5986312338505</v>
      </c>
      <c r="O26" s="7">
        <f>'a1'!Y26</f>
        <v>15538.064412582924</v>
      </c>
      <c r="P26" s="7">
        <f t="shared" si="1"/>
        <v>1794.2042363650869</v>
      </c>
      <c r="Q26" s="7">
        <f>'a1'!AE26</f>
        <v>13886.511790938304</v>
      </c>
      <c r="R26" s="7">
        <f t="shared" si="2"/>
        <v>1603.4969106871868</v>
      </c>
      <c r="S26" s="7">
        <f>'a1'!AK26</f>
        <v>15289.721031370569</v>
      </c>
      <c r="T26" s="7">
        <f t="shared" si="3"/>
        <v>1765.5276435274614</v>
      </c>
      <c r="U26" s="7">
        <f>'a1'!AQ26</f>
        <v>18635.133789088308</v>
      </c>
      <c r="V26" s="7">
        <f t="shared" si="4"/>
        <v>2151.827608755189</v>
      </c>
      <c r="W26" s="7">
        <f>'a1'!AW26</f>
        <v>16220.993111657921</v>
      </c>
      <c r="X26" s="7">
        <f t="shared" si="5"/>
        <v>1873.0630653980893</v>
      </c>
      <c r="Y26" s="7">
        <f>'a1'!BC26</f>
        <v>15182.474652921297</v>
      </c>
      <c r="Z26" s="7">
        <f t="shared" si="6"/>
        <v>1753.1437389793073</v>
      </c>
      <c r="AA26" s="7">
        <f>'a1'!BI26</f>
        <v>18537.303784802985</v>
      </c>
      <c r="AB26" s="7">
        <f t="shared" si="7"/>
        <v>2140.5310274390376</v>
      </c>
      <c r="AC26" s="7">
        <f>'a1'!BO26</f>
        <v>18351.006706453561</v>
      </c>
      <c r="AD26" s="7">
        <f t="shared" si="8"/>
        <v>2119.019016784333</v>
      </c>
    </row>
    <row r="27" spans="1:30" ht="18" customHeight="1">
      <c r="A27" s="1">
        <v>1989</v>
      </c>
      <c r="B27" s="6">
        <v>20.399999999999999</v>
      </c>
      <c r="C27" s="6">
        <v>3.4</v>
      </c>
      <c r="D27" s="6">
        <v>1.7</v>
      </c>
      <c r="E27" s="6">
        <v>9.8000000000000007</v>
      </c>
      <c r="F27" s="6">
        <f>(SUM(B27:E27))/'a1'!$B$24*100</f>
        <v>53.810975609756099</v>
      </c>
      <c r="G27" s="7">
        <f>'a1'!F27</f>
        <v>27276781</v>
      </c>
      <c r="H27" s="7">
        <f t="shared" si="11"/>
        <v>1972.7758788603426</v>
      </c>
      <c r="I27" s="7">
        <f>'a1'!G27</f>
        <v>17441.354241909998</v>
      </c>
      <c r="J27" s="13">
        <f t="shared" si="9"/>
        <v>11.310909987252828</v>
      </c>
      <c r="K27" s="7">
        <f>'a1'!M27</f>
        <v>12845.351061744754</v>
      </c>
      <c r="L27" s="7">
        <f t="shared" si="10"/>
        <v>1452.9260961405744</v>
      </c>
      <c r="M27" s="7">
        <f>'a1'!S27</f>
        <v>14183.307338286479</v>
      </c>
      <c r="N27" s="7">
        <f t="shared" si="10"/>
        <v>1604.2611262490086</v>
      </c>
      <c r="O27" s="7">
        <f>'a1'!Y27</f>
        <v>15707.408714585861</v>
      </c>
      <c r="P27" s="7">
        <f t="shared" si="1"/>
        <v>1776.6508610367132</v>
      </c>
      <c r="Q27" s="7">
        <f>'a1'!AE27</f>
        <v>14077.801311062412</v>
      </c>
      <c r="R27" s="7">
        <f t="shared" si="2"/>
        <v>1592.327434478568</v>
      </c>
      <c r="S27" s="7">
        <f>'a1'!AK27</f>
        <v>15471.194178649117</v>
      </c>
      <c r="T27" s="7">
        <f t="shared" si="3"/>
        <v>1749.9328475001012</v>
      </c>
      <c r="U27" s="7">
        <f>'a1'!AQ27</f>
        <v>18847.594920672</v>
      </c>
      <c r="V27" s="7">
        <f t="shared" si="4"/>
        <v>2131.8344962392457</v>
      </c>
      <c r="W27" s="7">
        <f>'a1'!AW27</f>
        <v>16484.989925638165</v>
      </c>
      <c r="X27" s="7">
        <f t="shared" si="5"/>
        <v>1864.6023718966296</v>
      </c>
      <c r="Y27" s="7">
        <f>'a1'!BC27</f>
        <v>15408.474661063585</v>
      </c>
      <c r="Z27" s="7">
        <f t="shared" si="6"/>
        <v>1742.8386993215622</v>
      </c>
      <c r="AA27" s="7">
        <f>'a1'!BI27</f>
        <v>19005.133439404402</v>
      </c>
      <c r="AB27" s="7">
        <f t="shared" si="7"/>
        <v>2149.6535362883192</v>
      </c>
      <c r="AC27" s="7">
        <f>'a1'!BO27</f>
        <v>19012.896010761015</v>
      </c>
      <c r="AD27" s="7">
        <f t="shared" si="8"/>
        <v>2150.531553747162</v>
      </c>
    </row>
    <row r="28" spans="1:30" ht="18" customHeight="1">
      <c r="A28" s="1">
        <v>1990</v>
      </c>
      <c r="B28" s="6">
        <v>20.5</v>
      </c>
      <c r="C28" s="6">
        <v>3.5</v>
      </c>
      <c r="D28" s="6">
        <v>1.5</v>
      </c>
      <c r="E28" s="6">
        <v>11.5</v>
      </c>
      <c r="F28" s="6">
        <f>(SUM(B28:E28))/'a1'!$B$24*100</f>
        <v>56.402439024390247</v>
      </c>
      <c r="G28" s="7">
        <f>'a1'!F28</f>
        <v>27691138</v>
      </c>
      <c r="H28" s="7">
        <f t="shared" si="11"/>
        <v>2036.8407764386661</v>
      </c>
      <c r="I28" s="7">
        <f>'a1'!G28</f>
        <v>17404.196245022504</v>
      </c>
      <c r="J28" s="13">
        <f t="shared" si="9"/>
        <v>11.703159098893696</v>
      </c>
      <c r="K28" s="7">
        <f>'a1'!M28</f>
        <v>12886.062268778318</v>
      </c>
      <c r="L28" s="7">
        <f t="shared" si="10"/>
        <v>1508.0763688976372</v>
      </c>
      <c r="M28" s="7">
        <f>'a1'!S28</f>
        <v>14562.436735069476</v>
      </c>
      <c r="N28" s="7">
        <f t="shared" si="10"/>
        <v>1704.2651397809216</v>
      </c>
      <c r="O28" s="7">
        <f>'a1'!Y28</f>
        <v>15720.780140831303</v>
      </c>
      <c r="P28" s="7">
        <f t="shared" si="1"/>
        <v>1839.8279114687718</v>
      </c>
      <c r="Q28" s="7">
        <f>'a1'!AE28</f>
        <v>14319.954171823238</v>
      </c>
      <c r="R28" s="7">
        <f t="shared" si="2"/>
        <v>1675.8870196171388</v>
      </c>
      <c r="S28" s="7">
        <f>'a1'!AK28</f>
        <v>15394.628487180051</v>
      </c>
      <c r="T28" s="7">
        <f t="shared" si="3"/>
        <v>1801.6578645382931</v>
      </c>
      <c r="U28" s="7">
        <f>'a1'!AQ28</f>
        <v>18577.420455190022</v>
      </c>
      <c r="V28" s="7">
        <f t="shared" si="4"/>
        <v>2174.14507234131</v>
      </c>
      <c r="W28" s="7">
        <f>'a1'!AW28</f>
        <v>16688.664318843228</v>
      </c>
      <c r="X28" s="7">
        <f t="shared" si="5"/>
        <v>1953.1009367145271</v>
      </c>
      <c r="Y28" s="7">
        <f>'a1'!BC28</f>
        <v>15710.604161642985</v>
      </c>
      <c r="Z28" s="7">
        <f t="shared" si="6"/>
        <v>1838.6370004344926</v>
      </c>
      <c r="AA28" s="7">
        <f>'a1'!BI28</f>
        <v>19119.722677083024</v>
      </c>
      <c r="AB28" s="7">
        <f t="shared" si="7"/>
        <v>2237.6115641662832</v>
      </c>
      <c r="AC28" s="7">
        <f>'a1'!BO28</f>
        <v>19273.347709114303</v>
      </c>
      <c r="AD28" s="7">
        <f t="shared" si="8"/>
        <v>2255.5905460806302</v>
      </c>
    </row>
    <row r="29" spans="1:30" ht="18" customHeight="1">
      <c r="A29" s="1">
        <v>1991</v>
      </c>
      <c r="B29" s="6">
        <v>19.7</v>
      </c>
      <c r="C29" s="6">
        <v>3.5</v>
      </c>
      <c r="D29" s="6">
        <v>1.1000000000000001</v>
      </c>
      <c r="E29" s="6">
        <v>12</v>
      </c>
      <c r="F29" s="6">
        <f>(SUM(B29:E29))/'a1'!$B$24*100</f>
        <v>55.335365853658537</v>
      </c>
      <c r="G29" s="7">
        <f>'a1'!F29</f>
        <v>28037420</v>
      </c>
      <c r="H29" s="7">
        <f t="shared" si="11"/>
        <v>1973.6254567523881</v>
      </c>
      <c r="I29" s="7">
        <f>'a1'!G29</f>
        <v>16956.874063305397</v>
      </c>
      <c r="J29" s="13">
        <f t="shared" si="9"/>
        <v>11.639087778703889</v>
      </c>
      <c r="K29" s="7">
        <f>'a1'!M29</f>
        <v>12633.616495642153</v>
      </c>
      <c r="L29" s="7">
        <f t="shared" si="10"/>
        <v>1470.4377135526042</v>
      </c>
      <c r="M29" s="7">
        <f>'a1'!S29</f>
        <v>14113.784718759827</v>
      </c>
      <c r="N29" s="7">
        <f t="shared" si="10"/>
        <v>1642.715792313752</v>
      </c>
      <c r="O29" s="7">
        <f>'a1'!Y29</f>
        <v>15186.306858483729</v>
      </c>
      <c r="P29" s="7">
        <f t="shared" si="1"/>
        <v>1767.5475856022501</v>
      </c>
      <c r="Q29" s="7">
        <f>'a1'!AE29</f>
        <v>14262.970329963639</v>
      </c>
      <c r="R29" s="7">
        <f t="shared" si="2"/>
        <v>1660.0796365549595</v>
      </c>
      <c r="S29" s="7">
        <f>'a1'!AK29</f>
        <v>14990.528336037771</v>
      </c>
      <c r="T29" s="7">
        <f t="shared" si="3"/>
        <v>1744.7607515229156</v>
      </c>
      <c r="U29" s="7">
        <f>'a1'!AQ29</f>
        <v>18028.501868795844</v>
      </c>
      <c r="V29" s="7">
        <f t="shared" si="4"/>
        <v>2098.3531576944192</v>
      </c>
      <c r="W29" s="7">
        <f>'a1'!AW29</f>
        <v>16241.830418780033</v>
      </c>
      <c r="X29" s="7">
        <f t="shared" si="5"/>
        <v>1890.4008993100374</v>
      </c>
      <c r="Y29" s="7">
        <f>'a1'!BC29</f>
        <v>15400.219205296033</v>
      </c>
      <c r="Z29" s="7">
        <f t="shared" si="6"/>
        <v>1792.4450314172195</v>
      </c>
      <c r="AA29" s="7">
        <f>'a1'!BI29</f>
        <v>18606.985440762008</v>
      </c>
      <c r="AB29" s="7">
        <f t="shared" si="7"/>
        <v>2165.6833684209428</v>
      </c>
      <c r="AC29" s="7">
        <f>'a1'!BO29</f>
        <v>18891.826899564199</v>
      </c>
      <c r="AD29" s="7">
        <f t="shared" si="8"/>
        <v>2198.8363158410702</v>
      </c>
    </row>
    <row r="30" spans="1:30" ht="18" customHeight="1">
      <c r="A30" s="1">
        <v>1992</v>
      </c>
      <c r="B30" s="6">
        <v>20.399999999999999</v>
      </c>
      <c r="C30" s="6">
        <v>3.5</v>
      </c>
      <c r="D30" s="6">
        <v>1.2</v>
      </c>
      <c r="E30" s="6">
        <v>12.6</v>
      </c>
      <c r="F30" s="6">
        <f>(SUM(B30:E30))/'a1'!$B$24*100</f>
        <v>57.469512195121951</v>
      </c>
      <c r="G30" s="7">
        <f>'a1'!F30</f>
        <v>28371264</v>
      </c>
      <c r="H30" s="7">
        <f t="shared" si="11"/>
        <v>2025.6239621583991</v>
      </c>
      <c r="I30" s="7">
        <f>'a1'!G30</f>
        <v>17049.575232178588</v>
      </c>
      <c r="J30" s="13">
        <f t="shared" si="9"/>
        <v>11.880788433575336</v>
      </c>
      <c r="K30" s="7">
        <f>'a1'!M30</f>
        <v>12745.880515558283</v>
      </c>
      <c r="L30" s="7">
        <f t="shared" si="10"/>
        <v>1514.3110980497809</v>
      </c>
      <c r="M30" s="7">
        <f>'a1'!S30</f>
        <v>14370.122375350655</v>
      </c>
      <c r="N30" s="7">
        <f t="shared" si="10"/>
        <v>1707.2838370612819</v>
      </c>
      <c r="O30" s="7">
        <f>'a1'!Y30</f>
        <v>15517.955823638236</v>
      </c>
      <c r="P30" s="7">
        <f t="shared" si="1"/>
        <v>1843.6555006221417</v>
      </c>
      <c r="Q30" s="7">
        <f>'a1'!AE30</f>
        <v>14482.951287291762</v>
      </c>
      <c r="R30" s="7">
        <f t="shared" si="2"/>
        <v>1720.6888013809098</v>
      </c>
      <c r="S30" s="7">
        <f>'a1'!AK30</f>
        <v>15134.437223013751</v>
      </c>
      <c r="T30" s="7">
        <f t="shared" si="3"/>
        <v>1798.090467078538</v>
      </c>
      <c r="U30" s="7">
        <f>'a1'!AQ30</f>
        <v>18071.537583692334</v>
      </c>
      <c r="V30" s="7">
        <f t="shared" si="4"/>
        <v>2147.0411470125387</v>
      </c>
      <c r="W30" s="7">
        <f>'a1'!AW30</f>
        <v>16381.037288945969</v>
      </c>
      <c r="X30" s="7">
        <f t="shared" si="5"/>
        <v>1946.1963835247554</v>
      </c>
      <c r="Y30" s="7">
        <f>'a1'!BC30</f>
        <v>15511.033421481183</v>
      </c>
      <c r="Z30" s="7">
        <f t="shared" si="6"/>
        <v>1842.833064667341</v>
      </c>
      <c r="AA30" s="7">
        <f>'a1'!BI30</f>
        <v>18519.967546279979</v>
      </c>
      <c r="AB30" s="7">
        <f t="shared" si="7"/>
        <v>2200.3181621403378</v>
      </c>
      <c r="AC30" s="7">
        <f>'a1'!BO30</f>
        <v>19009.156475347972</v>
      </c>
      <c r="AD30" s="7">
        <f t="shared" si="8"/>
        <v>2258.4376638433787</v>
      </c>
    </row>
    <row r="31" spans="1:30" ht="18" customHeight="1">
      <c r="A31" s="1">
        <v>1993</v>
      </c>
      <c r="B31" s="6">
        <v>21.1</v>
      </c>
      <c r="C31" s="6">
        <v>3.6</v>
      </c>
      <c r="D31" s="6">
        <v>1.2</v>
      </c>
      <c r="E31" s="6">
        <v>13.2</v>
      </c>
      <c r="F31" s="6">
        <f>(SUM(B31:E31))/'a1'!$B$24*100</f>
        <v>59.603658536585371</v>
      </c>
      <c r="G31" s="7">
        <f>'a1'!F31</f>
        <v>28684764</v>
      </c>
      <c r="H31" s="7">
        <f t="shared" si="11"/>
        <v>2077.8856167889467</v>
      </c>
      <c r="I31" s="7">
        <f>'a1'!G31</f>
        <v>17163.571574094178</v>
      </c>
      <c r="J31" s="13">
        <f t="shared" si="9"/>
        <v>12.106370797120114</v>
      </c>
      <c r="K31" s="7">
        <f>'a1'!M31</f>
        <v>12824.646494602372</v>
      </c>
      <c r="L31" s="7">
        <f t="shared" si="10"/>
        <v>1552.5992580564298</v>
      </c>
      <c r="M31" s="7">
        <f>'a1'!S31</f>
        <v>14518.41091869236</v>
      </c>
      <c r="N31" s="7">
        <f t="shared" si="10"/>
        <v>1757.6526596664698</v>
      </c>
      <c r="O31" s="7">
        <f>'a1'!Y31</f>
        <v>15639.797602619261</v>
      </c>
      <c r="P31" s="7">
        <f t="shared" si="1"/>
        <v>1893.4118896921898</v>
      </c>
      <c r="Q31" s="7">
        <f>'a1'!AE31</f>
        <v>14679.251935065144</v>
      </c>
      <c r="R31" s="7">
        <f t="shared" si="2"/>
        <v>1777.1246695024158</v>
      </c>
      <c r="S31" s="7">
        <f>'a1'!AK31</f>
        <v>15282.810666667412</v>
      </c>
      <c r="T31" s="7">
        <f t="shared" si="3"/>
        <v>1850.1937275285813</v>
      </c>
      <c r="U31" s="7">
        <f>'a1'!AQ31</f>
        <v>18103.677461202664</v>
      </c>
      <c r="V31" s="7">
        <f t="shared" si="4"/>
        <v>2191.6983213678554</v>
      </c>
      <c r="W31" s="7">
        <f>'a1'!AW31</f>
        <v>16585.27332236954</v>
      </c>
      <c r="X31" s="7">
        <f t="shared" si="5"/>
        <v>2007.8746861218988</v>
      </c>
      <c r="Y31" s="7">
        <f>'a1'!BC31</f>
        <v>15740.391300029794</v>
      </c>
      <c r="Z31" s="7">
        <f t="shared" si="6"/>
        <v>1905.5901356992422</v>
      </c>
      <c r="AA31" s="7">
        <f>'a1'!BI31</f>
        <v>18803.340616625403</v>
      </c>
      <c r="AB31" s="7">
        <f t="shared" si="7"/>
        <v>2276.4021372941629</v>
      </c>
      <c r="AC31" s="7">
        <f>'a1'!BO31</f>
        <v>19063.157623301042</v>
      </c>
      <c r="AD31" s="7">
        <f t="shared" si="8"/>
        <v>2307.8565475162941</v>
      </c>
    </row>
    <row r="32" spans="1:30" ht="18" customHeight="1">
      <c r="A32" s="1">
        <v>1994</v>
      </c>
      <c r="B32" s="6">
        <v>21.9</v>
      </c>
      <c r="C32" s="6">
        <v>3.6</v>
      </c>
      <c r="D32" s="6">
        <v>1.3</v>
      </c>
      <c r="E32" s="6">
        <v>13.7</v>
      </c>
      <c r="F32" s="6">
        <f>(SUM(B32:E32))/'a1'!$B$24*100</f>
        <v>61.737804878048784</v>
      </c>
      <c r="G32" s="7">
        <f>'a1'!F32</f>
        <v>29000663</v>
      </c>
      <c r="H32" s="7">
        <f t="shared" si="11"/>
        <v>2128.8411536677208</v>
      </c>
      <c r="I32" s="7">
        <f>'a1'!G32</f>
        <v>17511.496202690261</v>
      </c>
      <c r="J32" s="13">
        <f t="shared" si="9"/>
        <v>12.156820462552313</v>
      </c>
      <c r="K32" s="7">
        <f>'a1'!M32</f>
        <v>13100.862366093032</v>
      </c>
      <c r="L32" s="7">
        <f t="shared" si="10"/>
        <v>1592.6483168920129</v>
      </c>
      <c r="M32" s="7">
        <f>'a1'!S32</f>
        <v>14666.097109497367</v>
      </c>
      <c r="N32" s="7">
        <f t="shared" si="10"/>
        <v>1782.9310944651693</v>
      </c>
      <c r="O32" s="7">
        <f>'a1'!Y32</f>
        <v>15858.733308087101</v>
      </c>
      <c r="P32" s="7">
        <f t="shared" si="1"/>
        <v>1927.9177358991321</v>
      </c>
      <c r="Q32" s="7">
        <f>'a1'!AE32</f>
        <v>14851.003419156608</v>
      </c>
      <c r="R32" s="7">
        <f t="shared" si="2"/>
        <v>1805.4098225543742</v>
      </c>
      <c r="S32" s="7">
        <f>'a1'!AK32</f>
        <v>15682.658493969262</v>
      </c>
      <c r="T32" s="7">
        <f t="shared" si="3"/>
        <v>1906.5126368670537</v>
      </c>
      <c r="U32" s="7">
        <f>'a1'!AQ32</f>
        <v>18436.482879517476</v>
      </c>
      <c r="V32" s="7">
        <f t="shared" si="4"/>
        <v>2241.2901232721347</v>
      </c>
      <c r="W32" s="7">
        <f>'a1'!AW32</f>
        <v>16924.405509112115</v>
      </c>
      <c r="X32" s="7">
        <f t="shared" si="5"/>
        <v>2057.4695920970726</v>
      </c>
      <c r="Y32" s="7">
        <f>'a1'!BC32</f>
        <v>16211.772280415025</v>
      </c>
      <c r="Z32" s="7">
        <f t="shared" si="6"/>
        <v>1970.8360499278776</v>
      </c>
      <c r="AA32" s="7">
        <f>'a1'!BI32</f>
        <v>19283.82000188106</v>
      </c>
      <c r="AB32" s="7">
        <f t="shared" si="7"/>
        <v>2344.2993759504325</v>
      </c>
      <c r="AC32" s="7">
        <f>'a1'!BO32</f>
        <v>19262.664662717707</v>
      </c>
      <c r="AD32" s="7">
        <f t="shared" si="8"/>
        <v>2341.7275593500999</v>
      </c>
    </row>
    <row r="33" spans="1:30" ht="18" customHeight="1">
      <c r="A33" s="1">
        <v>1995</v>
      </c>
      <c r="B33" s="118">
        <f>POWER(B$32/B$27,1/5)*B32</f>
        <v>22.212984027557649</v>
      </c>
      <c r="C33" s="118">
        <f>POWER(C$32/C$27,1/5)*C32</f>
        <v>3.6413901869584904</v>
      </c>
      <c r="D33" s="118">
        <f>POWER(D$32/D$27,1/5)*D32</f>
        <v>1.232089448956913</v>
      </c>
      <c r="E33" s="118">
        <f>POWER(E$32/E$27,1/5)*E32</f>
        <v>14.649387449463259</v>
      </c>
      <c r="F33" s="6">
        <f>(SUM(B33:E33))/'a1'!$B$24*100</f>
        <v>63.621724257524868</v>
      </c>
      <c r="G33" s="7">
        <f>'a1'!F33</f>
        <v>29302311</v>
      </c>
      <c r="H33" s="7">
        <f t="shared" si="11"/>
        <v>2171.2186543076709</v>
      </c>
      <c r="I33" s="7">
        <f>'a1'!G33</f>
        <v>17701.777856360884</v>
      </c>
      <c r="J33" s="13">
        <f t="shared" si="9"/>
        <v>12.265540060019871</v>
      </c>
      <c r="K33" s="7">
        <f>'a1'!M33</f>
        <v>13420.938073341946</v>
      </c>
      <c r="L33" s="7">
        <f t="shared" si="10"/>
        <v>1646.1505358162153</v>
      </c>
      <c r="M33" s="7">
        <f>'a1'!S33</f>
        <v>14849.533162221478</v>
      </c>
      <c r="N33" s="7">
        <f t="shared" si="10"/>
        <v>1821.375438738211</v>
      </c>
      <c r="O33" s="7">
        <f>'a1'!Y33</f>
        <v>16080.894711890704</v>
      </c>
      <c r="P33" s="7">
        <f t="shared" si="1"/>
        <v>1972.4085828965713</v>
      </c>
      <c r="Q33" s="7">
        <f>'a1'!AE33</f>
        <v>15183.575850630474</v>
      </c>
      <c r="R33" s="7">
        <f t="shared" si="2"/>
        <v>1862.3475785025837</v>
      </c>
      <c r="S33" s="7">
        <f>'a1'!AK33</f>
        <v>15939.39732261897</v>
      </c>
      <c r="T33" s="7">
        <f t="shared" si="3"/>
        <v>1955.0531639315645</v>
      </c>
      <c r="U33" s="7">
        <f>'a1'!AQ33</f>
        <v>18593.770533452651</v>
      </c>
      <c r="V33" s="7">
        <f t="shared" si="4"/>
        <v>2280.6263734488052</v>
      </c>
      <c r="W33" s="7">
        <f>'a1'!AW33</f>
        <v>17199.663463667359</v>
      </c>
      <c r="X33" s="7">
        <f t="shared" si="5"/>
        <v>2109.6316123247211</v>
      </c>
      <c r="Y33" s="7">
        <f>'a1'!BC33</f>
        <v>16503.85974184248</v>
      </c>
      <c r="Z33" s="7">
        <f t="shared" si="6"/>
        <v>2024.2875280851813</v>
      </c>
      <c r="AA33" s="7">
        <f>'a1'!BI33</f>
        <v>19401.21827641351</v>
      </c>
      <c r="AB33" s="7">
        <f t="shared" si="7"/>
        <v>2379.6641998253958</v>
      </c>
      <c r="AC33" s="7">
        <f>'a1'!BO33</f>
        <v>19287.656291778185</v>
      </c>
      <c r="AD33" s="7">
        <f t="shared" si="8"/>
        <v>2365.7352091069965</v>
      </c>
    </row>
    <row r="34" spans="1:30" ht="18" customHeight="1">
      <c r="A34" s="1">
        <v>1996</v>
      </c>
      <c r="B34" s="118">
        <f t="shared" ref="B34:B39" si="12">POWER(B$32/B$27,1/5)*B33</f>
        <v>22.530441068882709</v>
      </c>
      <c r="C34" s="118">
        <f t="shared" ref="C34:C39" si="13">POWER(C$32/C$27,1/5)*C33</f>
        <v>3.683256248243775</v>
      </c>
      <c r="D34" s="118">
        <f t="shared" ref="D34:D39" si="14">POWER(D$32/D$27,1/5)*D33</f>
        <v>1.1677264694084226</v>
      </c>
      <c r="E34" s="118">
        <f t="shared" ref="E34:E39" si="15">POWER(E$32/E$27,1/5)*E33</f>
        <v>15.664565886459245</v>
      </c>
      <c r="F34" s="6">
        <f>(SUM(B34:E34))/'a1'!$B$24*100</f>
        <v>65.618886696637432</v>
      </c>
      <c r="G34" s="7">
        <f>'a1'!F34</f>
        <v>29610218</v>
      </c>
      <c r="H34" s="7">
        <f t="shared" si="11"/>
        <v>2216.0892802828207</v>
      </c>
      <c r="I34" s="7">
        <f>'a1'!G34</f>
        <v>17958.091358868078</v>
      </c>
      <c r="J34" s="13">
        <f t="shared" si="9"/>
        <v>12.340338602790712</v>
      </c>
      <c r="K34" s="7">
        <f>'a1'!M34</f>
        <v>13673.44532229881</v>
      </c>
      <c r="L34" s="7">
        <f t="shared" si="10"/>
        <v>1687.3494514391211</v>
      </c>
      <c r="M34" s="7">
        <f>'a1'!S34</f>
        <v>15264.813573307205</v>
      </c>
      <c r="N34" s="7">
        <f t="shared" si="10"/>
        <v>1883.7296820308654</v>
      </c>
      <c r="O34" s="7">
        <f>'a1'!Y34</f>
        <v>16298.249701769626</v>
      </c>
      <c r="P34" s="7">
        <f t="shared" si="1"/>
        <v>2011.2591995266994</v>
      </c>
      <c r="Q34" s="7">
        <f>'a1'!AE34</f>
        <v>15439.976178702271</v>
      </c>
      <c r="R34" s="7">
        <f t="shared" si="2"/>
        <v>1905.3453406420867</v>
      </c>
      <c r="S34" s="7">
        <f>'a1'!AK34</f>
        <v>16374.042572979855</v>
      </c>
      <c r="T34" s="7">
        <f t="shared" si="3"/>
        <v>2020.6122964708188</v>
      </c>
      <c r="U34" s="7">
        <f>'a1'!AQ34</f>
        <v>18784.428592400385</v>
      </c>
      <c r="V34" s="7">
        <f t="shared" si="4"/>
        <v>2318.0620929016409</v>
      </c>
      <c r="W34" s="7">
        <f>'a1'!AW34</f>
        <v>17244.814829182964</v>
      </c>
      <c r="X34" s="7">
        <f t="shared" si="5"/>
        <v>2128.0685413454426</v>
      </c>
      <c r="Y34" s="7">
        <f>'a1'!BC34</f>
        <v>16723.17936689419</v>
      </c>
      <c r="Z34" s="7">
        <f t="shared" si="6"/>
        <v>2063.6969590267754</v>
      </c>
      <c r="AA34" s="7">
        <f>'a1'!BI34</f>
        <v>19521.586893312862</v>
      </c>
      <c r="AB34" s="7">
        <f t="shared" si="7"/>
        <v>2409.0299232728194</v>
      </c>
      <c r="AC34" s="7">
        <f>'a1'!BO34</f>
        <v>19491.177412689773</v>
      </c>
      <c r="AD34" s="7">
        <f t="shared" si="8"/>
        <v>2405.2772903965802</v>
      </c>
    </row>
    <row r="35" spans="1:30" ht="18" customHeight="1">
      <c r="A35" s="1">
        <v>1997</v>
      </c>
      <c r="B35" s="118">
        <f t="shared" si="12"/>
        <v>22.852435050087696</v>
      </c>
      <c r="C35" s="118">
        <f t="shared" si="13"/>
        <v>3.7256036551134524</v>
      </c>
      <c r="D35" s="118">
        <f t="shared" si="14"/>
        <v>1.1067257401737114</v>
      </c>
      <c r="E35" s="118">
        <f t="shared" si="15"/>
        <v>16.750094518130393</v>
      </c>
      <c r="F35" s="6">
        <f>(SUM(B35:E35))/'a1'!$B$24*100</f>
        <v>67.73606549314826</v>
      </c>
      <c r="G35" s="7">
        <f>'a1'!F35</f>
        <v>29905948</v>
      </c>
      <c r="H35" s="7">
        <f t="shared" si="11"/>
        <v>2264.9696807186406</v>
      </c>
      <c r="I35" s="7">
        <f>'a1'!G35</f>
        <v>18571.690153410284</v>
      </c>
      <c r="J35" s="13">
        <f t="shared" si="9"/>
        <v>12.195818808137549</v>
      </c>
      <c r="K35" s="7">
        <f>'a1'!M35</f>
        <v>14299.950445716277</v>
      </c>
      <c r="L35" s="7">
        <f t="shared" si="10"/>
        <v>1743.9960460130148</v>
      </c>
      <c r="M35" s="7">
        <f>'a1'!S35</f>
        <v>15687.571181895</v>
      </c>
      <c r="N35" s="7">
        <f t="shared" si="10"/>
        <v>1913.2277567415163</v>
      </c>
      <c r="O35" s="7">
        <f>'a1'!Y35</f>
        <v>16811.418250926101</v>
      </c>
      <c r="P35" s="7">
        <f t="shared" si="1"/>
        <v>2050.2901089611137</v>
      </c>
      <c r="Q35" s="7">
        <f>'a1'!AE35</f>
        <v>15827.011166614177</v>
      </c>
      <c r="R35" s="7">
        <f t="shared" si="2"/>
        <v>1930.2336046239618</v>
      </c>
      <c r="S35" s="7">
        <f>'a1'!AK35</f>
        <v>16954.446086533011</v>
      </c>
      <c r="T35" s="7">
        <f t="shared" si="3"/>
        <v>2067.7335246369335</v>
      </c>
      <c r="U35" s="7">
        <f>'a1'!AQ35</f>
        <v>19418.487446750882</v>
      </c>
      <c r="V35" s="7">
        <f t="shared" si="4"/>
        <v>2368.2435442866727</v>
      </c>
      <c r="W35" s="7">
        <f>'a1'!AW35</f>
        <v>17874.746507435782</v>
      </c>
      <c r="X35" s="7">
        <f t="shared" si="5"/>
        <v>2179.9716964607628</v>
      </c>
      <c r="Y35" s="7">
        <f>'a1'!BC35</f>
        <v>17385.760122290751</v>
      </c>
      <c r="Z35" s="7">
        <f t="shared" si="6"/>
        <v>2120.3358029320129</v>
      </c>
      <c r="AA35" s="7">
        <f>'a1'!BI35</f>
        <v>20546.686606489111</v>
      </c>
      <c r="AB35" s="7">
        <f t="shared" si="7"/>
        <v>2505.8366696032776</v>
      </c>
      <c r="AC35" s="7">
        <f>'a1'!BO35</f>
        <v>19813.436870897738</v>
      </c>
      <c r="AD35" s="7">
        <f t="shared" si="8"/>
        <v>2416.410860439406</v>
      </c>
    </row>
    <row r="36" spans="1:30" ht="18" customHeight="1">
      <c r="A36" s="1">
        <v>1998</v>
      </c>
      <c r="B36" s="118">
        <f t="shared" si="12"/>
        <v>23.179030810885692</v>
      </c>
      <c r="C36" s="118">
        <f t="shared" si="13"/>
        <v>3.7684379417296694</v>
      </c>
      <c r="D36" s="118">
        <f t="shared" si="14"/>
        <v>1.048911621043892</v>
      </c>
      <c r="E36" s="118">
        <f t="shared" si="15"/>
        <v>17.910848497169543</v>
      </c>
      <c r="F36" s="6">
        <f>(SUM(B36:E36))/'a1'!$B$24*100</f>
        <v>69.980531815287804</v>
      </c>
      <c r="G36" s="7">
        <f>'a1'!F36</f>
        <v>30155173</v>
      </c>
      <c r="H36" s="7">
        <f t="shared" si="11"/>
        <v>2320.6808269774415</v>
      </c>
      <c r="I36" s="7">
        <f>'a1'!G36</f>
        <v>18931.909294634126</v>
      </c>
      <c r="J36" s="13">
        <f t="shared" si="9"/>
        <v>12.258039011602451</v>
      </c>
      <c r="K36" s="7">
        <f>'a1'!M36</f>
        <v>14932.119153161197</v>
      </c>
      <c r="L36" s="7">
        <f t="shared" si="10"/>
        <v>1830.3849910534609</v>
      </c>
      <c r="M36" s="7">
        <f>'a1'!S36</f>
        <v>16185.090277164149</v>
      </c>
      <c r="N36" s="7">
        <f t="shared" si="10"/>
        <v>1983.9746802378565</v>
      </c>
      <c r="O36" s="7">
        <f>'a1'!Y36</f>
        <v>17300.254551230046</v>
      </c>
      <c r="P36" s="7">
        <f t="shared" si="1"/>
        <v>2120.6719519963076</v>
      </c>
      <c r="Q36" s="7">
        <f>'a1'!AE36</f>
        <v>16316.469694749045</v>
      </c>
      <c r="R36" s="7">
        <f t="shared" si="2"/>
        <v>2000.0792204986292</v>
      </c>
      <c r="S36" s="7">
        <f>'a1'!AK36</f>
        <v>17305.664044430221</v>
      </c>
      <c r="T36" s="7">
        <f t="shared" si="3"/>
        <v>2121.3350497831148</v>
      </c>
      <c r="U36" s="7">
        <f>'a1'!AQ36</f>
        <v>19860.721996434775</v>
      </c>
      <c r="V36" s="7">
        <f t="shared" si="4"/>
        <v>2434.5350503088839</v>
      </c>
      <c r="W36" s="7">
        <f>'a1'!AW36</f>
        <v>18042.372277885763</v>
      </c>
      <c r="X36" s="7">
        <f t="shared" si="5"/>
        <v>2211.6410324417825</v>
      </c>
      <c r="Y36" s="7">
        <f>'a1'!BC36</f>
        <v>17500.678244663493</v>
      </c>
      <c r="Z36" s="7">
        <f t="shared" si="6"/>
        <v>2145.239966525874</v>
      </c>
      <c r="AA36" s="7">
        <f>'a1'!BI36</f>
        <v>20806.701192728968</v>
      </c>
      <c r="AB36" s="7">
        <f t="shared" si="7"/>
        <v>2550.4935492322693</v>
      </c>
      <c r="AC36" s="7">
        <f>'a1'!BO36</f>
        <v>19973.071313819117</v>
      </c>
      <c r="AD36" s="7">
        <f t="shared" si="8"/>
        <v>2448.3068734631256</v>
      </c>
    </row>
    <row r="37" spans="1:30" ht="18" customHeight="1">
      <c r="A37" s="1">
        <v>1999</v>
      </c>
      <c r="B37" s="118">
        <f t="shared" si="12"/>
        <v>23.510294117647057</v>
      </c>
      <c r="C37" s="118">
        <f t="shared" si="13"/>
        <v>3.8117647058823527</v>
      </c>
      <c r="D37" s="118">
        <f t="shared" si="14"/>
        <v>0.99411764705882388</v>
      </c>
      <c r="E37" s="118">
        <f t="shared" si="15"/>
        <v>19.152040816326522</v>
      </c>
      <c r="F37" s="6">
        <f>(SUM(B37:E37))/'a1'!$B$24*100</f>
        <v>72.360087327613968</v>
      </c>
      <c r="G37" s="7">
        <f>'a1'!F37</f>
        <v>30401286</v>
      </c>
      <c r="H37" s="7">
        <f t="shared" si="11"/>
        <v>2380.1653432560047</v>
      </c>
      <c r="I37" s="7">
        <f>'a1'!G37</f>
        <v>19503.286801749109</v>
      </c>
      <c r="J37" s="13">
        <f t="shared" si="9"/>
        <v>12.203919100664329</v>
      </c>
      <c r="K37" s="7">
        <f>'a1'!M37</f>
        <v>15722.002741272272</v>
      </c>
      <c r="L37" s="7">
        <f t="shared" si="10"/>
        <v>1918.7004955490961</v>
      </c>
      <c r="M37" s="7">
        <f>'a1'!S37</f>
        <v>16752.15180399322</v>
      </c>
      <c r="N37" s="7">
        <f t="shared" si="10"/>
        <v>2044.4190537798124</v>
      </c>
      <c r="O37" s="7">
        <f>'a1'!Y37</f>
        <v>17998.809146440719</v>
      </c>
      <c r="P37" s="7">
        <f t="shared" si="1"/>
        <v>2196.5601073145972</v>
      </c>
      <c r="Q37" s="7">
        <f>'a1'!AE37</f>
        <v>16978.394646423334</v>
      </c>
      <c r="R37" s="7">
        <f t="shared" si="2"/>
        <v>2072.0295472410271</v>
      </c>
      <c r="S37" s="7">
        <f>'a1'!AK37</f>
        <v>17851.773461236473</v>
      </c>
      <c r="T37" s="7">
        <f t="shared" si="3"/>
        <v>2178.6159912431635</v>
      </c>
      <c r="U37" s="7">
        <f>'a1'!AQ37</f>
        <v>20536.631840788668</v>
      </c>
      <c r="V37" s="7">
        <f t="shared" si="4"/>
        <v>2506.2739358511208</v>
      </c>
      <c r="W37" s="7">
        <f>'a1'!AW37</f>
        <v>18336.93962438553</v>
      </c>
      <c r="X37" s="7">
        <f t="shared" si="5"/>
        <v>2237.8252772976716</v>
      </c>
      <c r="Y37" s="7">
        <f>'a1'!BC37</f>
        <v>17964.089563184312</v>
      </c>
      <c r="Z37" s="7">
        <f t="shared" si="6"/>
        <v>2192.3229574618977</v>
      </c>
      <c r="AA37" s="7">
        <f>'a1'!BI37</f>
        <v>21213.184443213177</v>
      </c>
      <c r="AB37" s="7">
        <f t="shared" si="7"/>
        <v>2588.8398681244466</v>
      </c>
      <c r="AC37" s="7">
        <f>'a1'!BO37</f>
        <v>20387.273690442802</v>
      </c>
      <c r="AD37" s="7">
        <f t="shared" si="8"/>
        <v>2488.0463880126626</v>
      </c>
    </row>
    <row r="38" spans="1:30" ht="18" customHeight="1">
      <c r="A38" s="1">
        <v>2000</v>
      </c>
      <c r="B38" s="118">
        <f t="shared" si="12"/>
        <v>23.846291676642771</v>
      </c>
      <c r="C38" s="118">
        <f t="shared" si="13"/>
        <v>3.8555896097207545</v>
      </c>
      <c r="D38" s="118">
        <f t="shared" si="14"/>
        <v>0.9421860492023455</v>
      </c>
      <c r="E38" s="118">
        <f t="shared" si="15"/>
        <v>20.479245720168016</v>
      </c>
      <c r="F38" s="6">
        <f>(SUM(B38:E38))/'a1'!$B$24*100</f>
        <v>74.883099170326048</v>
      </c>
      <c r="G38" s="7">
        <f>'a1'!F38</f>
        <v>30685730</v>
      </c>
      <c r="H38" s="7">
        <f t="shared" si="11"/>
        <v>2440.3232111579568</v>
      </c>
      <c r="I38" s="7">
        <f>'a1'!G38</f>
        <v>20114.756924472709</v>
      </c>
      <c r="J38" s="13">
        <f t="shared" si="9"/>
        <v>12.132004479700804</v>
      </c>
      <c r="K38" s="7">
        <f>'a1'!M38</f>
        <v>16374.160457302174</v>
      </c>
      <c r="L38" s="7">
        <f t="shared" si="10"/>
        <v>1986.5138801932972</v>
      </c>
      <c r="M38" s="7">
        <f>'a1'!S38</f>
        <v>17476.368432622556</v>
      </c>
      <c r="N38" s="7">
        <f t="shared" si="10"/>
        <v>2120.2338011347856</v>
      </c>
      <c r="O38" s="7">
        <f>'a1'!Y38</f>
        <v>18446.790123588995</v>
      </c>
      <c r="P38" s="7">
        <f t="shared" si="1"/>
        <v>2237.965404154822</v>
      </c>
      <c r="Q38" s="7">
        <f>'a1'!AE38</f>
        <v>17489.277391451491</v>
      </c>
      <c r="R38" s="7">
        <f t="shared" si="2"/>
        <v>2121.7999165981946</v>
      </c>
      <c r="S38" s="7">
        <f>'a1'!AK38</f>
        <v>18379.896780609251</v>
      </c>
      <c r="T38" s="7">
        <f t="shared" si="3"/>
        <v>2229.8499007878982</v>
      </c>
      <c r="U38" s="7">
        <f>'a1'!AQ38</f>
        <v>21236.398309037952</v>
      </c>
      <c r="V38" s="7">
        <f t="shared" si="4"/>
        <v>2576.4007941795899</v>
      </c>
      <c r="W38" s="7">
        <f>'a1'!AW38</f>
        <v>18681.039960324688</v>
      </c>
      <c r="X38" s="7">
        <f t="shared" si="5"/>
        <v>2266.3846048412884</v>
      </c>
      <c r="Y38" s="7">
        <f>'a1'!BC38</f>
        <v>18570.514061127571</v>
      </c>
      <c r="Z38" s="7">
        <f t="shared" si="6"/>
        <v>2252.9755977994646</v>
      </c>
      <c r="AA38" s="7">
        <f>'a1'!BI38</f>
        <v>21924.320567419323</v>
      </c>
      <c r="AB38" s="7">
        <f t="shared" si="7"/>
        <v>2659.8595533832768</v>
      </c>
      <c r="AC38" s="7">
        <f>'a1'!BO38</f>
        <v>20880.712413009409</v>
      </c>
      <c r="AD38" s="7">
        <f t="shared" si="8"/>
        <v>2533.2489653397433</v>
      </c>
    </row>
    <row r="39" spans="1:30" ht="18" customHeight="1">
      <c r="A39" s="1">
        <v>2001</v>
      </c>
      <c r="B39" s="118">
        <f t="shared" si="12"/>
        <v>24.187091147477027</v>
      </c>
      <c r="C39" s="118">
        <f t="shared" si="13"/>
        <v>3.8999183804934088</v>
      </c>
      <c r="D39" s="118">
        <f t="shared" si="14"/>
        <v>0.89296730013585279</v>
      </c>
      <c r="E39" s="118">
        <f t="shared" si="15"/>
        <v>21.898423739233834</v>
      </c>
      <c r="F39" s="6">
        <f>(SUM(B39:E39))/'a1'!$B$24*100</f>
        <v>77.558537450213606</v>
      </c>
      <c r="G39" s="7">
        <f>'a1'!F39</f>
        <v>31019020</v>
      </c>
      <c r="H39" s="7">
        <f t="shared" si="11"/>
        <v>2500.3542165488661</v>
      </c>
      <c r="I39" s="7">
        <f>'a1'!G39</f>
        <v>20378.883665570349</v>
      </c>
      <c r="J39" s="13">
        <f t="shared" si="9"/>
        <v>12.269338485763852</v>
      </c>
      <c r="K39" s="7">
        <f>'a1'!M39</f>
        <v>17014.250056988734</v>
      </c>
      <c r="L39" s="7">
        <f t="shared" si="10"/>
        <v>2087.5359303062169</v>
      </c>
      <c r="M39" s="7">
        <f>'a1'!S39</f>
        <v>17700.474890789752</v>
      </c>
      <c r="N39" s="7">
        <f t="shared" si="10"/>
        <v>2171.7311779386341</v>
      </c>
      <c r="O39" s="7">
        <f>'a1'!Y39</f>
        <v>18679.741842493033</v>
      </c>
      <c r="P39" s="7">
        <f t="shared" si="1"/>
        <v>2291.8807549223311</v>
      </c>
      <c r="Q39" s="7">
        <f>'a1'!AE39</f>
        <v>17664.687030292036</v>
      </c>
      <c r="R39" s="7">
        <f t="shared" si="2"/>
        <v>2167.3402441973562</v>
      </c>
      <c r="S39" s="7">
        <f>'a1'!AK39</f>
        <v>18685.480679542328</v>
      </c>
      <c r="T39" s="7">
        <f t="shared" si="3"/>
        <v>2292.5848722650558</v>
      </c>
      <c r="U39" s="7">
        <f>'a1'!AQ39</f>
        <v>21379.104375739651</v>
      </c>
      <c r="V39" s="7">
        <f t="shared" si="4"/>
        <v>2623.0746810842488</v>
      </c>
      <c r="W39" s="7">
        <f>'a1'!AW39</f>
        <v>18974.517972728037</v>
      </c>
      <c r="X39" s="7">
        <f t="shared" si="5"/>
        <v>2328.0478361160999</v>
      </c>
      <c r="Y39" s="7">
        <f>'a1'!BC39</f>
        <v>18967.808114406715</v>
      </c>
      <c r="Z39" s="7">
        <f t="shared" si="6"/>
        <v>2327.2245808867419</v>
      </c>
      <c r="AA39" s="7">
        <f>'a1'!BI39</f>
        <v>22356.317836035574</v>
      </c>
      <c r="AB39" s="7">
        <f t="shared" si="7"/>
        <v>2742.972308256401</v>
      </c>
      <c r="AC39" s="7">
        <f>'a1'!BO39</f>
        <v>21146.56950580237</v>
      </c>
      <c r="AD39" s="7">
        <f t="shared" si="8"/>
        <v>2594.5441907942131</v>
      </c>
    </row>
    <row r="40" spans="1:30" ht="18" customHeight="1">
      <c r="A40" s="1">
        <v>2002</v>
      </c>
      <c r="B40" s="118">
        <f t="shared" ref="B40:E48" si="16">POWER(B$32/B$27,1/5)*B39</f>
        <v>24.532761156711793</v>
      </c>
      <c r="C40" s="118">
        <f t="shared" si="16"/>
        <v>3.9447568112965965</v>
      </c>
      <c r="D40" s="118">
        <f t="shared" si="16"/>
        <v>0.84631968366225008</v>
      </c>
      <c r="E40" s="118">
        <f t="shared" si="16"/>
        <v>23.41594845901901</v>
      </c>
      <c r="F40" s="6">
        <f>(SUM(B40:E40))/'a1'!$B$24*100</f>
        <v>80.396015412636672</v>
      </c>
      <c r="G40" s="7">
        <f>'a1'!F40</f>
        <v>31353656</v>
      </c>
      <c r="H40" s="7">
        <f t="shared" si="11"/>
        <v>2564.1671712108046</v>
      </c>
      <c r="I40" s="7">
        <f>'a1'!G40</f>
        <v>20913.733313907636</v>
      </c>
      <c r="J40" s="13">
        <f t="shared" ref="J40:J46" si="17">H40/I40*100</f>
        <v>12.260685993856644</v>
      </c>
      <c r="K40" s="7">
        <f>'a1'!M40</f>
        <v>17602.414485372385</v>
      </c>
      <c r="L40" s="7">
        <f t="shared" si="10"/>
        <v>2158.1767673886447</v>
      </c>
      <c r="M40" s="7">
        <f>'a1'!S40</f>
        <v>18301.23615535229</v>
      </c>
      <c r="N40" s="7">
        <f t="shared" si="10"/>
        <v>2243.8570980019063</v>
      </c>
      <c r="O40" s="7">
        <f>'a1'!Y40</f>
        <v>19343.005192430068</v>
      </c>
      <c r="P40" s="7">
        <f t="shared" si="1"/>
        <v>2371.5851284192368</v>
      </c>
      <c r="Q40" s="7">
        <f>'a1'!AE40</f>
        <v>18226.925083841452</v>
      </c>
      <c r="R40" s="7">
        <f t="shared" si="2"/>
        <v>2234.7460508652921</v>
      </c>
      <c r="S40" s="7">
        <f>'a1'!AK40</f>
        <v>19230.148973078623</v>
      </c>
      <c r="T40" s="7">
        <f t="shared" si="3"/>
        <v>2357.748181740018</v>
      </c>
      <c r="U40" s="7">
        <f>'a1'!AQ40</f>
        <v>21874.730430304982</v>
      </c>
      <c r="V40" s="7">
        <f t="shared" si="4"/>
        <v>2681.9920100622999</v>
      </c>
      <c r="W40" s="7">
        <f>'a1'!AW40</f>
        <v>19454.216751843531</v>
      </c>
      <c r="X40" s="7">
        <f t="shared" si="5"/>
        <v>2385.2204285077923</v>
      </c>
      <c r="Y40" s="7">
        <f>'a1'!BC40</f>
        <v>19542.516510316502</v>
      </c>
      <c r="Z40" s="7">
        <f t="shared" si="6"/>
        <v>2396.0465846274974</v>
      </c>
      <c r="AA40" s="7">
        <f>'a1'!BI40</f>
        <v>22772.605745367226</v>
      </c>
      <c r="AB40" s="7">
        <f t="shared" si="7"/>
        <v>2792.0776830584327</v>
      </c>
      <c r="AC40" s="7">
        <f>'a1'!BO40</f>
        <v>21775.042470092809</v>
      </c>
      <c r="AD40" s="7">
        <f t="shared" si="8"/>
        <v>2669.7695822870046</v>
      </c>
    </row>
    <row r="41" spans="1:30" ht="18" customHeight="1">
      <c r="A41" s="1">
        <v>2003</v>
      </c>
      <c r="B41" s="118">
        <f t="shared" si="16"/>
        <v>24.883371311686112</v>
      </c>
      <c r="C41" s="118">
        <f t="shared" si="16"/>
        <v>3.9901107618314144</v>
      </c>
      <c r="D41" s="118">
        <f t="shared" si="16"/>
        <v>0.80210888668062341</v>
      </c>
      <c r="E41" s="118">
        <f t="shared" si="16"/>
        <v>25.03863514400231</v>
      </c>
      <c r="F41" s="6">
        <f>(SUM(B41:E41))/'a1'!$B$24*100</f>
        <v>83.405832475915346</v>
      </c>
      <c r="G41" s="7">
        <f>'a1'!F41</f>
        <v>31639670</v>
      </c>
      <c r="H41" s="7">
        <f t="shared" si="11"/>
        <v>2636.1157520263437</v>
      </c>
      <c r="I41" s="7">
        <f>'a1'!G41</f>
        <v>21354.742321901587</v>
      </c>
      <c r="J41" s="13">
        <f t="shared" si="17"/>
        <v>12.344404405773247</v>
      </c>
      <c r="K41" s="7">
        <f>'a1'!M41</f>
        <v>18196.019439944459</v>
      </c>
      <c r="L41" s="7">
        <f t="shared" ref="L41:L46" si="18">K41*($J41/100)</f>
        <v>2246.1902254198603</v>
      </c>
      <c r="M41" s="7">
        <f>'a1'!S41</f>
        <v>18758.061812696309</v>
      </c>
      <c r="N41" s="7">
        <f t="shared" ref="N41:N46" si="19">M41*($J41/100)</f>
        <v>2315.5710088441524</v>
      </c>
      <c r="O41" s="7">
        <f>'a1'!Y41</f>
        <v>19771.923143795513</v>
      </c>
      <c r="P41" s="7">
        <f t="shared" si="1"/>
        <v>2440.7261516687936</v>
      </c>
      <c r="Q41" s="7">
        <f>'a1'!AE41</f>
        <v>18543.106450721854</v>
      </c>
      <c r="R41" s="7">
        <f t="shared" si="2"/>
        <v>2289.0360496701319</v>
      </c>
      <c r="S41" s="7">
        <f>'a1'!AK41</f>
        <v>19706.678130090444</v>
      </c>
      <c r="T41" s="7">
        <f t="shared" si="3"/>
        <v>2432.6720433224377</v>
      </c>
      <c r="U41" s="7">
        <f>'a1'!AQ41</f>
        <v>22270.210768866207</v>
      </c>
      <c r="V41" s="7">
        <f t="shared" si="4"/>
        <v>2749.1248793269083</v>
      </c>
      <c r="W41" s="7">
        <f>'a1'!AW41</f>
        <v>19638.792630125474</v>
      </c>
      <c r="X41" s="7">
        <f t="shared" si="5"/>
        <v>2424.2919826738807</v>
      </c>
      <c r="Y41" s="7">
        <f>'a1'!BC41</f>
        <v>19956.185905830807</v>
      </c>
      <c r="Z41" s="7">
        <f t="shared" si="6"/>
        <v>2463.4722921836778</v>
      </c>
      <c r="AA41" s="7">
        <f>'a1'!BI41</f>
        <v>23141.638677688858</v>
      </c>
      <c r="AB41" s="7">
        <f t="shared" si="7"/>
        <v>2856.697464496749</v>
      </c>
      <c r="AC41" s="7">
        <f>'a1'!BO41</f>
        <v>22377.762835011483</v>
      </c>
      <c r="AD41" s="7">
        <f t="shared" si="8"/>
        <v>2762.4015413186457</v>
      </c>
    </row>
    <row r="42" spans="1:30" ht="18" customHeight="1">
      <c r="A42" s="1">
        <v>2004</v>
      </c>
      <c r="B42" s="118">
        <f t="shared" si="16"/>
        <v>25.238992214532871</v>
      </c>
      <c r="C42" s="118">
        <f t="shared" si="16"/>
        <v>4.0359861591695498</v>
      </c>
      <c r="D42" s="118">
        <f t="shared" si="16"/>
        <v>0.76020761245674784</v>
      </c>
      <c r="E42" s="118">
        <f t="shared" si="16"/>
        <v>26.773771345272785</v>
      </c>
      <c r="F42" s="6">
        <f>(SUM(B42:E42))/'a1'!$B$24*100</f>
        <v>86.599020322304824</v>
      </c>
      <c r="G42" s="7">
        <f>'a1'!F42</f>
        <v>31940676</v>
      </c>
      <c r="H42" s="7">
        <f t="shared" si="11"/>
        <v>2711.2456956861161</v>
      </c>
      <c r="I42" s="7">
        <f>'a1'!G42</f>
        <v>21868.416310287234</v>
      </c>
      <c r="J42" s="13">
        <f t="shared" si="17"/>
        <v>12.39799744625634</v>
      </c>
      <c r="K42" s="7">
        <f>'a1'!M42</f>
        <v>18496.58032610103</v>
      </c>
      <c r="L42" s="7">
        <f t="shared" si="18"/>
        <v>2293.2055564747584</v>
      </c>
      <c r="M42" s="7">
        <f>'a1'!S42</f>
        <v>19132.152766680709</v>
      </c>
      <c r="N42" s="7">
        <f t="shared" si="19"/>
        <v>2372.003811426936</v>
      </c>
      <c r="O42" s="7">
        <f>'a1'!Y42</f>
        <v>20172.965883735586</v>
      </c>
      <c r="P42" s="7">
        <f t="shared" si="1"/>
        <v>2501.0437950997007</v>
      </c>
      <c r="Q42" s="7">
        <f>'a1'!AE42</f>
        <v>18982.637392259356</v>
      </c>
      <c r="R42" s="7">
        <f t="shared" si="2"/>
        <v>2353.4668991244162</v>
      </c>
      <c r="S42" s="7">
        <f>'a1'!AK42</f>
        <v>20133.416862075002</v>
      </c>
      <c r="T42" s="7">
        <f t="shared" si="3"/>
        <v>2496.1405084042021</v>
      </c>
      <c r="U42" s="7">
        <f>'a1'!AQ42</f>
        <v>22709.07161146931</v>
      </c>
      <c r="V42" s="7">
        <f t="shared" si="4"/>
        <v>2815.4701184584887</v>
      </c>
      <c r="W42" s="7">
        <f>'a1'!AW42</f>
        <v>20093.458740283888</v>
      </c>
      <c r="X42" s="7">
        <f t="shared" si="5"/>
        <v>2491.1865014849682</v>
      </c>
      <c r="Y42" s="7">
        <f>'a1'!BC42</f>
        <v>20298.822894850553</v>
      </c>
      <c r="Z42" s="7">
        <f t="shared" si="6"/>
        <v>2516.6475441236689</v>
      </c>
      <c r="AA42" s="7">
        <f>'a1'!BI42</f>
        <v>23902.359366699067</v>
      </c>
      <c r="AB42" s="7">
        <f t="shared" si="7"/>
        <v>2963.4139038783637</v>
      </c>
      <c r="AC42" s="7">
        <f>'a1'!BO42</f>
        <v>23171.85578448054</v>
      </c>
      <c r="AD42" s="7">
        <f t="shared" si="8"/>
        <v>2872.8460884100996</v>
      </c>
    </row>
    <row r="43" spans="1:30" ht="18" customHeight="1">
      <c r="A43" s="1">
        <v>2005</v>
      </c>
      <c r="B43" s="118">
        <f t="shared" si="16"/>
        <v>25.599695476395919</v>
      </c>
      <c r="C43" s="118">
        <f t="shared" si="16"/>
        <v>4.0823889985278576</v>
      </c>
      <c r="D43" s="118">
        <f t="shared" si="16"/>
        <v>0.72049521409591144</v>
      </c>
      <c r="E43" s="118">
        <f t="shared" si="16"/>
        <v>28.629149629214464</v>
      </c>
      <c r="F43" s="6">
        <f>(SUM(B43:E43))/'a1'!$B$24*100</f>
        <v>89.98739225340573</v>
      </c>
      <c r="G43" s="7">
        <f>'a1'!F43</f>
        <v>32245209</v>
      </c>
      <c r="H43" s="7">
        <f t="shared" si="11"/>
        <v>2790.7213209071069</v>
      </c>
      <c r="I43" s="7">
        <f>'a1'!G43</f>
        <v>22493.791248182017</v>
      </c>
      <c r="J43" s="13">
        <f t="shared" si="17"/>
        <v>12.406629412161266</v>
      </c>
      <c r="K43" s="7">
        <f>'a1'!M43</f>
        <v>18881.606958509845</v>
      </c>
      <c r="L43" s="7">
        <f t="shared" si="18"/>
        <v>2342.5710024031705</v>
      </c>
      <c r="M43" s="7">
        <f>'a1'!S43</f>
        <v>19499.474846981277</v>
      </c>
      <c r="N43" s="7">
        <f t="shared" si="19"/>
        <v>2419.2275815825669</v>
      </c>
      <c r="O43" s="7">
        <f>'a1'!Y43</f>
        <v>20612.170701568648</v>
      </c>
      <c r="P43" s="7">
        <f t="shared" si="1"/>
        <v>2557.2756327457032</v>
      </c>
      <c r="Q43" s="7">
        <f>'a1'!AE43</f>
        <v>19431.520402160542</v>
      </c>
      <c r="R43" s="7">
        <f t="shared" si="2"/>
        <v>2410.7967254445671</v>
      </c>
      <c r="S43" s="7">
        <f>'a1'!AK43</f>
        <v>20602.985184078261</v>
      </c>
      <c r="T43" s="7">
        <f t="shared" si="3"/>
        <v>2556.1360196310816</v>
      </c>
      <c r="U43" s="7">
        <f>'a1'!AQ43</f>
        <v>23253.339591075692</v>
      </c>
      <c r="V43" s="7">
        <f t="shared" si="4"/>
        <v>2884.9556690161371</v>
      </c>
      <c r="W43" s="7">
        <f>'a1'!AW43</f>
        <v>20633.097994485281</v>
      </c>
      <c r="X43" s="7">
        <f t="shared" si="5"/>
        <v>2559.8720044238671</v>
      </c>
      <c r="Y43" s="7">
        <f>'a1'!BC43</f>
        <v>20972.665485079695</v>
      </c>
      <c r="Z43" s="7">
        <f t="shared" si="6"/>
        <v>2602.0008845860916</v>
      </c>
      <c r="AA43" s="7">
        <f>'a1'!BI43</f>
        <v>25102.943832400219</v>
      </c>
      <c r="AB43" s="7">
        <f t="shared" si="7"/>
        <v>3114.429212828888</v>
      </c>
      <c r="AC43" s="7">
        <f>'a1'!BO43</f>
        <v>23922.819070203212</v>
      </c>
      <c r="AD43" s="7">
        <f t="shared" si="8"/>
        <v>2968.0155069819557</v>
      </c>
    </row>
    <row r="44" spans="1:30" ht="18" customHeight="1">
      <c r="A44" s="1">
        <v>2006</v>
      </c>
      <c r="B44" s="118">
        <f>POWER(B$32/B$27,1/5)*B43</f>
        <v>25.965553731850338</v>
      </c>
      <c r="C44" s="118">
        <f t="shared" si="16"/>
        <v>4.1293253440518445</v>
      </c>
      <c r="D44" s="118">
        <f t="shared" si="16"/>
        <v>0.68285734716271118</v>
      </c>
      <c r="E44" s="118">
        <f t="shared" si="16"/>
        <v>30.613102574235043</v>
      </c>
      <c r="F44" s="6">
        <f>(SUM(B44:E44))/'a1'!$B$24*100</f>
        <v>93.58359603246943</v>
      </c>
      <c r="G44" s="7">
        <f>'a1'!F44</f>
        <v>32576074</v>
      </c>
      <c r="H44" s="7">
        <f t="shared" si="11"/>
        <v>2872.7708573006507</v>
      </c>
      <c r="I44" s="7">
        <f>'a1'!G44</f>
        <v>23260.507082590739</v>
      </c>
      <c r="J44" s="13">
        <f>H44/I44*100</f>
        <v>12.350422314957905</v>
      </c>
      <c r="K44" s="7">
        <f>'a1'!M44</f>
        <v>19489.999274954782</v>
      </c>
      <c r="L44" s="7">
        <f t="shared" si="18"/>
        <v>2407.0972196391494</v>
      </c>
      <c r="M44" s="7">
        <f>'a1'!S44</f>
        <v>20236.368909512759</v>
      </c>
      <c r="N44" s="7">
        <f t="shared" si="19"/>
        <v>2499.2770215376677</v>
      </c>
      <c r="O44" s="7">
        <f>'a1'!Y44</f>
        <v>21271.628234240572</v>
      </c>
      <c r="P44" s="7">
        <f t="shared" si="1"/>
        <v>2627.1359201965338</v>
      </c>
      <c r="Q44" s="7">
        <f>'a1'!AE44</f>
        <v>20215.268334419598</v>
      </c>
      <c r="R44" s="7">
        <f t="shared" si="2"/>
        <v>2496.6710114027774</v>
      </c>
      <c r="S44" s="7">
        <f>'a1'!AK44</f>
        <v>21123.619415814766</v>
      </c>
      <c r="T44" s="7">
        <f t="shared" si="3"/>
        <v>2608.8562060575678</v>
      </c>
      <c r="U44" s="7">
        <f>'a1'!AQ44</f>
        <v>23835.116703483662</v>
      </c>
      <c r="V44" s="7">
        <f t="shared" si="4"/>
        <v>2943.7375721433054</v>
      </c>
      <c r="W44" s="7">
        <f>'a1'!AW44</f>
        <v>21227.484753355275</v>
      </c>
      <c r="X44" s="7">
        <f t="shared" si="5"/>
        <v>2621.6840138826769</v>
      </c>
      <c r="Y44" s="7">
        <f>'a1'!BC44</f>
        <v>21845.095663638142</v>
      </c>
      <c r="Z44" s="7">
        <f t="shared" si="6"/>
        <v>2697.9615695658667</v>
      </c>
      <c r="AA44" s="7">
        <f>'a1'!BI44</f>
        <v>26520.692857266036</v>
      </c>
      <c r="AB44" s="7">
        <f t="shared" si="7"/>
        <v>3275.4175687252318</v>
      </c>
      <c r="AC44" s="7">
        <f>'a1'!BO44</f>
        <v>25135.8522756729</v>
      </c>
      <c r="AD44" s="7">
        <f t="shared" si="8"/>
        <v>3104.3839085095601</v>
      </c>
    </row>
    <row r="45" spans="1:30" ht="18" customHeight="1">
      <c r="A45" s="1">
        <v>2007</v>
      </c>
      <c r="B45" s="118">
        <f>POWER(B$32/B$27,1/5)*B44</f>
        <v>26.336640653528839</v>
      </c>
      <c r="C45" s="118">
        <f t="shared" si="16"/>
        <v>4.1768013296081605</v>
      </c>
      <c r="D45" s="118">
        <f t="shared" si="16"/>
        <v>0.64718564044760318</v>
      </c>
      <c r="E45" s="118">
        <f t="shared" si="16"/>
        <v>32.734540192710234</v>
      </c>
      <c r="F45" s="6">
        <f>(SUM(B45:E45))/'a1'!$B$24*100</f>
        <v>97.401170451668975</v>
      </c>
      <c r="G45" s="7">
        <f>'a1'!F45</f>
        <v>32929733</v>
      </c>
      <c r="H45" s="7">
        <f t="shared" si="11"/>
        <v>2957.8487761096931</v>
      </c>
      <c r="I45" s="7">
        <f>'a1'!G45</f>
        <v>24127.738903926125</v>
      </c>
      <c r="J45" s="13">
        <f t="shared" si="17"/>
        <v>12.259121287276466</v>
      </c>
      <c r="K45" s="7">
        <f>'a1'!M45</f>
        <v>20674.238070694086</v>
      </c>
      <c r="L45" s="7">
        <f t="shared" si="18"/>
        <v>2534.4799203066741</v>
      </c>
      <c r="M45" s="7">
        <f>'a1'!S45</f>
        <v>21163.714796505526</v>
      </c>
      <c r="N45" s="7">
        <f t="shared" si="19"/>
        <v>2594.4854657968881</v>
      </c>
      <c r="O45" s="7">
        <f>'a1'!Y45</f>
        <v>22076.439900234454</v>
      </c>
      <c r="P45" s="7">
        <f>O45*($J45/100)</f>
        <v>2706.3775432824373</v>
      </c>
      <c r="Q45" s="7">
        <f>'a1'!AE45</f>
        <v>21150.479869620329</v>
      </c>
      <c r="R45" s="7">
        <f>Q45*($J45/100)</f>
        <v>2592.8629800577496</v>
      </c>
      <c r="S45" s="7">
        <f>'a1'!AK45</f>
        <v>21894.983533493603</v>
      </c>
      <c r="T45" s="7">
        <f>S45*($J45/100)</f>
        <v>2684.1325872001912</v>
      </c>
      <c r="U45" s="7">
        <f>'a1'!AQ45</f>
        <v>24563.632260520004</v>
      </c>
      <c r="V45" s="7">
        <f>U45*($J45/100)</f>
        <v>3011.2854713777169</v>
      </c>
      <c r="W45" s="7">
        <f>'a1'!AW45</f>
        <v>22220.95616635304</v>
      </c>
      <c r="X45" s="7">
        <f>W45*($J45/100)</f>
        <v>2724.0939676257581</v>
      </c>
      <c r="Y45" s="7">
        <f>'a1'!BC45</f>
        <v>23174.044270622449</v>
      </c>
      <c r="Z45" s="7">
        <f>Y45*($J45/100)</f>
        <v>2840.9341943027489</v>
      </c>
      <c r="AA45" s="7">
        <f>'a1'!BI45</f>
        <v>27627.252155114129</v>
      </c>
      <c r="AB45" s="7">
        <f>AA45*($J45/100)</f>
        <v>3386.8583500371424</v>
      </c>
      <c r="AC45" s="7">
        <f>'a1'!BO45</f>
        <v>26122.648059045412</v>
      </c>
      <c r="AD45" s="7">
        <f>AC45*($J45/100)</f>
        <v>3202.4071090067487</v>
      </c>
    </row>
    <row r="46" spans="1:30" ht="18" customHeight="1">
      <c r="A46" s="1">
        <v>2008</v>
      </c>
      <c r="B46" s="118">
        <f>POWER(B$32/B$27,1/5)*B45</f>
        <v>26.713030966957152</v>
      </c>
      <c r="C46" s="118">
        <f>POWER(C$32/C$27,1/5)*C45</f>
        <v>4.2248231595862027</v>
      </c>
      <c r="D46" s="118">
        <f t="shared" si="16"/>
        <v>0.61337738393224162</v>
      </c>
      <c r="E46" s="118">
        <f>POWER(E$32/E$27,1/5)*E45</f>
        <v>35.002989946207293</v>
      </c>
      <c r="F46" s="6">
        <f>(SUM(B46:E46))/'a1'!$B$24*100</f>
        <v>101.45460587908978</v>
      </c>
      <c r="G46" s="7">
        <f>'a1'!F46</f>
        <v>33315976</v>
      </c>
      <c r="H46" s="7">
        <f t="shared" si="11"/>
        <v>3045.2238853542754</v>
      </c>
      <c r="I46" s="7">
        <f>'a1'!G46</f>
        <v>24612.756354488909</v>
      </c>
      <c r="J46" s="13">
        <f t="shared" si="17"/>
        <v>12.372543089018484</v>
      </c>
      <c r="K46" s="7">
        <f>'a1'!M46</f>
        <v>21817.765160719329</v>
      </c>
      <c r="L46" s="7">
        <f t="shared" si="18"/>
        <v>2699.4123955708619</v>
      </c>
      <c r="M46" s="7">
        <f>'a1'!S46</f>
        <v>21562.936687090187</v>
      </c>
      <c r="N46" s="7">
        <f t="shared" si="19"/>
        <v>2667.8836328680081</v>
      </c>
      <c r="O46" s="7">
        <f>'a1'!Y46</f>
        <v>22768.397106124772</v>
      </c>
      <c r="P46" s="7">
        <f>O46*($J46/100)</f>
        <v>2817.0297426341249</v>
      </c>
      <c r="Q46" s="7">
        <f>'a1'!AE46</f>
        <v>21930.587948619766</v>
      </c>
      <c r="R46" s="7">
        <f>Q46*($J46/100)</f>
        <v>2713.3714436180753</v>
      </c>
      <c r="S46" s="7">
        <f>'a1'!AK46</f>
        <v>22474.846903732159</v>
      </c>
      <c r="T46" s="7">
        <f>S46*($J46/100)</f>
        <v>2780.7101173551978</v>
      </c>
      <c r="U46" s="7">
        <f>'a1'!AQ46</f>
        <v>25016.128225326098</v>
      </c>
      <c r="V46" s="7">
        <f>U46*($J46/100)</f>
        <v>3095.1312438825867</v>
      </c>
      <c r="W46" s="7">
        <f>'a1'!AW46</f>
        <v>22903.866142078459</v>
      </c>
      <c r="X46" s="7">
        <f>W46*($J46/100)</f>
        <v>2833.7907074797727</v>
      </c>
      <c r="Y46" s="7">
        <f>'a1'!BC46</f>
        <v>24299.85638079606</v>
      </c>
      <c r="Z46" s="7">
        <f>Y46*($J46/100)</f>
        <v>3006.5102012836001</v>
      </c>
      <c r="AA46" s="7">
        <f>'a1'!BI46</f>
        <v>27821.253659097547</v>
      </c>
      <c r="AB46" s="7">
        <f>AA46*($J46/100)</f>
        <v>3442.1965968769755</v>
      </c>
      <c r="AC46" s="7">
        <f>'a1'!BO46</f>
        <v>26328.395523579675</v>
      </c>
      <c r="AD46" s="7">
        <f>AC46*($J46/100)</f>
        <v>3257.4920808021088</v>
      </c>
    </row>
    <row r="47" spans="1:30" ht="18" customHeight="1">
      <c r="A47" s="1">
        <v>2009</v>
      </c>
      <c r="B47" s="118">
        <f>POWER(B$32/B$27,1/5)*B46</f>
        <v>27.09480046560147</v>
      </c>
      <c r="C47" s="118">
        <f>POWER(C$32/C$27,1/5)*C46</f>
        <v>4.2733971097089345</v>
      </c>
      <c r="D47" s="118">
        <f t="shared" si="16"/>
        <v>0.58133523305516022</v>
      </c>
      <c r="E47" s="118">
        <f>POWER(E$32/E$27,1/5)*E46</f>
        <v>37.428639533697648</v>
      </c>
      <c r="F47" s="6">
        <f>(SUM(B47:E47))/'a1'!$B$24*100</f>
        <v>105.75940905802319</v>
      </c>
      <c r="G47" s="7">
        <f>'a1'!F47</f>
        <v>33720184</v>
      </c>
      <c r="H47" s="7">
        <f t="shared" ref="H47" si="20">F47*1000000000/G47</f>
        <v>3136.3829170689933</v>
      </c>
      <c r="I47" s="7">
        <f>'a1'!G47</f>
        <v>24421.723202933888</v>
      </c>
      <c r="J47" s="13">
        <f t="shared" ref="J47" si="21">H47/I47*100</f>
        <v>12.842594648244173</v>
      </c>
      <c r="K47" s="7">
        <f>'a1'!M47</f>
        <v>22324.424423833447</v>
      </c>
      <c r="L47" s="7">
        <f t="shared" ref="L47" si="22">K47*($J47/100)</f>
        <v>2867.0353363065497</v>
      </c>
      <c r="M47" s="7">
        <f>'a1'!S47</f>
        <v>21602.160216021603</v>
      </c>
      <c r="N47" s="7">
        <f t="shared" ref="N47" si="23">M47*($J47/100)</f>
        <v>2774.2778718079226</v>
      </c>
      <c r="O47" s="7">
        <f>'a1'!Y47</f>
        <v>23184.371818843945</v>
      </c>
      <c r="P47" s="7">
        <f>O47*($J47/100)</f>
        <v>2977.474894435883</v>
      </c>
      <c r="Q47" s="7">
        <f>'a1'!AE47</f>
        <v>22183.995174317119</v>
      </c>
      <c r="R47" s="7">
        <f>Q47*($J47/100)</f>
        <v>2849.0005770235962</v>
      </c>
      <c r="S47" s="7">
        <f>'a1'!AK47</f>
        <v>22491.053997665156</v>
      </c>
      <c r="T47" s="7">
        <f>S47*($J47/100)</f>
        <v>2888.4348970378528</v>
      </c>
      <c r="U47" s="7">
        <f>'a1'!AQ47</f>
        <v>24803.404541940621</v>
      </c>
      <c r="V47" s="7">
        <f>U47*($J47/100)</f>
        <v>3185.4007042856188</v>
      </c>
      <c r="W47" s="7">
        <f>'a1'!AW47</f>
        <v>22995.140878446524</v>
      </c>
      <c r="X47" s="7">
        <f>W47*($J47/100)</f>
        <v>2953.1727318115818</v>
      </c>
      <c r="Y47" s="7">
        <f>'a1'!BC47</f>
        <v>24324.571188700294</v>
      </c>
      <c r="Z47" s="7">
        <f>Y47*($J47/100)</f>
        <v>3123.9060776883684</v>
      </c>
      <c r="AA47" s="7">
        <f>'a1'!BI47</f>
        <v>26935.153710067338</v>
      </c>
      <c r="AB47" s="7">
        <f>AA47*($J47/100)</f>
        <v>3459.17260886545</v>
      </c>
      <c r="AC47" s="7">
        <f>'a1'!BO47</f>
        <v>25935.073309101736</v>
      </c>
      <c r="AD47" s="7">
        <f>AC47*($J47/100)</f>
        <v>3330.7363368129027</v>
      </c>
    </row>
    <row r="48" spans="1:30" ht="18" customHeight="1">
      <c r="A48" s="1">
        <v>2010</v>
      </c>
      <c r="B48" s="118">
        <f>POWER(B$32/B$27,1/5)*B47</f>
        <v>27.482026026130917</v>
      </c>
      <c r="C48" s="118">
        <f>POWER(C$32/C$27,1/5)*C47</f>
        <v>4.3225295278530247</v>
      </c>
      <c r="D48" s="118">
        <f t="shared" si="16"/>
        <v>0.55096692842628525</v>
      </c>
      <c r="E48" s="118">
        <f>POWER(E$32/E$27,1/5)*E47</f>
        <v>40.022382644922239</v>
      </c>
      <c r="F48" s="6">
        <f>(SUM(B48:E48))/'a1'!$B$24*100</f>
        <v>110.33217245020195</v>
      </c>
      <c r="G48" s="7">
        <f>'a1'!F48</f>
        <v>34108752</v>
      </c>
      <c r="H48" s="7">
        <f t="shared" ref="H48" si="24">F48*1000000000/G48</f>
        <v>3234.7173666806088</v>
      </c>
      <c r="I48" s="7">
        <f>'a1'!G48</f>
        <v>24951.77076289618</v>
      </c>
      <c r="J48" s="13">
        <f t="shared" ref="J48" si="25">H48/I48*100</f>
        <v>12.963878986459362</v>
      </c>
      <c r="K48" s="7">
        <f>'a1'!M48</f>
        <v>23023.966014894082</v>
      </c>
      <c r="L48" s="7">
        <f t="shared" ref="L48" si="26">K48*($J48/100)</f>
        <v>2984.7990920543989</v>
      </c>
      <c r="M48" s="7">
        <f>'a1'!S48</f>
        <v>22059.399207808256</v>
      </c>
      <c r="N48" s="7">
        <f t="shared" ref="N48" si="27">M48*($J48/100)</f>
        <v>2859.7538184402374</v>
      </c>
      <c r="O48" s="7">
        <f>'a1'!Y48</f>
        <v>23751.768987973406</v>
      </c>
      <c r="P48" s="7">
        <f>O48*($J48/100)</f>
        <v>3079.1505887442559</v>
      </c>
      <c r="Q48" s="7">
        <f>'a1'!AE48</f>
        <v>22812.060017436044</v>
      </c>
      <c r="R48" s="7">
        <f>Q48*($J48/100)</f>
        <v>2957.3278549788893</v>
      </c>
      <c r="S48" s="7">
        <f>'a1'!AK48</f>
        <v>22938.938928053129</v>
      </c>
      <c r="T48" s="7">
        <f>S48*($J48/100)</f>
        <v>2973.7762834106261</v>
      </c>
      <c r="U48" s="7">
        <f>'a1'!AQ48</f>
        <v>25232.354758062738</v>
      </c>
      <c r="V48" s="7">
        <f>U48*($J48/100)</f>
        <v>3271.0919362693744</v>
      </c>
      <c r="W48" s="7">
        <f>'a1'!AW48</f>
        <v>23500.85651944426</v>
      </c>
      <c r="X48" s="7">
        <f>W48*($J48/100)</f>
        <v>3046.6225999621993</v>
      </c>
      <c r="Y48" s="7">
        <f>'a1'!BC48</f>
        <v>24978.630885724386</v>
      </c>
      <c r="Z48" s="7">
        <f>Y48*($J48/100)</f>
        <v>3238.1994804996716</v>
      </c>
      <c r="AA48" s="7">
        <f>'a1'!BI48</f>
        <v>27903.047734929944</v>
      </c>
      <c r="AB48" s="7">
        <f>AA48*($J48/100)</f>
        <v>3617.3173418903079</v>
      </c>
      <c r="AC48" s="7">
        <f>'a1'!BO48</f>
        <v>26485.048630377936</v>
      </c>
      <c r="AD48" s="7">
        <f>AC48*($J48/100)</f>
        <v>3433.4896539471083</v>
      </c>
    </row>
    <row r="49" spans="1:138" ht="18" customHeight="1">
      <c r="B49" s="257" t="s">
        <v>967</v>
      </c>
      <c r="C49" s="118"/>
      <c r="D49" s="118"/>
      <c r="E49" s="118"/>
      <c r="F49" s="6"/>
      <c r="G49" s="7"/>
      <c r="H49" s="7"/>
      <c r="I49" s="7"/>
      <c r="J49" s="13"/>
      <c r="K49" s="7"/>
      <c r="L49" s="7"/>
      <c r="M49" s="7"/>
      <c r="N49" s="7"/>
      <c r="O49" s="7"/>
      <c r="P49" s="7"/>
      <c r="Q49" s="257" t="s">
        <v>967</v>
      </c>
      <c r="R49" s="7"/>
      <c r="S49" s="7"/>
      <c r="T49" s="7"/>
      <c r="U49" s="7"/>
      <c r="V49" s="7"/>
      <c r="W49" s="7"/>
      <c r="X49" s="7"/>
      <c r="Y49" s="7"/>
      <c r="Z49" s="7"/>
      <c r="AA49" s="7"/>
      <c r="AB49" s="7"/>
      <c r="AC49" s="7"/>
      <c r="AD49" s="7"/>
    </row>
    <row r="50" spans="1:138" s="252" customFormat="1" ht="18" customHeight="1">
      <c r="A50" s="252" t="s">
        <v>988</v>
      </c>
      <c r="B50" s="271">
        <f t="shared" ref="B50:AD50" si="28">(POWER(B48/B19, 1/29)-1)*100</f>
        <v>1.8391946599256359</v>
      </c>
      <c r="C50" s="271">
        <f t="shared" si="28"/>
        <v>1.5085809285753315</v>
      </c>
      <c r="D50" s="271">
        <f t="shared" si="28"/>
        <v>-3.1645452477919278</v>
      </c>
      <c r="E50" s="271">
        <f t="shared" si="28"/>
        <v>5.6187450671739469</v>
      </c>
      <c r="F50" s="271">
        <f t="shared" si="28"/>
        <v>3.2535106574207218</v>
      </c>
      <c r="G50" s="271">
        <f t="shared" si="28"/>
        <v>1.1022639403056589</v>
      </c>
      <c r="H50" s="271">
        <f t="shared" si="28"/>
        <v>2.1277928240907018</v>
      </c>
      <c r="I50" s="271">
        <f t="shared" si="28"/>
        <v>1.8057887018580132</v>
      </c>
      <c r="J50" s="271">
        <f t="shared" si="28"/>
        <v>0.31629254715141997</v>
      </c>
      <c r="K50" s="271">
        <f t="shared" si="28"/>
        <v>2.8575241264321427</v>
      </c>
      <c r="L50" s="271">
        <f t="shared" si="28"/>
        <v>3.1828548094285036</v>
      </c>
      <c r="M50" s="271">
        <f t="shared" si="28"/>
        <v>2.1588983716563703</v>
      </c>
      <c r="N50" s="271">
        <f t="shared" si="28"/>
        <v>2.4820193534578872</v>
      </c>
      <c r="O50" s="271">
        <f t="shared" si="28"/>
        <v>2.1087162811165072</v>
      </c>
      <c r="P50" s="271">
        <f t="shared" si="28"/>
        <v>2.4316785407056507</v>
      </c>
      <c r="Q50" s="271">
        <f t="shared" si="28"/>
        <v>2.4429950031342074</v>
      </c>
      <c r="R50" s="271">
        <f t="shared" si="28"/>
        <v>2.7670145614078212</v>
      </c>
      <c r="S50" s="271">
        <f t="shared" si="28"/>
        <v>1.994538542687474</v>
      </c>
      <c r="T50" s="271">
        <f t="shared" si="28"/>
        <v>2.3171396665994548</v>
      </c>
      <c r="U50" s="271">
        <f t="shared" si="28"/>
        <v>1.6494947650692149</v>
      </c>
      <c r="V50" s="271">
        <f t="shared" si="28"/>
        <v>1.9710045412281829</v>
      </c>
      <c r="W50" s="271">
        <f t="shared" si="28"/>
        <v>1.700482816681137</v>
      </c>
      <c r="X50" s="271">
        <f t="shared" si="28"/>
        <v>2.0221538642472892</v>
      </c>
      <c r="Y50" s="271">
        <f t="shared" si="28"/>
        <v>2.1077340092541696</v>
      </c>
      <c r="Z50" s="271">
        <f t="shared" si="28"/>
        <v>2.4306931619906269</v>
      </c>
      <c r="AA50" s="271">
        <f t="shared" si="28"/>
        <v>1.6580691077046295</v>
      </c>
      <c r="AB50" s="271">
        <f t="shared" si="28"/>
        <v>1.9796060038703267</v>
      </c>
      <c r="AC50" s="271">
        <f t="shared" si="28"/>
        <v>1.4649742809594635</v>
      </c>
      <c r="AD50" s="271">
        <f t="shared" si="28"/>
        <v>1.785900432579246</v>
      </c>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269"/>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c r="B51" s="1" t="s">
        <v>464</v>
      </c>
      <c r="Q51" s="1" t="s">
        <v>380</v>
      </c>
    </row>
    <row r="52" spans="1:138">
      <c r="B52" s="1" t="s">
        <v>417</v>
      </c>
    </row>
    <row r="53" spans="1:138">
      <c r="B53" s="1" t="s">
        <v>418</v>
      </c>
    </row>
    <row r="54" spans="1:138">
      <c r="B54" s="1" t="s">
        <v>419</v>
      </c>
    </row>
    <row r="55" spans="1:138">
      <c r="B55" s="1" t="s">
        <v>420</v>
      </c>
    </row>
    <row r="56" spans="1:138">
      <c r="B56" s="1" t="s">
        <v>692</v>
      </c>
    </row>
    <row r="57" spans="1:138">
      <c r="B57" s="1" t="s">
        <v>1033</v>
      </c>
    </row>
  </sheetData>
  <phoneticPr fontId="0" type="noConversion"/>
  <pageMargins left="0.35433070866141736" right="0.35433070866141736" top="0.39370078740157483" bottom="0.39370078740157483" header="0.51181102362204722" footer="0.51181102362204722"/>
  <pageSetup scale="70" orientation="landscape" r:id="rId1"/>
  <headerFooter alignWithMargins="0"/>
  <rowBreaks count="1" manualBreakCount="1">
    <brk id="59" max="16383" man="1"/>
  </rowBreaks>
  <colBreaks count="1" manualBreakCount="1">
    <brk id="16" max="1048575" man="1"/>
  </colBreaks>
</worksheet>
</file>

<file path=xl/worksheets/sheet170.xml><?xml version="1.0" encoding="utf-8"?>
<worksheet xmlns="http://schemas.openxmlformats.org/spreadsheetml/2006/main" xmlns:r="http://schemas.openxmlformats.org/officeDocument/2006/relationships">
  <dimension ref="A1:L46"/>
  <sheetViews>
    <sheetView topLeftCell="A34" workbookViewId="0">
      <selection activeCell="E9" sqref="E9"/>
    </sheetView>
  </sheetViews>
  <sheetFormatPr defaultRowHeight="12.75"/>
  <cols>
    <col min="1" max="16384" width="9" style="618"/>
  </cols>
  <sheetData>
    <row r="1" spans="1:12">
      <c r="A1" s="611" t="s">
        <v>1520</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9">
        <f>'a19'!D19</f>
        <v>66.628312562670118</v>
      </c>
      <c r="C5" s="629">
        <f>'a19'!G19</f>
        <v>131.73879310344827</v>
      </c>
      <c r="D5" s="629">
        <f>'a19'!J19</f>
        <v>117.72222222222221</v>
      </c>
      <c r="E5" s="629">
        <f>'a19'!M19</f>
        <v>89.95077838827838</v>
      </c>
      <c r="F5" s="629">
        <f>'a19'!P19</f>
        <v>118.71785361028682</v>
      </c>
      <c r="G5" s="629">
        <f>'a19'!S19</f>
        <v>75.687525344687757</v>
      </c>
      <c r="H5" s="629">
        <f>'a19'!V19</f>
        <v>51.038470017636691</v>
      </c>
      <c r="I5" s="629">
        <f>'a19'!Y19</f>
        <v>55.348484848484844</v>
      </c>
      <c r="J5" s="629">
        <f>'a19'!AB19</f>
        <v>52.367647058823529</v>
      </c>
      <c r="K5" s="629">
        <f>'a19'!AE19</f>
        <v>31.555786555786558</v>
      </c>
      <c r="L5" s="629">
        <f>'a19'!AH19</f>
        <v>57.300397648686022</v>
      </c>
    </row>
    <row r="6" spans="1:12">
      <c r="A6" s="611">
        <f t="shared" ref="A6:A34" si="0">A5+1</f>
        <v>1982</v>
      </c>
      <c r="B6" s="629">
        <f>'a19'!D20</f>
        <v>75.941337800029444</v>
      </c>
      <c r="C6" s="629">
        <f>'a19'!G20</f>
        <v>133.59097421203438</v>
      </c>
      <c r="D6" s="629">
        <f>'a19'!J20</f>
        <v>124.95398009950247</v>
      </c>
      <c r="E6" s="629">
        <f>'a19'!M20</f>
        <v>95.79812455767869</v>
      </c>
      <c r="F6" s="629">
        <f>'a19'!P20</f>
        <v>121.84215927750408</v>
      </c>
      <c r="G6" s="629">
        <f>'a19'!S20</f>
        <v>85.826036329762459</v>
      </c>
      <c r="H6" s="629">
        <f>'a19'!V20</f>
        <v>61.499635541949118</v>
      </c>
      <c r="I6" s="629">
        <f>'a19'!Y20</f>
        <v>68.641802641802641</v>
      </c>
      <c r="J6" s="629">
        <f>'a19'!AB20</f>
        <v>66.640243902439025</v>
      </c>
      <c r="K6" s="629">
        <f>'a19'!AE20</f>
        <v>53.248628257887511</v>
      </c>
      <c r="L6" s="629">
        <f>'a19'!AH20</f>
        <v>74.603000577034038</v>
      </c>
    </row>
    <row r="7" spans="1:12">
      <c r="A7" s="611">
        <f t="shared" si="0"/>
        <v>1983</v>
      </c>
      <c r="B7" s="629">
        <f>'a19'!D21</f>
        <v>74.323104852993282</v>
      </c>
      <c r="C7" s="629">
        <f>'a19'!G21</f>
        <v>127.67961570593148</v>
      </c>
      <c r="D7" s="629">
        <f>'a19'!J21</f>
        <v>133.37132352941177</v>
      </c>
      <c r="E7" s="629">
        <f>'a19'!M21</f>
        <v>92.065972222222229</v>
      </c>
      <c r="F7" s="629">
        <f>'a19'!P21</f>
        <v>118.87015945330296</v>
      </c>
      <c r="G7" s="629">
        <f>'a19'!S21</f>
        <v>80.358104044504586</v>
      </c>
      <c r="H7" s="629">
        <f>'a19'!V21</f>
        <v>62.779625884732056</v>
      </c>
      <c r="I7" s="629">
        <f>'a19'!Y21</f>
        <v>69.786829599456894</v>
      </c>
      <c r="J7" s="629">
        <f>'a19'!AB21</f>
        <v>63.500459136822776</v>
      </c>
      <c r="K7" s="629">
        <f>'a19'!AE21</f>
        <v>64.35590401520551</v>
      </c>
      <c r="L7" s="629">
        <f>'a19'!AH21</f>
        <v>71.131947901111673</v>
      </c>
    </row>
    <row r="8" spans="1:12">
      <c r="A8" s="611">
        <f t="shared" si="0"/>
        <v>1984</v>
      </c>
      <c r="B8" s="629">
        <f>'a19'!D22</f>
        <v>73.725700686857508</v>
      </c>
      <c r="C8" s="629">
        <f>'a19'!G22</f>
        <v>119.66740576496673</v>
      </c>
      <c r="D8" s="629">
        <f>'a19'!J22</f>
        <v>146.49530516431923</v>
      </c>
      <c r="E8" s="629">
        <f>'a19'!M22</f>
        <v>91.173215455140792</v>
      </c>
      <c r="F8" s="629">
        <f>'a19'!P22</f>
        <v>126.31211773700306</v>
      </c>
      <c r="G8" s="629">
        <f>'a19'!S22</f>
        <v>82.197303037589165</v>
      </c>
      <c r="H8" s="629">
        <f>'a19'!V22</f>
        <v>60.95464135021097</v>
      </c>
      <c r="I8" s="629">
        <f>'a19'!Y22</f>
        <v>70.543526785714292</v>
      </c>
      <c r="J8" s="629">
        <f>'a19'!AB22</f>
        <v>63.448157669237361</v>
      </c>
      <c r="K8" s="629">
        <f>'a19'!AE22</f>
        <v>60.9223406694177</v>
      </c>
      <c r="L8" s="629">
        <f>'a19'!AH22</f>
        <v>66.335191082802552</v>
      </c>
    </row>
    <row r="9" spans="1:12">
      <c r="A9" s="611">
        <f t="shared" si="0"/>
        <v>1985</v>
      </c>
      <c r="B9" s="629">
        <f>'a19'!D23</f>
        <v>73.568815729309549</v>
      </c>
      <c r="C9" s="629">
        <f>'a19'!G23</f>
        <v>123.24675324675324</v>
      </c>
      <c r="D9" s="629">
        <f>'a19'!J23</f>
        <v>137.3125</v>
      </c>
      <c r="E9" s="629">
        <f>'a19'!M23</f>
        <v>88.640186915887853</v>
      </c>
      <c r="F9" s="629">
        <f>'a19'!P23</f>
        <v>115.95567375886523</v>
      </c>
      <c r="G9" s="629">
        <f>'a19'!S23</f>
        <v>82.639724310776941</v>
      </c>
      <c r="H9" s="629">
        <f>'a19'!V23</f>
        <v>62.074334505273733</v>
      </c>
      <c r="I9" s="629">
        <f>'a19'!Y23</f>
        <v>69.923393124065754</v>
      </c>
      <c r="J9" s="629">
        <f>'a19'!AB23</f>
        <v>60.500403551251019</v>
      </c>
      <c r="K9" s="629">
        <f>'a19'!AE23</f>
        <v>59.1113683127572</v>
      </c>
      <c r="L9" s="629">
        <f>'a19'!AH23</f>
        <v>62.545531068258335</v>
      </c>
    </row>
    <row r="10" spans="1:12">
      <c r="A10" s="611">
        <f t="shared" si="0"/>
        <v>1986</v>
      </c>
      <c r="B10" s="629">
        <f>'a19'!D24</f>
        <v>75.623427978737183</v>
      </c>
      <c r="C10" s="629">
        <f>'a19'!G24</f>
        <v>134.9750957854406</v>
      </c>
      <c r="D10" s="629">
        <f>'a19'!J24</f>
        <v>140.042194092827</v>
      </c>
      <c r="E10" s="629">
        <f>'a19'!M24</f>
        <v>86.707014276846664</v>
      </c>
      <c r="F10" s="629">
        <f>'a19'!P24</f>
        <v>116.29934210526315</v>
      </c>
      <c r="G10" s="629">
        <f>'a19'!S24</f>
        <v>84.972853362533073</v>
      </c>
      <c r="H10" s="629">
        <f>'a19'!V24</f>
        <v>61.614336217322531</v>
      </c>
      <c r="I10" s="629">
        <f>'a19'!Y24</f>
        <v>68.980601741884399</v>
      </c>
      <c r="J10" s="629">
        <f>'a19'!AB24</f>
        <v>65.095419847328245</v>
      </c>
      <c r="K10" s="629">
        <f>'a19'!AE24</f>
        <v>63.050527903469082</v>
      </c>
      <c r="L10" s="629">
        <f>'a19'!AH24</f>
        <v>66.068289384719421</v>
      </c>
    </row>
    <row r="11" spans="1:12">
      <c r="A11" s="611">
        <f t="shared" si="0"/>
        <v>1987</v>
      </c>
      <c r="B11" s="629">
        <f>'a19'!D25</f>
        <v>76.198309583682601</v>
      </c>
      <c r="C11" s="629">
        <f>'a19'!G25</f>
        <v>144.25948345439869</v>
      </c>
      <c r="D11" s="629">
        <f>'a19'!J25</f>
        <v>144.57777777777781</v>
      </c>
      <c r="E11" s="629">
        <f>'a19'!M25</f>
        <v>91.914460285132378</v>
      </c>
      <c r="F11" s="629">
        <f>'a19'!P25</f>
        <v>122.33996877439498</v>
      </c>
      <c r="G11" s="629">
        <f>'a19'!S25</f>
        <v>84.358055393017352</v>
      </c>
      <c r="H11" s="629">
        <f>'a19'!V25</f>
        <v>59.737421383647799</v>
      </c>
      <c r="I11" s="629">
        <f>'a19'!Y25</f>
        <v>69.553644553644546</v>
      </c>
      <c r="J11" s="629">
        <f>'a19'!AB25</f>
        <v>69.214480874316934</v>
      </c>
      <c r="K11" s="629">
        <f>'a19'!AE25</f>
        <v>62.52047015319598</v>
      </c>
      <c r="L11" s="629">
        <f>'a19'!AH25</f>
        <v>67.224277660324177</v>
      </c>
    </row>
    <row r="12" spans="1:12">
      <c r="A12" s="611">
        <f t="shared" si="0"/>
        <v>1988</v>
      </c>
      <c r="B12" s="629">
        <f>'a19'!D26</f>
        <v>82.647888421380699</v>
      </c>
      <c r="C12" s="629">
        <f>'a19'!G26</f>
        <v>162.40909090909091</v>
      </c>
      <c r="D12" s="629">
        <f>'a19'!J26</f>
        <v>143.88157894736844</v>
      </c>
      <c r="E12" s="629">
        <f>'a19'!M26</f>
        <v>103.62884160756502</v>
      </c>
      <c r="F12" s="629">
        <f>'a19'!P26</f>
        <v>135.891323024055</v>
      </c>
      <c r="G12" s="629">
        <f>'a19'!S26</f>
        <v>90.715722686474763</v>
      </c>
      <c r="H12" s="629">
        <f>'a19'!V26</f>
        <v>64.043198415645506</v>
      </c>
      <c r="I12" s="629">
        <f>'a19'!Y26</f>
        <v>69.239386792452834</v>
      </c>
      <c r="J12" s="629">
        <f>'a19'!AB26</f>
        <v>69.005449591280652</v>
      </c>
      <c r="K12" s="629">
        <f>'a19'!AE26</f>
        <v>63.839899937460913</v>
      </c>
      <c r="L12" s="629">
        <f>'a19'!AH26</f>
        <v>74.686865611043444</v>
      </c>
    </row>
    <row r="13" spans="1:12">
      <c r="A13" s="611">
        <f t="shared" si="0"/>
        <v>1989</v>
      </c>
      <c r="B13" s="629">
        <f>'a19'!D27</f>
        <v>83.769246480643531</v>
      </c>
      <c r="C13" s="629">
        <f>'a19'!G27</f>
        <v>175.05952380952382</v>
      </c>
      <c r="D13" s="629">
        <f>'a19'!J27</f>
        <v>133.14176245210732</v>
      </c>
      <c r="E13" s="629">
        <f>'a19'!M27</f>
        <v>108.04756195043966</v>
      </c>
      <c r="F13" s="629">
        <f>'a19'!P27</f>
        <v>128.53145424836603</v>
      </c>
      <c r="G13" s="629">
        <f>'a19'!S27</f>
        <v>91.938929001203377</v>
      </c>
      <c r="H13" s="629">
        <f>'a19'!V27</f>
        <v>60.959854014598541</v>
      </c>
      <c r="I13" s="629">
        <f>'a19'!Y27</f>
        <v>71.841787439613526</v>
      </c>
      <c r="J13" s="629">
        <f>'a19'!AB27</f>
        <v>69.284069981583784</v>
      </c>
      <c r="K13" s="629">
        <f>'a19'!AE27</f>
        <v>68.975353326439162</v>
      </c>
      <c r="L13" s="629">
        <f>'a19'!AH27</f>
        <v>76.991169977924955</v>
      </c>
    </row>
    <row r="14" spans="1:12">
      <c r="A14" s="611">
        <f t="shared" si="0"/>
        <v>1990</v>
      </c>
      <c r="B14" s="629">
        <f>'a19'!D28</f>
        <v>83.116132838355057</v>
      </c>
      <c r="C14" s="629">
        <f>'a19'!G28</f>
        <v>151.96217494089836</v>
      </c>
      <c r="D14" s="629">
        <f>'a19'!J28</f>
        <v>121.22759856630822</v>
      </c>
      <c r="E14" s="629">
        <f>'a19'!M28</f>
        <v>103.39840925524221</v>
      </c>
      <c r="F14" s="629">
        <f>'a19'!P28</f>
        <v>127.60492332526233</v>
      </c>
      <c r="G14" s="629">
        <f>'a19'!S28</f>
        <v>90.496895827627142</v>
      </c>
      <c r="H14" s="629">
        <f>'a19'!V28</f>
        <v>65.823572474377741</v>
      </c>
      <c r="I14" s="629">
        <f>'a19'!Y28</f>
        <v>70.918907905460472</v>
      </c>
      <c r="J14" s="629">
        <f>'a19'!AB28</f>
        <v>67.437015503875969</v>
      </c>
      <c r="K14" s="629">
        <f>'a19'!AE28</f>
        <v>67.185618136733964</v>
      </c>
      <c r="L14" s="629">
        <f>'a19'!AH28</f>
        <v>78.895281264528109</v>
      </c>
    </row>
    <row r="15" spans="1:12">
      <c r="A15" s="611">
        <f t="shared" si="0"/>
        <v>1991</v>
      </c>
      <c r="B15" s="629">
        <f>'a19'!D29</f>
        <v>78.161370295244538</v>
      </c>
      <c r="C15" s="629">
        <f>'a19'!G29</f>
        <v>154.45185185185184</v>
      </c>
      <c r="D15" s="629">
        <f>'a19'!J29</f>
        <v>120.08647798742138</v>
      </c>
      <c r="E15" s="629">
        <f>'a19'!M29</f>
        <v>101.99968132568517</v>
      </c>
      <c r="F15" s="629">
        <f>'a19'!P29</f>
        <v>135.29457364341084</v>
      </c>
      <c r="G15" s="629">
        <f>'a19'!S29</f>
        <v>87.556271981242674</v>
      </c>
      <c r="H15" s="629">
        <f>'a19'!V29</f>
        <v>60.270695624803274</v>
      </c>
      <c r="I15" s="629">
        <f>'a19'!Y29</f>
        <v>68.08874912648497</v>
      </c>
      <c r="J15" s="629">
        <f>'a19'!AB29</f>
        <v>69.858796296296305</v>
      </c>
      <c r="K15" s="629">
        <f>'a19'!AE29</f>
        <v>65.926892950391647</v>
      </c>
      <c r="L15" s="629">
        <f>'a19'!AH29</f>
        <v>76.6474321984997</v>
      </c>
    </row>
    <row r="16" spans="1:12">
      <c r="A16" s="611">
        <f t="shared" si="0"/>
        <v>1992</v>
      </c>
      <c r="B16" s="629">
        <f>'a19'!D30</f>
        <v>71.524264889110384</v>
      </c>
      <c r="C16" s="629">
        <f>'a19'!G30</f>
        <v>143.17590691307325</v>
      </c>
      <c r="D16" s="629">
        <f>'a19'!J30</f>
        <v>115.31159420289856</v>
      </c>
      <c r="E16" s="629">
        <f>'a19'!M30</f>
        <v>96.045780969479353</v>
      </c>
      <c r="F16" s="629">
        <f>'a19'!P30</f>
        <v>130.4936186186186</v>
      </c>
      <c r="G16" s="629">
        <f>'a19'!S30</f>
        <v>83.252165725047064</v>
      </c>
      <c r="H16" s="629">
        <f>'a19'!V30</f>
        <v>54.106683445190157</v>
      </c>
      <c r="I16" s="629">
        <f>'a19'!Y30</f>
        <v>59.443900848010429</v>
      </c>
      <c r="J16" s="629">
        <f>'a19'!AB30</f>
        <v>64.80884879725086</v>
      </c>
      <c r="K16" s="629">
        <f>'a19'!AE30</f>
        <v>58.859223300970868</v>
      </c>
      <c r="L16" s="629">
        <f>'a19'!AH30</f>
        <v>68.364366557137643</v>
      </c>
    </row>
    <row r="17" spans="1:12">
      <c r="A17" s="611">
        <f t="shared" si="0"/>
        <v>1993</v>
      </c>
      <c r="B17" s="629">
        <f>'a19'!D31</f>
        <v>65.346313097485236</v>
      </c>
      <c r="C17" s="629">
        <f>'a19'!G31</f>
        <v>125.92213114754099</v>
      </c>
      <c r="D17" s="629">
        <f>'a19'!J31</f>
        <v>120.64564564564563</v>
      </c>
      <c r="E17" s="629">
        <f>'a19'!M31</f>
        <v>84.81948968512485</v>
      </c>
      <c r="F17" s="629">
        <f>'a19'!P31</f>
        <v>129.29368745188606</v>
      </c>
      <c r="G17" s="629">
        <f>'a19'!S31</f>
        <v>75.57314174589456</v>
      </c>
      <c r="H17" s="629">
        <f>'a19'!V31</f>
        <v>48.640568219359103</v>
      </c>
      <c r="I17" s="629">
        <f>'a19'!Y31</f>
        <v>54.68629343629344</v>
      </c>
      <c r="J17" s="629">
        <f>'a19'!AB31</f>
        <v>57.772988505747115</v>
      </c>
      <c r="K17" s="629">
        <f>'a19'!AE31</f>
        <v>53.411686103012634</v>
      </c>
      <c r="L17" s="629">
        <f>'a19'!AH31</f>
        <v>65.054690396737101</v>
      </c>
    </row>
    <row r="18" spans="1:12">
      <c r="A18" s="611">
        <f t="shared" si="0"/>
        <v>1994</v>
      </c>
      <c r="B18" s="629">
        <f>'a19'!D32</f>
        <v>59.139768976897692</v>
      </c>
      <c r="C18" s="629">
        <f>'a19'!G32</f>
        <v>104.97066942719118</v>
      </c>
      <c r="D18" s="629">
        <f>'a19'!J32</f>
        <v>108.50757575757576</v>
      </c>
      <c r="E18" s="629">
        <f>'a19'!M32</f>
        <v>83.144004589787713</v>
      </c>
      <c r="F18" s="629">
        <f>'a19'!P32</f>
        <v>120.54517133956388</v>
      </c>
      <c r="G18" s="629">
        <f>'a19'!S32</f>
        <v>69.037577568375085</v>
      </c>
      <c r="H18" s="629">
        <f>'a19'!V32</f>
        <v>42.716517022072573</v>
      </c>
      <c r="I18" s="629">
        <f>'a19'!Y32</f>
        <v>47.737850787132089</v>
      </c>
      <c r="J18" s="629">
        <f>'a19'!AB32</f>
        <v>55.89303482587065</v>
      </c>
      <c r="K18" s="629">
        <f>'a19'!AE32</f>
        <v>48.70073087966589</v>
      </c>
      <c r="L18" s="629">
        <f>'a19'!AH32</f>
        <v>55.539383561643838</v>
      </c>
    </row>
    <row r="19" spans="1:12">
      <c r="A19" s="611">
        <f t="shared" si="0"/>
        <v>1995</v>
      </c>
      <c r="B19" s="629">
        <f>'a19'!D33</f>
        <v>52.84719232792844</v>
      </c>
      <c r="C19" s="629">
        <f>'a19'!G33</f>
        <v>91.701795472287273</v>
      </c>
      <c r="D19" s="629">
        <f>'a19'!J33</f>
        <v>103.13131313131312</v>
      </c>
      <c r="E19" s="629">
        <f>'a19'!M33</f>
        <v>73.419871794871796</v>
      </c>
      <c r="F19" s="629">
        <f>'a19'!P33</f>
        <v>108.91897565071369</v>
      </c>
      <c r="G19" s="629">
        <f>'a19'!S33</f>
        <v>62.734220907297825</v>
      </c>
      <c r="H19" s="629">
        <f>'a19'!V33</f>
        <v>36.984662576687114</v>
      </c>
      <c r="I19" s="629">
        <f>'a19'!Y33</f>
        <v>48.098184818481855</v>
      </c>
      <c r="J19" s="629">
        <f>'a19'!AB33</f>
        <v>45.614300100704938</v>
      </c>
      <c r="K19" s="629">
        <f>'a19'!AE33</f>
        <v>44.260775862068968</v>
      </c>
      <c r="L19" s="629">
        <f>'a19'!AH33</f>
        <v>49.549072954453855</v>
      </c>
    </row>
    <row r="20" spans="1:12">
      <c r="A20" s="611">
        <f t="shared" si="0"/>
        <v>1996</v>
      </c>
      <c r="B20" s="629">
        <f>'a19'!D34</f>
        <v>49.499381592457752</v>
      </c>
      <c r="C20" s="629">
        <f>'a19'!G34</f>
        <v>83.784958427815567</v>
      </c>
      <c r="D20" s="629">
        <f>'a19'!J34</f>
        <v>92.334983498349843</v>
      </c>
      <c r="E20" s="629">
        <f>'a19'!M34</f>
        <v>67.029393370856781</v>
      </c>
      <c r="F20" s="629">
        <f>'a19'!P34</f>
        <v>100.68407960199005</v>
      </c>
      <c r="G20" s="629">
        <f>'a19'!S34</f>
        <v>58.770257387988558</v>
      </c>
      <c r="H20" s="629">
        <f>'a19'!V34</f>
        <v>35.050426182575322</v>
      </c>
      <c r="I20" s="629">
        <f>'a19'!Y34</f>
        <v>43.399339933993396</v>
      </c>
      <c r="J20" s="629">
        <f>'a19'!AB34</f>
        <v>44.000519210799581</v>
      </c>
      <c r="K20" s="629">
        <f>'a19'!AE34</f>
        <v>43.008991650610156</v>
      </c>
      <c r="L20" s="629">
        <f>'a19'!AH34</f>
        <v>46.068735498839906</v>
      </c>
    </row>
    <row r="21" spans="1:12">
      <c r="A21" s="611">
        <f t="shared" si="0"/>
        <v>1997</v>
      </c>
      <c r="B21" s="629">
        <f>'a19'!D35</f>
        <v>44.091554940250653</v>
      </c>
      <c r="C21" s="629">
        <f>'a19'!G35</f>
        <v>80.281746031746039</v>
      </c>
      <c r="D21" s="629">
        <f>'a19'!J35</f>
        <v>87.04402515723271</v>
      </c>
      <c r="E21" s="629">
        <f>'a19'!M35</f>
        <v>60.44359949302914</v>
      </c>
      <c r="F21" s="629">
        <f>'a19'!P35</f>
        <v>82.340029761904773</v>
      </c>
      <c r="G21" s="629">
        <f>'a19'!S35</f>
        <v>52.510798696006511</v>
      </c>
      <c r="H21" s="629">
        <f>'a19'!V35</f>
        <v>31.043640983381405</v>
      </c>
      <c r="I21" s="629">
        <f>'a19'!Y35</f>
        <v>40.141941391941387</v>
      </c>
      <c r="J21" s="629">
        <f>'a19'!AB35</f>
        <v>37.420091324200911</v>
      </c>
      <c r="K21" s="629">
        <f>'a19'!AE35</f>
        <v>33.866482504604058</v>
      </c>
      <c r="L21" s="629">
        <f>'a19'!AH35</f>
        <v>40.397980974568043</v>
      </c>
    </row>
    <row r="22" spans="1:12">
      <c r="A22" s="611">
        <f t="shared" si="0"/>
        <v>1998</v>
      </c>
      <c r="B22" s="629">
        <f>'a19'!D36</f>
        <v>45.529723405374142</v>
      </c>
      <c r="C22" s="629">
        <f>'a19'!G36</f>
        <v>82.859437751004009</v>
      </c>
      <c r="D22" s="629">
        <f>'a19'!J36</f>
        <v>96.796875</v>
      </c>
      <c r="E22" s="629">
        <f>'a19'!M36</f>
        <v>66.652298850574724</v>
      </c>
      <c r="F22" s="629">
        <f>'a19'!P36</f>
        <v>85.840943683409449</v>
      </c>
      <c r="G22" s="629">
        <f>'a19'!S36</f>
        <v>54.149314824701911</v>
      </c>
      <c r="H22" s="629">
        <f>'a19'!V36</f>
        <v>30.900591715976333</v>
      </c>
      <c r="I22" s="629">
        <f>'a19'!Y36</f>
        <v>44.241214057507989</v>
      </c>
      <c r="J22" s="629">
        <f>'a19'!AB36</f>
        <v>40.36043829296424</v>
      </c>
      <c r="K22" s="629">
        <f>'a19'!AE36</f>
        <v>36.483762597984324</v>
      </c>
      <c r="L22" s="629">
        <f>'a19'!AH36</f>
        <v>39.430239021678709</v>
      </c>
    </row>
    <row r="23" spans="1:12">
      <c r="A23" s="611">
        <f t="shared" si="0"/>
        <v>1999</v>
      </c>
      <c r="B23" s="629">
        <f>'a19'!D37</f>
        <v>44.991467095427488</v>
      </c>
      <c r="C23" s="629">
        <f>'a19'!G37</f>
        <v>89.510288065843611</v>
      </c>
      <c r="D23" s="629">
        <f>'a19'!J37</f>
        <v>86.278877887788781</v>
      </c>
      <c r="E23" s="629">
        <f>'a19'!M37</f>
        <v>68.115773115773123</v>
      </c>
      <c r="F23" s="629">
        <f>'a19'!P37</f>
        <v>95.681612318840592</v>
      </c>
      <c r="G23" s="629">
        <f>'a19'!S37</f>
        <v>53.370748299319722</v>
      </c>
      <c r="H23" s="629">
        <f>'a19'!V37</f>
        <v>28.679883102154754</v>
      </c>
      <c r="I23" s="629">
        <f>'a19'!Y37</f>
        <v>42.461180124223596</v>
      </c>
      <c r="J23" s="629">
        <f>'a19'!AB37</f>
        <v>41.829470198675494</v>
      </c>
      <c r="K23" s="629">
        <f>'a19'!AE37</f>
        <v>38.702419067947346</v>
      </c>
      <c r="L23" s="629">
        <f>'a19'!AH37</f>
        <v>37.920825993345069</v>
      </c>
    </row>
    <row r="24" spans="1:12">
      <c r="A24" s="611">
        <f t="shared" si="0"/>
        <v>2000</v>
      </c>
      <c r="B24" s="629">
        <f>'a19'!D38</f>
        <v>44.960251432797193</v>
      </c>
      <c r="C24" s="629">
        <f>'a19'!G38</f>
        <v>87.016877637130804</v>
      </c>
      <c r="D24" s="629">
        <f>'a19'!J38</f>
        <v>97.877906976744185</v>
      </c>
      <c r="E24" s="629">
        <f>'a19'!M38</f>
        <v>71.172764227642276</v>
      </c>
      <c r="F24" s="629">
        <f>'a19'!P38</f>
        <v>90.78577898550725</v>
      </c>
      <c r="G24" s="629">
        <f>'a19'!S38</f>
        <v>54.002220812182742</v>
      </c>
      <c r="H24" s="629">
        <f>'a19'!V38</f>
        <v>28.509922874341616</v>
      </c>
      <c r="I24" s="629">
        <f>'a19'!Y38</f>
        <v>45.865162037037031</v>
      </c>
      <c r="J24" s="629">
        <f>'a19'!AB38</f>
        <v>44.941176470588232</v>
      </c>
      <c r="K24" s="629">
        <f>'a19'!AE38</f>
        <v>33.308202653799754</v>
      </c>
      <c r="L24" s="629">
        <f>'a19'!AH38</f>
        <v>37.007931188561223</v>
      </c>
    </row>
    <row r="25" spans="1:12">
      <c r="A25" s="611">
        <f t="shared" si="0"/>
        <v>2001</v>
      </c>
      <c r="B25" s="629">
        <f>'a19'!D39</f>
        <v>44.79066437571592</v>
      </c>
      <c r="C25" s="629">
        <f>'a19'!G39</f>
        <v>90.03679653679653</v>
      </c>
      <c r="D25" s="629">
        <f>'a19'!J39</f>
        <v>94.195736434108525</v>
      </c>
      <c r="E25" s="629">
        <f>'a19'!M39</f>
        <v>65.554315476190467</v>
      </c>
      <c r="F25" s="629">
        <f>'a19'!P39</f>
        <v>86.859756097560975</v>
      </c>
      <c r="G25" s="629">
        <f>'a19'!S39</f>
        <v>54.197326095697633</v>
      </c>
      <c r="H25" s="629">
        <f>'a19'!V39</f>
        <v>30.532568959787309</v>
      </c>
      <c r="I25" s="629">
        <f>'a19'!Y39</f>
        <v>44.889830508474574</v>
      </c>
      <c r="J25" s="629">
        <f>'a19'!AB39</f>
        <v>39.813167259786475</v>
      </c>
      <c r="K25" s="629">
        <f>'a19'!AE39</f>
        <v>32.110484544695076</v>
      </c>
      <c r="L25" s="629">
        <f>'a19'!AH39</f>
        <v>36.900766521649061</v>
      </c>
    </row>
    <row r="26" spans="1:12">
      <c r="A26" s="611">
        <f t="shared" si="0"/>
        <v>2002</v>
      </c>
      <c r="B26" s="629">
        <f>'a19'!D40</f>
        <v>43.765043656100055</v>
      </c>
      <c r="C26" s="629">
        <f>'a19'!G40</f>
        <v>89.243902439024396</v>
      </c>
      <c r="D26" s="629">
        <f>'a19'!J40</f>
        <v>94.337121212121204</v>
      </c>
      <c r="E26" s="629">
        <f>'a19'!M40</f>
        <v>68.020833333333329</v>
      </c>
      <c r="F26" s="629">
        <f>'a19'!P40</f>
        <v>91.699050086355783</v>
      </c>
      <c r="G26" s="629">
        <f>'a19'!S40</f>
        <v>54.021920770667457</v>
      </c>
      <c r="H26" s="629">
        <f>'a19'!V40</f>
        <v>29.374147462129368</v>
      </c>
      <c r="I26" s="629">
        <f>'a19'!Y40</f>
        <v>46.396174863387984</v>
      </c>
      <c r="J26" s="629">
        <f>'a19'!AB40</f>
        <v>42.372931442080372</v>
      </c>
      <c r="K26" s="629">
        <f>'a19'!AE40</f>
        <v>34.331744350282484</v>
      </c>
      <c r="L26" s="629">
        <f>'a19'!AH40</f>
        <v>36.018824609733699</v>
      </c>
    </row>
    <row r="27" spans="1:12">
      <c r="A27" s="611">
        <f t="shared" si="0"/>
        <v>2003</v>
      </c>
      <c r="B27" s="629">
        <f>'a19'!D41</f>
        <v>43.852423935880481</v>
      </c>
      <c r="C27" s="629">
        <f>'a19'!G41</f>
        <v>88.447791164658639</v>
      </c>
      <c r="D27" s="629">
        <f>'a19'!J41</f>
        <v>99.796747967479675</v>
      </c>
      <c r="E27" s="629">
        <f>'a19'!M41</f>
        <v>69.806651198762566</v>
      </c>
      <c r="F27" s="629">
        <f>'a19'!P41</f>
        <v>88.412393162393172</v>
      </c>
      <c r="G27" s="629">
        <f>'a19'!S41</f>
        <v>50.519978106185008</v>
      </c>
      <c r="H27" s="629">
        <f>'a19'!V41</f>
        <v>30.655817474048444</v>
      </c>
      <c r="I27" s="629">
        <f>'a19'!Y41</f>
        <v>46.906354515050168</v>
      </c>
      <c r="J27" s="629">
        <f>'a19'!AB41</f>
        <v>42.964912280701753</v>
      </c>
      <c r="K27" s="629">
        <f>'a19'!AE41</f>
        <v>36.465733763903835</v>
      </c>
      <c r="L27" s="629">
        <f>'a19'!AH41</f>
        <v>37.525353999234596</v>
      </c>
    </row>
    <row r="28" spans="1:12">
      <c r="A28" s="611">
        <f t="shared" si="0"/>
        <v>2004</v>
      </c>
      <c r="B28" s="629">
        <f>'a19'!D42</f>
        <v>43.945300878972283</v>
      </c>
      <c r="C28" s="629">
        <f>'a19'!G42</f>
        <v>94.509680134680139</v>
      </c>
      <c r="D28" s="629">
        <f>'a19'!J42</f>
        <v>96.200396825396808</v>
      </c>
      <c r="E28" s="629">
        <f>'a19'!M42</f>
        <v>70.403981264636997</v>
      </c>
      <c r="F28" s="629">
        <f>'a19'!P42</f>
        <v>91.349734042553195</v>
      </c>
      <c r="G28" s="629">
        <f>'a19'!S42</f>
        <v>52.481243301178999</v>
      </c>
      <c r="H28" s="629">
        <f>'a19'!V42</f>
        <v>29.747056258177061</v>
      </c>
      <c r="I28" s="629">
        <f>'a19'!Y42</f>
        <v>41.555727554179569</v>
      </c>
      <c r="J28" s="629">
        <f>'a19'!AB42</f>
        <v>44.670971709717101</v>
      </c>
      <c r="K28" s="629">
        <f>'a19'!AE42</f>
        <v>33.259047619047621</v>
      </c>
      <c r="L28" s="629">
        <f>'a19'!AH42</f>
        <v>37.590406296532649</v>
      </c>
    </row>
    <row r="29" spans="1:12">
      <c r="A29" s="611">
        <f t="shared" si="0"/>
        <v>2005</v>
      </c>
      <c r="B29" s="629">
        <f>'a19'!D43</f>
        <v>44.210515058179332</v>
      </c>
      <c r="C29" s="629">
        <f>'a19'!G43</f>
        <v>99.798245614035096</v>
      </c>
      <c r="D29" s="629">
        <f>'a19'!J43</f>
        <v>99.441056910569117</v>
      </c>
      <c r="E29" s="629">
        <f>'a19'!M43</f>
        <v>73.137860082304513</v>
      </c>
      <c r="F29" s="629">
        <f>'a19'!P43</f>
        <v>92.511261261261254</v>
      </c>
      <c r="G29" s="629">
        <f>'a19'!S43</f>
        <v>52.750574024158929</v>
      </c>
      <c r="H29" s="629">
        <f>'a19'!V43</f>
        <v>29.213721582521401</v>
      </c>
      <c r="I29" s="629">
        <f>'a19'!Y43</f>
        <v>42.5</v>
      </c>
      <c r="J29" s="629">
        <f>'a19'!AB43</f>
        <v>42.409909909909906</v>
      </c>
      <c r="K29" s="629">
        <f>'a19'!AE43</f>
        <v>30.043218085106382</v>
      </c>
      <c r="L29" s="629">
        <f>'a19'!AH43</f>
        <v>39.168598660484278</v>
      </c>
    </row>
    <row r="30" spans="1:12">
      <c r="A30" s="611">
        <f t="shared" si="0"/>
        <v>2006</v>
      </c>
      <c r="B30" s="629">
        <f>'a19'!D44</f>
        <v>44.649194155746343</v>
      </c>
      <c r="C30" s="629">
        <f>'a19'!G44</f>
        <v>102.08670260557052</v>
      </c>
      <c r="D30" s="629">
        <f>'a19'!J44</f>
        <v>95.205882352941174</v>
      </c>
      <c r="E30" s="629">
        <f>'a19'!M44</f>
        <v>76.787918871252202</v>
      </c>
      <c r="F30" s="629">
        <f>'a19'!P44</f>
        <v>98.707584830339329</v>
      </c>
      <c r="G30" s="629">
        <f>'a19'!S44</f>
        <v>52.929500864084588</v>
      </c>
      <c r="H30" s="629">
        <f>'a19'!V44</f>
        <v>29.658969056372548</v>
      </c>
      <c r="I30" s="629">
        <f>'a19'!Y44</f>
        <v>41.192259675405751</v>
      </c>
      <c r="J30" s="629">
        <f>'a19'!AB44</f>
        <v>40.829875518672196</v>
      </c>
      <c r="K30" s="629">
        <f>'a19'!AE44</f>
        <v>27.591374269005847</v>
      </c>
      <c r="L30" s="629">
        <f>'a19'!AH44</f>
        <v>38.85319677219119</v>
      </c>
    </row>
    <row r="31" spans="1:12">
      <c r="A31" s="611">
        <f t="shared" si="0"/>
        <v>2007</v>
      </c>
      <c r="B31" s="629">
        <f>'a19'!D45</f>
        <v>44.452917362012492</v>
      </c>
      <c r="C31" s="629">
        <f>'a19'!G45</f>
        <v>106.61489151873769</v>
      </c>
      <c r="D31" s="629">
        <f>'a19'!J45</f>
        <v>100.37974683544303</v>
      </c>
      <c r="E31" s="629">
        <f>'a19'!M45</f>
        <v>71.933677863910404</v>
      </c>
      <c r="F31" s="629">
        <f>'a19'!P45</f>
        <v>105.49425287356321</v>
      </c>
      <c r="G31" s="629">
        <f>'a19'!S45</f>
        <v>56.676421404682273</v>
      </c>
      <c r="H31" s="629">
        <f>'a19'!V45</f>
        <v>29.175952752395812</v>
      </c>
      <c r="I31" s="629">
        <f>'a19'!Y45</f>
        <v>37.526978417266186</v>
      </c>
      <c r="J31" s="629">
        <f>'a19'!AB45</f>
        <v>42.737556561085967</v>
      </c>
      <c r="K31" s="629">
        <f>'a19'!AE45</f>
        <v>23.176510989010989</v>
      </c>
      <c r="L31" s="629">
        <f>'a19'!AH45</f>
        <v>38.490057296932925</v>
      </c>
    </row>
    <row r="32" spans="1:12">
      <c r="A32" s="611">
        <f t="shared" si="0"/>
        <v>2008</v>
      </c>
      <c r="B32" s="629">
        <f>'a19'!D46</f>
        <v>43.558068368413188</v>
      </c>
      <c r="C32" s="629">
        <f>'a19'!G46</f>
        <v>107.51251251251252</v>
      </c>
      <c r="D32" s="629">
        <f>'a19'!J46</f>
        <v>93.442460317460316</v>
      </c>
      <c r="E32" s="629">
        <f>'a19'!M46</f>
        <v>73.673333333333332</v>
      </c>
      <c r="F32" s="629">
        <f>'a19'!P46</f>
        <v>89.746268656716424</v>
      </c>
      <c r="G32" s="629">
        <f>'a19'!S46</f>
        <v>53.168044077134986</v>
      </c>
      <c r="H32" s="629">
        <f>'a19'!V46</f>
        <v>30.580813496318537</v>
      </c>
      <c r="I32" s="629">
        <f>'a19'!Y46</f>
        <v>40.226415094339622</v>
      </c>
      <c r="J32" s="629">
        <f>'a19'!AB46</f>
        <v>39.228110599078342</v>
      </c>
      <c r="K32" s="629">
        <f>'a19'!AE46</f>
        <v>22.97186147186147</v>
      </c>
      <c r="L32" s="629">
        <f>'a19'!AH46</f>
        <v>38.904306945708221</v>
      </c>
    </row>
    <row r="33" spans="1:12">
      <c r="A33" s="611">
        <f t="shared" si="0"/>
        <v>2009</v>
      </c>
      <c r="B33" s="629">
        <f>'a19'!D47</f>
        <v>48.415842128408087</v>
      </c>
      <c r="C33" s="629">
        <f>'a19'!G47</f>
        <v>105.45726495726497</v>
      </c>
      <c r="D33" s="629">
        <f>'a19'!J47</f>
        <v>91.028368794326241</v>
      </c>
      <c r="E33" s="629">
        <f>'a19'!M47</f>
        <v>72.569444444444443</v>
      </c>
      <c r="F33" s="629">
        <f>'a19'!P47</f>
        <v>101.54865125240848</v>
      </c>
      <c r="G33" s="629">
        <f>'a19'!S47</f>
        <v>55.989407574053246</v>
      </c>
      <c r="H33" s="629">
        <f>'a19'!V47</f>
        <v>38.229376517382093</v>
      </c>
      <c r="I33" s="629">
        <f>'a19'!Y47</f>
        <v>45.007440476190474</v>
      </c>
      <c r="J33" s="629">
        <f>'a19'!AB47</f>
        <v>49.485951468710091</v>
      </c>
      <c r="K33" s="629">
        <f>'a19'!AE47</f>
        <v>38.709242317616706</v>
      </c>
      <c r="L33" s="629">
        <f>'a19'!AH47</f>
        <v>45.80175058653672</v>
      </c>
    </row>
    <row r="34" spans="1:12">
      <c r="A34" s="611">
        <f t="shared" si="0"/>
        <v>2010</v>
      </c>
      <c r="B34" s="629">
        <f>'a19'!D48</f>
        <v>46.100610920198548</v>
      </c>
      <c r="C34" s="629">
        <f>'a19'!G48</f>
        <v>104.56187895212287</v>
      </c>
      <c r="D34" s="629">
        <f>'a19'!J48</f>
        <v>97.949438202247194</v>
      </c>
      <c r="E34" s="629">
        <f>'a19'!M48</f>
        <v>71.826853851691865</v>
      </c>
      <c r="F34" s="629">
        <f>'a19'!P48</f>
        <v>94.34294871794873</v>
      </c>
      <c r="G34" s="629">
        <f>'a19'!S48</f>
        <v>56.278926637124563</v>
      </c>
      <c r="H34" s="629">
        <f>'a19'!V48</f>
        <v>34.450872433237571</v>
      </c>
      <c r="I34" s="629">
        <f>'a19'!Y48</f>
        <v>44.938271604938272</v>
      </c>
      <c r="J34" s="629">
        <f>'a19'!AB48</f>
        <v>44.82868757259002</v>
      </c>
      <c r="K34" s="629">
        <f>'a19'!AE48</f>
        <v>35.656834873252784</v>
      </c>
      <c r="L34" s="629">
        <f>'a19'!AH48</f>
        <v>43.749552452559975</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-1.2619811036430284</v>
      </c>
      <c r="C36" s="617">
        <f t="shared" si="1"/>
        <v>-0.79353161905857394</v>
      </c>
      <c r="D36" s="617">
        <f t="shared" si="1"/>
        <v>-0.6320506259775982</v>
      </c>
      <c r="E36" s="617">
        <f t="shared" si="1"/>
        <v>-0.7728743945726757</v>
      </c>
      <c r="F36" s="617">
        <f t="shared" si="1"/>
        <v>-0.78932751372572385</v>
      </c>
      <c r="G36" s="617">
        <f t="shared" si="1"/>
        <v>-1.0164990444207156</v>
      </c>
      <c r="H36" s="617">
        <f t="shared" si="1"/>
        <v>-1.3461855342610574</v>
      </c>
      <c r="I36" s="617">
        <f t="shared" si="1"/>
        <v>-0.71590605737819057</v>
      </c>
      <c r="J36" s="617">
        <f t="shared" si="1"/>
        <v>-0.53456847029156318</v>
      </c>
      <c r="K36" s="617">
        <f t="shared" si="1"/>
        <v>0.42221250160336954</v>
      </c>
      <c r="L36" s="617">
        <f t="shared" si="1"/>
        <v>-0.92611995090500221</v>
      </c>
    </row>
    <row r="37" spans="1:12">
      <c r="A37" s="611" t="s">
        <v>1472</v>
      </c>
      <c r="B37" s="617">
        <f t="shared" ref="B37:L37" si="2">100*(POWER(B13/B5, 1/8)-1)</f>
        <v>2.9030445659546267</v>
      </c>
      <c r="C37" s="617">
        <f t="shared" si="2"/>
        <v>3.6177142585005706</v>
      </c>
      <c r="D37" s="617">
        <f t="shared" si="2"/>
        <v>1.5504801675110036</v>
      </c>
      <c r="E37" s="617">
        <f t="shared" si="2"/>
        <v>2.3178146526517951</v>
      </c>
      <c r="F37" s="617">
        <f t="shared" si="2"/>
        <v>0.99774403707455495</v>
      </c>
      <c r="G37" s="617">
        <f t="shared" si="2"/>
        <v>2.461189120073648</v>
      </c>
      <c r="H37" s="617">
        <f t="shared" si="2"/>
        <v>2.2452836061509052</v>
      </c>
      <c r="I37" s="617">
        <f t="shared" si="2"/>
        <v>3.3139399668918434</v>
      </c>
      <c r="J37" s="617">
        <f t="shared" si="2"/>
        <v>3.5610133410122424</v>
      </c>
      <c r="K37" s="617">
        <f t="shared" si="2"/>
        <v>10.268601221947016</v>
      </c>
      <c r="L37" s="617">
        <f t="shared" si="2"/>
        <v>3.7613014703808512</v>
      </c>
    </row>
    <row r="38" spans="1:12">
      <c r="A38" s="611" t="s">
        <v>1473</v>
      </c>
      <c r="B38" s="617">
        <f t="shared" ref="B38:L38" si="3">100*(POWER(B24/B13, 1/11)-1)</f>
        <v>-5.5001141621051293</v>
      </c>
      <c r="C38" s="617">
        <f t="shared" si="3"/>
        <v>-6.1570581415838932</v>
      </c>
      <c r="D38" s="617">
        <f t="shared" si="3"/>
        <v>-2.7584546403290666</v>
      </c>
      <c r="E38" s="617">
        <f t="shared" si="3"/>
        <v>-3.723991112442071</v>
      </c>
      <c r="F38" s="617">
        <f t="shared" si="3"/>
        <v>-3.1112191572848835</v>
      </c>
      <c r="G38" s="617">
        <f t="shared" si="3"/>
        <v>-4.7221351073311819</v>
      </c>
      <c r="H38" s="617">
        <f t="shared" si="3"/>
        <v>-6.6755051908958478</v>
      </c>
      <c r="I38" s="617">
        <f t="shared" si="3"/>
        <v>-3.9975435287283756</v>
      </c>
      <c r="J38" s="617">
        <f t="shared" si="3"/>
        <v>-3.8586768031447782</v>
      </c>
      <c r="K38" s="617">
        <f t="shared" si="3"/>
        <v>-6.4034692833194073</v>
      </c>
      <c r="L38" s="617">
        <f t="shared" si="3"/>
        <v>-6.4427115553477021</v>
      </c>
    </row>
    <row r="39" spans="1:12">
      <c r="A39" s="611" t="s">
        <v>1474</v>
      </c>
      <c r="B39" s="617">
        <f t="shared" ref="B39:L39" si="4">100*(POWER(B32/B24, 1/8)-1)</f>
        <v>-0.39526482667632257</v>
      </c>
      <c r="C39" s="617">
        <f t="shared" si="4"/>
        <v>2.6790730665397611</v>
      </c>
      <c r="D39" s="617">
        <f t="shared" si="4"/>
        <v>-0.57801062347319077</v>
      </c>
      <c r="E39" s="617">
        <f t="shared" si="4"/>
        <v>0.43256645630453949</v>
      </c>
      <c r="F39" s="617">
        <f t="shared" si="4"/>
        <v>-0.1438489704195467</v>
      </c>
      <c r="G39" s="617">
        <f t="shared" si="4"/>
        <v>-0.19440617644908009</v>
      </c>
      <c r="H39" s="617">
        <f t="shared" si="4"/>
        <v>0.88036013374275246</v>
      </c>
      <c r="I39" s="617">
        <f t="shared" si="4"/>
        <v>-1.6264033847469328</v>
      </c>
      <c r="J39" s="617">
        <f t="shared" si="4"/>
        <v>-1.6851503871841977</v>
      </c>
      <c r="K39" s="617">
        <f t="shared" si="4"/>
        <v>-4.5379791456605751</v>
      </c>
      <c r="L39" s="617">
        <f t="shared" si="4"/>
        <v>0.62661402245292042</v>
      </c>
    </row>
    <row r="40" spans="1:12">
      <c r="A40" s="611" t="s">
        <v>1500</v>
      </c>
      <c r="B40" s="611"/>
      <c r="C40" s="611"/>
      <c r="D40" s="611"/>
      <c r="E40" s="611"/>
      <c r="F40" s="611"/>
      <c r="G40" s="611"/>
      <c r="H40" s="611"/>
      <c r="I40" s="611"/>
      <c r="J40" s="611"/>
      <c r="K40" s="611"/>
      <c r="L40" s="611"/>
    </row>
    <row r="41" spans="1:12">
      <c r="A41" s="611" t="s">
        <v>1498</v>
      </c>
      <c r="B41" s="616">
        <f>100*(B34-B5)/B5</f>
        <v>-30.809277397147586</v>
      </c>
      <c r="C41" s="616">
        <f t="shared" ref="C41:L41" si="5">100*(C34-C5)/C5</f>
        <v>-20.629393598577035</v>
      </c>
      <c r="D41" s="616">
        <f t="shared" si="5"/>
        <v>-16.796135552597942</v>
      </c>
      <c r="E41" s="616">
        <f t="shared" si="5"/>
        <v>-20.148713397846784</v>
      </c>
      <c r="F41" s="616">
        <f t="shared" si="5"/>
        <v>-20.531793787607718</v>
      </c>
      <c r="G41" s="616">
        <f t="shared" si="5"/>
        <v>-25.643061547031298</v>
      </c>
      <c r="H41" s="616">
        <f t="shared" si="5"/>
        <v>-32.500185798412772</v>
      </c>
      <c r="I41" s="616">
        <f t="shared" si="5"/>
        <v>-18.808488203505991</v>
      </c>
      <c r="J41" s="616">
        <f>100*(J34-J5)/J5</f>
        <v>-14.396215811959523</v>
      </c>
      <c r="K41" s="616">
        <f t="shared" si="5"/>
        <v>12.996184741635586</v>
      </c>
      <c r="L41" s="616">
        <f t="shared" si="5"/>
        <v>-23.648780378816074</v>
      </c>
    </row>
    <row r="42" spans="1:12">
      <c r="A42" s="611" t="s">
        <v>1472</v>
      </c>
      <c r="B42" s="616">
        <f>100*(B13-B5)/B5</f>
        <v>25.726201458052497</v>
      </c>
      <c r="C42" s="616">
        <f t="shared" ref="C42:L42" si="6">100*(C13-C5)/C5</f>
        <v>32.883807180515028</v>
      </c>
      <c r="D42" s="616">
        <f t="shared" si="6"/>
        <v>13.098240874843409</v>
      </c>
      <c r="E42" s="616">
        <f t="shared" si="6"/>
        <v>20.118540257701088</v>
      </c>
      <c r="F42" s="616">
        <f t="shared" si="6"/>
        <v>8.2663224945880138</v>
      </c>
      <c r="G42" s="616">
        <f t="shared" si="6"/>
        <v>21.471706972192941</v>
      </c>
      <c r="H42" s="616">
        <f t="shared" si="6"/>
        <v>19.439030977091299</v>
      </c>
      <c r="I42" s="616">
        <f t="shared" si="6"/>
        <v>29.799013715151741</v>
      </c>
      <c r="J42" s="616">
        <f t="shared" si="6"/>
        <v>32.303194573088945</v>
      </c>
      <c r="K42" s="616">
        <f t="shared" si="6"/>
        <v>118.582266059189</v>
      </c>
      <c r="L42" s="616">
        <f t="shared" si="6"/>
        <v>34.364111135781044</v>
      </c>
    </row>
    <row r="43" spans="1:12">
      <c r="A43" s="611" t="s">
        <v>1473</v>
      </c>
      <c r="B43" s="616">
        <f>100*(B24-B13)/B13</f>
        <v>-46.328451882175983</v>
      </c>
      <c r="C43" s="616">
        <f t="shared" ref="C43:L43" si="7">100*(C24-C13)/C13</f>
        <v>-50.292977072295223</v>
      </c>
      <c r="D43" s="616">
        <f t="shared" si="7"/>
        <v>-26.485946126819496</v>
      </c>
      <c r="E43" s="616">
        <f t="shared" si="7"/>
        <v>-34.128301515689436</v>
      </c>
      <c r="F43" s="616">
        <f t="shared" si="7"/>
        <v>-29.366877923843788</v>
      </c>
      <c r="G43" s="616">
        <f t="shared" si="7"/>
        <v>-41.26294334853965</v>
      </c>
      <c r="H43" s="616">
        <f t="shared" si="7"/>
        <v>-53.231641815424751</v>
      </c>
      <c r="I43" s="616">
        <f t="shared" si="7"/>
        <v>-36.158100081252989</v>
      </c>
      <c r="J43" s="616">
        <f t="shared" si="7"/>
        <v>-35.134906938154863</v>
      </c>
      <c r="K43" s="616">
        <f t="shared" si="7"/>
        <v>-51.709993428866888</v>
      </c>
      <c r="L43" s="616">
        <f t="shared" si="7"/>
        <v>-51.932239503345379</v>
      </c>
    </row>
    <row r="44" spans="1:12">
      <c r="A44" s="611" t="s">
        <v>1474</v>
      </c>
      <c r="B44" s="616">
        <f>100*(B32-B24)/B24</f>
        <v>-3.1187171327986682</v>
      </c>
      <c r="C44" s="616">
        <f t="shared" ref="C44:L44" si="8">100*(C32-C24)/C24</f>
        <v>23.553631699876185</v>
      </c>
      <c r="D44" s="616">
        <f t="shared" si="8"/>
        <v>-4.5316116744688175</v>
      </c>
      <c r="E44" s="616">
        <f t="shared" si="8"/>
        <v>3.5133792158094632</v>
      </c>
      <c r="F44" s="616">
        <f t="shared" si="8"/>
        <v>-1.145014495008926</v>
      </c>
      <c r="G44" s="616">
        <f t="shared" si="8"/>
        <v>-1.5447082036662603</v>
      </c>
      <c r="H44" s="616">
        <f t="shared" si="8"/>
        <v>7.2637538554714354</v>
      </c>
      <c r="I44" s="616">
        <f t="shared" si="8"/>
        <v>-12.294182975182796</v>
      </c>
      <c r="J44" s="616">
        <f t="shared" si="8"/>
        <v>-12.712319347600541</v>
      </c>
      <c r="K44" s="616">
        <f t="shared" si="8"/>
        <v>-31.032419519517752</v>
      </c>
      <c r="L44" s="616">
        <f t="shared" si="8"/>
        <v>5.1242414699829233</v>
      </c>
    </row>
    <row r="46" spans="1:12">
      <c r="A46" s="611" t="s">
        <v>1550</v>
      </c>
    </row>
  </sheetData>
  <pageMargins left="0.7" right="0.7" top="0.75" bottom="0.75" header="0.3" footer="0.3"/>
</worksheet>
</file>

<file path=xl/worksheets/sheet171.xml><?xml version="1.0" encoding="utf-8"?>
<worksheet xmlns="http://schemas.openxmlformats.org/spreadsheetml/2006/main" xmlns:r="http://schemas.openxmlformats.org/officeDocument/2006/relationships">
  <dimension ref="A1:L46"/>
  <sheetViews>
    <sheetView topLeftCell="A22" workbookViewId="0">
      <selection activeCell="E9" sqref="E9"/>
    </sheetView>
  </sheetViews>
  <sheetFormatPr defaultRowHeight="12.75"/>
  <cols>
    <col min="1" max="16384" width="9" style="618"/>
  </cols>
  <sheetData>
    <row r="1" spans="1:12">
      <c r="A1" s="611" t="s">
        <v>1521</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9">
        <f>'a23'!B15</f>
        <v>38.422308089725213</v>
      </c>
      <c r="C5" s="629">
        <f>'a23'!C15</f>
        <v>34.760908941381771</v>
      </c>
      <c r="D5" s="629">
        <f>'a23'!D15</f>
        <v>42.581261659939315</v>
      </c>
      <c r="E5" s="629">
        <f>'a23'!E15</f>
        <v>37.137454185035921</v>
      </c>
      <c r="F5" s="629">
        <f>'a23'!F15</f>
        <v>37.789860397187233</v>
      </c>
      <c r="G5" s="629">
        <f>'a23'!G15</f>
        <v>34.507697891790521</v>
      </c>
      <c r="H5" s="629">
        <f>'a23'!H15</f>
        <v>35.740441600834458</v>
      </c>
      <c r="I5" s="629">
        <f>'a23'!I15</f>
        <v>39.155668633734244</v>
      </c>
      <c r="J5" s="629">
        <f>'a23'!J15</f>
        <v>37.08199131463973</v>
      </c>
      <c r="K5" s="629">
        <f>'a23'!K15</f>
        <v>36.733337357911616</v>
      </c>
      <c r="L5" s="629">
        <f>'a23'!L15</f>
        <v>33.650384659563244</v>
      </c>
    </row>
    <row r="6" spans="1:12">
      <c r="A6" s="611">
        <f t="shared" ref="A6:A34" si="0">A5+1</f>
        <v>1982</v>
      </c>
      <c r="B6" s="629">
        <f>'a23'!B16</f>
        <v>37.991613847961666</v>
      </c>
      <c r="C6" s="629">
        <f>'a23'!C16</f>
        <v>34.85255207921751</v>
      </c>
      <c r="D6" s="629">
        <f>'a23'!D16</f>
        <v>42.392083476073246</v>
      </c>
      <c r="E6" s="629">
        <f>'a23'!E16</f>
        <v>36.802576941311827</v>
      </c>
      <c r="F6" s="629">
        <f>'a23'!F16</f>
        <v>37.840677061671734</v>
      </c>
      <c r="G6" s="629">
        <f>'a23'!G16</f>
        <v>34.439524426935989</v>
      </c>
      <c r="H6" s="629">
        <f>'a23'!H16</f>
        <v>36.282012554764925</v>
      </c>
      <c r="I6" s="629">
        <f>'a23'!I16</f>
        <v>39.266094805870701</v>
      </c>
      <c r="J6" s="629">
        <f>'a23'!J16</f>
        <v>37.135290693001224</v>
      </c>
      <c r="K6" s="629">
        <f>'a23'!K16</f>
        <v>36.307740034707962</v>
      </c>
      <c r="L6" s="629">
        <f>'a23'!L16</f>
        <v>33.789820066614787</v>
      </c>
    </row>
    <row r="7" spans="1:12">
      <c r="A7" s="611">
        <f t="shared" si="0"/>
        <v>1983</v>
      </c>
      <c r="B7" s="629">
        <f>'a23'!B17</f>
        <v>38.472690039579412</v>
      </c>
      <c r="C7" s="629">
        <f>'a23'!C17</f>
        <v>36.773408495730017</v>
      </c>
      <c r="D7" s="629">
        <f>'a23'!D17</f>
        <v>39.859990709867979</v>
      </c>
      <c r="E7" s="629">
        <f>'a23'!E17</f>
        <v>38.131292031380859</v>
      </c>
      <c r="F7" s="629">
        <f>'a23'!F17</f>
        <v>40.152405604813993</v>
      </c>
      <c r="G7" s="629">
        <f>'a23'!G17</f>
        <v>37.389408404343847</v>
      </c>
      <c r="H7" s="629">
        <f>'a23'!H17</f>
        <v>39.307684218045168</v>
      </c>
      <c r="I7" s="629">
        <f>'a23'!I17</f>
        <v>40.145110874258407</v>
      </c>
      <c r="J7" s="629">
        <f>'a23'!J17</f>
        <v>40.528208055657764</v>
      </c>
      <c r="K7" s="629">
        <f>'a23'!K17</f>
        <v>40.543690470845931</v>
      </c>
      <c r="L7" s="629">
        <f>'a23'!L17</f>
        <v>37.509137855982473</v>
      </c>
    </row>
    <row r="8" spans="1:12">
      <c r="A8" s="611">
        <f t="shared" si="0"/>
        <v>1984</v>
      </c>
      <c r="B8" s="629">
        <f>'a23'!B18</f>
        <v>38.425449380889233</v>
      </c>
      <c r="C8" s="629">
        <f>'a23'!C18</f>
        <v>35.984013379138709</v>
      </c>
      <c r="D8" s="629">
        <f>'a23'!D18</f>
        <v>40.931049194501256</v>
      </c>
      <c r="E8" s="629">
        <f>'a23'!E18</f>
        <v>37.711612197370073</v>
      </c>
      <c r="F8" s="629">
        <f>'a23'!F18</f>
        <v>40.036870117199022</v>
      </c>
      <c r="G8" s="629">
        <f>'a23'!G18</f>
        <v>37.511625055266641</v>
      </c>
      <c r="H8" s="629">
        <f>'a23'!H18</f>
        <v>38.662446316004633</v>
      </c>
      <c r="I8" s="629">
        <f>'a23'!I18</f>
        <v>39.595578643312493</v>
      </c>
      <c r="J8" s="629">
        <f>'a23'!J18</f>
        <v>40.404978369091893</v>
      </c>
      <c r="K8" s="629">
        <f>'a23'!K18</f>
        <v>40.924428882753674</v>
      </c>
      <c r="L8" s="629">
        <f>'a23'!L18</f>
        <v>38.382136286539023</v>
      </c>
    </row>
    <row r="9" spans="1:12">
      <c r="A9" s="611">
        <f t="shared" si="0"/>
        <v>1985</v>
      </c>
      <c r="B9" s="629">
        <f>'a23'!B19</f>
        <v>39.209031430746862</v>
      </c>
      <c r="C9" s="629">
        <f>'a23'!C19</f>
        <v>37.043506522686783</v>
      </c>
      <c r="D9" s="629">
        <f>'a23'!D19</f>
        <v>40.999751319817094</v>
      </c>
      <c r="E9" s="629">
        <f>'a23'!E19</f>
        <v>38.632040841493406</v>
      </c>
      <c r="F9" s="629">
        <f>'a23'!F19</f>
        <v>40.933249142807412</v>
      </c>
      <c r="G9" s="629">
        <f>'a23'!G19</f>
        <v>39.253215153688089</v>
      </c>
      <c r="H9" s="629">
        <f>'a23'!H19</f>
        <v>39.207061820145562</v>
      </c>
      <c r="I9" s="629">
        <f>'a23'!I19</f>
        <v>41.52173221083828</v>
      </c>
      <c r="J9" s="629">
        <f>'a23'!J19</f>
        <v>40.896887406186487</v>
      </c>
      <c r="K9" s="629">
        <f>'a23'!K19</f>
        <v>40.89736618478549</v>
      </c>
      <c r="L9" s="629">
        <f>'a23'!L19</f>
        <v>38.908889383227532</v>
      </c>
    </row>
    <row r="10" spans="1:12">
      <c r="A10" s="611">
        <f t="shared" si="0"/>
        <v>1986</v>
      </c>
      <c r="B10" s="629">
        <f>'a23'!B20</f>
        <v>40.242420779916635</v>
      </c>
      <c r="C10" s="629">
        <f>'a23'!C20</f>
        <v>37.984875304204323</v>
      </c>
      <c r="D10" s="629">
        <f>'a23'!D20</f>
        <v>43.47603167505978</v>
      </c>
      <c r="E10" s="629">
        <f>'a23'!E20</f>
        <v>39.252655229217403</v>
      </c>
      <c r="F10" s="629">
        <f>'a23'!F20</f>
        <v>41.205834071136096</v>
      </c>
      <c r="G10" s="629">
        <f>'a23'!G20</f>
        <v>40.291521687855955</v>
      </c>
      <c r="H10" s="629">
        <f>'a23'!H20</f>
        <v>39.484702584744596</v>
      </c>
      <c r="I10" s="629">
        <f>'a23'!I20</f>
        <v>42.330976851227021</v>
      </c>
      <c r="J10" s="629">
        <f>'a23'!J20</f>
        <v>42.240319163719093</v>
      </c>
      <c r="K10" s="629">
        <f>'a23'!K20</f>
        <v>43.925730096079207</v>
      </c>
      <c r="L10" s="629">
        <f>'a23'!L20</f>
        <v>41.020377842883292</v>
      </c>
    </row>
    <row r="11" spans="1:12">
      <c r="A11" s="611">
        <f t="shared" si="0"/>
        <v>1987</v>
      </c>
      <c r="B11" s="629">
        <f>'a23'!B21</f>
        <v>40.605748321412733</v>
      </c>
      <c r="C11" s="629">
        <f>'a23'!C21</f>
        <v>38.668685364595426</v>
      </c>
      <c r="D11" s="629">
        <f>'a23'!D21</f>
        <v>44.530406817810395</v>
      </c>
      <c r="E11" s="629">
        <f>'a23'!E21</f>
        <v>40.430165712579239</v>
      </c>
      <c r="F11" s="629">
        <f>'a23'!F21</f>
        <v>43.551304725561273</v>
      </c>
      <c r="G11" s="629">
        <f>'a23'!G21</f>
        <v>40.371697750964962</v>
      </c>
      <c r="H11" s="629">
        <f>'a23'!H21</f>
        <v>40.652551378362929</v>
      </c>
      <c r="I11" s="629">
        <f>'a23'!I21</f>
        <v>43.333002044807749</v>
      </c>
      <c r="J11" s="629">
        <f>'a23'!J21</f>
        <v>42.931093524853431</v>
      </c>
      <c r="K11" s="629">
        <f>'a23'!K21</f>
        <v>43.782015887377476</v>
      </c>
      <c r="L11" s="629">
        <f>'a23'!L21</f>
        <v>40.753101370400621</v>
      </c>
    </row>
    <row r="12" spans="1:12">
      <c r="A12" s="611">
        <f t="shared" si="0"/>
        <v>1988</v>
      </c>
      <c r="B12" s="629">
        <f>'a23'!B22</f>
        <v>41.35343750031619</v>
      </c>
      <c r="C12" s="629">
        <f>'a23'!C22</f>
        <v>39.423233525694933</v>
      </c>
      <c r="D12" s="629">
        <f>'a23'!D22</f>
        <v>45.437938441730495</v>
      </c>
      <c r="E12" s="629">
        <f>'a23'!E22</f>
        <v>41.158825792351642</v>
      </c>
      <c r="F12" s="629">
        <f>'a23'!F22</f>
        <v>44.275705881577771</v>
      </c>
      <c r="G12" s="629">
        <f>'a23'!G22</f>
        <v>41.261948058139033</v>
      </c>
      <c r="H12" s="629">
        <f>'a23'!H22</f>
        <v>41.812563514956231</v>
      </c>
      <c r="I12" s="629">
        <f>'a23'!I22</f>
        <v>43.774818406366293</v>
      </c>
      <c r="J12" s="629">
        <f>'a23'!J22</f>
        <v>43.796843010700563</v>
      </c>
      <c r="K12" s="629">
        <f>'a23'!K22</f>
        <v>44.034538847340301</v>
      </c>
      <c r="L12" s="629">
        <f>'a23'!L22</f>
        <v>42.214583631497774</v>
      </c>
    </row>
    <row r="13" spans="1:12">
      <c r="A13" s="611">
        <f t="shared" si="0"/>
        <v>1989</v>
      </c>
      <c r="B13" s="629">
        <f>'a23'!B23</f>
        <v>42.000646542792794</v>
      </c>
      <c r="C13" s="629">
        <f>'a23'!C23</f>
        <v>41.036980576924023</v>
      </c>
      <c r="D13" s="629">
        <f>'a23'!D23</f>
        <v>47.668206710398088</v>
      </c>
      <c r="E13" s="629">
        <f>'a23'!E23</f>
        <v>43.080526741862023</v>
      </c>
      <c r="F13" s="629">
        <f>'a23'!F23</f>
        <v>44.886174307579388</v>
      </c>
      <c r="G13" s="629">
        <f>'a23'!G23</f>
        <v>42.330118079019577</v>
      </c>
      <c r="H13" s="629">
        <f>'a23'!H23</f>
        <v>42.641473199009184</v>
      </c>
      <c r="I13" s="629">
        <f>'a23'!I23</f>
        <v>43.73876907067055</v>
      </c>
      <c r="J13" s="629">
        <f>'a23'!J23</f>
        <v>44.961434992213619</v>
      </c>
      <c r="K13" s="629">
        <f>'a23'!K23</f>
        <v>44.516666778145463</v>
      </c>
      <c r="L13" s="629">
        <f>'a23'!L23</f>
        <v>42.095275598620759</v>
      </c>
    </row>
    <row r="14" spans="1:12">
      <c r="A14" s="611">
        <f t="shared" si="0"/>
        <v>1990</v>
      </c>
      <c r="B14" s="629">
        <f>'a23'!B24</f>
        <v>43.488702292208451</v>
      </c>
      <c r="C14" s="629">
        <f>'a23'!C24</f>
        <v>42.511782195574469</v>
      </c>
      <c r="D14" s="629">
        <f>'a23'!D24</f>
        <v>48.340001121222436</v>
      </c>
      <c r="E14" s="629">
        <f>'a23'!E24</f>
        <v>43.728994619507986</v>
      </c>
      <c r="F14" s="629">
        <f>'a23'!F24</f>
        <v>46.122407682639512</v>
      </c>
      <c r="G14" s="629">
        <f>'a23'!G24</f>
        <v>43.034726528980379</v>
      </c>
      <c r="H14" s="629">
        <f>'a23'!H24</f>
        <v>44.949975957432606</v>
      </c>
      <c r="I14" s="629">
        <f>'a23'!I24</f>
        <v>45.058045377889869</v>
      </c>
      <c r="J14" s="629">
        <f>'a23'!J24</f>
        <v>44.746038602886145</v>
      </c>
      <c r="K14" s="629">
        <f>'a23'!K24</f>
        <v>45.251004632791805</v>
      </c>
      <c r="L14" s="629">
        <f>'a23'!L24</f>
        <v>44.380888195197599</v>
      </c>
    </row>
    <row r="15" spans="1:12">
      <c r="A15" s="611">
        <f t="shared" si="0"/>
        <v>1991</v>
      </c>
      <c r="B15" s="629">
        <f>'a23'!B25</f>
        <v>44.198228328663106</v>
      </c>
      <c r="C15" s="629">
        <f>'a23'!C25</f>
        <v>42.660039962566714</v>
      </c>
      <c r="D15" s="629">
        <f>'a23'!D25</f>
        <v>49.718127888779698</v>
      </c>
      <c r="E15" s="629">
        <f>'a23'!E25</f>
        <v>43.647212589323246</v>
      </c>
      <c r="F15" s="629">
        <f>'a23'!F25</f>
        <v>45.920568139522516</v>
      </c>
      <c r="G15" s="629">
        <f>'a23'!G25</f>
        <v>43.945060653283214</v>
      </c>
      <c r="H15" s="629">
        <f>'a23'!H25</f>
        <v>45.12761289500952</v>
      </c>
      <c r="I15" s="629">
        <f>'a23'!I25</f>
        <v>46.069326530883387</v>
      </c>
      <c r="J15" s="629">
        <f>'a23'!J25</f>
        <v>44.953363762651335</v>
      </c>
      <c r="K15" s="629">
        <f>'a23'!K25</f>
        <v>45.857101805486764</v>
      </c>
      <c r="L15" s="629">
        <f>'a23'!L25</f>
        <v>45.516974328257071</v>
      </c>
    </row>
    <row r="16" spans="1:12">
      <c r="A16" s="611">
        <f t="shared" si="0"/>
        <v>1992</v>
      </c>
      <c r="B16" s="629">
        <f>'a23'!B26</f>
        <v>44.166622991678459</v>
      </c>
      <c r="C16" s="629">
        <f>'a23'!C26</f>
        <v>43.52546151295185</v>
      </c>
      <c r="D16" s="629">
        <f>'a23'!D26</f>
        <v>50.166857765698438</v>
      </c>
      <c r="E16" s="629">
        <f>'a23'!E26</f>
        <v>43.887383605556408</v>
      </c>
      <c r="F16" s="629">
        <f>'a23'!F26</f>
        <v>46.746373268133659</v>
      </c>
      <c r="G16" s="629">
        <f>'a23'!G26</f>
        <v>43.934508771619882</v>
      </c>
      <c r="H16" s="629">
        <f>'a23'!H26</f>
        <v>44.69929836284664</v>
      </c>
      <c r="I16" s="629">
        <f>'a23'!I26</f>
        <v>45.704504223318956</v>
      </c>
      <c r="J16" s="629">
        <f>'a23'!J26</f>
        <v>46.553851577648516</v>
      </c>
      <c r="K16" s="629">
        <f>'a23'!K26</f>
        <v>45.966372837087825</v>
      </c>
      <c r="L16" s="629">
        <f>'a23'!L26</f>
        <v>45.213053096046991</v>
      </c>
    </row>
    <row r="17" spans="1:12">
      <c r="A17" s="611">
        <f t="shared" si="0"/>
        <v>1993</v>
      </c>
      <c r="B17" s="629">
        <f>'a23'!B27</f>
        <v>43.923888116847095</v>
      </c>
      <c r="C17" s="629">
        <f>'a23'!C27</f>
        <v>42.621787253454336</v>
      </c>
      <c r="D17" s="629">
        <f>'a23'!D27</f>
        <v>50.243596688612946</v>
      </c>
      <c r="E17" s="629">
        <f>'a23'!E27</f>
        <v>44.662877142623337</v>
      </c>
      <c r="F17" s="629">
        <f>'a23'!F27</f>
        <v>47.275250602715403</v>
      </c>
      <c r="G17" s="629">
        <f>'a23'!G27</f>
        <v>44.103813398995278</v>
      </c>
      <c r="H17" s="629">
        <f>'a23'!H27</f>
        <v>43.882535533409573</v>
      </c>
      <c r="I17" s="629">
        <f>'a23'!I27</f>
        <v>45.899940222526467</v>
      </c>
      <c r="J17" s="629">
        <f>'a23'!J27</f>
        <v>46.420875878401993</v>
      </c>
      <c r="K17" s="629">
        <f>'a23'!K27</f>
        <v>45.55617859395808</v>
      </c>
      <c r="L17" s="629">
        <f>'a23'!L27</f>
        <v>45.028925430298024</v>
      </c>
    </row>
    <row r="18" spans="1:12">
      <c r="A18" s="611">
        <f t="shared" si="0"/>
        <v>1994</v>
      </c>
      <c r="B18" s="629">
        <f>'a23'!B28</f>
        <v>42.470651733909051</v>
      </c>
      <c r="C18" s="629">
        <f>'a23'!C28</f>
        <v>41.638175363226829</v>
      </c>
      <c r="D18" s="629">
        <f>'a23'!D28</f>
        <v>48.190251249400973</v>
      </c>
      <c r="E18" s="629">
        <f>'a23'!E28</f>
        <v>43.678101503759393</v>
      </c>
      <c r="F18" s="629">
        <f>'a23'!F28</f>
        <v>46.691971562117487</v>
      </c>
      <c r="G18" s="629">
        <f>'a23'!G28</f>
        <v>42.977357244639073</v>
      </c>
      <c r="H18" s="629">
        <f>'a23'!H28</f>
        <v>41.970049263175788</v>
      </c>
      <c r="I18" s="629">
        <f>'a23'!I28</f>
        <v>44.819160728424379</v>
      </c>
      <c r="J18" s="629">
        <f>'a23'!J28</f>
        <v>44.0530060208404</v>
      </c>
      <c r="K18" s="629">
        <f>'a23'!K28</f>
        <v>45.466589962170737</v>
      </c>
      <c r="L18" s="629">
        <f>'a23'!L28</f>
        <v>43.901262250185461</v>
      </c>
    </row>
    <row r="19" spans="1:12">
      <c r="A19" s="611">
        <f t="shared" si="0"/>
        <v>1995</v>
      </c>
      <c r="B19" s="629">
        <f>'a23'!B29</f>
        <v>42.253662284731156</v>
      </c>
      <c r="C19" s="629">
        <f>'a23'!C29</f>
        <v>43.327463945187105</v>
      </c>
      <c r="D19" s="629">
        <f>'a23'!D29</f>
        <v>47.067688481604627</v>
      </c>
      <c r="E19" s="629">
        <f>'a23'!E29</f>
        <v>43.942374706963186</v>
      </c>
      <c r="F19" s="629">
        <f>'a23'!F29</f>
        <v>45.847366188925889</v>
      </c>
      <c r="G19" s="629">
        <f>'a23'!G29</f>
        <v>42.707668145182168</v>
      </c>
      <c r="H19" s="629">
        <f>'a23'!H29</f>
        <v>41.651550045218414</v>
      </c>
      <c r="I19" s="629">
        <f>'a23'!I29</f>
        <v>44.737081856794589</v>
      </c>
      <c r="J19" s="629">
        <f>'a23'!J29</f>
        <v>45.547968825436243</v>
      </c>
      <c r="K19" s="629">
        <f>'a23'!K29</f>
        <v>46.025840334911244</v>
      </c>
      <c r="L19" s="629">
        <f>'a23'!L29</f>
        <v>43.059075843244294</v>
      </c>
    </row>
    <row r="20" spans="1:12">
      <c r="A20" s="611">
        <f t="shared" si="0"/>
        <v>1996</v>
      </c>
      <c r="B20" s="629">
        <f>'a23'!B30</f>
        <v>41.787232069306008</v>
      </c>
      <c r="C20" s="629">
        <f>'a23'!C30</f>
        <v>44.627697841726615</v>
      </c>
      <c r="D20" s="629">
        <f>'a23'!D30</f>
        <v>45.373368753756957</v>
      </c>
      <c r="E20" s="629">
        <f>'a23'!E30</f>
        <v>43.9480140698737</v>
      </c>
      <c r="F20" s="629">
        <f>'a23'!F30</f>
        <v>46.384233395406582</v>
      </c>
      <c r="G20" s="629">
        <f>'a23'!G30</f>
        <v>42.522031698319445</v>
      </c>
      <c r="H20" s="629">
        <f>'a23'!H30</f>
        <v>40.873504800041076</v>
      </c>
      <c r="I20" s="629">
        <f>'a23'!I30</f>
        <v>44.55977347957117</v>
      </c>
      <c r="J20" s="629">
        <f>'a23'!J30</f>
        <v>45.98022181951788</v>
      </c>
      <c r="K20" s="629">
        <f>'a23'!K30</f>
        <v>43.998788000647899</v>
      </c>
      <c r="L20" s="629">
        <f>'a23'!L30</f>
        <v>42.875976148034972</v>
      </c>
    </row>
    <row r="21" spans="1:12">
      <c r="A21" s="611">
        <f t="shared" si="0"/>
        <v>1997</v>
      </c>
      <c r="B21" s="629">
        <f>'a23'!B31</f>
        <v>40.055552882173359</v>
      </c>
      <c r="C21" s="629">
        <f>'a23'!C31</f>
        <v>44.431408861798843</v>
      </c>
      <c r="D21" s="629">
        <f>'a23'!D31</f>
        <v>46.721266107974699</v>
      </c>
      <c r="E21" s="629">
        <f>'a23'!E31</f>
        <v>42.05131778624299</v>
      </c>
      <c r="F21" s="629">
        <f>'a23'!F31</f>
        <v>43.557920698851241</v>
      </c>
      <c r="G21" s="629">
        <f>'a23'!G31</f>
        <v>40.472524637242202</v>
      </c>
      <c r="H21" s="629">
        <f>'a23'!H31</f>
        <v>39.643180105501138</v>
      </c>
      <c r="I21" s="629">
        <f>'a23'!I31</f>
        <v>43.230908584169455</v>
      </c>
      <c r="J21" s="629">
        <f>'a23'!J31</f>
        <v>44.20247544323815</v>
      </c>
      <c r="K21" s="629">
        <f>'a23'!K31</f>
        <v>41.461645881521974</v>
      </c>
      <c r="L21" s="629">
        <f>'a23'!L31</f>
        <v>41.621395246892305</v>
      </c>
    </row>
    <row r="22" spans="1:12">
      <c r="A22" s="611">
        <f t="shared" si="0"/>
        <v>1998</v>
      </c>
      <c r="B22" s="629">
        <f>'a23'!B32</f>
        <v>40.350260252033543</v>
      </c>
      <c r="C22" s="629">
        <f>'a23'!C32</f>
        <v>42.802321062672227</v>
      </c>
      <c r="D22" s="629">
        <f>'a23'!D32</f>
        <v>44.92037555763045</v>
      </c>
      <c r="E22" s="629">
        <f>'a23'!E32</f>
        <v>43.294490302908827</v>
      </c>
      <c r="F22" s="629">
        <f>'a23'!F32</f>
        <v>43.052790046581222</v>
      </c>
      <c r="G22" s="629">
        <f>'a23'!G32</f>
        <v>40.126265561773813</v>
      </c>
      <c r="H22" s="629">
        <f>'a23'!H32</f>
        <v>40.155930926465629</v>
      </c>
      <c r="I22" s="629">
        <f>'a23'!I32</f>
        <v>44.777701031353864</v>
      </c>
      <c r="J22" s="629">
        <f>'a23'!J32</f>
        <v>47.504377247775885</v>
      </c>
      <c r="K22" s="629">
        <f>'a23'!K32</f>
        <v>44.803362676703252</v>
      </c>
      <c r="L22" s="629">
        <f>'a23'!L32</f>
        <v>42.75664354515952</v>
      </c>
    </row>
    <row r="23" spans="1:12">
      <c r="A23" s="611">
        <f t="shared" si="0"/>
        <v>1999</v>
      </c>
      <c r="B23" s="629">
        <f>'a23'!B33</f>
        <v>40.764074299602896</v>
      </c>
      <c r="C23" s="629">
        <f>'a23'!C33</f>
        <v>41.633838909713546</v>
      </c>
      <c r="D23" s="629">
        <f>'a23'!D33</f>
        <v>44.945512507725851</v>
      </c>
      <c r="E23" s="629">
        <f>'a23'!E33</f>
        <v>44.189797517724024</v>
      </c>
      <c r="F23" s="629">
        <f>'a23'!F33</f>
        <v>42.768382724189344</v>
      </c>
      <c r="G23" s="629">
        <f>'a23'!G33</f>
        <v>41.445862361189064</v>
      </c>
      <c r="H23" s="629">
        <f>'a23'!H33</f>
        <v>40.482947618908291</v>
      </c>
      <c r="I23" s="629">
        <f>'a23'!I33</f>
        <v>46.50351094589012</v>
      </c>
      <c r="J23" s="629">
        <f>'a23'!J33</f>
        <v>47.737085988099629</v>
      </c>
      <c r="K23" s="629">
        <f>'a23'!K33</f>
        <v>45.110650498651793</v>
      </c>
      <c r="L23" s="629">
        <f>'a23'!L33</f>
        <v>42.418108348953687</v>
      </c>
    </row>
    <row r="24" spans="1:12">
      <c r="A24" s="611">
        <f t="shared" si="0"/>
        <v>2000</v>
      </c>
      <c r="B24" s="629">
        <f>'a23'!B34</f>
        <v>40.446444461393739</v>
      </c>
      <c r="C24" s="629">
        <f>'a23'!C34</f>
        <v>41.255876445970351</v>
      </c>
      <c r="D24" s="629">
        <f>'a23'!D34</f>
        <v>45.198812734727198</v>
      </c>
      <c r="E24" s="629">
        <f>'a23'!E34</f>
        <v>45.087628804856934</v>
      </c>
      <c r="F24" s="629">
        <f>'a23'!F34</f>
        <v>42.447854402204236</v>
      </c>
      <c r="G24" s="629">
        <f>'a23'!G34</f>
        <v>41.530493576741051</v>
      </c>
      <c r="H24" s="629">
        <f>'a23'!H34</f>
        <v>40.681218631848623</v>
      </c>
      <c r="I24" s="629">
        <f>'a23'!I34</f>
        <v>45.684040016882832</v>
      </c>
      <c r="J24" s="629">
        <f>'a23'!J34</f>
        <v>46.413854644454673</v>
      </c>
      <c r="K24" s="629">
        <f>'a23'!K34</f>
        <v>43.220000301618178</v>
      </c>
      <c r="L24" s="629">
        <f>'a23'!L34</f>
        <v>41.437686101722193</v>
      </c>
    </row>
    <row r="25" spans="1:12">
      <c r="A25" s="611">
        <f t="shared" si="0"/>
        <v>2001</v>
      </c>
      <c r="B25" s="629">
        <f>'a23'!B35</f>
        <v>42.51964708807072</v>
      </c>
      <c r="C25" s="629">
        <f>'a23'!C35</f>
        <v>44.176290426817282</v>
      </c>
      <c r="D25" s="629">
        <f>'a23'!D35</f>
        <v>47.017275366700048</v>
      </c>
      <c r="E25" s="629">
        <f>'a23'!E35</f>
        <v>45.553903755093053</v>
      </c>
      <c r="F25" s="629">
        <f>'a23'!F35</f>
        <v>44.569121808231237</v>
      </c>
      <c r="G25" s="629">
        <f>'a23'!G35</f>
        <v>43.194103588213586</v>
      </c>
      <c r="H25" s="629">
        <f>'a23'!H35</f>
        <v>42.879523960100038</v>
      </c>
      <c r="I25" s="629">
        <f>'a23'!I35</f>
        <v>46.615188705045817</v>
      </c>
      <c r="J25" s="629">
        <f>'a23'!J35</f>
        <v>46.962224906065494</v>
      </c>
      <c r="K25" s="629">
        <f>'a23'!K35</f>
        <v>44.674824382506237</v>
      </c>
      <c r="L25" s="629">
        <f>'a23'!L35</f>
        <v>44.568093681088889</v>
      </c>
    </row>
    <row r="26" spans="1:12">
      <c r="A26" s="611">
        <f t="shared" si="0"/>
        <v>2002</v>
      </c>
      <c r="B26" s="629">
        <f>'a23'!B36</f>
        <v>42.805231478041165</v>
      </c>
      <c r="C26" s="629">
        <f>'a23'!C36</f>
        <v>44.479631574341468</v>
      </c>
      <c r="D26" s="629">
        <f>'a23'!D36</f>
        <v>46.833671897939247</v>
      </c>
      <c r="E26" s="629">
        <f>'a23'!E36</f>
        <v>45.177968564848975</v>
      </c>
      <c r="F26" s="629">
        <f>'a23'!F36</f>
        <v>44.84088903595854</v>
      </c>
      <c r="G26" s="629">
        <f>'a23'!G36</f>
        <v>43.278249625910455</v>
      </c>
      <c r="H26" s="629">
        <f>'a23'!H36</f>
        <v>42.878832643949835</v>
      </c>
      <c r="I26" s="629">
        <f>'a23'!I36</f>
        <v>46.872471808080306</v>
      </c>
      <c r="J26" s="629">
        <f>'a23'!J36</f>
        <v>47.447672576715938</v>
      </c>
      <c r="K26" s="629">
        <f>'a23'!K36</f>
        <v>45.876617918977978</v>
      </c>
      <c r="L26" s="629">
        <f>'a23'!L36</f>
        <v>44.403146436027434</v>
      </c>
    </row>
    <row r="27" spans="1:12">
      <c r="A27" s="611">
        <f t="shared" si="0"/>
        <v>2003</v>
      </c>
      <c r="B27" s="629">
        <f>'a23'!B37</f>
        <v>42.121286686834466</v>
      </c>
      <c r="C27" s="629">
        <f>'a23'!C37</f>
        <v>42.413784128471413</v>
      </c>
      <c r="D27" s="629">
        <f>'a23'!D37</f>
        <v>47.097335556140514</v>
      </c>
      <c r="E27" s="629">
        <f>'a23'!E37</f>
        <v>44.565725784521668</v>
      </c>
      <c r="F27" s="629">
        <f>'a23'!F37</f>
        <v>44.282035135309684</v>
      </c>
      <c r="G27" s="629">
        <f>'a23'!G37</f>
        <v>42.839342631504145</v>
      </c>
      <c r="H27" s="629">
        <f>'a23'!H37</f>
        <v>42.338207270595134</v>
      </c>
      <c r="I27" s="629">
        <f>'a23'!I37</f>
        <v>45.135243217709636</v>
      </c>
      <c r="J27" s="629">
        <f>'a23'!J37</f>
        <v>45.772606975342612</v>
      </c>
      <c r="K27" s="629">
        <f>'a23'!K37</f>
        <v>44.180820455705607</v>
      </c>
      <c r="L27" s="629">
        <f>'a23'!L37</f>
        <v>43.364220014180674</v>
      </c>
    </row>
    <row r="28" spans="1:12">
      <c r="A28" s="611">
        <f t="shared" si="0"/>
        <v>2004</v>
      </c>
      <c r="B28" s="629">
        <f>'a23'!B38</f>
        <v>41.337618826094506</v>
      </c>
      <c r="C28" s="629">
        <f>'a23'!C38</f>
        <v>42.044484745039476</v>
      </c>
      <c r="D28" s="629">
        <f>'a23'!D38</f>
        <v>46.414667463502091</v>
      </c>
      <c r="E28" s="629">
        <f>'a23'!E38</f>
        <v>43.92405634580566</v>
      </c>
      <c r="F28" s="629">
        <f>'a23'!F38</f>
        <v>44.611230528354966</v>
      </c>
      <c r="G28" s="629">
        <f>'a23'!G38</f>
        <v>42.350525664811386</v>
      </c>
      <c r="H28" s="629">
        <f>'a23'!H38</f>
        <v>41.384660278085917</v>
      </c>
      <c r="I28" s="629">
        <f>'a23'!I38</f>
        <v>44.190559659446599</v>
      </c>
      <c r="J28" s="629">
        <f>'a23'!J38</f>
        <v>44.49150171186708</v>
      </c>
      <c r="K28" s="629">
        <f>'a23'!K38</f>
        <v>43.020326791222708</v>
      </c>
      <c r="L28" s="629">
        <f>'a23'!L38</f>
        <v>42.411962923718697</v>
      </c>
    </row>
    <row r="29" spans="1:12">
      <c r="A29" s="611">
        <f t="shared" si="0"/>
        <v>2005</v>
      </c>
      <c r="B29" s="629">
        <f>'a23'!B39</f>
        <v>40.084057735165025</v>
      </c>
      <c r="C29" s="629">
        <f>'a23'!C39</f>
        <v>41.212990892318501</v>
      </c>
      <c r="D29" s="629">
        <f>'a23'!D39</f>
        <v>45.284032219072117</v>
      </c>
      <c r="E29" s="629">
        <f>'a23'!E39</f>
        <v>42.194246422973862</v>
      </c>
      <c r="F29" s="629">
        <f>'a23'!F39</f>
        <v>43.661672470319914</v>
      </c>
      <c r="G29" s="629">
        <f>'a23'!G39</f>
        <v>41.695278456160509</v>
      </c>
      <c r="H29" s="629">
        <f>'a23'!H39</f>
        <v>39.956019921020619</v>
      </c>
      <c r="I29" s="629">
        <f>'a23'!I39</f>
        <v>42.85666207969367</v>
      </c>
      <c r="J29" s="629">
        <f>'a23'!J39</f>
        <v>42.536825675543852</v>
      </c>
      <c r="K29" s="629">
        <f>'a23'!K39</f>
        <v>40.533241614756498</v>
      </c>
      <c r="L29" s="629">
        <f>'a23'!L39</f>
        <v>41.01685706260735</v>
      </c>
    </row>
    <row r="30" spans="1:12">
      <c r="A30" s="611">
        <f t="shared" si="0"/>
        <v>2006</v>
      </c>
      <c r="B30" s="629">
        <f>'a23'!B40</f>
        <v>40.471699778080726</v>
      </c>
      <c r="C30" s="629">
        <f>'a23'!C40</f>
        <v>41.781605130381486</v>
      </c>
      <c r="D30" s="629">
        <f>'a23'!D40</f>
        <v>47.92990410506934</v>
      </c>
      <c r="E30" s="629">
        <f>'a23'!E40</f>
        <v>43.699340407792761</v>
      </c>
      <c r="F30" s="629">
        <f>'a23'!F40</f>
        <v>44.046293684840762</v>
      </c>
      <c r="G30" s="629">
        <f>'a23'!G40</f>
        <v>42.434584755403876</v>
      </c>
      <c r="H30" s="629">
        <f>'a23'!H40</f>
        <v>40.020407731675334</v>
      </c>
      <c r="I30" s="629">
        <f>'a23'!I40</f>
        <v>42.797167939448499</v>
      </c>
      <c r="J30" s="629">
        <f>'a23'!J40</f>
        <v>43.298838437170019</v>
      </c>
      <c r="K30" s="629">
        <f>'a23'!K40</f>
        <v>40.503941817240438</v>
      </c>
      <c r="L30" s="629">
        <f>'a23'!L40</f>
        <v>41.190642364373346</v>
      </c>
    </row>
    <row r="31" spans="1:12">
      <c r="A31" s="611">
        <f t="shared" si="0"/>
        <v>2007</v>
      </c>
      <c r="B31" s="629">
        <f>'a23'!B41</f>
        <v>40.083377739433466</v>
      </c>
      <c r="C31" s="629">
        <f>'a23'!C41</f>
        <v>41.435993208828513</v>
      </c>
      <c r="D31" s="629">
        <f>'a23'!D41</f>
        <v>48.641601999413751</v>
      </c>
      <c r="E31" s="629">
        <f>'a23'!E41</f>
        <v>43.983222343418099</v>
      </c>
      <c r="F31" s="629">
        <f>'a23'!F41</f>
        <v>43.630027314684</v>
      </c>
      <c r="G31" s="629">
        <f>'a23'!G41</f>
        <v>41.970770833051539</v>
      </c>
      <c r="H31" s="629">
        <f>'a23'!H41</f>
        <v>39.421573418030782</v>
      </c>
      <c r="I31" s="629">
        <f>'a23'!I41</f>
        <v>41.910443667283829</v>
      </c>
      <c r="J31" s="629">
        <f>'a23'!J41</f>
        <v>43.346906081035982</v>
      </c>
      <c r="K31" s="629">
        <f>'a23'!K41</f>
        <v>40.052066024149781</v>
      </c>
      <c r="L31" s="629">
        <f>'a23'!L41</f>
        <v>41.549982697465175</v>
      </c>
    </row>
    <row r="32" spans="1:12">
      <c r="A32" s="611">
        <f t="shared" si="0"/>
        <v>2008</v>
      </c>
      <c r="B32" s="629">
        <f>'a23'!B42</f>
        <v>40.626335865311894</v>
      </c>
      <c r="C32" s="629">
        <f>'a23'!C42</f>
        <v>41.960485066677094</v>
      </c>
      <c r="D32" s="629">
        <f>'a23'!D42</f>
        <v>49.188455461288413</v>
      </c>
      <c r="E32" s="629">
        <f>'a23'!E42</f>
        <v>44.423384483393711</v>
      </c>
      <c r="F32" s="629">
        <f>'a23'!F42</f>
        <v>43.753335248963502</v>
      </c>
      <c r="G32" s="629">
        <f>'a23'!G42</f>
        <v>42.448207171314742</v>
      </c>
      <c r="H32" s="629">
        <f>'a23'!H42</f>
        <v>40.253488677465945</v>
      </c>
      <c r="I32" s="629">
        <f>'a23'!I42</f>
        <v>42.833971459953659</v>
      </c>
      <c r="J32" s="629">
        <f>'a23'!J42</f>
        <v>43.28868611433257</v>
      </c>
      <c r="K32" s="629">
        <f>'a23'!K42</f>
        <v>39.619370611971135</v>
      </c>
      <c r="L32" s="629">
        <f>'a23'!L42</f>
        <v>43.180744938315328</v>
      </c>
    </row>
    <row r="33" spans="1:12">
      <c r="A33" s="611">
        <f t="shared" si="0"/>
        <v>2009</v>
      </c>
      <c r="B33" s="629">
        <f>'a23'!B43</f>
        <v>42.290139340680682</v>
      </c>
      <c r="C33" s="629">
        <f>'a23'!C43</f>
        <v>42.432870139373989</v>
      </c>
      <c r="D33" s="629">
        <f>'a23'!D43</f>
        <v>48.875264494796859</v>
      </c>
      <c r="E33" s="629">
        <f>'a23'!E43</f>
        <v>45.599357221006564</v>
      </c>
      <c r="F33" s="629">
        <f>'a23'!F43</f>
        <v>44.68614632154523</v>
      </c>
      <c r="G33" s="629">
        <f>'a23'!G43</f>
        <v>43.695016267959346</v>
      </c>
      <c r="H33" s="629">
        <f>'a23'!H43</f>
        <v>41.57250249142713</v>
      </c>
      <c r="I33" s="629">
        <f>'a23'!I43</f>
        <v>43.646574785964638</v>
      </c>
      <c r="J33" s="629">
        <f>'a23'!J43</f>
        <v>45.203150448199125</v>
      </c>
      <c r="K33" s="629">
        <f>'a23'!K43</f>
        <v>41.388175483653669</v>
      </c>
      <c r="L33" s="629">
        <f>'a23'!L43</f>
        <v>44.44231846963271</v>
      </c>
    </row>
    <row r="34" spans="1:12">
      <c r="A34" s="611">
        <f t="shared" si="0"/>
        <v>2010</v>
      </c>
      <c r="B34" s="629">
        <f>'a23'!B44</f>
        <v>40.664349871267433</v>
      </c>
      <c r="C34" s="629">
        <f>'a23'!C44</f>
        <v>40.579498199327482</v>
      </c>
      <c r="D34" s="629">
        <f>'a23'!D44</f>
        <v>47.65157814136802</v>
      </c>
      <c r="E34" s="629">
        <f>'a23'!E44</f>
        <v>43.538095175444376</v>
      </c>
      <c r="F34" s="629">
        <f>'a23'!F44</f>
        <v>44.056934051026211</v>
      </c>
      <c r="G34" s="629">
        <f>'a23'!G44</f>
        <v>43.055289820873561</v>
      </c>
      <c r="H34" s="629">
        <f>'a23'!H44</f>
        <v>39.590558111773468</v>
      </c>
      <c r="I34" s="629">
        <f>'a23'!I44</f>
        <v>43.442381467116</v>
      </c>
      <c r="J34" s="629">
        <f>'a23'!J44</f>
        <v>42.175972427375683</v>
      </c>
      <c r="K34" s="629">
        <f>'a23'!K44</f>
        <v>38.865425660438149</v>
      </c>
      <c r="L34" s="629">
        <f>'a23'!L44</f>
        <v>42.791714502064053</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0.19575532800624185</v>
      </c>
      <c r="C36" s="617">
        <f t="shared" si="1"/>
        <v>0.53511464946616183</v>
      </c>
      <c r="D36" s="617">
        <f t="shared" si="1"/>
        <v>0.38868951361670234</v>
      </c>
      <c r="E36" s="617">
        <f t="shared" si="1"/>
        <v>0.54981735348749172</v>
      </c>
      <c r="F36" s="617">
        <f t="shared" si="1"/>
        <v>0.53051236304140215</v>
      </c>
      <c r="G36" s="617">
        <f t="shared" si="1"/>
        <v>0.7660317912101533</v>
      </c>
      <c r="H36" s="617">
        <f t="shared" si="1"/>
        <v>0.35340851261009831</v>
      </c>
      <c r="I36" s="617">
        <f t="shared" si="1"/>
        <v>0.35888483935060389</v>
      </c>
      <c r="J36" s="617">
        <f t="shared" si="1"/>
        <v>0.44484597262350878</v>
      </c>
      <c r="K36" s="617">
        <f t="shared" si="1"/>
        <v>0.19474226413431772</v>
      </c>
      <c r="L36" s="617">
        <f t="shared" si="1"/>
        <v>0.83213282787073517</v>
      </c>
    </row>
    <row r="37" spans="1:12">
      <c r="A37" s="611" t="s">
        <v>1472</v>
      </c>
      <c r="B37" s="617">
        <f t="shared" ref="B37:L37" si="2">100*(POWER(B13/B5, 1/8)-1)</f>
        <v>1.1193026031359077</v>
      </c>
      <c r="C37" s="617">
        <f t="shared" si="2"/>
        <v>2.0964248127523621</v>
      </c>
      <c r="D37" s="617">
        <f t="shared" si="2"/>
        <v>1.4206258302878805</v>
      </c>
      <c r="E37" s="617">
        <f t="shared" si="2"/>
        <v>1.8728859573004186</v>
      </c>
      <c r="F37" s="617">
        <f t="shared" si="2"/>
        <v>2.1744157467715741</v>
      </c>
      <c r="G37" s="617">
        <f t="shared" si="2"/>
        <v>2.5868480819560391</v>
      </c>
      <c r="H37" s="617">
        <f t="shared" si="2"/>
        <v>2.2313358625447366</v>
      </c>
      <c r="I37" s="617">
        <f t="shared" si="2"/>
        <v>1.3932371864552762</v>
      </c>
      <c r="J37" s="617">
        <f t="shared" si="2"/>
        <v>2.4376576972719777</v>
      </c>
      <c r="K37" s="617">
        <f t="shared" si="2"/>
        <v>2.4313228420128397</v>
      </c>
      <c r="L37" s="617">
        <f t="shared" si="2"/>
        <v>2.8384247261515672</v>
      </c>
    </row>
    <row r="38" spans="1:12">
      <c r="A38" s="611" t="s">
        <v>1473</v>
      </c>
      <c r="B38" s="617">
        <f t="shared" ref="B38:L38" si="3">100*(POWER(B24/B13, 1/11)-1)</f>
        <v>-0.34219745622605657</v>
      </c>
      <c r="C38" s="617">
        <f t="shared" si="3"/>
        <v>4.8374755555591342E-2</v>
      </c>
      <c r="D38" s="617">
        <f t="shared" si="3"/>
        <v>-0.48241290686392713</v>
      </c>
      <c r="E38" s="617">
        <f t="shared" si="3"/>
        <v>0.41482916884065801</v>
      </c>
      <c r="F38" s="617">
        <f t="shared" si="3"/>
        <v>-0.50647179441729584</v>
      </c>
      <c r="G38" s="617">
        <f t="shared" si="3"/>
        <v>-0.17322163076866071</v>
      </c>
      <c r="H38" s="617">
        <f t="shared" si="3"/>
        <v>-0.42691160045924548</v>
      </c>
      <c r="I38" s="617">
        <f t="shared" si="3"/>
        <v>0.39636646452569924</v>
      </c>
      <c r="J38" s="617">
        <f t="shared" si="3"/>
        <v>0.28944430142352484</v>
      </c>
      <c r="K38" s="617">
        <f t="shared" si="3"/>
        <v>-0.26836920186248392</v>
      </c>
      <c r="L38" s="617">
        <f t="shared" si="3"/>
        <v>-0.14303176422584274</v>
      </c>
    </row>
    <row r="39" spans="1:12">
      <c r="A39" s="611" t="s">
        <v>1474</v>
      </c>
      <c r="B39" s="617">
        <f t="shared" ref="B39:L39" si="4">100*(POWER(B32/B24, 1/8)-1)</f>
        <v>5.5487674984711077E-2</v>
      </c>
      <c r="C39" s="617">
        <f t="shared" si="4"/>
        <v>0.21190898222946952</v>
      </c>
      <c r="D39" s="617">
        <f t="shared" si="4"/>
        <v>1.0629613578432506</v>
      </c>
      <c r="E39" s="617">
        <f t="shared" si="4"/>
        <v>-0.18535169437560173</v>
      </c>
      <c r="F39" s="617">
        <f t="shared" si="4"/>
        <v>0.37936121995116867</v>
      </c>
      <c r="G39" s="617">
        <f t="shared" si="4"/>
        <v>0.27358275116660113</v>
      </c>
      <c r="H39" s="617">
        <f t="shared" si="4"/>
        <v>-0.13203590506651874</v>
      </c>
      <c r="I39" s="617">
        <f t="shared" si="4"/>
        <v>-0.80198541984013438</v>
      </c>
      <c r="J39" s="617">
        <f t="shared" si="4"/>
        <v>-0.86754858872323259</v>
      </c>
      <c r="K39" s="617">
        <f t="shared" si="4"/>
        <v>-1.0814251282974641</v>
      </c>
      <c r="L39" s="617">
        <f t="shared" si="4"/>
        <v>0.51637762967793321</v>
      </c>
    </row>
    <row r="40" spans="1:12">
      <c r="A40" s="611" t="s">
        <v>1500</v>
      </c>
      <c r="B40" s="611"/>
      <c r="C40" s="611"/>
      <c r="D40" s="611"/>
      <c r="E40" s="611"/>
      <c r="F40" s="611"/>
      <c r="G40" s="611"/>
      <c r="H40" s="611"/>
      <c r="I40" s="611"/>
      <c r="J40" s="611"/>
      <c r="K40" s="611"/>
      <c r="L40" s="611"/>
    </row>
    <row r="41" spans="1:12">
      <c r="A41" s="611" t="s">
        <v>1498</v>
      </c>
      <c r="B41" s="616">
        <f>100*(B34-B5)/B5</f>
        <v>5.8352605374630793</v>
      </c>
      <c r="C41" s="616">
        <f t="shared" ref="C41:L41" si="5">100*(C34-C5)/C5</f>
        <v>16.738886971447581</v>
      </c>
      <c r="D41" s="616">
        <f t="shared" si="5"/>
        <v>11.907389033986483</v>
      </c>
      <c r="E41" s="616">
        <f t="shared" si="5"/>
        <v>17.235002050807008</v>
      </c>
      <c r="F41" s="616">
        <f t="shared" si="5"/>
        <v>16.584008482617858</v>
      </c>
      <c r="G41" s="616">
        <f t="shared" si="5"/>
        <v>24.770101894037204</v>
      </c>
      <c r="H41" s="616">
        <f t="shared" si="5"/>
        <v>10.772436876798743</v>
      </c>
      <c r="I41" s="616">
        <f t="shared" si="5"/>
        <v>10.947872895442204</v>
      </c>
      <c r="J41" s="616">
        <f>100*(J34-J5)/J5</f>
        <v>13.737075416240881</v>
      </c>
      <c r="K41" s="616">
        <f t="shared" si="5"/>
        <v>5.8042324925516864</v>
      </c>
      <c r="L41" s="616">
        <f t="shared" si="5"/>
        <v>27.165602815487865</v>
      </c>
    </row>
    <row r="42" spans="1:12">
      <c r="A42" s="611" t="s">
        <v>1472</v>
      </c>
      <c r="B42" s="616">
        <f>100*(B13-B5)/B5</f>
        <v>9.3131793246551204</v>
      </c>
      <c r="C42" s="616">
        <f t="shared" ref="C42:L42" si="6">100*(C13-C5)/C5</f>
        <v>18.054969868957556</v>
      </c>
      <c r="D42" s="616">
        <f t="shared" si="6"/>
        <v>11.94644041100501</v>
      </c>
      <c r="E42" s="616">
        <f t="shared" si="6"/>
        <v>16.002907811652825</v>
      </c>
      <c r="F42" s="616">
        <f t="shared" si="6"/>
        <v>18.778354394027733</v>
      </c>
      <c r="G42" s="616">
        <f t="shared" si="6"/>
        <v>22.668623713348413</v>
      </c>
      <c r="H42" s="616">
        <f t="shared" si="6"/>
        <v>19.308747427490101</v>
      </c>
      <c r="I42" s="616">
        <f t="shared" si="6"/>
        <v>11.704819753704252</v>
      </c>
      <c r="J42" s="616">
        <f t="shared" si="6"/>
        <v>21.24870698209547</v>
      </c>
      <c r="K42" s="616">
        <f t="shared" si="6"/>
        <v>21.18873475719591</v>
      </c>
      <c r="L42" s="616">
        <f t="shared" si="6"/>
        <v>25.095971485893632</v>
      </c>
    </row>
    <row r="43" spans="1:12">
      <c r="A43" s="611" t="s">
        <v>1473</v>
      </c>
      <c r="B43" s="616">
        <f>100*(B24-B13)/B13</f>
        <v>-3.7004241823171458</v>
      </c>
      <c r="C43" s="616">
        <f t="shared" ref="C43:L43" si="7">100*(C24-C13)/C13</f>
        <v>0.53341124509881199</v>
      </c>
      <c r="D43" s="616">
        <f t="shared" si="7"/>
        <v>-5.180379431249361</v>
      </c>
      <c r="E43" s="616">
        <f t="shared" si="7"/>
        <v>4.6589543229623001</v>
      </c>
      <c r="F43" s="616">
        <f t="shared" si="7"/>
        <v>-5.432229284382168</v>
      </c>
      <c r="G43" s="616">
        <f t="shared" si="7"/>
        <v>-1.8890202498037689</v>
      </c>
      <c r="H43" s="616">
        <f t="shared" si="7"/>
        <v>-4.5970610771630414</v>
      </c>
      <c r="I43" s="616">
        <f t="shared" si="7"/>
        <v>4.4474752891861851</v>
      </c>
      <c r="J43" s="616">
        <f t="shared" si="7"/>
        <v>3.2303676528397807</v>
      </c>
      <c r="K43" s="616">
        <f t="shared" si="7"/>
        <v>-2.912766319611011</v>
      </c>
      <c r="L43" s="616">
        <f t="shared" si="7"/>
        <v>-1.5621456031519894</v>
      </c>
    </row>
    <row r="44" spans="1:12">
      <c r="A44" s="611" t="s">
        <v>1474</v>
      </c>
      <c r="B44" s="616">
        <f>100*(B32-B24)/B24</f>
        <v>0.44476444422664224</v>
      </c>
      <c r="C44" s="616">
        <f t="shared" ref="C44:L44" si="8">100*(C32-C24)/C24</f>
        <v>1.7078988047424346</v>
      </c>
      <c r="D44" s="616">
        <f t="shared" si="8"/>
        <v>8.8268750552730513</v>
      </c>
      <c r="E44" s="616">
        <f t="shared" si="8"/>
        <v>-1.4732296620390659</v>
      </c>
      <c r="F44" s="616">
        <f t="shared" si="8"/>
        <v>3.0754931318542105</v>
      </c>
      <c r="G44" s="616">
        <f t="shared" si="8"/>
        <v>2.209734379578026</v>
      </c>
      <c r="H44" s="616">
        <f t="shared" si="8"/>
        <v>-1.0514187351502169</v>
      </c>
      <c r="I44" s="616">
        <f t="shared" si="8"/>
        <v>-6.2386526145146357</v>
      </c>
      <c r="J44" s="616">
        <f t="shared" si="8"/>
        <v>-6.7332665085929992</v>
      </c>
      <c r="K44" s="616">
        <f t="shared" si="8"/>
        <v>-8.3309339762133998</v>
      </c>
      <c r="L44" s="616">
        <f t="shared" si="8"/>
        <v>4.2064579385881595</v>
      </c>
    </row>
    <row r="46" spans="1:12">
      <c r="A46" s="611" t="s">
        <v>1551</v>
      </c>
    </row>
  </sheetData>
  <pageMargins left="0.7" right="0.7" top="0.75" bottom="0.75" header="0.3" footer="0.3"/>
</worksheet>
</file>

<file path=xl/worksheets/sheet172.xml><?xml version="1.0" encoding="utf-8"?>
<worksheet xmlns="http://schemas.openxmlformats.org/spreadsheetml/2006/main" xmlns:r="http://schemas.openxmlformats.org/officeDocument/2006/relationships">
  <dimension ref="A1:L46"/>
  <sheetViews>
    <sheetView topLeftCell="A22" workbookViewId="0">
      <selection activeCell="E9" sqref="E9"/>
    </sheetView>
  </sheetViews>
  <sheetFormatPr defaultRowHeight="12.75"/>
  <cols>
    <col min="1" max="16384" width="9" style="618"/>
  </cols>
  <sheetData>
    <row r="1" spans="1:12">
      <c r="A1" s="611" t="s">
        <v>1522</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30">
        <f>'4'!H19</f>
        <v>0.62716341973195355</v>
      </c>
      <c r="C5" s="630">
        <f>'4'!O19</f>
        <v>0.44668153963062018</v>
      </c>
      <c r="D5" s="630">
        <f>'4'!V19</f>
        <v>0.54549666180422118</v>
      </c>
      <c r="E5" s="630">
        <f>'4'!AC19</f>
        <v>0.55266053549630789</v>
      </c>
      <c r="F5" s="630">
        <f>'4'!AJ19</f>
        <v>0.51960699414286116</v>
      </c>
      <c r="G5" s="630">
        <f>'4'!AQ19</f>
        <v>0.51345985139172301</v>
      </c>
      <c r="H5" s="630">
        <f>'4'!AX19</f>
        <v>0.64729698800191615</v>
      </c>
      <c r="I5" s="630">
        <f>'4'!BE19</f>
        <v>0.68022034958819799</v>
      </c>
      <c r="J5" s="630">
        <f>'4'!BL19</f>
        <v>0.73375866153446201</v>
      </c>
      <c r="K5" s="630">
        <f>'4'!BS19</f>
        <v>0.73677405397597096</v>
      </c>
      <c r="L5" s="630">
        <f>'4'!BZ19</f>
        <v>0.6421244412262197</v>
      </c>
    </row>
    <row r="6" spans="1:12">
      <c r="A6" s="611">
        <f t="shared" ref="A6:A34" si="0">A5+1</f>
        <v>1982</v>
      </c>
      <c r="B6" s="630">
        <f>'4'!H20</f>
        <v>0.50087979583786735</v>
      </c>
      <c r="C6" s="630">
        <f>'4'!O20</f>
        <v>0.34157430139520367</v>
      </c>
      <c r="D6" s="630">
        <f>'4'!V20</f>
        <v>0.50146192143075141</v>
      </c>
      <c r="E6" s="630">
        <f>'4'!AC20</f>
        <v>0.44646604649620314</v>
      </c>
      <c r="F6" s="630">
        <f>'4'!AJ20</f>
        <v>0.42766990234352897</v>
      </c>
      <c r="G6" s="630">
        <f>'4'!AQ20</f>
        <v>0.3837096693987419</v>
      </c>
      <c r="H6" s="630">
        <f>'4'!AX20</f>
        <v>0.53113017952698383</v>
      </c>
      <c r="I6" s="630">
        <f>'4'!BE20</f>
        <v>0.59504297749778801</v>
      </c>
      <c r="J6" s="630">
        <f>'4'!BL20</f>
        <v>0.67648444604705826</v>
      </c>
      <c r="K6" s="630">
        <f>'4'!BS20</f>
        <v>0.60654715232037337</v>
      </c>
      <c r="L6" s="630">
        <f>'4'!BZ20</f>
        <v>0.44755084413118673</v>
      </c>
    </row>
    <row r="7" spans="1:12">
      <c r="A7" s="611">
        <f t="shared" si="0"/>
        <v>1983</v>
      </c>
      <c r="B7" s="630">
        <f>'4'!H21</f>
        <v>0.46051387786482911</v>
      </c>
      <c r="C7" s="630">
        <f>'4'!O21</f>
        <v>0.2672195977728426</v>
      </c>
      <c r="D7" s="630">
        <f>'4'!V21</f>
        <v>0.51784287539089235</v>
      </c>
      <c r="E7" s="630">
        <f>'4'!AC21</f>
        <v>0.422257418044718</v>
      </c>
      <c r="F7" s="630">
        <f>'4'!AJ21</f>
        <v>0.39626808753189691</v>
      </c>
      <c r="G7" s="630">
        <f>'4'!AQ21</f>
        <v>0.37706781073333495</v>
      </c>
      <c r="H7" s="630">
        <f>'4'!AX21</f>
        <v>0.51360052276398216</v>
      </c>
      <c r="I7" s="630">
        <f>'4'!BE21</f>
        <v>0.55818447746672628</v>
      </c>
      <c r="J7" s="630">
        <f>'4'!BL21</f>
        <v>0.62355503012523505</v>
      </c>
      <c r="K7" s="630">
        <f>'4'!BS21</f>
        <v>0.49355013783349405</v>
      </c>
      <c r="L7" s="630">
        <f>'4'!BZ21</f>
        <v>0.38003474624862005</v>
      </c>
    </row>
    <row r="8" spans="1:12">
      <c r="A8" s="611">
        <f t="shared" si="0"/>
        <v>1984</v>
      </c>
      <c r="B8" s="630">
        <f>'4'!H22</f>
        <v>0.48758855530939671</v>
      </c>
      <c r="C8" s="630">
        <f>'4'!O22</f>
        <v>0.17751782313283582</v>
      </c>
      <c r="D8" s="630">
        <f>'4'!V22</f>
        <v>0.5240034169397132</v>
      </c>
      <c r="E8" s="630">
        <f>'4'!AC22</f>
        <v>0.43620959598566017</v>
      </c>
      <c r="F8" s="630">
        <f>'4'!AJ22</f>
        <v>0.41572329039817801</v>
      </c>
      <c r="G8" s="630">
        <f>'4'!AQ22</f>
        <v>0.42281230218526911</v>
      </c>
      <c r="H8" s="630">
        <f>'4'!AX22</f>
        <v>0.56620554192779238</v>
      </c>
      <c r="I8" s="630">
        <f>'4'!BE22</f>
        <v>0.59367592451969875</v>
      </c>
      <c r="J8" s="630">
        <f>'4'!BL22</f>
        <v>0.60741799543996899</v>
      </c>
      <c r="K8" s="630">
        <f>'4'!BS22</f>
        <v>0.47856340121352059</v>
      </c>
      <c r="L8" s="630">
        <f>'4'!BZ22</f>
        <v>0.33314264179499453</v>
      </c>
    </row>
    <row r="9" spans="1:12">
      <c r="A9" s="611">
        <f t="shared" si="0"/>
        <v>1985</v>
      </c>
      <c r="B9" s="630">
        <f>'4'!H23</f>
        <v>0.51673761693154863</v>
      </c>
      <c r="C9" s="630">
        <f>'4'!O23</f>
        <v>0.18044010484068429</v>
      </c>
      <c r="D9" s="630">
        <f>'4'!V23</f>
        <v>0.46664999387367406</v>
      </c>
      <c r="E9" s="630">
        <f>'4'!AC23</f>
        <v>0.41599806518170479</v>
      </c>
      <c r="F9" s="630">
        <f>'4'!AJ23</f>
        <v>0.38365985929444235</v>
      </c>
      <c r="G9" s="630">
        <f>'4'!AQ23</f>
        <v>0.45882265238006104</v>
      </c>
      <c r="H9" s="630">
        <f>'4'!AX23</f>
        <v>0.60793620032618445</v>
      </c>
      <c r="I9" s="630">
        <f>'4'!BE23</f>
        <v>0.60453806312380531</v>
      </c>
      <c r="J9" s="630">
        <f>'4'!BL23</f>
        <v>0.59313977885382374</v>
      </c>
      <c r="K9" s="630">
        <f>'4'!BS23</f>
        <v>0.53210760478083252</v>
      </c>
      <c r="L9" s="630">
        <f>'4'!BZ23</f>
        <v>0.34602678624090544</v>
      </c>
    </row>
    <row r="10" spans="1:12">
      <c r="A10" s="611">
        <f t="shared" si="0"/>
        <v>1986</v>
      </c>
      <c r="B10" s="630">
        <f>'4'!H24</f>
        <v>0.55666806660108725</v>
      </c>
      <c r="C10" s="630">
        <f>'4'!O24</f>
        <v>0.24694451525002167</v>
      </c>
      <c r="D10" s="630">
        <f>'4'!V24</f>
        <v>0.49867690647479701</v>
      </c>
      <c r="E10" s="630">
        <f>'4'!AC24</f>
        <v>0.42338012875235076</v>
      </c>
      <c r="F10" s="630">
        <f>'4'!AJ24</f>
        <v>0.41662176843613125</v>
      </c>
      <c r="G10" s="630">
        <f>'4'!AQ24</f>
        <v>0.51121847420255295</v>
      </c>
      <c r="H10" s="630">
        <f>'4'!AX24</f>
        <v>0.64759407307840389</v>
      </c>
      <c r="I10" s="630">
        <f>'4'!BE24</f>
        <v>0.62879059049788877</v>
      </c>
      <c r="J10" s="630">
        <f>'4'!BL24</f>
        <v>0.6202964938500215</v>
      </c>
      <c r="K10" s="630">
        <f>'4'!BS24</f>
        <v>0.53352327353214091</v>
      </c>
      <c r="L10" s="630">
        <f>'4'!BZ24</f>
        <v>0.42083431931398163</v>
      </c>
    </row>
    <row r="11" spans="1:12">
      <c r="A11" s="611">
        <f t="shared" si="0"/>
        <v>1987</v>
      </c>
      <c r="B11" s="630">
        <f>'4'!H25</f>
        <v>0.59373240345125977</v>
      </c>
      <c r="C11" s="630">
        <f>'4'!O25</f>
        <v>0.30258468202933031</v>
      </c>
      <c r="D11" s="630">
        <f>'4'!V25</f>
        <v>0.54367927144496919</v>
      </c>
      <c r="E11" s="630">
        <f>'4'!AC25</f>
        <v>0.48327279395069467</v>
      </c>
      <c r="F11" s="630">
        <f>'4'!AJ25</f>
        <v>0.4784760819987956</v>
      </c>
      <c r="G11" s="630">
        <f>'4'!AQ25</f>
        <v>0.54645437637296768</v>
      </c>
      <c r="H11" s="630">
        <f>'4'!AX25</f>
        <v>0.68319292742582627</v>
      </c>
      <c r="I11" s="630">
        <f>'4'!BE25</f>
        <v>0.64319124038033437</v>
      </c>
      <c r="J11" s="630">
        <f>'4'!BL25</f>
        <v>0.64999831636133776</v>
      </c>
      <c r="K11" s="630">
        <f>'4'!BS25</f>
        <v>0.55250731867181513</v>
      </c>
      <c r="L11" s="630">
        <f>'4'!BZ25</f>
        <v>0.45336274995454601</v>
      </c>
    </row>
    <row r="12" spans="1:12">
      <c r="A12" s="611">
        <f t="shared" si="0"/>
        <v>1988</v>
      </c>
      <c r="B12" s="630">
        <f>'4'!H26</f>
        <v>0.64201381871674967</v>
      </c>
      <c r="C12" s="630">
        <f>'4'!O26</f>
        <v>0.38797652709840591</v>
      </c>
      <c r="D12" s="630">
        <f>'4'!V26</f>
        <v>0.55029279426626787</v>
      </c>
      <c r="E12" s="630">
        <f>'4'!AC26</f>
        <v>0.56928917539407642</v>
      </c>
      <c r="F12" s="630">
        <f>'4'!AJ26</f>
        <v>0.55232519678975511</v>
      </c>
      <c r="G12" s="630">
        <f>'4'!AQ26</f>
        <v>0.5831961633429672</v>
      </c>
      <c r="H12" s="630">
        <f>'4'!AX26</f>
        <v>0.73346736123635148</v>
      </c>
      <c r="I12" s="630">
        <f>'4'!BE26</f>
        <v>0.63570563955356607</v>
      </c>
      <c r="J12" s="630">
        <f>'4'!BL26</f>
        <v>0.65134698393580892</v>
      </c>
      <c r="K12" s="630">
        <f>'4'!BS26</f>
        <v>0.61796226828278211</v>
      </c>
      <c r="L12" s="630">
        <f>'4'!BZ26</f>
        <v>0.53577026592974764</v>
      </c>
    </row>
    <row r="13" spans="1:12">
      <c r="A13" s="611">
        <f t="shared" si="0"/>
        <v>1989</v>
      </c>
      <c r="B13" s="630">
        <f>'4'!H27</f>
        <v>0.6565907646090231</v>
      </c>
      <c r="C13" s="630">
        <f>'4'!O27</f>
        <v>0.43650793650793646</v>
      </c>
      <c r="D13" s="630">
        <f>'4'!V27</f>
        <v>0.48569354474773169</v>
      </c>
      <c r="E13" s="630">
        <f>'4'!AC27</f>
        <v>0.59154134669244196</v>
      </c>
      <c r="F13" s="630">
        <f>'4'!AJ27</f>
        <v>0.53384813851025048</v>
      </c>
      <c r="G13" s="630">
        <f>'4'!AQ27</f>
        <v>0.58317763341596884</v>
      </c>
      <c r="H13" s="630">
        <f>'4'!AX27</f>
        <v>0.73138482419383011</v>
      </c>
      <c r="I13" s="630">
        <f>'4'!BE27</f>
        <v>0.64659968673594193</v>
      </c>
      <c r="J13" s="630">
        <f>'4'!BL27</f>
        <v>0.65381466989121306</v>
      </c>
      <c r="K13" s="630">
        <f>'4'!BS27</f>
        <v>0.65659920465900967</v>
      </c>
      <c r="L13" s="630">
        <f>'4'!BZ27</f>
        <v>0.58572946398525383</v>
      </c>
    </row>
    <row r="14" spans="1:12">
      <c r="A14" s="611">
        <f t="shared" si="0"/>
        <v>1990</v>
      </c>
      <c r="B14" s="630">
        <f>'4'!H28</f>
        <v>0.63533818385180751</v>
      </c>
      <c r="C14" s="630">
        <f>'4'!O28</f>
        <v>0.35775778651749873</v>
      </c>
      <c r="D14" s="630">
        <f>'4'!V28</f>
        <v>0.44499196543036029</v>
      </c>
      <c r="E14" s="630">
        <f>'4'!AC28</f>
        <v>0.55625578683964783</v>
      </c>
      <c r="F14" s="630">
        <f>'4'!AJ28</f>
        <v>0.53693402320661332</v>
      </c>
      <c r="G14" s="630">
        <f>'4'!AQ28</f>
        <v>0.55150395149805098</v>
      </c>
      <c r="H14" s="630">
        <f>'4'!AX28</f>
        <v>0.69331211635798706</v>
      </c>
      <c r="I14" s="630">
        <f>'4'!BE28</f>
        <v>0.65198112355172333</v>
      </c>
      <c r="J14" s="630">
        <f>'4'!BL28</f>
        <v>0.66312737794335808</v>
      </c>
      <c r="K14" s="630">
        <f>'4'!BS28</f>
        <v>0.66769807056910757</v>
      </c>
      <c r="L14" s="630">
        <f>'4'!BZ28</f>
        <v>0.62042699320479011</v>
      </c>
    </row>
    <row r="15" spans="1:12">
      <c r="A15" s="611">
        <f t="shared" si="0"/>
        <v>1991</v>
      </c>
      <c r="B15" s="630">
        <f>'4'!H29</f>
        <v>0.54378560872321713</v>
      </c>
      <c r="C15" s="630">
        <f>'4'!O29</f>
        <v>0.32149528004387762</v>
      </c>
      <c r="D15" s="630">
        <f>'4'!V29</f>
        <v>0.36458968155007027</v>
      </c>
      <c r="E15" s="630">
        <f>'4'!AC29</f>
        <v>0.49885374566181417</v>
      </c>
      <c r="F15" s="630">
        <f>'4'!AJ29</f>
        <v>0.52182093665702523</v>
      </c>
      <c r="G15" s="630">
        <f>'4'!AQ29</f>
        <v>0.48279921004602094</v>
      </c>
      <c r="H15" s="630">
        <f>'4'!AX29</f>
        <v>0.55601334235992739</v>
      </c>
      <c r="I15" s="630">
        <f>'4'!BE29</f>
        <v>0.60280361834028184</v>
      </c>
      <c r="J15" s="630">
        <f>'4'!BL29</f>
        <v>0.65051790528055431</v>
      </c>
      <c r="K15" s="630">
        <f>'4'!BS29</f>
        <v>0.61565914157105639</v>
      </c>
      <c r="L15" s="630">
        <f>'4'!BZ29</f>
        <v>0.56056624045653547</v>
      </c>
    </row>
    <row r="16" spans="1:12">
      <c r="A16" s="611">
        <f t="shared" si="0"/>
        <v>1992</v>
      </c>
      <c r="B16" s="630">
        <f>'4'!H30</f>
        <v>0.50021830404869583</v>
      </c>
      <c r="C16" s="630">
        <f>'4'!O30</f>
        <v>0.23264297654143756</v>
      </c>
      <c r="D16" s="630">
        <f>'4'!V30</f>
        <v>0.3160068687367461</v>
      </c>
      <c r="E16" s="630">
        <f>'4'!AC30</f>
        <v>0.45288037848123164</v>
      </c>
      <c r="F16" s="630">
        <f>'4'!AJ30</f>
        <v>0.50692222696631173</v>
      </c>
      <c r="G16" s="630">
        <f>'4'!AQ30</f>
        <v>0.45394162459738124</v>
      </c>
      <c r="H16" s="630">
        <f>'4'!AX30</f>
        <v>0.49642072175362045</v>
      </c>
      <c r="I16" s="630">
        <f>'4'!BE30</f>
        <v>0.56386965935398181</v>
      </c>
      <c r="J16" s="630">
        <f>'4'!BL30</f>
        <v>0.62343320861797091</v>
      </c>
      <c r="K16" s="630">
        <f>'4'!BS30</f>
        <v>0.5556327209555032</v>
      </c>
      <c r="L16" s="630">
        <f>'4'!BZ30</f>
        <v>0.54206201413855259</v>
      </c>
    </row>
    <row r="17" spans="1:12">
      <c r="A17" s="611">
        <f t="shared" si="0"/>
        <v>1993</v>
      </c>
      <c r="B17" s="630">
        <f>'4'!H31</f>
        <v>0.48461175423988323</v>
      </c>
      <c r="C17" s="630">
        <f>'4'!O31</f>
        <v>0.20570158018555207</v>
      </c>
      <c r="D17" s="630">
        <f>'4'!V31</f>
        <v>0.35113934758100995</v>
      </c>
      <c r="E17" s="630">
        <f>'4'!AC31</f>
        <v>0.39392007295917619</v>
      </c>
      <c r="F17" s="630">
        <f>'4'!AJ31</f>
        <v>0.52312168249664714</v>
      </c>
      <c r="G17" s="630">
        <f>'4'!AQ31</f>
        <v>0.42547772006884016</v>
      </c>
      <c r="H17" s="630">
        <f>'4'!AX31</f>
        <v>0.48490626859957031</v>
      </c>
      <c r="I17" s="630">
        <f>'4'!BE31</f>
        <v>0.55837705629031509</v>
      </c>
      <c r="J17" s="630">
        <f>'4'!BL31</f>
        <v>0.60262290099453331</v>
      </c>
      <c r="K17" s="630">
        <f>'4'!BS31</f>
        <v>0.54443032381702794</v>
      </c>
      <c r="L17" s="630">
        <f>'4'!BZ31</f>
        <v>0.55364153018890627</v>
      </c>
    </row>
    <row r="18" spans="1:12">
      <c r="A18" s="611">
        <f t="shared" si="0"/>
        <v>1994</v>
      </c>
      <c r="B18" s="630">
        <f>'4'!H32</f>
        <v>0.51476895171495363</v>
      </c>
      <c r="C18" s="630">
        <f>'4'!O32</f>
        <v>0.18320416876072659</v>
      </c>
      <c r="D18" s="630">
        <f>'4'!V32</f>
        <v>0.34489217041727482</v>
      </c>
      <c r="E18" s="630">
        <f>'4'!AC32</f>
        <v>0.4215030088349126</v>
      </c>
      <c r="F18" s="630">
        <f>'4'!AJ32</f>
        <v>0.51423486113601879</v>
      </c>
      <c r="G18" s="630">
        <f>'4'!AQ32</f>
        <v>0.45146871036623015</v>
      </c>
      <c r="H18" s="630">
        <f>'4'!AX32</f>
        <v>0.5274172519160204</v>
      </c>
      <c r="I18" s="630">
        <f>'4'!BE32</f>
        <v>0.56837505831095703</v>
      </c>
      <c r="J18" s="630">
        <f>'4'!BL32</f>
        <v>0.65234421724126856</v>
      </c>
      <c r="K18" s="630">
        <f>'4'!BS32</f>
        <v>0.57035912830351676</v>
      </c>
      <c r="L18" s="630">
        <f>'4'!BZ32</f>
        <v>0.56440486602289419</v>
      </c>
    </row>
    <row r="19" spans="1:12">
      <c r="A19" s="611">
        <f t="shared" si="0"/>
        <v>1995</v>
      </c>
      <c r="B19" s="630">
        <f>'4'!H33</f>
        <v>0.54307895709501042</v>
      </c>
      <c r="C19" s="630">
        <f>'4'!O33</f>
        <v>0.25200728289438429</v>
      </c>
      <c r="D19" s="630">
        <f>'4'!V33</f>
        <v>0.40239425416917018</v>
      </c>
      <c r="E19" s="630">
        <f>'4'!AC33</f>
        <v>0.46232251910304667</v>
      </c>
      <c r="F19" s="630">
        <f>'4'!AJ33</f>
        <v>0.54102067100290052</v>
      </c>
      <c r="G19" s="630">
        <f>'4'!AQ33</f>
        <v>0.47556862918582532</v>
      </c>
      <c r="H19" s="630">
        <f>'4'!AX33</f>
        <v>0.55642782643468014</v>
      </c>
      <c r="I19" s="630">
        <f>'4'!BE33</f>
        <v>0.62822302161863508</v>
      </c>
      <c r="J19" s="630">
        <f>'4'!BL33</f>
        <v>0.6500631407512375</v>
      </c>
      <c r="K19" s="630">
        <f>'4'!BS33</f>
        <v>0.6053364594933105</v>
      </c>
      <c r="L19" s="630">
        <f>'4'!BZ33</f>
        <v>0.58011954699653834</v>
      </c>
    </row>
    <row r="20" spans="1:12">
      <c r="A20" s="611">
        <f t="shared" si="0"/>
        <v>1996</v>
      </c>
      <c r="B20" s="630">
        <f>'4'!H34</f>
        <v>0.53473946342219814</v>
      </c>
      <c r="C20" s="630">
        <f>'4'!O34</f>
        <v>0.21007462232272467</v>
      </c>
      <c r="D20" s="630">
        <f>'4'!V34</f>
        <v>0.3926751944298002</v>
      </c>
      <c r="E20" s="630">
        <f>'4'!AC34</f>
        <v>0.44693609967939363</v>
      </c>
      <c r="F20" s="630">
        <f>'4'!AJ34</f>
        <v>0.52449035069002292</v>
      </c>
      <c r="G20" s="630">
        <f>'4'!AQ34</f>
        <v>0.45887670979623418</v>
      </c>
      <c r="H20" s="630">
        <f>'4'!AX34</f>
        <v>0.54165837211746037</v>
      </c>
      <c r="I20" s="630">
        <f>'4'!BE34</f>
        <v>0.6264024329687401</v>
      </c>
      <c r="J20" s="630">
        <f>'4'!BL34</f>
        <v>0.65258396710913935</v>
      </c>
      <c r="K20" s="630">
        <f>'4'!BS34</f>
        <v>0.63720415898078619</v>
      </c>
      <c r="L20" s="630">
        <f>'4'!BZ34</f>
        <v>0.56797783381337985</v>
      </c>
    </row>
    <row r="21" spans="1:12">
      <c r="A21" s="611">
        <f t="shared" si="0"/>
        <v>1997</v>
      </c>
      <c r="B21" s="630">
        <f>'4'!H35</f>
        <v>0.54654914883426053</v>
      </c>
      <c r="C21" s="630">
        <f>'4'!O35</f>
        <v>0.23724875249376551</v>
      </c>
      <c r="D21" s="630">
        <f>'4'!V35</f>
        <v>0.36163669976037544</v>
      </c>
      <c r="E21" s="630">
        <f>'4'!AC35</f>
        <v>0.44810635804647825</v>
      </c>
      <c r="F21" s="630">
        <f>'4'!AJ35</f>
        <v>0.45602153060597606</v>
      </c>
      <c r="G21" s="630">
        <f>'4'!AQ35</f>
        <v>0.4648198816722352</v>
      </c>
      <c r="H21" s="630">
        <f>'4'!AX35</f>
        <v>0.56010257664653462</v>
      </c>
      <c r="I21" s="630">
        <f>'4'!BE35</f>
        <v>0.64890715249217346</v>
      </c>
      <c r="J21" s="630">
        <f>'4'!BL35</f>
        <v>0.67055657812591152</v>
      </c>
      <c r="K21" s="630">
        <f>'4'!BS35</f>
        <v>0.66391782604501659</v>
      </c>
      <c r="L21" s="630">
        <f>'4'!BZ35</f>
        <v>0.56810880018912002</v>
      </c>
    </row>
    <row r="22" spans="1:12">
      <c r="A22" s="611">
        <f t="shared" si="0"/>
        <v>1998</v>
      </c>
      <c r="B22" s="630">
        <f>'4'!H36</f>
        <v>0.58018198931594456</v>
      </c>
      <c r="C22" s="630">
        <f>'4'!O36</f>
        <v>0.25654662816926477</v>
      </c>
      <c r="D22" s="630">
        <f>'4'!V36</f>
        <v>0.42466634468878139</v>
      </c>
      <c r="E22" s="630">
        <f>'4'!AC36</f>
        <v>0.52073549943215314</v>
      </c>
      <c r="F22" s="630">
        <f>'4'!AJ36</f>
        <v>0.47479369119265724</v>
      </c>
      <c r="G22" s="630">
        <f>'4'!AQ36</f>
        <v>0.50973427200419374</v>
      </c>
      <c r="H22" s="630">
        <f>'4'!AX36</f>
        <v>0.60799188584327835</v>
      </c>
      <c r="I22" s="630">
        <f>'4'!BE36</f>
        <v>0.69511545275427367</v>
      </c>
      <c r="J22" s="630">
        <f>'4'!BL36</f>
        <v>0.68151786947326265</v>
      </c>
      <c r="K22" s="630">
        <f>'4'!BS36</f>
        <v>0.68194422995162995</v>
      </c>
      <c r="L22" s="630">
        <f>'4'!BZ36</f>
        <v>0.55632316739176757</v>
      </c>
    </row>
    <row r="23" spans="1:12">
      <c r="A23" s="611">
        <f t="shared" si="0"/>
        <v>1999</v>
      </c>
      <c r="B23" s="630">
        <f>'4'!H37</f>
        <v>0.60787739571867794</v>
      </c>
      <c r="C23" s="630">
        <f>'4'!O37</f>
        <v>0.29704486001861674</v>
      </c>
      <c r="D23" s="630">
        <f>'4'!V37</f>
        <v>0.3962994435823643</v>
      </c>
      <c r="E23" s="630">
        <f>'4'!AC37</f>
        <v>0.55975307929130536</v>
      </c>
      <c r="F23" s="630">
        <f>'4'!AJ37</f>
        <v>0.56469084380458645</v>
      </c>
      <c r="G23" s="630">
        <f>'4'!AQ37</f>
        <v>0.55045783424650629</v>
      </c>
      <c r="H23" s="630">
        <f>'4'!AX37</f>
        <v>0.64158634970655937</v>
      </c>
      <c r="I23" s="630">
        <f>'4'!BE37</f>
        <v>0.6909764910155588</v>
      </c>
      <c r="J23" s="630">
        <f>'4'!BL37</f>
        <v>0.67569384353101791</v>
      </c>
      <c r="K23" s="630">
        <f>'4'!BS37</f>
        <v>0.68093261958419127</v>
      </c>
      <c r="L23" s="630">
        <f>'4'!BZ37</f>
        <v>0.5741089267096674</v>
      </c>
    </row>
    <row r="24" spans="1:12">
      <c r="A24" s="611">
        <f t="shared" si="0"/>
        <v>2000</v>
      </c>
      <c r="B24" s="630">
        <f>'4'!H38</f>
        <v>0.63921024790120529</v>
      </c>
      <c r="C24" s="630">
        <f>'4'!O38</f>
        <v>0.29738161688122805</v>
      </c>
      <c r="D24" s="630">
        <f>'4'!V38</f>
        <v>0.50207719159473874</v>
      </c>
      <c r="E24" s="630">
        <f>'4'!AC38</f>
        <v>0.58488060502754602</v>
      </c>
      <c r="F24" s="630">
        <f>'4'!AJ38</f>
        <v>0.56629182645776899</v>
      </c>
      <c r="G24" s="630">
        <f>'4'!AQ38</f>
        <v>0.58302055010949216</v>
      </c>
      <c r="H24" s="630">
        <f>'4'!AX38</f>
        <v>0.66536325631106219</v>
      </c>
      <c r="I24" s="630">
        <f>'4'!BE38</f>
        <v>0.71799279697287899</v>
      </c>
      <c r="J24" s="630">
        <f>'4'!BL38</f>
        <v>0.71377449013258221</v>
      </c>
      <c r="K24" s="630">
        <f>'4'!BS38</f>
        <v>0.70057307567697147</v>
      </c>
      <c r="L24" s="630">
        <f>'4'!BZ38</f>
        <v>0.61576712506862341</v>
      </c>
    </row>
    <row r="25" spans="1:12">
      <c r="A25" s="611">
        <f t="shared" si="0"/>
        <v>2001</v>
      </c>
      <c r="B25" s="630">
        <f>'4'!H39</f>
        <v>0.62562189614893116</v>
      </c>
      <c r="C25" s="630">
        <f>'4'!O39</f>
        <v>0.33942271526296652</v>
      </c>
      <c r="D25" s="630">
        <f>'4'!V39</f>
        <v>0.50617459915153951</v>
      </c>
      <c r="E25" s="630">
        <f>'4'!AC39</f>
        <v>0.55515343483134472</v>
      </c>
      <c r="F25" s="630">
        <f>'4'!AJ39</f>
        <v>0.52707688131206298</v>
      </c>
      <c r="G25" s="630">
        <f>'4'!AQ39</f>
        <v>0.57372628184808216</v>
      </c>
      <c r="H25" s="630">
        <f>'4'!AX39</f>
        <v>0.64552272544442957</v>
      </c>
      <c r="I25" s="630">
        <f>'4'!BE39</f>
        <v>0.71395127573952244</v>
      </c>
      <c r="J25" s="630">
        <f>'4'!BL39</f>
        <v>0.68025381111484651</v>
      </c>
      <c r="K25" s="630">
        <f>'4'!BS39</f>
        <v>0.71234367423347456</v>
      </c>
      <c r="L25" s="630">
        <f>'4'!BZ39</f>
        <v>0.59887659412010397</v>
      </c>
    </row>
    <row r="26" spans="1:12">
      <c r="A26" s="611">
        <f t="shared" si="0"/>
        <v>2002</v>
      </c>
      <c r="B26" s="630">
        <f>'4'!H40</f>
        <v>0.60495416018006209</v>
      </c>
      <c r="C26" s="630">
        <f>'4'!O40</f>
        <v>0.31143358782519454</v>
      </c>
      <c r="D26" s="630">
        <f>'4'!V40</f>
        <v>0.50192280826327984</v>
      </c>
      <c r="E26" s="630">
        <f>'4'!AC40</f>
        <v>0.56142726434737555</v>
      </c>
      <c r="F26" s="630">
        <f>'4'!AJ40</f>
        <v>0.56918294737752195</v>
      </c>
      <c r="G26" s="630">
        <f>'4'!AQ40</f>
        <v>0.57761402232830172</v>
      </c>
      <c r="H26" s="630">
        <f>'4'!AX40</f>
        <v>0.6084883201002218</v>
      </c>
      <c r="I26" s="630">
        <f>'4'!BE40</f>
        <v>0.71613378323500665</v>
      </c>
      <c r="J26" s="630">
        <f>'4'!BL40</f>
        <v>0.68796202147447305</v>
      </c>
      <c r="K26" s="630">
        <f>'4'!BS40</f>
        <v>0.69226645587868729</v>
      </c>
      <c r="L26" s="630">
        <f>'4'!BZ40</f>
        <v>0.56592853186548409</v>
      </c>
    </row>
    <row r="27" spans="1:12">
      <c r="A27" s="611">
        <f t="shared" si="0"/>
        <v>2003</v>
      </c>
      <c r="B27" s="630">
        <f>'4'!H41</f>
        <v>0.60822500660909296</v>
      </c>
      <c r="C27" s="630">
        <f>'4'!O41</f>
        <v>0.30960708289215877</v>
      </c>
      <c r="D27" s="630">
        <f>'4'!V41</f>
        <v>0.54512877583023522</v>
      </c>
      <c r="E27" s="630">
        <f>'4'!AC41</f>
        <v>0.58227645879684853</v>
      </c>
      <c r="F27" s="630">
        <f>'4'!AJ41</f>
        <v>0.55998695413140287</v>
      </c>
      <c r="G27" s="630">
        <f>'4'!AQ41</f>
        <v>0.55315747479478417</v>
      </c>
      <c r="H27" s="630">
        <f>'4'!AX41</f>
        <v>0.62141275380425076</v>
      </c>
      <c r="I27" s="630">
        <f>'4'!BE41</f>
        <v>0.71857255933680031</v>
      </c>
      <c r="J27" s="630">
        <f>'4'!BL41</f>
        <v>0.69076455322131214</v>
      </c>
      <c r="K27" s="630">
        <f>'4'!BS41</f>
        <v>0.70116096408381678</v>
      </c>
      <c r="L27" s="630">
        <f>'4'!BZ41</f>
        <v>0.58651120873157858</v>
      </c>
    </row>
    <row r="28" spans="1:12">
      <c r="A28" s="611">
        <f t="shared" si="0"/>
        <v>2004</v>
      </c>
      <c r="B28" s="630">
        <f>'4'!H42</f>
        <v>0.62328707049519183</v>
      </c>
      <c r="C28" s="630">
        <f>'4'!O42</f>
        <v>0.34725612570453035</v>
      </c>
      <c r="D28" s="630">
        <f>'4'!V42</f>
        <v>0.53491624372846502</v>
      </c>
      <c r="E28" s="630">
        <f>'4'!AC42</f>
        <v>0.59368827958744286</v>
      </c>
      <c r="F28" s="630">
        <f>'4'!AJ42</f>
        <v>0.58408252393618243</v>
      </c>
      <c r="G28" s="630">
        <f>'4'!AQ42</f>
        <v>0.58248576800261498</v>
      </c>
      <c r="H28" s="630">
        <f>'4'!AX42</f>
        <v>0.62360535049855859</v>
      </c>
      <c r="I28" s="630">
        <f>'4'!BE42</f>
        <v>0.69920927690740986</v>
      </c>
      <c r="J28" s="630">
        <f>'4'!BL42</f>
        <v>0.70322354130809273</v>
      </c>
      <c r="K28" s="630">
        <f>'4'!BS42</f>
        <v>0.71224497885864513</v>
      </c>
      <c r="L28" s="630">
        <f>'4'!BZ42</f>
        <v>0.61738124626163737</v>
      </c>
    </row>
    <row r="29" spans="1:12">
      <c r="A29" s="611">
        <f t="shared" si="0"/>
        <v>2005</v>
      </c>
      <c r="B29" s="630">
        <f>'4'!H43</f>
        <v>0.63797905373623265</v>
      </c>
      <c r="C29" s="630">
        <f>'4'!O43</f>
        <v>0.37079992956400154</v>
      </c>
      <c r="D29" s="630">
        <f>'4'!V43</f>
        <v>0.55179828910799766</v>
      </c>
      <c r="E29" s="630">
        <f>'4'!AC43</f>
        <v>0.60939043766818712</v>
      </c>
      <c r="F29" s="630">
        <f>'4'!AJ43</f>
        <v>0.58709368254131888</v>
      </c>
      <c r="G29" s="630">
        <f>'4'!AQ43</f>
        <v>0.58980706056512155</v>
      </c>
      <c r="H29" s="630">
        <f>'4'!AX43</f>
        <v>0.62984676819342544</v>
      </c>
      <c r="I29" s="630">
        <f>'4'!BE43</f>
        <v>0.71865305351128428</v>
      </c>
      <c r="J29" s="630">
        <f>'4'!BL43</f>
        <v>0.70628538132287089</v>
      </c>
      <c r="K29" s="630">
        <f>'4'!BS43</f>
        <v>0.73436253377094585</v>
      </c>
      <c r="L29" s="630">
        <f>'4'!BZ43</f>
        <v>0.67326328992698581</v>
      </c>
    </row>
    <row r="30" spans="1:12">
      <c r="A30" s="611">
        <f t="shared" si="0"/>
        <v>2006</v>
      </c>
      <c r="B30" s="630">
        <f>'4'!H44</f>
        <v>0.65874724809968288</v>
      </c>
      <c r="C30" s="630">
        <f>'4'!O44</f>
        <v>0.39072053245001936</v>
      </c>
      <c r="D30" s="630">
        <f>'4'!V44</f>
        <v>0.54149056418426877</v>
      </c>
      <c r="E30" s="630">
        <f>'4'!AC44</f>
        <v>0.63639337508329408</v>
      </c>
      <c r="F30" s="630">
        <f>'4'!AJ44</f>
        <v>0.63100363086678468</v>
      </c>
      <c r="G30" s="630">
        <f>'4'!AQ44</f>
        <v>0.59898129895000507</v>
      </c>
      <c r="H30" s="630">
        <f>'4'!AX44</f>
        <v>0.64227487173490061</v>
      </c>
      <c r="I30" s="630">
        <f>'4'!BE44</f>
        <v>0.73694034128150077</v>
      </c>
      <c r="J30" s="630">
        <f>'4'!BL44</f>
        <v>0.72119946598712159</v>
      </c>
      <c r="K30" s="630">
        <f>'4'!BS44</f>
        <v>0.755510463288384</v>
      </c>
      <c r="L30" s="630">
        <f>'4'!BZ44</f>
        <v>0.71278153004027045</v>
      </c>
    </row>
    <row r="31" spans="1:12">
      <c r="A31" s="611">
        <f t="shared" si="0"/>
        <v>2007</v>
      </c>
      <c r="B31" s="630">
        <f>'4'!H45</f>
        <v>0.66998240601876291</v>
      </c>
      <c r="C31" s="630">
        <f>'4'!O45</f>
        <v>0.44238678224873629</v>
      </c>
      <c r="D31" s="630">
        <f>'4'!V45</f>
        <v>0.58172224839782594</v>
      </c>
      <c r="E31" s="630">
        <f>'4'!AC45</f>
        <v>0.62733232886580759</v>
      </c>
      <c r="F31" s="630">
        <f>'4'!AJ45</f>
        <v>0.68539726834852932</v>
      </c>
      <c r="G31" s="630">
        <f>'4'!AQ45</f>
        <v>0.63822114735267221</v>
      </c>
      <c r="H31" s="630">
        <f>'4'!AX45</f>
        <v>0.63732894959749642</v>
      </c>
      <c r="I31" s="630">
        <f>'4'!BE45</f>
        <v>0.72792091583660135</v>
      </c>
      <c r="J31" s="630">
        <f>'4'!BL45</f>
        <v>0.74328963570796269</v>
      </c>
      <c r="K31" s="630">
        <f>'4'!BS45</f>
        <v>0.74651355138346143</v>
      </c>
      <c r="L31" s="630">
        <f>'4'!BZ45</f>
        <v>0.73259286265071655</v>
      </c>
    </row>
    <row r="32" spans="1:12">
      <c r="A32" s="611">
        <f t="shared" si="0"/>
        <v>2008</v>
      </c>
      <c r="B32" s="630">
        <f>'4'!H46</f>
        <v>0.66568956421351211</v>
      </c>
      <c r="C32" s="630">
        <f>'4'!O46</f>
        <v>0.4567776371031716</v>
      </c>
      <c r="D32" s="630">
        <f>'4'!V46</f>
        <v>0.55427415478028252</v>
      </c>
      <c r="E32" s="630">
        <f>'4'!AC46</f>
        <v>0.64213124716743275</v>
      </c>
      <c r="F32" s="630">
        <f>'4'!AJ46</f>
        <v>0.62775590723689911</v>
      </c>
      <c r="G32" s="630">
        <f>'4'!AQ46</f>
        <v>0.63498373506174788</v>
      </c>
      <c r="H32" s="630">
        <f>'4'!AX46</f>
        <v>0.63550779089895182</v>
      </c>
      <c r="I32" s="630">
        <f>'4'!BE46</f>
        <v>0.73984982588817094</v>
      </c>
      <c r="J32" s="630">
        <f>'4'!BL46</f>
        <v>0.74315596612639845</v>
      </c>
      <c r="K32" s="630">
        <f>'4'!BS46</f>
        <v>0.74206349206349209</v>
      </c>
      <c r="L32" s="630">
        <f>'4'!BZ46</f>
        <v>0.72283076684791192</v>
      </c>
    </row>
    <row r="33" spans="1:12">
      <c r="A33" s="611">
        <f t="shared" si="0"/>
        <v>2009</v>
      </c>
      <c r="B33" s="630">
        <f>'4'!H47</f>
        <v>0.585770762513808</v>
      </c>
      <c r="C33" s="630">
        <f>'4'!O47</f>
        <v>0.36454020463728087</v>
      </c>
      <c r="D33" s="630">
        <f>'4'!V47</f>
        <v>0.49877494755769902</v>
      </c>
      <c r="E33" s="630">
        <f>'4'!AC47</f>
        <v>0.58357180008987941</v>
      </c>
      <c r="F33" s="630">
        <f>'4'!AJ47</f>
        <v>0.63208588099716478</v>
      </c>
      <c r="G33" s="630">
        <f>'4'!AQ47</f>
        <v>0.58843246748091027</v>
      </c>
      <c r="H33" s="630">
        <f>'4'!AX47</f>
        <v>0.54582005768761188</v>
      </c>
      <c r="I33" s="630">
        <f>'4'!BE47</f>
        <v>0.7065792463173316</v>
      </c>
      <c r="J33" s="630">
        <f>'4'!BL47</f>
        <v>0.72969138907840492</v>
      </c>
      <c r="K33" s="630">
        <f>'4'!BS47</f>
        <v>0.64139856588365229</v>
      </c>
      <c r="L33" s="630">
        <f>'4'!BZ47</f>
        <v>0.60926211777026196</v>
      </c>
    </row>
    <row r="34" spans="1:12">
      <c r="A34" s="611">
        <f t="shared" si="0"/>
        <v>2010</v>
      </c>
      <c r="B34" s="630">
        <f>'4'!H48</f>
        <v>0.59308336362159264</v>
      </c>
      <c r="C34" s="630">
        <f>'4'!O48</f>
        <v>0.40203347395457756</v>
      </c>
      <c r="D34" s="630">
        <f>'4'!V48</f>
        <v>0.54029141266615477</v>
      </c>
      <c r="E34" s="630">
        <f>'4'!AC48</f>
        <v>0.5747708530867226</v>
      </c>
      <c r="F34" s="630">
        <f>'4'!AJ48</f>
        <v>0.60211364808809487</v>
      </c>
      <c r="G34" s="630">
        <f>'4'!AQ48</f>
        <v>0.60765336267648429</v>
      </c>
      <c r="H34" s="630">
        <f>'4'!AX48</f>
        <v>0.55173795960618044</v>
      </c>
      <c r="I34" s="630">
        <f>'4'!BE48</f>
        <v>0.69831876909474788</v>
      </c>
      <c r="J34" s="630">
        <f>'4'!BL48</f>
        <v>0.70462064285122761</v>
      </c>
      <c r="K34" s="630">
        <f>'4'!BS48</f>
        <v>0.63962103540634052</v>
      </c>
      <c r="L34" s="630">
        <f>'4'!BZ48</f>
        <v>0.60888908853265666</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-0.1924771991659191</v>
      </c>
      <c r="C36" s="617">
        <f t="shared" si="1"/>
        <v>-0.36248126443563233</v>
      </c>
      <c r="D36" s="617">
        <f t="shared" si="1"/>
        <v>-3.3056737315972917E-2</v>
      </c>
      <c r="E36" s="617">
        <f t="shared" si="1"/>
        <v>0.13535874055370378</v>
      </c>
      <c r="F36" s="617">
        <f t="shared" si="1"/>
        <v>0.50947781360091149</v>
      </c>
      <c r="G36" s="617">
        <f t="shared" si="1"/>
        <v>0.58249252178241839</v>
      </c>
      <c r="H36" s="617">
        <f t="shared" si="1"/>
        <v>-0.54928584254766433</v>
      </c>
      <c r="I36" s="617">
        <f t="shared" si="1"/>
        <v>9.0588933105895109E-2</v>
      </c>
      <c r="J36" s="617">
        <f t="shared" si="1"/>
        <v>-0.1396286793867052</v>
      </c>
      <c r="K36" s="617">
        <f t="shared" si="1"/>
        <v>-0.48641796870309006</v>
      </c>
      <c r="L36" s="617">
        <f t="shared" si="1"/>
        <v>-0.18309420562580003</v>
      </c>
    </row>
    <row r="37" spans="1:12">
      <c r="A37" s="611" t="s">
        <v>1472</v>
      </c>
      <c r="B37" s="617">
        <f t="shared" ref="B37:L37" si="2">100*(POWER(B13/B5, 1/8)-1)</f>
        <v>0.57481821723153192</v>
      </c>
      <c r="C37" s="617">
        <f t="shared" si="2"/>
        <v>-0.28757750316955599</v>
      </c>
      <c r="D37" s="617">
        <f t="shared" si="2"/>
        <v>-1.4410020725176942</v>
      </c>
      <c r="E37" s="617">
        <f t="shared" si="2"/>
        <v>0.85346680268403308</v>
      </c>
      <c r="F37" s="617">
        <f t="shared" si="2"/>
        <v>0.33855516236329652</v>
      </c>
      <c r="G37" s="617">
        <f t="shared" si="2"/>
        <v>1.6042316659519829</v>
      </c>
      <c r="H37" s="617">
        <f t="shared" si="2"/>
        <v>1.5383951209295921</v>
      </c>
      <c r="I37" s="617">
        <f t="shared" si="2"/>
        <v>-0.63161448134111398</v>
      </c>
      <c r="J37" s="617">
        <f t="shared" si="2"/>
        <v>-1.4316066919085157</v>
      </c>
      <c r="K37" s="617">
        <f t="shared" si="2"/>
        <v>-1.429773702697934</v>
      </c>
      <c r="L37" s="617">
        <f t="shared" si="2"/>
        <v>-1.1424748833443243</v>
      </c>
    </row>
    <row r="38" spans="1:12">
      <c r="A38" s="611" t="s">
        <v>1473</v>
      </c>
      <c r="B38" s="617">
        <f t="shared" ref="B38:L38" si="3">100*(POWER(B24/B13, 1/11)-1)</f>
        <v>-0.2435893184051241</v>
      </c>
      <c r="C38" s="617">
        <f t="shared" si="3"/>
        <v>-3.4288390971252913</v>
      </c>
      <c r="D38" s="617">
        <f t="shared" si="3"/>
        <v>0.30205542849972566</v>
      </c>
      <c r="E38" s="617">
        <f t="shared" si="3"/>
        <v>-0.10289112136571132</v>
      </c>
      <c r="F38" s="617">
        <f t="shared" si="3"/>
        <v>0.53778751401134528</v>
      </c>
      <c r="G38" s="617">
        <f t="shared" si="3"/>
        <v>-2.4490049827741167E-3</v>
      </c>
      <c r="H38" s="617">
        <f t="shared" si="3"/>
        <v>-0.85637219875622783</v>
      </c>
      <c r="I38" s="617">
        <f t="shared" si="3"/>
        <v>0.95665750158582252</v>
      </c>
      <c r="J38" s="617">
        <f t="shared" si="3"/>
        <v>0.8008547347839734</v>
      </c>
      <c r="K38" s="617">
        <f t="shared" si="3"/>
        <v>0.59105703400881282</v>
      </c>
      <c r="L38" s="617">
        <f t="shared" si="3"/>
        <v>0.45567899090317443</v>
      </c>
    </row>
    <row r="39" spans="1:12">
      <c r="A39" s="611" t="s">
        <v>1474</v>
      </c>
      <c r="B39" s="617">
        <f t="shared" ref="B39:L39" si="4">100*(POWER(B32/B24, 1/8)-1)</f>
        <v>0.50866451962621184</v>
      </c>
      <c r="C39" s="617">
        <f t="shared" si="4"/>
        <v>5.5112673003596679</v>
      </c>
      <c r="D39" s="617">
        <f t="shared" si="4"/>
        <v>1.2439934281494036</v>
      </c>
      <c r="E39" s="617">
        <f t="shared" si="4"/>
        <v>1.1741519928177402</v>
      </c>
      <c r="F39" s="617">
        <f t="shared" si="4"/>
        <v>1.2963541045897697</v>
      </c>
      <c r="G39" s="617">
        <f t="shared" si="4"/>
        <v>1.0729268914947854</v>
      </c>
      <c r="H39" s="617">
        <f t="shared" si="4"/>
        <v>-0.57221646394708392</v>
      </c>
      <c r="I39" s="617">
        <f t="shared" si="4"/>
        <v>0.37554956036560672</v>
      </c>
      <c r="J39" s="617">
        <f t="shared" si="4"/>
        <v>0.50550921342091826</v>
      </c>
      <c r="K39" s="617">
        <f t="shared" si="4"/>
        <v>0.72179407454411315</v>
      </c>
      <c r="L39" s="617">
        <f t="shared" si="4"/>
        <v>2.0240398630914314</v>
      </c>
    </row>
    <row r="40" spans="1:12">
      <c r="A40" s="611" t="s">
        <v>1500</v>
      </c>
      <c r="B40" s="611"/>
      <c r="C40" s="611"/>
      <c r="D40" s="611"/>
      <c r="E40" s="611"/>
      <c r="F40" s="611"/>
      <c r="G40" s="611"/>
      <c r="H40" s="611"/>
      <c r="I40" s="611"/>
      <c r="J40" s="611"/>
      <c r="K40" s="611"/>
      <c r="L40" s="611"/>
    </row>
    <row r="41" spans="1:12">
      <c r="A41" s="611" t="s">
        <v>1498</v>
      </c>
      <c r="B41" s="616">
        <f>100*(B34-B5)/B5</f>
        <v>-5.4339993434130065</v>
      </c>
      <c r="C41" s="616">
        <f t="shared" ref="C41:L41" si="5">100*(C34-C5)/C5</f>
        <v>-9.9955027720563496</v>
      </c>
      <c r="D41" s="616">
        <f t="shared" si="5"/>
        <v>-0.95422199667549557</v>
      </c>
      <c r="E41" s="616">
        <f t="shared" si="5"/>
        <v>4.0007049844003957</v>
      </c>
      <c r="F41" s="616">
        <f t="shared" si="5"/>
        <v>15.878665005527091</v>
      </c>
      <c r="G41" s="616">
        <f t="shared" si="5"/>
        <v>18.34486397124363</v>
      </c>
      <c r="H41" s="616">
        <f t="shared" si="5"/>
        <v>-14.762779708076263</v>
      </c>
      <c r="I41" s="616">
        <f t="shared" si="5"/>
        <v>2.6606701074889312</v>
      </c>
      <c r="J41" s="616">
        <f>100*(J34-J5)/J5</f>
        <v>-3.9710629953314553</v>
      </c>
      <c r="K41" s="616">
        <f t="shared" si="5"/>
        <v>-13.186270342359119</v>
      </c>
      <c r="L41" s="616">
        <f t="shared" si="5"/>
        <v>-5.1758429612328465</v>
      </c>
    </row>
    <row r="42" spans="1:12">
      <c r="A42" s="611" t="s">
        <v>1472</v>
      </c>
      <c r="B42" s="616">
        <f>100*(B13-B5)/B5</f>
        <v>4.6921334936349837</v>
      </c>
      <c r="C42" s="616">
        <f t="shared" ref="C42:L42" si="6">100*(C13-C5)/C5</f>
        <v>-2.2775965022187195</v>
      </c>
      <c r="D42" s="616">
        <f t="shared" si="6"/>
        <v>-10.963058299695488</v>
      </c>
      <c r="E42" s="616">
        <f t="shared" si="6"/>
        <v>7.0352067316002183</v>
      </c>
      <c r="F42" s="616">
        <f t="shared" si="6"/>
        <v>2.7407530167836525</v>
      </c>
      <c r="G42" s="616">
        <f t="shared" si="6"/>
        <v>13.578039614056898</v>
      </c>
      <c r="H42" s="616">
        <f t="shared" si="6"/>
        <v>12.990611380948531</v>
      </c>
      <c r="I42" s="616">
        <f t="shared" si="6"/>
        <v>-4.9426135034933676</v>
      </c>
      <c r="J42" s="616">
        <f t="shared" si="6"/>
        <v>-10.89513430425029</v>
      </c>
      <c r="K42" s="616">
        <f t="shared" si="6"/>
        <v>-10.881877406553745</v>
      </c>
      <c r="L42" s="616">
        <f t="shared" si="6"/>
        <v>-8.7825620113871334</v>
      </c>
    </row>
    <row r="43" spans="1:12">
      <c r="A43" s="611" t="s">
        <v>1473</v>
      </c>
      <c r="B43" s="616">
        <f>100*(B24-B13)/B13</f>
        <v>-2.6470851624249252</v>
      </c>
      <c r="C43" s="616">
        <f t="shared" ref="C43:L43" si="7">100*(C24-C13)/C13</f>
        <v>-31.87257504175502</v>
      </c>
      <c r="D43" s="616">
        <f t="shared" si="7"/>
        <v>3.3732478070131</v>
      </c>
      <c r="E43" s="616">
        <f t="shared" si="7"/>
        <v>-1.1259976503990747</v>
      </c>
      <c r="F43" s="616">
        <f t="shared" si="7"/>
        <v>6.0773252929298263</v>
      </c>
      <c r="G43" s="616">
        <f t="shared" si="7"/>
        <v>-2.6935756358926633E-2</v>
      </c>
      <c r="H43" s="616">
        <f t="shared" si="7"/>
        <v>-9.0269261404952292</v>
      </c>
      <c r="I43" s="616">
        <f t="shared" si="7"/>
        <v>11.041315314786495</v>
      </c>
      <c r="J43" s="616">
        <f t="shared" si="7"/>
        <v>9.1707670388224454</v>
      </c>
      <c r="K43" s="616">
        <f t="shared" si="7"/>
        <v>6.6972166134131488</v>
      </c>
      <c r="L43" s="616">
        <f t="shared" si="7"/>
        <v>5.1282482665283515</v>
      </c>
    </row>
    <row r="44" spans="1:12">
      <c r="A44" s="611" t="s">
        <v>1474</v>
      </c>
      <c r="B44" s="616">
        <f>100*(B32-B24)/B24</f>
        <v>4.1425049737937556</v>
      </c>
      <c r="C44" s="616">
        <f t="shared" ref="C44:L44" si="8">100*(C32-C24)/C24</f>
        <v>53.599822979510229</v>
      </c>
      <c r="D44" s="616">
        <f t="shared" si="8"/>
        <v>10.396202826850491</v>
      </c>
      <c r="E44" s="616">
        <f t="shared" si="8"/>
        <v>9.7884323138378662</v>
      </c>
      <c r="F44" s="616">
        <f t="shared" si="8"/>
        <v>10.853782079744319</v>
      </c>
      <c r="G44" s="616">
        <f t="shared" si="8"/>
        <v>8.9127535800405226</v>
      </c>
      <c r="H44" s="616">
        <f t="shared" si="8"/>
        <v>-4.4870925962513208</v>
      </c>
      <c r="I44" s="616">
        <f t="shared" si="8"/>
        <v>3.0441849845072424</v>
      </c>
      <c r="J44" s="616">
        <f t="shared" si="8"/>
        <v>4.1163527696764133</v>
      </c>
      <c r="K44" s="616">
        <f t="shared" si="8"/>
        <v>5.9223538310301143</v>
      </c>
      <c r="L44" s="616">
        <f t="shared" si="8"/>
        <v>17.387034386961943</v>
      </c>
    </row>
    <row r="46" spans="1:12">
      <c r="A46" s="611" t="s">
        <v>1552</v>
      </c>
    </row>
  </sheetData>
  <pageMargins left="0.7" right="0.7" top="0.75" bottom="0.75" header="0.3" footer="0.3"/>
</worksheet>
</file>

<file path=xl/worksheets/sheet173.xml><?xml version="1.0" encoding="utf-8"?>
<worksheet xmlns="http://schemas.openxmlformats.org/spreadsheetml/2006/main" xmlns:r="http://schemas.openxmlformats.org/officeDocument/2006/relationships">
  <dimension ref="A1:L46"/>
  <sheetViews>
    <sheetView workbookViewId="0">
      <selection activeCell="E9" sqref="E9"/>
    </sheetView>
  </sheetViews>
  <sheetFormatPr defaultRowHeight="12.75"/>
  <cols>
    <col min="1" max="16384" width="9" style="618"/>
  </cols>
  <sheetData>
    <row r="1" spans="1:12">
      <c r="A1" s="611" t="s">
        <v>1523</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8">
        <f>'a26'!B15</f>
        <v>2.65462729352992</v>
      </c>
      <c r="C5" s="628">
        <f>'a26'!C15</f>
        <v>5.4615670978847151</v>
      </c>
      <c r="D5" s="628">
        <f>'a26'!D15</f>
        <v>5.3820960698689957</v>
      </c>
      <c r="E5" s="628">
        <f>'a26'!E15</f>
        <v>2.4104046242774571</v>
      </c>
      <c r="F5" s="628">
        <f>'a26'!F15</f>
        <v>3.3661678348171997</v>
      </c>
      <c r="G5" s="628">
        <f>'a26'!G15</f>
        <v>2.470600717961414</v>
      </c>
      <c r="H5" s="628">
        <f>'a26'!H15</f>
        <v>2.6612939332885603</v>
      </c>
      <c r="I5" s="628">
        <f>'a26'!I15</f>
        <v>3.0096274591879451</v>
      </c>
      <c r="J5" s="628">
        <f>'a26'!J15</f>
        <v>2.0692341941228851</v>
      </c>
      <c r="K5" s="628">
        <f>'a26'!K15</f>
        <v>2.2516069077673664</v>
      </c>
      <c r="L5" s="628">
        <f>'a26'!L15</f>
        <v>2.8843756151978477</v>
      </c>
    </row>
    <row r="6" spans="1:12">
      <c r="A6" s="611">
        <f t="shared" ref="A6:A34" si="0">A5+1</f>
        <v>1982</v>
      </c>
      <c r="B6" s="628">
        <f>'a26'!B16</f>
        <v>2.7755720207096548</v>
      </c>
      <c r="C6" s="628">
        <f>'a26'!C16</f>
        <v>5.1119394653916688</v>
      </c>
      <c r="D6" s="628">
        <f>'a26'!D16</f>
        <v>4.864864864864864</v>
      </c>
      <c r="E6" s="628">
        <f>'a26'!E16</f>
        <v>2.5816485225505441</v>
      </c>
      <c r="F6" s="628">
        <f>'a26'!F16</f>
        <v>3.5459915611814345</v>
      </c>
      <c r="G6" s="628">
        <f>'a26'!G16</f>
        <v>2.496203275797312</v>
      </c>
      <c r="H6" s="628">
        <f>'a26'!H16</f>
        <v>2.8292205717936429</v>
      </c>
      <c r="I6" s="628">
        <f>'a26'!I16</f>
        <v>2.9545241443975625</v>
      </c>
      <c r="J6" s="628">
        <f>'a26'!J16</f>
        <v>2.0112337406385494</v>
      </c>
      <c r="K6" s="628">
        <f>'a26'!K16</f>
        <v>2.7806636276900241</v>
      </c>
      <c r="L6" s="628">
        <f>'a26'!L16</f>
        <v>2.8590050626004184</v>
      </c>
    </row>
    <row r="7" spans="1:12">
      <c r="A7" s="611">
        <f t="shared" si="0"/>
        <v>1983</v>
      </c>
      <c r="B7" s="628">
        <f>'a26'!B17</f>
        <v>2.8884799785140589</v>
      </c>
      <c r="C7" s="628">
        <f>'a26'!C17</f>
        <v>5.2856893897556185</v>
      </c>
      <c r="D7" s="628">
        <f>'a26'!D17</f>
        <v>4.5625</v>
      </c>
      <c r="E7" s="628">
        <f>'a26'!E17</f>
        <v>2.6348547717842323</v>
      </c>
      <c r="F7" s="628">
        <f>'a26'!F17</f>
        <v>3.6809621775597408</v>
      </c>
      <c r="G7" s="628">
        <f>'a26'!G17</f>
        <v>2.5749882463563702</v>
      </c>
      <c r="H7" s="628">
        <f>'a26'!H17</f>
        <v>3.033198773109087</v>
      </c>
      <c r="I7" s="628">
        <f>'a26'!I17</f>
        <v>3.1187066974595843</v>
      </c>
      <c r="J7" s="628">
        <f>'a26'!J17</f>
        <v>2.1768504719324389</v>
      </c>
      <c r="K7" s="628">
        <f>'a26'!K17</f>
        <v>2.5023443197999518</v>
      </c>
      <c r="L7" s="628">
        <f>'a26'!L17</f>
        <v>3.0500772246643701</v>
      </c>
    </row>
    <row r="8" spans="1:12">
      <c r="A8" s="611">
        <f t="shared" si="0"/>
        <v>1984</v>
      </c>
      <c r="B8" s="628">
        <f>'a26'!B18</f>
        <v>2.9369018848878055</v>
      </c>
      <c r="C8" s="628">
        <f>'a26'!C18</f>
        <v>4.1196521160086554</v>
      </c>
      <c r="D8" s="628">
        <f>'a26'!D18</f>
        <v>4.2145270270270272</v>
      </c>
      <c r="E8" s="628">
        <f>'a26'!E18</f>
        <v>2.7852499439587537</v>
      </c>
      <c r="F8" s="628">
        <f>'a26'!F18</f>
        <v>3.8779383851657183</v>
      </c>
      <c r="G8" s="628">
        <f>'a26'!G18</f>
        <v>2.6062403741942841</v>
      </c>
      <c r="H8" s="628">
        <f>'a26'!H18</f>
        <v>3.086302023022955</v>
      </c>
      <c r="I8" s="628">
        <f>'a26'!I18</f>
        <v>2.9791025433338736</v>
      </c>
      <c r="J8" s="628">
        <f>'a26'!J18</f>
        <v>2.3744376090349832</v>
      </c>
      <c r="K8" s="628">
        <f>'a26'!K18</f>
        <v>2.5733445096395644</v>
      </c>
      <c r="L8" s="628">
        <f>'a26'!L18</f>
        <v>3.2414294502544601</v>
      </c>
    </row>
    <row r="9" spans="1:12">
      <c r="A9" s="611">
        <f t="shared" si="0"/>
        <v>1985</v>
      </c>
      <c r="B9" s="628">
        <f>'a26'!B19</f>
        <v>3.0177188696828683</v>
      </c>
      <c r="C9" s="628">
        <f>'a26'!C19</f>
        <v>3.969662879860878</v>
      </c>
      <c r="D9" s="628">
        <f>'a26'!D19</f>
        <v>4.2387820512820511</v>
      </c>
      <c r="E9" s="628">
        <f>'a26'!E19</f>
        <v>2.9348832424647671</v>
      </c>
      <c r="F9" s="628">
        <f>'a26'!F19</f>
        <v>3.7640758033507282</v>
      </c>
      <c r="G9" s="628">
        <f>'a26'!G19</f>
        <v>2.8116774667646469</v>
      </c>
      <c r="H9" s="628">
        <f>'a26'!H19</f>
        <v>3.1424328613856716</v>
      </c>
      <c r="I9" s="628">
        <f>'a26'!I19</f>
        <v>3.0895034195658639</v>
      </c>
      <c r="J9" s="628">
        <f>'a26'!J19</f>
        <v>2.8515190415062044</v>
      </c>
      <c r="K9" s="628">
        <f>'a26'!K19</f>
        <v>2.5031616982836491</v>
      </c>
      <c r="L9" s="628">
        <f>'a26'!L19</f>
        <v>3.2281910975481423</v>
      </c>
    </row>
    <row r="10" spans="1:12">
      <c r="A10" s="611">
        <f t="shared" si="0"/>
        <v>1986</v>
      </c>
      <c r="B10" s="628">
        <f>'a26'!B20</f>
        <v>3.1752657879043369</v>
      </c>
      <c r="C10" s="628">
        <f>'a26'!C20</f>
        <v>3.2153371090322529</v>
      </c>
      <c r="D10" s="628">
        <f>'a26'!D20</f>
        <v>3.5504652827487471</v>
      </c>
      <c r="E10" s="628">
        <f>'a26'!E20</f>
        <v>3.4843857748005123</v>
      </c>
      <c r="F10" s="628">
        <f>'a26'!F20</f>
        <v>3.6583493282149706</v>
      </c>
      <c r="G10" s="628">
        <f>'a26'!G20</f>
        <v>3.1480379370164484</v>
      </c>
      <c r="H10" s="628">
        <f>'a26'!H20</f>
        <v>3.2292436925079127</v>
      </c>
      <c r="I10" s="628">
        <f>'a26'!I20</f>
        <v>3.3280723150871654</v>
      </c>
      <c r="J10" s="628">
        <f>'a26'!J20</f>
        <v>2.9288151364764268</v>
      </c>
      <c r="K10" s="628">
        <f>'a26'!K20</f>
        <v>2.6870868744098204</v>
      </c>
      <c r="L10" s="628">
        <f>'a26'!L20</f>
        <v>3.3387407482510394</v>
      </c>
    </row>
    <row r="11" spans="1:12">
      <c r="A11" s="611">
        <f t="shared" si="0"/>
        <v>1987</v>
      </c>
      <c r="B11" s="628">
        <f>'a26'!B21</f>
        <v>3.2396427240222536</v>
      </c>
      <c r="C11" s="628">
        <f>'a26'!C21</f>
        <v>3.2271060172950907</v>
      </c>
      <c r="D11" s="628">
        <f>'a26'!D21</f>
        <v>3.6357435197817187</v>
      </c>
      <c r="E11" s="628">
        <f>'a26'!E21</f>
        <v>3.6452565522332963</v>
      </c>
      <c r="F11" s="628">
        <f>'a26'!F21</f>
        <v>3.6600287907869484</v>
      </c>
      <c r="G11" s="628">
        <f>'a26'!G21</f>
        <v>3.1033141159410036</v>
      </c>
      <c r="H11" s="628">
        <f>'a26'!H21</f>
        <v>3.3109398444959761</v>
      </c>
      <c r="I11" s="628">
        <f>'a26'!I21</f>
        <v>3.1219207549788357</v>
      </c>
      <c r="J11" s="628">
        <f>'a26'!J21</f>
        <v>3.3076858743832065</v>
      </c>
      <c r="K11" s="628">
        <f>'a26'!K21</f>
        <v>2.8844465257858687</v>
      </c>
      <c r="L11" s="628">
        <f>'a26'!L21</f>
        <v>3.4195579116770016</v>
      </c>
    </row>
    <row r="12" spans="1:12">
      <c r="A12" s="611">
        <f t="shared" si="0"/>
        <v>1988</v>
      </c>
      <c r="B12" s="628">
        <f>'a26'!B22</f>
        <v>3.237816187056731</v>
      </c>
      <c r="C12" s="628">
        <f>'a26'!C22</f>
        <v>3.1258119825711548</v>
      </c>
      <c r="D12" s="628">
        <f>'a26'!D22</f>
        <v>3.5027898326100435</v>
      </c>
      <c r="E12" s="628">
        <f>'a26'!E22</f>
        <v>3.598150843249722</v>
      </c>
      <c r="F12" s="628">
        <f>'a26'!F22</f>
        <v>3.6722222222222225</v>
      </c>
      <c r="G12" s="628">
        <f>'a26'!G22</f>
        <v>3.1292054048714095</v>
      </c>
      <c r="H12" s="628">
        <f>'a26'!H22</f>
        <v>3.288107109537667</v>
      </c>
      <c r="I12" s="628">
        <f>'a26'!I22</f>
        <v>2.8355584500162814</v>
      </c>
      <c r="J12" s="628">
        <f>'a26'!J22</f>
        <v>2.890802348336595</v>
      </c>
      <c r="K12" s="628">
        <f>'a26'!K22</f>
        <v>3.1492358803986717</v>
      </c>
      <c r="L12" s="628">
        <f>'a26'!L22</f>
        <v>3.4537866009255653</v>
      </c>
    </row>
    <row r="13" spans="1:12">
      <c r="A13" s="611">
        <f t="shared" si="0"/>
        <v>1989</v>
      </c>
      <c r="B13" s="628">
        <f>'a26'!B23</f>
        <v>3.2775456822530109</v>
      </c>
      <c r="C13" s="628">
        <f>'a26'!C23</f>
        <v>2.9963112989472447</v>
      </c>
      <c r="D13" s="628">
        <f>'a26'!D23</f>
        <v>3.7645011600928076</v>
      </c>
      <c r="E13" s="628">
        <f>'a26'!E23</f>
        <v>3.7084056142564261</v>
      </c>
      <c r="F13" s="628">
        <f>'a26'!F23</f>
        <v>3.6333642643571502</v>
      </c>
      <c r="G13" s="628">
        <f>'a26'!G23</f>
        <v>3.2013241168362057</v>
      </c>
      <c r="H13" s="628">
        <f>'a26'!H23</f>
        <v>3.289045841471673</v>
      </c>
      <c r="I13" s="628">
        <f>'a26'!I23</f>
        <v>2.9569465648854965</v>
      </c>
      <c r="J13" s="628">
        <f>'a26'!J23</f>
        <v>3.1591112436623914</v>
      </c>
      <c r="K13" s="628">
        <f>'a26'!K23</f>
        <v>3.2515594565940975</v>
      </c>
      <c r="L13" s="628">
        <f>'a26'!L23</f>
        <v>3.4329860976648723</v>
      </c>
    </row>
    <row r="14" spans="1:12">
      <c r="A14" s="611">
        <f t="shared" si="0"/>
        <v>1990</v>
      </c>
      <c r="B14" s="628">
        <f>'a26'!B24</f>
        <v>3.4055749890686493</v>
      </c>
      <c r="C14" s="628">
        <f>'a26'!C24</f>
        <v>3.0391393724984295</v>
      </c>
      <c r="D14" s="628">
        <f>'a26'!D24</f>
        <v>3.8588754134509373</v>
      </c>
      <c r="E14" s="628">
        <f>'a26'!E24</f>
        <v>3.6894372554920252</v>
      </c>
      <c r="F14" s="628">
        <f>'a26'!F24</f>
        <v>3.9214525360173669</v>
      </c>
      <c r="G14" s="628">
        <f>'a26'!G24</f>
        <v>3.326896551724138</v>
      </c>
      <c r="H14" s="628">
        <f>'a26'!H24</f>
        <v>3.4564007718664311</v>
      </c>
      <c r="I14" s="628">
        <f>'a26'!I24</f>
        <v>3.0700138185168129</v>
      </c>
      <c r="J14" s="628">
        <f>'a26'!J24</f>
        <v>3.2078365753329154</v>
      </c>
      <c r="K14" s="628">
        <f>'a26'!K24</f>
        <v>3.306985935138905</v>
      </c>
      <c r="L14" s="628">
        <f>'a26'!L24</f>
        <v>3.5479491210518792</v>
      </c>
    </row>
    <row r="15" spans="1:12">
      <c r="A15" s="611">
        <f t="shared" si="0"/>
        <v>1991</v>
      </c>
      <c r="B15" s="628">
        <f>'a26'!B25</f>
        <v>3.5781117396705677</v>
      </c>
      <c r="C15" s="628">
        <f>'a26'!C25</f>
        <v>3.2659962984478956</v>
      </c>
      <c r="D15" s="628">
        <f>'a26'!D25</f>
        <v>4.072110286320255</v>
      </c>
      <c r="E15" s="628">
        <f>'a26'!E25</f>
        <v>3.7692531240918337</v>
      </c>
      <c r="F15" s="628">
        <f>'a26'!F25</f>
        <v>4.1909814323607426</v>
      </c>
      <c r="G15" s="628">
        <f>'a26'!G25</f>
        <v>3.5178550046514196</v>
      </c>
      <c r="H15" s="628">
        <f>'a26'!H25</f>
        <v>3.6521666934768287</v>
      </c>
      <c r="I15" s="628">
        <f>'a26'!I25</f>
        <v>3.2513832639324627</v>
      </c>
      <c r="J15" s="628">
        <f>'a26'!J25</f>
        <v>3.3773649810801514</v>
      </c>
      <c r="K15" s="628">
        <f>'a26'!K25</f>
        <v>3.3533854688857696</v>
      </c>
      <c r="L15" s="628">
        <f>'a26'!L25</f>
        <v>3.697900613034693</v>
      </c>
    </row>
    <row r="16" spans="1:12">
      <c r="A16" s="611">
        <f t="shared" si="0"/>
        <v>1992</v>
      </c>
      <c r="B16" s="628">
        <f>'a26'!B26</f>
        <v>3.7470178124418148</v>
      </c>
      <c r="C16" s="628">
        <f>'a26'!C26</f>
        <v>3.4727741935483869</v>
      </c>
      <c r="D16" s="628">
        <f>'a26'!D26</f>
        <v>4.4811912225705326</v>
      </c>
      <c r="E16" s="628">
        <f>'a26'!E26</f>
        <v>3.9287991498405948</v>
      </c>
      <c r="F16" s="628">
        <f>'a26'!F26</f>
        <v>4.2896792574211933</v>
      </c>
      <c r="G16" s="628">
        <f>'a26'!G26</f>
        <v>3.7563625809494439</v>
      </c>
      <c r="H16" s="628">
        <f>'a26'!H26</f>
        <v>3.8314969393433498</v>
      </c>
      <c r="I16" s="628">
        <f>'a26'!I26</f>
        <v>3.3800201929549023</v>
      </c>
      <c r="J16" s="628">
        <f>'a26'!J26</f>
        <v>3.5507510880247084</v>
      </c>
      <c r="K16" s="628">
        <f>'a26'!K26</f>
        <v>3.4341765840757841</v>
      </c>
      <c r="L16" s="628">
        <f>'a26'!L26</f>
        <v>3.784276158229416</v>
      </c>
    </row>
    <row r="17" spans="1:12">
      <c r="A17" s="611">
        <f t="shared" si="0"/>
        <v>1993</v>
      </c>
      <c r="B17" s="628">
        <f>'a26'!B27</f>
        <v>3.9556091194155298</v>
      </c>
      <c r="C17" s="628">
        <f>'a26'!C27</f>
        <v>3.577165156092649</v>
      </c>
      <c r="D17" s="628">
        <f>'a26'!D27</f>
        <v>4.6282178217821786</v>
      </c>
      <c r="E17" s="628">
        <f>'a26'!E27</f>
        <v>4.0109350128036541</v>
      </c>
      <c r="F17" s="628">
        <f>'a26'!F27</f>
        <v>4.509144701452394</v>
      </c>
      <c r="G17" s="628">
        <f>'a26'!G27</f>
        <v>3.9213618958550231</v>
      </c>
      <c r="H17" s="628">
        <f>'a26'!H27</f>
        <v>4.1281380517694135</v>
      </c>
      <c r="I17" s="628">
        <f>'a26'!I27</f>
        <v>3.6831975900926031</v>
      </c>
      <c r="J17" s="628">
        <f>'a26'!J27</f>
        <v>3.9009308962424409</v>
      </c>
      <c r="K17" s="628">
        <f>'a26'!K27</f>
        <v>3.5891277128547583</v>
      </c>
      <c r="L17" s="628">
        <f>'a26'!L27</f>
        <v>3.8212964275030306</v>
      </c>
    </row>
    <row r="18" spans="1:12">
      <c r="A18" s="611">
        <f t="shared" si="0"/>
        <v>1994</v>
      </c>
      <c r="B18" s="628">
        <f>'a26'!B28</f>
        <v>4.1010827662365097</v>
      </c>
      <c r="C18" s="628">
        <f>'a26'!C28</f>
        <v>3.7595505617977523</v>
      </c>
      <c r="D18" s="628">
        <f>'a26'!D28</f>
        <v>4.8417626439659491</v>
      </c>
      <c r="E18" s="628">
        <f>'a26'!E28</f>
        <v>4.2089943440474551</v>
      </c>
      <c r="F18" s="628">
        <f>'a26'!F28</f>
        <v>4.617574037949991</v>
      </c>
      <c r="G18" s="628">
        <f>'a26'!G28</f>
        <v>4.0604680383226013</v>
      </c>
      <c r="H18" s="628">
        <f>'a26'!H28</f>
        <v>4.3266524435820397</v>
      </c>
      <c r="I18" s="628">
        <f>'a26'!I28</f>
        <v>3.7726750232634521</v>
      </c>
      <c r="J18" s="628">
        <f>'a26'!J28</f>
        <v>4.1172596414991851</v>
      </c>
      <c r="K18" s="628">
        <f>'a26'!K28</f>
        <v>3.7045558275590222</v>
      </c>
      <c r="L18" s="628">
        <f>'a26'!L28</f>
        <v>3.8351021149682829</v>
      </c>
    </row>
    <row r="19" spans="1:12">
      <c r="A19" s="611">
        <f t="shared" si="0"/>
        <v>1995</v>
      </c>
      <c r="B19" s="628">
        <f>'a26'!B29</f>
        <v>4.112893292377807</v>
      </c>
      <c r="C19" s="628">
        <f>'a26'!C29</f>
        <v>3.6552787370498274</v>
      </c>
      <c r="D19" s="628">
        <f>'a26'!D29</f>
        <v>5.0732298739088266</v>
      </c>
      <c r="E19" s="628">
        <f>'a26'!E29</f>
        <v>4.1962042415237066</v>
      </c>
      <c r="F19" s="628">
        <f>'a26'!F29</f>
        <v>4.2394943628288351</v>
      </c>
      <c r="G19" s="628">
        <f>'a26'!G29</f>
        <v>3.9642559630064094</v>
      </c>
      <c r="H19" s="628">
        <f>'a26'!H29</f>
        <v>4.4973575060208724</v>
      </c>
      <c r="I19" s="628">
        <f>'a26'!I29</f>
        <v>3.8936260248611481</v>
      </c>
      <c r="J19" s="628">
        <f>'a26'!J29</f>
        <v>3.9277633824179996</v>
      </c>
      <c r="K19" s="628">
        <f>'a26'!K29</f>
        <v>3.6146222550802243</v>
      </c>
      <c r="L19" s="628">
        <f>'a26'!L29</f>
        <v>3.7240980238983887</v>
      </c>
    </row>
    <row r="20" spans="1:12">
      <c r="A20" s="611">
        <f t="shared" si="0"/>
        <v>1996</v>
      </c>
      <c r="B20" s="628">
        <f>'a26'!B30</f>
        <v>4.1514296595381053</v>
      </c>
      <c r="C20" s="628">
        <f>'a26'!C30</f>
        <v>3.4926755978465001</v>
      </c>
      <c r="D20" s="628">
        <f>'a26'!D30</f>
        <v>5.1241545893719804</v>
      </c>
      <c r="E20" s="628">
        <f>'a26'!E30</f>
        <v>4.3940989804874748</v>
      </c>
      <c r="F20" s="628">
        <f>'a26'!F30</f>
        <v>4.1344281723524929</v>
      </c>
      <c r="G20" s="628">
        <f>'a26'!G30</f>
        <v>3.944576544105991</v>
      </c>
      <c r="H20" s="628">
        <f>'a26'!H30</f>
        <v>4.5808053971477101</v>
      </c>
      <c r="I20" s="628">
        <f>'a26'!I30</f>
        <v>4.0238326599498793</v>
      </c>
      <c r="J20" s="628">
        <f>'a26'!J30</f>
        <v>3.736710518483243</v>
      </c>
      <c r="K20" s="628">
        <f>'a26'!K30</f>
        <v>3.6101949025487259</v>
      </c>
      <c r="L20" s="628">
        <f>'a26'!L30</f>
        <v>3.8095899142998797</v>
      </c>
    </row>
    <row r="21" spans="1:12">
      <c r="A21" s="611">
        <f t="shared" si="0"/>
        <v>1997</v>
      </c>
      <c r="B21" s="628">
        <f>'a26'!B31</f>
        <v>4.308585668093583</v>
      </c>
      <c r="C21" s="628">
        <f>'a26'!C31</f>
        <v>3.5757956975720222</v>
      </c>
      <c r="D21" s="628">
        <f>'a26'!D31</f>
        <v>5.212464589235128</v>
      </c>
      <c r="E21" s="628">
        <f>'a26'!E31</f>
        <v>4.5195548903494505</v>
      </c>
      <c r="F21" s="628">
        <f>'a26'!F31</f>
        <v>4.5792753864051861</v>
      </c>
      <c r="G21" s="628">
        <f>'a26'!G31</f>
        <v>4.0790556603000248</v>
      </c>
      <c r="H21" s="628">
        <f>'a26'!H31</f>
        <v>4.6797871085419747</v>
      </c>
      <c r="I21" s="628">
        <f>'a26'!I31</f>
        <v>4.3439979523931411</v>
      </c>
      <c r="J21" s="628">
        <f>'a26'!J31</f>
        <v>4.2431218416619876</v>
      </c>
      <c r="K21" s="628">
        <f>'a26'!K31</f>
        <v>3.8560180180180184</v>
      </c>
      <c r="L21" s="628">
        <f>'a26'!L31</f>
        <v>3.9588134548194835</v>
      </c>
    </row>
    <row r="22" spans="1:12">
      <c r="A22" s="611">
        <f t="shared" si="0"/>
        <v>1998</v>
      </c>
      <c r="B22" s="628">
        <f>'a26'!B32</f>
        <v>4.3547399106135032</v>
      </c>
      <c r="C22" s="628">
        <f>'a26'!C32</f>
        <v>4.0029640607632455</v>
      </c>
      <c r="D22" s="628">
        <f>'a26'!D32</f>
        <v>5.3772621809744781</v>
      </c>
      <c r="E22" s="628">
        <f>'a26'!E32</f>
        <v>4.7199127454035521</v>
      </c>
      <c r="F22" s="628">
        <f>'a26'!F32</f>
        <v>4.4012242626599889</v>
      </c>
      <c r="G22" s="628">
        <f>'a26'!G32</f>
        <v>3.9849226208501349</v>
      </c>
      <c r="H22" s="628">
        <f>'a26'!H32</f>
        <v>4.7757083236125153</v>
      </c>
      <c r="I22" s="628">
        <f>'a26'!I32</f>
        <v>4.3555512214149879</v>
      </c>
      <c r="J22" s="628">
        <f>'a26'!J32</f>
        <v>4.0136504530281361</v>
      </c>
      <c r="K22" s="628">
        <f>'a26'!K32</f>
        <v>3.8107087840468576</v>
      </c>
      <c r="L22" s="628">
        <f>'a26'!L32</f>
        <v>4.1711028660536646</v>
      </c>
    </row>
    <row r="23" spans="1:12">
      <c r="A23" s="611">
        <f t="shared" si="0"/>
        <v>1999</v>
      </c>
      <c r="B23" s="628">
        <f>'a26'!B33</f>
        <v>4.5282820133942279</v>
      </c>
      <c r="C23" s="628">
        <f>'a26'!C33</f>
        <v>3.9440200525185007</v>
      </c>
      <c r="D23" s="628">
        <f>'a26'!D33</f>
        <v>5.2824360105913506</v>
      </c>
      <c r="E23" s="628">
        <f>'a26'!E33</f>
        <v>4.5500089142449633</v>
      </c>
      <c r="F23" s="628">
        <f>'a26'!F33</f>
        <v>4.6022442944878312</v>
      </c>
      <c r="G23" s="628">
        <f>'a26'!G33</f>
        <v>4.2349247764655624</v>
      </c>
      <c r="H23" s="628">
        <f>'a26'!H33</f>
        <v>4.9290436478028639</v>
      </c>
      <c r="I23" s="628">
        <f>'a26'!I33</f>
        <v>4.6360668149339892</v>
      </c>
      <c r="J23" s="628">
        <f>'a26'!J33</f>
        <v>4.1391219957755316</v>
      </c>
      <c r="K23" s="628">
        <f>'a26'!K33</f>
        <v>4.1068639340286195</v>
      </c>
      <c r="L23" s="628">
        <f>'a26'!L33</f>
        <v>4.2626207823076534</v>
      </c>
    </row>
    <row r="24" spans="1:12">
      <c r="A24" s="611">
        <f t="shared" si="0"/>
        <v>2000</v>
      </c>
      <c r="B24" s="628">
        <f>'a26'!B34</f>
        <v>4.5594488145886203</v>
      </c>
      <c r="C24" s="628">
        <f>'a26'!C34</f>
        <v>4.1927917620137301</v>
      </c>
      <c r="D24" s="628">
        <f>'a26'!D34</f>
        <v>5.1095041322314048</v>
      </c>
      <c r="E24" s="628">
        <f>'a26'!E34</f>
        <v>4.8839438548442322</v>
      </c>
      <c r="F24" s="628">
        <f>'a26'!F34</f>
        <v>4.651274581209031</v>
      </c>
      <c r="G24" s="628">
        <f>'a26'!G34</f>
        <v>4.2436277926688177</v>
      </c>
      <c r="H24" s="628">
        <f>'a26'!H34</f>
        <v>4.9085769422123056</v>
      </c>
      <c r="I24" s="628">
        <f>'a26'!I34</f>
        <v>4.7073115555153384</v>
      </c>
      <c r="J24" s="628">
        <f>'a26'!J34</f>
        <v>4.2552372573816459</v>
      </c>
      <c r="K24" s="628">
        <f>'a26'!K34</f>
        <v>4.1641392535772237</v>
      </c>
      <c r="L24" s="628">
        <f>'a26'!L34</f>
        <v>4.3424866607245329</v>
      </c>
    </row>
    <row r="25" spans="1:12">
      <c r="A25" s="611">
        <f t="shared" si="0"/>
        <v>2001</v>
      </c>
      <c r="B25" s="628">
        <f>'a26'!B35</f>
        <v>4.7909685652633902</v>
      </c>
      <c r="C25" s="628">
        <f>'a26'!C35</f>
        <v>4.2308029837648098</v>
      </c>
      <c r="D25" s="628">
        <f>'a26'!D35</f>
        <v>5.9773003648155658</v>
      </c>
      <c r="E25" s="628">
        <f>'a26'!E35</f>
        <v>5.0855125234469822</v>
      </c>
      <c r="F25" s="628">
        <f>'a26'!F35</f>
        <v>5.1373614738476734</v>
      </c>
      <c r="G25" s="628">
        <f>'a26'!G35</f>
        <v>4.5094395381602013</v>
      </c>
      <c r="H25" s="628">
        <f>'a26'!H35</f>
        <v>5.1477675368799778</v>
      </c>
      <c r="I25" s="628">
        <f>'a26'!I35</f>
        <v>5.1058152694350136</v>
      </c>
      <c r="J25" s="628">
        <f>'a26'!J35</f>
        <v>4.7021196063588189</v>
      </c>
      <c r="K25" s="628">
        <f>'a26'!K35</f>
        <v>4.3134176209704114</v>
      </c>
      <c r="L25" s="628">
        <f>'a26'!L35</f>
        <v>4.4712768949514832</v>
      </c>
    </row>
    <row r="26" spans="1:12">
      <c r="A26" s="611">
        <f t="shared" si="0"/>
        <v>2002</v>
      </c>
      <c r="B26" s="628">
        <f>'a26'!B36</f>
        <v>5.0427328136482181</v>
      </c>
      <c r="C26" s="628">
        <f>'a26'!C36</f>
        <v>4.4233024197846706</v>
      </c>
      <c r="D26" s="628">
        <f>'a26'!D36</f>
        <v>5.3633921719109754</v>
      </c>
      <c r="E26" s="628">
        <f>'a26'!E36</f>
        <v>5.5441255221163113</v>
      </c>
      <c r="F26" s="628">
        <f>'a26'!F36</f>
        <v>5.4314917127071825</v>
      </c>
      <c r="G26" s="628">
        <f>'a26'!G36</f>
        <v>4.6613441670891742</v>
      </c>
      <c r="H26" s="628">
        <f>'a26'!H36</f>
        <v>5.5590943003139115</v>
      </c>
      <c r="I26" s="628">
        <f>'a26'!I36</f>
        <v>5.172818650223836</v>
      </c>
      <c r="J26" s="628">
        <f>'a26'!J36</f>
        <v>4.7193028505433361</v>
      </c>
      <c r="K26" s="628">
        <f>'a26'!K36</f>
        <v>4.3223701850031278</v>
      </c>
      <c r="L26" s="628">
        <f>'a26'!L36</f>
        <v>4.6984784522653902</v>
      </c>
    </row>
    <row r="27" spans="1:12">
      <c r="A27" s="611">
        <f t="shared" si="0"/>
        <v>2003</v>
      </c>
      <c r="B27" s="628">
        <f>'a26'!B37</f>
        <v>5.1146569004862288</v>
      </c>
      <c r="C27" s="628">
        <f>'a26'!C37</f>
        <v>4.8022101708789524</v>
      </c>
      <c r="D27" s="628">
        <f>'a26'!D37</f>
        <v>6.122201138519924</v>
      </c>
      <c r="E27" s="628">
        <f>'a26'!E37</f>
        <v>5.7615352567440885</v>
      </c>
      <c r="F27" s="628">
        <f>'a26'!F37</f>
        <v>5.5959273308045514</v>
      </c>
      <c r="G27" s="628">
        <f>'a26'!G37</f>
        <v>4.7895330021470439</v>
      </c>
      <c r="H27" s="628">
        <f>'a26'!H37</f>
        <v>5.5809833879357562</v>
      </c>
      <c r="I27" s="628">
        <f>'a26'!I37</f>
        <v>5.1748240301194954</v>
      </c>
      <c r="J27" s="628">
        <f>'a26'!J37</f>
        <v>4.7990908192509139</v>
      </c>
      <c r="K27" s="628">
        <f>'a26'!K37</f>
        <v>4.3483927656147028</v>
      </c>
      <c r="L27" s="628">
        <f>'a26'!L37</f>
        <v>4.814119447024753</v>
      </c>
    </row>
    <row r="28" spans="1:12">
      <c r="A28" s="611">
        <f t="shared" si="0"/>
        <v>2004</v>
      </c>
      <c r="B28" s="628">
        <f>'a26'!B38</f>
        <v>5.1754643887531531</v>
      </c>
      <c r="C28" s="628">
        <f>'a26'!C38</f>
        <v>5.0413354531001593</v>
      </c>
      <c r="D28" s="628">
        <f>'a26'!D38</f>
        <v>5.9570484581497798</v>
      </c>
      <c r="E28" s="628">
        <f>'a26'!E38</f>
        <v>5.6306382555013448</v>
      </c>
      <c r="F28" s="628">
        <f>'a26'!F38</f>
        <v>5.4707966841738909</v>
      </c>
      <c r="G28" s="628">
        <f>'a26'!G38</f>
        <v>4.7246292018263958</v>
      </c>
      <c r="H28" s="628">
        <f>'a26'!H38</f>
        <v>5.7289863578731648</v>
      </c>
      <c r="I28" s="628">
        <f>'a26'!I38</f>
        <v>5.1374111063614816</v>
      </c>
      <c r="J28" s="628">
        <f>'a26'!J38</f>
        <v>4.6654485656860958</v>
      </c>
      <c r="K28" s="628">
        <f>'a26'!K38</f>
        <v>4.3868752512394478</v>
      </c>
      <c r="L28" s="628">
        <f>'a26'!L38</f>
        <v>4.9948917990155097</v>
      </c>
    </row>
    <row r="29" spans="1:12">
      <c r="A29" s="611">
        <f t="shared" si="0"/>
        <v>2005</v>
      </c>
      <c r="B29" s="628">
        <f>'a26'!B39</f>
        <v>5.2743730398643285</v>
      </c>
      <c r="C29" s="628">
        <f>'a26'!C39</f>
        <v>5.3047471720003863</v>
      </c>
      <c r="D29" s="628">
        <f>'a26'!D39</f>
        <v>5.7501761804087383</v>
      </c>
      <c r="E29" s="628">
        <f>'a26'!E39</f>
        <v>5.7321002955477169</v>
      </c>
      <c r="F29" s="628">
        <f>'a26'!F39</f>
        <v>6.0368030423848369</v>
      </c>
      <c r="G29" s="628">
        <f>'a26'!G39</f>
        <v>4.968201261678697</v>
      </c>
      <c r="H29" s="628">
        <f>'a26'!H39</f>
        <v>5.8447700824271145</v>
      </c>
      <c r="I29" s="628">
        <f>'a26'!I39</f>
        <v>5.3265514502893012</v>
      </c>
      <c r="J29" s="628">
        <f>'a26'!J39</f>
        <v>4.7406638067283815</v>
      </c>
      <c r="K29" s="628">
        <f>'a26'!K39</f>
        <v>4.2388099079626986</v>
      </c>
      <c r="L29" s="628">
        <f>'a26'!L39</f>
        <v>4.9626349403162786</v>
      </c>
    </row>
    <row r="30" spans="1:12">
      <c r="A30" s="611">
        <f t="shared" si="0"/>
        <v>2006</v>
      </c>
      <c r="B30" s="628">
        <f>'a26'!B40</f>
        <v>5.3499970698203212</v>
      </c>
      <c r="C30" s="628">
        <f>'a26'!C40</f>
        <v>4.320740169622205</v>
      </c>
      <c r="D30" s="628">
        <f>'a26'!D40</f>
        <v>6.2954393024815554</v>
      </c>
      <c r="E30" s="628">
        <f>'a26'!E40</f>
        <v>6.0669010868572473</v>
      </c>
      <c r="F30" s="628">
        <f>'a26'!F40</f>
        <v>6.2021758306380477</v>
      </c>
      <c r="G30" s="628">
        <f>'a26'!G40</f>
        <v>5.0507000128340334</v>
      </c>
      <c r="H30" s="628">
        <f>'a26'!H40</f>
        <v>5.8506336770889611</v>
      </c>
      <c r="I30" s="628">
        <f>'a26'!I40</f>
        <v>5.4115495258727853</v>
      </c>
      <c r="J30" s="628">
        <f>'a26'!J40</f>
        <v>4.9883840991223538</v>
      </c>
      <c r="K30" s="628">
        <f>'a26'!K40</f>
        <v>4.3486520861312963</v>
      </c>
      <c r="L30" s="628">
        <f>'a26'!L40</f>
        <v>5.2806559922017442</v>
      </c>
    </row>
    <row r="31" spans="1:12">
      <c r="A31" s="611">
        <f t="shared" si="0"/>
        <v>2007</v>
      </c>
      <c r="B31" s="628">
        <f>'a26'!B41</f>
        <v>5.2970584516555501</v>
      </c>
      <c r="C31" s="628">
        <f>'a26'!C41</f>
        <v>5.0040415246849985</v>
      </c>
      <c r="D31" s="628">
        <f>'a26'!D41</f>
        <v>6.0475120385232746</v>
      </c>
      <c r="E31" s="628">
        <f>'a26'!E41</f>
        <v>6.1510150622134914</v>
      </c>
      <c r="F31" s="628">
        <f>'a26'!F41</f>
        <v>6.0395350143202107</v>
      </c>
      <c r="G31" s="628">
        <f>'a26'!G41</f>
        <v>5.0088090872689719</v>
      </c>
      <c r="H31" s="628">
        <f>'a26'!H41</f>
        <v>5.892148520106832</v>
      </c>
      <c r="I31" s="628">
        <f>'a26'!I41</f>
        <v>5.2648383545190667</v>
      </c>
      <c r="J31" s="628">
        <f>'a26'!J41</f>
        <v>4.7755776876746845</v>
      </c>
      <c r="K31" s="628">
        <f>'a26'!K41</f>
        <v>4.242069474029166</v>
      </c>
      <c r="L31" s="628">
        <f>'a26'!L41</f>
        <v>4.9812918806762134</v>
      </c>
    </row>
    <row r="32" spans="1:12">
      <c r="A32" s="611">
        <f t="shared" si="0"/>
        <v>2008</v>
      </c>
      <c r="B32" s="628">
        <f>'a26'!B42</f>
        <v>5.3423491075152398</v>
      </c>
      <c r="C32" s="628">
        <f>'a26'!C42</f>
        <v>5.1121645508597133</v>
      </c>
      <c r="D32" s="628">
        <f>'a26'!D42</f>
        <v>6.0119485294117645</v>
      </c>
      <c r="E32" s="628">
        <f>'a26'!E42</f>
        <v>6.2244479759116764</v>
      </c>
      <c r="F32" s="628">
        <f>'a26'!F42</f>
        <v>6.0475838003595221</v>
      </c>
      <c r="G32" s="628">
        <f>'a26'!G42</f>
        <v>5.140233874009807</v>
      </c>
      <c r="H32" s="628">
        <f>'a26'!H42</f>
        <v>5.9144455921464649</v>
      </c>
      <c r="I32" s="628">
        <f>'a26'!I42</f>
        <v>5.3339580209895052</v>
      </c>
      <c r="J32" s="628">
        <f>'a26'!J42</f>
        <v>4.1304871117649027</v>
      </c>
      <c r="K32" s="628">
        <f>'a26'!K42</f>
        <v>4.2150599101911261</v>
      </c>
      <c r="L32" s="628">
        <f>'a26'!L42</f>
        <v>5.2835354530334104</v>
      </c>
    </row>
    <row r="33" spans="1:12">
      <c r="A33" s="611">
        <f t="shared" si="0"/>
        <v>2009</v>
      </c>
      <c r="B33" s="628">
        <f>'a26'!B43</f>
        <v>5.5429171482185691</v>
      </c>
      <c r="C33" s="628">
        <f>'a26'!C43</f>
        <v>4.935860500379075</v>
      </c>
      <c r="D33" s="628">
        <f>'a26'!D43</f>
        <v>6.1113730111962283</v>
      </c>
      <c r="E33" s="628">
        <f>'a26'!E43</f>
        <v>6.562690634023344</v>
      </c>
      <c r="F33" s="628">
        <f>'a26'!F43</f>
        <v>6.4251827616175037</v>
      </c>
      <c r="G33" s="628">
        <f>'a26'!G43</f>
        <v>5.354910418537548</v>
      </c>
      <c r="H33" s="628">
        <f>'a26'!H43</f>
        <v>6.1773207754451303</v>
      </c>
      <c r="I33" s="628">
        <f>'a26'!I43</f>
        <v>5.4510891089108906</v>
      </c>
      <c r="J33" s="628">
        <f>'a26'!J43</f>
        <v>4.3760525707492652</v>
      </c>
      <c r="K33" s="628">
        <f>'a26'!K43</f>
        <v>4.3358614259922454</v>
      </c>
      <c r="L33" s="628">
        <f>'a26'!L43</f>
        <v>5.3662380655375905</v>
      </c>
    </row>
    <row r="34" spans="1:12">
      <c r="A34" s="611">
        <f t="shared" si="0"/>
        <v>2010</v>
      </c>
      <c r="B34" s="628">
        <f>'a26'!B44</f>
        <v>5.5850573293625381</v>
      </c>
      <c r="C34" s="628">
        <f>'a26'!C44</f>
        <v>4.9097844378473905</v>
      </c>
      <c r="D34" s="628">
        <f>'a26'!D44</f>
        <v>5.9298968436545145</v>
      </c>
      <c r="E34" s="628">
        <f>'a26'!E44</f>
        <v>6.6350964797327689</v>
      </c>
      <c r="F34" s="628">
        <f>'a26'!F44</f>
        <v>6.4829557348055715</v>
      </c>
      <c r="G34" s="628">
        <f>'a26'!G44</f>
        <v>5.408916608702417</v>
      </c>
      <c r="H34" s="628">
        <f>'a26'!H44</f>
        <v>6.2829369889715752</v>
      </c>
      <c r="I34" s="628">
        <f>'a26'!I44</f>
        <v>5.4798300773271009</v>
      </c>
      <c r="J34" s="628">
        <f>'a26'!J44</f>
        <v>4.3060879512470649</v>
      </c>
      <c r="K34" s="628">
        <f>'a26'!K44</f>
        <v>4.2923951219791618</v>
      </c>
      <c r="L34" s="628">
        <f>'a26'!L44</f>
        <v>5.3779026226450961</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2.5979684547997151</v>
      </c>
      <c r="C36" s="617">
        <f t="shared" si="1"/>
        <v>-0.36658754077526501</v>
      </c>
      <c r="D36" s="617">
        <f t="shared" si="1"/>
        <v>0.33479683414991968</v>
      </c>
      <c r="E36" s="617">
        <f t="shared" si="1"/>
        <v>3.553324107103073</v>
      </c>
      <c r="F36" s="617">
        <f t="shared" si="1"/>
        <v>2.2857370578923009</v>
      </c>
      <c r="G36" s="617">
        <f t="shared" si="1"/>
        <v>2.7388615636057434</v>
      </c>
      <c r="H36" s="617">
        <f t="shared" si="1"/>
        <v>3.006463750967181</v>
      </c>
      <c r="I36" s="617">
        <f t="shared" si="1"/>
        <v>2.0879041656000741</v>
      </c>
      <c r="J36" s="617">
        <f t="shared" si="1"/>
        <v>2.5592744130965794</v>
      </c>
      <c r="K36" s="617">
        <f t="shared" si="1"/>
        <v>2.2497640460150237</v>
      </c>
      <c r="L36" s="617">
        <f t="shared" si="1"/>
        <v>2.1714822058586547</v>
      </c>
    </row>
    <row r="37" spans="1:12">
      <c r="A37" s="611" t="s">
        <v>1472</v>
      </c>
      <c r="B37" s="617">
        <f t="shared" ref="B37:L37" si="2">100*(POWER(B13/B5, 1/8)-1)</f>
        <v>2.6699025451818681</v>
      </c>
      <c r="C37" s="617">
        <f t="shared" si="2"/>
        <v>-7.2297541956401146</v>
      </c>
      <c r="D37" s="617">
        <f t="shared" si="2"/>
        <v>-4.3699244866370668</v>
      </c>
      <c r="E37" s="617">
        <f t="shared" si="2"/>
        <v>5.5327267961260196</v>
      </c>
      <c r="F37" s="617">
        <f t="shared" si="2"/>
        <v>0.95937348069363715</v>
      </c>
      <c r="G37" s="617">
        <f t="shared" si="2"/>
        <v>3.2918094470318904</v>
      </c>
      <c r="H37" s="617">
        <f t="shared" si="2"/>
        <v>2.6826658538380288</v>
      </c>
      <c r="I37" s="617">
        <f t="shared" si="2"/>
        <v>-0.22049571777079668</v>
      </c>
      <c r="J37" s="617">
        <f t="shared" si="2"/>
        <v>5.4312629921636546</v>
      </c>
      <c r="K37" s="617">
        <f t="shared" si="2"/>
        <v>4.7007736888675877</v>
      </c>
      <c r="L37" s="617">
        <f t="shared" si="2"/>
        <v>2.2003842548737218</v>
      </c>
    </row>
    <row r="38" spans="1:12">
      <c r="A38" s="611" t="s">
        <v>1473</v>
      </c>
      <c r="B38" s="617">
        <f t="shared" ref="B38:L38" si="3">100*(POWER(B24/B13, 1/11)-1)</f>
        <v>3.0464545104798679</v>
      </c>
      <c r="C38" s="617">
        <f t="shared" si="3"/>
        <v>3.1015332322566147</v>
      </c>
      <c r="D38" s="617">
        <f t="shared" si="3"/>
        <v>2.8160769805305685</v>
      </c>
      <c r="E38" s="617">
        <f t="shared" si="3"/>
        <v>2.5347840694877499</v>
      </c>
      <c r="F38" s="617">
        <f t="shared" si="3"/>
        <v>2.2706898110672391</v>
      </c>
      <c r="G38" s="617">
        <f t="shared" si="3"/>
        <v>2.5954184520088797</v>
      </c>
      <c r="H38" s="617">
        <f t="shared" si="3"/>
        <v>3.7069325265861597</v>
      </c>
      <c r="I38" s="617">
        <f t="shared" si="3"/>
        <v>4.3175129078314667</v>
      </c>
      <c r="J38" s="617">
        <f t="shared" si="3"/>
        <v>2.7448107220448437</v>
      </c>
      <c r="K38" s="617">
        <f t="shared" si="3"/>
        <v>2.2743400708056472</v>
      </c>
      <c r="L38" s="617">
        <f t="shared" si="3"/>
        <v>2.1595021976701156</v>
      </c>
    </row>
    <row r="39" spans="1:12">
      <c r="A39" s="611" t="s">
        <v>1474</v>
      </c>
      <c r="B39" s="617">
        <f t="shared" ref="B39:L39" si="4">100*(POWER(B32/B24, 1/8)-1)</f>
        <v>2.0005444700489372</v>
      </c>
      <c r="C39" s="617">
        <f t="shared" si="4"/>
        <v>2.509163925754887</v>
      </c>
      <c r="D39" s="617">
        <f t="shared" si="4"/>
        <v>2.0538897557820457</v>
      </c>
      <c r="E39" s="617">
        <f t="shared" si="4"/>
        <v>3.0780685698841292</v>
      </c>
      <c r="F39" s="617">
        <f t="shared" si="4"/>
        <v>3.3359031661093885</v>
      </c>
      <c r="G39" s="617">
        <f t="shared" si="4"/>
        <v>2.4249355331849909</v>
      </c>
      <c r="H39" s="617">
        <f t="shared" si="4"/>
        <v>2.3575317481404845</v>
      </c>
      <c r="I39" s="617">
        <f t="shared" si="4"/>
        <v>1.5744738239073186</v>
      </c>
      <c r="J39" s="617">
        <f t="shared" si="4"/>
        <v>-0.37124885337099789</v>
      </c>
      <c r="K39" s="617">
        <f t="shared" si="4"/>
        <v>0.15204312435881384</v>
      </c>
      <c r="L39" s="617">
        <f t="shared" si="4"/>
        <v>2.4821591083141747</v>
      </c>
    </row>
    <row r="40" spans="1:12">
      <c r="A40" s="611" t="s">
        <v>1500</v>
      </c>
      <c r="B40" s="611"/>
      <c r="C40" s="611"/>
      <c r="D40" s="611"/>
      <c r="E40" s="611"/>
      <c r="F40" s="611"/>
      <c r="G40" s="611"/>
      <c r="H40" s="611"/>
      <c r="I40" s="611"/>
      <c r="J40" s="611"/>
      <c r="K40" s="611"/>
      <c r="L40" s="611"/>
    </row>
    <row r="41" spans="1:12">
      <c r="A41" s="611" t="s">
        <v>1498</v>
      </c>
      <c r="B41" s="616">
        <f>100*(B34-B5)/B5</f>
        <v>110.38950902730893</v>
      </c>
      <c r="C41" s="616">
        <f t="shared" ref="C41:L41" si="5">100*(C34-C5)/C5</f>
        <v>-10.10300981656038</v>
      </c>
      <c r="D41" s="616">
        <f t="shared" si="5"/>
        <v>10.178205046400308</v>
      </c>
      <c r="E41" s="616">
        <f t="shared" si="5"/>
        <v>175.26899064598774</v>
      </c>
      <c r="F41" s="616">
        <f t="shared" si="5"/>
        <v>92.591577512879113</v>
      </c>
      <c r="G41" s="616">
        <f t="shared" si="5"/>
        <v>118.93123277182232</v>
      </c>
      <c r="H41" s="616">
        <f t="shared" si="5"/>
        <v>136.0857968517499</v>
      </c>
      <c r="I41" s="616">
        <f t="shared" si="5"/>
        <v>82.07669060826764</v>
      </c>
      <c r="J41" s="616">
        <f>100*(J34-J5)/J5</f>
        <v>108.10056026898134</v>
      </c>
      <c r="K41" s="616">
        <f t="shared" si="5"/>
        <v>90.636967188708212</v>
      </c>
      <c r="L41" s="616">
        <f t="shared" si="5"/>
        <v>86.449455275824405</v>
      </c>
    </row>
    <row r="42" spans="1:12">
      <c r="A42" s="611" t="s">
        <v>1472</v>
      </c>
      <c r="B42" s="616">
        <f>100*(B13-B5)/B5</f>
        <v>23.465380252863362</v>
      </c>
      <c r="C42" s="616">
        <f t="shared" ref="C42:L42" si="6">100*(C13-C5)/C5</f>
        <v>-45.138249787176889</v>
      </c>
      <c r="D42" s="616">
        <f t="shared" si="6"/>
        <v>-30.055110291176234</v>
      </c>
      <c r="E42" s="616">
        <f t="shared" si="6"/>
        <v>53.849921166993191</v>
      </c>
      <c r="F42" s="616">
        <f t="shared" si="6"/>
        <v>7.9377037227990934</v>
      </c>
      <c r="G42" s="616">
        <f t="shared" si="6"/>
        <v>29.576750041493515</v>
      </c>
      <c r="H42" s="616">
        <f t="shared" si="6"/>
        <v>23.588221516268206</v>
      </c>
      <c r="I42" s="616">
        <f t="shared" si="6"/>
        <v>-1.7504124685472837</v>
      </c>
      <c r="J42" s="616">
        <f t="shared" si="6"/>
        <v>52.67055090405016</v>
      </c>
      <c r="K42" s="616">
        <f t="shared" si="6"/>
        <v>44.410618273429328</v>
      </c>
      <c r="L42" s="616">
        <f t="shared" si="6"/>
        <v>19.020077675611393</v>
      </c>
    </row>
    <row r="43" spans="1:12">
      <c r="A43" s="611" t="s">
        <v>1473</v>
      </c>
      <c r="B43" s="616">
        <f>100*(B24-B13)/B13</f>
        <v>39.111678573292046</v>
      </c>
      <c r="C43" s="616">
        <f t="shared" ref="C43:L43" si="7">100*(C24-C13)/C13</f>
        <v>39.931780902967901</v>
      </c>
      <c r="D43" s="616">
        <f t="shared" si="7"/>
        <v>35.728584344637</v>
      </c>
      <c r="E43" s="616">
        <f t="shared" si="7"/>
        <v>31.699289745129828</v>
      </c>
      <c r="F43" s="616">
        <f t="shared" si="7"/>
        <v>28.015641779643566</v>
      </c>
      <c r="G43" s="616">
        <f t="shared" si="7"/>
        <v>32.558517594360197</v>
      </c>
      <c r="H43" s="616">
        <f t="shared" si="7"/>
        <v>49.240149842848609</v>
      </c>
      <c r="I43" s="616">
        <f t="shared" si="7"/>
        <v>59.195015947054237</v>
      </c>
      <c r="J43" s="616">
        <f t="shared" si="7"/>
        <v>34.697290762338078</v>
      </c>
      <c r="K43" s="616">
        <f t="shared" si="7"/>
        <v>28.065911423899468</v>
      </c>
      <c r="L43" s="616">
        <f t="shared" si="7"/>
        <v>26.492987072633522</v>
      </c>
    </row>
    <row r="44" spans="1:12">
      <c r="A44" s="611" t="s">
        <v>1474</v>
      </c>
      <c r="B44" s="616">
        <f>100*(B32-B24)/B24</f>
        <v>17.170941593238553</v>
      </c>
      <c r="C44" s="616">
        <f t="shared" ref="C44:L44" si="8">100*(C32-C24)/C24</f>
        <v>21.927461248502915</v>
      </c>
      <c r="D44" s="616">
        <f t="shared" si="8"/>
        <v>17.662073927832356</v>
      </c>
      <c r="E44" s="616">
        <f t="shared" si="8"/>
        <v>27.447164850960355</v>
      </c>
      <c r="F44" s="616">
        <f t="shared" si="8"/>
        <v>30.019926684000254</v>
      </c>
      <c r="G44" s="616">
        <f t="shared" si="8"/>
        <v>21.128292233591811</v>
      </c>
      <c r="H44" s="616">
        <f t="shared" si="8"/>
        <v>20.492062399674076</v>
      </c>
      <c r="I44" s="616">
        <f t="shared" si="8"/>
        <v>13.312194404042669</v>
      </c>
      <c r="J44" s="616">
        <f t="shared" si="8"/>
        <v>-2.9316848408472795</v>
      </c>
      <c r="K44" s="616">
        <f t="shared" si="8"/>
        <v>1.2228375064584789</v>
      </c>
      <c r="L44" s="616">
        <f t="shared" si="8"/>
        <v>21.670735360459712</v>
      </c>
    </row>
    <row r="46" spans="1:12">
      <c r="A46" s="611" t="s">
        <v>1553</v>
      </c>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dimension ref="A1:L46"/>
  <sheetViews>
    <sheetView topLeftCell="A27" workbookViewId="0">
      <selection activeCell="E9" sqref="E9"/>
    </sheetView>
  </sheetViews>
  <sheetFormatPr defaultRowHeight="12.75"/>
  <cols>
    <col min="1" max="16384" width="9" style="618"/>
  </cols>
  <sheetData>
    <row r="1" spans="1:12">
      <c r="A1" s="611" t="s">
        <v>1524</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30">
        <f>'5'!C17</f>
        <v>0.80071138764357608</v>
      </c>
      <c r="C5" s="630">
        <f>'5'!E17</f>
        <v>0.29483207512591869</v>
      </c>
      <c r="D5" s="630">
        <f>'5'!G17</f>
        <v>0.30915470112427162</v>
      </c>
      <c r="E5" s="630">
        <f>'5'!I17</f>
        <v>0.84472629520624887</v>
      </c>
      <c r="F5" s="630">
        <f>'5'!K17</f>
        <v>0.67247435195923233</v>
      </c>
      <c r="G5" s="630">
        <f>'5'!M17</f>
        <v>0.83387748453996946</v>
      </c>
      <c r="H5" s="630">
        <f>'5'!O17</f>
        <v>0.79950989585074472</v>
      </c>
      <c r="I5" s="630">
        <f>'5'!Q17</f>
        <v>0.73673166158457126</v>
      </c>
      <c r="J5" s="630">
        <f>'5'!S17</f>
        <v>0.90621356414952425</v>
      </c>
      <c r="K5" s="630">
        <f>'5'!U17</f>
        <v>0.87334553368541668</v>
      </c>
      <c r="L5" s="630">
        <f>'5'!W17</f>
        <v>0.75930511208428519</v>
      </c>
    </row>
    <row r="6" spans="1:12">
      <c r="A6" s="611">
        <f t="shared" ref="A6:A34" si="0">A5+1</f>
        <v>1982</v>
      </c>
      <c r="B6" s="630">
        <f>'5'!C18</f>
        <v>0.77891418510171984</v>
      </c>
      <c r="C6" s="630">
        <f>'5'!E18</f>
        <v>0.3578435391011548</v>
      </c>
      <c r="D6" s="630">
        <f>'5'!G18</f>
        <v>0.40237243454136362</v>
      </c>
      <c r="E6" s="630">
        <f>'5'!I18</f>
        <v>0.81386394988739541</v>
      </c>
      <c r="F6" s="630">
        <f>'5'!K18</f>
        <v>0.64006571144390334</v>
      </c>
      <c r="G6" s="630">
        <f>'5'!M18</f>
        <v>0.82926327644878628</v>
      </c>
      <c r="H6" s="630">
        <f>'5'!O18</f>
        <v>0.76924540200283376</v>
      </c>
      <c r="I6" s="630">
        <f>'5'!Q18</f>
        <v>0.74666262873974709</v>
      </c>
      <c r="J6" s="630">
        <f>'5'!S18</f>
        <v>0.91666666666666674</v>
      </c>
      <c r="K6" s="630">
        <f>'5'!U18</f>
        <v>0.77799655279808322</v>
      </c>
      <c r="L6" s="630">
        <f>'5'!W18</f>
        <v>0.76387750714821523</v>
      </c>
    </row>
    <row r="7" spans="1:12">
      <c r="A7" s="611">
        <f t="shared" si="0"/>
        <v>1983</v>
      </c>
      <c r="B7" s="630">
        <f>'5'!C19</f>
        <v>0.75856540527279381</v>
      </c>
      <c r="C7" s="630">
        <f>'5'!E19</f>
        <v>0.32652954649224175</v>
      </c>
      <c r="D7" s="630">
        <f>'5'!G19</f>
        <v>0.45686599002482053</v>
      </c>
      <c r="E7" s="630">
        <f>'5'!I19</f>
        <v>0.80427488041671302</v>
      </c>
      <c r="F7" s="630">
        <f>'5'!K19</f>
        <v>0.61574070008540838</v>
      </c>
      <c r="G7" s="630">
        <f>'5'!M19</f>
        <v>0.81506429481002574</v>
      </c>
      <c r="H7" s="630">
        <f>'5'!O19</f>
        <v>0.73248353340488404</v>
      </c>
      <c r="I7" s="630">
        <f>'5'!Q19</f>
        <v>0.71707291080509372</v>
      </c>
      <c r="J7" s="630">
        <f>'5'!S19</f>
        <v>0.88681847468250241</v>
      </c>
      <c r="K7" s="630">
        <f>'5'!U19</f>
        <v>0.82815650988636269</v>
      </c>
      <c r="L7" s="630">
        <f>'5'!W19</f>
        <v>0.72944162297420734</v>
      </c>
    </row>
    <row r="8" spans="1:12">
      <c r="A8" s="611">
        <f t="shared" si="0"/>
        <v>1984</v>
      </c>
      <c r="B8" s="630">
        <f>'5'!C20</f>
        <v>0.74983859158439836</v>
      </c>
      <c r="C8" s="630">
        <f>'5'!E20</f>
        <v>0.53667802687572685</v>
      </c>
      <c r="D8" s="630">
        <f>'5'!G20</f>
        <v>0.51957924382142473</v>
      </c>
      <c r="E8" s="630">
        <f>'5'!I20</f>
        <v>0.7771699862584609</v>
      </c>
      <c r="F8" s="630">
        <f>'5'!K20</f>
        <v>0.58024076227717591</v>
      </c>
      <c r="G8" s="630">
        <f>'5'!M20</f>
        <v>0.80943189581064934</v>
      </c>
      <c r="H8" s="630">
        <f>'5'!O20</f>
        <v>0.72291302693474069</v>
      </c>
      <c r="I8" s="630">
        <f>'5'!Q20</f>
        <v>0.74223299917042185</v>
      </c>
      <c r="J8" s="630">
        <f>'5'!S20</f>
        <v>0.85120843241344735</v>
      </c>
      <c r="K8" s="630">
        <f>'5'!U20</f>
        <v>0.81536053643194006</v>
      </c>
      <c r="L8" s="630">
        <f>'5'!W20</f>
        <v>0.69495526449225564</v>
      </c>
    </row>
    <row r="9" spans="1:12">
      <c r="A9" s="611">
        <f t="shared" si="0"/>
        <v>1985</v>
      </c>
      <c r="B9" s="630">
        <f>'5'!C21</f>
        <v>0.73527339120338275</v>
      </c>
      <c r="C9" s="630">
        <f>'5'!E21</f>
        <v>0.56370976141800977</v>
      </c>
      <c r="D9" s="630">
        <f>'5'!G21</f>
        <v>0.51520789429116609</v>
      </c>
      <c r="E9" s="630">
        <f>'5'!I21</f>
        <v>0.75020240039839625</v>
      </c>
      <c r="F9" s="630">
        <f>'5'!K21</f>
        <v>0.6007615887376111</v>
      </c>
      <c r="G9" s="630">
        <f>'5'!M21</f>
        <v>0.77240709927105622</v>
      </c>
      <c r="H9" s="630">
        <f>'5'!O21</f>
        <v>0.71279687486125587</v>
      </c>
      <c r="I9" s="630">
        <f>'5'!Q21</f>
        <v>0.72233605685518609</v>
      </c>
      <c r="J9" s="630">
        <f>'5'!S21</f>
        <v>0.7652266715295668</v>
      </c>
      <c r="K9" s="630">
        <f>'5'!U21</f>
        <v>0.82800919826081298</v>
      </c>
      <c r="L9" s="630">
        <f>'5'!W21</f>
        <v>0.69734113994122271</v>
      </c>
    </row>
    <row r="10" spans="1:12">
      <c r="A10" s="611">
        <f t="shared" si="0"/>
        <v>1986</v>
      </c>
      <c r="B10" s="630">
        <f>'5'!C22</f>
        <v>0.70687957721581418</v>
      </c>
      <c r="C10" s="630">
        <f>'5'!E22</f>
        <v>0.69965774354755561</v>
      </c>
      <c r="D10" s="630">
        <f>'5'!G22</f>
        <v>0.63925943722763534</v>
      </c>
      <c r="E10" s="630">
        <f>'5'!I22</f>
        <v>0.65116858326649807</v>
      </c>
      <c r="F10" s="630">
        <f>'5'!K22</f>
        <v>0.61981608946955191</v>
      </c>
      <c r="G10" s="630">
        <f>'5'!M22</f>
        <v>0.71178670292870938</v>
      </c>
      <c r="H10" s="630">
        <f>'5'!O22</f>
        <v>0.6971514365447401</v>
      </c>
      <c r="I10" s="630">
        <f>'5'!Q22</f>
        <v>0.67934009781567484</v>
      </c>
      <c r="J10" s="630">
        <f>'5'!S22</f>
        <v>0.75129602174392818</v>
      </c>
      <c r="K10" s="630">
        <f>'5'!U22</f>
        <v>0.79486137602784424</v>
      </c>
      <c r="L10" s="630">
        <f>'5'!W22</f>
        <v>0.67741738482189839</v>
      </c>
    </row>
    <row r="11" spans="1:12">
      <c r="A11" s="611">
        <f t="shared" si="0"/>
        <v>1987</v>
      </c>
      <c r="B11" s="630">
        <f>'5'!C23</f>
        <v>0.69527727632756597</v>
      </c>
      <c r="C11" s="630">
        <f>'5'!E23</f>
        <v>0.69753669798332552</v>
      </c>
      <c r="D11" s="630">
        <f>'5'!G23</f>
        <v>0.62389020990896338</v>
      </c>
      <c r="E11" s="630">
        <f>'5'!I23</f>
        <v>0.62217572842664015</v>
      </c>
      <c r="F11" s="630">
        <f>'5'!K23</f>
        <v>0.61951340917338271</v>
      </c>
      <c r="G11" s="630">
        <f>'5'!M23</f>
        <v>0.71984703105676806</v>
      </c>
      <c r="H11" s="630">
        <f>'5'!O23</f>
        <v>0.68242778869916065</v>
      </c>
      <c r="I11" s="630">
        <f>'5'!Q23</f>
        <v>0.71649365890745464</v>
      </c>
      <c r="J11" s="630">
        <f>'5'!S23</f>
        <v>0.6830142338238645</v>
      </c>
      <c r="K11" s="630">
        <f>'5'!U23</f>
        <v>0.75929233225927339</v>
      </c>
      <c r="L11" s="630">
        <f>'5'!W23</f>
        <v>0.66285215224721894</v>
      </c>
    </row>
    <row r="12" spans="1:12">
      <c r="A12" s="611">
        <f t="shared" si="0"/>
        <v>1988</v>
      </c>
      <c r="B12" s="630">
        <f>'5'!C24</f>
        <v>0.69560646303223739</v>
      </c>
      <c r="C12" s="630">
        <f>'5'!E24</f>
        <v>0.71579236437445537</v>
      </c>
      <c r="D12" s="630">
        <f>'5'!G24</f>
        <v>0.64785172121702461</v>
      </c>
      <c r="E12" s="630">
        <f>'5'!I24</f>
        <v>0.63066533110329781</v>
      </c>
      <c r="F12" s="630">
        <f>'5'!K24</f>
        <v>0.61731585413421242</v>
      </c>
      <c r="G12" s="630">
        <f>'5'!M24</f>
        <v>0.71518078654949746</v>
      </c>
      <c r="H12" s="630">
        <f>'5'!O24</f>
        <v>0.68654280685725844</v>
      </c>
      <c r="I12" s="630">
        <f>'5'!Q24</f>
        <v>0.76810316109224663</v>
      </c>
      <c r="J12" s="630">
        <f>'5'!S24</f>
        <v>0.75814685734119447</v>
      </c>
      <c r="K12" s="630">
        <f>'5'!U24</f>
        <v>0.71157080418599528</v>
      </c>
      <c r="L12" s="630">
        <f>'5'!W24</f>
        <v>0.65668330396676067</v>
      </c>
    </row>
    <row r="13" spans="1:12">
      <c r="A13" s="611">
        <f t="shared" si="0"/>
        <v>1989</v>
      </c>
      <c r="B13" s="630">
        <f>'5'!C25</f>
        <v>0.6884462347703465</v>
      </c>
      <c r="C13" s="630">
        <f>'5'!E25</f>
        <v>0.73913155985723444</v>
      </c>
      <c r="D13" s="630">
        <f>'5'!G25</f>
        <v>0.60068492903300186</v>
      </c>
      <c r="E13" s="630">
        <f>'5'!I25</f>
        <v>0.61079472052870309</v>
      </c>
      <c r="F13" s="630">
        <f>'5'!K25</f>
        <v>0.62431901001953827</v>
      </c>
      <c r="G13" s="630">
        <f>'5'!M25</f>
        <v>0.70218322800841004</v>
      </c>
      <c r="H13" s="630">
        <f>'5'!O25</f>
        <v>0.6863736243672468</v>
      </c>
      <c r="I13" s="630">
        <f>'5'!Q25</f>
        <v>0.74622604922736735</v>
      </c>
      <c r="J13" s="630">
        <f>'5'!S25</f>
        <v>0.70979102181554254</v>
      </c>
      <c r="K13" s="630">
        <f>'5'!U25</f>
        <v>0.69312958920169732</v>
      </c>
      <c r="L13" s="630">
        <f>'5'!W25</f>
        <v>0.66043206419069411</v>
      </c>
    </row>
    <row r="14" spans="1:12">
      <c r="A14" s="611">
        <f t="shared" si="0"/>
        <v>1990</v>
      </c>
      <c r="B14" s="630">
        <f>'5'!C26</f>
        <v>0.66537221743177566</v>
      </c>
      <c r="C14" s="630">
        <f>'5'!E26</f>
        <v>0.73141289187193748</v>
      </c>
      <c r="D14" s="630">
        <f>'5'!G26</f>
        <v>0.58367637675335937</v>
      </c>
      <c r="E14" s="630">
        <f>'5'!I26</f>
        <v>0.61421328343355641</v>
      </c>
      <c r="F14" s="630">
        <f>'5'!K26</f>
        <v>0.57239844635594739</v>
      </c>
      <c r="G14" s="630">
        <f>'5'!M26</f>
        <v>0.67955199917560027</v>
      </c>
      <c r="H14" s="630">
        <f>'5'!O26</f>
        <v>0.65621216632557677</v>
      </c>
      <c r="I14" s="630">
        <f>'5'!Q26</f>
        <v>0.72584856038826562</v>
      </c>
      <c r="J14" s="630">
        <f>'5'!S26</f>
        <v>0.70100952345585643</v>
      </c>
      <c r="K14" s="630">
        <f>'5'!U26</f>
        <v>0.68314038002164257</v>
      </c>
      <c r="L14" s="630">
        <f>'5'!W26</f>
        <v>0.63971291120218232</v>
      </c>
    </row>
    <row r="15" spans="1:12">
      <c r="A15" s="611">
        <f t="shared" si="0"/>
        <v>1991</v>
      </c>
      <c r="B15" s="630">
        <f>'5'!C27</f>
        <v>0.63427686845310671</v>
      </c>
      <c r="C15" s="630">
        <f>'5'!E27</f>
        <v>0.69052771664974766</v>
      </c>
      <c r="D15" s="630">
        <f>'5'!G27</f>
        <v>0.54524622918675858</v>
      </c>
      <c r="E15" s="630">
        <f>'5'!I27</f>
        <v>0.59982850871461579</v>
      </c>
      <c r="F15" s="630">
        <f>'5'!K27</f>
        <v>0.52382273676135882</v>
      </c>
      <c r="G15" s="630">
        <f>'5'!M27</f>
        <v>0.64513660817347884</v>
      </c>
      <c r="H15" s="630">
        <f>'5'!O27</f>
        <v>0.62093035170133426</v>
      </c>
      <c r="I15" s="630">
        <f>'5'!Q27</f>
        <v>0.69316134343540059</v>
      </c>
      <c r="J15" s="630">
        <f>'5'!S27</f>
        <v>0.67045635191346231</v>
      </c>
      <c r="K15" s="630">
        <f>'5'!U27</f>
        <v>0.67477804742135405</v>
      </c>
      <c r="L15" s="630">
        <f>'5'!W27</f>
        <v>0.61268797908302008</v>
      </c>
    </row>
    <row r="16" spans="1:12">
      <c r="A16" s="611">
        <f t="shared" si="0"/>
        <v>1992</v>
      </c>
      <c r="B16" s="630">
        <f>'5'!C28</f>
        <v>0.60383585655787064</v>
      </c>
      <c r="C16" s="630">
        <f>'5'!E28</f>
        <v>0.65326127464946071</v>
      </c>
      <c r="D16" s="630">
        <f>'5'!G28</f>
        <v>0.47151982348567911</v>
      </c>
      <c r="E16" s="630">
        <f>'5'!I28</f>
        <v>0.57107440657979647</v>
      </c>
      <c r="F16" s="630">
        <f>'5'!K28</f>
        <v>0.50603497094924321</v>
      </c>
      <c r="G16" s="630">
        <f>'5'!M28</f>
        <v>0.60215170036009902</v>
      </c>
      <c r="H16" s="630">
        <f>'5'!O28</f>
        <v>0.58861064846016309</v>
      </c>
      <c r="I16" s="630">
        <f>'5'!Q28</f>
        <v>0.66997781769063935</v>
      </c>
      <c r="J16" s="630">
        <f>'5'!S28</f>
        <v>0.63920792811572169</v>
      </c>
      <c r="K16" s="630">
        <f>'5'!U28</f>
        <v>0.66021750937687895</v>
      </c>
      <c r="L16" s="630">
        <f>'5'!W28</f>
        <v>0.59712098995355845</v>
      </c>
    </row>
    <row r="17" spans="1:12">
      <c r="A17" s="611">
        <f t="shared" si="0"/>
        <v>1993</v>
      </c>
      <c r="B17" s="630">
        <f>'5'!C29</f>
        <v>0.5662425933160613</v>
      </c>
      <c r="C17" s="630">
        <f>'5'!E29</f>
        <v>0.634447466001688</v>
      </c>
      <c r="D17" s="630">
        <f>'5'!G29</f>
        <v>0.44502202869307111</v>
      </c>
      <c r="E17" s="630">
        <f>'5'!I29</f>
        <v>0.55627151204520986</v>
      </c>
      <c r="F17" s="630">
        <f>'5'!K29</f>
        <v>0.46648192183303455</v>
      </c>
      <c r="G17" s="630">
        <f>'5'!M29</f>
        <v>0.57241478193355466</v>
      </c>
      <c r="H17" s="630">
        <f>'5'!O29</f>
        <v>0.53514865337720685</v>
      </c>
      <c r="I17" s="630">
        <f>'5'!Q29</f>
        <v>0.61533782398754433</v>
      </c>
      <c r="J17" s="630">
        <f>'5'!S29</f>
        <v>0.57609694854860871</v>
      </c>
      <c r="K17" s="630">
        <f>'5'!U29</f>
        <v>0.6322915202342082</v>
      </c>
      <c r="L17" s="630">
        <f>'5'!W29</f>
        <v>0.5904490305690715</v>
      </c>
    </row>
    <row r="18" spans="1:12">
      <c r="A18" s="611">
        <f t="shared" si="0"/>
        <v>1994</v>
      </c>
      <c r="B18" s="630">
        <f>'5'!C30</f>
        <v>0.54002467858591285</v>
      </c>
      <c r="C18" s="630">
        <f>'5'!E30</f>
        <v>0.60157714811734708</v>
      </c>
      <c r="D18" s="630">
        <f>'5'!G30</f>
        <v>0.40653602066737976</v>
      </c>
      <c r="E18" s="630">
        <f>'5'!I30</f>
        <v>0.52057636882486868</v>
      </c>
      <c r="F18" s="630">
        <f>'5'!K30</f>
        <v>0.44694029927345907</v>
      </c>
      <c r="G18" s="630">
        <f>'5'!M30</f>
        <v>0.54734444746848865</v>
      </c>
      <c r="H18" s="630">
        <f>'5'!O30</f>
        <v>0.49937149709504142</v>
      </c>
      <c r="I18" s="630">
        <f>'5'!Q30</f>
        <v>0.59921179865985885</v>
      </c>
      <c r="J18" s="630">
        <f>'5'!S30</f>
        <v>0.53710920938922047</v>
      </c>
      <c r="K18" s="630">
        <f>'5'!U30</f>
        <v>0.61148854639728811</v>
      </c>
      <c r="L18" s="630">
        <f>'5'!W30</f>
        <v>0.58796090749891516</v>
      </c>
    </row>
    <row r="19" spans="1:12">
      <c r="A19" s="611">
        <f t="shared" si="0"/>
        <v>1995</v>
      </c>
      <c r="B19" s="630">
        <f>'5'!C31</f>
        <v>0.53789613246049828</v>
      </c>
      <c r="C19" s="630">
        <f>'5'!E31</f>
        <v>0.62036948521577906</v>
      </c>
      <c r="D19" s="630">
        <f>'5'!G31</f>
        <v>0.36481995572996839</v>
      </c>
      <c r="E19" s="630">
        <f>'5'!I31</f>
        <v>0.52288145861044444</v>
      </c>
      <c r="F19" s="630">
        <f>'5'!K31</f>
        <v>0.51507951830140442</v>
      </c>
      <c r="G19" s="630">
        <f>'5'!M31</f>
        <v>0.56468422028489929</v>
      </c>
      <c r="H19" s="630">
        <f>'5'!O31</f>
        <v>0.46860626319303034</v>
      </c>
      <c r="I19" s="630">
        <f>'5'!Q31</f>
        <v>0.57741346531418569</v>
      </c>
      <c r="J19" s="630">
        <f>'5'!S31</f>
        <v>0.57126107724186681</v>
      </c>
      <c r="K19" s="630">
        <f>'5'!U31</f>
        <v>0.62769677920201294</v>
      </c>
      <c r="L19" s="630">
        <f>'5'!W31</f>
        <v>0.60796656390450132</v>
      </c>
    </row>
    <row r="20" spans="1:12">
      <c r="A20" s="611">
        <f t="shared" si="0"/>
        <v>1996</v>
      </c>
      <c r="B20" s="630">
        <f>'5'!C32</f>
        <v>0.53095093509797031</v>
      </c>
      <c r="C20" s="630">
        <f>'5'!E32</f>
        <v>0.64967455408322483</v>
      </c>
      <c r="D20" s="630">
        <f>'5'!G32</f>
        <v>0.35564207453398056</v>
      </c>
      <c r="E20" s="630">
        <f>'5'!I32</f>
        <v>0.48721597895087476</v>
      </c>
      <c r="F20" s="630">
        <f>'5'!K32</f>
        <v>0.53401501956315611</v>
      </c>
      <c r="G20" s="630">
        <f>'5'!M32</f>
        <v>0.56823093364463906</v>
      </c>
      <c r="H20" s="630">
        <f>'5'!O32</f>
        <v>0.45356690904343311</v>
      </c>
      <c r="I20" s="630">
        <f>'5'!Q32</f>
        <v>0.55394704008421336</v>
      </c>
      <c r="J20" s="630">
        <f>'5'!S32</f>
        <v>0.60569348342026019</v>
      </c>
      <c r="K20" s="630">
        <f>'5'!U32</f>
        <v>0.62849469658215518</v>
      </c>
      <c r="L20" s="630">
        <f>'5'!W32</f>
        <v>0.59255883101509499</v>
      </c>
    </row>
    <row r="21" spans="1:12">
      <c r="A21" s="611">
        <f t="shared" si="0"/>
        <v>1997</v>
      </c>
      <c r="B21" s="630">
        <f>'5'!C33</f>
        <v>0.50262757260807234</v>
      </c>
      <c r="C21" s="630">
        <f>'5'!E33</f>
        <v>0.63469427597383676</v>
      </c>
      <c r="D21" s="630">
        <f>'5'!G33</f>
        <v>0.339726449286195</v>
      </c>
      <c r="E21" s="630">
        <f>'5'!I33</f>
        <v>0.46460575078217997</v>
      </c>
      <c r="F21" s="630">
        <f>'5'!K33</f>
        <v>0.45384265445891081</v>
      </c>
      <c r="G21" s="630">
        <f>'5'!M33</f>
        <v>0.54399450265930938</v>
      </c>
      <c r="H21" s="630">
        <f>'5'!O33</f>
        <v>0.4357279799597859</v>
      </c>
      <c r="I21" s="630">
        <f>'5'!Q33</f>
        <v>0.49624541150566914</v>
      </c>
      <c r="J21" s="630">
        <f>'5'!S33</f>
        <v>0.51442575775568822</v>
      </c>
      <c r="K21" s="630">
        <f>'5'!U33</f>
        <v>0.58419134940612294</v>
      </c>
      <c r="L21" s="630">
        <f>'5'!W33</f>
        <v>0.56566509358175521</v>
      </c>
    </row>
    <row r="22" spans="1:12">
      <c r="A22" s="611">
        <f t="shared" si="0"/>
        <v>1998</v>
      </c>
      <c r="B22" s="630">
        <f>'5'!C34</f>
        <v>0.49430944749561828</v>
      </c>
      <c r="C22" s="630">
        <f>'5'!E34</f>
        <v>0.55770807286210278</v>
      </c>
      <c r="D22" s="630">
        <f>'5'!G34</f>
        <v>0.31002588631568595</v>
      </c>
      <c r="E22" s="630">
        <f>'5'!I34</f>
        <v>0.4284963572657845</v>
      </c>
      <c r="F22" s="630">
        <f>'5'!K34</f>
        <v>0.48593182855999945</v>
      </c>
      <c r="G22" s="630">
        <f>'5'!M34</f>
        <v>0.56095958228382725</v>
      </c>
      <c r="H22" s="630">
        <f>'5'!O34</f>
        <v>0.41844062728465531</v>
      </c>
      <c r="I22" s="630">
        <f>'5'!Q34</f>
        <v>0.49416322941503937</v>
      </c>
      <c r="J22" s="630">
        <f>'5'!S34</f>
        <v>0.55578212319839082</v>
      </c>
      <c r="K22" s="630">
        <f>'5'!U34</f>
        <v>0.59235718327846743</v>
      </c>
      <c r="L22" s="630">
        <f>'5'!W34</f>
        <v>0.52740534136216277</v>
      </c>
    </row>
    <row r="23" spans="1:12">
      <c r="A23" s="611">
        <f t="shared" si="0"/>
        <v>1999</v>
      </c>
      <c r="B23" s="630">
        <f>'5'!C35</f>
        <v>0.46303290942687209</v>
      </c>
      <c r="C23" s="630">
        <f>'5'!E35</f>
        <v>0.56833122706071615</v>
      </c>
      <c r="D23" s="630">
        <f>'5'!G35</f>
        <v>0.32711588511354944</v>
      </c>
      <c r="E23" s="630">
        <f>'5'!I35</f>
        <v>0.45911718966385573</v>
      </c>
      <c r="F23" s="630">
        <f>'5'!K35</f>
        <v>0.44970309456806351</v>
      </c>
      <c r="G23" s="630">
        <f>'5'!M35</f>
        <v>0.51590306970224176</v>
      </c>
      <c r="H23" s="630">
        <f>'5'!O35</f>
        <v>0.39080584571016558</v>
      </c>
      <c r="I23" s="630">
        <f>'5'!Q35</f>
        <v>0.44360744785545092</v>
      </c>
      <c r="J23" s="630">
        <f>'5'!S35</f>
        <v>0.53316907760079479</v>
      </c>
      <c r="K23" s="630">
        <f>'5'!U35</f>
        <v>0.53898277053227928</v>
      </c>
      <c r="L23" s="630">
        <f>'5'!W35</f>
        <v>0.51091157099851292</v>
      </c>
    </row>
    <row r="24" spans="1:12">
      <c r="A24" s="611">
        <f t="shared" si="0"/>
        <v>2000</v>
      </c>
      <c r="B24" s="630">
        <f>'5'!C36</f>
        <v>0.45741588837884933</v>
      </c>
      <c r="C24" s="630">
        <f>'5'!E36</f>
        <v>0.52349647101142616</v>
      </c>
      <c r="D24" s="630">
        <f>'5'!G36</f>
        <v>0.35828244579340179</v>
      </c>
      <c r="E24" s="630">
        <f>'5'!I36</f>
        <v>0.39893393318151255</v>
      </c>
      <c r="F24" s="630">
        <f>'5'!K36</f>
        <v>0.44086663583796065</v>
      </c>
      <c r="G24" s="630">
        <f>'5'!M36</f>
        <v>0.51433457299030572</v>
      </c>
      <c r="H24" s="630">
        <f>'5'!O36</f>
        <v>0.39449444741711698</v>
      </c>
      <c r="I24" s="630">
        <f>'5'!Q36</f>
        <v>0.43076740036676731</v>
      </c>
      <c r="J24" s="630">
        <f>'5'!S36</f>
        <v>0.51224226305957199</v>
      </c>
      <c r="K24" s="630">
        <f>'5'!U36</f>
        <v>0.52866035491348873</v>
      </c>
      <c r="L24" s="630">
        <f>'5'!W36</f>
        <v>0.49651778328547824</v>
      </c>
    </row>
    <row r="25" spans="1:12">
      <c r="A25" s="611">
        <f t="shared" si="0"/>
        <v>2001</v>
      </c>
      <c r="B25" s="630">
        <f>'5'!C37</f>
        <v>0.4156903579189849</v>
      </c>
      <c r="C25" s="630">
        <f>'5'!E37</f>
        <v>0.51664591771578383</v>
      </c>
      <c r="D25" s="630">
        <f>'5'!G37</f>
        <v>0.20188430684364353</v>
      </c>
      <c r="E25" s="630">
        <f>'5'!I37</f>
        <v>0.36260632140314114</v>
      </c>
      <c r="F25" s="630">
        <f>'5'!K37</f>
        <v>0.35326187043102891</v>
      </c>
      <c r="G25" s="630">
        <f>'5'!M37</f>
        <v>0.46642878503586521</v>
      </c>
      <c r="H25" s="630">
        <f>'5'!O37</f>
        <v>0.35138644296207128</v>
      </c>
      <c r="I25" s="630">
        <f>'5'!Q37</f>
        <v>0.35894726923297648</v>
      </c>
      <c r="J25" s="630">
        <f>'5'!S37</f>
        <v>0.43170311678856299</v>
      </c>
      <c r="K25" s="630">
        <f>'5'!U37</f>
        <v>0.50175673633447093</v>
      </c>
      <c r="L25" s="630">
        <f>'5'!W37</f>
        <v>0.47330662818744668</v>
      </c>
    </row>
    <row r="26" spans="1:12">
      <c r="A26" s="611">
        <f t="shared" si="0"/>
        <v>2002</v>
      </c>
      <c r="B26" s="630">
        <f>'5'!C38</f>
        <v>0.37031627305551662</v>
      </c>
      <c r="C26" s="630">
        <f>'5'!E38</f>
        <v>0.48195280381192218</v>
      </c>
      <c r="D26" s="630">
        <f>'5'!G38</f>
        <v>0.31252560171349125</v>
      </c>
      <c r="E26" s="630">
        <f>'5'!I38</f>
        <v>0.27995302469953415</v>
      </c>
      <c r="F26" s="630">
        <f>'5'!K38</f>
        <v>0.30025239627199729</v>
      </c>
      <c r="G26" s="630">
        <f>'5'!M38</f>
        <v>0.43905184979428374</v>
      </c>
      <c r="H26" s="630">
        <f>'5'!O38</f>
        <v>0.27725528418793388</v>
      </c>
      <c r="I26" s="630">
        <f>'5'!Q38</f>
        <v>0.34687161867672972</v>
      </c>
      <c r="J26" s="630">
        <f>'5'!S38</f>
        <v>0.42860627525979189</v>
      </c>
      <c r="K26" s="630">
        <f>'5'!U38</f>
        <v>0.50014326499065564</v>
      </c>
      <c r="L26" s="630">
        <f>'5'!W38</f>
        <v>0.43235934195117492</v>
      </c>
    </row>
    <row r="27" spans="1:12">
      <c r="A27" s="611">
        <f t="shared" si="0"/>
        <v>2003</v>
      </c>
      <c r="B27" s="630">
        <f>'5'!C39</f>
        <v>0.35735379072988066</v>
      </c>
      <c r="C27" s="630">
        <f>'5'!E39</f>
        <v>0.4136643452087827</v>
      </c>
      <c r="D27" s="630">
        <f>'5'!G39</f>
        <v>0.17576963788240921</v>
      </c>
      <c r="E27" s="630">
        <f>'5'!I39</f>
        <v>0.24077046477519437</v>
      </c>
      <c r="F27" s="630">
        <f>'5'!K39</f>
        <v>0.27061706981880534</v>
      </c>
      <c r="G27" s="630">
        <f>'5'!M39</f>
        <v>0.41594908155860344</v>
      </c>
      <c r="H27" s="630">
        <f>'5'!O39</f>
        <v>0.27331033439578012</v>
      </c>
      <c r="I27" s="630">
        <f>'5'!Q39</f>
        <v>0.34651020009504901</v>
      </c>
      <c r="J27" s="630">
        <f>'5'!S39</f>
        <v>0.41422652878487676</v>
      </c>
      <c r="K27" s="630">
        <f>'5'!U39</f>
        <v>0.49545335850627176</v>
      </c>
      <c r="L27" s="630">
        <f>'5'!W39</f>
        <v>0.41151800191354221</v>
      </c>
    </row>
    <row r="28" spans="1:12">
      <c r="A28" s="611">
        <f t="shared" si="0"/>
        <v>2004</v>
      </c>
      <c r="B28" s="630">
        <f>'5'!C40</f>
        <v>0.34639479178281629</v>
      </c>
      <c r="C28" s="630">
        <f>'5'!E40</f>
        <v>0.37056811165650638</v>
      </c>
      <c r="D28" s="630">
        <f>'5'!G40</f>
        <v>0.20553419652256186</v>
      </c>
      <c r="E28" s="630">
        <f>'5'!I40</f>
        <v>0.26436131089756892</v>
      </c>
      <c r="F28" s="630">
        <f>'5'!K40</f>
        <v>0.29316867758545601</v>
      </c>
      <c r="G28" s="630">
        <f>'5'!M40</f>
        <v>0.42764633628243248</v>
      </c>
      <c r="H28" s="630">
        <f>'5'!O40</f>
        <v>0.24663657368087305</v>
      </c>
      <c r="I28" s="630">
        <f>'5'!Q40</f>
        <v>0.35325292543622533</v>
      </c>
      <c r="J28" s="630">
        <f>'5'!S40</f>
        <v>0.43831213662434404</v>
      </c>
      <c r="K28" s="630">
        <f>'5'!U40</f>
        <v>0.48851787191635132</v>
      </c>
      <c r="L28" s="630">
        <f>'5'!W40</f>
        <v>0.37893839582245092</v>
      </c>
    </row>
    <row r="29" spans="1:12">
      <c r="A29" s="611">
        <f t="shared" si="0"/>
        <v>2005</v>
      </c>
      <c r="B29" s="630">
        <f>'5'!C41</f>
        <v>0.32856902995189186</v>
      </c>
      <c r="C29" s="630">
        <f>'5'!E41</f>
        <v>0.32309486728567771</v>
      </c>
      <c r="D29" s="630">
        <f>'5'!G41</f>
        <v>0.24281764858670593</v>
      </c>
      <c r="E29" s="630">
        <f>'5'!I41</f>
        <v>0.24607536583181933</v>
      </c>
      <c r="F29" s="630">
        <f>'5'!K41</f>
        <v>0.19116046674739259</v>
      </c>
      <c r="G29" s="630">
        <f>'5'!M41</f>
        <v>0.38374868447122279</v>
      </c>
      <c r="H29" s="630">
        <f>'5'!O41</f>
        <v>0.22576951023789715</v>
      </c>
      <c r="I29" s="630">
        <f>'5'!Q41</f>
        <v>0.31916520221283678</v>
      </c>
      <c r="J29" s="630">
        <f>'5'!S41</f>
        <v>0.42475650768984058</v>
      </c>
      <c r="K29" s="630">
        <f>'5'!U41</f>
        <v>0.51520287383492647</v>
      </c>
      <c r="L29" s="630">
        <f>'5'!W41</f>
        <v>0.3847518719352731</v>
      </c>
    </row>
    <row r="30" spans="1:12">
      <c r="A30" s="611">
        <f t="shared" si="0"/>
        <v>2006</v>
      </c>
      <c r="B30" s="630">
        <f>'5'!C42</f>
        <v>0.31493972724130309</v>
      </c>
      <c r="C30" s="630">
        <f>'5'!E42</f>
        <v>0.50043703369172121</v>
      </c>
      <c r="D30" s="630">
        <f>'5'!G42</f>
        <v>0.14454787703425459</v>
      </c>
      <c r="E30" s="630">
        <f>'5'!I42</f>
        <v>0.18573606184130709</v>
      </c>
      <c r="F30" s="630">
        <f>'5'!K42</f>
        <v>0.16135623927487214</v>
      </c>
      <c r="G30" s="630">
        <f>'5'!M42</f>
        <v>0.36888038859495265</v>
      </c>
      <c r="H30" s="630">
        <f>'5'!O42</f>
        <v>0.22471274684317982</v>
      </c>
      <c r="I30" s="630">
        <f>'5'!Q42</f>
        <v>0.30384646685029471</v>
      </c>
      <c r="J30" s="630">
        <f>'5'!S42</f>
        <v>0.38011124275807578</v>
      </c>
      <c r="K30" s="630">
        <f>'5'!U42</f>
        <v>0.49540662259677615</v>
      </c>
      <c r="L30" s="630">
        <f>'5'!W42</f>
        <v>0.3274366880313056</v>
      </c>
    </row>
    <row r="31" spans="1:12">
      <c r="A31" s="611">
        <f t="shared" si="0"/>
        <v>2007</v>
      </c>
      <c r="B31" s="630">
        <f>'5'!C43</f>
        <v>0.32448056303738276</v>
      </c>
      <c r="C31" s="630">
        <f>'5'!E43</f>
        <v>0.37728939112194931</v>
      </c>
      <c r="D31" s="630">
        <f>'5'!G43</f>
        <v>0.1892304433119551</v>
      </c>
      <c r="E31" s="630">
        <f>'5'!I43</f>
        <v>0.17057666299694005</v>
      </c>
      <c r="F31" s="630">
        <f>'5'!K43</f>
        <v>0.19066809848130431</v>
      </c>
      <c r="G31" s="630">
        <f>'5'!M43</f>
        <v>0.37643015955644743</v>
      </c>
      <c r="H31" s="630">
        <f>'5'!O43</f>
        <v>0.21723075516933757</v>
      </c>
      <c r="I31" s="630">
        <f>'5'!Q43</f>
        <v>0.33028741381607374</v>
      </c>
      <c r="J31" s="630">
        <f>'5'!S43</f>
        <v>0.41846417108075573</v>
      </c>
      <c r="K31" s="630">
        <f>'5'!U43</f>
        <v>0.5146154201822859</v>
      </c>
      <c r="L31" s="630">
        <f>'5'!W43</f>
        <v>0.38138943425551808</v>
      </c>
    </row>
    <row r="32" spans="1:12">
      <c r="A32" s="611">
        <f t="shared" si="0"/>
        <v>2008</v>
      </c>
      <c r="B32" s="630">
        <f>'5'!C44</f>
        <v>0.31631807739582118</v>
      </c>
      <c r="C32" s="630">
        <f>'5'!E44</f>
        <v>0.35780297318604132</v>
      </c>
      <c r="D32" s="630">
        <f>'5'!G44</f>
        <v>0.19563985882992754</v>
      </c>
      <c r="E32" s="630">
        <f>'5'!I44</f>
        <v>0.15734225311035355</v>
      </c>
      <c r="F32" s="630">
        <f>'5'!K44</f>
        <v>0.18921751007116042</v>
      </c>
      <c r="G32" s="630">
        <f>'5'!M44</f>
        <v>0.35274419355849984</v>
      </c>
      <c r="H32" s="630">
        <f>'5'!O44</f>
        <v>0.21321227659097028</v>
      </c>
      <c r="I32" s="630">
        <f>'5'!Q44</f>
        <v>0.31783035673873022</v>
      </c>
      <c r="J32" s="630">
        <f>'5'!S44</f>
        <v>0.53472529522262968</v>
      </c>
      <c r="K32" s="630">
        <f>'5'!U44</f>
        <v>0.51948320522156299</v>
      </c>
      <c r="L32" s="630">
        <f>'5'!W44</f>
        <v>0.32691773865316615</v>
      </c>
    </row>
    <row r="33" spans="1:12">
      <c r="A33" s="611">
        <f t="shared" si="0"/>
        <v>2009</v>
      </c>
      <c r="B33" s="630">
        <f>'5'!C45</f>
        <v>0.28017080327665422</v>
      </c>
      <c r="C33" s="630">
        <f>'5'!E45</f>
        <v>0.38957728188794261</v>
      </c>
      <c r="D33" s="630">
        <f>'5'!G45</f>
        <v>0.1777211316757091</v>
      </c>
      <c r="E33" s="630">
        <f>'5'!I45</f>
        <v>9.6382640408930881E-2</v>
      </c>
      <c r="F33" s="630">
        <f>'5'!K45</f>
        <v>0.12116492745709288</v>
      </c>
      <c r="G33" s="630">
        <f>'5'!M45</f>
        <v>0.31405422144336115</v>
      </c>
      <c r="H33" s="630">
        <f>'5'!O45</f>
        <v>0.16583572907870556</v>
      </c>
      <c r="I33" s="630">
        <f>'5'!Q45</f>
        <v>0.29672046541146113</v>
      </c>
      <c r="J33" s="630">
        <f>'5'!S45</f>
        <v>0.49046838405682464</v>
      </c>
      <c r="K33" s="630">
        <f>'5'!U45</f>
        <v>0.49771181287828892</v>
      </c>
      <c r="L33" s="630">
        <f>'5'!W45</f>
        <v>0.31201270196797593</v>
      </c>
    </row>
    <row r="34" spans="1:12">
      <c r="A34" s="611">
        <f t="shared" si="0"/>
        <v>2010</v>
      </c>
      <c r="B34" s="630">
        <f>'5'!C46</f>
        <v>0.27257611035398904</v>
      </c>
      <c r="C34" s="630">
        <f>'5'!E46</f>
        <v>0.39427682712444195</v>
      </c>
      <c r="D34" s="630">
        <f>'5'!G46</f>
        <v>0.21042758256999314</v>
      </c>
      <c r="E34" s="630">
        <f>'5'!I46</f>
        <v>8.3333333333333301E-2</v>
      </c>
      <c r="F34" s="630">
        <f>'5'!K46</f>
        <v>0.11075282246177441</v>
      </c>
      <c r="G34" s="630">
        <f>'5'!M46</f>
        <v>0.30432098302124905</v>
      </c>
      <c r="H34" s="630">
        <f>'5'!O46</f>
        <v>0.14680110018976961</v>
      </c>
      <c r="I34" s="630">
        <f>'5'!Q46</f>
        <v>0.29154063885410952</v>
      </c>
      <c r="J34" s="630">
        <f>'5'!S46</f>
        <v>0.50307772236875481</v>
      </c>
      <c r="K34" s="630">
        <f>'5'!U46</f>
        <v>0.50554550562713518</v>
      </c>
      <c r="L34" s="630">
        <f>'5'!W46</f>
        <v>0.30991046303815883</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-3.6476136308842388</v>
      </c>
      <c r="C36" s="617">
        <f t="shared" si="1"/>
        <v>1.0072712773482762</v>
      </c>
      <c r="D36" s="617">
        <f t="shared" si="1"/>
        <v>-1.3177926019972586</v>
      </c>
      <c r="E36" s="617">
        <f t="shared" si="1"/>
        <v>-7.6761540631173126</v>
      </c>
      <c r="F36" s="617">
        <f t="shared" si="1"/>
        <v>-6.030063428481192</v>
      </c>
      <c r="G36" s="617">
        <f t="shared" si="1"/>
        <v>-3.4161594373394055</v>
      </c>
      <c r="H36" s="617">
        <f t="shared" si="1"/>
        <v>-5.6770380976771122</v>
      </c>
      <c r="I36" s="617">
        <f t="shared" si="1"/>
        <v>-3.1461500808030229</v>
      </c>
      <c r="J36" s="617">
        <f t="shared" si="1"/>
        <v>-2.0089608869688247</v>
      </c>
      <c r="K36" s="617">
        <f t="shared" si="1"/>
        <v>-1.8674912410001299</v>
      </c>
      <c r="L36" s="617">
        <f t="shared" si="1"/>
        <v>-3.0428151948294402</v>
      </c>
    </row>
    <row r="37" spans="1:12">
      <c r="A37" s="611" t="s">
        <v>1472</v>
      </c>
      <c r="B37" s="617">
        <f t="shared" ref="B37:L37" si="2">100*(POWER(B13/B5, 1/8)-1)</f>
        <v>-1.8705752387653929</v>
      </c>
      <c r="C37" s="617">
        <f t="shared" si="2"/>
        <v>12.17430234201875</v>
      </c>
      <c r="D37" s="617">
        <f t="shared" si="2"/>
        <v>8.6572877301612792</v>
      </c>
      <c r="E37" s="617">
        <f t="shared" si="2"/>
        <v>-3.9721052835517523</v>
      </c>
      <c r="F37" s="617">
        <f t="shared" si="2"/>
        <v>-0.92448140747067864</v>
      </c>
      <c r="G37" s="617">
        <f t="shared" si="2"/>
        <v>-2.1257323297160569</v>
      </c>
      <c r="H37" s="617">
        <f t="shared" si="2"/>
        <v>-1.8891376810216243</v>
      </c>
      <c r="I37" s="617">
        <f t="shared" si="2"/>
        <v>0.16018865275646554</v>
      </c>
      <c r="J37" s="617">
        <f t="shared" si="2"/>
        <v>-3.0076475321720197</v>
      </c>
      <c r="K37" s="617">
        <f t="shared" si="2"/>
        <v>-2.8475981482011248</v>
      </c>
      <c r="L37" s="617">
        <f t="shared" si="2"/>
        <v>-1.7287504443628254</v>
      </c>
    </row>
    <row r="38" spans="1:12">
      <c r="A38" s="611" t="s">
        <v>1473</v>
      </c>
      <c r="B38" s="617">
        <f t="shared" ref="B38:L38" si="3">100*(POWER(B24/B13, 1/11)-1)</f>
        <v>-3.6485416446064622</v>
      </c>
      <c r="C38" s="617">
        <f t="shared" si="3"/>
        <v>-3.0872110175088396</v>
      </c>
      <c r="D38" s="617">
        <f t="shared" si="3"/>
        <v>-4.5890824896269837</v>
      </c>
      <c r="E38" s="617">
        <f t="shared" si="3"/>
        <v>-3.7983907888854973</v>
      </c>
      <c r="F38" s="617">
        <f t="shared" si="3"/>
        <v>-3.1134040170159749</v>
      </c>
      <c r="G38" s="617">
        <f t="shared" si="3"/>
        <v>-2.790510915935529</v>
      </c>
      <c r="H38" s="617">
        <f t="shared" si="3"/>
        <v>-4.9100599706019548</v>
      </c>
      <c r="I38" s="617">
        <f t="shared" si="3"/>
        <v>-4.8723903514903295</v>
      </c>
      <c r="J38" s="617">
        <f t="shared" si="3"/>
        <v>-2.9216772776595401</v>
      </c>
      <c r="K38" s="617">
        <f t="shared" si="3"/>
        <v>-2.4323906052241884</v>
      </c>
      <c r="L38" s="617">
        <f t="shared" si="3"/>
        <v>-2.5600687493986363</v>
      </c>
    </row>
    <row r="39" spans="1:12">
      <c r="A39" s="611" t="s">
        <v>1474</v>
      </c>
      <c r="B39" s="617">
        <f t="shared" ref="B39:L39" si="4">100*(POWER(B32/B24, 1/8)-1)</f>
        <v>-4.5058877264992798</v>
      </c>
      <c r="C39" s="617">
        <f t="shared" si="4"/>
        <v>-4.6454824118860145</v>
      </c>
      <c r="D39" s="617">
        <f t="shared" si="4"/>
        <v>-7.2841516806365298</v>
      </c>
      <c r="E39" s="617">
        <f t="shared" si="4"/>
        <v>-10.978881169241339</v>
      </c>
      <c r="F39" s="617">
        <f t="shared" si="4"/>
        <v>-10.033306110615857</v>
      </c>
      <c r="G39" s="617">
        <f t="shared" si="4"/>
        <v>-4.6047458357276749</v>
      </c>
      <c r="H39" s="617">
        <f t="shared" si="4"/>
        <v>-7.4031071104029067</v>
      </c>
      <c r="I39" s="617">
        <f t="shared" si="4"/>
        <v>-3.7293136100063573</v>
      </c>
      <c r="J39" s="617">
        <f t="shared" si="4"/>
        <v>0.5383874364689456</v>
      </c>
      <c r="K39" s="617">
        <f t="shared" si="4"/>
        <v>-0.21865676170105264</v>
      </c>
      <c r="L39" s="617">
        <f t="shared" si="4"/>
        <v>-5.0897844339024552</v>
      </c>
    </row>
    <row r="40" spans="1:12">
      <c r="A40" s="611" t="s">
        <v>1500</v>
      </c>
      <c r="B40" s="611"/>
      <c r="C40" s="611"/>
      <c r="D40" s="611"/>
      <c r="E40" s="611"/>
      <c r="F40" s="611"/>
      <c r="G40" s="611"/>
      <c r="H40" s="611"/>
      <c r="I40" s="611"/>
      <c r="J40" s="611"/>
      <c r="K40" s="611"/>
      <c r="L40" s="611"/>
    </row>
    <row r="41" spans="1:12">
      <c r="A41" s="611" t="s">
        <v>1498</v>
      </c>
      <c r="B41" s="616">
        <f>100*(B34-B5)/B5</f>
        <v>-65.958257299654903</v>
      </c>
      <c r="C41" s="616">
        <f t="shared" ref="C41:L41" si="5">100*(C34-C5)/C5</f>
        <v>33.729285375769166</v>
      </c>
      <c r="D41" s="616">
        <f t="shared" si="5"/>
        <v>-31.934535750304804</v>
      </c>
      <c r="E41" s="616">
        <f t="shared" si="5"/>
        <v>-90.134871637565567</v>
      </c>
      <c r="F41" s="616">
        <f t="shared" si="5"/>
        <v>-83.530550698461639</v>
      </c>
      <c r="G41" s="616">
        <f t="shared" si="5"/>
        <v>-63.505312391407756</v>
      </c>
      <c r="H41" s="616">
        <f t="shared" si="5"/>
        <v>-81.638613736786709</v>
      </c>
      <c r="I41" s="616">
        <f t="shared" si="5"/>
        <v>-60.427839055123485</v>
      </c>
      <c r="J41" s="616">
        <f>100*(J34-J5)/J5</f>
        <v>-44.485743507835252</v>
      </c>
      <c r="K41" s="616">
        <f t="shared" si="5"/>
        <v>-42.113918703655365</v>
      </c>
      <c r="L41" s="616">
        <f t="shared" si="5"/>
        <v>-59.184989261107752</v>
      </c>
    </row>
    <row r="42" spans="1:12">
      <c r="A42" s="611" t="s">
        <v>1472</v>
      </c>
      <c r="B42" s="616">
        <f>100*(B13-B5)/B5</f>
        <v>-14.020676439186927</v>
      </c>
      <c r="C42" s="616">
        <f t="shared" ref="C42:L42" si="6">100*(C13-C5)/C5</f>
        <v>150.69577641495133</v>
      </c>
      <c r="D42" s="616">
        <f t="shared" si="6"/>
        <v>94.299141125317433</v>
      </c>
      <c r="E42" s="616">
        <f t="shared" si="6"/>
        <v>-27.693180146644885</v>
      </c>
      <c r="F42" s="616">
        <f t="shared" si="6"/>
        <v>-7.1609187472198794</v>
      </c>
      <c r="G42" s="616">
        <f t="shared" si="6"/>
        <v>-15.792998248922867</v>
      </c>
      <c r="H42" s="616">
        <f t="shared" si="6"/>
        <v>-14.150703083307249</v>
      </c>
      <c r="I42" s="616">
        <f t="shared" si="6"/>
        <v>1.2887172002863898</v>
      </c>
      <c r="J42" s="616">
        <f t="shared" si="6"/>
        <v>-21.675083016256</v>
      </c>
      <c r="K42" s="616">
        <f t="shared" si="6"/>
        <v>-20.635125220510261</v>
      </c>
      <c r="L42" s="616">
        <f t="shared" si="6"/>
        <v>-13.021517479605205</v>
      </c>
    </row>
    <row r="43" spans="1:12">
      <c r="A43" s="611" t="s">
        <v>1473</v>
      </c>
      <c r="B43" s="616">
        <f>100*(B24-B13)/B13</f>
        <v>-33.558226441395938</v>
      </c>
      <c r="C43" s="616">
        <f t="shared" ref="C43:L43" si="7">100*(C24-C13)/C13</f>
        <v>-29.17411467147457</v>
      </c>
      <c r="D43" s="616">
        <f t="shared" si="7"/>
        <v>-40.354347432992178</v>
      </c>
      <c r="E43" s="616">
        <f t="shared" si="7"/>
        <v>-34.686086867909424</v>
      </c>
      <c r="F43" s="616">
        <f t="shared" si="7"/>
        <v>-29.384396636558673</v>
      </c>
      <c r="G43" s="616">
        <f t="shared" si="7"/>
        <v>-26.752085143203459</v>
      </c>
      <c r="H43" s="616">
        <f t="shared" si="7"/>
        <v>-42.524824175638592</v>
      </c>
      <c r="I43" s="616">
        <f t="shared" si="7"/>
        <v>-42.273872533292263</v>
      </c>
      <c r="J43" s="616">
        <f t="shared" si="7"/>
        <v>-27.831960772153678</v>
      </c>
      <c r="K43" s="616">
        <f t="shared" si="7"/>
        <v>-23.728497073344368</v>
      </c>
      <c r="L43" s="616">
        <f t="shared" si="7"/>
        <v>-24.819249366106945</v>
      </c>
    </row>
    <row r="44" spans="1:12">
      <c r="A44" s="611" t="s">
        <v>1474</v>
      </c>
      <c r="B44" s="616">
        <f>100*(B32-B24)/B24</f>
        <v>-30.846722767567169</v>
      </c>
      <c r="C44" s="616">
        <f t="shared" ref="C44:L44" si="8">100*(C32-C24)/C24</f>
        <v>-31.651311326942704</v>
      </c>
      <c r="D44" s="616">
        <f t="shared" si="8"/>
        <v>-45.39507555367635</v>
      </c>
      <c r="E44" s="616">
        <f t="shared" si="8"/>
        <v>-60.559320723723999</v>
      </c>
      <c r="F44" s="616">
        <f t="shared" si="8"/>
        <v>-57.080555730530072</v>
      </c>
      <c r="G44" s="616">
        <f t="shared" si="8"/>
        <v>-31.41736681093214</v>
      </c>
      <c r="H44" s="616">
        <f t="shared" si="8"/>
        <v>-45.953034830543196</v>
      </c>
      <c r="I44" s="616">
        <f t="shared" si="8"/>
        <v>-26.217639387725107</v>
      </c>
      <c r="J44" s="616">
        <f t="shared" si="8"/>
        <v>4.3891404096118078</v>
      </c>
      <c r="K44" s="616">
        <f t="shared" si="8"/>
        <v>-1.7359254588756718</v>
      </c>
      <c r="L44" s="616">
        <f t="shared" si="8"/>
        <v>-34.157899342509296</v>
      </c>
    </row>
    <row r="46" spans="1:12">
      <c r="A46" s="611" t="s">
        <v>1554</v>
      </c>
    </row>
  </sheetData>
  <pageMargins left="0.7" right="0.7" top="0.75" bottom="0.75" header="0.3" footer="0.3"/>
</worksheet>
</file>

<file path=xl/worksheets/sheet175.xml><?xml version="1.0" encoding="utf-8"?>
<worksheet xmlns="http://schemas.openxmlformats.org/spreadsheetml/2006/main" xmlns:r="http://schemas.openxmlformats.org/officeDocument/2006/relationships">
  <dimension ref="A1:L46"/>
  <sheetViews>
    <sheetView topLeftCell="A25" workbookViewId="0">
      <selection activeCell="E9" sqref="E9"/>
    </sheetView>
  </sheetViews>
  <sheetFormatPr defaultRowHeight="12.75"/>
  <cols>
    <col min="1" max="16384" width="9" style="618"/>
  </cols>
  <sheetData>
    <row r="1" spans="1:12">
      <c r="A1" s="611" t="s">
        <v>1525</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8">
        <f>'a27'!E18</f>
        <v>1.1155668651039621</v>
      </c>
      <c r="C5" s="628">
        <f>'a27'!L18</f>
        <v>0.44217700291028628</v>
      </c>
      <c r="D5" s="628">
        <f>'a27'!S18</f>
        <v>0.65672794956891256</v>
      </c>
      <c r="E5" s="628">
        <f>'a27'!Z18</f>
        <v>1.1271649212464421</v>
      </c>
      <c r="F5" s="628">
        <f>'a27'!AG18</f>
        <v>0.79920917832429683</v>
      </c>
      <c r="G5" s="628">
        <f>'a27'!AN18</f>
        <v>1.2255675106158808</v>
      </c>
      <c r="H5" s="628">
        <f>'a27'!AU18</f>
        <v>0.98321616447283533</v>
      </c>
      <c r="I5" s="628">
        <f>'a27'!BB18</f>
        <v>0.95434157790573948</v>
      </c>
      <c r="J5" s="628">
        <f>'a27'!BI18</f>
        <v>0.81584048038309043</v>
      </c>
      <c r="K5" s="628">
        <f>'a27'!BP18</f>
        <v>1.5228109592460837</v>
      </c>
      <c r="L5" s="628">
        <f>'a27'!BW18</f>
        <v>1.3384270218208674</v>
      </c>
    </row>
    <row r="6" spans="1:12">
      <c r="A6" s="611">
        <f t="shared" ref="A6:A34" si="0">A5+1</f>
        <v>1982</v>
      </c>
      <c r="B6" s="628">
        <f>'a27'!E19</f>
        <v>1.1456009045621545</v>
      </c>
      <c r="C6" s="628">
        <f>'a27'!L19</f>
        <v>0.48235171543564082</v>
      </c>
      <c r="D6" s="628">
        <f>'a27'!S19</f>
        <v>0.71942446043165476</v>
      </c>
      <c r="E6" s="628">
        <f>'a27'!Z19</f>
        <v>1.1147928762731414</v>
      </c>
      <c r="F6" s="628">
        <f>'a27'!AG19</f>
        <v>0.98865396219572732</v>
      </c>
      <c r="G6" s="628">
        <f>'a27'!AN19</f>
        <v>1.1781084507832655</v>
      </c>
      <c r="H6" s="628">
        <f>'a27'!AU19</f>
        <v>1.0578130819588154</v>
      </c>
      <c r="I6" s="628">
        <f>'a27'!BB19</f>
        <v>0.94176379918225606</v>
      </c>
      <c r="J6" s="628">
        <f>'a27'!BI19</f>
        <v>0.75766905099342308</v>
      </c>
      <c r="K6" s="628">
        <f>'a27'!BP19</f>
        <v>1.553391945517602</v>
      </c>
      <c r="L6" s="628">
        <f>'a27'!BW19</f>
        <v>1.4032670652598564</v>
      </c>
    </row>
    <row r="7" spans="1:12">
      <c r="A7" s="611">
        <f t="shared" si="0"/>
        <v>1983</v>
      </c>
      <c r="B7" s="628">
        <f>'a27'!E20</f>
        <v>1.1027519666094547</v>
      </c>
      <c r="C7" s="628">
        <f>'a27'!L20</f>
        <v>0.54079133516893074</v>
      </c>
      <c r="D7" s="628">
        <f>'a27'!S20</f>
        <v>0.73889509408024745</v>
      </c>
      <c r="E7" s="628">
        <f>'a27'!Z20</f>
        <v>1.1285783529990523</v>
      </c>
      <c r="F7" s="628">
        <f>'a27'!AG20</f>
        <v>1.1386823650819711</v>
      </c>
      <c r="G7" s="628">
        <f>'a27'!AN20</f>
        <v>1.0949235334787135</v>
      </c>
      <c r="H7" s="628">
        <f>'a27'!AU20</f>
        <v>1.017856043931078</v>
      </c>
      <c r="I7" s="628">
        <f>'a27'!BB20</f>
        <v>1.0265376695030501</v>
      </c>
      <c r="J7" s="628">
        <f>'a27'!BI20</f>
        <v>0.8236587746428411</v>
      </c>
      <c r="K7" s="628">
        <f>'a27'!BP20</f>
        <v>1.5142215452390544</v>
      </c>
      <c r="L7" s="628">
        <f>'a27'!BW20</f>
        <v>1.2761426309179271</v>
      </c>
    </row>
    <row r="8" spans="1:12">
      <c r="A8" s="611">
        <f t="shared" si="0"/>
        <v>1984</v>
      </c>
      <c r="B8" s="628">
        <f>'a27'!E21</f>
        <v>1.0372187285046714</v>
      </c>
      <c r="C8" s="628">
        <f>'a27'!L21</f>
        <v>0.44548474781032921</v>
      </c>
      <c r="D8" s="628">
        <f>'a27'!S21</f>
        <v>0.66080414781680474</v>
      </c>
      <c r="E8" s="628">
        <f>'a27'!Z21</f>
        <v>1.0791692684624221</v>
      </c>
      <c r="F8" s="628">
        <f>'a27'!AG21</f>
        <v>0.82618072341472604</v>
      </c>
      <c r="G8" s="628">
        <f>'a27'!AN21</f>
        <v>1.0556832987705944</v>
      </c>
      <c r="H8" s="628">
        <f>'a27'!AU21</f>
        <v>0.94028581020663815</v>
      </c>
      <c r="I8" s="628">
        <f>'a27'!BB21</f>
        <v>1.0043138182580482</v>
      </c>
      <c r="J8" s="628">
        <f>'a27'!BI21</f>
        <v>0.80855736771464592</v>
      </c>
      <c r="K8" s="628">
        <f>'a27'!BP21</f>
        <v>1.4601767618758108</v>
      </c>
      <c r="L8" s="628">
        <f>'a27'!BW21</f>
        <v>1.2120272261122553</v>
      </c>
    </row>
    <row r="9" spans="1:12">
      <c r="A9" s="611">
        <f t="shared" si="0"/>
        <v>1985</v>
      </c>
      <c r="B9" s="628">
        <f>'a27'!E22</f>
        <v>0.97664881780124335</v>
      </c>
      <c r="C9" s="628">
        <f>'a27'!L22</f>
        <v>0.42127870477449197</v>
      </c>
      <c r="D9" s="628">
        <f>'a27'!S22</f>
        <v>0.71378305016587917</v>
      </c>
      <c r="E9" s="628">
        <f>'a27'!Z22</f>
        <v>1.1010004169385403</v>
      </c>
      <c r="F9" s="628">
        <f>'a27'!AG22</f>
        <v>0.78082164253870379</v>
      </c>
      <c r="G9" s="628">
        <f>'a27'!AN22</f>
        <v>0.98463492577412981</v>
      </c>
      <c r="H9" s="628">
        <f>'a27'!AU22</f>
        <v>0.89362322194650523</v>
      </c>
      <c r="I9" s="628">
        <f>'a27'!BB22</f>
        <v>0.88106062481787417</v>
      </c>
      <c r="J9" s="628">
        <f>'a27'!BI22</f>
        <v>0.77688925800423725</v>
      </c>
      <c r="K9" s="628">
        <f>'a27'!BP22</f>
        <v>1.3914722091982805</v>
      </c>
      <c r="L9" s="628">
        <f>'a27'!BW22</f>
        <v>1.1138440925814372</v>
      </c>
    </row>
    <row r="10" spans="1:12">
      <c r="A10" s="611">
        <f t="shared" si="0"/>
        <v>1986</v>
      </c>
      <c r="B10" s="628">
        <f>'a27'!E23</f>
        <v>1.221016281178668</v>
      </c>
      <c r="C10" s="628">
        <f>'a27'!L23</f>
        <v>0.51471276854782821</v>
      </c>
      <c r="D10" s="628">
        <f>'a27'!S23</f>
        <v>0.66038361983141969</v>
      </c>
      <c r="E10" s="628">
        <f>'a27'!Z23</f>
        <v>1.2198571612254678</v>
      </c>
      <c r="F10" s="628">
        <f>'a27'!AG23</f>
        <v>0.98640484245477311</v>
      </c>
      <c r="G10" s="628">
        <f>'a27'!AN23</f>
        <v>1.175854380947525</v>
      </c>
      <c r="H10" s="628">
        <f>'a27'!AU23</f>
        <v>1.1629202811372128</v>
      </c>
      <c r="I10" s="628">
        <f>'a27'!BB23</f>
        <v>1.1258544431041415</v>
      </c>
      <c r="J10" s="628">
        <f>'a27'!BI23</f>
        <v>0.99653083456944969</v>
      </c>
      <c r="K10" s="628">
        <f>'a27'!BP23</f>
        <v>1.6235754849616237</v>
      </c>
      <c r="L10" s="628">
        <f>'a27'!BW23</f>
        <v>1.4971680481362251</v>
      </c>
    </row>
    <row r="11" spans="1:12">
      <c r="A11" s="611">
        <f t="shared" si="0"/>
        <v>1987</v>
      </c>
      <c r="B11" s="628">
        <f>'a27'!E24</f>
        <v>1.4748162477838471</v>
      </c>
      <c r="C11" s="628">
        <f>'a27'!L24</f>
        <v>0.82968751160596899</v>
      </c>
      <c r="D11" s="628">
        <f>'a27'!S24</f>
        <v>0.90334236675700086</v>
      </c>
      <c r="E11" s="628">
        <f>'a27'!Z24</f>
        <v>1.2739294652174316</v>
      </c>
      <c r="F11" s="628">
        <f>'a27'!AG24</f>
        <v>1.124273026464091</v>
      </c>
      <c r="G11" s="628">
        <f>'a27'!AN24</f>
        <v>1.3416010148521389</v>
      </c>
      <c r="H11" s="628">
        <f>'a27'!AU24</f>
        <v>1.6139799271180415</v>
      </c>
      <c r="I11" s="628">
        <f>'a27'!BB24</f>
        <v>1.4708721938416836</v>
      </c>
      <c r="J11" s="628">
        <f>'a27'!BI24</f>
        <v>1.1870433102830427</v>
      </c>
      <c r="K11" s="628">
        <f>'a27'!BP24</f>
        <v>1.6115265982169267</v>
      </c>
      <c r="L11" s="628">
        <f>'a27'!BW24</f>
        <v>1.5840760314891018</v>
      </c>
    </row>
    <row r="12" spans="1:12">
      <c r="A12" s="611">
        <f t="shared" si="0"/>
        <v>1988</v>
      </c>
      <c r="B12" s="628">
        <f>'a27'!E25</f>
        <v>1.2600833109316343</v>
      </c>
      <c r="C12" s="628">
        <f>'a27'!L25</f>
        <v>0.66638961726728763</v>
      </c>
      <c r="D12" s="628">
        <f>'a27'!S25</f>
        <v>0.87258336577137663</v>
      </c>
      <c r="E12" s="628">
        <f>'a27'!Z25</f>
        <v>1.1384359059215556</v>
      </c>
      <c r="F12" s="628">
        <f>'a27'!AG25</f>
        <v>0.9323684555174423</v>
      </c>
      <c r="G12" s="628">
        <f>'a27'!AN25</f>
        <v>1.2178287980586586</v>
      </c>
      <c r="H12" s="628">
        <f>'a27'!AU25</f>
        <v>1.3158794411032284</v>
      </c>
      <c r="I12" s="628">
        <f>'a27'!BB25</f>
        <v>1.1580633238881362</v>
      </c>
      <c r="J12" s="628">
        <f>'a27'!BI25</f>
        <v>1.0025956845491628</v>
      </c>
      <c r="K12" s="628">
        <f>'a27'!BP25</f>
        <v>1.4626439497408508</v>
      </c>
      <c r="L12" s="628">
        <f>'a27'!BW25</f>
        <v>1.3660543120850102</v>
      </c>
    </row>
    <row r="13" spans="1:12">
      <c r="A13" s="611">
        <f t="shared" si="0"/>
        <v>1989</v>
      </c>
      <c r="B13" s="628">
        <f>'a27'!E26</f>
        <v>1.1986588599984418</v>
      </c>
      <c r="C13" s="628">
        <f>'a27'!L26</f>
        <v>0.73048939154958237</v>
      </c>
      <c r="D13" s="628">
        <f>'a27'!S26</f>
        <v>0.79520312950909033</v>
      </c>
      <c r="E13" s="628">
        <f>'a27'!Z26</f>
        <v>1.1387294177023533</v>
      </c>
      <c r="F13" s="628">
        <f>'a27'!AG26</f>
        <v>0.90737260879254511</v>
      </c>
      <c r="G13" s="628">
        <f>'a27'!AN26</f>
        <v>1.1676494731474185</v>
      </c>
      <c r="H13" s="628">
        <f>'a27'!AU26</f>
        <v>1.234224430648027</v>
      </c>
      <c r="I13" s="628">
        <f>'a27'!BB26</f>
        <v>1.0861902399540457</v>
      </c>
      <c r="J13" s="628">
        <f>'a27'!BI26</f>
        <v>0.99413018660146901</v>
      </c>
      <c r="K13" s="628">
        <f>'a27'!BP26</f>
        <v>1.3546449669109424</v>
      </c>
      <c r="L13" s="628">
        <f>'a27'!BW26</f>
        <v>1.3162192719052392</v>
      </c>
    </row>
    <row r="14" spans="1:12">
      <c r="A14" s="611">
        <f t="shared" si="0"/>
        <v>1990</v>
      </c>
      <c r="B14" s="628">
        <f>'a27'!E27</f>
        <v>1.1438592987314304</v>
      </c>
      <c r="C14" s="628">
        <f>'a27'!L27</f>
        <v>0.73006600055329807</v>
      </c>
      <c r="D14" s="628">
        <f>'a27'!S27</f>
        <v>0.89362378756559069</v>
      </c>
      <c r="E14" s="628">
        <f>'a27'!Z27</f>
        <v>1.0787236367122788</v>
      </c>
      <c r="F14" s="628">
        <f>'a27'!AG27</f>
        <v>0.92446988535267516</v>
      </c>
      <c r="G14" s="628">
        <f>'a27'!AN27</f>
        <v>1.1911951398028133</v>
      </c>
      <c r="H14" s="628">
        <f>'a27'!AU27</f>
        <v>1.1241532335262787</v>
      </c>
      <c r="I14" s="628">
        <f>'a27'!BB27</f>
        <v>1.0437319198064732</v>
      </c>
      <c r="J14" s="628">
        <f>'a27'!BI27</f>
        <v>0.96699772567370779</v>
      </c>
      <c r="K14" s="628">
        <f>'a27'!BP27</f>
        <v>1.36867587984867</v>
      </c>
      <c r="L14" s="628">
        <f>'a27'!BW27</f>
        <v>1.1725557407899543</v>
      </c>
    </row>
    <row r="15" spans="1:12">
      <c r="A15" s="611">
        <f t="shared" si="0"/>
        <v>1991</v>
      </c>
      <c r="B15" s="628">
        <f>'a27'!E28</f>
        <v>1.1095797124687401</v>
      </c>
      <c r="C15" s="628">
        <f>'a27'!L28</f>
        <v>0.64848952426324979</v>
      </c>
      <c r="D15" s="628">
        <f>'a27'!S28</f>
        <v>0.8534263959390862</v>
      </c>
      <c r="E15" s="628">
        <f>'a27'!Z28</f>
        <v>1.0071049487281987</v>
      </c>
      <c r="F15" s="628">
        <f>'a27'!AG28</f>
        <v>0.88890323760943135</v>
      </c>
      <c r="G15" s="628">
        <f>'a27'!AN28</f>
        <v>1.1691003221167209</v>
      </c>
      <c r="H15" s="628">
        <f>'a27'!AU28</f>
        <v>1.0626123634683737</v>
      </c>
      <c r="I15" s="628">
        <f>'a27'!BB28</f>
        <v>1.0394719929360612</v>
      </c>
      <c r="J15" s="628">
        <f>'a27'!BI28</f>
        <v>0.92153196461152698</v>
      </c>
      <c r="K15" s="628">
        <f>'a27'!BP28</f>
        <v>1.329080529160388</v>
      </c>
      <c r="L15" s="628">
        <f>'a27'!BW28</f>
        <v>1.2124663715411876</v>
      </c>
    </row>
    <row r="16" spans="1:12">
      <c r="A16" s="611">
        <f t="shared" si="0"/>
        <v>1992</v>
      </c>
      <c r="B16" s="628">
        <f>'a27'!E29</f>
        <v>1.1294730309624723</v>
      </c>
      <c r="C16" s="628">
        <f>'a27'!L29</f>
        <v>0.61220815077126223</v>
      </c>
      <c r="D16" s="628">
        <f>'a27'!S29</f>
        <v>0.71726491405460058</v>
      </c>
      <c r="E16" s="628">
        <f>'a27'!Z29</f>
        <v>1.0141983365210443</v>
      </c>
      <c r="F16" s="628">
        <f>'a27'!AG29</f>
        <v>0.87333909141715704</v>
      </c>
      <c r="G16" s="628">
        <f>'a27'!AN29</f>
        <v>1.1349419793687774</v>
      </c>
      <c r="H16" s="628">
        <f>'a27'!AU29</f>
        <v>1.1577877789405613</v>
      </c>
      <c r="I16" s="628">
        <f>'a27'!BB29</f>
        <v>0.99056964278724013</v>
      </c>
      <c r="J16" s="628">
        <f>'a27'!BI29</f>
        <v>0.95962952109327604</v>
      </c>
      <c r="K16" s="628">
        <f>'a27'!BP29</f>
        <v>1.2846368872296117</v>
      </c>
      <c r="L16" s="628">
        <f>'a27'!BW29</f>
        <v>1.1936332693090006</v>
      </c>
    </row>
    <row r="17" spans="1:12">
      <c r="A17" s="611">
        <f t="shared" si="0"/>
        <v>1993</v>
      </c>
      <c r="B17" s="628">
        <f>'a27'!E30</f>
        <v>1.1088265504893056</v>
      </c>
      <c r="C17" s="628">
        <f>'a27'!L30</f>
        <v>0.65239122428578944</v>
      </c>
      <c r="D17" s="628">
        <f>'a27'!S30</f>
        <v>0.71014062035632164</v>
      </c>
      <c r="E17" s="628">
        <f>'a27'!Z30</f>
        <v>1.0425945509515431</v>
      </c>
      <c r="F17" s="628">
        <f>'a27'!AG30</f>
        <v>0.85583953275211555</v>
      </c>
      <c r="G17" s="628">
        <f>'a27'!AN30</f>
        <v>1.1311070547783262</v>
      </c>
      <c r="H17" s="628">
        <f>'a27'!AU30</f>
        <v>1.088926689686222</v>
      </c>
      <c r="I17" s="628">
        <f>'a27'!BB30</f>
        <v>0.9627412437455326</v>
      </c>
      <c r="J17" s="628">
        <f>'a27'!BI30</f>
        <v>0.92589912289770449</v>
      </c>
      <c r="K17" s="628">
        <f>'a27'!BP30</f>
        <v>1.3296925819304166</v>
      </c>
      <c r="L17" s="628">
        <f>'a27'!BW30</f>
        <v>1.217654139929025</v>
      </c>
    </row>
    <row r="18" spans="1:12">
      <c r="A18" s="611">
        <f t="shared" si="0"/>
        <v>1994</v>
      </c>
      <c r="B18" s="628">
        <f>'a27'!E31</f>
        <v>1.1092924477688215</v>
      </c>
      <c r="C18" s="628">
        <f>'a27'!L31</f>
        <v>0.65576996742236016</v>
      </c>
      <c r="D18" s="628">
        <f>'a27'!S31</f>
        <v>0.77203317572281216</v>
      </c>
      <c r="E18" s="628">
        <f>'a27'!Z31</f>
        <v>1.0012000385413837</v>
      </c>
      <c r="F18" s="628">
        <f>'a27'!AG31</f>
        <v>0.83313654683474447</v>
      </c>
      <c r="G18" s="628">
        <f>'a27'!AN31</f>
        <v>1.0482865255145946</v>
      </c>
      <c r="H18" s="628">
        <f>'a27'!AU31</f>
        <v>1.1469453218330141</v>
      </c>
      <c r="I18" s="628">
        <f>'a27'!BB31</f>
        <v>1.0207893831956358</v>
      </c>
      <c r="J18" s="628">
        <f>'a27'!BI31</f>
        <v>0.97555315189868164</v>
      </c>
      <c r="K18" s="628">
        <f>'a27'!BP31</f>
        <v>1.2471078433990175</v>
      </c>
      <c r="L18" s="628">
        <f>'a27'!BW31</f>
        <v>1.2472504762932985</v>
      </c>
    </row>
    <row r="19" spans="1:12">
      <c r="A19" s="611">
        <f t="shared" si="0"/>
        <v>1995</v>
      </c>
      <c r="B19" s="628">
        <f>'a27'!E32</f>
        <v>1.0838485334378707</v>
      </c>
      <c r="C19" s="628">
        <f>'a27'!L32</f>
        <v>0.69320419875618555</v>
      </c>
      <c r="D19" s="628">
        <f>'a27'!S32</f>
        <v>0.80001230788165967</v>
      </c>
      <c r="E19" s="628">
        <f>'a27'!Z32</f>
        <v>1.0049965061695132</v>
      </c>
      <c r="F19" s="628">
        <f>'a27'!AG32</f>
        <v>0.77012995943065388</v>
      </c>
      <c r="G19" s="628">
        <f>'a27'!AN32</f>
        <v>1.1592575638489908</v>
      </c>
      <c r="H19" s="628">
        <f>'a27'!AU32</f>
        <v>1.0862849310718681</v>
      </c>
      <c r="I19" s="628">
        <f>'a27'!BB32</f>
        <v>0.99353109934197592</v>
      </c>
      <c r="J19" s="628">
        <f>'a27'!BI32</f>
        <v>0.96137708980380854</v>
      </c>
      <c r="K19" s="628">
        <f>'a27'!BP32</f>
        <v>1.1460388965511001</v>
      </c>
      <c r="L19" s="628">
        <f>'a27'!BW32</f>
        <v>1.1037859313919831</v>
      </c>
    </row>
    <row r="20" spans="1:12">
      <c r="A20" s="611">
        <f t="shared" si="0"/>
        <v>1996</v>
      </c>
      <c r="B20" s="628">
        <f>'a27'!E33</f>
        <v>0.99169747293084476</v>
      </c>
      <c r="C20" s="628">
        <f>'a27'!L33</f>
        <v>0.7522211814130404</v>
      </c>
      <c r="D20" s="628">
        <f>'a27'!S33</f>
        <v>0.72273725298853375</v>
      </c>
      <c r="E20" s="628">
        <f>'a27'!Z33</f>
        <v>0.97531080371213441</v>
      </c>
      <c r="F20" s="628">
        <f>'a27'!AG33</f>
        <v>0.76382523678582337</v>
      </c>
      <c r="G20" s="628">
        <f>'a27'!AN33</f>
        <v>1.042275340456144</v>
      </c>
      <c r="H20" s="628">
        <f>'a27'!AU33</f>
        <v>0.9186803662024704</v>
      </c>
      <c r="I20" s="628">
        <f>'a27'!BB33</f>
        <v>0.96515361626708396</v>
      </c>
      <c r="J20" s="628">
        <f>'a27'!BI33</f>
        <v>0.9184521428823067</v>
      </c>
      <c r="K20" s="628">
        <f>'a27'!BP33</f>
        <v>1.1175736937827243</v>
      </c>
      <c r="L20" s="628">
        <f>'a27'!BW33</f>
        <v>1.1385855441008617</v>
      </c>
    </row>
    <row r="21" spans="1:12">
      <c r="A21" s="611">
        <f t="shared" si="0"/>
        <v>1997</v>
      </c>
      <c r="B21" s="628">
        <f>'a27'!E34</f>
        <v>0.92372853716579451</v>
      </c>
      <c r="C21" s="628">
        <f>'a27'!L34</f>
        <v>0.58685152727753009</v>
      </c>
      <c r="D21" s="628">
        <f>'a27'!S34</f>
        <v>0.73481606918761999</v>
      </c>
      <c r="E21" s="628">
        <f>'a27'!Z34</f>
        <v>0.8628904873177291</v>
      </c>
      <c r="F21" s="628">
        <f>'a27'!AG34</f>
        <v>0.7199733615100038</v>
      </c>
      <c r="G21" s="628">
        <f>'a27'!AN34</f>
        <v>1.00270554947438</v>
      </c>
      <c r="H21" s="628">
        <f>'a27'!AU34</f>
        <v>0.85353567644752304</v>
      </c>
      <c r="I21" s="628">
        <f>'a27'!BB34</f>
        <v>0.97228344006844869</v>
      </c>
      <c r="J21" s="628">
        <f>'a27'!BI34</f>
        <v>0.91172109132765744</v>
      </c>
      <c r="K21" s="628">
        <f>'a27'!BP34</f>
        <v>1.0476731376461692</v>
      </c>
      <c r="L21" s="628">
        <f>'a27'!BW34</f>
        <v>0.99481652553246092</v>
      </c>
    </row>
    <row r="22" spans="1:12">
      <c r="A22" s="611">
        <f t="shared" si="0"/>
        <v>1998</v>
      </c>
      <c r="B22" s="628">
        <f>'a27'!E35</f>
        <v>0.93760116841868613</v>
      </c>
      <c r="C22" s="628">
        <f>'a27'!L35</f>
        <v>0.68102297731125783</v>
      </c>
      <c r="D22" s="628">
        <f>'a27'!S35</f>
        <v>0.84018429849128196</v>
      </c>
      <c r="E22" s="628">
        <f>'a27'!Z35</f>
        <v>0.83765050516868933</v>
      </c>
      <c r="F22" s="628">
        <f>'a27'!AG35</f>
        <v>0.77104876765678121</v>
      </c>
      <c r="G22" s="628">
        <f>'a27'!AN35</f>
        <v>0.96664320916859603</v>
      </c>
      <c r="H22" s="628">
        <f>'a27'!AU35</f>
        <v>0.89578059875786087</v>
      </c>
      <c r="I22" s="628">
        <f>'a27'!BB35</f>
        <v>0.90444466246221455</v>
      </c>
      <c r="J22" s="628">
        <f>'a27'!BI35</f>
        <v>0.93177622435644791</v>
      </c>
      <c r="K22" s="628">
        <f>'a27'!BP35</f>
        <v>1.0915403487719104</v>
      </c>
      <c r="L22" s="628">
        <f>'a27'!BW35</f>
        <v>0.99977363423871157</v>
      </c>
    </row>
    <row r="23" spans="1:12">
      <c r="A23" s="611">
        <f t="shared" si="0"/>
        <v>1999</v>
      </c>
      <c r="B23" s="628">
        <f>'a27'!E36</f>
        <v>0.9532809649445747</v>
      </c>
      <c r="C23" s="628">
        <f>'a27'!L36</f>
        <v>0.64652673083613588</v>
      </c>
      <c r="D23" s="628">
        <f>'a27'!S36</f>
        <v>0.86939635212046062</v>
      </c>
      <c r="E23" s="628">
        <f>'a27'!Z36</f>
        <v>0.84151412249327628</v>
      </c>
      <c r="F23" s="628">
        <f>'a27'!AG36</f>
        <v>0.8717381551078327</v>
      </c>
      <c r="G23" s="628">
        <f>'a27'!AN36</f>
        <v>0.97465659756500711</v>
      </c>
      <c r="H23" s="628">
        <f>'a27'!AU36</f>
        <v>0.9166108307505928</v>
      </c>
      <c r="I23" s="628">
        <f>'a27'!BB36</f>
        <v>0.94997488402328401</v>
      </c>
      <c r="J23" s="628">
        <f>'a27'!BI36</f>
        <v>0.92979371630692764</v>
      </c>
      <c r="K23" s="628">
        <f>'a27'!BP36</f>
        <v>1.1070831826931533</v>
      </c>
      <c r="L23" s="628">
        <f>'a27'!BW36</f>
        <v>1.0040262107939639</v>
      </c>
    </row>
    <row r="24" spans="1:12">
      <c r="A24" s="611">
        <f t="shared" si="0"/>
        <v>2000</v>
      </c>
      <c r="B24" s="628">
        <f>'a27'!E37</f>
        <v>0.94670738938491172</v>
      </c>
      <c r="C24" s="628">
        <f>'a27'!L37</f>
        <v>0.66417872445676285</v>
      </c>
      <c r="D24" s="628">
        <f>'a27'!S37</f>
        <v>0.80877761589010133</v>
      </c>
      <c r="E24" s="628">
        <f>'a27'!Z37</f>
        <v>0.88214136165004242</v>
      </c>
      <c r="F24" s="628">
        <f>'a27'!AG37</f>
        <v>0.89343788863507456</v>
      </c>
      <c r="G24" s="628">
        <f>'a27'!AN37</f>
        <v>0.96391807205081281</v>
      </c>
      <c r="H24" s="628">
        <f>'a27'!AU37</f>
        <v>0.90406059709212516</v>
      </c>
      <c r="I24" s="628">
        <f>'a27'!BB37</f>
        <v>0.8955933490215735</v>
      </c>
      <c r="J24" s="628">
        <f>'a27'!BI37</f>
        <v>0.9169921487249254</v>
      </c>
      <c r="K24" s="628">
        <f>'a27'!BP37</f>
        <v>1.1199125547731206</v>
      </c>
      <c r="L24" s="628">
        <f>'a27'!BW37</f>
        <v>1.0059556955701094</v>
      </c>
    </row>
    <row r="25" spans="1:12">
      <c r="A25" s="611">
        <f t="shared" si="0"/>
        <v>2001</v>
      </c>
      <c r="B25" s="628">
        <f>'a27'!E38</f>
        <v>0.9354428044341121</v>
      </c>
      <c r="C25" s="628">
        <f>'a27'!L38</f>
        <v>0.55255694812917389</v>
      </c>
      <c r="D25" s="628">
        <f>'a27'!S38</f>
        <v>0.72754158964879845</v>
      </c>
      <c r="E25" s="628">
        <f>'a27'!Z38</f>
        <v>0.83366372705549541</v>
      </c>
      <c r="F25" s="628">
        <f>'a27'!AG38</f>
        <v>0.81536204411783808</v>
      </c>
      <c r="G25" s="628">
        <f>'a27'!AN38</f>
        <v>0.95959043104101582</v>
      </c>
      <c r="H25" s="628">
        <f>'a27'!AU38</f>
        <v>0.90017269492001284</v>
      </c>
      <c r="I25" s="628">
        <f>'a27'!BB38</f>
        <v>0.91251618980336746</v>
      </c>
      <c r="J25" s="628">
        <f>'a27'!BI38</f>
        <v>0.82215573017311527</v>
      </c>
      <c r="K25" s="628">
        <f>'a27'!BP38</f>
        <v>1.1096394209758427</v>
      </c>
      <c r="L25" s="628">
        <f>'a27'!BW38</f>
        <v>1.0072534195830378</v>
      </c>
    </row>
    <row r="26" spans="1:12">
      <c r="A26" s="611">
        <f t="shared" si="0"/>
        <v>2002</v>
      </c>
      <c r="B26" s="628">
        <f>'a27'!E39</f>
        <v>0.91464505728900936</v>
      </c>
      <c r="C26" s="628">
        <f>'a27'!L39</f>
        <v>0.61488803122638036</v>
      </c>
      <c r="D26" s="628">
        <f>'a27'!S39</f>
        <v>0.74948799511961306</v>
      </c>
      <c r="E26" s="628">
        <f>'a27'!Z39</f>
        <v>0.84640871758446012</v>
      </c>
      <c r="F26" s="628">
        <f>'a27'!AG39</f>
        <v>0.76610069950604598</v>
      </c>
      <c r="G26" s="628">
        <f>'a27'!AN39</f>
        <v>0.92496534673586572</v>
      </c>
      <c r="H26" s="628">
        <f>'a27'!AU39</f>
        <v>0.87444804017716182</v>
      </c>
      <c r="I26" s="628">
        <f>'a27'!BB39</f>
        <v>0.88207412588699807</v>
      </c>
      <c r="J26" s="628">
        <f>'a27'!BI39</f>
        <v>0.82931868020218613</v>
      </c>
      <c r="K26" s="628">
        <f>'a27'!BP39</f>
        <v>1.0969862317709229</v>
      </c>
      <c r="L26" s="628">
        <f>'a27'!BW39</f>
        <v>1.0008293291922887</v>
      </c>
    </row>
    <row r="27" spans="1:12">
      <c r="A27" s="611">
        <f t="shared" si="0"/>
        <v>2003</v>
      </c>
      <c r="B27" s="628">
        <f>'a27'!E40</f>
        <v>0.9175222288116075</v>
      </c>
      <c r="C27" s="628">
        <f>'a27'!L40</f>
        <v>0.48234029763747971</v>
      </c>
      <c r="D27" s="628">
        <f>'a27'!S40</f>
        <v>0.81076792128914987</v>
      </c>
      <c r="E27" s="628">
        <f>'a27'!Z40</f>
        <v>0.81059598145023137</v>
      </c>
      <c r="F27" s="628">
        <f>'a27'!AG40</f>
        <v>0.76021904794360751</v>
      </c>
      <c r="G27" s="628">
        <f>'a27'!AN40</f>
        <v>0.93729298273416506</v>
      </c>
      <c r="H27" s="628">
        <f>'a27'!AU40</f>
        <v>0.90997911013680943</v>
      </c>
      <c r="I27" s="628">
        <f>'a27'!BB40</f>
        <v>0.86471700922622163</v>
      </c>
      <c r="J27" s="628">
        <f>'a27'!BI40</f>
        <v>0.84634324061937716</v>
      </c>
      <c r="K27" s="628">
        <f>'a27'!BP40</f>
        <v>1.0411856959920891</v>
      </c>
      <c r="L27" s="628">
        <f>'a27'!BW40</f>
        <v>0.96373481590162446</v>
      </c>
    </row>
    <row r="28" spans="1:12">
      <c r="A28" s="611">
        <f t="shared" si="0"/>
        <v>2004</v>
      </c>
      <c r="B28" s="628">
        <f>'a27'!E41</f>
        <v>0.89527906253571299</v>
      </c>
      <c r="C28" s="628">
        <f>'a27'!L41</f>
        <v>0.60857015097920175</v>
      </c>
      <c r="D28" s="628">
        <f>'a27'!S41</f>
        <v>0.84062544828575525</v>
      </c>
      <c r="E28" s="628">
        <f>'a27'!Z41</f>
        <v>0.84949858346111218</v>
      </c>
      <c r="F28" s="628">
        <f>'a27'!AG41</f>
        <v>0.74188449146832836</v>
      </c>
      <c r="G28" s="628">
        <f>'a27'!AN41</f>
        <v>0.8943417331246033</v>
      </c>
      <c r="H28" s="628">
        <f>'a27'!AU41</f>
        <v>0.86242908806478769</v>
      </c>
      <c r="I28" s="628">
        <f>'a27'!BB41</f>
        <v>0.85547653489834574</v>
      </c>
      <c r="J28" s="628">
        <f>'a27'!BI41</f>
        <v>0.79891432868826795</v>
      </c>
      <c r="K28" s="628">
        <f>'a27'!BP41</f>
        <v>1.0749116626041373</v>
      </c>
      <c r="L28" s="628">
        <f>'a27'!BW41</f>
        <v>0.97514775443821289</v>
      </c>
    </row>
    <row r="29" spans="1:12">
      <c r="A29" s="611">
        <f t="shared" si="0"/>
        <v>2005</v>
      </c>
      <c r="B29" s="628">
        <f>'a27'!E42</f>
        <v>0.90932817032171231</v>
      </c>
      <c r="C29" s="628">
        <f>'a27'!L42</f>
        <v>0.57431522554064973</v>
      </c>
      <c r="D29" s="628">
        <f>'a27'!S42</f>
        <v>0.80807503961852001</v>
      </c>
      <c r="E29" s="628">
        <f>'a27'!Z42</f>
        <v>0.83509529497686563</v>
      </c>
      <c r="F29" s="628">
        <f>'a27'!AG42</f>
        <v>0.7580191762053371</v>
      </c>
      <c r="G29" s="628">
        <f>'a27'!AN42</f>
        <v>0.86148559484706155</v>
      </c>
      <c r="H29" s="628">
        <f>'a27'!AU42</f>
        <v>0.93207456078756978</v>
      </c>
      <c r="I29" s="628">
        <f>'a27'!BB42</f>
        <v>0.89168864684687665</v>
      </c>
      <c r="J29" s="628">
        <f>'a27'!BI42</f>
        <v>0.82411456993396803</v>
      </c>
      <c r="K29" s="628">
        <f>'a27'!BP42</f>
        <v>1.0244985190762894</v>
      </c>
      <c r="L29" s="628">
        <f>'a27'!BW42</f>
        <v>0.95394397951042564</v>
      </c>
    </row>
    <row r="30" spans="1:12">
      <c r="A30" s="611">
        <f t="shared" si="0"/>
        <v>2006</v>
      </c>
      <c r="B30" s="628">
        <f>'a27'!E43</f>
        <v>0.90232467859311449</v>
      </c>
      <c r="C30" s="628">
        <f>'a27'!L43</f>
        <v>0.55967118016530915</v>
      </c>
      <c r="D30" s="628">
        <f>'a27'!S43</f>
        <v>0.81191118706161935</v>
      </c>
      <c r="E30" s="628">
        <f>'a27'!Z43</f>
        <v>0.82805699298468138</v>
      </c>
      <c r="F30" s="628">
        <f>'a27'!AG43</f>
        <v>0.73420921756192248</v>
      </c>
      <c r="G30" s="628">
        <f>'a27'!AN43</f>
        <v>0.84339079091457159</v>
      </c>
      <c r="H30" s="628">
        <f>'a27'!AU43</f>
        <v>0.9405893028276</v>
      </c>
      <c r="I30" s="628">
        <f>'a27'!BB43</f>
        <v>0.89198198605842483</v>
      </c>
      <c r="J30" s="628">
        <f>'a27'!BI43</f>
        <v>0.80607741301951719</v>
      </c>
      <c r="K30" s="628">
        <f>'a27'!BP43</f>
        <v>0.99860408012020563</v>
      </c>
      <c r="L30" s="628">
        <f>'a27'!BW43</f>
        <v>0.94066557321291089</v>
      </c>
    </row>
    <row r="31" spans="1:12">
      <c r="A31" s="611">
        <f t="shared" si="0"/>
        <v>2007</v>
      </c>
      <c r="B31" s="628">
        <f>'a27'!E44</f>
        <v>0.8961448611522862</v>
      </c>
      <c r="C31" s="628">
        <f>'a27'!L44</f>
        <v>0.54488962326754464</v>
      </c>
      <c r="D31" s="628">
        <f>'a27'!S44</f>
        <v>0.81138832634891755</v>
      </c>
      <c r="E31" s="628">
        <f>'a27'!Z44</f>
        <v>0.82125018441317355</v>
      </c>
      <c r="F31" s="628">
        <f>'a27'!AG44</f>
        <v>0.70911820846371143</v>
      </c>
      <c r="G31" s="628">
        <f>'a27'!AN44</f>
        <v>0.82710399929535028</v>
      </c>
      <c r="H31" s="628">
        <f>'a27'!AU44</f>
        <v>0.95212506539467057</v>
      </c>
      <c r="I31" s="628">
        <f>'a27'!BB44</f>
        <v>0.88952379940694359</v>
      </c>
      <c r="J31" s="628">
        <f>'a27'!BI44</f>
        <v>0.78043794773673769</v>
      </c>
      <c r="K31" s="628">
        <f>'a27'!BP44</f>
        <v>0.97039289582565491</v>
      </c>
      <c r="L31" s="628">
        <f>'a27'!BW44</f>
        <v>0.92853178473467479</v>
      </c>
    </row>
    <row r="32" spans="1:12">
      <c r="A32" s="611">
        <f t="shared" si="0"/>
        <v>2008</v>
      </c>
      <c r="B32" s="628">
        <f>'a27'!E45</f>
        <v>0.889869707871358</v>
      </c>
      <c r="C32" s="628">
        <f>'a27'!L45</f>
        <v>0.52948151361175455</v>
      </c>
      <c r="D32" s="628">
        <f>'a27'!S45</f>
        <v>0.81311940917442294</v>
      </c>
      <c r="E32" s="628">
        <f>'a27'!Z45</f>
        <v>0.814169643615831</v>
      </c>
      <c r="F32" s="628">
        <f>'a27'!AG45</f>
        <v>0.68548416230118803</v>
      </c>
      <c r="G32" s="628">
        <f>'a27'!AN45</f>
        <v>0.80996437439451352</v>
      </c>
      <c r="H32" s="628">
        <f>'a27'!AU45</f>
        <v>0.96116222340522661</v>
      </c>
      <c r="I32" s="628">
        <f>'a27'!BB45</f>
        <v>0.8885430592718695</v>
      </c>
      <c r="J32" s="628">
        <f>'a27'!BI45</f>
        <v>0.76176319564797201</v>
      </c>
      <c r="K32" s="628">
        <f>'a27'!BP45</f>
        <v>0.95047778189664733</v>
      </c>
      <c r="L32" s="628">
        <f>'a27'!BW45</f>
        <v>0.91713823544273421</v>
      </c>
    </row>
    <row r="33" spans="1:12">
      <c r="A33" s="611">
        <f t="shared" si="0"/>
        <v>2009</v>
      </c>
      <c r="B33" s="628">
        <f>'a27'!E46</f>
        <v>0.88346681775528202</v>
      </c>
      <c r="C33" s="628">
        <f>'a27'!L46</f>
        <v>0.51479574417101426</v>
      </c>
      <c r="D33" s="628">
        <f>'a27'!S46</f>
        <v>0.81501811432564408</v>
      </c>
      <c r="E33" s="628">
        <f>'a27'!Z46</f>
        <v>0.8073498886571786</v>
      </c>
      <c r="F33" s="628">
        <f>'a27'!AG46</f>
        <v>0.66275509392080079</v>
      </c>
      <c r="G33" s="628">
        <f>'a27'!AN46</f>
        <v>0.79322862218455703</v>
      </c>
      <c r="H33" s="628">
        <f>'a27'!AU46</f>
        <v>0.97034486850654122</v>
      </c>
      <c r="I33" s="628">
        <f>'a27'!BB46</f>
        <v>0.88761990752435038</v>
      </c>
      <c r="J33" s="628">
        <f>'a27'!BI46</f>
        <v>0.74333264845619385</v>
      </c>
      <c r="K33" s="628">
        <f>'a27'!BP46</f>
        <v>0.92970884735706172</v>
      </c>
      <c r="L33" s="628">
        <f>'a27'!BW46</f>
        <v>0.90517763933824646</v>
      </c>
    </row>
    <row r="34" spans="1:12">
      <c r="A34" s="611">
        <f t="shared" si="0"/>
        <v>2010</v>
      </c>
      <c r="B34" s="628">
        <f>'a27'!E47</f>
        <v>0.87712948275730729</v>
      </c>
      <c r="C34" s="628">
        <f>'a27'!L47</f>
        <v>0.50083393538563947</v>
      </c>
      <c r="D34" s="628">
        <f>'a27'!S47</f>
        <v>0.81693056485247473</v>
      </c>
      <c r="E34" s="628">
        <f>'a27'!Z47</f>
        <v>0.80084262857796007</v>
      </c>
      <c r="F34" s="628">
        <f>'a27'!AG47</f>
        <v>0.64089392656154065</v>
      </c>
      <c r="G34" s="628">
        <f>'a27'!AN47</f>
        <v>0.77699075681616969</v>
      </c>
      <c r="H34" s="628">
        <f>'a27'!AU47</f>
        <v>0.97991737354720321</v>
      </c>
      <c r="I34" s="628">
        <f>'a27'!BB47</f>
        <v>0.88699488403483817</v>
      </c>
      <c r="J34" s="628">
        <f>'a27'!BI47</f>
        <v>0.72522047325332184</v>
      </c>
      <c r="K34" s="628">
        <f>'a27'!BP47</f>
        <v>0.90801014671665969</v>
      </c>
      <c r="L34" s="628">
        <f>'a27'!BW47</f>
        <v>0.89326832820297597</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-0.82575564755097419</v>
      </c>
      <c r="C36" s="617">
        <f t="shared" si="1"/>
        <v>0.43045594546273769</v>
      </c>
      <c r="D36" s="617">
        <f t="shared" si="1"/>
        <v>0.75554425154273908</v>
      </c>
      <c r="E36" s="617">
        <f t="shared" si="1"/>
        <v>-1.1716898298624434</v>
      </c>
      <c r="F36" s="617">
        <f t="shared" si="1"/>
        <v>-0.75834699635065617</v>
      </c>
      <c r="G36" s="617">
        <f t="shared" si="1"/>
        <v>-1.5592022317889254</v>
      </c>
      <c r="H36" s="617">
        <f t="shared" si="1"/>
        <v>-1.1588098837289618E-2</v>
      </c>
      <c r="I36" s="617">
        <f t="shared" si="1"/>
        <v>-0.25203510138082086</v>
      </c>
      <c r="J36" s="617">
        <f t="shared" si="1"/>
        <v>-0.40518770582497199</v>
      </c>
      <c r="K36" s="617">
        <f t="shared" si="1"/>
        <v>-1.7671568343801902</v>
      </c>
      <c r="L36" s="617">
        <f t="shared" si="1"/>
        <v>-1.3846801672854681</v>
      </c>
    </row>
    <row r="37" spans="1:12">
      <c r="A37" s="611" t="s">
        <v>1472</v>
      </c>
      <c r="B37" s="617">
        <f t="shared" ref="B37:L37" si="2">100*(POWER(B13/B5, 1/8)-1)</f>
        <v>0.9020521911287549</v>
      </c>
      <c r="C37" s="617">
        <f t="shared" si="2"/>
        <v>6.4761207797196851</v>
      </c>
      <c r="D37" s="617">
        <f t="shared" si="2"/>
        <v>2.4204247563029302</v>
      </c>
      <c r="E37" s="617">
        <f t="shared" si="2"/>
        <v>0.12767561227537971</v>
      </c>
      <c r="F37" s="617">
        <f t="shared" si="2"/>
        <v>1.5992846799802507</v>
      </c>
      <c r="G37" s="617">
        <f t="shared" si="2"/>
        <v>-0.60331370876822721</v>
      </c>
      <c r="H37" s="617">
        <f t="shared" si="2"/>
        <v>2.882886668269613</v>
      </c>
      <c r="I37" s="617">
        <f t="shared" si="2"/>
        <v>1.6307794452281588</v>
      </c>
      <c r="J37" s="617">
        <f t="shared" si="2"/>
        <v>2.5013891876427552</v>
      </c>
      <c r="K37" s="617">
        <f t="shared" si="2"/>
        <v>-1.4520857911310081</v>
      </c>
      <c r="L37" s="617">
        <f t="shared" si="2"/>
        <v>-0.20892670767762578</v>
      </c>
    </row>
    <row r="38" spans="1:12">
      <c r="A38" s="611" t="s">
        <v>1473</v>
      </c>
      <c r="B38" s="617">
        <f t="shared" ref="B38:L38" si="3">100*(POWER(B24/B13, 1/11)-1)</f>
        <v>-2.1223234126380053</v>
      </c>
      <c r="C38" s="617">
        <f t="shared" si="3"/>
        <v>-0.8613906987568809</v>
      </c>
      <c r="D38" s="617">
        <f t="shared" si="3"/>
        <v>0.15399482120517227</v>
      </c>
      <c r="E38" s="617">
        <f t="shared" si="3"/>
        <v>-2.2943257786660176</v>
      </c>
      <c r="F38" s="617">
        <f t="shared" si="3"/>
        <v>-0.14059527932027693</v>
      </c>
      <c r="G38" s="617">
        <f t="shared" si="3"/>
        <v>-1.7280022085621294</v>
      </c>
      <c r="H38" s="617">
        <f t="shared" si="3"/>
        <v>-2.7903453545376045</v>
      </c>
      <c r="I38" s="617">
        <f t="shared" si="3"/>
        <v>-1.7387534293407225</v>
      </c>
      <c r="J38" s="617">
        <f t="shared" si="3"/>
        <v>-0.73157685496302305</v>
      </c>
      <c r="K38" s="617">
        <f t="shared" si="3"/>
        <v>-1.7150213227873135</v>
      </c>
      <c r="L38" s="617">
        <f t="shared" si="3"/>
        <v>-2.4142466989037548</v>
      </c>
    </row>
    <row r="39" spans="1:12">
      <c r="A39" s="611" t="s">
        <v>1474</v>
      </c>
      <c r="B39" s="617">
        <f t="shared" ref="B39:L39" si="4">100*(POWER(B32/B24, 1/8)-1)</f>
        <v>-0.77095034178866761</v>
      </c>
      <c r="C39" s="617">
        <f t="shared" si="4"/>
        <v>-2.7934051074898658</v>
      </c>
      <c r="D39" s="617">
        <f t="shared" si="4"/>
        <v>6.6947173340858868E-2</v>
      </c>
      <c r="E39" s="617">
        <f t="shared" si="4"/>
        <v>-0.9972883359931739</v>
      </c>
      <c r="F39" s="617">
        <f t="shared" si="4"/>
        <v>-3.2576500829456512</v>
      </c>
      <c r="G39" s="617">
        <f t="shared" si="4"/>
        <v>-2.1517136058879172</v>
      </c>
      <c r="H39" s="617">
        <f t="shared" si="4"/>
        <v>0.76852323700602465</v>
      </c>
      <c r="I39" s="617">
        <f t="shared" si="4"/>
        <v>-9.874308079084182E-2</v>
      </c>
      <c r="J39" s="617">
        <f t="shared" si="4"/>
        <v>-2.2916237499595371</v>
      </c>
      <c r="K39" s="617">
        <f t="shared" si="4"/>
        <v>-2.0296336602471654</v>
      </c>
      <c r="L39" s="617">
        <f t="shared" si="4"/>
        <v>-1.1487892055043525</v>
      </c>
    </row>
    <row r="40" spans="1:12">
      <c r="A40" s="611" t="s">
        <v>1500</v>
      </c>
      <c r="B40" s="611"/>
      <c r="C40" s="611"/>
      <c r="D40" s="611"/>
      <c r="E40" s="611"/>
      <c r="F40" s="611"/>
      <c r="G40" s="611"/>
      <c r="H40" s="611"/>
      <c r="I40" s="611"/>
      <c r="J40" s="611"/>
      <c r="K40" s="611"/>
      <c r="L40" s="611"/>
    </row>
    <row r="41" spans="1:12">
      <c r="A41" s="611" t="s">
        <v>1498</v>
      </c>
      <c r="B41" s="616">
        <f>100*(B34-B5)/B5</f>
        <v>-21.373652248485733</v>
      </c>
      <c r="C41" s="616">
        <f t="shared" ref="C41:L41" si="5">100*(C34-C5)/C5</f>
        <v>13.265486917973922</v>
      </c>
      <c r="D41" s="616">
        <f t="shared" si="5"/>
        <v>24.394060796212784</v>
      </c>
      <c r="E41" s="616">
        <f t="shared" si="5"/>
        <v>-28.950714000895992</v>
      </c>
      <c r="F41" s="616">
        <f t="shared" si="5"/>
        <v>-19.808988191889391</v>
      </c>
      <c r="G41" s="616">
        <f t="shared" si="5"/>
        <v>-36.601553966969078</v>
      </c>
      <c r="H41" s="616">
        <f t="shared" si="5"/>
        <v>-0.33551024127037354</v>
      </c>
      <c r="I41" s="616">
        <f t="shared" si="5"/>
        <v>-7.0568751723770289</v>
      </c>
      <c r="J41" s="616">
        <f>100*(J34-J5)/J5</f>
        <v>-11.107564445345563</v>
      </c>
      <c r="K41" s="616">
        <f t="shared" si="5"/>
        <v>-40.372759914585906</v>
      </c>
      <c r="L41" s="616">
        <f t="shared" si="5"/>
        <v>-33.259840571081256</v>
      </c>
    </row>
    <row r="42" spans="1:12">
      <c r="A42" s="611" t="s">
        <v>1472</v>
      </c>
      <c r="B42" s="616">
        <f>100*(B13-B5)/B5</f>
        <v>7.4484100858209148</v>
      </c>
      <c r="C42" s="616">
        <f t="shared" ref="C42:L42" si="6">100*(C13-C5)/C5</f>
        <v>65.202936096111742</v>
      </c>
      <c r="D42" s="616">
        <f t="shared" si="6"/>
        <v>21.085623054580708</v>
      </c>
      <c r="E42" s="616">
        <f t="shared" si="6"/>
        <v>1.0259808691635754</v>
      </c>
      <c r="F42" s="616">
        <f t="shared" si="6"/>
        <v>13.533807343783854</v>
      </c>
      <c r="G42" s="616">
        <f t="shared" si="6"/>
        <v>-4.7258137121599173</v>
      </c>
      <c r="H42" s="616">
        <f t="shared" si="6"/>
        <v>25.529306295505542</v>
      </c>
      <c r="I42" s="616">
        <f t="shared" si="6"/>
        <v>13.815667796601959</v>
      </c>
      <c r="J42" s="616">
        <f t="shared" si="6"/>
        <v>21.853500838136874</v>
      </c>
      <c r="K42" s="616">
        <f t="shared" si="6"/>
        <v>-11.043129898303151</v>
      </c>
      <c r="L42" s="616">
        <f t="shared" si="6"/>
        <v>-1.6592424953745721</v>
      </c>
    </row>
    <row r="43" spans="1:12">
      <c r="A43" s="611" t="s">
        <v>1473</v>
      </c>
      <c r="B43" s="616">
        <f>100*(B24-B13)/B13</f>
        <v>-21.019447569415838</v>
      </c>
      <c r="C43" s="616">
        <f t="shared" ref="C43:L43" si="7">100*(C24-C13)/C13</f>
        <v>-9.0775674308089727</v>
      </c>
      <c r="D43" s="616">
        <f t="shared" si="7"/>
        <v>1.7070463982443145</v>
      </c>
      <c r="E43" s="616">
        <f t="shared" si="7"/>
        <v>-22.532838096870798</v>
      </c>
      <c r="F43" s="616">
        <f t="shared" si="7"/>
        <v>-1.5357219319209665</v>
      </c>
      <c r="G43" s="616">
        <f t="shared" si="7"/>
        <v>-17.447993236141695</v>
      </c>
      <c r="H43" s="616">
        <f t="shared" si="7"/>
        <v>-26.750712865289014</v>
      </c>
      <c r="I43" s="616">
        <f t="shared" si="7"/>
        <v>-17.547284437073927</v>
      </c>
      <c r="J43" s="616">
        <f t="shared" si="7"/>
        <v>-7.759349722620084</v>
      </c>
      <c r="K43" s="616">
        <f t="shared" si="7"/>
        <v>-17.327965472244188</v>
      </c>
      <c r="L43" s="616">
        <f t="shared" si="7"/>
        <v>-23.572331978244055</v>
      </c>
    </row>
    <row r="44" spans="1:12">
      <c r="A44" s="611" t="s">
        <v>1474</v>
      </c>
      <c r="B44" s="616">
        <f>100*(B32-B24)/B24</f>
        <v>-6.0037221797203806</v>
      </c>
      <c r="C44" s="616">
        <f t="shared" ref="C44:L44" si="8">100*(C32-C24)/C24</f>
        <v>-20.280265820796689</v>
      </c>
      <c r="D44" s="616">
        <f t="shared" si="8"/>
        <v>0.53683400715080842</v>
      </c>
      <c r="E44" s="616">
        <f t="shared" si="8"/>
        <v>-7.7053090342652748</v>
      </c>
      <c r="F44" s="616">
        <f t="shared" si="8"/>
        <v>-23.275678027443202</v>
      </c>
      <c r="G44" s="616">
        <f t="shared" si="8"/>
        <v>-15.97165797802198</v>
      </c>
      <c r="H44" s="616">
        <f t="shared" si="8"/>
        <v>6.3161281994554956</v>
      </c>
      <c r="I44" s="616">
        <f t="shared" si="8"/>
        <v>-0.78721997627677531</v>
      </c>
      <c r="J44" s="616">
        <f t="shared" si="8"/>
        <v>-16.928056940596356</v>
      </c>
      <c r="K44" s="616">
        <f t="shared" si="8"/>
        <v>-15.129285956687793</v>
      </c>
      <c r="L44" s="616">
        <f t="shared" si="8"/>
        <v>-8.8291622104728322</v>
      </c>
    </row>
    <row r="46" spans="1:12">
      <c r="A46" s="611" t="s">
        <v>1555</v>
      </c>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dimension ref="A1:L46"/>
  <sheetViews>
    <sheetView topLeftCell="A29" workbookViewId="0">
      <selection activeCell="E9" sqref="E9"/>
    </sheetView>
  </sheetViews>
  <sheetFormatPr defaultRowHeight="12.75"/>
  <cols>
    <col min="1" max="16384" width="9" style="618"/>
  </cols>
  <sheetData>
    <row r="1" spans="1:12">
      <c r="A1" s="611" t="s">
        <v>1526</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9">
        <f>'a27'!F18</f>
        <v>45.1</v>
      </c>
      <c r="C5" s="629">
        <f>'a27'!M18</f>
        <v>52.8</v>
      </c>
      <c r="D5" s="629">
        <f>'a27'!T18</f>
        <v>52.1</v>
      </c>
      <c r="E5" s="629">
        <f>'a27'!AA18</f>
        <v>62</v>
      </c>
      <c r="F5" s="629">
        <f>'a27'!AH18</f>
        <v>64.599999999999994</v>
      </c>
      <c r="G5" s="629">
        <f>'a27'!AO18</f>
        <v>49.2</v>
      </c>
      <c r="H5" s="629">
        <f>'a27'!AV18</f>
        <v>39.700000000000003</v>
      </c>
      <c r="I5" s="629">
        <f>'a27'!BC18</f>
        <v>49.4</v>
      </c>
      <c r="J5" s="629">
        <f>'a27'!BJ18</f>
        <v>56.8</v>
      </c>
      <c r="K5" s="629">
        <f>'a27'!BQ18</f>
        <v>28.4</v>
      </c>
      <c r="L5" s="629">
        <f>'a27'!BX18</f>
        <v>48.3</v>
      </c>
    </row>
    <row r="6" spans="1:12">
      <c r="A6" s="611">
        <f t="shared" ref="A6:A34" si="0">A5+1</f>
        <v>1982</v>
      </c>
      <c r="B6" s="629">
        <f>'a27'!F19</f>
        <v>48.1</v>
      </c>
      <c r="C6" s="629">
        <f>'a27'!M19</f>
        <v>62.1</v>
      </c>
      <c r="D6" s="629">
        <f>'a27'!T19</f>
        <v>46.7</v>
      </c>
      <c r="E6" s="629">
        <f>'a27'!AA19</f>
        <v>52.5</v>
      </c>
      <c r="F6" s="629">
        <f>'a27'!AH19</f>
        <v>64.2</v>
      </c>
      <c r="G6" s="629">
        <f>'a27'!AO19</f>
        <v>57.6</v>
      </c>
      <c r="H6" s="629">
        <f>'a27'!AV19</f>
        <v>42.3</v>
      </c>
      <c r="I6" s="629">
        <f>'a27'!BC19</f>
        <v>48.9</v>
      </c>
      <c r="J6" s="629">
        <f>'a27'!BJ19</f>
        <v>41.5</v>
      </c>
      <c r="K6" s="629">
        <f>'a27'!BQ19</f>
        <v>35.6</v>
      </c>
      <c r="L6" s="629">
        <f>'a27'!BX19</f>
        <v>47.1</v>
      </c>
    </row>
    <row r="7" spans="1:12">
      <c r="A7" s="611">
        <f t="shared" si="0"/>
        <v>1983</v>
      </c>
      <c r="B7" s="629">
        <f>'a27'!F20</f>
        <v>51.7</v>
      </c>
      <c r="C7" s="629">
        <f>'a27'!M20</f>
        <v>61.3</v>
      </c>
      <c r="D7" s="629">
        <f>'a27'!T20</f>
        <v>40.200000000000003</v>
      </c>
      <c r="E7" s="629">
        <f>'a27'!AA20</f>
        <v>50.3</v>
      </c>
      <c r="F7" s="629">
        <f>'a27'!AH20</f>
        <v>60.5</v>
      </c>
      <c r="G7" s="629">
        <f>'a27'!AO20</f>
        <v>53.4</v>
      </c>
      <c r="H7" s="629">
        <f>'a27'!AV20</f>
        <v>51.1</v>
      </c>
      <c r="I7" s="629">
        <f>'a27'!BC20</f>
        <v>86.1</v>
      </c>
      <c r="J7" s="629">
        <f>'a27'!BJ20</f>
        <v>39.5</v>
      </c>
      <c r="K7" s="629">
        <f>'a27'!BQ20</f>
        <v>51</v>
      </c>
      <c r="L7" s="629">
        <f>'a27'!BX20</f>
        <v>37.6</v>
      </c>
    </row>
    <row r="8" spans="1:12">
      <c r="A8" s="611">
        <f t="shared" si="0"/>
        <v>1984</v>
      </c>
      <c r="B8" s="629">
        <f>'a27'!F21</f>
        <v>50.9</v>
      </c>
      <c r="C8" s="629">
        <f>'a27'!M21</f>
        <v>52.1</v>
      </c>
      <c r="D8" s="629">
        <f>'a27'!T21</f>
        <v>28.4</v>
      </c>
      <c r="E8" s="629">
        <f>'a27'!AA21</f>
        <v>60.4</v>
      </c>
      <c r="F8" s="629">
        <f>'a27'!AH21</f>
        <v>67</v>
      </c>
      <c r="G8" s="629">
        <f>'a27'!AO21</f>
        <v>54.7</v>
      </c>
      <c r="H8" s="629">
        <f>'a27'!AV21</f>
        <v>46</v>
      </c>
      <c r="I8" s="629">
        <f>'a27'!BC21</f>
        <v>40.4</v>
      </c>
      <c r="J8" s="629">
        <f>'a27'!BJ21</f>
        <v>51.5</v>
      </c>
      <c r="K8" s="629">
        <f>'a27'!BQ21</f>
        <v>48.8</v>
      </c>
      <c r="L8" s="629">
        <f>'a27'!BX21</f>
        <v>53.7</v>
      </c>
    </row>
    <row r="9" spans="1:12">
      <c r="A9" s="611">
        <f t="shared" si="0"/>
        <v>1985</v>
      </c>
      <c r="B9" s="629">
        <f>'a27'!F22</f>
        <v>51.2</v>
      </c>
      <c r="C9" s="629">
        <f>'a27'!M22</f>
        <v>53.3</v>
      </c>
      <c r="D9" s="629">
        <f>'a27'!T22</f>
        <v>49.7</v>
      </c>
      <c r="E9" s="629">
        <f>'a27'!AA22</f>
        <v>58.1</v>
      </c>
      <c r="F9" s="629">
        <f>'a27'!AH22</f>
        <v>62.3</v>
      </c>
      <c r="G9" s="629">
        <f>'a27'!AO22</f>
        <v>52.9</v>
      </c>
      <c r="H9" s="629">
        <f>'a27'!AV22</f>
        <v>48.8</v>
      </c>
      <c r="I9" s="629">
        <f>'a27'!BC22</f>
        <v>51.1</v>
      </c>
      <c r="J9" s="629">
        <f>'a27'!BJ22</f>
        <v>49.8</v>
      </c>
      <c r="K9" s="629">
        <f>'a27'!BQ22</f>
        <v>43.1</v>
      </c>
      <c r="L9" s="629">
        <f>'a27'!BX22</f>
        <v>55.4</v>
      </c>
    </row>
    <row r="10" spans="1:12">
      <c r="A10" s="611">
        <f t="shared" si="0"/>
        <v>1986</v>
      </c>
      <c r="B10" s="629">
        <f>'a27'!F23</f>
        <v>49.1</v>
      </c>
      <c r="C10" s="629">
        <f>'a27'!M23</f>
        <v>54.6</v>
      </c>
      <c r="D10" s="629">
        <f>'a27'!T23</f>
        <v>42.1</v>
      </c>
      <c r="E10" s="629">
        <f>'a27'!AA23</f>
        <v>62.5</v>
      </c>
      <c r="F10" s="629">
        <f>'a27'!AH23</f>
        <v>59.8</v>
      </c>
      <c r="G10" s="629">
        <f>'a27'!AO23</f>
        <v>53.6</v>
      </c>
      <c r="H10" s="629">
        <f>'a27'!AV23</f>
        <v>43.4</v>
      </c>
      <c r="I10" s="629">
        <f>'a27'!BC23</f>
        <v>55.2</v>
      </c>
      <c r="J10" s="629">
        <f>'a27'!BJ23</f>
        <v>53</v>
      </c>
      <c r="K10" s="629">
        <f>'a27'!BQ23</f>
        <v>35.9</v>
      </c>
      <c r="L10" s="629">
        <f>'a27'!BX23</f>
        <v>55.5</v>
      </c>
    </row>
    <row r="11" spans="1:12">
      <c r="A11" s="611">
        <f t="shared" si="0"/>
        <v>1987</v>
      </c>
      <c r="B11" s="629">
        <f>'a27'!F24</f>
        <v>48.5</v>
      </c>
      <c r="C11" s="629">
        <f>'a27'!M24</f>
        <v>64.900000000000006</v>
      </c>
      <c r="D11" s="629">
        <f>'a27'!T24</f>
        <v>52</v>
      </c>
      <c r="E11" s="629">
        <f>'a27'!AA24</f>
        <v>56.8</v>
      </c>
      <c r="F11" s="629">
        <f>'a27'!AH24</f>
        <v>66.099999999999994</v>
      </c>
      <c r="G11" s="629">
        <f>'a27'!AO24</f>
        <v>54.9</v>
      </c>
      <c r="H11" s="629">
        <f>'a27'!AV24</f>
        <v>37.6</v>
      </c>
      <c r="I11" s="629">
        <f>'a27'!BC24</f>
        <v>46.7</v>
      </c>
      <c r="J11" s="629">
        <f>'a27'!BJ24</f>
        <v>53.9</v>
      </c>
      <c r="K11" s="629">
        <f>'a27'!BQ24</f>
        <v>44.2</v>
      </c>
      <c r="L11" s="629">
        <f>'a27'!BX24</f>
        <v>52.1</v>
      </c>
    </row>
    <row r="12" spans="1:12">
      <c r="A12" s="611">
        <f t="shared" si="0"/>
        <v>1988</v>
      </c>
      <c r="B12" s="629">
        <f>'a27'!F25</f>
        <v>46.5</v>
      </c>
      <c r="C12" s="629">
        <f>'a27'!M25</f>
        <v>63</v>
      </c>
      <c r="D12" s="629">
        <f>'a27'!T25</f>
        <v>55</v>
      </c>
      <c r="E12" s="629">
        <f>'a27'!AA25</f>
        <v>53.1</v>
      </c>
      <c r="F12" s="629">
        <f>'a27'!AH25</f>
        <v>62.1</v>
      </c>
      <c r="G12" s="629">
        <f>'a27'!AO25</f>
        <v>48.9</v>
      </c>
      <c r="H12" s="629">
        <f>'a27'!AV25</f>
        <v>39.4</v>
      </c>
      <c r="I12" s="629">
        <f>'a27'!BC25</f>
        <v>54.8</v>
      </c>
      <c r="J12" s="629">
        <f>'a27'!BJ25</f>
        <v>58.8</v>
      </c>
      <c r="K12" s="629">
        <f>'a27'!BQ25</f>
        <v>47.6</v>
      </c>
      <c r="L12" s="629">
        <f>'a27'!BX25</f>
        <v>45.9</v>
      </c>
    </row>
    <row r="13" spans="1:12">
      <c r="A13" s="611">
        <f t="shared" si="0"/>
        <v>1989</v>
      </c>
      <c r="B13" s="629">
        <f>'a27'!F26</f>
        <v>45.6</v>
      </c>
      <c r="C13" s="629">
        <f>'a27'!M26</f>
        <v>54.6</v>
      </c>
      <c r="D13" s="629">
        <f>'a27'!T26</f>
        <v>56.9</v>
      </c>
      <c r="E13" s="629">
        <f>'a27'!AA26</f>
        <v>57</v>
      </c>
      <c r="F13" s="629">
        <f>'a27'!AH26</f>
        <v>62.1</v>
      </c>
      <c r="G13" s="629">
        <f>'a27'!AO26</f>
        <v>46.6</v>
      </c>
      <c r="H13" s="629">
        <f>'a27'!AV26</f>
        <v>36.299999999999997</v>
      </c>
      <c r="I13" s="629">
        <f>'a27'!BC26</f>
        <v>60.3</v>
      </c>
      <c r="J13" s="629">
        <f>'a27'!BJ26</f>
        <v>59.4</v>
      </c>
      <c r="K13" s="629">
        <f>'a27'!BQ26</f>
        <v>46.7</v>
      </c>
      <c r="L13" s="629">
        <f>'a27'!BX26</f>
        <v>52.5</v>
      </c>
    </row>
    <row r="14" spans="1:12">
      <c r="A14" s="611">
        <f t="shared" si="0"/>
        <v>1990</v>
      </c>
      <c r="B14" s="629">
        <f>'a27'!F27</f>
        <v>52.1</v>
      </c>
      <c r="C14" s="629">
        <f>'a27'!M27</f>
        <v>70.900000000000006</v>
      </c>
      <c r="D14" s="629">
        <f>'a27'!T27</f>
        <v>45.3</v>
      </c>
      <c r="E14" s="629">
        <f>'a27'!AA27</f>
        <v>62</v>
      </c>
      <c r="F14" s="629">
        <f>'a27'!AH27</f>
        <v>61.4</v>
      </c>
      <c r="G14" s="629">
        <f>'a27'!AO27</f>
        <v>55.3</v>
      </c>
      <c r="H14" s="629">
        <f>'a27'!AV27</f>
        <v>45.7</v>
      </c>
      <c r="I14" s="629">
        <f>'a27'!BC27</f>
        <v>60.8</v>
      </c>
      <c r="J14" s="629">
        <f>'a27'!BJ27</f>
        <v>55</v>
      </c>
      <c r="K14" s="629">
        <f>'a27'!BQ27</f>
        <v>53.3</v>
      </c>
      <c r="L14" s="629">
        <f>'a27'!BX27</f>
        <v>52.4</v>
      </c>
    </row>
    <row r="15" spans="1:12">
      <c r="A15" s="611">
        <f t="shared" si="0"/>
        <v>1991</v>
      </c>
      <c r="B15" s="629">
        <f>'a27'!F28</f>
        <v>49.6</v>
      </c>
      <c r="C15" s="629">
        <f>'a27'!M28</f>
        <v>62.5</v>
      </c>
      <c r="D15" s="629">
        <f>'a27'!T28</f>
        <v>44.1</v>
      </c>
      <c r="E15" s="629">
        <f>'a27'!AA28</f>
        <v>62.7</v>
      </c>
      <c r="F15" s="629">
        <f>'a27'!AH28</f>
        <v>61.4</v>
      </c>
      <c r="G15" s="629">
        <f>'a27'!AO28</f>
        <v>49.3</v>
      </c>
      <c r="H15" s="629">
        <f>'a27'!AV28</f>
        <v>47.6</v>
      </c>
      <c r="I15" s="629">
        <f>'a27'!BC28</f>
        <v>50.7</v>
      </c>
      <c r="J15" s="629">
        <f>'a27'!BJ28</f>
        <v>63.6</v>
      </c>
      <c r="K15" s="629">
        <f>'a27'!BQ28</f>
        <v>47.3</v>
      </c>
      <c r="L15" s="629">
        <f>'a27'!BX28</f>
        <v>45.6</v>
      </c>
    </row>
    <row r="16" spans="1:12">
      <c r="A16" s="611">
        <f t="shared" si="0"/>
        <v>1992</v>
      </c>
      <c r="B16" s="629">
        <f>'a27'!F29</f>
        <v>46.5</v>
      </c>
      <c r="C16" s="629">
        <f>'a27'!M29</f>
        <v>67.099999999999994</v>
      </c>
      <c r="D16" s="629">
        <f>'a27'!T29</f>
        <v>40.4</v>
      </c>
      <c r="E16" s="629">
        <f>'a27'!AA29</f>
        <v>61.1</v>
      </c>
      <c r="F16" s="629">
        <f>'a27'!AH29</f>
        <v>69.3</v>
      </c>
      <c r="G16" s="629">
        <f>'a27'!AO29</f>
        <v>52.6</v>
      </c>
      <c r="H16" s="629">
        <f>'a27'!AV29</f>
        <v>35.200000000000003</v>
      </c>
      <c r="I16" s="629">
        <f>'a27'!BC29</f>
        <v>55.8</v>
      </c>
      <c r="J16" s="629">
        <f>'a27'!BJ29</f>
        <v>55.7</v>
      </c>
      <c r="K16" s="629">
        <f>'a27'!BQ29</f>
        <v>52.6</v>
      </c>
      <c r="L16" s="629">
        <f>'a27'!BX29</f>
        <v>45.9</v>
      </c>
    </row>
    <row r="17" spans="1:12">
      <c r="A17" s="611">
        <f t="shared" si="0"/>
        <v>1993</v>
      </c>
      <c r="B17" s="629">
        <f>'a27'!F30</f>
        <v>45.2</v>
      </c>
      <c r="C17" s="629">
        <f>'a27'!M30</f>
        <v>63.6</v>
      </c>
      <c r="D17" s="629">
        <f>'a27'!T30</f>
        <v>34.299999999999997</v>
      </c>
      <c r="E17" s="629">
        <f>'a27'!AA30</f>
        <v>68.2</v>
      </c>
      <c r="F17" s="629">
        <f>'a27'!AH30</f>
        <v>67.900000000000006</v>
      </c>
      <c r="G17" s="629">
        <f>'a27'!AO30</f>
        <v>52.4</v>
      </c>
      <c r="H17" s="629">
        <f>'a27'!AV30</f>
        <v>37.4</v>
      </c>
      <c r="I17" s="629">
        <f>'a27'!BC30</f>
        <v>51.3</v>
      </c>
      <c r="J17" s="629">
        <f>'a27'!BJ30</f>
        <v>58.4</v>
      </c>
      <c r="K17" s="629">
        <f>'a27'!BQ30</f>
        <v>40</v>
      </c>
      <c r="L17" s="629">
        <f>'a27'!BX30</f>
        <v>42.2</v>
      </c>
    </row>
    <row r="18" spans="1:12">
      <c r="A18" s="611">
        <f t="shared" si="0"/>
        <v>1994</v>
      </c>
      <c r="B18" s="629">
        <f>'a27'!F31</f>
        <v>42.8</v>
      </c>
      <c r="C18" s="629">
        <f>'a27'!M31</f>
        <v>65.400000000000006</v>
      </c>
      <c r="D18" s="629">
        <f>'a27'!T31</f>
        <v>41.5</v>
      </c>
      <c r="E18" s="629">
        <f>'a27'!AA31</f>
        <v>64.599999999999994</v>
      </c>
      <c r="F18" s="629">
        <f>'a27'!AH31</f>
        <v>61.2</v>
      </c>
      <c r="G18" s="629">
        <f>'a27'!AO31</f>
        <v>53.3</v>
      </c>
      <c r="H18" s="629">
        <f>'a27'!AV31</f>
        <v>30.1</v>
      </c>
      <c r="I18" s="629">
        <f>'a27'!BC31</f>
        <v>57.8</v>
      </c>
      <c r="J18" s="629">
        <f>'a27'!BJ31</f>
        <v>59.8</v>
      </c>
      <c r="K18" s="629">
        <f>'a27'!BQ31</f>
        <v>44.4</v>
      </c>
      <c r="L18" s="629">
        <f>'a27'!BX31</f>
        <v>39.299999999999997</v>
      </c>
    </row>
    <row r="19" spans="1:12">
      <c r="A19" s="611">
        <f t="shared" si="0"/>
        <v>1995</v>
      </c>
      <c r="B19" s="629">
        <f>'a27'!F32</f>
        <v>45.3</v>
      </c>
      <c r="C19" s="629">
        <f>'a27'!M32</f>
        <v>72.3</v>
      </c>
      <c r="D19" s="629">
        <f>'a27'!T32</f>
        <v>40.9</v>
      </c>
      <c r="E19" s="629">
        <f>'a27'!AA32</f>
        <v>62.4</v>
      </c>
      <c r="F19" s="629">
        <f>'a27'!AH32</f>
        <v>64.400000000000006</v>
      </c>
      <c r="G19" s="629">
        <f>'a27'!AO32</f>
        <v>50.1</v>
      </c>
      <c r="H19" s="629">
        <f>'a27'!AV32</f>
        <v>41.3</v>
      </c>
      <c r="I19" s="629">
        <f>'a27'!BC32</f>
        <v>51</v>
      </c>
      <c r="J19" s="629">
        <f>'a27'!BJ32</f>
        <v>60</v>
      </c>
      <c r="K19" s="629">
        <f>'a27'!BQ32</f>
        <v>43.7</v>
      </c>
      <c r="L19" s="629">
        <f>'a27'!BX32</f>
        <v>33.299999999999997</v>
      </c>
    </row>
    <row r="20" spans="1:12">
      <c r="A20" s="611">
        <f t="shared" si="0"/>
        <v>1996</v>
      </c>
      <c r="B20" s="629">
        <f>'a27'!F33</f>
        <v>52.3</v>
      </c>
      <c r="C20" s="629">
        <f>'a27'!M33</f>
        <v>68.599999999999994</v>
      </c>
      <c r="D20" s="629">
        <f>'a27'!T33</f>
        <v>42.4</v>
      </c>
      <c r="E20" s="629">
        <f>'a27'!AA33</f>
        <v>65</v>
      </c>
      <c r="F20" s="629">
        <f>'a27'!AH33</f>
        <v>64.8</v>
      </c>
      <c r="G20" s="629">
        <f>'a27'!AO33</f>
        <v>52.3</v>
      </c>
      <c r="H20" s="629">
        <f>'a27'!AV33</f>
        <v>50.4</v>
      </c>
      <c r="I20" s="629">
        <f>'a27'!BC33</f>
        <v>57.4</v>
      </c>
      <c r="J20" s="629">
        <f>'a27'!BJ33</f>
        <v>66.3</v>
      </c>
      <c r="K20" s="629">
        <f>'a27'!BQ33</f>
        <v>49.3</v>
      </c>
      <c r="L20" s="629">
        <f>'a27'!BX33</f>
        <v>46.9</v>
      </c>
    </row>
    <row r="21" spans="1:12">
      <c r="A21" s="611">
        <f t="shared" si="0"/>
        <v>1997</v>
      </c>
      <c r="B21" s="629">
        <f>'a27'!F34</f>
        <v>47.6</v>
      </c>
      <c r="C21" s="629">
        <f>'a27'!M34</f>
        <v>64.7</v>
      </c>
      <c r="D21" s="629">
        <f>'a27'!T34</f>
        <v>53</v>
      </c>
      <c r="E21" s="629">
        <f>'a27'!AA34</f>
        <v>72.2</v>
      </c>
      <c r="F21" s="629">
        <f>'a27'!AH34</f>
        <v>59.5</v>
      </c>
      <c r="G21" s="629">
        <f>'a27'!AO34</f>
        <v>53.3</v>
      </c>
      <c r="H21" s="629">
        <f>'a27'!AV34</f>
        <v>43.3</v>
      </c>
      <c r="I21" s="629">
        <f>'a27'!BC34</f>
        <v>54.8</v>
      </c>
      <c r="J21" s="629">
        <f>'a27'!BJ34</f>
        <v>52.9</v>
      </c>
      <c r="K21" s="629">
        <f>'a27'!BQ34</f>
        <v>39.200000000000003</v>
      </c>
      <c r="L21" s="629">
        <f>'a27'!BX34</f>
        <v>39.700000000000003</v>
      </c>
    </row>
    <row r="22" spans="1:12">
      <c r="A22" s="611">
        <f t="shared" si="0"/>
        <v>1998</v>
      </c>
      <c r="B22" s="629">
        <f>'a27'!F35</f>
        <v>47.2</v>
      </c>
      <c r="C22" s="629">
        <f>'a27'!M35</f>
        <v>66.599999999999994</v>
      </c>
      <c r="D22" s="629">
        <f>'a27'!T35</f>
        <v>47.2</v>
      </c>
      <c r="E22" s="629">
        <f>'a27'!AA35</f>
        <v>70.8</v>
      </c>
      <c r="F22" s="629">
        <f>'a27'!AH35</f>
        <v>56.6</v>
      </c>
      <c r="G22" s="629">
        <f>'a27'!AO35</f>
        <v>46.9</v>
      </c>
      <c r="H22" s="629">
        <f>'a27'!AV35</f>
        <v>46</v>
      </c>
      <c r="I22" s="629">
        <f>'a27'!BC35</f>
        <v>56.9</v>
      </c>
      <c r="J22" s="629">
        <f>'a27'!BJ35</f>
        <v>45.9</v>
      </c>
      <c r="K22" s="629">
        <f>'a27'!BQ35</f>
        <v>36.799999999999997</v>
      </c>
      <c r="L22" s="629">
        <f>'a27'!BX35</f>
        <v>46.1</v>
      </c>
    </row>
    <row r="23" spans="1:12">
      <c r="A23" s="611">
        <f t="shared" si="0"/>
        <v>1999</v>
      </c>
      <c r="B23" s="629">
        <f>'a27'!F36</f>
        <v>42.7</v>
      </c>
      <c r="C23" s="629">
        <f>'a27'!M36</f>
        <v>70.2</v>
      </c>
      <c r="D23" s="629">
        <f>'a27'!T36</f>
        <v>48.3</v>
      </c>
      <c r="E23" s="629">
        <f>'a27'!AA36</f>
        <v>47.5</v>
      </c>
      <c r="F23" s="629">
        <f>'a27'!AH36</f>
        <v>65.400000000000006</v>
      </c>
      <c r="G23" s="629">
        <f>'a27'!AO36</f>
        <v>46.7</v>
      </c>
      <c r="H23" s="629">
        <f>'a27'!AV36</f>
        <v>37.4</v>
      </c>
      <c r="I23" s="629">
        <f>'a27'!BC36</f>
        <v>57.8</v>
      </c>
      <c r="J23" s="629">
        <f>'a27'!BJ36</f>
        <v>41.1</v>
      </c>
      <c r="K23" s="629">
        <f>'a27'!BQ36</f>
        <v>30.5</v>
      </c>
      <c r="L23" s="629">
        <f>'a27'!BX36</f>
        <v>46.5</v>
      </c>
    </row>
    <row r="24" spans="1:12">
      <c r="A24" s="611">
        <f t="shared" si="0"/>
        <v>2000</v>
      </c>
      <c r="B24" s="629">
        <f>'a27'!F37</f>
        <v>40.1</v>
      </c>
      <c r="C24" s="629">
        <f>'a27'!M37</f>
        <v>65.3</v>
      </c>
      <c r="D24" s="629">
        <f>'a27'!T37</f>
        <v>44.3</v>
      </c>
      <c r="E24" s="629">
        <f>'a27'!AA37</f>
        <v>44.5</v>
      </c>
      <c r="F24" s="629">
        <f>'a27'!AH37</f>
        <v>54</v>
      </c>
      <c r="G24" s="629">
        <f>'a27'!AO37</f>
        <v>44.4</v>
      </c>
      <c r="H24" s="629">
        <f>'a27'!AV37</f>
        <v>35.299999999999997</v>
      </c>
      <c r="I24" s="629">
        <f>'a27'!BC37</f>
        <v>50.5</v>
      </c>
      <c r="J24" s="629">
        <f>'a27'!BJ37</f>
        <v>50.5</v>
      </c>
      <c r="K24" s="629">
        <f>'a27'!BQ37</f>
        <v>31.9</v>
      </c>
      <c r="L24" s="629">
        <f>'a27'!BX37</f>
        <v>37.299999999999997</v>
      </c>
    </row>
    <row r="25" spans="1:12">
      <c r="A25" s="611">
        <f t="shared" si="0"/>
        <v>2001</v>
      </c>
      <c r="B25" s="629">
        <f>'a27'!F38</f>
        <v>42</v>
      </c>
      <c r="C25" s="629">
        <f>'a27'!M38</f>
        <v>51.4</v>
      </c>
      <c r="D25" s="629">
        <f>'a27'!T38</f>
        <v>52.4</v>
      </c>
      <c r="E25" s="629">
        <f>'a27'!AA38</f>
        <v>59.8</v>
      </c>
      <c r="F25" s="629">
        <f>'a27'!AH38</f>
        <v>59.1</v>
      </c>
      <c r="G25" s="629">
        <f>'a27'!AO38</f>
        <v>39</v>
      </c>
      <c r="H25" s="629">
        <f>'a27'!AV38</f>
        <v>36.5</v>
      </c>
      <c r="I25" s="629">
        <f>'a27'!BC38</f>
        <v>53.4</v>
      </c>
      <c r="J25" s="629">
        <f>'a27'!BJ38</f>
        <v>50</v>
      </c>
      <c r="K25" s="629">
        <f>'a27'!BQ38</f>
        <v>41.4</v>
      </c>
      <c r="L25" s="629">
        <f>'a27'!BX38</f>
        <v>49.3</v>
      </c>
    </row>
    <row r="26" spans="1:12">
      <c r="A26" s="611">
        <f t="shared" si="0"/>
        <v>2002</v>
      </c>
      <c r="B26" s="629">
        <f>'a27'!F39</f>
        <v>49.1</v>
      </c>
      <c r="C26" s="629">
        <f>'a27'!M39</f>
        <v>55.5</v>
      </c>
      <c r="D26" s="629">
        <f>'a27'!T39</f>
        <v>47.6</v>
      </c>
      <c r="E26" s="629">
        <f>'a27'!AA39</f>
        <v>58.5</v>
      </c>
      <c r="F26" s="629">
        <f>'a27'!AH39</f>
        <v>59.6</v>
      </c>
      <c r="G26" s="629">
        <f>'a27'!AO39</f>
        <v>47</v>
      </c>
      <c r="H26" s="629">
        <f>'a27'!AV39</f>
        <v>46.5</v>
      </c>
      <c r="I26" s="629">
        <f>'a27'!BC39</f>
        <v>42</v>
      </c>
      <c r="J26" s="629">
        <f>'a27'!BJ39</f>
        <v>71.3</v>
      </c>
      <c r="K26" s="629">
        <f>'a27'!BQ39</f>
        <v>36.6</v>
      </c>
      <c r="L26" s="629">
        <f>'a27'!BX39</f>
        <v>57.8</v>
      </c>
    </row>
    <row r="27" spans="1:12">
      <c r="A27" s="611">
        <f t="shared" si="0"/>
        <v>2003</v>
      </c>
      <c r="B27" s="629">
        <f>'a27'!F40</f>
        <v>48.2</v>
      </c>
      <c r="C27" s="629">
        <f>'a27'!M40</f>
        <v>64.2</v>
      </c>
      <c r="D27" s="629">
        <f>'a27'!T40</f>
        <v>45.1</v>
      </c>
      <c r="E27" s="629">
        <f>'a27'!AA40</f>
        <v>52.5</v>
      </c>
      <c r="F27" s="629">
        <f>'a27'!AH40</f>
        <v>63.8</v>
      </c>
      <c r="G27" s="629">
        <f>'a27'!AO40</f>
        <v>42.3</v>
      </c>
      <c r="H27" s="629">
        <f>'a27'!AV40</f>
        <v>46.4</v>
      </c>
      <c r="I27" s="629">
        <f>'a27'!BC40</f>
        <v>44.6</v>
      </c>
      <c r="J27" s="629">
        <f>'a27'!BJ40</f>
        <v>54.6</v>
      </c>
      <c r="K27" s="629">
        <f>'a27'!BQ40</f>
        <v>44.7</v>
      </c>
      <c r="L27" s="629">
        <f>'a27'!BX40</f>
        <v>60.2</v>
      </c>
    </row>
    <row r="28" spans="1:12">
      <c r="A28" s="611">
        <f t="shared" si="0"/>
        <v>2004</v>
      </c>
      <c r="B28" s="629">
        <f>'a27'!F41</f>
        <v>46.2</v>
      </c>
      <c r="C28" s="629">
        <f>'a27'!M41</f>
        <v>60.7</v>
      </c>
      <c r="D28" s="629">
        <f>'a27'!T41</f>
        <v>38.200000000000003</v>
      </c>
      <c r="E28" s="629">
        <f>'a27'!AA41</f>
        <v>47.6</v>
      </c>
      <c r="F28" s="629">
        <f>'a27'!AH41</f>
        <v>65.2</v>
      </c>
      <c r="G28" s="629">
        <f>'a27'!AO41</f>
        <v>33.9</v>
      </c>
      <c r="H28" s="629">
        <f>'a27'!AV41</f>
        <v>48.3</v>
      </c>
      <c r="I28" s="629">
        <f>'a27'!BC41</f>
        <v>40.5</v>
      </c>
      <c r="J28" s="629">
        <f>'a27'!BJ41</f>
        <v>59.4</v>
      </c>
      <c r="K28" s="629">
        <f>'a27'!BQ41</f>
        <v>47.3</v>
      </c>
      <c r="L28" s="629">
        <f>'a27'!BX41</f>
        <v>54</v>
      </c>
    </row>
    <row r="29" spans="1:12">
      <c r="A29" s="611">
        <f t="shared" si="0"/>
        <v>2005</v>
      </c>
      <c r="B29" s="629">
        <f>'a27'!F42</f>
        <v>40.799999999999997</v>
      </c>
      <c r="C29" s="629">
        <f>'a27'!M42</f>
        <v>56</v>
      </c>
      <c r="D29" s="629">
        <f>'a27'!T42</f>
        <v>33.6</v>
      </c>
      <c r="E29" s="629">
        <f>'a27'!AA42</f>
        <v>47.2</v>
      </c>
      <c r="F29" s="629">
        <f>'a27'!AH42</f>
        <v>57.7</v>
      </c>
      <c r="G29" s="629">
        <f>'a27'!AO42</f>
        <v>34.200000000000003</v>
      </c>
      <c r="H29" s="629">
        <f>'a27'!AV42</f>
        <v>42.9</v>
      </c>
      <c r="I29" s="629">
        <f>'a27'!BC42</f>
        <v>41</v>
      </c>
      <c r="J29" s="629">
        <f>'a27'!BJ42</f>
        <v>54</v>
      </c>
      <c r="K29" s="629">
        <f>'a27'!BQ42</f>
        <v>35.6</v>
      </c>
      <c r="L29" s="629">
        <f>'a27'!BX42</f>
        <v>38.1</v>
      </c>
    </row>
    <row r="30" spans="1:12">
      <c r="A30" s="611">
        <f t="shared" si="0"/>
        <v>2006</v>
      </c>
      <c r="B30" s="629">
        <f>'a27'!F43</f>
        <v>39.700000000000003</v>
      </c>
      <c r="C30" s="629">
        <f>'a27'!M43</f>
        <v>61.7</v>
      </c>
      <c r="D30" s="629">
        <f>'a27'!T43</f>
        <v>47.8</v>
      </c>
      <c r="E30" s="629">
        <f>'a27'!AA43</f>
        <v>46.4</v>
      </c>
      <c r="F30" s="629">
        <f>'a27'!AH43</f>
        <v>54.5</v>
      </c>
      <c r="G30" s="629">
        <f>'a27'!AO43</f>
        <v>33.5</v>
      </c>
      <c r="H30" s="629">
        <f>'a27'!AV43</f>
        <v>40.1</v>
      </c>
      <c r="I30" s="629">
        <f>'a27'!BC43</f>
        <v>37.9</v>
      </c>
      <c r="J30" s="629">
        <f>'a27'!BJ43</f>
        <v>50.7</v>
      </c>
      <c r="K30" s="629">
        <f>'a27'!BQ43</f>
        <v>29.4</v>
      </c>
      <c r="L30" s="629">
        <f>'a27'!BX43</f>
        <v>45.3</v>
      </c>
    </row>
    <row r="31" spans="1:12">
      <c r="A31" s="611">
        <f t="shared" si="0"/>
        <v>2007</v>
      </c>
      <c r="B31" s="629">
        <f>'a27'!F44</f>
        <v>38.700000000000003</v>
      </c>
      <c r="C31" s="629">
        <f>'a27'!M44</f>
        <v>55.8</v>
      </c>
      <c r="D31" s="629">
        <f>'a27'!T44</f>
        <v>34.9</v>
      </c>
      <c r="E31" s="629">
        <f>'a27'!AA44</f>
        <v>44.1</v>
      </c>
      <c r="F31" s="629">
        <f>'a27'!AH44</f>
        <v>52.4</v>
      </c>
      <c r="G31" s="629">
        <f>'a27'!AO44</f>
        <v>37.299999999999997</v>
      </c>
      <c r="H31" s="629">
        <f>'a27'!AV44</f>
        <v>38.799999999999997</v>
      </c>
      <c r="I31" s="629">
        <f>'a27'!BC44</f>
        <v>41.2</v>
      </c>
      <c r="J31" s="629">
        <f>'a27'!BJ44</f>
        <v>39.299999999999997</v>
      </c>
      <c r="K31" s="629">
        <f>'a27'!BQ44</f>
        <v>27.7</v>
      </c>
      <c r="L31" s="629">
        <f>'a27'!BX44</f>
        <v>40.5</v>
      </c>
    </row>
    <row r="32" spans="1:12">
      <c r="A32" s="611">
        <f t="shared" si="0"/>
        <v>2008</v>
      </c>
      <c r="B32" s="629">
        <f>'a27'!F45</f>
        <v>36.9</v>
      </c>
      <c r="C32" s="629">
        <f>'a27'!M45</f>
        <v>58.4</v>
      </c>
      <c r="D32" s="629">
        <f>'a27'!T45</f>
        <v>49.7</v>
      </c>
      <c r="E32" s="629">
        <f>'a27'!AA45</f>
        <v>53.9</v>
      </c>
      <c r="F32" s="629">
        <f>'a27'!AH45</f>
        <v>51.9</v>
      </c>
      <c r="G32" s="629">
        <f>'a27'!AO45</f>
        <v>28.4</v>
      </c>
      <c r="H32" s="629">
        <f>'a27'!AV45</f>
        <v>39.1</v>
      </c>
      <c r="I32" s="629">
        <f>'a27'!BC45</f>
        <v>43.6</v>
      </c>
      <c r="J32" s="629">
        <f>'a27'!BJ45</f>
        <v>44</v>
      </c>
      <c r="K32" s="629">
        <f>'a27'!BQ45</f>
        <v>36.1</v>
      </c>
      <c r="L32" s="629">
        <f>'a27'!BX45</f>
        <v>30.8</v>
      </c>
    </row>
    <row r="33" spans="1:12">
      <c r="A33" s="611">
        <f t="shared" si="0"/>
        <v>2009</v>
      </c>
      <c r="B33" s="629">
        <f>'a27'!F46</f>
        <v>33.9</v>
      </c>
      <c r="C33" s="629">
        <f>'a27'!M46</f>
        <v>51.2</v>
      </c>
      <c r="D33" s="629">
        <f>'a27'!T46</f>
        <v>45.5</v>
      </c>
      <c r="E33" s="629">
        <f>'a27'!AA46</f>
        <v>45</v>
      </c>
      <c r="F33" s="629">
        <f>'a27'!AH46</f>
        <v>47.9</v>
      </c>
      <c r="G33" s="629">
        <f>'a27'!AO46</f>
        <v>32</v>
      </c>
      <c r="H33" s="629">
        <f>'a27'!AV46</f>
        <v>32</v>
      </c>
      <c r="I33" s="629">
        <f>'a27'!BC46</f>
        <v>53.9</v>
      </c>
      <c r="J33" s="629">
        <f>'a27'!BJ46</f>
        <v>47.8</v>
      </c>
      <c r="K33" s="629">
        <f>'a27'!BQ46</f>
        <v>27.4</v>
      </c>
      <c r="L33" s="629">
        <f>'a27'!BX46</f>
        <v>28.5</v>
      </c>
    </row>
    <row r="34" spans="1:12">
      <c r="A34" s="611">
        <f t="shared" si="0"/>
        <v>2010</v>
      </c>
      <c r="B34" s="629">
        <f>'a27'!F47</f>
        <v>33.9</v>
      </c>
      <c r="C34" s="629">
        <f>'a27'!M47</f>
        <v>51.2</v>
      </c>
      <c r="D34" s="629">
        <f>'a27'!T47</f>
        <v>45.5</v>
      </c>
      <c r="E34" s="629">
        <f>'a27'!AA47</f>
        <v>45</v>
      </c>
      <c r="F34" s="629">
        <f>'a27'!AH47</f>
        <v>47.9</v>
      </c>
      <c r="G34" s="629">
        <f>'a27'!AO47</f>
        <v>32</v>
      </c>
      <c r="H34" s="629">
        <f>'a27'!AV47</f>
        <v>32</v>
      </c>
      <c r="I34" s="629">
        <f>'a27'!BC47</f>
        <v>53.9</v>
      </c>
      <c r="J34" s="629">
        <f>'a27'!BJ47</f>
        <v>47.8</v>
      </c>
      <c r="K34" s="629">
        <f>'a27'!BQ47</f>
        <v>27.4</v>
      </c>
      <c r="L34" s="629">
        <f>'a27'!BX47</f>
        <v>28.5</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-0.97954070501959922</v>
      </c>
      <c r="C36" s="617">
        <f t="shared" si="1"/>
        <v>-0.10605289194529632</v>
      </c>
      <c r="D36" s="617">
        <f t="shared" si="1"/>
        <v>-0.46598889665686594</v>
      </c>
      <c r="E36" s="617">
        <f t="shared" si="1"/>
        <v>-1.0989919714528562</v>
      </c>
      <c r="F36" s="617">
        <f t="shared" si="1"/>
        <v>-1.0260750998277834</v>
      </c>
      <c r="G36" s="617">
        <f t="shared" si="1"/>
        <v>-1.4723557451134406</v>
      </c>
      <c r="H36" s="617">
        <f t="shared" si="1"/>
        <v>-0.74074385116783548</v>
      </c>
      <c r="I36" s="617">
        <f t="shared" si="1"/>
        <v>0.30107319259262688</v>
      </c>
      <c r="J36" s="617">
        <f t="shared" si="1"/>
        <v>-0.59309861993055435</v>
      </c>
      <c r="K36" s="617">
        <f t="shared" si="1"/>
        <v>-0.12353098852224687</v>
      </c>
      <c r="L36" s="617">
        <f t="shared" si="1"/>
        <v>-1.8026152180315669</v>
      </c>
    </row>
    <row r="37" spans="1:12">
      <c r="A37" s="611" t="s">
        <v>1472</v>
      </c>
      <c r="B37" s="617">
        <f t="shared" ref="B37:L37" si="2">100*(POWER(B13/B5, 1/8)-1)</f>
        <v>0.13791338831250499</v>
      </c>
      <c r="C37" s="617">
        <f t="shared" si="2"/>
        <v>0.41991282406634856</v>
      </c>
      <c r="D37" s="617">
        <f t="shared" si="2"/>
        <v>1.107720190487016</v>
      </c>
      <c r="E37" s="617">
        <f t="shared" si="2"/>
        <v>-1.045534850940133</v>
      </c>
      <c r="F37" s="617">
        <f t="shared" si="2"/>
        <v>-0.49214027489362655</v>
      </c>
      <c r="G37" s="617">
        <f t="shared" si="2"/>
        <v>-0.67636580951908609</v>
      </c>
      <c r="H37" s="617">
        <f t="shared" si="2"/>
        <v>-1.1129286924243975</v>
      </c>
      <c r="I37" s="617">
        <f t="shared" si="2"/>
        <v>2.5235876922124145</v>
      </c>
      <c r="J37" s="617">
        <f t="shared" si="2"/>
        <v>0.56104173522473211</v>
      </c>
      <c r="K37" s="617">
        <f t="shared" si="2"/>
        <v>6.414257120732203</v>
      </c>
      <c r="L37" s="617">
        <f t="shared" si="2"/>
        <v>1.0477206667101724</v>
      </c>
    </row>
    <row r="38" spans="1:12">
      <c r="A38" s="611" t="s">
        <v>1473</v>
      </c>
      <c r="B38" s="617">
        <f t="shared" ref="B38:L38" si="3">100*(POWER(B24/B13, 1/11)-1)</f>
        <v>-1.1616670453126532</v>
      </c>
      <c r="C38" s="617">
        <f t="shared" si="3"/>
        <v>1.6401982575967144</v>
      </c>
      <c r="D38" s="617">
        <f t="shared" si="3"/>
        <v>-2.2498560917434962</v>
      </c>
      <c r="E38" s="617">
        <f t="shared" si="3"/>
        <v>-2.2254280744631649</v>
      </c>
      <c r="F38" s="617">
        <f t="shared" si="3"/>
        <v>-1.2625255362255783</v>
      </c>
      <c r="G38" s="617">
        <f t="shared" si="3"/>
        <v>-0.43868107756496189</v>
      </c>
      <c r="H38" s="617">
        <f t="shared" si="3"/>
        <v>-0.25363033457223016</v>
      </c>
      <c r="I38" s="617">
        <f t="shared" si="3"/>
        <v>-1.5994236088894609</v>
      </c>
      <c r="J38" s="617">
        <f t="shared" si="3"/>
        <v>-1.4648101798100388</v>
      </c>
      <c r="K38" s="617">
        <f t="shared" si="3"/>
        <v>-3.405552254031341</v>
      </c>
      <c r="L38" s="617">
        <f t="shared" si="3"/>
        <v>-3.0596680386978159</v>
      </c>
    </row>
    <row r="39" spans="1:12">
      <c r="A39" s="611" t="s">
        <v>1474</v>
      </c>
      <c r="B39" s="617">
        <f t="shared" ref="B39:L39" si="4">100*(POWER(B32/B24, 1/8)-1)</f>
        <v>-1.0341750434082808</v>
      </c>
      <c r="C39" s="617">
        <f t="shared" si="4"/>
        <v>-1.3862536030118999</v>
      </c>
      <c r="D39" s="617">
        <f t="shared" si="4"/>
        <v>1.4481385843452932</v>
      </c>
      <c r="E39" s="617">
        <f t="shared" si="4"/>
        <v>2.4244390861824172</v>
      </c>
      <c r="F39" s="617">
        <f t="shared" si="4"/>
        <v>-0.49458856778977767</v>
      </c>
      <c r="G39" s="617">
        <f t="shared" si="4"/>
        <v>-5.4324971420887884</v>
      </c>
      <c r="H39" s="617">
        <f t="shared" si="4"/>
        <v>1.2861950286387813</v>
      </c>
      <c r="I39" s="617">
        <f t="shared" si="4"/>
        <v>-1.8196922918720326</v>
      </c>
      <c r="J39" s="617">
        <f t="shared" si="4"/>
        <v>-1.7075495393874429</v>
      </c>
      <c r="K39" s="617">
        <f t="shared" si="4"/>
        <v>1.5580994336037657</v>
      </c>
      <c r="L39" s="617">
        <f t="shared" si="4"/>
        <v>-2.3650663222759105</v>
      </c>
    </row>
    <row r="40" spans="1:12">
      <c r="A40" s="611" t="s">
        <v>1500</v>
      </c>
      <c r="B40" s="611"/>
      <c r="C40" s="611"/>
      <c r="D40" s="611"/>
      <c r="E40" s="611"/>
      <c r="F40" s="611"/>
      <c r="G40" s="611"/>
      <c r="H40" s="611"/>
      <c r="I40" s="611"/>
      <c r="J40" s="611"/>
      <c r="K40" s="611"/>
      <c r="L40" s="611"/>
    </row>
    <row r="41" spans="1:12">
      <c r="A41" s="611" t="s">
        <v>1498</v>
      </c>
      <c r="B41" s="616">
        <f>100*(B34-B5)/B5</f>
        <v>-24.833702882483376</v>
      </c>
      <c r="C41" s="616">
        <f t="shared" ref="C41:L41" si="5">100*(C34-C5)/C5</f>
        <v>-3.0303030303030196</v>
      </c>
      <c r="D41" s="616">
        <f t="shared" si="5"/>
        <v>-12.667946257197698</v>
      </c>
      <c r="E41" s="616">
        <f t="shared" si="5"/>
        <v>-27.419354838709676</v>
      </c>
      <c r="F41" s="616">
        <f t="shared" si="5"/>
        <v>-25.851393188854484</v>
      </c>
      <c r="G41" s="616">
        <f t="shared" si="5"/>
        <v>-34.959349593495936</v>
      </c>
      <c r="H41" s="616">
        <f t="shared" si="5"/>
        <v>-19.395465994962223</v>
      </c>
      <c r="I41" s="616">
        <f t="shared" si="5"/>
        <v>9.1093117408906892</v>
      </c>
      <c r="J41" s="616">
        <f>100*(J34-J5)/J5</f>
        <v>-15.845070422535212</v>
      </c>
      <c r="K41" s="616">
        <f t="shared" si="5"/>
        <v>-3.5211267605633805</v>
      </c>
      <c r="L41" s="616">
        <f t="shared" si="5"/>
        <v>-40.993788819875775</v>
      </c>
    </row>
    <row r="42" spans="1:12">
      <c r="A42" s="611" t="s">
        <v>1472</v>
      </c>
      <c r="B42" s="616">
        <f>100*(B13-B5)/B5</f>
        <v>1.1086474501108647</v>
      </c>
      <c r="C42" s="616">
        <f t="shared" ref="C42:L42" si="6">100*(C13-C5)/C5</f>
        <v>3.4090909090909172</v>
      </c>
      <c r="D42" s="616">
        <f t="shared" si="6"/>
        <v>9.2130518234165013</v>
      </c>
      <c r="E42" s="616">
        <f t="shared" si="6"/>
        <v>-8.064516129032258</v>
      </c>
      <c r="F42" s="616">
        <f t="shared" si="6"/>
        <v>-3.8699690402476672</v>
      </c>
      <c r="G42" s="616">
        <f t="shared" si="6"/>
        <v>-5.2845528455284576</v>
      </c>
      <c r="H42" s="616">
        <f t="shared" si="6"/>
        <v>-8.5642317380352786</v>
      </c>
      <c r="I42" s="616">
        <f t="shared" si="6"/>
        <v>22.064777327935218</v>
      </c>
      <c r="J42" s="616">
        <f t="shared" si="6"/>
        <v>4.5774647887323967</v>
      </c>
      <c r="K42" s="616">
        <f t="shared" si="6"/>
        <v>64.436619718309885</v>
      </c>
      <c r="L42" s="616">
        <f t="shared" si="6"/>
        <v>8.6956521739130501</v>
      </c>
    </row>
    <row r="43" spans="1:12">
      <c r="A43" s="611" t="s">
        <v>1473</v>
      </c>
      <c r="B43" s="616">
        <f>100*(B24-B13)/B13</f>
        <v>-12.06140350877193</v>
      </c>
      <c r="C43" s="616">
        <f t="shared" ref="C43:L43" si="7">100*(C24-C13)/C13</f>
        <v>19.597069597069588</v>
      </c>
      <c r="D43" s="616">
        <f t="shared" si="7"/>
        <v>-22.144112478031641</v>
      </c>
      <c r="E43" s="616">
        <f t="shared" si="7"/>
        <v>-21.92982456140351</v>
      </c>
      <c r="F43" s="616">
        <f t="shared" si="7"/>
        <v>-13.043478260869566</v>
      </c>
      <c r="G43" s="616">
        <f t="shared" si="7"/>
        <v>-4.7210300429184606</v>
      </c>
      <c r="H43" s="616">
        <f t="shared" si="7"/>
        <v>-2.7548209366391188</v>
      </c>
      <c r="I43" s="616">
        <f t="shared" si="7"/>
        <v>-16.252072968490875</v>
      </c>
      <c r="J43" s="616">
        <f t="shared" si="7"/>
        <v>-14.983164983164981</v>
      </c>
      <c r="K43" s="616">
        <f t="shared" si="7"/>
        <v>-31.691648822269816</v>
      </c>
      <c r="L43" s="616">
        <f t="shared" si="7"/>
        <v>-28.952380952380956</v>
      </c>
    </row>
    <row r="44" spans="1:12">
      <c r="A44" s="611" t="s">
        <v>1474</v>
      </c>
      <c r="B44" s="616">
        <f>100*(B32-B24)/B24</f>
        <v>-7.9800498753117273</v>
      </c>
      <c r="C44" s="616">
        <f t="shared" ref="C44:L44" si="8">100*(C32-C24)/C24</f>
        <v>-10.566615620214394</v>
      </c>
      <c r="D44" s="616">
        <f t="shared" si="8"/>
        <v>12.189616252821684</v>
      </c>
      <c r="E44" s="616">
        <f t="shared" si="8"/>
        <v>21.123595505617974</v>
      </c>
      <c r="F44" s="616">
        <f t="shared" si="8"/>
        <v>-3.8888888888888915</v>
      </c>
      <c r="G44" s="616">
        <f t="shared" si="8"/>
        <v>-36.036036036036037</v>
      </c>
      <c r="H44" s="616">
        <f t="shared" si="8"/>
        <v>10.764872521246472</v>
      </c>
      <c r="I44" s="616">
        <f t="shared" si="8"/>
        <v>-13.663366336633661</v>
      </c>
      <c r="J44" s="616">
        <f t="shared" si="8"/>
        <v>-12.871287128712872</v>
      </c>
      <c r="K44" s="616">
        <f t="shared" si="8"/>
        <v>13.166144200626968</v>
      </c>
      <c r="L44" s="616">
        <f t="shared" si="8"/>
        <v>-17.426273458445031</v>
      </c>
    </row>
    <row r="46" spans="1:12">
      <c r="A46" s="611" t="s">
        <v>1555</v>
      </c>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dimension ref="A1:L46"/>
  <sheetViews>
    <sheetView topLeftCell="A21" workbookViewId="0">
      <selection activeCell="E9" sqref="E9"/>
    </sheetView>
  </sheetViews>
  <sheetFormatPr defaultRowHeight="12.75"/>
  <cols>
    <col min="1" max="16384" width="9" style="618"/>
  </cols>
  <sheetData>
    <row r="1" spans="1:12">
      <c r="A1" s="611" t="s">
        <v>1527</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28">
        <f>'a27'!G18</f>
        <v>0.3821</v>
      </c>
      <c r="C5" s="628">
        <f>'a27'!N18</f>
        <v>0.46869999999999995</v>
      </c>
      <c r="D5" s="628">
        <f>'a27'!U18</f>
        <v>0.31709999999999999</v>
      </c>
      <c r="E5" s="628">
        <f>'a27'!AB18</f>
        <v>0.40720000000000001</v>
      </c>
      <c r="F5" s="628">
        <f>'a27'!AI18</f>
        <v>0.40279999999999999</v>
      </c>
      <c r="G5" s="628">
        <f>'a27'!AP18</f>
        <v>0.42270000000000002</v>
      </c>
      <c r="H5" s="628">
        <f>'a27'!AW18</f>
        <v>0.35439999999999999</v>
      </c>
      <c r="I5" s="628">
        <f>'a27'!BD18</f>
        <v>0.41049999999999998</v>
      </c>
      <c r="J5" s="628">
        <f>'a27'!BK18</f>
        <v>0.30640000000000001</v>
      </c>
      <c r="K5" s="628">
        <f>'a27'!BR18</f>
        <v>0.40130000000000005</v>
      </c>
      <c r="L5" s="628">
        <f>'a27'!BY18</f>
        <v>0.34250000000000003</v>
      </c>
    </row>
    <row r="6" spans="1:12">
      <c r="A6" s="611">
        <f t="shared" ref="A6:A34" si="0">A5+1</f>
        <v>1982</v>
      </c>
      <c r="B6" s="628">
        <f>'a27'!G19</f>
        <v>0.35229999999999995</v>
      </c>
      <c r="C6" s="628">
        <f>'a27'!N19</f>
        <v>0.379</v>
      </c>
      <c r="D6" s="628">
        <f>'a27'!U19</f>
        <v>0.252</v>
      </c>
      <c r="E6" s="628">
        <f>'a27'!AB19</f>
        <v>0.34740000000000004</v>
      </c>
      <c r="F6" s="628">
        <f>'a27'!AI19</f>
        <v>0.34619999999999995</v>
      </c>
      <c r="G6" s="628">
        <f>'a27'!AP19</f>
        <v>0.3397</v>
      </c>
      <c r="H6" s="628">
        <f>'a27'!AW19</f>
        <v>0.3614</v>
      </c>
      <c r="I6" s="628">
        <f>'a27'!BD19</f>
        <v>0.34860000000000002</v>
      </c>
      <c r="J6" s="628">
        <f>'a27'!BK19</f>
        <v>0.35350000000000004</v>
      </c>
      <c r="K6" s="628">
        <f>'a27'!BR19</f>
        <v>0.34090000000000004</v>
      </c>
      <c r="L6" s="628">
        <f>'a27'!BY19</f>
        <v>0.37009999999999998</v>
      </c>
    </row>
    <row r="7" spans="1:12">
      <c r="A7" s="611">
        <f t="shared" si="0"/>
        <v>1983</v>
      </c>
      <c r="B7" s="628">
        <f>'a27'!G20</f>
        <v>0.34520000000000001</v>
      </c>
      <c r="C7" s="628">
        <f>'a27'!N20</f>
        <v>0.49020000000000002</v>
      </c>
      <c r="D7" s="628">
        <f>'a27'!U20</f>
        <v>0.30930000000000002</v>
      </c>
      <c r="E7" s="628">
        <f>'a27'!AB20</f>
        <v>0.3553</v>
      </c>
      <c r="F7" s="628">
        <f>'a27'!AI20</f>
        <v>0.40950000000000003</v>
      </c>
      <c r="G7" s="628">
        <f>'a27'!AP20</f>
        <v>0.33329999999999999</v>
      </c>
      <c r="H7" s="628">
        <f>'a27'!AW20</f>
        <v>0.36080000000000001</v>
      </c>
      <c r="I7" s="628">
        <f>'a27'!BD20</f>
        <v>0.31879999999999997</v>
      </c>
      <c r="J7" s="628">
        <f>'a27'!BK20</f>
        <v>0.19579999999999997</v>
      </c>
      <c r="K7" s="628">
        <f>'a27'!BR20</f>
        <v>0.35479999999999995</v>
      </c>
      <c r="L7" s="628">
        <f>'a27'!BY20</f>
        <v>0.32650000000000001</v>
      </c>
    </row>
    <row r="8" spans="1:12">
      <c r="A8" s="611">
        <f t="shared" si="0"/>
        <v>1984</v>
      </c>
      <c r="B8" s="628">
        <f>'a27'!G21</f>
        <v>0.33460000000000001</v>
      </c>
      <c r="C8" s="628">
        <f>'a27'!N21</f>
        <v>0.40490000000000004</v>
      </c>
      <c r="D8" s="628">
        <f>'a27'!U21</f>
        <v>0.1875</v>
      </c>
      <c r="E8" s="628">
        <f>'a27'!AB21</f>
        <v>0.38850000000000001</v>
      </c>
      <c r="F8" s="628">
        <f>'a27'!AI21</f>
        <v>0.36430000000000001</v>
      </c>
      <c r="G8" s="628">
        <f>'a27'!AP21</f>
        <v>0.29530000000000001</v>
      </c>
      <c r="H8" s="628">
        <f>'a27'!AW21</f>
        <v>0.37729999999999997</v>
      </c>
      <c r="I8" s="628">
        <f>'a27'!BD21</f>
        <v>0.34909999999999997</v>
      </c>
      <c r="J8" s="628">
        <f>'a27'!BK21</f>
        <v>0.34710000000000002</v>
      </c>
      <c r="K8" s="628">
        <f>'a27'!BR21</f>
        <v>0.32679999999999998</v>
      </c>
      <c r="L8" s="628">
        <f>'a27'!BY21</f>
        <v>0.2868</v>
      </c>
    </row>
    <row r="9" spans="1:12">
      <c r="A9" s="611">
        <f t="shared" si="0"/>
        <v>1985</v>
      </c>
      <c r="B9" s="628">
        <f>'a27'!G22</f>
        <v>0.35119999999999996</v>
      </c>
      <c r="C9" s="628">
        <f>'a27'!N22</f>
        <v>0.44750000000000001</v>
      </c>
      <c r="D9" s="628">
        <f>'a27'!U22</f>
        <v>0.20499999999999999</v>
      </c>
      <c r="E9" s="628">
        <f>'a27'!AB22</f>
        <v>0.40549999999999997</v>
      </c>
      <c r="F9" s="628">
        <f>'a27'!AI22</f>
        <v>0.39640000000000003</v>
      </c>
      <c r="G9" s="628">
        <f>'a27'!AP22</f>
        <v>0.3579</v>
      </c>
      <c r="H9" s="628">
        <f>'a27'!AW22</f>
        <v>0.33479999999999999</v>
      </c>
      <c r="I9" s="628">
        <f>'a27'!BD22</f>
        <v>0.37920000000000004</v>
      </c>
      <c r="J9" s="628">
        <f>'a27'!BK22</f>
        <v>0.33529999999999999</v>
      </c>
      <c r="K9" s="628">
        <f>'a27'!BR22</f>
        <v>0.34490000000000004</v>
      </c>
      <c r="L9" s="628">
        <f>'a27'!BY22</f>
        <v>0.33829999999999999</v>
      </c>
    </row>
    <row r="10" spans="1:12">
      <c r="A10" s="611">
        <f t="shared" si="0"/>
        <v>1986</v>
      </c>
      <c r="B10" s="628">
        <f>'a27'!G23</f>
        <v>0.32950000000000002</v>
      </c>
      <c r="C10" s="628">
        <f>'a27'!N23</f>
        <v>0.4279</v>
      </c>
      <c r="D10" s="628">
        <f>'a27'!U23</f>
        <v>0.36859999999999998</v>
      </c>
      <c r="E10" s="628">
        <f>'a27'!AB23</f>
        <v>0.34619999999999995</v>
      </c>
      <c r="F10" s="628">
        <f>'a27'!AI23</f>
        <v>0.3508</v>
      </c>
      <c r="G10" s="628">
        <f>'a27'!AP23</f>
        <v>0.32619999999999999</v>
      </c>
      <c r="H10" s="628">
        <f>'a27'!AW23</f>
        <v>0.31590000000000001</v>
      </c>
      <c r="I10" s="628">
        <f>'a27'!BD23</f>
        <v>0.37530000000000002</v>
      </c>
      <c r="J10" s="628">
        <f>'a27'!BK23</f>
        <v>0.30969999999999998</v>
      </c>
      <c r="K10" s="628">
        <f>'a27'!BR23</f>
        <v>0.3417</v>
      </c>
      <c r="L10" s="628">
        <f>'a27'!BY23</f>
        <v>0.31690000000000002</v>
      </c>
    </row>
    <row r="11" spans="1:12">
      <c r="A11" s="611">
        <f t="shared" si="0"/>
        <v>1987</v>
      </c>
      <c r="B11" s="628">
        <f>'a27'!G24</f>
        <v>0.32319999999999999</v>
      </c>
      <c r="C11" s="628">
        <f>'a27'!N24</f>
        <v>0.4022</v>
      </c>
      <c r="D11" s="628">
        <f>'a27'!U24</f>
        <v>0.33850000000000002</v>
      </c>
      <c r="E11" s="628">
        <f>'a27'!AB24</f>
        <v>0.37459999999999999</v>
      </c>
      <c r="F11" s="628">
        <f>'a27'!AI24</f>
        <v>0.3528</v>
      </c>
      <c r="G11" s="628">
        <f>'a27'!AP24</f>
        <v>0.32069999999999999</v>
      </c>
      <c r="H11" s="628">
        <f>'a27'!AW24</f>
        <v>0.2959</v>
      </c>
      <c r="I11" s="628">
        <f>'a27'!BD24</f>
        <v>0.33860000000000001</v>
      </c>
      <c r="J11" s="628">
        <f>'a27'!BK24</f>
        <v>0.34970000000000001</v>
      </c>
      <c r="K11" s="628">
        <f>'a27'!BR24</f>
        <v>0.31319999999999998</v>
      </c>
      <c r="L11" s="628">
        <f>'a27'!BY24</f>
        <v>0.32909999999999995</v>
      </c>
    </row>
    <row r="12" spans="1:12">
      <c r="A12" s="611">
        <f t="shared" si="0"/>
        <v>1988</v>
      </c>
      <c r="B12" s="628">
        <f>'a27'!G25</f>
        <v>0.32229999999999998</v>
      </c>
      <c r="C12" s="628">
        <f>'a27'!N25</f>
        <v>0.40189999999999998</v>
      </c>
      <c r="D12" s="628">
        <f>'a27'!U25</f>
        <v>0.26119999999999999</v>
      </c>
      <c r="E12" s="628">
        <f>'a27'!AB25</f>
        <v>0.31069999999999998</v>
      </c>
      <c r="F12" s="628">
        <f>'a27'!AI25</f>
        <v>0.36649999999999999</v>
      </c>
      <c r="G12" s="628">
        <f>'a27'!AP25</f>
        <v>0.32240000000000002</v>
      </c>
      <c r="H12" s="628">
        <f>'a27'!AW25</f>
        <v>0.312</v>
      </c>
      <c r="I12" s="628">
        <f>'a27'!BD25</f>
        <v>0.31950000000000001</v>
      </c>
      <c r="J12" s="628">
        <f>'a27'!BK25</f>
        <v>0.36049999999999999</v>
      </c>
      <c r="K12" s="628">
        <f>'a27'!BR25</f>
        <v>0.28989999999999999</v>
      </c>
      <c r="L12" s="628">
        <f>'a27'!BY25</f>
        <v>0.33210000000000001</v>
      </c>
    </row>
    <row r="13" spans="1:12">
      <c r="A13" s="611">
        <f t="shared" si="0"/>
        <v>1989</v>
      </c>
      <c r="B13" s="628">
        <f>'a27'!G26</f>
        <v>0.31950000000000001</v>
      </c>
      <c r="C13" s="628">
        <f>'a27'!N26</f>
        <v>0.44990000000000002</v>
      </c>
      <c r="D13" s="628">
        <f>'a27'!U26</f>
        <v>0.27390000000000003</v>
      </c>
      <c r="E13" s="628">
        <f>'a27'!AB26</f>
        <v>0.31840000000000002</v>
      </c>
      <c r="F13" s="628">
        <f>'a27'!AI26</f>
        <v>0.36130000000000001</v>
      </c>
      <c r="G13" s="628">
        <f>'a27'!AP26</f>
        <v>0.34889999999999999</v>
      </c>
      <c r="H13" s="628">
        <f>'a27'!AW26</f>
        <v>0.2777</v>
      </c>
      <c r="I13" s="628">
        <f>'a27'!BD26</f>
        <v>0.315</v>
      </c>
      <c r="J13" s="628">
        <f>'a27'!BK26</f>
        <v>0.3765</v>
      </c>
      <c r="K13" s="628">
        <f>'a27'!BR26</f>
        <v>0.3004</v>
      </c>
      <c r="L13" s="628">
        <f>'a27'!BY26</f>
        <v>0.31230000000000002</v>
      </c>
    </row>
    <row r="14" spans="1:12">
      <c r="A14" s="611">
        <f t="shared" si="0"/>
        <v>1990</v>
      </c>
      <c r="B14" s="628">
        <f>'a27'!G27</f>
        <v>0.3075</v>
      </c>
      <c r="C14" s="628">
        <f>'a27'!N27</f>
        <v>0.4017</v>
      </c>
      <c r="D14" s="628">
        <f>'a27'!U27</f>
        <v>0.23079999999999998</v>
      </c>
      <c r="E14" s="628">
        <f>'a27'!AB27</f>
        <v>0.317</v>
      </c>
      <c r="F14" s="628">
        <f>'a27'!AI27</f>
        <v>0.34380000000000005</v>
      </c>
      <c r="G14" s="628">
        <f>'a27'!AP27</f>
        <v>0.31780000000000003</v>
      </c>
      <c r="H14" s="628">
        <f>'a27'!AW27</f>
        <v>0.29039999999999999</v>
      </c>
      <c r="I14" s="628">
        <f>'a27'!BD27</f>
        <v>0.35509999999999997</v>
      </c>
      <c r="J14" s="628">
        <f>'a27'!BK27</f>
        <v>0.39520000000000005</v>
      </c>
      <c r="K14" s="628">
        <f>'a27'!BR27</f>
        <v>0.27050000000000002</v>
      </c>
      <c r="L14" s="628">
        <f>'a27'!BY27</f>
        <v>0.28820000000000001</v>
      </c>
    </row>
    <row r="15" spans="1:12">
      <c r="A15" s="611">
        <f t="shared" si="0"/>
        <v>1991</v>
      </c>
      <c r="B15" s="628">
        <f>'a27'!G28</f>
        <v>0.30670000000000003</v>
      </c>
      <c r="C15" s="628">
        <f>'a27'!N28</f>
        <v>0.45689999999999997</v>
      </c>
      <c r="D15" s="628">
        <f>'a27'!U28</f>
        <v>0.31209999999999999</v>
      </c>
      <c r="E15" s="628">
        <f>'a27'!AB28</f>
        <v>0.29389999999999999</v>
      </c>
      <c r="F15" s="628">
        <f>'a27'!AI28</f>
        <v>0.32069999999999999</v>
      </c>
      <c r="G15" s="628">
        <f>'a27'!AP28</f>
        <v>0.29160000000000003</v>
      </c>
      <c r="H15" s="628">
        <f>'a27'!AW28</f>
        <v>0.30030000000000001</v>
      </c>
      <c r="I15" s="628">
        <f>'a27'!BD28</f>
        <v>0.34619999999999995</v>
      </c>
      <c r="J15" s="628">
        <f>'a27'!BK28</f>
        <v>0.38450000000000001</v>
      </c>
      <c r="K15" s="628">
        <f>'a27'!BR28</f>
        <v>0.32289999999999996</v>
      </c>
      <c r="L15" s="628">
        <f>'a27'!BY28</f>
        <v>0.27479999999999999</v>
      </c>
    </row>
    <row r="16" spans="1:12">
      <c r="A16" s="611">
        <f t="shared" si="0"/>
        <v>1992</v>
      </c>
      <c r="B16" s="628">
        <f>'a27'!G29</f>
        <v>0.28809999999999997</v>
      </c>
      <c r="C16" s="628">
        <f>'a27'!N29</f>
        <v>0.41009999999999996</v>
      </c>
      <c r="D16" s="628">
        <f>'a27'!U29</f>
        <v>0.2964</v>
      </c>
      <c r="E16" s="628">
        <f>'a27'!AB29</f>
        <v>0.29980000000000001</v>
      </c>
      <c r="F16" s="628">
        <f>'a27'!AI29</f>
        <v>0.3715</v>
      </c>
      <c r="G16" s="628">
        <f>'a27'!AP29</f>
        <v>0.26979999999999998</v>
      </c>
      <c r="H16" s="628">
        <f>'a27'!AW29</f>
        <v>0.27050000000000002</v>
      </c>
      <c r="I16" s="628">
        <f>'a27'!BD29</f>
        <v>0.36479999999999996</v>
      </c>
      <c r="J16" s="628">
        <f>'a27'!BK29</f>
        <v>0.38740000000000002</v>
      </c>
      <c r="K16" s="628">
        <f>'a27'!BR29</f>
        <v>0.27050000000000002</v>
      </c>
      <c r="L16" s="628">
        <f>'a27'!BY29</f>
        <v>0.27649999999999997</v>
      </c>
    </row>
    <row r="17" spans="1:12">
      <c r="A17" s="611">
        <f t="shared" si="0"/>
        <v>1993</v>
      </c>
      <c r="B17" s="628">
        <f>'a27'!G30</f>
        <v>0.2702</v>
      </c>
      <c r="C17" s="628">
        <f>'a27'!N30</f>
        <v>0.36630000000000001</v>
      </c>
      <c r="D17" s="628">
        <f>'a27'!U30</f>
        <v>0.28360000000000002</v>
      </c>
      <c r="E17" s="628">
        <f>'a27'!AB30</f>
        <v>0.28620000000000001</v>
      </c>
      <c r="F17" s="628">
        <f>'a27'!AI30</f>
        <v>0.3362</v>
      </c>
      <c r="G17" s="628">
        <f>'a27'!AP30</f>
        <v>0.28570000000000001</v>
      </c>
      <c r="H17" s="628">
        <f>'a27'!AW30</f>
        <v>0.23670000000000002</v>
      </c>
      <c r="I17" s="628">
        <f>'a27'!BD30</f>
        <v>0.2797</v>
      </c>
      <c r="J17" s="628">
        <f>'a27'!BK30</f>
        <v>0.33189999999999997</v>
      </c>
      <c r="K17" s="628">
        <f>'a27'!BR30</f>
        <v>0.2525</v>
      </c>
      <c r="L17" s="628">
        <f>'a27'!BY30</f>
        <v>0.26739999999999997</v>
      </c>
    </row>
    <row r="18" spans="1:12">
      <c r="A18" s="611">
        <f t="shared" si="0"/>
        <v>1994</v>
      </c>
      <c r="B18" s="628">
        <f>'a27'!G31</f>
        <v>0.27550000000000002</v>
      </c>
      <c r="C18" s="628">
        <f>'a27'!N31</f>
        <v>0.31159999999999999</v>
      </c>
      <c r="D18" s="628">
        <f>'a27'!U31</f>
        <v>0.24239999999999998</v>
      </c>
      <c r="E18" s="628">
        <f>'a27'!AB31</f>
        <v>0.29339999999999999</v>
      </c>
      <c r="F18" s="628">
        <f>'a27'!AI31</f>
        <v>0.37159999999999999</v>
      </c>
      <c r="G18" s="628">
        <f>'a27'!AP31</f>
        <v>0.26619999999999999</v>
      </c>
      <c r="H18" s="628">
        <f>'a27'!AW31</f>
        <v>0.2455</v>
      </c>
      <c r="I18" s="628">
        <f>'a27'!BD31</f>
        <v>0.31079999999999997</v>
      </c>
      <c r="J18" s="628">
        <f>'a27'!BK31</f>
        <v>0.34460000000000002</v>
      </c>
      <c r="K18" s="628">
        <f>'a27'!BR31</f>
        <v>0.28949999999999998</v>
      </c>
      <c r="L18" s="628">
        <f>'a27'!BY31</f>
        <v>0.26819999999999999</v>
      </c>
    </row>
    <row r="19" spans="1:12">
      <c r="A19" s="611">
        <f t="shared" si="0"/>
        <v>1995</v>
      </c>
      <c r="B19" s="628">
        <f>'a27'!G32</f>
        <v>0.28059999999999996</v>
      </c>
      <c r="C19" s="628">
        <f>'a27'!N32</f>
        <v>0.3453</v>
      </c>
      <c r="D19" s="628">
        <f>'a27'!U32</f>
        <v>0.24160000000000001</v>
      </c>
      <c r="E19" s="628">
        <f>'a27'!AB32</f>
        <v>0.30579999999999996</v>
      </c>
      <c r="F19" s="628">
        <f>'a27'!AI32</f>
        <v>0.31739999999999996</v>
      </c>
      <c r="G19" s="628">
        <f>'a27'!AP32</f>
        <v>0.28649999999999998</v>
      </c>
      <c r="H19" s="628">
        <f>'a27'!AW32</f>
        <v>0.23550000000000001</v>
      </c>
      <c r="I19" s="628">
        <f>'a27'!BD32</f>
        <v>0.26860000000000001</v>
      </c>
      <c r="J19" s="628">
        <f>'a27'!BK32</f>
        <v>0.36299999999999999</v>
      </c>
      <c r="K19" s="628">
        <f>'a27'!BR32</f>
        <v>0.33909999999999996</v>
      </c>
      <c r="L19" s="628">
        <f>'a27'!BY32</f>
        <v>0.30109999999999998</v>
      </c>
    </row>
    <row r="20" spans="1:12">
      <c r="A20" s="611">
        <f t="shared" si="0"/>
        <v>1996</v>
      </c>
      <c r="B20" s="628">
        <f>'a27'!G33</f>
        <v>0.27850000000000003</v>
      </c>
      <c r="C20" s="628">
        <f>'a27'!N33</f>
        <v>0.34039999999999998</v>
      </c>
      <c r="D20" s="628">
        <f>'a27'!U33</f>
        <v>0.30020000000000002</v>
      </c>
      <c r="E20" s="628">
        <f>'a27'!AB33</f>
        <v>0.29630000000000001</v>
      </c>
      <c r="F20" s="628">
        <f>'a27'!AI33</f>
        <v>0.31219999999999998</v>
      </c>
      <c r="G20" s="628">
        <f>'a27'!AP33</f>
        <v>0.26929999999999998</v>
      </c>
      <c r="H20" s="628">
        <f>'a27'!AW33</f>
        <v>0.26519999999999999</v>
      </c>
      <c r="I20" s="628">
        <f>'a27'!BD33</f>
        <v>0.30909999999999999</v>
      </c>
      <c r="J20" s="628">
        <f>'a27'!BK33</f>
        <v>0.34090000000000004</v>
      </c>
      <c r="K20" s="628">
        <f>'a27'!BR33</f>
        <v>0.30879999999999996</v>
      </c>
      <c r="L20" s="628">
        <f>'a27'!BY33</f>
        <v>0.25290000000000001</v>
      </c>
    </row>
    <row r="21" spans="1:12">
      <c r="A21" s="611">
        <f t="shared" si="0"/>
        <v>1997</v>
      </c>
      <c r="B21" s="628">
        <f>'a27'!G34</f>
        <v>0.29580000000000001</v>
      </c>
      <c r="C21" s="628">
        <f>'a27'!N34</f>
        <v>0.34649999999999997</v>
      </c>
      <c r="D21" s="628">
        <f>'a27'!U34</f>
        <v>0.28899999999999998</v>
      </c>
      <c r="E21" s="628">
        <f>'a27'!AB34</f>
        <v>0.31890000000000002</v>
      </c>
      <c r="F21" s="628">
        <f>'a27'!AI34</f>
        <v>0.31679999999999997</v>
      </c>
      <c r="G21" s="628">
        <f>'a27'!AP34</f>
        <v>0.29010000000000002</v>
      </c>
      <c r="H21" s="628">
        <f>'a27'!AW34</f>
        <v>0.28649999999999998</v>
      </c>
      <c r="I21" s="628">
        <f>'a27'!BD34</f>
        <v>0.28360000000000002</v>
      </c>
      <c r="J21" s="628">
        <f>'a27'!BK34</f>
        <v>0.31340000000000001</v>
      </c>
      <c r="K21" s="628">
        <f>'a27'!BR34</f>
        <v>0.36719999999999997</v>
      </c>
      <c r="L21" s="628">
        <f>'a27'!BY34</f>
        <v>0.2666</v>
      </c>
    </row>
    <row r="22" spans="1:12">
      <c r="A22" s="611">
        <f t="shared" si="0"/>
        <v>1998</v>
      </c>
      <c r="B22" s="628">
        <f>'a27'!G35</f>
        <v>0.30030000000000001</v>
      </c>
      <c r="C22" s="628">
        <f>'a27'!N35</f>
        <v>0.29389999999999999</v>
      </c>
      <c r="D22" s="628">
        <f>'a27'!U35</f>
        <v>0.23749999999999999</v>
      </c>
      <c r="E22" s="628">
        <f>'a27'!AB35</f>
        <v>0.33429999999999999</v>
      </c>
      <c r="F22" s="628">
        <f>'a27'!AI35</f>
        <v>0.3206</v>
      </c>
      <c r="G22" s="628">
        <f>'a27'!AP35</f>
        <v>0.28460000000000002</v>
      </c>
      <c r="H22" s="628">
        <f>'a27'!AW35</f>
        <v>0.29189999999999999</v>
      </c>
      <c r="I22" s="628">
        <f>'a27'!BD35</f>
        <v>0.24579999999999999</v>
      </c>
      <c r="J22" s="628">
        <f>'a27'!BK35</f>
        <v>0.23</v>
      </c>
      <c r="K22" s="628">
        <f>'a27'!BR35</f>
        <v>0.31840000000000002</v>
      </c>
      <c r="L22" s="628">
        <f>'a27'!BY35</f>
        <v>0.35930000000000001</v>
      </c>
    </row>
    <row r="23" spans="1:12">
      <c r="A23" s="611">
        <f t="shared" si="0"/>
        <v>1999</v>
      </c>
      <c r="B23" s="628">
        <f>'a27'!G36</f>
        <v>0.29559999999999997</v>
      </c>
      <c r="C23" s="628">
        <f>'a27'!N36</f>
        <v>0.29870000000000002</v>
      </c>
      <c r="D23" s="628">
        <f>'a27'!U36</f>
        <v>0.23269999999999999</v>
      </c>
      <c r="E23" s="628">
        <f>'a27'!AB36</f>
        <v>0.26069999999999999</v>
      </c>
      <c r="F23" s="628">
        <f>'a27'!AI36</f>
        <v>0.29039999999999999</v>
      </c>
      <c r="G23" s="628">
        <f>'a27'!AP36</f>
        <v>0.28399999999999997</v>
      </c>
      <c r="H23" s="628">
        <f>'a27'!AW36</f>
        <v>0.29909999999999998</v>
      </c>
      <c r="I23" s="628">
        <f>'a27'!BD36</f>
        <v>0.30990000000000001</v>
      </c>
      <c r="J23" s="628">
        <f>'a27'!BK36</f>
        <v>0.33979999999999999</v>
      </c>
      <c r="K23" s="628">
        <f>'a27'!BR36</f>
        <v>0.30809999999999998</v>
      </c>
      <c r="L23" s="628">
        <f>'a27'!BY36</f>
        <v>0.29659999999999997</v>
      </c>
    </row>
    <row r="24" spans="1:12">
      <c r="A24" s="611">
        <f t="shared" si="0"/>
        <v>2000</v>
      </c>
      <c r="B24" s="628">
        <f>'a27'!G37</f>
        <v>0.2898</v>
      </c>
      <c r="C24" s="628">
        <f>'a27'!N37</f>
        <v>0.29089999999999999</v>
      </c>
      <c r="D24" s="628">
        <f>'a27'!U37</f>
        <v>0.24969999999999998</v>
      </c>
      <c r="E24" s="628">
        <f>'a27'!AB37</f>
        <v>0.29499999999999998</v>
      </c>
      <c r="F24" s="628">
        <f>'a27'!AI37</f>
        <v>0.27050000000000002</v>
      </c>
      <c r="G24" s="628">
        <f>'a27'!AP37</f>
        <v>0.30780000000000002</v>
      </c>
      <c r="H24" s="628">
        <f>'a27'!AW37</f>
        <v>0.28120000000000001</v>
      </c>
      <c r="I24" s="628">
        <f>'a27'!BD37</f>
        <v>0.31120000000000003</v>
      </c>
      <c r="J24" s="628">
        <f>'a27'!BK37</f>
        <v>0.35369999999999996</v>
      </c>
      <c r="K24" s="628">
        <f>'a27'!BR37</f>
        <v>0.30769999999999997</v>
      </c>
      <c r="L24" s="628">
        <f>'a27'!BY37</f>
        <v>0.2298</v>
      </c>
    </row>
    <row r="25" spans="1:12">
      <c r="A25" s="611">
        <f t="shared" si="0"/>
        <v>2001</v>
      </c>
      <c r="B25" s="628">
        <f>'a27'!G38</f>
        <v>0.2969</v>
      </c>
      <c r="C25" s="628">
        <f>'a27'!N38</f>
        <v>0.33779999999999999</v>
      </c>
      <c r="D25" s="628">
        <f>'a27'!U38</f>
        <v>0.2351</v>
      </c>
      <c r="E25" s="628">
        <f>'a27'!AB38</f>
        <v>0.25309999999999999</v>
      </c>
      <c r="F25" s="628">
        <f>'a27'!AI38</f>
        <v>0.30320000000000003</v>
      </c>
      <c r="G25" s="628">
        <f>'a27'!AP38</f>
        <v>0.29830000000000001</v>
      </c>
      <c r="H25" s="628">
        <f>'a27'!AW38</f>
        <v>0.31</v>
      </c>
      <c r="I25" s="628">
        <f>'a27'!BD38</f>
        <v>0.30760000000000004</v>
      </c>
      <c r="J25" s="628">
        <f>'a27'!BK38</f>
        <v>0.29249999999999998</v>
      </c>
      <c r="K25" s="628">
        <f>'a27'!BR38</f>
        <v>0.25209999999999999</v>
      </c>
      <c r="L25" s="628">
        <f>'a27'!BY38</f>
        <v>0.29210000000000003</v>
      </c>
    </row>
    <row r="26" spans="1:12">
      <c r="A26" s="611">
        <f t="shared" si="0"/>
        <v>2002</v>
      </c>
      <c r="B26" s="628">
        <f>'a27'!G39</f>
        <v>0.30380000000000001</v>
      </c>
      <c r="C26" s="628">
        <f>'a27'!N39</f>
        <v>0.33500000000000002</v>
      </c>
      <c r="D26" s="628">
        <f>'a27'!U39</f>
        <v>0.19469999999999998</v>
      </c>
      <c r="E26" s="628">
        <f>'a27'!AB39</f>
        <v>0.34179999999999999</v>
      </c>
      <c r="F26" s="628">
        <f>'a27'!AI39</f>
        <v>0.2772</v>
      </c>
      <c r="G26" s="628">
        <f>'a27'!AP39</f>
        <v>0.27929999999999999</v>
      </c>
      <c r="H26" s="628">
        <f>'a27'!AW39</f>
        <v>0.29949999999999999</v>
      </c>
      <c r="I26" s="628">
        <f>'a27'!BD39</f>
        <v>0.34749999999999998</v>
      </c>
      <c r="J26" s="628">
        <f>'a27'!BK39</f>
        <v>0.27989999999999998</v>
      </c>
      <c r="K26" s="628">
        <f>'a27'!BR39</f>
        <v>0.35460000000000003</v>
      </c>
      <c r="L26" s="628">
        <f>'a27'!BY39</f>
        <v>0.32159999999999994</v>
      </c>
    </row>
    <row r="27" spans="1:12">
      <c r="A27" s="611">
        <f t="shared" si="0"/>
        <v>2003</v>
      </c>
      <c r="B27" s="628">
        <f>'a27'!G40</f>
        <v>0.3054</v>
      </c>
      <c r="C27" s="628">
        <f>'a27'!N40</f>
        <v>0.32719999999999999</v>
      </c>
      <c r="D27" s="628">
        <f>'a27'!U40</f>
        <v>0.1273</v>
      </c>
      <c r="E27" s="628">
        <f>'a27'!AB40</f>
        <v>0.316</v>
      </c>
      <c r="F27" s="628">
        <f>'a27'!AI40</f>
        <v>0.29330000000000001</v>
      </c>
      <c r="G27" s="628">
        <f>'a27'!AP40</f>
        <v>0.2828</v>
      </c>
      <c r="H27" s="628">
        <f>'a27'!AW40</f>
        <v>0.29010000000000002</v>
      </c>
      <c r="I27" s="628">
        <f>'a27'!BD40</f>
        <v>0.29510000000000003</v>
      </c>
      <c r="J27" s="628">
        <f>'a27'!BK40</f>
        <v>0.31929999999999997</v>
      </c>
      <c r="K27" s="628">
        <f>'a27'!BR40</f>
        <v>0.36060000000000003</v>
      </c>
      <c r="L27" s="628">
        <f>'a27'!BY40</f>
        <v>0.34450000000000003</v>
      </c>
    </row>
    <row r="28" spans="1:12">
      <c r="A28" s="611">
        <f t="shared" si="0"/>
        <v>2004</v>
      </c>
      <c r="B28" s="628">
        <f>'a27'!G41</f>
        <v>0.30430000000000001</v>
      </c>
      <c r="C28" s="628">
        <f>'a27'!N41</f>
        <v>0.31640000000000001</v>
      </c>
      <c r="D28" s="628">
        <f>'a27'!U41</f>
        <v>0.23749999999999999</v>
      </c>
      <c r="E28" s="628">
        <f>'a27'!AB41</f>
        <v>0.28499999999999998</v>
      </c>
      <c r="F28" s="628">
        <f>'a27'!AI41</f>
        <v>0.28170000000000001</v>
      </c>
      <c r="G28" s="628">
        <f>'a27'!AP41</f>
        <v>0.2898</v>
      </c>
      <c r="H28" s="628">
        <f>'a27'!AW41</f>
        <v>0.29580000000000001</v>
      </c>
      <c r="I28" s="628">
        <f>'a27'!BD41</f>
        <v>0.31209999999999999</v>
      </c>
      <c r="J28" s="628">
        <f>'a27'!BK41</f>
        <v>0.30609999999999998</v>
      </c>
      <c r="K28" s="628">
        <f>'a27'!BR41</f>
        <v>0.32400000000000001</v>
      </c>
      <c r="L28" s="628">
        <f>'a27'!BY41</f>
        <v>0.33799999999999997</v>
      </c>
    </row>
    <row r="29" spans="1:12">
      <c r="A29" s="611">
        <f t="shared" si="0"/>
        <v>2005</v>
      </c>
      <c r="B29" s="628">
        <f>'a27'!G42</f>
        <v>0.30690000000000001</v>
      </c>
      <c r="C29" s="628">
        <f>'a27'!N42</f>
        <v>0.32700000000000001</v>
      </c>
      <c r="D29" s="628">
        <f>'a27'!U42</f>
        <v>0.26890000000000003</v>
      </c>
      <c r="E29" s="628">
        <f>'a27'!AB42</f>
        <v>0.25819999999999999</v>
      </c>
      <c r="F29" s="628">
        <f>'a27'!AI42</f>
        <v>0.30199999999999999</v>
      </c>
      <c r="G29" s="628">
        <f>'a27'!AP42</f>
        <v>0.28610000000000002</v>
      </c>
      <c r="H29" s="628">
        <f>'a27'!AW42</f>
        <v>0.29809999999999998</v>
      </c>
      <c r="I29" s="628">
        <f>'a27'!BD42</f>
        <v>0.31629999999999997</v>
      </c>
      <c r="J29" s="628">
        <f>'a27'!BK42</f>
        <v>0.32079999999999997</v>
      </c>
      <c r="K29" s="628">
        <f>'a27'!BR42</f>
        <v>0.35070000000000001</v>
      </c>
      <c r="L29" s="628">
        <f>'a27'!BY42</f>
        <v>0.34810000000000002</v>
      </c>
    </row>
    <row r="30" spans="1:12">
      <c r="A30" s="611">
        <f t="shared" si="0"/>
        <v>2006</v>
      </c>
      <c r="B30" s="628">
        <f>'a27'!G43</f>
        <v>0.30299999999999999</v>
      </c>
      <c r="C30" s="628">
        <f>'a27'!N43</f>
        <v>0.27390000000000003</v>
      </c>
      <c r="D30" s="628">
        <f>'a27'!U43</f>
        <v>0.20949999999999999</v>
      </c>
      <c r="E30" s="628">
        <f>'a27'!AB43</f>
        <v>0.28039999999999998</v>
      </c>
      <c r="F30" s="628">
        <f>'a27'!AI43</f>
        <v>0.29460000000000003</v>
      </c>
      <c r="G30" s="628">
        <f>'a27'!AP43</f>
        <v>0.27250000000000002</v>
      </c>
      <c r="H30" s="628">
        <f>'a27'!AW43</f>
        <v>0.30879999999999996</v>
      </c>
      <c r="I30" s="628">
        <f>'a27'!BD43</f>
        <v>0.27</v>
      </c>
      <c r="J30" s="628">
        <f>'a27'!BK43</f>
        <v>0.33439999999999998</v>
      </c>
      <c r="K30" s="628">
        <f>'a27'!BR43</f>
        <v>0.27860000000000001</v>
      </c>
      <c r="L30" s="628">
        <f>'a27'!BY43</f>
        <v>0.35460000000000003</v>
      </c>
    </row>
    <row r="31" spans="1:12">
      <c r="A31" s="611">
        <f t="shared" si="0"/>
        <v>2007</v>
      </c>
      <c r="B31" s="628">
        <f>'a27'!G44</f>
        <v>0.30329999999999996</v>
      </c>
      <c r="C31" s="628">
        <f>'a27'!N44</f>
        <v>0.30010000000000003</v>
      </c>
      <c r="D31" s="628">
        <f>'a27'!U44</f>
        <v>0.2296</v>
      </c>
      <c r="E31" s="628">
        <f>'a27'!AB44</f>
        <v>0.2898</v>
      </c>
      <c r="F31" s="628">
        <f>'a27'!AI44</f>
        <v>0.2969</v>
      </c>
      <c r="G31" s="628">
        <f>'a27'!AP44</f>
        <v>0.25480000000000003</v>
      </c>
      <c r="H31" s="628">
        <f>'a27'!AW44</f>
        <v>0.29260000000000003</v>
      </c>
      <c r="I31" s="628">
        <f>'a27'!BD44</f>
        <v>0.28520000000000001</v>
      </c>
      <c r="J31" s="628">
        <f>'a27'!BK44</f>
        <v>0.34039999999999998</v>
      </c>
      <c r="K31" s="628">
        <f>'a27'!BR44</f>
        <v>0.3957</v>
      </c>
      <c r="L31" s="628">
        <f>'a27'!BY44</f>
        <v>0.36229999999999996</v>
      </c>
    </row>
    <row r="32" spans="1:12">
      <c r="A32" s="611">
        <f t="shared" si="0"/>
        <v>2008</v>
      </c>
      <c r="B32" s="628">
        <f>'a27'!G45</f>
        <v>0.30099999999999999</v>
      </c>
      <c r="C32" s="628">
        <f>'a27'!N45</f>
        <v>0.2707</v>
      </c>
      <c r="D32" s="628">
        <f>'a27'!U45</f>
        <v>0.26440000000000002</v>
      </c>
      <c r="E32" s="628">
        <f>'a27'!AB45</f>
        <v>0.30870000000000003</v>
      </c>
      <c r="F32" s="628">
        <f>'a27'!AI45</f>
        <v>0.28800000000000003</v>
      </c>
      <c r="G32" s="628">
        <f>'a27'!AP45</f>
        <v>0.28820000000000001</v>
      </c>
      <c r="H32" s="628">
        <f>'a27'!AW45</f>
        <v>0.31900000000000001</v>
      </c>
      <c r="I32" s="628">
        <f>'a27'!BD45</f>
        <v>0.21890000000000001</v>
      </c>
      <c r="J32" s="628">
        <f>'a27'!BK45</f>
        <v>0.2482</v>
      </c>
      <c r="K32" s="628">
        <f>'a27'!BR45</f>
        <v>0.27750000000000002</v>
      </c>
      <c r="L32" s="628">
        <f>'a27'!BY45</f>
        <v>0.35270000000000001</v>
      </c>
    </row>
    <row r="33" spans="1:12">
      <c r="A33" s="611">
        <f t="shared" si="0"/>
        <v>2009</v>
      </c>
      <c r="B33" s="628">
        <f>'a27'!G46</f>
        <v>0.29530000000000001</v>
      </c>
      <c r="C33" s="628">
        <f>'a27'!N46</f>
        <v>0.31</v>
      </c>
      <c r="D33" s="628">
        <f>'a27'!U46</f>
        <v>0.2354</v>
      </c>
      <c r="E33" s="628">
        <f>'a27'!AB46</f>
        <v>0.27829999999999999</v>
      </c>
      <c r="F33" s="628">
        <f>'a27'!AI46</f>
        <v>0.31719999999999998</v>
      </c>
      <c r="G33" s="628">
        <f>'a27'!AP46</f>
        <v>0.27329999999999999</v>
      </c>
      <c r="H33" s="628">
        <f>'a27'!AW46</f>
        <v>0.27779999999999999</v>
      </c>
      <c r="I33" s="628">
        <f>'a27'!BD46</f>
        <v>0.2167</v>
      </c>
      <c r="J33" s="628">
        <f>'a27'!BK46</f>
        <v>0.38350000000000001</v>
      </c>
      <c r="K33" s="628">
        <f>'a27'!BR46</f>
        <v>0.39560000000000001</v>
      </c>
      <c r="L33" s="628">
        <f>'a27'!BY46</f>
        <v>0.36310000000000003</v>
      </c>
    </row>
    <row r="34" spans="1:12">
      <c r="A34" s="611">
        <f t="shared" si="0"/>
        <v>2010</v>
      </c>
      <c r="B34" s="628">
        <f>'a27'!G47</f>
        <v>0.29530000000000001</v>
      </c>
      <c r="C34" s="628">
        <f>'a27'!N47</f>
        <v>0.31</v>
      </c>
      <c r="D34" s="628">
        <f>'a27'!U47</f>
        <v>0.2354</v>
      </c>
      <c r="E34" s="628">
        <f>'a27'!AB47</f>
        <v>0.27829999999999999</v>
      </c>
      <c r="F34" s="628">
        <f>'a27'!AI47</f>
        <v>0.31719999999999998</v>
      </c>
      <c r="G34" s="628">
        <f>'a27'!AP47</f>
        <v>0.27329999999999999</v>
      </c>
      <c r="H34" s="628">
        <f>'a27'!AW47</f>
        <v>0.27779999999999999</v>
      </c>
      <c r="I34" s="628">
        <f>'a27'!BD47</f>
        <v>0.2167</v>
      </c>
      <c r="J34" s="628">
        <f>'a27'!BK47</f>
        <v>0.38350000000000001</v>
      </c>
      <c r="K34" s="628">
        <f>'a27'!BR47</f>
        <v>0.39560000000000001</v>
      </c>
      <c r="L34" s="628">
        <f>'a27'!BY47</f>
        <v>0.36310000000000003</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-0.88465188075232959</v>
      </c>
      <c r="C36" s="617">
        <f t="shared" si="1"/>
        <v>-1.4153729229731904</v>
      </c>
      <c r="D36" s="617">
        <f t="shared" si="1"/>
        <v>-1.0220890336288813</v>
      </c>
      <c r="E36" s="617">
        <f t="shared" si="1"/>
        <v>-1.3038555203702562</v>
      </c>
      <c r="F36" s="617">
        <f t="shared" si="1"/>
        <v>-0.82043546148019564</v>
      </c>
      <c r="G36" s="617">
        <f t="shared" si="1"/>
        <v>-1.4925175136585866</v>
      </c>
      <c r="H36" s="617">
        <f t="shared" si="1"/>
        <v>-0.83622467646694565</v>
      </c>
      <c r="I36" s="617">
        <f t="shared" si="1"/>
        <v>-2.1788842550761078</v>
      </c>
      <c r="J36" s="617">
        <f t="shared" si="1"/>
        <v>0.77696205796908835</v>
      </c>
      <c r="K36" s="617">
        <f t="shared" si="1"/>
        <v>-4.9317757291811315E-2</v>
      </c>
      <c r="L36" s="617">
        <f t="shared" si="1"/>
        <v>0.20160509074362842</v>
      </c>
    </row>
    <row r="37" spans="1:12">
      <c r="A37" s="611" t="s">
        <v>1472</v>
      </c>
      <c r="B37" s="617">
        <f t="shared" ref="B37:L37" si="2">100*(POWER(B13/B5, 1/8)-1)</f>
        <v>-2.2117378512797048</v>
      </c>
      <c r="C37" s="617">
        <f t="shared" si="2"/>
        <v>-0.51041255913980565</v>
      </c>
      <c r="D37" s="617">
        <f t="shared" si="2"/>
        <v>-1.8140212255296495</v>
      </c>
      <c r="E37" s="617">
        <f t="shared" si="2"/>
        <v>-3.028154423857754</v>
      </c>
      <c r="F37" s="617">
        <f t="shared" si="2"/>
        <v>-1.3499493744726698</v>
      </c>
      <c r="G37" s="617">
        <f t="shared" si="2"/>
        <v>-2.3699323591780175</v>
      </c>
      <c r="H37" s="617">
        <f t="shared" si="2"/>
        <v>-3.002560336262694</v>
      </c>
      <c r="I37" s="617">
        <f t="shared" si="2"/>
        <v>-3.2558587297842334</v>
      </c>
      <c r="J37" s="617">
        <f t="shared" si="2"/>
        <v>2.6087808245347954</v>
      </c>
      <c r="K37" s="617">
        <f t="shared" si="2"/>
        <v>-3.5551935032899773</v>
      </c>
      <c r="L37" s="617">
        <f t="shared" si="2"/>
        <v>-1.1472111852039668</v>
      </c>
    </row>
    <row r="38" spans="1:12">
      <c r="A38" s="611" t="s">
        <v>1473</v>
      </c>
      <c r="B38" s="617">
        <f t="shared" ref="B38:L38" si="3">100*(POWER(B24/B13, 1/11)-1)</f>
        <v>-0.88304391577109786</v>
      </c>
      <c r="C38" s="617">
        <f t="shared" si="3"/>
        <v>-3.8865118572249502</v>
      </c>
      <c r="D38" s="617">
        <f t="shared" si="3"/>
        <v>-0.83740929352839055</v>
      </c>
      <c r="E38" s="617">
        <f t="shared" si="3"/>
        <v>-0.69153506640605711</v>
      </c>
      <c r="F38" s="617">
        <f t="shared" si="3"/>
        <v>-2.5969257518665856</v>
      </c>
      <c r="G38" s="617">
        <f t="shared" si="3"/>
        <v>-1.132943549040899</v>
      </c>
      <c r="H38" s="617">
        <f t="shared" si="3"/>
        <v>0.11392635249238836</v>
      </c>
      <c r="I38" s="617">
        <f t="shared" si="3"/>
        <v>-0.11027412173053586</v>
      </c>
      <c r="J38" s="617">
        <f t="shared" si="3"/>
        <v>-0.56629005350784523</v>
      </c>
      <c r="K38" s="617">
        <f t="shared" si="3"/>
        <v>0.21851441769491498</v>
      </c>
      <c r="L38" s="617">
        <f t="shared" si="3"/>
        <v>-2.7501561346567005</v>
      </c>
    </row>
    <row r="39" spans="1:12">
      <c r="A39" s="611" t="s">
        <v>1474</v>
      </c>
      <c r="B39" s="617">
        <f t="shared" ref="B39:L39" si="4">100*(POWER(B32/B24, 1/8)-1)</f>
        <v>0.47511554738279838</v>
      </c>
      <c r="C39" s="617">
        <f t="shared" si="4"/>
        <v>-0.89557027548380352</v>
      </c>
      <c r="D39" s="617">
        <f t="shared" si="4"/>
        <v>0.71759887273266099</v>
      </c>
      <c r="E39" s="617">
        <f t="shared" si="4"/>
        <v>0.56904513540074753</v>
      </c>
      <c r="F39" s="617">
        <f t="shared" si="4"/>
        <v>0.78668299041932954</v>
      </c>
      <c r="G39" s="617">
        <f t="shared" si="4"/>
        <v>-0.81907140334621653</v>
      </c>
      <c r="H39" s="617">
        <f t="shared" si="4"/>
        <v>1.5890550894600786</v>
      </c>
      <c r="I39" s="617">
        <f t="shared" si="4"/>
        <v>-4.3024605055895666</v>
      </c>
      <c r="J39" s="617">
        <f t="shared" si="4"/>
        <v>-4.3310869611682286</v>
      </c>
      <c r="K39" s="617">
        <f t="shared" si="4"/>
        <v>-1.2830028006989735</v>
      </c>
      <c r="L39" s="617">
        <f t="shared" si="4"/>
        <v>5.5010858169036725</v>
      </c>
    </row>
    <row r="40" spans="1:12">
      <c r="A40" s="611" t="s">
        <v>1500</v>
      </c>
      <c r="B40" s="611"/>
      <c r="C40" s="611"/>
      <c r="D40" s="611"/>
      <c r="E40" s="611"/>
      <c r="F40" s="611"/>
      <c r="G40" s="611"/>
      <c r="H40" s="611"/>
      <c r="I40" s="611"/>
      <c r="J40" s="611"/>
      <c r="K40" s="611"/>
      <c r="L40" s="611"/>
    </row>
    <row r="41" spans="1:12">
      <c r="A41" s="611" t="s">
        <v>1498</v>
      </c>
      <c r="B41" s="616">
        <f>100*(B34-B5)/B5</f>
        <v>-22.716566343889035</v>
      </c>
      <c r="C41" s="616">
        <f t="shared" ref="C41:L41" si="5">100*(C34-C5)/C5</f>
        <v>-33.859611691913798</v>
      </c>
      <c r="D41" s="616">
        <f t="shared" si="5"/>
        <v>-25.76474298328603</v>
      </c>
      <c r="E41" s="616">
        <f t="shared" si="5"/>
        <v>-31.655206286836936</v>
      </c>
      <c r="F41" s="616">
        <f t="shared" si="5"/>
        <v>-21.251241310824231</v>
      </c>
      <c r="G41" s="616">
        <f t="shared" si="5"/>
        <v>-35.344215755855224</v>
      </c>
      <c r="H41" s="616">
        <f t="shared" si="5"/>
        <v>-21.613995485327315</v>
      </c>
      <c r="I41" s="616">
        <f t="shared" si="5"/>
        <v>-47.210718635809982</v>
      </c>
      <c r="J41" s="616">
        <f>100*(J34-J5)/J5</f>
        <v>25.163185378590079</v>
      </c>
      <c r="K41" s="616">
        <f t="shared" si="5"/>
        <v>-1.4203837528033985</v>
      </c>
      <c r="L41" s="616">
        <f t="shared" si="5"/>
        <v>6.014598540145986</v>
      </c>
    </row>
    <row r="42" spans="1:12">
      <c r="A42" s="611" t="s">
        <v>1472</v>
      </c>
      <c r="B42" s="616">
        <f>100*(B13-B5)/B5</f>
        <v>-16.383145773357757</v>
      </c>
      <c r="C42" s="616">
        <f t="shared" ref="C42:L42" si="6">100*(C13-C5)/C5</f>
        <v>-4.0110945167484386</v>
      </c>
      <c r="D42" s="616">
        <f t="shared" si="6"/>
        <v>-13.623462630085134</v>
      </c>
      <c r="E42" s="616">
        <f t="shared" si="6"/>
        <v>-21.807465618860508</v>
      </c>
      <c r="F42" s="616">
        <f t="shared" si="6"/>
        <v>-10.302879841112212</v>
      </c>
      <c r="G42" s="616">
        <f t="shared" si="6"/>
        <v>-17.459190915542944</v>
      </c>
      <c r="H42" s="616">
        <f t="shared" si="6"/>
        <v>-21.642212189616252</v>
      </c>
      <c r="I42" s="616">
        <f t="shared" si="6"/>
        <v>-23.264311814859923</v>
      </c>
      <c r="J42" s="616">
        <f t="shared" si="6"/>
        <v>22.87859007832898</v>
      </c>
      <c r="K42" s="616">
        <f t="shared" si="6"/>
        <v>-25.143284325940702</v>
      </c>
      <c r="L42" s="616">
        <f t="shared" si="6"/>
        <v>-8.8175182481751833</v>
      </c>
    </row>
    <row r="43" spans="1:12">
      <c r="A43" s="611" t="s">
        <v>1473</v>
      </c>
      <c r="B43" s="616">
        <f>100*(B24-B13)/B13</f>
        <v>-9.2957746478873258</v>
      </c>
      <c r="C43" s="616">
        <f t="shared" ref="C43:L43" si="7">100*(C24-C13)/C13</f>
        <v>-35.341186930428989</v>
      </c>
      <c r="D43" s="616">
        <f t="shared" si="7"/>
        <v>-8.8353413654618649</v>
      </c>
      <c r="E43" s="616">
        <f t="shared" si="7"/>
        <v>-7.3492462311557896</v>
      </c>
      <c r="F43" s="616">
        <f t="shared" si="7"/>
        <v>-25.131469692776079</v>
      </c>
      <c r="G43" s="616">
        <f t="shared" si="7"/>
        <v>-11.779879621668091</v>
      </c>
      <c r="H43" s="616">
        <f t="shared" si="7"/>
        <v>1.2603528988116683</v>
      </c>
      <c r="I43" s="616">
        <f t="shared" si="7"/>
        <v>-1.2063492063491967</v>
      </c>
      <c r="J43" s="616">
        <f t="shared" si="7"/>
        <v>-6.0557768924302904</v>
      </c>
      <c r="K43" s="616">
        <f t="shared" si="7"/>
        <v>2.430093209054585</v>
      </c>
      <c r="L43" s="616">
        <f t="shared" si="7"/>
        <v>-26.416906820365039</v>
      </c>
    </row>
    <row r="44" spans="1:12">
      <c r="A44" s="611" t="s">
        <v>1474</v>
      </c>
      <c r="B44" s="616">
        <f>100*(B32-B24)/B24</f>
        <v>3.8647342995169041</v>
      </c>
      <c r="C44" s="616">
        <f t="shared" ref="C44:L44" si="8">100*(C32-C24)/C24</f>
        <v>-6.9439669989687163</v>
      </c>
      <c r="D44" s="616">
        <f t="shared" si="8"/>
        <v>5.8870644773728662</v>
      </c>
      <c r="E44" s="616">
        <f t="shared" si="8"/>
        <v>4.6440677966101855</v>
      </c>
      <c r="F44" s="616">
        <f t="shared" si="8"/>
        <v>6.4695009242144232</v>
      </c>
      <c r="G44" s="616">
        <f t="shared" si="8"/>
        <v>-6.3677712800519837</v>
      </c>
      <c r="H44" s="616">
        <f t="shared" si="8"/>
        <v>13.442389758179232</v>
      </c>
      <c r="I44" s="616">
        <f t="shared" si="8"/>
        <v>-29.659383033419026</v>
      </c>
      <c r="J44" s="616">
        <f t="shared" si="8"/>
        <v>-29.827537461125239</v>
      </c>
      <c r="K44" s="616">
        <f t="shared" si="8"/>
        <v>-9.8147546311342069</v>
      </c>
      <c r="L44" s="616">
        <f t="shared" si="8"/>
        <v>53.481288076588342</v>
      </c>
    </row>
    <row r="46" spans="1:12">
      <c r="A46" s="611" t="s">
        <v>1555</v>
      </c>
    </row>
  </sheetData>
  <pageMargins left="0.7" right="0.7" top="0.75" bottom="0.75" header="0.3" footer="0.3"/>
</worksheet>
</file>

<file path=xl/worksheets/sheet178.xml><?xml version="1.0" encoding="utf-8"?>
<worksheet xmlns="http://schemas.openxmlformats.org/spreadsheetml/2006/main" xmlns:r="http://schemas.openxmlformats.org/officeDocument/2006/relationships">
  <dimension ref="A1:L46"/>
  <sheetViews>
    <sheetView workbookViewId="0">
      <selection activeCell="E9" sqref="E9"/>
    </sheetView>
  </sheetViews>
  <sheetFormatPr defaultRowHeight="12.75"/>
  <cols>
    <col min="1" max="16384" width="9" style="618"/>
  </cols>
  <sheetData>
    <row r="1" spans="1:12">
      <c r="A1" s="611" t="s">
        <v>1528</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30">
        <f>'6'!F19</f>
        <v>0.3866167011910287</v>
      </c>
      <c r="C5" s="630">
        <f>'6'!K19</f>
        <v>0.6661133539652766</v>
      </c>
      <c r="D5" s="630">
        <f>'6'!P19</f>
        <v>0.66925104095244914</v>
      </c>
      <c r="E5" s="630">
        <f>'6'!U19</f>
        <v>0.43997415780549998</v>
      </c>
      <c r="F5" s="630">
        <f>'6'!Z19</f>
        <v>0.33356647929695593</v>
      </c>
      <c r="G5" s="630">
        <f>'6'!AE19</f>
        <v>0.17522081310748081</v>
      </c>
      <c r="H5" s="630">
        <f>'6'!AJ19</f>
        <v>0.56854976885069175</v>
      </c>
      <c r="I5" s="630">
        <f>'6'!AO19</f>
        <v>0.38227766481544306</v>
      </c>
      <c r="J5" s="630">
        <f>'6'!AT19</f>
        <v>0.5562326069727429</v>
      </c>
      <c r="K5" s="630">
        <f>'6'!AY19</f>
        <v>0.44969048949293716</v>
      </c>
      <c r="L5" s="630">
        <f>'6'!BD19</f>
        <v>0.28816888106361066</v>
      </c>
    </row>
    <row r="6" spans="1:12">
      <c r="A6" s="611">
        <f t="shared" ref="A6:A34" si="0">A5+1</f>
        <v>1982</v>
      </c>
      <c r="B6" s="630">
        <f>'6'!F20</f>
        <v>0.38024856582714878</v>
      </c>
      <c r="C6" s="630">
        <f>'6'!K20</f>
        <v>0.65228054138932479</v>
      </c>
      <c r="D6" s="630">
        <f>'6'!P20</f>
        <v>0.74968495040858407</v>
      </c>
      <c r="E6" s="630">
        <f>'6'!U20</f>
        <v>0.67516949514881197</v>
      </c>
      <c r="F6" s="630">
        <f>'6'!Z20</f>
        <v>0.29381856979246374</v>
      </c>
      <c r="G6" s="630">
        <f>'6'!AE20</f>
        <v>0.25744157542346319</v>
      </c>
      <c r="H6" s="630">
        <f>'6'!AJ20</f>
        <v>0.48966104349227002</v>
      </c>
      <c r="I6" s="630">
        <f>'6'!AO20</f>
        <v>0.4936167117187592</v>
      </c>
      <c r="J6" s="630">
        <f>'6'!AT20</f>
        <v>0.66029222446173841</v>
      </c>
      <c r="K6" s="630">
        <f>'6'!AY20</f>
        <v>0.3991786871451623</v>
      </c>
      <c r="L6" s="630">
        <f>'6'!BD20</f>
        <v>0.20986751624446559</v>
      </c>
    </row>
    <row r="7" spans="1:12">
      <c r="A7" s="611">
        <f t="shared" si="0"/>
        <v>1983</v>
      </c>
      <c r="B7" s="630">
        <f>'6'!F21</f>
        <v>0.37121354973489329</v>
      </c>
      <c r="C7" s="630">
        <f>'6'!K21</f>
        <v>0.48698275321869072</v>
      </c>
      <c r="D7" s="630">
        <f>'6'!P21</f>
        <v>0.72535691234804511</v>
      </c>
      <c r="E7" s="630">
        <f>'6'!U21</f>
        <v>0.69302716619586313</v>
      </c>
      <c r="F7" s="630">
        <f>'6'!Z21</f>
        <v>8.3333333333333287E-2</v>
      </c>
      <c r="G7" s="630">
        <f>'6'!AE21</f>
        <v>0.37772543029719324</v>
      </c>
      <c r="H7" s="630">
        <f>'6'!AJ21</f>
        <v>0.40207901188516898</v>
      </c>
      <c r="I7" s="630">
        <f>'6'!AO21</f>
        <v>8.4462822384675396E-2</v>
      </c>
      <c r="J7" s="630">
        <f>'6'!AT21</f>
        <v>0.82043098886562182</v>
      </c>
      <c r="K7" s="630">
        <f>'6'!AY21</f>
        <v>0.11070528387900651</v>
      </c>
      <c r="L7" s="630">
        <f>'6'!BD21</f>
        <v>0.50669045327935436</v>
      </c>
    </row>
    <row r="8" spans="1:12">
      <c r="A8" s="611">
        <f t="shared" si="0"/>
        <v>1984</v>
      </c>
      <c r="B8" s="630">
        <f>'6'!F22</f>
        <v>0.43923955577781998</v>
      </c>
      <c r="C8" s="630">
        <f>'6'!K22</f>
        <v>0.71825901324003716</v>
      </c>
      <c r="D8" s="630">
        <f>'6'!P22</f>
        <v>0.91666666666666674</v>
      </c>
      <c r="E8" s="630">
        <f>'6'!U22</f>
        <v>0.51922031732758911</v>
      </c>
      <c r="F8" s="630">
        <f>'6'!Z22</f>
        <v>0.35484968174988113</v>
      </c>
      <c r="G8" s="630">
        <f>'6'!AE22</f>
        <v>0.45991647210954112</v>
      </c>
      <c r="H8" s="630">
        <f>'6'!AJ22</f>
        <v>0.48465292915581398</v>
      </c>
      <c r="I8" s="630">
        <f>'6'!AO22</f>
        <v>0.55738061268036465</v>
      </c>
      <c r="J8" s="630">
        <f>'6'!AT22</f>
        <v>0.54762676386187015</v>
      </c>
      <c r="K8" s="630">
        <f>'6'!AY22</f>
        <v>0.24951224631353253</v>
      </c>
      <c r="L8" s="630">
        <f>'6'!BD22</f>
        <v>0.40543588037617589</v>
      </c>
    </row>
    <row r="9" spans="1:12">
      <c r="A9" s="611">
        <f t="shared" si="0"/>
        <v>1985</v>
      </c>
      <c r="B9" s="630">
        <f>'6'!F23</f>
        <v>0.44273144728958519</v>
      </c>
      <c r="C9" s="630">
        <f>'6'!K23</f>
        <v>0.69630149781999506</v>
      </c>
      <c r="D9" s="630">
        <f>'6'!P23</f>
        <v>0.78998499446379344</v>
      </c>
      <c r="E9" s="630">
        <f>'6'!U23</f>
        <v>0.52679953986287964</v>
      </c>
      <c r="F9" s="630">
        <f>'6'!Z23</f>
        <v>0.38463519286730513</v>
      </c>
      <c r="G9" s="630">
        <f>'6'!AE23</f>
        <v>0.40626681791763575</v>
      </c>
      <c r="H9" s="630">
        <f>'6'!AJ23</f>
        <v>0.54267430238724346</v>
      </c>
      <c r="I9" s="630">
        <f>'6'!AO23</f>
        <v>0.45923945416919543</v>
      </c>
      <c r="J9" s="630">
        <f>'6'!AT23</f>
        <v>0.59761093414463573</v>
      </c>
      <c r="K9" s="630">
        <f>'6'!AY23</f>
        <v>0.33733383678298001</v>
      </c>
      <c r="L9" s="630">
        <f>'6'!BD23</f>
        <v>0.33088882237516698</v>
      </c>
    </row>
    <row r="10" spans="1:12">
      <c r="A10" s="611">
        <f t="shared" si="0"/>
        <v>1986</v>
      </c>
      <c r="B10" s="630">
        <f>'6'!F24</f>
        <v>0.36873253108008652</v>
      </c>
      <c r="C10" s="630">
        <f>'6'!K24</f>
        <v>0.62957300357047952</v>
      </c>
      <c r="D10" s="630">
        <f>'6'!P24</f>
        <v>0.68956382312604025</v>
      </c>
      <c r="E10" s="630">
        <f>'6'!U24</f>
        <v>0.47867085905873336</v>
      </c>
      <c r="F10" s="630">
        <f>'6'!Z24</f>
        <v>0.33705897513960315</v>
      </c>
      <c r="G10" s="630">
        <f>'6'!AE24</f>
        <v>0.3415688647508861</v>
      </c>
      <c r="H10" s="630">
        <f>'6'!AJ24</f>
        <v>0.49733277310628676</v>
      </c>
      <c r="I10" s="630">
        <f>'6'!AO24</f>
        <v>0.24825792407827901</v>
      </c>
      <c r="J10" s="630">
        <f>'6'!AT24</f>
        <v>0.48337908102317811</v>
      </c>
      <c r="K10" s="630">
        <f>'6'!AY24</f>
        <v>0.36325505811245656</v>
      </c>
      <c r="L10" s="630">
        <f>'6'!BD24</f>
        <v>0.14673005482655871</v>
      </c>
    </row>
    <row r="11" spans="1:12">
      <c r="A11" s="611">
        <f t="shared" si="0"/>
        <v>1987</v>
      </c>
      <c r="B11" s="630">
        <f>'6'!F25</f>
        <v>0.25520326516343023</v>
      </c>
      <c r="C11" s="630">
        <f>'6'!K25</f>
        <v>0.3045074107877086</v>
      </c>
      <c r="D11" s="630">
        <f>'6'!P25</f>
        <v>0.49878651177744798</v>
      </c>
      <c r="E11" s="630">
        <f>'6'!U25</f>
        <v>0.51581525325464339</v>
      </c>
      <c r="F11" s="630">
        <f>'6'!Z25</f>
        <v>0.15057680775538151</v>
      </c>
      <c r="G11" s="630">
        <f>'6'!AE25</f>
        <v>0.23823525230239181</v>
      </c>
      <c r="H11" s="630">
        <f>'6'!AJ25</f>
        <v>0.42938928198618254</v>
      </c>
      <c r="I11" s="630">
        <f>'6'!AO25</f>
        <v>0.25046810727185204</v>
      </c>
      <c r="J11" s="630">
        <f>'6'!AT25</f>
        <v>0.28030142276022318</v>
      </c>
      <c r="K11" s="630">
        <f>'6'!AY25</f>
        <v>0.28250545462728094</v>
      </c>
      <c r="L11" s="630">
        <f>'6'!BD25</f>
        <v>0.11876444523593138</v>
      </c>
    </row>
    <row r="12" spans="1:12">
      <c r="A12" s="611">
        <f t="shared" si="0"/>
        <v>1988</v>
      </c>
      <c r="B12" s="630">
        <f>'6'!F26</f>
        <v>0.39807242227496781</v>
      </c>
      <c r="C12" s="630">
        <f>'6'!K26</f>
        <v>0.4659769254585614</v>
      </c>
      <c r="D12" s="630">
        <f>'6'!P26</f>
        <v>0.61235664532715917</v>
      </c>
      <c r="E12" s="630">
        <f>'6'!U26</f>
        <v>0.6988304900047464</v>
      </c>
      <c r="F12" s="630">
        <f>'6'!Z26</f>
        <v>0.31924817030566122</v>
      </c>
      <c r="G12" s="630">
        <f>'6'!AE26</f>
        <v>0.38745135288930216</v>
      </c>
      <c r="H12" s="630">
        <f>'6'!AJ26</f>
        <v>0.48949832101655422</v>
      </c>
      <c r="I12" s="630">
        <f>'6'!AO26</f>
        <v>0.35111815119337758</v>
      </c>
      <c r="J12" s="630">
        <f>'6'!AT26</f>
        <v>0.31816677015356531</v>
      </c>
      <c r="K12" s="630">
        <f>'6'!AY26</f>
        <v>0.35424647238742141</v>
      </c>
      <c r="L12" s="630">
        <f>'6'!BD26</f>
        <v>0.33264942287529953</v>
      </c>
    </row>
    <row r="13" spans="1:12">
      <c r="A13" s="611">
        <f t="shared" si="0"/>
        <v>1989</v>
      </c>
      <c r="B13" s="630">
        <f>'6'!F27</f>
        <v>0.4460406261668633</v>
      </c>
      <c r="C13" s="630">
        <f>'6'!K27</f>
        <v>0.42981947067885756</v>
      </c>
      <c r="D13" s="630">
        <f>'6'!P27</f>
        <v>0.61716132717547112</v>
      </c>
      <c r="E13" s="630">
        <f>'6'!U27</f>
        <v>0.63785723912562486</v>
      </c>
      <c r="F13" s="630">
        <f>'6'!Z27</f>
        <v>0.34833697291080812</v>
      </c>
      <c r="G13" s="630">
        <f>'6'!AE27</f>
        <v>0.39470748386934978</v>
      </c>
      <c r="H13" s="630">
        <f>'6'!AJ27</f>
        <v>0.61552642097940613</v>
      </c>
      <c r="I13" s="630">
        <f>'6'!AO27</f>
        <v>0.33911777181881997</v>
      </c>
      <c r="J13" s="630">
        <f>'6'!AT27</f>
        <v>0.28507867391180203</v>
      </c>
      <c r="K13" s="630">
        <f>'6'!AY27</f>
        <v>0.39405370514790689</v>
      </c>
      <c r="L13" s="630">
        <f>'6'!BD27</f>
        <v>0.3070976260128247</v>
      </c>
    </row>
    <row r="14" spans="1:12">
      <c r="A14" s="611">
        <f t="shared" si="0"/>
        <v>1990</v>
      </c>
      <c r="B14" s="630">
        <f>'6'!F28</f>
        <v>0.41694920085047193</v>
      </c>
      <c r="C14" s="630">
        <f>'6'!K28</f>
        <v>0.33368323515993104</v>
      </c>
      <c r="D14" s="630">
        <f>'6'!P28</f>
        <v>0.72010101482230304</v>
      </c>
      <c r="E14" s="630">
        <f>'6'!U28</f>
        <v>0.59179540153236865</v>
      </c>
      <c r="F14" s="630">
        <f>'6'!Z28</f>
        <v>0.37680607243491476</v>
      </c>
      <c r="G14" s="630">
        <f>'6'!AE28</f>
        <v>0.32889750917632082</v>
      </c>
      <c r="H14" s="630">
        <f>'6'!AJ28</f>
        <v>0.53191763420229499</v>
      </c>
      <c r="I14" s="630">
        <f>'6'!AO28</f>
        <v>0.27490563140129537</v>
      </c>
      <c r="J14" s="630">
        <f>'6'!AT28</f>
        <v>0.32605600544955926</v>
      </c>
      <c r="K14" s="630">
        <f>'6'!AY28</f>
        <v>0.36944332928894713</v>
      </c>
      <c r="L14" s="630">
        <f>'6'!BD28</f>
        <v>0.43780371395241563</v>
      </c>
    </row>
    <row r="15" spans="1:12">
      <c r="A15" s="611">
        <f t="shared" si="0"/>
        <v>1991</v>
      </c>
      <c r="B15" s="630">
        <f>'6'!F29</f>
        <v>0.46575767378402155</v>
      </c>
      <c r="C15" s="630">
        <f>'6'!K29</f>
        <v>0.41043741676565326</v>
      </c>
      <c r="D15" s="630">
        <f>'6'!P29</f>
        <v>0.63899520928003373</v>
      </c>
      <c r="E15" s="630">
        <f>'6'!U29</f>
        <v>0.64271020116549249</v>
      </c>
      <c r="F15" s="630">
        <f>'6'!Z29</f>
        <v>0.44469486128944513</v>
      </c>
      <c r="G15" s="630">
        <f>'6'!AE29</f>
        <v>0.46820233643917786</v>
      </c>
      <c r="H15" s="630">
        <f>'6'!AJ29</f>
        <v>0.52279427975342274</v>
      </c>
      <c r="I15" s="630">
        <f>'6'!AO29</f>
        <v>0.41965988671821169</v>
      </c>
      <c r="J15" s="630">
        <f>'6'!AT29</f>
        <v>0.27486947492045982</v>
      </c>
      <c r="K15" s="630">
        <f>'6'!AY29</f>
        <v>0.35033498419665698</v>
      </c>
      <c r="L15" s="630">
        <f>'6'!BD29</f>
        <v>0.52265955375990669</v>
      </c>
    </row>
    <row r="16" spans="1:12">
      <c r="A16" s="611">
        <f t="shared" si="0"/>
        <v>1992</v>
      </c>
      <c r="B16" s="630">
        <f>'6'!F30</f>
        <v>0.5247559229207982</v>
      </c>
      <c r="C16" s="630">
        <f>'6'!K30</f>
        <v>0.46686179586141596</v>
      </c>
      <c r="D16" s="630">
        <f>'6'!P30</f>
        <v>0.74555210116110027</v>
      </c>
      <c r="E16" s="630">
        <f>'6'!U30</f>
        <v>0.65233143733777899</v>
      </c>
      <c r="F16" s="630">
        <f>'6'!Z30</f>
        <v>0.27659932553871702</v>
      </c>
      <c r="G16" s="630">
        <f>'6'!AE30</f>
        <v>0.49183838342483532</v>
      </c>
      <c r="H16" s="630">
        <f>'6'!AJ30</f>
        <v>0.66337024768561159</v>
      </c>
      <c r="I16" s="630">
        <f>'6'!AO30</f>
        <v>0.35490450961713538</v>
      </c>
      <c r="J16" s="630">
        <f>'6'!AT30</f>
        <v>0.33657245782953282</v>
      </c>
      <c r="K16" s="630">
        <f>'6'!AY30</f>
        <v>0.41854503627489387</v>
      </c>
      <c r="L16" s="630">
        <f>'6'!BD30</f>
        <v>0.52415981678480561</v>
      </c>
    </row>
    <row r="17" spans="1:12">
      <c r="A17" s="611">
        <f t="shared" si="0"/>
        <v>1993</v>
      </c>
      <c r="B17" s="630">
        <f>'6'!F31</f>
        <v>0.57838413770010999</v>
      </c>
      <c r="C17" s="630">
        <f>'6'!K31</f>
        <v>0.5224813912537718</v>
      </c>
      <c r="D17" s="630">
        <f>'6'!P31</f>
        <v>0.80228665229137963</v>
      </c>
      <c r="E17" s="630">
        <f>'6'!U31</f>
        <v>0.56702010040108775</v>
      </c>
      <c r="F17" s="630">
        <f>'6'!Z31</f>
        <v>0.37605828347195885</v>
      </c>
      <c r="G17" s="630">
        <f>'6'!AE31</f>
        <v>0.4639298019219949</v>
      </c>
      <c r="H17" s="630">
        <f>'6'!AJ31</f>
        <v>0.71008555759777348</v>
      </c>
      <c r="I17" s="630">
        <f>'6'!AO31</f>
        <v>0.56920917050000808</v>
      </c>
      <c r="J17" s="630">
        <f>'6'!AT31</f>
        <v>0.4297340919293135</v>
      </c>
      <c r="K17" s="630">
        <f>'6'!AY31</f>
        <v>0.58217243946548736</v>
      </c>
      <c r="L17" s="630">
        <f>'6'!BD31</f>
        <v>0.57169475993309526</v>
      </c>
    </row>
    <row r="18" spans="1:12">
      <c r="A18" s="611">
        <f t="shared" si="0"/>
        <v>1994</v>
      </c>
      <c r="B18" s="630">
        <f>'6'!F32</f>
        <v>0.59397744716738288</v>
      </c>
      <c r="C18" s="630">
        <f>'6'!K32</f>
        <v>0.58440648135088458</v>
      </c>
      <c r="D18" s="630">
        <f>'6'!P32</f>
        <v>0.77331392177294866</v>
      </c>
      <c r="E18" s="630">
        <f>'6'!U32</f>
        <v>0.62169807258144361</v>
      </c>
      <c r="F18" s="630">
        <f>'6'!Z32</f>
        <v>0.39596918865764158</v>
      </c>
      <c r="G18" s="630">
        <f>'6'!AE32</f>
        <v>0.53344921249096744</v>
      </c>
      <c r="H18" s="630">
        <f>'6'!AJ32</f>
        <v>0.74938340000026205</v>
      </c>
      <c r="I18" s="630">
        <f>'6'!AO32</f>
        <v>0.41653672874259212</v>
      </c>
      <c r="J18" s="630">
        <f>'6'!AT32</f>
        <v>0.35694889072716557</v>
      </c>
      <c r="K18" s="630">
        <f>'6'!AY32</f>
        <v>0.49441790504887584</v>
      </c>
      <c r="L18" s="630">
        <f>'6'!BD32</f>
        <v>0.59174211105792274</v>
      </c>
    </row>
    <row r="19" spans="1:12">
      <c r="A19" s="611">
        <f t="shared" si="0"/>
        <v>1995</v>
      </c>
      <c r="B19" s="630">
        <f>'6'!F33</f>
        <v>0.57045806192969184</v>
      </c>
      <c r="C19" s="630">
        <f>'6'!K33</f>
        <v>0.45135704037315544</v>
      </c>
      <c r="D19" s="630">
        <f>'6'!P33</f>
        <v>0.7686251604601293</v>
      </c>
      <c r="E19" s="630">
        <f>'6'!U33</f>
        <v>0.63155737934023004</v>
      </c>
      <c r="F19" s="630">
        <f>'6'!Z33</f>
        <v>0.50414405179353727</v>
      </c>
      <c r="G19" s="630">
        <f>'6'!AE33</f>
        <v>0.47384755344070745</v>
      </c>
      <c r="H19" s="630">
        <f>'6'!AJ33</f>
        <v>0.67884846788261088</v>
      </c>
      <c r="I19" s="630">
        <f>'6'!AO33</f>
        <v>0.57609450666441731</v>
      </c>
      <c r="J19" s="630">
        <f>'6'!AT33</f>
        <v>0.32875155570729203</v>
      </c>
      <c r="K19" s="630">
        <f>'6'!AY33</f>
        <v>0.46226492820454962</v>
      </c>
      <c r="L19" s="630">
        <f>'6'!BD33</f>
        <v>0.6619102138258538</v>
      </c>
    </row>
    <row r="20" spans="1:12">
      <c r="A20" s="611">
        <f t="shared" si="0"/>
        <v>1996</v>
      </c>
      <c r="B20" s="630">
        <f>'6'!F34</f>
        <v>0.54792610032681566</v>
      </c>
      <c r="C20" s="630">
        <f>'6'!K34</f>
        <v>0.44259997085162767</v>
      </c>
      <c r="D20" s="630">
        <f>'6'!P34</f>
        <v>0.72495095703505363</v>
      </c>
      <c r="E20" s="630">
        <f>'6'!U34</f>
        <v>0.62335671432309459</v>
      </c>
      <c r="F20" s="630">
        <f>'6'!Z34</f>
        <v>0.5139069248933571</v>
      </c>
      <c r="G20" s="630">
        <f>'6'!AE34</f>
        <v>0.53998846644813248</v>
      </c>
      <c r="H20" s="630">
        <f>'6'!AJ34</f>
        <v>0.62100923037849465</v>
      </c>
      <c r="I20" s="630">
        <f>'6'!AO34</f>
        <v>0.45749575177181567</v>
      </c>
      <c r="J20" s="630">
        <f>'6'!AT34</f>
        <v>0.33483457561648322</v>
      </c>
      <c r="K20" s="630">
        <f>'6'!AY34</f>
        <v>0.46121900401065918</v>
      </c>
      <c r="L20" s="630">
        <f>'6'!BD34</f>
        <v>0.57964530222456467</v>
      </c>
    </row>
    <row r="21" spans="1:12">
      <c r="A21" s="611">
        <f t="shared" si="0"/>
        <v>1997</v>
      </c>
      <c r="B21" s="630">
        <f>'6'!F35</f>
        <v>0.59647285389049265</v>
      </c>
      <c r="C21" s="630">
        <f>'6'!K35</f>
        <v>0.59140407690216523</v>
      </c>
      <c r="D21" s="630">
        <f>'6'!P35</f>
        <v>0.6555678692879896</v>
      </c>
      <c r="E21" s="630">
        <f>'6'!U35</f>
        <v>0.55130597506726997</v>
      </c>
      <c r="F21" s="630">
        <f>'6'!Z35</f>
        <v>0.57740314825989858</v>
      </c>
      <c r="G21" s="630">
        <f>'6'!AE35</f>
        <v>0.51216708144329692</v>
      </c>
      <c r="H21" s="630">
        <f>'6'!AJ35</f>
        <v>0.67806804734167214</v>
      </c>
      <c r="I21" s="630">
        <f>'6'!AO35</f>
        <v>0.52545202810892444</v>
      </c>
      <c r="J21" s="630">
        <f>'6'!AT35</f>
        <v>0.52529113957991791</v>
      </c>
      <c r="K21" s="630">
        <f>'6'!AY35</f>
        <v>0.52646689303808714</v>
      </c>
      <c r="L21" s="630">
        <f>'6'!BD35</f>
        <v>0.68007060762635796</v>
      </c>
    </row>
    <row r="22" spans="1:12">
      <c r="A22" s="611">
        <f t="shared" si="0"/>
        <v>1998</v>
      </c>
      <c r="B22" s="630">
        <f>'6'!F36</f>
        <v>0.58690363779583599</v>
      </c>
      <c r="C22" s="630">
        <f>'6'!K36</f>
        <v>0.58553821375312365</v>
      </c>
      <c r="D22" s="630">
        <f>'6'!P36</f>
        <v>0.71755580914423767</v>
      </c>
      <c r="E22" s="630">
        <f>'6'!U36</f>
        <v>0.5616923358004986</v>
      </c>
      <c r="F22" s="630">
        <f>'6'!Z36</f>
        <v>0.56322130075042165</v>
      </c>
      <c r="G22" s="630">
        <f>'6'!AE36</f>
        <v>0.5999716375520332</v>
      </c>
      <c r="H22" s="630">
        <f>'6'!AJ36</f>
        <v>0.62948542392155948</v>
      </c>
      <c r="I22" s="630">
        <f>'6'!AO36</f>
        <v>0.608507575427506</v>
      </c>
      <c r="J22" s="630">
        <f>'6'!AT36</f>
        <v>0.70343857847287772</v>
      </c>
      <c r="K22" s="630">
        <f>'6'!AY36</f>
        <v>0.60377833411856641</v>
      </c>
      <c r="L22" s="630">
        <f>'6'!BD36</f>
        <v>0.47653389832297882</v>
      </c>
    </row>
    <row r="23" spans="1:12">
      <c r="A23" s="611">
        <f t="shared" si="0"/>
        <v>1999</v>
      </c>
      <c r="B23" s="630">
        <f>'6'!F37</f>
        <v>0.62933617317555668</v>
      </c>
      <c r="C23" s="630">
        <f>'6'!K37</f>
        <v>0.57788775447388896</v>
      </c>
      <c r="D23" s="630">
        <f>'6'!P37</f>
        <v>0.70564104974025244</v>
      </c>
      <c r="E23" s="630">
        <f>'6'!U37</f>
        <v>0.86836988242462376</v>
      </c>
      <c r="F23" s="630">
        <f>'6'!Z37</f>
        <v>0.47666180922354123</v>
      </c>
      <c r="G23" s="630">
        <f>'6'!AE37</f>
        <v>0.59915580313313233</v>
      </c>
      <c r="H23" s="630">
        <f>'6'!AJ37</f>
        <v>0.6893732143864757</v>
      </c>
      <c r="I23" s="630">
        <f>'6'!AO37</f>
        <v>0.46113813992401353</v>
      </c>
      <c r="J23" s="630">
        <f>'6'!AT37</f>
        <v>0.59717744757782654</v>
      </c>
      <c r="K23" s="630">
        <f>'6'!AY37</f>
        <v>0.68431770037006134</v>
      </c>
      <c r="L23" s="630">
        <f>'6'!BD37</f>
        <v>0.5680809121867515</v>
      </c>
    </row>
    <row r="24" spans="1:12">
      <c r="A24" s="611">
        <f t="shared" si="0"/>
        <v>2000</v>
      </c>
      <c r="B24" s="630">
        <f>'6'!F38</f>
        <v>0.66412368567442981</v>
      </c>
      <c r="C24" s="630">
        <f>'6'!K38</f>
        <v>0.60962113216605385</v>
      </c>
      <c r="D24" s="630">
        <f>'6'!P38</f>
        <v>0.73348561708335391</v>
      </c>
      <c r="E24" s="630">
        <f>'6'!U38</f>
        <v>0.86150473286535589</v>
      </c>
      <c r="F24" s="630">
        <f>'6'!Z38</f>
        <v>0.59497858056454644</v>
      </c>
      <c r="G24" s="630">
        <f>'6'!AE38</f>
        <v>0.59083531428999625</v>
      </c>
      <c r="H24" s="630">
        <f>'6'!AJ38</f>
        <v>0.7325552299525866</v>
      </c>
      <c r="I24" s="630">
        <f>'6'!AO38</f>
        <v>0.56040772236869441</v>
      </c>
      <c r="J24" s="630">
        <f>'6'!AT38</f>
        <v>0.48263593788960812</v>
      </c>
      <c r="K24" s="630">
        <f>'6'!AY38</f>
        <v>0.66442811777889932</v>
      </c>
      <c r="L24" s="630">
        <f>'6'!BD38</f>
        <v>0.74441617247284664</v>
      </c>
    </row>
    <row r="25" spans="1:12">
      <c r="A25" s="611">
        <f t="shared" si="0"/>
        <v>2001</v>
      </c>
      <c r="B25" s="630">
        <f>'6'!F39</f>
        <v>0.64174387589196169</v>
      </c>
      <c r="C25" s="630">
        <f>'6'!K39</f>
        <v>0.71163156914414594</v>
      </c>
      <c r="D25" s="630">
        <f>'6'!P39</f>
        <v>0.73293563629470582</v>
      </c>
      <c r="E25" s="630">
        <f>'6'!U39</f>
        <v>0.78076883555823451</v>
      </c>
      <c r="F25" s="630">
        <f>'6'!Z39</f>
        <v>0.54232534554961687</v>
      </c>
      <c r="G25" s="630">
        <f>'6'!AE39</f>
        <v>0.6586589958816933</v>
      </c>
      <c r="H25" s="630">
        <f>'6'!AJ39</f>
        <v>0.69167041386870876</v>
      </c>
      <c r="I25" s="630">
        <f>'6'!AO39</f>
        <v>0.52955879990357446</v>
      </c>
      <c r="J25" s="630">
        <f>'6'!AT39</f>
        <v>0.62961964053656838</v>
      </c>
      <c r="K25" s="630">
        <f>'6'!AY39</f>
        <v>0.64456345776874635</v>
      </c>
      <c r="L25" s="630">
        <f>'6'!BD39</f>
        <v>0.54588885224074535</v>
      </c>
    </row>
    <row r="26" spans="1:12">
      <c r="A26" s="611">
        <f t="shared" si="0"/>
        <v>2002</v>
      </c>
      <c r="B26" s="630">
        <f>'6'!F40</f>
        <v>0.57496757834861589</v>
      </c>
      <c r="C26" s="630">
        <f>'6'!K40</f>
        <v>0.64958990396796534</v>
      </c>
      <c r="D26" s="630">
        <f>'6'!P40</f>
        <v>0.80099856550141191</v>
      </c>
      <c r="E26" s="630">
        <f>'6'!U40</f>
        <v>0.70128222078451641</v>
      </c>
      <c r="F26" s="630">
        <f>'6'!Z40</f>
        <v>0.60826253949736286</v>
      </c>
      <c r="G26" s="630">
        <f>'6'!AE40</f>
        <v>0.62563433965600745</v>
      </c>
      <c r="H26" s="630">
        <f>'6'!AJ40</f>
        <v>0.62441576180410896</v>
      </c>
      <c r="I26" s="630">
        <f>'6'!AO40</f>
        <v>0.60093789539102849</v>
      </c>
      <c r="J26" s="630">
        <f>'6'!AT40</f>
        <v>0.47685031421545726</v>
      </c>
      <c r="K26" s="630">
        <f>'6'!AY40</f>
        <v>0.55493034835334998</v>
      </c>
      <c r="L26" s="630">
        <f>'6'!BD40</f>
        <v>0.40755295611811476</v>
      </c>
    </row>
    <row r="27" spans="1:12">
      <c r="A27" s="611">
        <f t="shared" si="0"/>
        <v>2003</v>
      </c>
      <c r="B27" s="630">
        <f>'6'!F41</f>
        <v>0.57959772939564902</v>
      </c>
      <c r="C27" s="630">
        <f>'6'!K41</f>
        <v>0.69346918961851511</v>
      </c>
      <c r="D27" s="630">
        <f>'6'!P41</f>
        <v>0.87832655850665575</v>
      </c>
      <c r="E27" s="630">
        <f>'6'!U41</f>
        <v>0.79714966563507095</v>
      </c>
      <c r="F27" s="630">
        <f>'6'!Z41</f>
        <v>0.55531687656438544</v>
      </c>
      <c r="G27" s="630">
        <f>'6'!AE41</f>
        <v>0.65701459393435335</v>
      </c>
      <c r="H27" s="630">
        <f>'6'!AJ41</f>
        <v>0.62203028708885344</v>
      </c>
      <c r="I27" s="630">
        <f>'6'!AO41</f>
        <v>0.65132352321093945</v>
      </c>
      <c r="J27" s="630">
        <f>'6'!AT41</f>
        <v>0.53745221578150781</v>
      </c>
      <c r="K27" s="630">
        <f>'6'!AY41</f>
        <v>0.46901775995909867</v>
      </c>
      <c r="L27" s="630">
        <f>'6'!BD41</f>
        <v>0.36088076030177935</v>
      </c>
    </row>
    <row r="28" spans="1:12">
      <c r="A28" s="611">
        <f t="shared" si="0"/>
        <v>2004</v>
      </c>
      <c r="B28" s="630">
        <f>'6'!F42</f>
        <v>0.61063909349335277</v>
      </c>
      <c r="C28" s="630">
        <f>'6'!K42</f>
        <v>0.64096435965116316</v>
      </c>
      <c r="D28" s="630">
        <f>'6'!P42</f>
        <v>0.77803109569698381</v>
      </c>
      <c r="E28" s="630">
        <f>'6'!U42</f>
        <v>0.85028887637293138</v>
      </c>
      <c r="F28" s="630">
        <f>'6'!Z42</f>
        <v>0.57555152467891313</v>
      </c>
      <c r="G28" s="630">
        <f>'6'!AE42</f>
        <v>0.73889407834440179</v>
      </c>
      <c r="H28" s="630">
        <f>'6'!AJ42</f>
        <v>0.61957522288844058</v>
      </c>
      <c r="I28" s="630">
        <f>'6'!AO42</f>
        <v>0.67048212410763719</v>
      </c>
      <c r="J28" s="630">
        <f>'6'!AT42</f>
        <v>0.5451750903732826</v>
      </c>
      <c r="K28" s="630">
        <f>'6'!AY42</f>
        <v>0.47946146827615277</v>
      </c>
      <c r="L28" s="630">
        <f>'6'!BD42</f>
        <v>0.43473807827921124</v>
      </c>
    </row>
    <row r="29" spans="1:12">
      <c r="A29" s="611">
        <f t="shared" si="0"/>
        <v>2005</v>
      </c>
      <c r="B29" s="630">
        <f>'6'!F43</f>
        <v>0.65114692796603557</v>
      </c>
      <c r="C29" s="630">
        <f>'6'!K43</f>
        <v>0.68048564413055734</v>
      </c>
      <c r="D29" s="630">
        <f>'6'!P43</f>
        <v>0.78901936645926019</v>
      </c>
      <c r="E29" s="630">
        <f>'6'!U43</f>
        <v>0.87330129630637332</v>
      </c>
      <c r="F29" s="630">
        <f>'6'!Z43</f>
        <v>0.58963469496489784</v>
      </c>
      <c r="G29" s="630">
        <f>'6'!AE43</f>
        <v>0.75093926884268936</v>
      </c>
      <c r="H29" s="630">
        <f>'6'!AJ43</f>
        <v>0.63313637487089347</v>
      </c>
      <c r="I29" s="630">
        <f>'6'!AO43</f>
        <v>0.64515590098846765</v>
      </c>
      <c r="J29" s="630">
        <f>'6'!AT43</f>
        <v>0.55360672051454907</v>
      </c>
      <c r="K29" s="630">
        <f>'6'!AY43</f>
        <v>0.60374212777109415</v>
      </c>
      <c r="L29" s="630">
        <f>'6'!BD43</f>
        <v>0.60843313016625178</v>
      </c>
    </row>
    <row r="30" spans="1:12">
      <c r="A30" s="611">
        <f t="shared" si="0"/>
        <v>2006</v>
      </c>
      <c r="B30" s="630">
        <f>'6'!F44</f>
        <v>0.66910219113369052</v>
      </c>
      <c r="C30" s="630">
        <f>'6'!K44</f>
        <v>0.7162135991005123</v>
      </c>
      <c r="D30" s="630">
        <f>'6'!P44</f>
        <v>0.76102188391324832</v>
      </c>
      <c r="E30" s="630">
        <f>'6'!U44</f>
        <v>0.86671365559704105</v>
      </c>
      <c r="F30" s="630">
        <f>'6'!Z44</f>
        <v>0.63757723259708221</v>
      </c>
      <c r="G30" s="630">
        <f>'6'!AE44</f>
        <v>0.77558327443046482</v>
      </c>
      <c r="H30" s="630">
        <f>'6'!AJ44</f>
        <v>0.64233719784778065</v>
      </c>
      <c r="I30" s="630">
        <f>'6'!AO44</f>
        <v>0.72737062128917618</v>
      </c>
      <c r="J30" s="630">
        <f>'6'!AT44</f>
        <v>0.57419388059491472</v>
      </c>
      <c r="K30" s="630">
        <f>'6'!AY44</f>
        <v>0.75937334582432803</v>
      </c>
      <c r="L30" s="630">
        <f>'6'!BD44</f>
        <v>0.52546082408397132</v>
      </c>
    </row>
    <row r="31" spans="1:12">
      <c r="A31" s="611">
        <f t="shared" si="0"/>
        <v>2007</v>
      </c>
      <c r="B31" s="630">
        <f>'6'!F45</f>
        <v>0.68042394723381838</v>
      </c>
      <c r="C31" s="630">
        <f>'6'!K45</f>
        <v>0.72747723182274793</v>
      </c>
      <c r="D31" s="630">
        <f>'6'!P45</f>
        <v>0.81599537849367709</v>
      </c>
      <c r="E31" s="630">
        <f>'6'!U45</f>
        <v>0.87921046596427943</v>
      </c>
      <c r="F31" s="630">
        <f>'6'!Z45</f>
        <v>0.66309495511230476</v>
      </c>
      <c r="G31" s="630">
        <f>'6'!AE45</f>
        <v>0.77012512354584095</v>
      </c>
      <c r="H31" s="630">
        <f>'6'!AJ45</f>
        <v>0.6706139007935944</v>
      </c>
      <c r="I31" s="630">
        <f>'6'!AO45</f>
        <v>0.68267065800243665</v>
      </c>
      <c r="J31" s="630">
        <f>'6'!AT45</f>
        <v>0.68306342644540208</v>
      </c>
      <c r="K31" s="630">
        <f>'6'!AY45</f>
        <v>0.67645227300280808</v>
      </c>
      <c r="L31" s="630">
        <f>'6'!BD45</f>
        <v>0.57560510511244067</v>
      </c>
    </row>
    <row r="32" spans="1:12">
      <c r="A32" s="611">
        <f t="shared" si="0"/>
        <v>2008</v>
      </c>
      <c r="B32" s="630">
        <f>'6'!F46</f>
        <v>0.70185464240763962</v>
      </c>
      <c r="C32" s="630">
        <f>'6'!K46</f>
        <v>0.75292371633565858</v>
      </c>
      <c r="D32" s="630">
        <f>'6'!P46</f>
        <v>0.67481299087329916</v>
      </c>
      <c r="E32" s="630">
        <f>'6'!U46</f>
        <v>0.78899253214076104</v>
      </c>
      <c r="F32" s="630">
        <f>'6'!Z46</f>
        <v>0.68962469912631497</v>
      </c>
      <c r="G32" s="630">
        <f>'6'!AE46</f>
        <v>0.81168307805749651</v>
      </c>
      <c r="H32" s="630">
        <f>'6'!AJ46</f>
        <v>0.63081933954397085</v>
      </c>
      <c r="I32" s="630">
        <f>'6'!AO46</f>
        <v>0.74921867936870157</v>
      </c>
      <c r="J32" s="630">
        <f>'6'!AT46</f>
        <v>0.75465999542197892</v>
      </c>
      <c r="K32" s="630">
        <f>'6'!AY46</f>
        <v>0.71407344994822386</v>
      </c>
      <c r="L32" s="630">
        <f>'6'!BD46</f>
        <v>0.69917745230007133</v>
      </c>
    </row>
    <row r="33" spans="1:12">
      <c r="A33" s="611">
        <f t="shared" si="0"/>
        <v>2009</v>
      </c>
      <c r="B33" s="630">
        <f>'6'!F47</f>
        <v>0.73694049951560725</v>
      </c>
      <c r="C33" s="630">
        <f>'6'!K47</f>
        <v>0.75966251726326073</v>
      </c>
      <c r="D33" s="630">
        <f>'6'!P47</f>
        <v>0.74081089046982163</v>
      </c>
      <c r="E33" s="630">
        <f>'6'!U47</f>
        <v>0.88186769063042791</v>
      </c>
      <c r="F33" s="630">
        <f>'6'!Z47</f>
        <v>0.69557294861285024</v>
      </c>
      <c r="G33" s="630">
        <f>'6'!AE47</f>
        <v>0.80129504206191948</v>
      </c>
      <c r="H33" s="630">
        <f>'6'!AJ47</f>
        <v>0.74430182068397621</v>
      </c>
      <c r="I33" s="630">
        <f>'6'!AO47</f>
        <v>0.68552593305051368</v>
      </c>
      <c r="J33" s="630">
        <f>'6'!AT47</f>
        <v>0.57554544892885773</v>
      </c>
      <c r="K33" s="630">
        <f>'6'!AY47</f>
        <v>0.69531301395652112</v>
      </c>
      <c r="L33" s="630">
        <f>'6'!BD47</f>
        <v>0.71928954886300456</v>
      </c>
    </row>
    <row r="34" spans="1:12">
      <c r="A34" s="611">
        <f t="shared" si="0"/>
        <v>2010</v>
      </c>
      <c r="B34" s="630">
        <f>'6'!F48</f>
        <v>0.73908159487334235</v>
      </c>
      <c r="C34" s="630">
        <f>'6'!K48</f>
        <v>0.7671414485017195</v>
      </c>
      <c r="D34" s="630">
        <f>'6'!P48</f>
        <v>0.74011957820157492</v>
      </c>
      <c r="E34" s="630">
        <f>'6'!U48</f>
        <v>0.88310535417324743</v>
      </c>
      <c r="F34" s="630">
        <f>'6'!Z48</f>
        <v>0.70678301645182051</v>
      </c>
      <c r="G34" s="630">
        <f>'6'!AE48</f>
        <v>0.80608779173206757</v>
      </c>
      <c r="H34" s="630">
        <f>'6'!AJ48</f>
        <v>0.74142988954084177</v>
      </c>
      <c r="I34" s="630">
        <f>'6'!AO48</f>
        <v>0.68577231575350761</v>
      </c>
      <c r="J34" s="630">
        <f>'6'!AT48</f>
        <v>0.58675091887562303</v>
      </c>
      <c r="K34" s="630">
        <f>'6'!AY48</f>
        <v>0.70325093498026869</v>
      </c>
      <c r="L34" s="630">
        <f>'6'!BD48</f>
        <v>0.72344888433748467</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2.2595446094747729</v>
      </c>
      <c r="C36" s="617">
        <f t="shared" si="1"/>
        <v>0.48812313083750336</v>
      </c>
      <c r="D36" s="617">
        <f t="shared" si="1"/>
        <v>0.34768069308082072</v>
      </c>
      <c r="E36" s="617">
        <f t="shared" si="1"/>
        <v>2.4316049603709589</v>
      </c>
      <c r="F36" s="617">
        <f t="shared" si="1"/>
        <v>2.6230588342984085</v>
      </c>
      <c r="G36" s="617">
        <f t="shared" si="1"/>
        <v>5.4035060190038786</v>
      </c>
      <c r="H36" s="617">
        <f t="shared" si="1"/>
        <v>0.91969221407659507</v>
      </c>
      <c r="I36" s="617">
        <f t="shared" si="1"/>
        <v>2.0356086599296219</v>
      </c>
      <c r="J36" s="617">
        <f t="shared" si="1"/>
        <v>0.18435536781942208</v>
      </c>
      <c r="K36" s="617">
        <f t="shared" si="1"/>
        <v>1.5538599285490173</v>
      </c>
      <c r="L36" s="617">
        <f t="shared" si="1"/>
        <v>3.2249911171163381</v>
      </c>
    </row>
    <row r="37" spans="1:12">
      <c r="A37" s="611" t="s">
        <v>1472</v>
      </c>
      <c r="B37" s="617">
        <f t="shared" ref="B37:L37" si="2">100*(POWER(B13/B5, 1/8)-1)</f>
        <v>1.8032694470526467</v>
      </c>
      <c r="C37" s="617">
        <f t="shared" si="2"/>
        <v>-5.3289392821147086</v>
      </c>
      <c r="D37" s="617">
        <f t="shared" si="2"/>
        <v>-1.0077475722620521</v>
      </c>
      <c r="E37" s="617">
        <f t="shared" si="2"/>
        <v>4.7519316043995286</v>
      </c>
      <c r="F37" s="617">
        <f t="shared" si="2"/>
        <v>0.54307107012190325</v>
      </c>
      <c r="G37" s="617">
        <f t="shared" si="2"/>
        <v>10.684347377560943</v>
      </c>
      <c r="H37" s="617">
        <f t="shared" si="2"/>
        <v>0.99730296242992456</v>
      </c>
      <c r="I37" s="617">
        <f t="shared" si="2"/>
        <v>-1.4863402646044577</v>
      </c>
      <c r="J37" s="617">
        <f t="shared" si="2"/>
        <v>-8.015736428475595</v>
      </c>
      <c r="K37" s="617">
        <f t="shared" si="2"/>
        <v>-1.637351478500948</v>
      </c>
      <c r="L37" s="617">
        <f t="shared" si="2"/>
        <v>0.79840786431775168</v>
      </c>
    </row>
    <row r="38" spans="1:12">
      <c r="A38" s="611" t="s">
        <v>1473</v>
      </c>
      <c r="B38" s="617">
        <f t="shared" ref="B38:L38" si="3">100*(POWER(B24/B13, 1/11)-1)</f>
        <v>3.684984818868009</v>
      </c>
      <c r="C38" s="617">
        <f t="shared" si="3"/>
        <v>3.2280277356791842</v>
      </c>
      <c r="D38" s="617">
        <f t="shared" si="3"/>
        <v>1.5821817357257517</v>
      </c>
      <c r="E38" s="617">
        <f t="shared" si="3"/>
        <v>2.7700915810475069</v>
      </c>
      <c r="F38" s="617">
        <f t="shared" si="3"/>
        <v>4.9872411347618995</v>
      </c>
      <c r="G38" s="617">
        <f t="shared" si="3"/>
        <v>3.7352749097048443</v>
      </c>
      <c r="H38" s="617">
        <f t="shared" si="3"/>
        <v>1.5949573092327363</v>
      </c>
      <c r="I38" s="617">
        <f t="shared" si="3"/>
        <v>4.6723903214699103</v>
      </c>
      <c r="J38" s="617">
        <f t="shared" si="3"/>
        <v>4.9027350944452985</v>
      </c>
      <c r="K38" s="617">
        <f t="shared" si="3"/>
        <v>4.8640432621244623</v>
      </c>
      <c r="L38" s="617">
        <f t="shared" si="3"/>
        <v>8.3822398172304968</v>
      </c>
    </row>
    <row r="39" spans="1:12">
      <c r="A39" s="611" t="s">
        <v>1474</v>
      </c>
      <c r="B39" s="617">
        <f t="shared" ref="B39:L39" si="4">100*(POWER(B32/B24, 1/8)-1)</f>
        <v>0.69311493407142599</v>
      </c>
      <c r="C39" s="617">
        <f t="shared" si="4"/>
        <v>2.6742101256280737</v>
      </c>
      <c r="D39" s="617">
        <f t="shared" si="4"/>
        <v>-1.0367432175827029</v>
      </c>
      <c r="E39" s="617">
        <f t="shared" si="4"/>
        <v>-1.0930287259221072</v>
      </c>
      <c r="F39" s="617">
        <f t="shared" si="4"/>
        <v>1.8624070529829506</v>
      </c>
      <c r="G39" s="617">
        <f t="shared" si="4"/>
        <v>4.049501974370906</v>
      </c>
      <c r="H39" s="617">
        <f t="shared" si="4"/>
        <v>-1.8516329791309127</v>
      </c>
      <c r="I39" s="617">
        <f t="shared" si="4"/>
        <v>3.6962522749352855</v>
      </c>
      <c r="J39" s="617">
        <f t="shared" si="4"/>
        <v>5.7466112620169429</v>
      </c>
      <c r="K39" s="617">
        <f t="shared" si="4"/>
        <v>0.9048079964088851</v>
      </c>
      <c r="L39" s="617">
        <f t="shared" si="4"/>
        <v>-0.78063303594428923</v>
      </c>
    </row>
    <row r="40" spans="1:12">
      <c r="A40" s="611" t="s">
        <v>1500</v>
      </c>
      <c r="B40" s="611"/>
      <c r="C40" s="611"/>
      <c r="D40" s="611"/>
      <c r="E40" s="611"/>
      <c r="F40" s="611"/>
      <c r="G40" s="611"/>
      <c r="H40" s="611"/>
      <c r="I40" s="611"/>
      <c r="J40" s="611"/>
      <c r="K40" s="611"/>
      <c r="L40" s="611"/>
    </row>
    <row r="41" spans="1:12">
      <c r="A41" s="611" t="s">
        <v>1498</v>
      </c>
      <c r="B41" s="616">
        <f>100*(B34-B5)/B5</f>
        <v>91.166494514203478</v>
      </c>
      <c r="C41" s="616">
        <f t="shared" ref="C41:L41" si="5">100*(C34-C5)/C5</f>
        <v>15.16680215687574</v>
      </c>
      <c r="D41" s="616">
        <f t="shared" si="5"/>
        <v>10.589230783753246</v>
      </c>
      <c r="E41" s="616">
        <f t="shared" si="5"/>
        <v>100.71755090753378</v>
      </c>
      <c r="F41" s="616">
        <f t="shared" si="5"/>
        <v>111.88670334665443</v>
      </c>
      <c r="G41" s="616">
        <f t="shared" si="5"/>
        <v>360.04112036485736</v>
      </c>
      <c r="H41" s="616">
        <f t="shared" si="5"/>
        <v>30.407209739900626</v>
      </c>
      <c r="I41" s="616">
        <f t="shared" si="5"/>
        <v>79.391154354933718</v>
      </c>
      <c r="J41" s="616">
        <f>100*(J34-J5)/J5</f>
        <v>5.4866096522053791</v>
      </c>
      <c r="K41" s="616">
        <f t="shared" si="5"/>
        <v>56.385547707099981</v>
      </c>
      <c r="L41" s="616">
        <f t="shared" si="5"/>
        <v>151.05031524128725</v>
      </c>
    </row>
    <row r="42" spans="1:12">
      <c r="A42" s="611" t="s">
        <v>1472</v>
      </c>
      <c r="B42" s="616">
        <f>100*(B13-B5)/B5</f>
        <v>15.370242618275567</v>
      </c>
      <c r="C42" s="616">
        <f t="shared" ref="C42:L42" si="6">100*(C13-C5)/C5</f>
        <v>-35.473524420400175</v>
      </c>
      <c r="D42" s="616">
        <f t="shared" si="6"/>
        <v>-7.7832846853470992</v>
      </c>
      <c r="E42" s="616">
        <f t="shared" si="6"/>
        <v>44.976069118951152</v>
      </c>
      <c r="F42" s="616">
        <f t="shared" si="6"/>
        <v>4.4280509375472432</v>
      </c>
      <c r="G42" s="616">
        <f t="shared" si="6"/>
        <v>125.26289934931154</v>
      </c>
      <c r="H42" s="616">
        <f t="shared" si="6"/>
        <v>8.2625400101166928</v>
      </c>
      <c r="I42" s="616">
        <f t="shared" si="6"/>
        <v>-11.290194790077503</v>
      </c>
      <c r="J42" s="616">
        <f t="shared" si="6"/>
        <v>-48.748298762396765</v>
      </c>
      <c r="K42" s="616">
        <f t="shared" si="6"/>
        <v>-12.372239494716757</v>
      </c>
      <c r="L42" s="616">
        <f t="shared" si="6"/>
        <v>6.5686290897717337</v>
      </c>
    </row>
    <row r="43" spans="1:12">
      <c r="A43" s="611" t="s">
        <v>1473</v>
      </c>
      <c r="B43" s="616">
        <f>100*(B24-B13)/B13</f>
        <v>48.893093299977096</v>
      </c>
      <c r="C43" s="616">
        <f t="shared" ref="C43:L43" si="7">100*(C24-C13)/C13</f>
        <v>41.831902403866735</v>
      </c>
      <c r="D43" s="616">
        <f t="shared" si="7"/>
        <v>18.84827917527786</v>
      </c>
      <c r="E43" s="616">
        <f t="shared" si="7"/>
        <v>35.0623117558887</v>
      </c>
      <c r="F43" s="616">
        <f t="shared" si="7"/>
        <v>70.805463339916855</v>
      </c>
      <c r="G43" s="616">
        <f t="shared" si="7"/>
        <v>49.689412650094511</v>
      </c>
      <c r="H43" s="616">
        <f t="shared" si="7"/>
        <v>19.012800260786197</v>
      </c>
      <c r="I43" s="616">
        <f t="shared" si="7"/>
        <v>65.254601480485874</v>
      </c>
      <c r="J43" s="616">
        <f t="shared" si="7"/>
        <v>69.299208273617339</v>
      </c>
      <c r="K43" s="616">
        <f t="shared" si="7"/>
        <v>68.613594821931244</v>
      </c>
      <c r="L43" s="616">
        <f t="shared" si="7"/>
        <v>142.40375353528754</v>
      </c>
    </row>
    <row r="44" spans="1:12">
      <c r="A44" s="611" t="s">
        <v>1474</v>
      </c>
      <c r="B44" s="616">
        <f>100*(B32-B24)/B24</f>
        <v>5.6813147230087617</v>
      </c>
      <c r="C44" s="616">
        <f t="shared" ref="C44:L44" si="8">100*(C32-C24)/C24</f>
        <v>23.506826881219521</v>
      </c>
      <c r="D44" s="616">
        <f t="shared" si="8"/>
        <v>-7.9991515639204618</v>
      </c>
      <c r="E44" s="616">
        <f t="shared" si="8"/>
        <v>-8.4169242440978849</v>
      </c>
      <c r="F44" s="616">
        <f t="shared" si="8"/>
        <v>15.907483336957002</v>
      </c>
      <c r="G44" s="616">
        <f t="shared" si="8"/>
        <v>37.378903803827612</v>
      </c>
      <c r="H44" s="616">
        <f t="shared" si="8"/>
        <v>-13.887811628237291</v>
      </c>
      <c r="I44" s="616">
        <f t="shared" si="8"/>
        <v>33.691712205883505</v>
      </c>
      <c r="J44" s="616">
        <f t="shared" si="8"/>
        <v>56.362163729836062</v>
      </c>
      <c r="K44" s="616">
        <f t="shared" si="8"/>
        <v>7.4718891089803234</v>
      </c>
      <c r="L44" s="616">
        <f t="shared" si="8"/>
        <v>-6.077073798987815</v>
      </c>
    </row>
    <row r="46" spans="1:12">
      <c r="A46" s="611" t="s">
        <v>1556</v>
      </c>
    </row>
  </sheetData>
  <pageMargins left="0.7" right="0.7" top="0.75" bottom="0.75" header="0.3" footer="0.3"/>
</worksheet>
</file>

<file path=xl/worksheets/sheet179.xml><?xml version="1.0" encoding="utf-8"?>
<worksheet xmlns="http://schemas.openxmlformats.org/spreadsheetml/2006/main" xmlns:r="http://schemas.openxmlformats.org/officeDocument/2006/relationships">
  <dimension ref="A1:M46"/>
  <sheetViews>
    <sheetView workbookViewId="0">
      <selection activeCell="E9" sqref="E9"/>
    </sheetView>
  </sheetViews>
  <sheetFormatPr defaultRowHeight="12.75"/>
  <cols>
    <col min="1" max="16384" width="9" style="618"/>
  </cols>
  <sheetData>
    <row r="1" spans="1:13">
      <c r="A1" s="611" t="s">
        <v>1529</v>
      </c>
    </row>
    <row r="3" spans="1:13">
      <c r="A3" s="611"/>
      <c r="B3" s="611"/>
      <c r="C3" s="611"/>
      <c r="D3" s="613" t="s">
        <v>1479</v>
      </c>
      <c r="E3" s="611"/>
      <c r="F3" s="611"/>
      <c r="G3" s="611"/>
      <c r="H3" s="611"/>
      <c r="I3" s="611"/>
      <c r="J3" s="611"/>
      <c r="K3" s="611"/>
      <c r="L3" s="611"/>
    </row>
    <row r="4" spans="1:13">
      <c r="A4" s="611"/>
      <c r="B4" s="611" t="s">
        <v>321</v>
      </c>
      <c r="C4" s="611" t="s">
        <v>370</v>
      </c>
      <c r="D4" s="613" t="s">
        <v>1480</v>
      </c>
      <c r="E4" s="611" t="s">
        <v>372</v>
      </c>
      <c r="F4" s="611" t="s">
        <v>373</v>
      </c>
      <c r="G4" s="611" t="s">
        <v>374</v>
      </c>
      <c r="H4" s="611" t="s">
        <v>375</v>
      </c>
      <c r="I4" s="611" t="s">
        <v>376</v>
      </c>
      <c r="J4" s="611" t="s">
        <v>377</v>
      </c>
      <c r="K4" s="611" t="s">
        <v>378</v>
      </c>
      <c r="L4" s="611" t="s">
        <v>379</v>
      </c>
    </row>
    <row r="5" spans="1:13">
      <c r="A5" s="611">
        <v>1981</v>
      </c>
      <c r="B5" s="627">
        <f>'7'!B18</f>
        <v>20.399999999999999</v>
      </c>
      <c r="C5" s="627">
        <f>'7'!F18</f>
        <v>28</v>
      </c>
      <c r="D5" s="627">
        <f>'7'!J18</f>
        <v>24.1</v>
      </c>
      <c r="E5" s="627">
        <f>'7'!N18</f>
        <v>22.8</v>
      </c>
      <c r="F5" s="627">
        <f>'7'!R18</f>
        <v>26.6</v>
      </c>
      <c r="G5" s="627">
        <f>'7'!V18</f>
        <v>23.3</v>
      </c>
      <c r="H5" s="627">
        <f>'7'!Z18</f>
        <v>17.5</v>
      </c>
      <c r="I5" s="627">
        <f>'7'!AD18</f>
        <v>21.8</v>
      </c>
      <c r="J5" s="627">
        <f>'7'!AH18</f>
        <v>27.2</v>
      </c>
      <c r="K5" s="627">
        <f>'7'!AL18</f>
        <v>19.3</v>
      </c>
      <c r="L5" s="627">
        <f>'7'!AP18</f>
        <v>17.5</v>
      </c>
      <c r="M5" s="623"/>
    </row>
    <row r="6" spans="1:13">
      <c r="A6" s="611">
        <f t="shared" ref="A6:A34" si="0">A5+1</f>
        <v>1982</v>
      </c>
      <c r="B6" s="627">
        <f>'7'!B19</f>
        <v>15.4</v>
      </c>
      <c r="C6" s="627">
        <f>'7'!F19</f>
        <v>19.7</v>
      </c>
      <c r="D6" s="627">
        <f>'7'!J19</f>
        <v>22</v>
      </c>
      <c r="E6" s="627">
        <f>'7'!N19</f>
        <v>18.8</v>
      </c>
      <c r="F6" s="627">
        <f>'7'!R19</f>
        <v>22.2</v>
      </c>
      <c r="G6" s="627">
        <f>'7'!V19</f>
        <v>15.5</v>
      </c>
      <c r="H6" s="627">
        <f>'7'!Z19</f>
        <v>12.9</v>
      </c>
      <c r="I6" s="627">
        <f>'7'!AD19</f>
        <v>17.8</v>
      </c>
      <c r="J6" s="627">
        <f>'7'!AH19</f>
        <v>17.5</v>
      </c>
      <c r="K6" s="627">
        <f>'7'!AL19</f>
        <v>15</v>
      </c>
      <c r="L6" s="627">
        <f>'7'!AP19</f>
        <v>16.899999999999999</v>
      </c>
      <c r="M6" s="623"/>
    </row>
    <row r="7" spans="1:13">
      <c r="A7" s="611">
        <f t="shared" si="0"/>
        <v>1983</v>
      </c>
      <c r="B7" s="627">
        <f>'7'!B20</f>
        <v>15.7</v>
      </c>
      <c r="C7" s="627">
        <f>'7'!F20</f>
        <v>25.1</v>
      </c>
      <c r="D7" s="627">
        <f>'7'!J20</f>
        <v>28.5</v>
      </c>
      <c r="E7" s="627">
        <f>'7'!N20</f>
        <v>17.8</v>
      </c>
      <c r="F7" s="627">
        <f>'7'!R20</f>
        <v>26.3</v>
      </c>
      <c r="G7" s="627">
        <f>'7'!V20</f>
        <v>16.7</v>
      </c>
      <c r="H7" s="627">
        <f>'7'!Z20</f>
        <v>12.8</v>
      </c>
      <c r="I7" s="627">
        <f>'7'!AD20</f>
        <v>14.9</v>
      </c>
      <c r="J7" s="627">
        <f>'7'!AH20</f>
        <v>21.6</v>
      </c>
      <c r="K7" s="627">
        <f>'7'!AL20</f>
        <v>13.8</v>
      </c>
      <c r="L7" s="627">
        <f>'7'!AP20</f>
        <v>15.8</v>
      </c>
      <c r="M7" s="623"/>
    </row>
    <row r="8" spans="1:13">
      <c r="A8" s="611">
        <f t="shared" si="0"/>
        <v>1984</v>
      </c>
      <c r="B8" s="627">
        <f>'7'!B21</f>
        <v>14.3</v>
      </c>
      <c r="C8" s="627">
        <f>'7'!F21</f>
        <v>18.5</v>
      </c>
      <c r="D8" s="627">
        <f>'7'!J21</f>
        <v>23.7</v>
      </c>
      <c r="E8" s="627">
        <f>'7'!N21</f>
        <v>16.7</v>
      </c>
      <c r="F8" s="627">
        <f>'7'!R21</f>
        <v>19</v>
      </c>
      <c r="G8" s="627">
        <f>'7'!V21</f>
        <v>15.9</v>
      </c>
      <c r="H8" s="627">
        <f>'7'!Z21</f>
        <v>11.7</v>
      </c>
      <c r="I8" s="627">
        <f>'7'!AD21</f>
        <v>13.6</v>
      </c>
      <c r="J8" s="627">
        <f>'7'!AH21</f>
        <v>16.8</v>
      </c>
      <c r="K8" s="627">
        <f>'7'!AL21</f>
        <v>12</v>
      </c>
      <c r="L8" s="627">
        <f>'7'!AP21</f>
        <v>16.100000000000001</v>
      </c>
      <c r="M8" s="623"/>
    </row>
    <row r="9" spans="1:13">
      <c r="A9" s="611">
        <f t="shared" si="0"/>
        <v>1985</v>
      </c>
      <c r="B9" s="627">
        <f>'7'!B22</f>
        <v>11.9</v>
      </c>
      <c r="C9" s="627">
        <f>'7'!F22</f>
        <v>24</v>
      </c>
      <c r="D9" s="627">
        <f>'7'!J22</f>
        <v>16.2</v>
      </c>
      <c r="E9" s="627">
        <f>'7'!N22</f>
        <v>17.100000000000001</v>
      </c>
      <c r="F9" s="627">
        <f>'7'!R22</f>
        <v>14.3</v>
      </c>
      <c r="G9" s="627">
        <f>'7'!V22</f>
        <v>15.5</v>
      </c>
      <c r="H9" s="627">
        <f>'7'!Z22</f>
        <v>7.5</v>
      </c>
      <c r="I9" s="627">
        <f>'7'!AD22</f>
        <v>14</v>
      </c>
      <c r="J9" s="627">
        <f>'7'!AH22</f>
        <v>15</v>
      </c>
      <c r="K9" s="627">
        <f>'7'!AL22</f>
        <v>6.1</v>
      </c>
      <c r="L9" s="627">
        <f>'7'!AP22</f>
        <v>15.3</v>
      </c>
      <c r="M9" s="623"/>
    </row>
    <row r="10" spans="1:13">
      <c r="A10" s="611">
        <f t="shared" si="0"/>
        <v>1986</v>
      </c>
      <c r="B10" s="627">
        <f>'7'!B23</f>
        <v>11.1</v>
      </c>
      <c r="C10" s="627">
        <f>'7'!F23</f>
        <v>22.1</v>
      </c>
      <c r="D10" s="627">
        <f>'7'!J23</f>
        <v>20.8</v>
      </c>
      <c r="E10" s="627">
        <f>'7'!N23</f>
        <v>17.399999999999999</v>
      </c>
      <c r="F10" s="627">
        <f>'7'!R23</f>
        <v>12.7</v>
      </c>
      <c r="G10" s="627">
        <f>'7'!V23</f>
        <v>15</v>
      </c>
      <c r="H10" s="627">
        <f>'7'!Z23</f>
        <v>6.8</v>
      </c>
      <c r="I10" s="627">
        <f>'7'!AD23</f>
        <v>12.3</v>
      </c>
      <c r="J10" s="627">
        <f>'7'!AH23</f>
        <v>17.5</v>
      </c>
      <c r="K10" s="627">
        <f>'7'!AL23</f>
        <v>7.9</v>
      </c>
      <c r="L10" s="627">
        <f>'7'!AP23</f>
        <v>10.8</v>
      </c>
      <c r="M10" s="623"/>
    </row>
    <row r="11" spans="1:13">
      <c r="A11" s="611">
        <f t="shared" si="0"/>
        <v>1987</v>
      </c>
      <c r="B11" s="627">
        <f>'7'!B24</f>
        <v>10.3</v>
      </c>
      <c r="C11" s="627">
        <f>'7'!F24</f>
        <v>19.399999999999999</v>
      </c>
      <c r="D11" s="627">
        <f>'7'!J24</f>
        <v>14.2</v>
      </c>
      <c r="E11" s="627">
        <f>'7'!N24</f>
        <v>12.6</v>
      </c>
      <c r="F11" s="627">
        <f>'7'!R24</f>
        <v>19.2</v>
      </c>
      <c r="G11" s="627">
        <f>'7'!V24</f>
        <v>14.7</v>
      </c>
      <c r="H11" s="627">
        <f>'7'!Z24</f>
        <v>5.6</v>
      </c>
      <c r="I11" s="627">
        <f>'7'!AD24</f>
        <v>12.4</v>
      </c>
      <c r="J11" s="627">
        <f>'7'!AH24</f>
        <v>12.7</v>
      </c>
      <c r="K11" s="627">
        <f>'7'!AL24</f>
        <v>6.9</v>
      </c>
      <c r="L11" s="627">
        <f>'7'!AP24</f>
        <v>11.5</v>
      </c>
      <c r="M11" s="623"/>
    </row>
    <row r="12" spans="1:13">
      <c r="A12" s="611">
        <f t="shared" si="0"/>
        <v>1988</v>
      </c>
      <c r="B12" s="627">
        <f>'7'!B25</f>
        <v>13.1</v>
      </c>
      <c r="C12" s="627">
        <f>'7'!F25</f>
        <v>21.6</v>
      </c>
      <c r="D12" s="627">
        <f>'7'!J25</f>
        <v>19.2</v>
      </c>
      <c r="E12" s="627">
        <f>'7'!N25</f>
        <v>19.100000000000001</v>
      </c>
      <c r="F12" s="627">
        <f>'7'!R25</f>
        <v>16.8</v>
      </c>
      <c r="G12" s="627">
        <f>'7'!V25</f>
        <v>18.3</v>
      </c>
      <c r="H12" s="627">
        <f>'7'!Z25</f>
        <v>9</v>
      </c>
      <c r="I12" s="627">
        <f>'7'!AD25</f>
        <v>9.1</v>
      </c>
      <c r="J12" s="627">
        <f>'7'!AH25</f>
        <v>16.3</v>
      </c>
      <c r="K12" s="627">
        <f>'7'!AL25</f>
        <v>13</v>
      </c>
      <c r="L12" s="627">
        <f>'7'!AP25</f>
        <v>11.5</v>
      </c>
      <c r="M12" s="623"/>
    </row>
    <row r="13" spans="1:13">
      <c r="A13" s="611">
        <f t="shared" si="0"/>
        <v>1989</v>
      </c>
      <c r="B13" s="627">
        <f>'7'!B26</f>
        <v>10.7</v>
      </c>
      <c r="C13" s="627">
        <f>'7'!F26</f>
        <v>21.9</v>
      </c>
      <c r="D13" s="627">
        <f>'7'!J26</f>
        <v>19.899999999999999</v>
      </c>
      <c r="E13" s="627">
        <f>'7'!N26</f>
        <v>17.899999999999999</v>
      </c>
      <c r="F13" s="627">
        <f>'7'!R26</f>
        <v>14.5</v>
      </c>
      <c r="G13" s="627">
        <f>'7'!V26</f>
        <v>17.100000000000001</v>
      </c>
      <c r="H13" s="627">
        <f>'7'!Z26</f>
        <v>5.0999999999999996</v>
      </c>
      <c r="I13" s="627">
        <f>'7'!AD26</f>
        <v>10.4</v>
      </c>
      <c r="J13" s="627">
        <f>'7'!AH26</f>
        <v>12.4</v>
      </c>
      <c r="K13" s="627">
        <f>'7'!AL26</f>
        <v>11</v>
      </c>
      <c r="L13" s="627">
        <f>'7'!AP26</f>
        <v>9.6999999999999993</v>
      </c>
      <c r="M13" s="623"/>
    </row>
    <row r="14" spans="1:13">
      <c r="A14" s="611">
        <f t="shared" si="0"/>
        <v>1990</v>
      </c>
      <c r="B14" s="627">
        <f>'7'!B27</f>
        <v>7.5</v>
      </c>
      <c r="C14" s="627">
        <f>'7'!F27</f>
        <v>13.8</v>
      </c>
      <c r="D14" s="627">
        <f>'7'!J27</f>
        <v>16.5</v>
      </c>
      <c r="E14" s="627">
        <f>'7'!N27</f>
        <v>11.4</v>
      </c>
      <c r="F14" s="627">
        <f>'7'!R27</f>
        <v>11.7</v>
      </c>
      <c r="G14" s="627">
        <f>'7'!V27</f>
        <v>11.5</v>
      </c>
      <c r="H14" s="627">
        <f>'7'!Z27</f>
        <v>3.9</v>
      </c>
      <c r="I14" s="627">
        <f>'7'!AD27</f>
        <v>8</v>
      </c>
      <c r="J14" s="627">
        <f>'7'!AH27</f>
        <v>5.9</v>
      </c>
      <c r="K14" s="627">
        <f>'7'!AL27</f>
        <v>7.3</v>
      </c>
      <c r="L14" s="627">
        <f>'7'!AP27</f>
        <v>8</v>
      </c>
      <c r="M14" s="623"/>
    </row>
    <row r="15" spans="1:13">
      <c r="A15" s="611">
        <f t="shared" si="0"/>
        <v>1991</v>
      </c>
      <c r="B15" s="627">
        <f>'7'!B28</f>
        <v>5.4</v>
      </c>
      <c r="C15" s="627">
        <f>'7'!F28</f>
        <v>11.1</v>
      </c>
      <c r="D15" s="627">
        <f>'7'!J28</f>
        <v>13.4</v>
      </c>
      <c r="E15" s="627">
        <f>'7'!N28</f>
        <v>9.1999999999999993</v>
      </c>
      <c r="F15" s="627">
        <f>'7'!R28</f>
        <v>8.1</v>
      </c>
      <c r="G15" s="627">
        <f>'7'!V28</f>
        <v>7.5</v>
      </c>
      <c r="H15" s="627">
        <f>'7'!Z28</f>
        <v>3.5</v>
      </c>
      <c r="I15" s="627">
        <f>'7'!AD28</f>
        <v>5.3</v>
      </c>
      <c r="J15" s="627">
        <f>'7'!AH28</f>
        <v>3.3</v>
      </c>
      <c r="K15" s="627">
        <f>'7'!AL28</f>
        <v>4.5999999999999996</v>
      </c>
      <c r="L15" s="627">
        <f>'7'!AP28</f>
        <v>5.6</v>
      </c>
      <c r="M15" s="623"/>
    </row>
    <row r="16" spans="1:13">
      <c r="A16" s="611">
        <f t="shared" si="0"/>
        <v>1992</v>
      </c>
      <c r="B16" s="627">
        <f>'7'!B29</f>
        <v>5.2</v>
      </c>
      <c r="C16" s="627">
        <f>'7'!F29</f>
        <v>15.4</v>
      </c>
      <c r="D16" s="627">
        <f>'7'!J29</f>
        <v>9.5</v>
      </c>
      <c r="E16" s="627">
        <f>'7'!N29</f>
        <v>9.6</v>
      </c>
      <c r="F16" s="627">
        <f>'7'!R29</f>
        <v>8.6999999999999993</v>
      </c>
      <c r="G16" s="627">
        <f>'7'!V29</f>
        <v>7.5</v>
      </c>
      <c r="H16" s="627">
        <f>'7'!Z29</f>
        <v>2.2000000000000002</v>
      </c>
      <c r="I16" s="627">
        <f>'7'!AD29</f>
        <v>6.3</v>
      </c>
      <c r="J16" s="627">
        <f>'7'!AH29</f>
        <v>4.0999999999999996</v>
      </c>
      <c r="K16" s="627">
        <f>'7'!AL29</f>
        <v>4.3</v>
      </c>
      <c r="L16" s="627">
        <f>'7'!AP29</f>
        <v>6.6</v>
      </c>
      <c r="M16" s="623"/>
    </row>
    <row r="17" spans="1:13">
      <c r="A17" s="611">
        <f t="shared" si="0"/>
        <v>1993</v>
      </c>
      <c r="B17" s="627">
        <f>'7'!B30</f>
        <v>5.5</v>
      </c>
      <c r="C17" s="627">
        <f>'7'!F30</f>
        <v>8.5</v>
      </c>
      <c r="D17" s="627">
        <f>'7'!J30</f>
        <v>6.7</v>
      </c>
      <c r="E17" s="627">
        <f>'7'!N30</f>
        <v>8.1</v>
      </c>
      <c r="F17" s="627">
        <f>'7'!R30</f>
        <v>8.6</v>
      </c>
      <c r="G17" s="627">
        <f>'7'!V30</f>
        <v>8.1</v>
      </c>
      <c r="H17" s="627">
        <f>'7'!Z30</f>
        <v>4</v>
      </c>
      <c r="I17" s="627">
        <f>'7'!AD30</f>
        <v>6</v>
      </c>
      <c r="J17" s="627">
        <f>'7'!AH30</f>
        <v>4.5</v>
      </c>
      <c r="K17" s="627">
        <f>'7'!AL30</f>
        <v>3.9</v>
      </c>
      <c r="L17" s="627">
        <f>'7'!AP30</f>
        <v>4.3</v>
      </c>
      <c r="M17" s="623"/>
    </row>
    <row r="18" spans="1:13">
      <c r="A18" s="611">
        <f t="shared" si="0"/>
        <v>1994</v>
      </c>
      <c r="B18" s="627">
        <f>'7'!B31</f>
        <v>4.0999999999999996</v>
      </c>
      <c r="C18" s="627">
        <f>'7'!F31</f>
        <v>9.1</v>
      </c>
      <c r="D18" s="627">
        <f>'7'!J31</f>
        <v>4.8</v>
      </c>
      <c r="E18" s="627">
        <f>'7'!N31</f>
        <v>6</v>
      </c>
      <c r="F18" s="627">
        <f>'7'!R31</f>
        <v>6</v>
      </c>
      <c r="G18" s="627">
        <f>'7'!V31</f>
        <v>6.8</v>
      </c>
      <c r="H18" s="627">
        <f>'7'!Z31</f>
        <v>2.4</v>
      </c>
      <c r="I18" s="627">
        <f>'7'!AD31</f>
        <v>4.7</v>
      </c>
      <c r="J18" s="627">
        <f>'7'!AH31</f>
        <v>3.9</v>
      </c>
      <c r="K18" s="627">
        <f>'7'!AL31</f>
        <v>3.6</v>
      </c>
      <c r="L18" s="627">
        <f>'7'!AP31</f>
        <v>3.1</v>
      </c>
      <c r="M18" s="623"/>
    </row>
    <row r="19" spans="1:13">
      <c r="A19" s="611">
        <f t="shared" si="0"/>
        <v>1995</v>
      </c>
      <c r="B19" s="627">
        <f>'7'!B32</f>
        <v>3.9</v>
      </c>
      <c r="C19" s="627">
        <f>'7'!F32</f>
        <v>3.7</v>
      </c>
      <c r="D19" s="627">
        <f>'7'!J32</f>
        <v>7.7</v>
      </c>
      <c r="E19" s="627">
        <f>'7'!N32</f>
        <v>6.6</v>
      </c>
      <c r="F19" s="627">
        <f>'7'!R32</f>
        <v>6.4</v>
      </c>
      <c r="G19" s="627">
        <f>'7'!V32</f>
        <v>6.5</v>
      </c>
      <c r="H19" s="627">
        <f>'7'!Z32</f>
        <v>1.9</v>
      </c>
      <c r="I19" s="627">
        <f>'7'!AD32</f>
        <v>4.3</v>
      </c>
      <c r="J19" s="627">
        <f>'7'!AH32</f>
        <v>3.7</v>
      </c>
      <c r="K19" s="627">
        <f>'7'!AL32</f>
        <v>4.4000000000000004</v>
      </c>
      <c r="L19" s="627">
        <f>'7'!AP32</f>
        <v>2.9</v>
      </c>
      <c r="M19" s="623"/>
    </row>
    <row r="20" spans="1:13">
      <c r="A20" s="611">
        <f t="shared" si="0"/>
        <v>1996</v>
      </c>
      <c r="B20" s="627">
        <f>'7'!B33</f>
        <v>4.5999999999999996</v>
      </c>
      <c r="C20" s="627">
        <f>'7'!F33</f>
        <v>4.8</v>
      </c>
      <c r="D20" s="627">
        <f>'7'!J33</f>
        <v>6.8</v>
      </c>
      <c r="E20" s="627">
        <f>'7'!N33</f>
        <v>7.4</v>
      </c>
      <c r="F20" s="627">
        <f>'7'!R33</f>
        <v>8.1</v>
      </c>
      <c r="G20" s="627">
        <f>'7'!V33</f>
        <v>9.1999999999999993</v>
      </c>
      <c r="H20" s="627">
        <f>'7'!Z33</f>
        <v>2.4</v>
      </c>
      <c r="I20" s="627">
        <f>'7'!AD33</f>
        <v>4.5999999999999996</v>
      </c>
      <c r="J20" s="627">
        <f>'7'!AH33</f>
        <v>3.5</v>
      </c>
      <c r="K20" s="627">
        <f>'7'!AL33</f>
        <v>2.9</v>
      </c>
      <c r="L20" s="627">
        <f>'7'!AP33</f>
        <v>2.2000000000000002</v>
      </c>
      <c r="M20" s="623"/>
    </row>
    <row r="21" spans="1:13">
      <c r="A21" s="611">
        <f t="shared" si="0"/>
        <v>1997</v>
      </c>
      <c r="B21" s="627">
        <f>'7'!B34</f>
        <v>4.9000000000000004</v>
      </c>
      <c r="C21" s="627">
        <f>'7'!F34</f>
        <v>6.6</v>
      </c>
      <c r="D21" s="627">
        <f>'7'!J34</f>
        <v>8.4</v>
      </c>
      <c r="E21" s="627">
        <f>'7'!N34</f>
        <v>7.1</v>
      </c>
      <c r="F21" s="627">
        <f>'7'!R34</f>
        <v>7.1</v>
      </c>
      <c r="G21" s="627">
        <f>'7'!V34</f>
        <v>8.1</v>
      </c>
      <c r="H21" s="627">
        <f>'7'!Z34</f>
        <v>2.6</v>
      </c>
      <c r="I21" s="627">
        <f>'7'!AD34</f>
        <v>6.5</v>
      </c>
      <c r="J21" s="627">
        <f>'7'!AH34</f>
        <v>4.5</v>
      </c>
      <c r="K21" s="627">
        <f>'7'!AL34</f>
        <v>2.9</v>
      </c>
      <c r="L21" s="627">
        <f>'7'!AP34</f>
        <v>5</v>
      </c>
      <c r="M21" s="623"/>
    </row>
    <row r="22" spans="1:13">
      <c r="A22" s="611">
        <f t="shared" si="0"/>
        <v>1998</v>
      </c>
      <c r="B22" s="627">
        <f>'7'!B35</f>
        <v>5.9</v>
      </c>
      <c r="C22" s="627">
        <f>'7'!F35</f>
        <v>10.6</v>
      </c>
      <c r="D22" s="627">
        <f>'7'!J35</f>
        <v>12.1</v>
      </c>
      <c r="E22" s="627">
        <f>'7'!N35</f>
        <v>10</v>
      </c>
      <c r="F22" s="627">
        <f>'7'!R35</f>
        <v>7.9</v>
      </c>
      <c r="G22" s="627">
        <f>'7'!V35</f>
        <v>10.1</v>
      </c>
      <c r="H22" s="627">
        <f>'7'!Z35</f>
        <v>2.8</v>
      </c>
      <c r="I22" s="627">
        <f>'7'!AD35</f>
        <v>6.4</v>
      </c>
      <c r="J22" s="627">
        <f>'7'!AH35</f>
        <v>6</v>
      </c>
      <c r="K22" s="627">
        <f>'7'!AL35</f>
        <v>3.5</v>
      </c>
      <c r="L22" s="627">
        <f>'7'!AP35</f>
        <v>6.5</v>
      </c>
      <c r="M22" s="623"/>
    </row>
    <row r="23" spans="1:13">
      <c r="A23" s="611">
        <f t="shared" si="0"/>
        <v>1999</v>
      </c>
      <c r="B23" s="627">
        <f>'7'!B36</f>
        <v>6.3</v>
      </c>
      <c r="C23" s="627">
        <f>'7'!F36</f>
        <v>13.8</v>
      </c>
      <c r="D23" s="627">
        <f>'7'!J36</f>
        <v>12.7</v>
      </c>
      <c r="E23" s="627">
        <f>'7'!N36</f>
        <v>14.9</v>
      </c>
      <c r="F23" s="627">
        <f>'7'!R36</f>
        <v>10.7</v>
      </c>
      <c r="G23" s="627">
        <f>'7'!V36</f>
        <v>9.5</v>
      </c>
      <c r="H23" s="627">
        <f>'7'!Z36</f>
        <v>3</v>
      </c>
      <c r="I23" s="627">
        <f>'7'!AD36</f>
        <v>8</v>
      </c>
      <c r="J23" s="627">
        <f>'7'!AH36</f>
        <v>8.1</v>
      </c>
      <c r="K23" s="627">
        <f>'7'!AL36</f>
        <v>1.4</v>
      </c>
      <c r="L23" s="627">
        <f>'7'!AP36</f>
        <v>7.7</v>
      </c>
      <c r="M23" s="623"/>
    </row>
    <row r="24" spans="1:13">
      <c r="A24" s="611">
        <f t="shared" si="0"/>
        <v>2000</v>
      </c>
      <c r="B24" s="627">
        <f>'7'!B37</f>
        <v>7.6</v>
      </c>
      <c r="C24" s="627">
        <f>'7'!F37</f>
        <v>17.100000000000001</v>
      </c>
      <c r="D24" s="627">
        <f>'7'!J37</f>
        <v>13.4</v>
      </c>
      <c r="E24" s="627">
        <f>'7'!N37</f>
        <v>17</v>
      </c>
      <c r="F24" s="627">
        <f>'7'!R37</f>
        <v>12.3</v>
      </c>
      <c r="G24" s="627">
        <f>'7'!V37</f>
        <v>11.1</v>
      </c>
      <c r="H24" s="627">
        <f>'7'!Z37</f>
        <v>4.7</v>
      </c>
      <c r="I24" s="627">
        <f>'7'!AD37</f>
        <v>8.5</v>
      </c>
      <c r="J24" s="627">
        <f>'7'!AH37</f>
        <v>10.5</v>
      </c>
      <c r="K24" s="627">
        <f>'7'!AL37</f>
        <v>2.2000000000000002</v>
      </c>
      <c r="L24" s="627">
        <f>'7'!AP37</f>
        <v>7.3</v>
      </c>
      <c r="M24" s="623"/>
    </row>
    <row r="25" spans="1:13">
      <c r="A25" s="611">
        <f t="shared" si="0"/>
        <v>2001</v>
      </c>
      <c r="B25" s="627">
        <f>'7'!B38</f>
        <v>8</v>
      </c>
      <c r="C25" s="627">
        <f>'7'!F38</f>
        <v>18.2</v>
      </c>
      <c r="D25" s="627">
        <f>'7'!J38</f>
        <v>12.2</v>
      </c>
      <c r="E25" s="627">
        <f>'7'!N38</f>
        <v>13.7</v>
      </c>
      <c r="F25" s="627">
        <f>'7'!R38</f>
        <v>12.3</v>
      </c>
      <c r="G25" s="627">
        <f>'7'!V38</f>
        <v>10.8</v>
      </c>
      <c r="H25" s="627">
        <f>'7'!Z38</f>
        <v>5.4</v>
      </c>
      <c r="I25" s="627">
        <f>'7'!AD38</f>
        <v>9.5</v>
      </c>
      <c r="J25" s="627">
        <f>'7'!AH38</f>
        <v>11.5</v>
      </c>
      <c r="K25" s="627">
        <f>'7'!AL38</f>
        <v>2.1</v>
      </c>
      <c r="L25" s="627">
        <f>'7'!AP38</f>
        <v>8.6</v>
      </c>
      <c r="M25" s="623"/>
    </row>
    <row r="26" spans="1:13">
      <c r="A26" s="611">
        <f t="shared" si="0"/>
        <v>2002</v>
      </c>
      <c r="B26" s="627">
        <f>'7'!B39</f>
        <v>9.6999999999999993</v>
      </c>
      <c r="C26" s="627">
        <f>'7'!F39</f>
        <v>14.9</v>
      </c>
      <c r="D26" s="627">
        <f>'7'!J39</f>
        <v>17.100000000000001</v>
      </c>
      <c r="E26" s="627">
        <f>'7'!N39</f>
        <v>14.3</v>
      </c>
      <c r="F26" s="627">
        <f>'7'!R39</f>
        <v>15</v>
      </c>
      <c r="G26" s="627">
        <f>'7'!V39</f>
        <v>13.3</v>
      </c>
      <c r="H26" s="627">
        <f>'7'!Z39</f>
        <v>6.5</v>
      </c>
      <c r="I26" s="627">
        <f>'7'!AD39</f>
        <v>9.6</v>
      </c>
      <c r="J26" s="627">
        <f>'7'!AH39</f>
        <v>14</v>
      </c>
      <c r="K26" s="627">
        <f>'7'!AL39</f>
        <v>3</v>
      </c>
      <c r="L26" s="627">
        <f>'7'!AP39</f>
        <v>12.4</v>
      </c>
      <c r="M26" s="623"/>
    </row>
    <row r="27" spans="1:13">
      <c r="A27" s="611">
        <f t="shared" si="0"/>
        <v>2003</v>
      </c>
      <c r="B27" s="627">
        <f>'7'!B40</f>
        <v>9.1</v>
      </c>
      <c r="C27" s="627">
        <f>'7'!F40</f>
        <v>19.2</v>
      </c>
      <c r="D27" s="627">
        <f>'7'!J40</f>
        <v>19.7</v>
      </c>
      <c r="E27" s="627">
        <f>'7'!N40</f>
        <v>14.8</v>
      </c>
      <c r="F27" s="627">
        <f>'7'!R40</f>
        <v>15.5</v>
      </c>
      <c r="G27" s="627">
        <f>'7'!V40</f>
        <v>13</v>
      </c>
      <c r="H27" s="627">
        <f>'7'!Z40</f>
        <v>5.6</v>
      </c>
      <c r="I27" s="627">
        <f>'7'!AD40</f>
        <v>7.5</v>
      </c>
      <c r="J27" s="627">
        <f>'7'!AH40</f>
        <v>12.2</v>
      </c>
      <c r="K27" s="627">
        <f>'7'!AL40</f>
        <v>4.0999999999999996</v>
      </c>
      <c r="L27" s="627">
        <f>'7'!AP40</f>
        <v>10.6</v>
      </c>
      <c r="M27" s="623"/>
    </row>
    <row r="28" spans="1:13">
      <c r="A28" s="611">
        <f t="shared" si="0"/>
        <v>2004</v>
      </c>
      <c r="B28" s="627">
        <f>'7'!B41</f>
        <v>8.6999999999999993</v>
      </c>
      <c r="C28" s="627">
        <f>'7'!F41</f>
        <v>19.600000000000001</v>
      </c>
      <c r="D28" s="627">
        <f>'7'!J41</f>
        <v>19.7</v>
      </c>
      <c r="E28" s="627">
        <f>'7'!N41</f>
        <v>13</v>
      </c>
      <c r="F28" s="627">
        <f>'7'!R41</f>
        <v>16.2</v>
      </c>
      <c r="G28" s="627">
        <f>'7'!V41</f>
        <v>12.6</v>
      </c>
      <c r="H28" s="627">
        <f>'7'!Z41</f>
        <v>5.0999999999999996</v>
      </c>
      <c r="I28" s="627">
        <f>'7'!AD41</f>
        <v>9</v>
      </c>
      <c r="J28" s="627">
        <f>'7'!AH41</f>
        <v>12.7</v>
      </c>
      <c r="K28" s="627">
        <f>'7'!AL41</f>
        <v>2.9</v>
      </c>
      <c r="L28" s="627">
        <f>'7'!AP41</f>
        <v>10</v>
      </c>
      <c r="M28" s="623"/>
    </row>
    <row r="29" spans="1:13">
      <c r="A29" s="611">
        <f t="shared" si="0"/>
        <v>2005</v>
      </c>
      <c r="B29" s="627">
        <f>'7'!B42</f>
        <v>10.199999999999999</v>
      </c>
      <c r="C29" s="627">
        <f>'7'!F42</f>
        <v>20.9</v>
      </c>
      <c r="D29" s="627">
        <f>'7'!J42</f>
        <v>17.7</v>
      </c>
      <c r="E29" s="627">
        <f>'7'!N42</f>
        <v>14.3</v>
      </c>
      <c r="F29" s="627">
        <f>'7'!R42</f>
        <v>13.7</v>
      </c>
      <c r="G29" s="627">
        <f>'7'!V42</f>
        <v>15.3</v>
      </c>
      <c r="H29" s="627">
        <f>'7'!Z42</f>
        <v>6.5</v>
      </c>
      <c r="I29" s="627">
        <f>'7'!AD42</f>
        <v>10.5</v>
      </c>
      <c r="J29" s="627">
        <f>'7'!AH42</f>
        <v>17.3</v>
      </c>
      <c r="K29" s="627">
        <f>'7'!AL42</f>
        <v>3.6</v>
      </c>
      <c r="L29" s="627">
        <f>'7'!AP42</f>
        <v>10.6</v>
      </c>
      <c r="M29" s="623"/>
    </row>
    <row r="30" spans="1:13">
      <c r="A30" s="611">
        <f t="shared" si="0"/>
        <v>2006</v>
      </c>
      <c r="B30" s="627">
        <f>'7'!B43</f>
        <v>9.4</v>
      </c>
      <c r="C30" s="627">
        <f>'7'!F43</f>
        <v>20.5</v>
      </c>
      <c r="D30" s="627">
        <f>'7'!J43</f>
        <v>12.9</v>
      </c>
      <c r="E30" s="627">
        <f>'7'!N43</f>
        <v>13.2</v>
      </c>
      <c r="F30" s="627">
        <f>'7'!R43</f>
        <v>14.9</v>
      </c>
      <c r="G30" s="627">
        <f>'7'!V43</f>
        <v>14.4</v>
      </c>
      <c r="H30" s="627">
        <f>'7'!Z43</f>
        <v>6.1</v>
      </c>
      <c r="I30" s="627">
        <f>'7'!AD43</f>
        <v>8.9</v>
      </c>
      <c r="J30" s="627">
        <f>'7'!AH43</f>
        <v>14.7</v>
      </c>
      <c r="K30" s="627">
        <f>'7'!AL43</f>
        <v>2.4</v>
      </c>
      <c r="L30" s="627">
        <f>'7'!AP43</f>
        <v>9.5</v>
      </c>
      <c r="M30" s="623"/>
    </row>
    <row r="31" spans="1:13">
      <c r="A31" s="611">
        <f t="shared" si="0"/>
        <v>2007</v>
      </c>
      <c r="B31" s="627">
        <f>'7'!B44</f>
        <v>10.4</v>
      </c>
      <c r="C31" s="627">
        <f>'7'!F44</f>
        <v>22.5</v>
      </c>
      <c r="D31" s="627">
        <f>'7'!J44</f>
        <v>14.2</v>
      </c>
      <c r="E31" s="627">
        <f>'7'!N44</f>
        <v>16.2</v>
      </c>
      <c r="F31" s="627">
        <f>'7'!R44</f>
        <v>15.5</v>
      </c>
      <c r="G31" s="627">
        <f>'7'!V44</f>
        <v>17.2</v>
      </c>
      <c r="H31" s="627">
        <f>'7'!Z44</f>
        <v>6.2</v>
      </c>
      <c r="I31" s="627">
        <f>'7'!AD44</f>
        <v>10.9</v>
      </c>
      <c r="J31" s="627">
        <f>'7'!AH44</f>
        <v>11.5</v>
      </c>
      <c r="K31" s="627">
        <f>'7'!AL44</f>
        <v>3.1</v>
      </c>
      <c r="L31" s="627">
        <f>'7'!AP44</f>
        <v>9.8000000000000007</v>
      </c>
      <c r="M31" s="623"/>
    </row>
    <row r="32" spans="1:13">
      <c r="A32" s="611">
        <f t="shared" si="0"/>
        <v>2008</v>
      </c>
      <c r="B32" s="627">
        <f>'7'!B45</f>
        <v>12.3</v>
      </c>
      <c r="C32" s="627">
        <f>'7'!F45</f>
        <v>22.1</v>
      </c>
      <c r="D32" s="627">
        <f>'7'!J45</f>
        <v>15.7</v>
      </c>
      <c r="E32" s="627">
        <f>'7'!N45</f>
        <v>19.899999999999999</v>
      </c>
      <c r="F32" s="627">
        <f>'7'!R45</f>
        <v>18.100000000000001</v>
      </c>
      <c r="G32" s="627">
        <f>'7'!V45</f>
        <v>18.7</v>
      </c>
      <c r="H32" s="627">
        <f>'7'!Z45</f>
        <v>8.6999999999999993</v>
      </c>
      <c r="I32" s="627">
        <f>'7'!AD45</f>
        <v>11.4</v>
      </c>
      <c r="J32" s="627">
        <f>'7'!AH45</f>
        <v>16.600000000000001</v>
      </c>
      <c r="K32" s="627">
        <f>'7'!AL45</f>
        <v>3.4</v>
      </c>
      <c r="L32" s="627">
        <f>'7'!AP45</f>
        <v>11.5</v>
      </c>
      <c r="M32" s="623"/>
    </row>
    <row r="33" spans="1:13">
      <c r="A33" s="611">
        <f t="shared" si="0"/>
        <v>2009</v>
      </c>
      <c r="B33" s="627">
        <f>'7'!B46</f>
        <v>11.5</v>
      </c>
      <c r="C33" s="627">
        <f>'7'!F46</f>
        <v>21.1</v>
      </c>
      <c r="D33" s="627">
        <f>'7'!J46</f>
        <v>10.8</v>
      </c>
      <c r="E33" s="627">
        <f>'7'!N46</f>
        <v>19.3</v>
      </c>
      <c r="F33" s="627">
        <f>'7'!R46</f>
        <v>15.5</v>
      </c>
      <c r="G33" s="627">
        <f>'7'!V46</f>
        <v>16.3</v>
      </c>
      <c r="H33" s="627">
        <f>'7'!Z46</f>
        <v>8.8000000000000007</v>
      </c>
      <c r="I33" s="627">
        <f>'7'!AD46</f>
        <v>11.1</v>
      </c>
      <c r="J33" s="627">
        <f>'7'!AH46</f>
        <v>13.4</v>
      </c>
      <c r="K33" s="627">
        <f>'7'!AL46</f>
        <v>2.5</v>
      </c>
      <c r="L33" s="627">
        <f>'7'!AP46</f>
        <v>12.2</v>
      </c>
      <c r="M33" s="623"/>
    </row>
    <row r="34" spans="1:13">
      <c r="A34" s="611">
        <f t="shared" si="0"/>
        <v>2010</v>
      </c>
      <c r="B34" s="627">
        <f>'7'!B47</f>
        <v>11.5</v>
      </c>
      <c r="C34" s="627">
        <f>'7'!F47</f>
        <v>21.1</v>
      </c>
      <c r="D34" s="627">
        <f>'7'!J47</f>
        <v>10.8</v>
      </c>
      <c r="E34" s="627">
        <f>'7'!N47</f>
        <v>19.3</v>
      </c>
      <c r="F34" s="627">
        <f>'7'!R47</f>
        <v>15.5</v>
      </c>
      <c r="G34" s="627">
        <f>'7'!V47</f>
        <v>16.3</v>
      </c>
      <c r="H34" s="627">
        <f>'7'!Z47</f>
        <v>8.8000000000000007</v>
      </c>
      <c r="I34" s="627">
        <f>'7'!AD47</f>
        <v>11.1</v>
      </c>
      <c r="J34" s="627">
        <f>'7'!AH47</f>
        <v>13.4</v>
      </c>
      <c r="K34" s="627">
        <f>'7'!AL47</f>
        <v>2.5</v>
      </c>
      <c r="L34" s="627">
        <f>'7'!AP47</f>
        <v>12.2</v>
      </c>
      <c r="M34" s="623"/>
    </row>
    <row r="35" spans="1:13">
      <c r="A35" s="611" t="s">
        <v>1501</v>
      </c>
      <c r="B35" s="611"/>
      <c r="C35" s="611"/>
      <c r="D35" s="611"/>
      <c r="E35" s="611"/>
      <c r="F35" s="611"/>
      <c r="G35" s="611"/>
      <c r="H35" s="611"/>
      <c r="I35" s="611"/>
      <c r="J35" s="611"/>
      <c r="K35" s="611"/>
      <c r="L35" s="611"/>
    </row>
    <row r="36" spans="1:13">
      <c r="A36" s="611" t="s">
        <v>1498</v>
      </c>
      <c r="B36" s="617">
        <f t="shared" ref="B36:L36" si="1">100*(POWER(B34/B5, 1/29)-1)</f>
        <v>-1.957104981304536</v>
      </c>
      <c r="C36" s="617">
        <f t="shared" si="1"/>
        <v>-0.97088196921010228</v>
      </c>
      <c r="D36" s="617">
        <f t="shared" si="1"/>
        <v>-2.729859804550383</v>
      </c>
      <c r="E36" s="617">
        <f t="shared" si="1"/>
        <v>-0.5730258391324794</v>
      </c>
      <c r="F36" s="617">
        <f t="shared" si="1"/>
        <v>-1.8450805281827631</v>
      </c>
      <c r="G36" s="617">
        <f t="shared" si="1"/>
        <v>-1.224470059567262</v>
      </c>
      <c r="H36" s="617">
        <f t="shared" si="1"/>
        <v>-2.3426383542034968</v>
      </c>
      <c r="I36" s="617">
        <f t="shared" si="1"/>
        <v>-2.3005884899174989</v>
      </c>
      <c r="J36" s="617">
        <f t="shared" si="1"/>
        <v>-2.4116917185473485</v>
      </c>
      <c r="K36" s="617">
        <f t="shared" si="1"/>
        <v>-6.805022700085928</v>
      </c>
      <c r="L36" s="617">
        <f t="shared" si="1"/>
        <v>-1.2363110931121857</v>
      </c>
    </row>
    <row r="37" spans="1:13">
      <c r="A37" s="611" t="s">
        <v>1472</v>
      </c>
      <c r="B37" s="617">
        <f t="shared" ref="B37:L37" si="2">100*(POWER(B13/B5, 1/8)-1)</f>
        <v>-7.749399621700892</v>
      </c>
      <c r="C37" s="617">
        <f t="shared" si="2"/>
        <v>-3.0247829219015698</v>
      </c>
      <c r="D37" s="617">
        <f t="shared" si="2"/>
        <v>-2.3652307405364503</v>
      </c>
      <c r="E37" s="617">
        <f t="shared" si="2"/>
        <v>-2.9792175032032575</v>
      </c>
      <c r="F37" s="617">
        <f t="shared" si="2"/>
        <v>-7.3040423158821639</v>
      </c>
      <c r="G37" s="617">
        <f t="shared" si="2"/>
        <v>-3.7933652243574922</v>
      </c>
      <c r="H37" s="617">
        <f t="shared" si="2"/>
        <v>-14.283088201712902</v>
      </c>
      <c r="I37" s="617">
        <f t="shared" si="2"/>
        <v>-8.8362659046668064</v>
      </c>
      <c r="J37" s="617">
        <f t="shared" si="2"/>
        <v>-9.3523399906897726</v>
      </c>
      <c r="K37" s="617">
        <f t="shared" si="2"/>
        <v>-6.7863697702285624</v>
      </c>
      <c r="L37" s="617">
        <f t="shared" si="2"/>
        <v>-7.1104817113221586</v>
      </c>
    </row>
    <row r="38" spans="1:13">
      <c r="A38" s="611" t="s">
        <v>1473</v>
      </c>
      <c r="B38" s="617">
        <f t="shared" ref="B38:L38" si="3">100*(POWER(B24/B13, 1/11)-1)</f>
        <v>-3.0620972556719583</v>
      </c>
      <c r="C38" s="617">
        <f t="shared" si="3"/>
        <v>-2.22406006220498</v>
      </c>
      <c r="D38" s="617">
        <f t="shared" si="3"/>
        <v>-3.531279095245432</v>
      </c>
      <c r="E38" s="617">
        <f t="shared" si="3"/>
        <v>-0.46787810418101872</v>
      </c>
      <c r="F38" s="617">
        <f t="shared" si="3"/>
        <v>-1.4847704643178194</v>
      </c>
      <c r="G38" s="617">
        <f t="shared" si="3"/>
        <v>-3.8523206982512215</v>
      </c>
      <c r="H38" s="617">
        <f t="shared" si="3"/>
        <v>-0.73977762935512059</v>
      </c>
      <c r="I38" s="617">
        <f t="shared" si="3"/>
        <v>-1.8172813734326443</v>
      </c>
      <c r="J38" s="617">
        <f t="shared" si="3"/>
        <v>-1.5006375574269093</v>
      </c>
      <c r="K38" s="617">
        <f t="shared" si="3"/>
        <v>-13.61123362974096</v>
      </c>
      <c r="L38" s="617">
        <f t="shared" si="3"/>
        <v>-2.5510026399546026</v>
      </c>
    </row>
    <row r="39" spans="1:13">
      <c r="A39" s="611" t="s">
        <v>1474</v>
      </c>
      <c r="B39" s="617">
        <f t="shared" ref="B39:L39" si="4">100*(POWER(B32/B24, 1/8)-1)</f>
        <v>6.2029156618338632</v>
      </c>
      <c r="C39" s="617">
        <f t="shared" si="4"/>
        <v>3.2581929310626201</v>
      </c>
      <c r="D39" s="617">
        <f t="shared" si="4"/>
        <v>1.999808584786078</v>
      </c>
      <c r="E39" s="617">
        <f t="shared" si="4"/>
        <v>1.9883391252359273</v>
      </c>
      <c r="F39" s="617">
        <f t="shared" si="4"/>
        <v>4.9473998128537477</v>
      </c>
      <c r="G39" s="617">
        <f t="shared" si="4"/>
        <v>6.7369597705540185</v>
      </c>
      <c r="H39" s="617">
        <f t="shared" si="4"/>
        <v>8.000974540446105</v>
      </c>
      <c r="I39" s="617">
        <f t="shared" si="4"/>
        <v>3.737491187660269</v>
      </c>
      <c r="J39" s="617">
        <f t="shared" si="4"/>
        <v>5.8924139299032063</v>
      </c>
      <c r="K39" s="617">
        <f t="shared" si="4"/>
        <v>5.5922464592664811</v>
      </c>
      <c r="L39" s="617">
        <f t="shared" si="4"/>
        <v>5.8453717368032843</v>
      </c>
    </row>
    <row r="40" spans="1:13">
      <c r="A40" s="611" t="s">
        <v>1500</v>
      </c>
      <c r="B40" s="611"/>
      <c r="C40" s="611"/>
      <c r="D40" s="611"/>
      <c r="E40" s="611"/>
      <c r="F40" s="611"/>
      <c r="G40" s="611"/>
      <c r="H40" s="611"/>
      <c r="I40" s="611"/>
      <c r="J40" s="611"/>
      <c r="K40" s="611"/>
      <c r="L40" s="611"/>
    </row>
    <row r="41" spans="1:13">
      <c r="A41" s="611" t="s">
        <v>1498</v>
      </c>
      <c r="B41" s="616">
        <f>100*(B34-B5)/B5</f>
        <v>-43.627450980392155</v>
      </c>
      <c r="C41" s="616">
        <f t="shared" ref="C41:L41" si="5">100*(C34-C5)/C5</f>
        <v>-24.642857142857139</v>
      </c>
      <c r="D41" s="616">
        <f t="shared" si="5"/>
        <v>-55.186721991701241</v>
      </c>
      <c r="E41" s="616">
        <f t="shared" si="5"/>
        <v>-15.350877192982455</v>
      </c>
      <c r="F41" s="616">
        <f t="shared" si="5"/>
        <v>-41.729323308270686</v>
      </c>
      <c r="G41" s="616">
        <f t="shared" si="5"/>
        <v>-30.04291845493562</v>
      </c>
      <c r="H41" s="616">
        <f t="shared" si="5"/>
        <v>-49.714285714285708</v>
      </c>
      <c r="I41" s="616">
        <f t="shared" si="5"/>
        <v>-49.082568807339449</v>
      </c>
      <c r="J41" s="616">
        <f>100*(J34-J5)/J5</f>
        <v>-50.735294117647058</v>
      </c>
      <c r="K41" s="616">
        <f t="shared" si="5"/>
        <v>-87.046632124352328</v>
      </c>
      <c r="L41" s="616">
        <f t="shared" si="5"/>
        <v>-30.285714285714292</v>
      </c>
    </row>
    <row r="42" spans="1:13">
      <c r="A42" s="611" t="s">
        <v>1472</v>
      </c>
      <c r="B42" s="616">
        <f>100*(B13-B5)/B5</f>
        <v>-47.549019607843135</v>
      </c>
      <c r="C42" s="616">
        <f t="shared" ref="C42:L42" si="6">100*(C13-C5)/C5</f>
        <v>-21.785714285714288</v>
      </c>
      <c r="D42" s="616">
        <f t="shared" si="6"/>
        <v>-17.427385892116192</v>
      </c>
      <c r="E42" s="616">
        <f t="shared" si="6"/>
        <v>-21.491228070175449</v>
      </c>
      <c r="F42" s="616">
        <f t="shared" si="6"/>
        <v>-45.488721804511286</v>
      </c>
      <c r="G42" s="616">
        <f t="shared" si="6"/>
        <v>-26.609442060085833</v>
      </c>
      <c r="H42" s="616">
        <f t="shared" si="6"/>
        <v>-70.857142857142861</v>
      </c>
      <c r="I42" s="616">
        <f t="shared" si="6"/>
        <v>-52.293577981651374</v>
      </c>
      <c r="J42" s="616">
        <f t="shared" si="6"/>
        <v>-54.411764705882355</v>
      </c>
      <c r="K42" s="616">
        <f t="shared" si="6"/>
        <v>-43.005181347150263</v>
      </c>
      <c r="L42" s="616">
        <f t="shared" si="6"/>
        <v>-44.571428571428577</v>
      </c>
    </row>
    <row r="43" spans="1:13">
      <c r="A43" s="611" t="s">
        <v>1473</v>
      </c>
      <c r="B43" s="616">
        <f>100*(B24-B13)/B13</f>
        <v>-28.971962616822427</v>
      </c>
      <c r="C43" s="616">
        <f t="shared" ref="C43:L43" si="7">100*(C24-C13)/C13</f>
        <v>-21.91780821917807</v>
      </c>
      <c r="D43" s="616">
        <f t="shared" si="7"/>
        <v>-32.663316582914561</v>
      </c>
      <c r="E43" s="616">
        <f t="shared" si="7"/>
        <v>-5.027932960893847</v>
      </c>
      <c r="F43" s="616">
        <f t="shared" si="7"/>
        <v>-15.172413793103445</v>
      </c>
      <c r="G43" s="616">
        <f t="shared" si="7"/>
        <v>-35.087719298245624</v>
      </c>
      <c r="H43" s="616">
        <f t="shared" si="7"/>
        <v>-7.8431372549019498</v>
      </c>
      <c r="I43" s="616">
        <f t="shared" si="7"/>
        <v>-18.26923076923077</v>
      </c>
      <c r="J43" s="616">
        <f t="shared" si="7"/>
        <v>-15.322580645161292</v>
      </c>
      <c r="K43" s="616">
        <f t="shared" si="7"/>
        <v>-80.000000000000014</v>
      </c>
      <c r="L43" s="616">
        <f t="shared" si="7"/>
        <v>-24.742268041237111</v>
      </c>
    </row>
    <row r="44" spans="1:13">
      <c r="A44" s="611" t="s">
        <v>1474</v>
      </c>
      <c r="B44" s="616">
        <f>100*(B32-B24)/B24</f>
        <v>61.842105263157912</v>
      </c>
      <c r="C44" s="616">
        <f t="shared" ref="C44:L44" si="8">100*(C32-C24)/C24</f>
        <v>29.239766081871341</v>
      </c>
      <c r="D44" s="616">
        <f t="shared" si="8"/>
        <v>17.164179104477604</v>
      </c>
      <c r="E44" s="616">
        <f t="shared" si="8"/>
        <v>17.058823529411757</v>
      </c>
      <c r="F44" s="616">
        <f t="shared" si="8"/>
        <v>47.154471544715456</v>
      </c>
      <c r="G44" s="616">
        <f t="shared" si="8"/>
        <v>68.468468468468473</v>
      </c>
      <c r="H44" s="616">
        <f t="shared" si="8"/>
        <v>85.106382978723374</v>
      </c>
      <c r="I44" s="616">
        <f t="shared" si="8"/>
        <v>34.117647058823536</v>
      </c>
      <c r="J44" s="616">
        <f t="shared" si="8"/>
        <v>58.095238095238109</v>
      </c>
      <c r="K44" s="616">
        <f t="shared" si="8"/>
        <v>54.545454545454525</v>
      </c>
      <c r="L44" s="616">
        <f t="shared" si="8"/>
        <v>57.534246575342465</v>
      </c>
    </row>
    <row r="46" spans="1:13">
      <c r="A46" s="611" t="s">
        <v>1534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S61"/>
  <sheetViews>
    <sheetView view="pageBreakPreview" zoomScaleSheetLayoutView="100" workbookViewId="0">
      <selection activeCell="E9" sqref="E9"/>
    </sheetView>
  </sheetViews>
  <sheetFormatPr defaultRowHeight="12.75"/>
  <cols>
    <col min="1" max="1" width="11.125" style="172" customWidth="1"/>
    <col min="2" max="2" width="12" style="172" customWidth="1"/>
    <col min="3" max="3" width="12.5" style="172" customWidth="1"/>
    <col min="4" max="4" width="11.625" style="172" customWidth="1"/>
    <col min="5" max="5" width="12" style="172" customWidth="1"/>
    <col min="6" max="6" width="13" style="172" customWidth="1"/>
    <col min="7" max="7" width="12.625" style="172" customWidth="1"/>
    <col min="8" max="8" width="14.75" style="172" customWidth="1"/>
    <col min="9" max="9" width="11" style="172" customWidth="1"/>
    <col min="10" max="10" width="10.375" style="172" customWidth="1"/>
    <col min="11" max="11" width="10.25" style="172" customWidth="1"/>
    <col min="12" max="17" width="9" style="172"/>
    <col min="18" max="18" width="25.25" style="172" customWidth="1"/>
    <col min="19" max="19" width="28" style="172" customWidth="1"/>
    <col min="20" max="20" width="17.375" style="172" customWidth="1"/>
    <col min="21" max="21" width="9" style="172"/>
    <col min="22" max="22" width="9.75" style="172" bestFit="1" customWidth="1"/>
    <col min="23" max="16384" width="9" style="172"/>
  </cols>
  <sheetData>
    <row r="1" spans="1:19" ht="27.75" customHeight="1">
      <c r="A1" s="172" t="s">
        <v>867</v>
      </c>
      <c r="N1" s="196" t="s">
        <v>902</v>
      </c>
      <c r="O1" s="196" t="s">
        <v>903</v>
      </c>
      <c r="P1" s="196" t="s">
        <v>904</v>
      </c>
      <c r="S1" s="203" t="s">
        <v>914</v>
      </c>
    </row>
    <row r="2" spans="1:19" ht="36.75" customHeight="1">
      <c r="B2" s="173" t="s">
        <v>868</v>
      </c>
      <c r="C2" s="173" t="s">
        <v>869</v>
      </c>
      <c r="D2" s="173" t="s">
        <v>870</v>
      </c>
      <c r="E2" s="173" t="s">
        <v>871</v>
      </c>
      <c r="F2" s="173" t="s">
        <v>872</v>
      </c>
      <c r="G2" s="173" t="s">
        <v>873</v>
      </c>
      <c r="H2" s="173" t="s">
        <v>873</v>
      </c>
      <c r="I2" s="173" t="s">
        <v>473</v>
      </c>
      <c r="J2" s="173" t="s">
        <v>874</v>
      </c>
      <c r="K2" s="173" t="s">
        <v>875</v>
      </c>
      <c r="N2" s="173" t="s">
        <v>905</v>
      </c>
      <c r="S2" s="172" t="s">
        <v>915</v>
      </c>
    </row>
    <row r="3" spans="1:19" ht="24" customHeight="1">
      <c r="B3" s="203" t="s">
        <v>876</v>
      </c>
      <c r="C3" s="203" t="s">
        <v>876</v>
      </c>
      <c r="D3" s="203" t="s">
        <v>877</v>
      </c>
      <c r="E3" s="203" t="s">
        <v>878</v>
      </c>
      <c r="F3" s="203" t="s">
        <v>879</v>
      </c>
      <c r="G3" s="203" t="s">
        <v>880</v>
      </c>
      <c r="H3" s="203" t="s">
        <v>881</v>
      </c>
      <c r="I3" s="203" t="s">
        <v>882</v>
      </c>
      <c r="J3" s="203" t="s">
        <v>882</v>
      </c>
      <c r="K3" s="203" t="s">
        <v>883</v>
      </c>
      <c r="N3" s="174" t="s">
        <v>105</v>
      </c>
      <c r="O3" s="174" t="s">
        <v>106</v>
      </c>
      <c r="P3" s="174" t="s">
        <v>906</v>
      </c>
    </row>
    <row r="4" spans="1:19">
      <c r="A4" s="272"/>
      <c r="B4" s="274" t="s">
        <v>105</v>
      </c>
      <c r="C4" s="274" t="s">
        <v>106</v>
      </c>
      <c r="D4" s="274" t="s">
        <v>107</v>
      </c>
      <c r="E4" s="274" t="s">
        <v>108</v>
      </c>
      <c r="F4" s="274" t="s">
        <v>109</v>
      </c>
      <c r="G4" s="275" t="s">
        <v>884</v>
      </c>
      <c r="H4" s="275" t="s">
        <v>934</v>
      </c>
      <c r="I4" s="276" t="s">
        <v>112</v>
      </c>
      <c r="J4" s="276" t="s">
        <v>138</v>
      </c>
      <c r="K4" s="276" t="s">
        <v>885</v>
      </c>
      <c r="N4" s="172" t="s">
        <v>907</v>
      </c>
      <c r="O4" s="172" t="s">
        <v>908</v>
      </c>
    </row>
    <row r="5" spans="1:19" hidden="1">
      <c r="A5" s="172">
        <v>1971</v>
      </c>
      <c r="B5" s="175">
        <v>21962.031999999999</v>
      </c>
      <c r="C5" s="176">
        <f>C6*B5/B6</f>
        <v>15975.753057594331</v>
      </c>
      <c r="D5" s="177">
        <v>17519</v>
      </c>
      <c r="E5" s="178">
        <v>1.69</v>
      </c>
      <c r="F5" s="179">
        <f t="shared" ref="F5:F14" si="0">E5*100/J5</f>
        <v>8.0861244019138763</v>
      </c>
      <c r="G5" s="177">
        <v>29662</v>
      </c>
      <c r="H5" s="177">
        <f t="shared" ref="H5:H14" si="1">G5*100/I5</f>
        <v>130973.86786298832</v>
      </c>
      <c r="I5" s="180">
        <v>22.647265812619505</v>
      </c>
      <c r="J5" s="181">
        <v>20.9</v>
      </c>
      <c r="K5" s="175">
        <f t="shared" ref="K5:K14" si="2">H5/B5*1000</f>
        <v>5963.6498053999885</v>
      </c>
    </row>
    <row r="6" spans="1:19" hidden="1">
      <c r="A6" s="172">
        <v>1972</v>
      </c>
      <c r="B6" s="175">
        <v>22218.463</v>
      </c>
      <c r="C6" s="176">
        <f>C7*B6/B7</f>
        <v>16162.287633826254</v>
      </c>
      <c r="D6" s="175">
        <v>17872</v>
      </c>
      <c r="E6" s="182">
        <f>POWER(E15/E5,1/10)*E5</f>
        <v>1.8532624534749136</v>
      </c>
      <c r="F6" s="179">
        <f t="shared" si="0"/>
        <v>8.4623856323055424</v>
      </c>
      <c r="G6" s="175">
        <v>33180</v>
      </c>
      <c r="H6" s="175">
        <f t="shared" si="1"/>
        <v>138187.87952794236</v>
      </c>
      <c r="I6" s="180">
        <v>24.010788871892935</v>
      </c>
      <c r="J6" s="181">
        <v>21.9</v>
      </c>
      <c r="K6" s="175">
        <f t="shared" si="2"/>
        <v>6219.506701608585</v>
      </c>
    </row>
    <row r="7" spans="1:19" hidden="1">
      <c r="A7" s="172">
        <v>1973</v>
      </c>
      <c r="B7" s="175">
        <v>22491.776999999998</v>
      </c>
      <c r="C7" s="176">
        <f>C8*B7/B8</f>
        <v>16361.103343191549</v>
      </c>
      <c r="D7" s="175">
        <v>18232</v>
      </c>
      <c r="E7" s="182">
        <f>POWER(E15/E5,1/10)*E6</f>
        <v>2.0322968766034655</v>
      </c>
      <c r="F7" s="179">
        <f t="shared" si="0"/>
        <v>8.6114274432350228</v>
      </c>
      <c r="G7" s="175">
        <v>37115</v>
      </c>
      <c r="H7" s="175">
        <f t="shared" si="1"/>
        <v>141287.54383453148</v>
      </c>
      <c r="I7" s="180">
        <v>26.269123938814541</v>
      </c>
      <c r="J7" s="181">
        <v>23.6</v>
      </c>
      <c r="K7" s="175">
        <f t="shared" si="2"/>
        <v>6281.7421600139232</v>
      </c>
    </row>
    <row r="8" spans="1:19" hidden="1">
      <c r="A8" s="172">
        <v>1974</v>
      </c>
      <c r="B8" s="175">
        <v>22807.969000000001</v>
      </c>
      <c r="C8" s="176">
        <f>C9*B8/B9</f>
        <v>16591.109624522298</v>
      </c>
      <c r="D8" s="175">
        <v>18599</v>
      </c>
      <c r="E8" s="182">
        <f>POWER(E15/E5,1/10)*E7</f>
        <v>2.2286269205464748</v>
      </c>
      <c r="F8" s="179">
        <f t="shared" si="0"/>
        <v>8.5062096204063931</v>
      </c>
      <c r="G8" s="175">
        <v>41518</v>
      </c>
      <c r="H8" s="175">
        <f t="shared" si="1"/>
        <v>137817.54270746704</v>
      </c>
      <c r="I8" s="180">
        <v>30.125337590822191</v>
      </c>
      <c r="J8" s="181">
        <v>26.2</v>
      </c>
      <c r="K8" s="175">
        <f t="shared" si="2"/>
        <v>6042.5171003813202</v>
      </c>
    </row>
    <row r="9" spans="1:19" hidden="1">
      <c r="A9" s="172">
        <v>1975</v>
      </c>
      <c r="B9" s="175">
        <v>23143.275000000001</v>
      </c>
      <c r="C9" s="176">
        <f>C10*B9/B10</f>
        <v>16835.019926389163</v>
      </c>
      <c r="D9" s="175">
        <v>18974</v>
      </c>
      <c r="E9" s="182">
        <f>POWER(E15/E5,1/10)*E8</f>
        <v>2.4439234287882847</v>
      </c>
      <c r="F9" s="179">
        <f t="shared" si="0"/>
        <v>8.4273221682354649</v>
      </c>
      <c r="G9" s="175">
        <v>46442</v>
      </c>
      <c r="H9" s="175">
        <f t="shared" si="1"/>
        <v>139734.55069605497</v>
      </c>
      <c r="I9" s="180">
        <v>33.235874569789679</v>
      </c>
      <c r="J9" s="181">
        <v>29</v>
      </c>
      <c r="K9" s="175">
        <f t="shared" si="2"/>
        <v>6037.8036684978661</v>
      </c>
    </row>
    <row r="10" spans="1:19" hidden="1">
      <c r="A10" s="172">
        <v>1976</v>
      </c>
      <c r="B10" s="175">
        <v>23449.808000000001</v>
      </c>
      <c r="C10" s="175">
        <v>17058</v>
      </c>
      <c r="D10" s="175">
        <v>19356</v>
      </c>
      <c r="E10" s="182">
        <f>POWER(E15/E5,1/10)*E9</f>
        <v>2.6800186566514794</v>
      </c>
      <c r="F10" s="179">
        <f t="shared" si="0"/>
        <v>8.6174233332844992</v>
      </c>
      <c r="G10" s="175">
        <v>51950</v>
      </c>
      <c r="H10" s="175">
        <f t="shared" si="1"/>
        <v>143181.98896681872</v>
      </c>
      <c r="I10" s="180">
        <v>36.282496405353747</v>
      </c>
      <c r="J10" s="181">
        <v>31.1</v>
      </c>
      <c r="K10" s="175">
        <f t="shared" si="2"/>
        <v>6105.8917397881769</v>
      </c>
    </row>
    <row r="11" spans="1:19" hidden="1">
      <c r="A11" s="172">
        <v>1977</v>
      </c>
      <c r="B11" s="175">
        <v>23725.843000000001</v>
      </c>
      <c r="C11" s="175">
        <v>17435.5</v>
      </c>
      <c r="D11" s="175">
        <v>19746</v>
      </c>
      <c r="E11" s="182">
        <f>POWER(E15/E5,1/10)*E10</f>
        <v>2.9389218644878481</v>
      </c>
      <c r="F11" s="179">
        <f t="shared" si="0"/>
        <v>8.7467912633566893</v>
      </c>
      <c r="G11" s="175">
        <v>58111</v>
      </c>
      <c r="H11" s="175">
        <f t="shared" si="1"/>
        <v>149948.84918766163</v>
      </c>
      <c r="I11" s="180">
        <v>38.753881950286818</v>
      </c>
      <c r="J11" s="181">
        <v>33.6</v>
      </c>
      <c r="K11" s="175">
        <f t="shared" si="2"/>
        <v>6320.064125336311</v>
      </c>
    </row>
    <row r="12" spans="1:19" hidden="1">
      <c r="A12" s="172">
        <v>1978</v>
      </c>
      <c r="B12" s="175">
        <v>23963.203000000001</v>
      </c>
      <c r="C12" s="175">
        <v>17778.8</v>
      </c>
      <c r="D12" s="175">
        <v>20144</v>
      </c>
      <c r="E12" s="182">
        <f>POWER(E15/E5,1/10)*E11</f>
        <v>3.2228364172495958</v>
      </c>
      <c r="F12" s="179">
        <f t="shared" si="0"/>
        <v>8.8055639815562721</v>
      </c>
      <c r="G12" s="175">
        <v>65004</v>
      </c>
      <c r="H12" s="175">
        <f t="shared" si="1"/>
        <v>157354.71460280463</v>
      </c>
      <c r="I12" s="180">
        <v>41.310487686424487</v>
      </c>
      <c r="J12" s="181">
        <v>36.6</v>
      </c>
      <c r="K12" s="175">
        <f t="shared" si="2"/>
        <v>6566.5142761927373</v>
      </c>
    </row>
    <row r="13" spans="1:19" hidden="1">
      <c r="A13" s="172">
        <v>1979</v>
      </c>
      <c r="B13" s="175">
        <v>24201.544000000002</v>
      </c>
      <c r="C13" s="175">
        <v>18119.400000000001</v>
      </c>
      <c r="D13" s="175">
        <v>20550</v>
      </c>
      <c r="E13" s="182">
        <f>POWER(E15/E5,1/10)*E12</f>
        <v>3.5341785359646667</v>
      </c>
      <c r="F13" s="179">
        <f t="shared" si="0"/>
        <v>8.8354463399116661</v>
      </c>
      <c r="G13" s="175">
        <v>72714</v>
      </c>
      <c r="H13" s="175">
        <f t="shared" si="1"/>
        <v>160687.09911550966</v>
      </c>
      <c r="I13" s="180">
        <v>45.251921529636718</v>
      </c>
      <c r="J13" s="181">
        <v>40</v>
      </c>
      <c r="K13" s="175">
        <f t="shared" si="2"/>
        <v>6639.5391597953276</v>
      </c>
    </row>
    <row r="14" spans="1:19" hidden="1">
      <c r="A14" s="172">
        <v>1980</v>
      </c>
      <c r="B14" s="175">
        <v>24515.667000000001</v>
      </c>
      <c r="C14" s="175">
        <v>18483.5</v>
      </c>
      <c r="D14" s="175">
        <v>20964</v>
      </c>
      <c r="E14" s="182">
        <f>POWER(E15/E5,1/10)*E13</f>
        <v>3.875597860698377</v>
      </c>
      <c r="F14" s="179">
        <f t="shared" si="0"/>
        <v>8.8081769561326748</v>
      </c>
      <c r="G14" s="175">
        <v>81338</v>
      </c>
      <c r="H14" s="175">
        <f t="shared" si="1"/>
        <v>161976.27007012494</v>
      </c>
      <c r="I14" s="180">
        <v>50.215997667304016</v>
      </c>
      <c r="J14" s="181">
        <v>44</v>
      </c>
      <c r="K14" s="175">
        <f t="shared" si="2"/>
        <v>6607.0513223288981</v>
      </c>
    </row>
    <row r="15" spans="1:19">
      <c r="A15" s="172">
        <v>1981</v>
      </c>
      <c r="B15" s="175">
        <f>'a1'!F19/1000</f>
        <v>24819.915000000001</v>
      </c>
      <c r="C15" s="183">
        <v>18814.400000000001</v>
      </c>
      <c r="D15" s="177">
        <v>21386</v>
      </c>
      <c r="E15" s="178">
        <v>4.25</v>
      </c>
      <c r="F15" s="179">
        <f t="shared" ref="F15:F26" si="3">E15*100/J15</f>
        <v>8.5858585858585865</v>
      </c>
      <c r="G15" s="177">
        <v>90985</v>
      </c>
      <c r="H15" s="177">
        <f t="shared" ref="H15:H26" si="4">G15*100/J15</f>
        <v>183808.08080808082</v>
      </c>
      <c r="I15" s="306">
        <f>'a8'!C19</f>
        <v>55.7</v>
      </c>
      <c r="J15" s="181">
        <f>'a1'!B19</f>
        <v>49.5</v>
      </c>
      <c r="K15" s="175">
        <f t="shared" ref="K15:K42" si="5">H15/B15*1000</f>
        <v>7405.6692300550112</v>
      </c>
      <c r="M15" s="172">
        <v>1981</v>
      </c>
      <c r="N15" s="191">
        <v>43.974999999999994</v>
      </c>
      <c r="O15" s="172">
        <v>49.5</v>
      </c>
      <c r="P15" s="207">
        <f t="shared" ref="P15:P42" si="6">N15/O15*100</f>
        <v>88.838383838383834</v>
      </c>
    </row>
    <row r="16" spans="1:19">
      <c r="A16" s="172">
        <v>1982</v>
      </c>
      <c r="B16" s="175">
        <f>'a1'!F20/1000</f>
        <v>25116.941999999999</v>
      </c>
      <c r="C16" s="183">
        <v>19103.400000000001</v>
      </c>
      <c r="D16" s="175">
        <v>21411</v>
      </c>
      <c r="E16" s="182">
        <f>POWER(E20/E15,1/5)*E15</f>
        <v>4.5760015953551774</v>
      </c>
      <c r="F16" s="179">
        <f t="shared" si="3"/>
        <v>8.3351577328873905</v>
      </c>
      <c r="G16" s="175">
        <v>98052</v>
      </c>
      <c r="H16" s="175">
        <f t="shared" si="4"/>
        <v>178601.09289617487</v>
      </c>
      <c r="I16" s="306">
        <f>'a8'!C20</f>
        <v>60.4</v>
      </c>
      <c r="J16" s="181">
        <f>'a1'!B20</f>
        <v>54.9</v>
      </c>
      <c r="K16" s="175">
        <f t="shared" si="5"/>
        <v>7110.781754250771</v>
      </c>
      <c r="M16" s="172">
        <v>1982</v>
      </c>
      <c r="N16" s="191">
        <v>49.274999999999999</v>
      </c>
      <c r="O16" s="172">
        <v>54.9</v>
      </c>
      <c r="P16" s="207">
        <f t="shared" si="6"/>
        <v>89.754098360655746</v>
      </c>
    </row>
    <row r="17" spans="1:19">
      <c r="A17" s="172">
        <v>1983</v>
      </c>
      <c r="B17" s="175">
        <f>'a1'!F21/1000</f>
        <v>25366.451000000001</v>
      </c>
      <c r="C17" s="183">
        <v>19355</v>
      </c>
      <c r="D17" s="175">
        <v>21436</v>
      </c>
      <c r="E17" s="182">
        <f>POWER(E20/E15,1/5)*E16</f>
        <v>4.9270095531042655</v>
      </c>
      <c r="F17" s="179">
        <f t="shared" si="3"/>
        <v>8.4802229829677547</v>
      </c>
      <c r="G17" s="175">
        <v>105668</v>
      </c>
      <c r="H17" s="175">
        <f t="shared" si="4"/>
        <v>181872.63339070568</v>
      </c>
      <c r="I17" s="306">
        <f>'a8'!C21</f>
        <v>63.7</v>
      </c>
      <c r="J17" s="181">
        <f>'a1'!B21</f>
        <v>58.1</v>
      </c>
      <c r="K17" s="175">
        <f t="shared" si="5"/>
        <v>7169.8099742335135</v>
      </c>
      <c r="M17" s="172">
        <v>1983</v>
      </c>
      <c r="N17" s="191">
        <v>51.524999999999999</v>
      </c>
      <c r="O17" s="172">
        <v>58.1</v>
      </c>
      <c r="P17" s="207">
        <f t="shared" si="6"/>
        <v>88.683304647160071</v>
      </c>
    </row>
    <row r="18" spans="1:19">
      <c r="A18" s="172">
        <v>1984</v>
      </c>
      <c r="B18" s="175">
        <f>'a1'!F22/1000</f>
        <v>25607.053</v>
      </c>
      <c r="C18" s="183">
        <v>19597.900000000001</v>
      </c>
      <c r="D18" s="175">
        <v>21461</v>
      </c>
      <c r="E18" s="182">
        <f>POWER(E20/E15,1/5)*E17</f>
        <v>5.3049420177259572</v>
      </c>
      <c r="F18" s="179">
        <f t="shared" si="3"/>
        <v>8.754029732221051</v>
      </c>
      <c r="G18" s="175">
        <v>113876</v>
      </c>
      <c r="H18" s="175">
        <f t="shared" si="4"/>
        <v>187914.19141914192</v>
      </c>
      <c r="I18" s="306">
        <f>'a8'!C22</f>
        <v>65.8</v>
      </c>
      <c r="J18" s="181">
        <f>'a1'!B22</f>
        <v>60.6</v>
      </c>
      <c r="K18" s="175">
        <f t="shared" si="5"/>
        <v>7338.3763223023716</v>
      </c>
      <c r="M18" s="172">
        <v>1984</v>
      </c>
      <c r="N18" s="191">
        <v>54.15</v>
      </c>
      <c r="O18" s="172">
        <v>60.6</v>
      </c>
      <c r="P18" s="207">
        <f t="shared" si="6"/>
        <v>89.356435643564353</v>
      </c>
    </row>
    <row r="19" spans="1:19">
      <c r="A19" s="172">
        <v>1985</v>
      </c>
      <c r="B19" s="175">
        <f>'a1'!F23/1000</f>
        <v>25842.116000000002</v>
      </c>
      <c r="C19" s="183">
        <v>19842.7</v>
      </c>
      <c r="D19" s="175">
        <v>21486</v>
      </c>
      <c r="E19" s="182">
        <f>POWER(E20/E15,1/5)*E18</f>
        <v>5.7118642673836924</v>
      </c>
      <c r="F19" s="179">
        <f t="shared" si="3"/>
        <v>9.0664512180693535</v>
      </c>
      <c r="G19" s="175">
        <v>122721</v>
      </c>
      <c r="H19" s="175">
        <f t="shared" si="4"/>
        <v>194795.23809523811</v>
      </c>
      <c r="I19" s="306">
        <f>'a8'!C23</f>
        <v>67.8</v>
      </c>
      <c r="J19" s="181">
        <f>'a1'!B23</f>
        <v>63</v>
      </c>
      <c r="K19" s="175">
        <f t="shared" si="5"/>
        <v>7537.8981386523492</v>
      </c>
      <c r="M19" s="172">
        <v>1985</v>
      </c>
      <c r="N19" s="191">
        <v>56.550000000000004</v>
      </c>
      <c r="O19" s="172">
        <v>63</v>
      </c>
      <c r="P19" s="207">
        <f t="shared" si="6"/>
        <v>89.761904761904759</v>
      </c>
    </row>
    <row r="20" spans="1:19">
      <c r="A20" s="172">
        <v>1986</v>
      </c>
      <c r="B20" s="175">
        <f>'a1'!F24/1000</f>
        <v>26100.277999999998</v>
      </c>
      <c r="C20" s="183">
        <v>20093.2</v>
      </c>
      <c r="D20" s="177">
        <v>21511</v>
      </c>
      <c r="E20" s="178">
        <v>6.15</v>
      </c>
      <c r="F20" s="179">
        <f t="shared" si="3"/>
        <v>9.375</v>
      </c>
      <c r="G20" s="177">
        <v>132253</v>
      </c>
      <c r="H20" s="177">
        <f t="shared" si="4"/>
        <v>201605.18292682929</v>
      </c>
      <c r="I20" s="306">
        <f>'a8'!C24</f>
        <v>69.900000000000006</v>
      </c>
      <c r="J20" s="181">
        <f>'a1'!B24</f>
        <v>65.599999999999994</v>
      </c>
      <c r="K20" s="175">
        <f t="shared" si="5"/>
        <v>7724.2542369406683</v>
      </c>
      <c r="M20" s="172">
        <v>1986</v>
      </c>
      <c r="N20" s="191">
        <v>58.300000000000004</v>
      </c>
      <c r="O20" s="172">
        <v>65.599999999999994</v>
      </c>
      <c r="P20" s="207">
        <f t="shared" si="6"/>
        <v>88.871951219512212</v>
      </c>
    </row>
    <row r="21" spans="1:19">
      <c r="A21" s="172">
        <v>1987</v>
      </c>
      <c r="B21" s="175">
        <f>'a1'!F25/1000</f>
        <v>26446.600999999999</v>
      </c>
      <c r="C21" s="183">
        <v>20348.099999999999</v>
      </c>
      <c r="D21" s="175">
        <v>22066</v>
      </c>
      <c r="E21" s="182">
        <f>POWER(E26/E20,1/6)*E20</f>
        <v>6.5953692911041433</v>
      </c>
      <c r="F21" s="179">
        <f t="shared" si="3"/>
        <v>9.6282763373783116</v>
      </c>
      <c r="G21" s="175">
        <v>145498</v>
      </c>
      <c r="H21" s="175">
        <f t="shared" si="4"/>
        <v>212405.83941605838</v>
      </c>
      <c r="I21" s="306">
        <f>'a8'!C25</f>
        <v>73.099999999999994</v>
      </c>
      <c r="J21" s="181">
        <f>'a1'!B25</f>
        <v>68.5</v>
      </c>
      <c r="K21" s="175">
        <f t="shared" si="5"/>
        <v>8031.4986192765718</v>
      </c>
      <c r="M21" s="172">
        <v>1987</v>
      </c>
      <c r="N21" s="191">
        <v>61.124999999999993</v>
      </c>
      <c r="O21" s="172">
        <v>68.5</v>
      </c>
      <c r="P21" s="207">
        <f t="shared" si="6"/>
        <v>89.233576642335748</v>
      </c>
    </row>
    <row r="22" spans="1:19">
      <c r="A22" s="172">
        <v>1988</v>
      </c>
      <c r="B22" s="175">
        <f>'a1'!F26/1000</f>
        <v>26791.746999999999</v>
      </c>
      <c r="C22" s="183">
        <v>20612.2</v>
      </c>
      <c r="D22" s="175">
        <v>22636</v>
      </c>
      <c r="E22" s="182">
        <f>POWER(E26/E20,1/6)*E21</f>
        <v>7.0729912335023686</v>
      </c>
      <c r="F22" s="179">
        <f t="shared" si="3"/>
        <v>9.9339764515482702</v>
      </c>
      <c r="G22" s="175">
        <v>160069</v>
      </c>
      <c r="H22" s="175">
        <f t="shared" si="4"/>
        <v>224816.01123595505</v>
      </c>
      <c r="I22" s="306">
        <f>'a8'!C26</f>
        <v>76.400000000000006</v>
      </c>
      <c r="J22" s="181">
        <f>'a1'!B26</f>
        <v>71.2</v>
      </c>
      <c r="K22" s="175">
        <f t="shared" si="5"/>
        <v>8391.2411996110241</v>
      </c>
      <c r="M22" s="172">
        <v>1988</v>
      </c>
      <c r="N22" s="191">
        <v>64.724999999999994</v>
      </c>
      <c r="O22" s="172">
        <v>71.2</v>
      </c>
      <c r="P22" s="207">
        <f t="shared" si="6"/>
        <v>90.905898876404478</v>
      </c>
    </row>
    <row r="23" spans="1:19">
      <c r="A23" s="172">
        <v>1989</v>
      </c>
      <c r="B23" s="175">
        <f>'a1'!F27/1000</f>
        <v>27276.780999999999</v>
      </c>
      <c r="C23" s="183">
        <v>20898.5</v>
      </c>
      <c r="D23" s="175">
        <v>23220</v>
      </c>
      <c r="E23" s="182">
        <f>POWER(E26/E20,1/6)*E22</f>
        <v>7.5852014923073714</v>
      </c>
      <c r="F23" s="179">
        <f t="shared" si="3"/>
        <v>10.140643706293279</v>
      </c>
      <c r="G23" s="175">
        <v>176099</v>
      </c>
      <c r="H23" s="175">
        <f t="shared" si="4"/>
        <v>235426.4705882353</v>
      </c>
      <c r="I23" s="306">
        <f>'a8'!C27</f>
        <v>79.8</v>
      </c>
      <c r="J23" s="181">
        <f>'a1'!B27</f>
        <v>74.8</v>
      </c>
      <c r="K23" s="175">
        <f t="shared" si="5"/>
        <v>8631.0210353720013</v>
      </c>
      <c r="M23" s="172">
        <v>1989</v>
      </c>
      <c r="N23" s="191">
        <v>68.55</v>
      </c>
      <c r="O23" s="172">
        <v>74.8</v>
      </c>
      <c r="P23" s="207">
        <f t="shared" si="6"/>
        <v>91.644385026737964</v>
      </c>
    </row>
    <row r="24" spans="1:19">
      <c r="A24" s="172">
        <v>1990</v>
      </c>
      <c r="B24" s="175">
        <f>'a1'!F28/1000</f>
        <v>27691.137999999999</v>
      </c>
      <c r="C24" s="183">
        <v>21214.7</v>
      </c>
      <c r="D24" s="175">
        <v>23819</v>
      </c>
      <c r="E24" s="182">
        <f>POWER(E26/E20,1/6)*E23</f>
        <v>8.1345048762929029</v>
      </c>
      <c r="F24" s="179">
        <f t="shared" si="3"/>
        <v>10.375643974863396</v>
      </c>
      <c r="G24" s="175">
        <v>193735</v>
      </c>
      <c r="H24" s="175">
        <f t="shared" si="4"/>
        <v>247110.96938775509</v>
      </c>
      <c r="I24" s="306">
        <f>'a8'!C28</f>
        <v>82.4</v>
      </c>
      <c r="J24" s="181">
        <f>'a1'!B28</f>
        <v>78.400000000000006</v>
      </c>
      <c r="K24" s="175">
        <f t="shared" si="5"/>
        <v>8923.8286049405087</v>
      </c>
      <c r="M24" s="172">
        <v>1990</v>
      </c>
      <c r="N24" s="191">
        <v>72.225000000000009</v>
      </c>
      <c r="O24" s="172">
        <v>78.400000000000006</v>
      </c>
      <c r="P24" s="207">
        <f t="shared" si="6"/>
        <v>92.123724489795919</v>
      </c>
    </row>
    <row r="25" spans="1:19">
      <c r="A25" s="172">
        <v>1991</v>
      </c>
      <c r="B25" s="175">
        <f>'a1'!F29/1000</f>
        <v>28037.42</v>
      </c>
      <c r="C25" s="183">
        <v>21533.3</v>
      </c>
      <c r="D25" s="175">
        <v>24433</v>
      </c>
      <c r="E25" s="182">
        <f>POWER(E26/E20,1/6)*E24</f>
        <v>8.7235875869006705</v>
      </c>
      <c r="F25" s="179">
        <f t="shared" si="3"/>
        <v>10.535733800604675</v>
      </c>
      <c r="G25" s="175">
        <v>213137</v>
      </c>
      <c r="H25" s="175">
        <f t="shared" si="4"/>
        <v>257411.83574879228</v>
      </c>
      <c r="I25" s="306">
        <f>'a8'!C29</f>
        <v>84.8</v>
      </c>
      <c r="J25" s="181">
        <f>'a1'!B29</f>
        <v>82.8</v>
      </c>
      <c r="K25" s="175">
        <f t="shared" si="5"/>
        <v>9181.010083980349</v>
      </c>
      <c r="M25" s="172">
        <v>1991</v>
      </c>
      <c r="N25" s="191">
        <v>76.524999999999991</v>
      </c>
      <c r="O25" s="172">
        <v>82.8</v>
      </c>
      <c r="P25" s="207">
        <f t="shared" si="6"/>
        <v>92.421497584541058</v>
      </c>
    </row>
    <row r="26" spans="1:19">
      <c r="A26" s="172">
        <v>1992</v>
      </c>
      <c r="B26" s="175">
        <f>'a1'!F30/1000</f>
        <v>28371.263999999999</v>
      </c>
      <c r="C26" s="183">
        <v>21820.2</v>
      </c>
      <c r="D26" s="177">
        <v>25064</v>
      </c>
      <c r="E26" s="197">
        <f>G26/D26</f>
        <v>9.3553303542930095</v>
      </c>
      <c r="F26" s="179">
        <f t="shared" si="3"/>
        <v>11.137298040825012</v>
      </c>
      <c r="G26" s="177">
        <v>234482</v>
      </c>
      <c r="H26" s="177">
        <f t="shared" si="4"/>
        <v>279145.23809523811</v>
      </c>
      <c r="I26" s="306">
        <f>'a8'!C30</f>
        <v>85.9</v>
      </c>
      <c r="J26" s="181">
        <f>'a1'!B30</f>
        <v>84</v>
      </c>
      <c r="K26" s="175">
        <f t="shared" si="5"/>
        <v>9839.0130977329081</v>
      </c>
      <c r="M26" s="172">
        <v>1992</v>
      </c>
      <c r="N26" s="191">
        <v>78.925000000000011</v>
      </c>
      <c r="O26" s="172">
        <v>84</v>
      </c>
      <c r="P26" s="207">
        <f t="shared" si="6"/>
        <v>93.958333333333343</v>
      </c>
    </row>
    <row r="27" spans="1:19">
      <c r="A27" s="172">
        <v>1993</v>
      </c>
      <c r="B27" s="175">
        <f>'a1'!F31/1000</f>
        <v>28684.763999999999</v>
      </c>
      <c r="C27" s="183">
        <v>22092.9</v>
      </c>
      <c r="D27" s="175">
        <f>D26*POWER(D$32/D$26,1/6)</f>
        <v>25953.794659722691</v>
      </c>
      <c r="E27" s="182">
        <f t="shared" ref="E27:E41" si="7">F27*J27/100</f>
        <v>9.6248621025566248</v>
      </c>
      <c r="F27" s="179">
        <f>F26*(1+$P$47/100)</f>
        <v>11.243997783360545</v>
      </c>
      <c r="G27" s="175">
        <f t="shared" ref="G27:G42" si="8">E27*D27</f>
        <v>249801.69463790144</v>
      </c>
      <c r="H27" s="175">
        <f t="shared" ref="H27:H32" si="9">D27*F27</f>
        <v>291824.40962371667</v>
      </c>
      <c r="I27" s="306">
        <f>'a8'!C31</f>
        <v>87.2</v>
      </c>
      <c r="J27" s="181">
        <f>'a1'!B31</f>
        <v>85.6</v>
      </c>
      <c r="K27" s="175">
        <f t="shared" si="5"/>
        <v>10173.498712547074</v>
      </c>
      <c r="M27" s="172">
        <v>1993</v>
      </c>
      <c r="N27" s="191">
        <v>79.775000000000006</v>
      </c>
      <c r="O27" s="172">
        <v>85.6</v>
      </c>
      <c r="P27" s="207">
        <f t="shared" si="6"/>
        <v>93.195093457943941</v>
      </c>
    </row>
    <row r="28" spans="1:19">
      <c r="A28" s="172">
        <v>1994</v>
      </c>
      <c r="B28" s="175">
        <f>'a1'!F32/1000</f>
        <v>29000.663</v>
      </c>
      <c r="C28" s="183">
        <v>22367.7</v>
      </c>
      <c r="D28" s="175">
        <f>D27*POWER(D$32/D$26,1/6)</f>
        <v>26875.177834306178</v>
      </c>
      <c r="E28" s="182">
        <f t="shared" si="7"/>
        <v>9.728423827331083</v>
      </c>
      <c r="F28" s="179">
        <f t="shared" ref="F28:F42" si="10">F27*(1+$P$47/100)</f>
        <v>11.351719751844904</v>
      </c>
      <c r="G28" s="175">
        <f t="shared" si="8"/>
        <v>261453.1204070244</v>
      </c>
      <c r="H28" s="175">
        <f t="shared" si="9"/>
        <v>305079.48705603776</v>
      </c>
      <c r="I28" s="306">
        <f>'a8'!C32</f>
        <v>88.2</v>
      </c>
      <c r="J28" s="181">
        <f>'a1'!B32</f>
        <v>85.7</v>
      </c>
      <c r="K28" s="175">
        <f t="shared" si="5"/>
        <v>10519.741809214422</v>
      </c>
      <c r="M28" s="172">
        <v>1994</v>
      </c>
      <c r="N28" s="191">
        <v>80.174999999999997</v>
      </c>
      <c r="O28" s="172">
        <v>85.7</v>
      </c>
      <c r="P28" s="207">
        <f t="shared" si="6"/>
        <v>93.553092182030326</v>
      </c>
    </row>
    <row r="29" spans="1:19">
      <c r="A29" s="172">
        <v>1995</v>
      </c>
      <c r="B29" s="175">
        <f>'a1'!F33/1000</f>
        <v>29302.311000000002</v>
      </c>
      <c r="C29" s="183">
        <v>22660</v>
      </c>
      <c r="D29" s="175">
        <f>D28*POWER(D$32/D$26,1/6)</f>
        <v>27829.270944586391</v>
      </c>
      <c r="E29" s="182">
        <f t="shared" si="7"/>
        <v>10.039374995897514</v>
      </c>
      <c r="F29" s="179">
        <f t="shared" si="10"/>
        <v>11.460473739609036</v>
      </c>
      <c r="G29" s="175">
        <f t="shared" si="8"/>
        <v>279388.48687513784</v>
      </c>
      <c r="H29" s="175">
        <f t="shared" si="9"/>
        <v>318936.62885289709</v>
      </c>
      <c r="I29" s="306">
        <f>'a8'!C33</f>
        <v>90.2</v>
      </c>
      <c r="J29" s="181">
        <f>'a1'!B33</f>
        <v>87.6</v>
      </c>
      <c r="K29" s="175">
        <f t="shared" si="5"/>
        <v>10884.35068663687</v>
      </c>
      <c r="M29" s="172">
        <v>1995</v>
      </c>
      <c r="N29" s="191">
        <v>81.45</v>
      </c>
      <c r="O29" s="172">
        <v>87.6</v>
      </c>
      <c r="P29" s="207">
        <f t="shared" si="6"/>
        <v>92.979452054794535</v>
      </c>
    </row>
    <row r="30" spans="1:19">
      <c r="A30" s="172">
        <v>1996</v>
      </c>
      <c r="B30" s="175">
        <f>'a1'!F34/1000</f>
        <v>29610.218000000001</v>
      </c>
      <c r="C30" s="183">
        <v>22959.5</v>
      </c>
      <c r="D30" s="175">
        <f>D29*POWER(D$32/D$26,1/6)</f>
        <v>28817.235222852782</v>
      </c>
      <c r="E30" s="182">
        <f t="shared" si="7"/>
        <v>10.285969704455216</v>
      </c>
      <c r="F30" s="179">
        <f t="shared" si="10"/>
        <v>11.570269633807889</v>
      </c>
      <c r="G30" s="175">
        <f t="shared" si="8"/>
        <v>296413.20846842346</v>
      </c>
      <c r="H30" s="175">
        <f t="shared" si="9"/>
        <v>333423.18162927264</v>
      </c>
      <c r="I30" s="306">
        <f>'a8'!C34</f>
        <v>91.6</v>
      </c>
      <c r="J30" s="181">
        <f>'a1'!B34</f>
        <v>88.9</v>
      </c>
      <c r="K30" s="175">
        <f t="shared" si="5"/>
        <v>11260.409552853431</v>
      </c>
      <c r="M30" s="172">
        <v>1996</v>
      </c>
      <c r="N30" s="191">
        <v>81.150000000000006</v>
      </c>
      <c r="O30" s="172">
        <v>88.9</v>
      </c>
      <c r="P30" s="207">
        <f t="shared" si="6"/>
        <v>91.282339707536565</v>
      </c>
    </row>
    <row r="31" spans="1:19">
      <c r="A31" s="172">
        <v>1997</v>
      </c>
      <c r="B31" s="175">
        <f>'a1'!F35/1000</f>
        <v>29905.948</v>
      </c>
      <c r="C31" s="183">
        <v>23246.7</v>
      </c>
      <c r="D31" s="175">
        <f>D30*POWER(D$32/D$26,1/6)</f>
        <v>29840.273126190918</v>
      </c>
      <c r="E31" s="182">
        <f t="shared" si="7"/>
        <v>10.559730144352638</v>
      </c>
      <c r="F31" s="179">
        <f t="shared" si="10"/>
        <v>11.681117416319289</v>
      </c>
      <c r="G31" s="175">
        <f t="shared" si="8"/>
        <v>315105.23164635419</v>
      </c>
      <c r="H31" s="175">
        <f t="shared" si="9"/>
        <v>348567.73412207316</v>
      </c>
      <c r="I31" s="306">
        <f>'a8'!C35</f>
        <v>92.7</v>
      </c>
      <c r="J31" s="181">
        <f>'a1'!B35</f>
        <v>90.4</v>
      </c>
      <c r="K31" s="175">
        <f t="shared" si="5"/>
        <v>11655.465130952318</v>
      </c>
      <c r="M31" s="172">
        <v>1997</v>
      </c>
      <c r="N31" s="191">
        <v>82.375</v>
      </c>
      <c r="O31" s="172">
        <v>90.4</v>
      </c>
      <c r="P31" s="207">
        <f t="shared" si="6"/>
        <v>91.122787610619454</v>
      </c>
    </row>
    <row r="32" spans="1:19">
      <c r="A32" s="172">
        <v>1998</v>
      </c>
      <c r="B32" s="175">
        <f>'a1'!F36/1000</f>
        <v>30155.172999999999</v>
      </c>
      <c r="C32" s="183">
        <v>23515.7</v>
      </c>
      <c r="D32" s="184">
        <f>C32*S32*365/1000</f>
        <v>30899.629800000002</v>
      </c>
      <c r="E32" s="182">
        <f t="shared" si="7"/>
        <v>10.76703380132674</v>
      </c>
      <c r="F32" s="179">
        <f t="shared" si="10"/>
        <v>11.793027164651415</v>
      </c>
      <c r="G32" s="175">
        <f t="shared" si="8"/>
        <v>332697.35850508302</v>
      </c>
      <c r="H32" s="177">
        <f t="shared" si="9"/>
        <v>364400.1736090724</v>
      </c>
      <c r="I32" s="306">
        <f>'a8'!C36</f>
        <v>92.3</v>
      </c>
      <c r="J32" s="181">
        <f>'a1'!B36</f>
        <v>91.3</v>
      </c>
      <c r="K32" s="175">
        <f t="shared" si="5"/>
        <v>12084.167900780156</v>
      </c>
      <c r="M32" s="172">
        <v>1998</v>
      </c>
      <c r="N32" s="191">
        <v>85.6</v>
      </c>
      <c r="O32" s="172">
        <v>91.3</v>
      </c>
      <c r="P32" s="207">
        <f t="shared" si="6"/>
        <v>93.756845564074482</v>
      </c>
      <c r="S32" s="172">
        <v>3.6</v>
      </c>
    </row>
    <row r="33" spans="1:19">
      <c r="A33" s="172">
        <v>1999</v>
      </c>
      <c r="B33" s="175">
        <f>'a1'!F37/1000</f>
        <v>30401.286</v>
      </c>
      <c r="C33" s="183">
        <v>23781.4</v>
      </c>
      <c r="D33" s="175">
        <f>C33*365*S33/1000</f>
        <v>30994.637166884087</v>
      </c>
      <c r="E33" s="182">
        <f t="shared" si="7"/>
        <v>11.060682410105994</v>
      </c>
      <c r="F33" s="179">
        <f t="shared" si="10"/>
        <v>11.906009052858982</v>
      </c>
      <c r="G33" s="175">
        <f t="shared" si="8"/>
        <v>342821.83811937232</v>
      </c>
      <c r="H33" s="175">
        <f t="shared" ref="H33:H42" si="11">D33*F33</f>
        <v>369022.43069900142</v>
      </c>
      <c r="I33" s="306">
        <f>'a8'!C37</f>
        <v>93.9</v>
      </c>
      <c r="J33" s="181">
        <f>'a1'!B37</f>
        <v>92.9</v>
      </c>
      <c r="K33" s="175">
        <f t="shared" si="5"/>
        <v>12138.382261164919</v>
      </c>
      <c r="M33" s="172">
        <v>1999</v>
      </c>
      <c r="N33" s="191">
        <v>88.4</v>
      </c>
      <c r="O33" s="172">
        <v>92.9</v>
      </c>
      <c r="P33" s="207">
        <f t="shared" si="6"/>
        <v>95.156081808396124</v>
      </c>
      <c r="S33" s="191">
        <f t="shared" ref="S33:S38" si="12">S32*POWER(S$39/S$32, 1/7)</f>
        <v>3.5707239336560006</v>
      </c>
    </row>
    <row r="34" spans="1:19">
      <c r="A34" s="172">
        <v>2000</v>
      </c>
      <c r="B34" s="175">
        <f>'a1'!F38/1000</f>
        <v>30685.73</v>
      </c>
      <c r="C34" s="183">
        <v>24089.7</v>
      </c>
      <c r="D34" s="175">
        <f t="shared" ref="D34:D41" si="13">C34*365*S34/1000</f>
        <v>31141.125467359059</v>
      </c>
      <c r="E34" s="182">
        <f t="shared" si="7"/>
        <v>11.46714997825466</v>
      </c>
      <c r="F34" s="179">
        <f t="shared" si="10"/>
        <v>12.020073352468197</v>
      </c>
      <c r="G34" s="175">
        <f t="shared" si="8"/>
        <v>357099.95622585207</v>
      </c>
      <c r="H34" s="175">
        <f t="shared" si="11"/>
        <v>374318.61239607137</v>
      </c>
      <c r="I34" s="306">
        <f>'a8'!C38</f>
        <v>97.8</v>
      </c>
      <c r="J34" s="181">
        <f>'a1'!B38</f>
        <v>95.4</v>
      </c>
      <c r="K34" s="175">
        <f t="shared" si="5"/>
        <v>12198.458775335355</v>
      </c>
      <c r="M34" s="172">
        <v>2000</v>
      </c>
      <c r="N34" s="191">
        <v>93.95</v>
      </c>
      <c r="O34" s="172">
        <v>95.4</v>
      </c>
      <c r="P34" s="207">
        <f t="shared" si="6"/>
        <v>98.480083857442352</v>
      </c>
      <c r="S34" s="191">
        <f t="shared" si="12"/>
        <v>3.5416859473288285</v>
      </c>
    </row>
    <row r="35" spans="1:19">
      <c r="A35" s="172">
        <v>2001</v>
      </c>
      <c r="B35" s="175">
        <f>'a1'!F39/1000</f>
        <v>31019.02</v>
      </c>
      <c r="C35" s="183">
        <v>24439</v>
      </c>
      <c r="D35" s="175">
        <f t="shared" si="13"/>
        <v>31335.751743423527</v>
      </c>
      <c r="E35" s="182">
        <f t="shared" si="7"/>
        <v>11.868255363875532</v>
      </c>
      <c r="F35" s="179">
        <f t="shared" si="10"/>
        <v>12.135230433410566</v>
      </c>
      <c r="G35" s="175">
        <f t="shared" si="8"/>
        <v>371900.7037099583</v>
      </c>
      <c r="H35" s="175">
        <f t="shared" si="11"/>
        <v>380266.56821059139</v>
      </c>
      <c r="I35" s="306">
        <f>'a8'!C39</f>
        <v>98.9</v>
      </c>
      <c r="J35" s="181">
        <f>'a1'!B39</f>
        <v>97.8</v>
      </c>
      <c r="K35" s="175">
        <f t="shared" si="5"/>
        <v>12259.141913915764</v>
      </c>
      <c r="M35" s="172">
        <v>2001</v>
      </c>
      <c r="N35" s="191">
        <v>97.774999999999991</v>
      </c>
      <c r="O35" s="172">
        <v>97.8</v>
      </c>
      <c r="P35" s="207">
        <f t="shared" si="6"/>
        <v>99.974437627811852</v>
      </c>
      <c r="S35" s="191">
        <f t="shared" si="12"/>
        <v>3.5128841048944928</v>
      </c>
    </row>
    <row r="36" spans="1:19">
      <c r="A36" s="172">
        <v>2002</v>
      </c>
      <c r="B36" s="175">
        <f>'a1'!F40/1000</f>
        <v>31353.655999999999</v>
      </c>
      <c r="C36" s="183">
        <v>24785.9</v>
      </c>
      <c r="D36" s="175">
        <f t="shared" si="13"/>
        <v>31522.100796241837</v>
      </c>
      <c r="E36" s="182">
        <f t="shared" si="7"/>
        <v>12.251490764965665</v>
      </c>
      <c r="F36" s="179">
        <f t="shared" si="10"/>
        <v>12.251490764965665</v>
      </c>
      <c r="G36" s="175">
        <f t="shared" si="8"/>
        <v>386192.72679747368</v>
      </c>
      <c r="H36" s="175">
        <f t="shared" si="11"/>
        <v>386192.72679747368</v>
      </c>
      <c r="I36" s="306">
        <f>'a8'!C40</f>
        <v>100</v>
      </c>
      <c r="J36" s="181">
        <f>'a1'!B40</f>
        <v>100</v>
      </c>
      <c r="K36" s="175">
        <f t="shared" si="5"/>
        <v>12317.310836014585</v>
      </c>
      <c r="M36" s="172">
        <v>2002</v>
      </c>
      <c r="N36" s="191">
        <v>100</v>
      </c>
      <c r="O36" s="172">
        <v>100</v>
      </c>
      <c r="P36" s="207">
        <f t="shared" si="6"/>
        <v>100</v>
      </c>
      <c r="S36" s="191">
        <f t="shared" si="12"/>
        <v>3.4843164859740283</v>
      </c>
    </row>
    <row r="37" spans="1:19">
      <c r="A37" s="172">
        <v>2003</v>
      </c>
      <c r="B37" s="175">
        <f>'a1'!F41/1000</f>
        <v>31639.67</v>
      </c>
      <c r="C37" s="183">
        <v>25098.5</v>
      </c>
      <c r="D37" s="175">
        <f t="shared" si="13"/>
        <v>31660.079484057438</v>
      </c>
      <c r="E37" s="182">
        <f t="shared" si="7"/>
        <v>12.71519313438089</v>
      </c>
      <c r="F37" s="179">
        <f t="shared" si="10"/>
        <v>12.368864916712928</v>
      </c>
      <c r="G37" s="175">
        <f t="shared" si="8"/>
        <v>402564.02528964041</v>
      </c>
      <c r="H37" s="175">
        <f t="shared" si="11"/>
        <v>391599.24639070081</v>
      </c>
      <c r="I37" s="306">
        <f>'a8'!C41</f>
        <v>103.3</v>
      </c>
      <c r="J37" s="181">
        <f>'a1'!B41</f>
        <v>102.8</v>
      </c>
      <c r="K37" s="175">
        <f t="shared" si="5"/>
        <v>12376.84357614036</v>
      </c>
      <c r="M37" s="172">
        <v>2003</v>
      </c>
      <c r="N37" s="191">
        <v>102.92500000000001</v>
      </c>
      <c r="O37" s="172">
        <v>102.8</v>
      </c>
      <c r="P37" s="207">
        <f t="shared" si="6"/>
        <v>100.12159533073932</v>
      </c>
      <c r="S37" s="191">
        <f t="shared" si="12"/>
        <v>3.4559811858054541</v>
      </c>
    </row>
    <row r="38" spans="1:19">
      <c r="A38" s="172">
        <v>2004</v>
      </c>
      <c r="B38" s="175">
        <f>'a1'!F42/1000</f>
        <v>31940.675999999999</v>
      </c>
      <c r="C38" s="183">
        <v>25431</v>
      </c>
      <c r="D38" s="175">
        <f t="shared" si="13"/>
        <v>31818.627737953142</v>
      </c>
      <c r="E38" s="182">
        <f t="shared" si="7"/>
        <v>13.074269646788714</v>
      </c>
      <c r="F38" s="179">
        <f t="shared" si="10"/>
        <v>12.487363559492563</v>
      </c>
      <c r="G38" s="175">
        <f t="shared" si="8"/>
        <v>416005.31883679022</v>
      </c>
      <c r="H38" s="175">
        <f t="shared" si="11"/>
        <v>397330.77252797532</v>
      </c>
      <c r="I38" s="306">
        <f>'a8'!C42</f>
        <v>106.6</v>
      </c>
      <c r="J38" s="181">
        <f>'a1'!B42</f>
        <v>104.7</v>
      </c>
      <c r="K38" s="175">
        <f t="shared" si="5"/>
        <v>12439.648194295427</v>
      </c>
      <c r="M38" s="172">
        <v>2004</v>
      </c>
      <c r="N38" s="191">
        <v>106.02500000000001</v>
      </c>
      <c r="O38" s="172">
        <v>104.7</v>
      </c>
      <c r="P38" s="207">
        <f t="shared" si="6"/>
        <v>101.26552053486151</v>
      </c>
      <c r="S38" s="191">
        <f t="shared" si="12"/>
        <v>3.4278763151167722</v>
      </c>
    </row>
    <row r="39" spans="1:19">
      <c r="A39" s="172">
        <v>2005</v>
      </c>
      <c r="B39" s="175">
        <f>'a1'!F43/1000</f>
        <v>32245.208999999999</v>
      </c>
      <c r="C39" s="183">
        <v>25779.8</v>
      </c>
      <c r="D39" s="184">
        <f t="shared" si="13"/>
        <v>31992.731800000001</v>
      </c>
      <c r="E39" s="182">
        <f t="shared" si="7"/>
        <v>13.489487289021966</v>
      </c>
      <c r="F39" s="179">
        <f t="shared" si="10"/>
        <v>12.606997466375669</v>
      </c>
      <c r="G39" s="175">
        <f t="shared" si="8"/>
        <v>431565.54895718885</v>
      </c>
      <c r="H39" s="177">
        <f t="shared" si="11"/>
        <v>403332.28874503629</v>
      </c>
      <c r="I39" s="306">
        <f>'a8'!C43</f>
        <v>110.1</v>
      </c>
      <c r="J39" s="181">
        <f>'a1'!B43</f>
        <v>107</v>
      </c>
      <c r="K39" s="175">
        <f t="shared" si="5"/>
        <v>12508.285765647737</v>
      </c>
      <c r="M39" s="172">
        <v>2005</v>
      </c>
      <c r="N39" s="191">
        <v>111.075</v>
      </c>
      <c r="O39" s="172">
        <v>107</v>
      </c>
      <c r="P39" s="207">
        <f t="shared" si="6"/>
        <v>103.80841121495328</v>
      </c>
      <c r="S39" s="172">
        <v>3.4</v>
      </c>
    </row>
    <row r="40" spans="1:19">
      <c r="A40" s="172">
        <v>2006</v>
      </c>
      <c r="B40" s="175">
        <f>'a1'!F44/1000</f>
        <v>32576.074000000001</v>
      </c>
      <c r="C40" s="183">
        <v>26145.9</v>
      </c>
      <c r="D40" s="175">
        <f t="shared" si="13"/>
        <v>32183.194584207708</v>
      </c>
      <c r="E40" s="182">
        <f t="shared" si="7"/>
        <v>13.886005267385217</v>
      </c>
      <c r="F40" s="179">
        <f t="shared" si="10"/>
        <v>12.727777513643646</v>
      </c>
      <c r="G40" s="175">
        <f t="shared" si="8"/>
        <v>446896.00951759162</v>
      </c>
      <c r="H40" s="175">
        <f t="shared" si="11"/>
        <v>409620.54034609685</v>
      </c>
      <c r="I40" s="306">
        <f>'a8'!C44</f>
        <v>113</v>
      </c>
      <c r="J40" s="181">
        <f>'a1'!B44</f>
        <v>109.1</v>
      </c>
      <c r="K40" s="175">
        <f t="shared" si="5"/>
        <v>12574.275842635207</v>
      </c>
      <c r="M40" s="172">
        <v>2006</v>
      </c>
      <c r="N40" s="191">
        <v>116.425</v>
      </c>
      <c r="O40" s="172">
        <v>109.1</v>
      </c>
      <c r="P40" s="207">
        <f t="shared" si="6"/>
        <v>106.71402383134738</v>
      </c>
      <c r="S40" s="191">
        <f>S39*POWER(S$39/S$32,1/7)</f>
        <v>3.3723503817862226</v>
      </c>
    </row>
    <row r="41" spans="1:19">
      <c r="A41" s="172">
        <v>2007</v>
      </c>
      <c r="B41" s="175">
        <f>'a1'!F45/1000</f>
        <v>32929.733</v>
      </c>
      <c r="C41" s="183">
        <v>26519.9</v>
      </c>
      <c r="D41" s="175">
        <f t="shared" si="13"/>
        <v>32378.088896893376</v>
      </c>
      <c r="E41" s="182">
        <f t="shared" si="7"/>
        <v>14.327431870181353</v>
      </c>
      <c r="F41" s="179">
        <f t="shared" si="10"/>
        <v>12.849714681776998</v>
      </c>
      <c r="G41" s="175">
        <f t="shared" si="8"/>
        <v>463894.86275691516</v>
      </c>
      <c r="H41" s="175">
        <f t="shared" si="11"/>
        <v>416049.20426629164</v>
      </c>
      <c r="I41" s="306">
        <f>'a8'!C45</f>
        <v>116.7</v>
      </c>
      <c r="J41" s="181">
        <f>'a1'!B45</f>
        <v>111.5</v>
      </c>
      <c r="K41" s="175">
        <f t="shared" si="5"/>
        <v>12634.454226102946</v>
      </c>
      <c r="M41" s="172">
        <v>2007</v>
      </c>
      <c r="N41" s="191">
        <v>121.075</v>
      </c>
      <c r="O41" s="172">
        <v>111.5</v>
      </c>
      <c r="P41" s="207">
        <f t="shared" si="6"/>
        <v>108.58744394618833</v>
      </c>
      <c r="S41" s="191">
        <f>S40*POWER(S$39/S$32,1/7)</f>
        <v>3.344925616921671</v>
      </c>
    </row>
    <row r="42" spans="1:19" ht="15">
      <c r="A42" s="172">
        <v>2008</v>
      </c>
      <c r="B42" s="175">
        <f>'a1'!F46/1000</f>
        <v>33315.976000000002</v>
      </c>
      <c r="C42" s="183">
        <v>26907.4</v>
      </c>
      <c r="D42" s="175">
        <f>C42*365*S42/1000</f>
        <v>32584.033056992008</v>
      </c>
      <c r="E42" s="182">
        <f>F42*J42/100</f>
        <v>14.801987684413549</v>
      </c>
      <c r="F42" s="179">
        <f t="shared" si="10"/>
        <v>12.972820056453592</v>
      </c>
      <c r="G42" s="175">
        <f t="shared" si="8"/>
        <v>482308.45601811964</v>
      </c>
      <c r="H42" s="175">
        <f t="shared" si="11"/>
        <v>422706.79756189277</v>
      </c>
      <c r="I42" s="306">
        <f>'a8'!C46</f>
        <v>121.4</v>
      </c>
      <c r="J42" s="181">
        <f>'a1'!B46</f>
        <v>114.1</v>
      </c>
      <c r="K42" s="175">
        <f t="shared" si="5"/>
        <v>12687.810723656805</v>
      </c>
      <c r="M42" s="172">
        <v>2009</v>
      </c>
      <c r="N42" s="307">
        <v>124.875</v>
      </c>
      <c r="O42" s="208">
        <v>114.1</v>
      </c>
      <c r="P42" s="207">
        <f t="shared" si="6"/>
        <v>109.44347063978965</v>
      </c>
      <c r="S42" s="191">
        <f>S41*POWER(S$39/S$32,1/7)</f>
        <v>3.3177238768447981</v>
      </c>
    </row>
    <row r="43" spans="1:19" ht="15">
      <c r="A43" s="172">
        <v>2009</v>
      </c>
      <c r="B43" s="175">
        <f>'a1'!F47/1000</f>
        <v>33720.184000000001</v>
      </c>
      <c r="C43" s="183">
        <v>27298.2</v>
      </c>
      <c r="D43" s="175">
        <f>C43*365*S43/1000</f>
        <v>32788.45007141486</v>
      </c>
      <c r="E43" s="182">
        <f>F43*J43/100</f>
        <v>14.983087925012637</v>
      </c>
      <c r="F43" s="179">
        <f>F42*(1+$P$47/100)</f>
        <v>13.0971048295565</v>
      </c>
      <c r="G43" s="175">
        <f t="shared" ref="G43" si="14">E43*D43</f>
        <v>491272.23034489568</v>
      </c>
      <c r="H43" s="175">
        <f t="shared" ref="H43" si="15">D43*F43</f>
        <v>429433.76778399973</v>
      </c>
      <c r="I43" s="306">
        <f>'a8'!C47</f>
        <v>118.8</v>
      </c>
      <c r="J43" s="181">
        <f>'a1'!B47</f>
        <v>114.4</v>
      </c>
      <c r="K43" s="175">
        <f t="shared" ref="K43:K44" si="16">H43/B43*1000</f>
        <v>12735.214249839197</v>
      </c>
      <c r="M43" s="172">
        <v>2009</v>
      </c>
      <c r="N43" s="310">
        <v>128.6</v>
      </c>
      <c r="O43" s="208">
        <v>114.4</v>
      </c>
      <c r="P43" s="207">
        <f>N43/O43*100</f>
        <v>112.4125874125874</v>
      </c>
      <c r="S43" s="191">
        <f>S42*POWER(S$39/S$32,1/7)</f>
        <v>3.2907433478643595</v>
      </c>
    </row>
    <row r="44" spans="1:19" ht="15">
      <c r="A44" s="172">
        <v>2010</v>
      </c>
      <c r="B44" s="175">
        <f>'a1'!F48/1000</f>
        <v>34108.752</v>
      </c>
      <c r="C44" s="183">
        <v>27658.5</v>
      </c>
      <c r="D44" s="175">
        <f>C44*365*S44/1000</f>
        <v>32951.051176069937</v>
      </c>
      <c r="E44" s="182">
        <f>F44*J44/100</f>
        <v>15.404306049723072</v>
      </c>
      <c r="F44" s="179">
        <f>F43*(1+$P$47/100)</f>
        <v>13.222580300191479</v>
      </c>
      <c r="G44" s="175">
        <f t="shared" ref="G44" si="17">E44*D44</f>
        <v>507588.07697626867</v>
      </c>
      <c r="H44" s="175">
        <f t="shared" ref="H44" si="18">D44*F44</f>
        <v>435697.92015130364</v>
      </c>
      <c r="I44" s="306">
        <f>'a8'!C48</f>
        <v>121.40268386104673</v>
      </c>
      <c r="J44" s="181">
        <f>'a1'!B48</f>
        <v>116.5</v>
      </c>
      <c r="K44" s="175">
        <f t="shared" si="16"/>
        <v>12773.786626708114</v>
      </c>
      <c r="N44" s="310"/>
      <c r="O44" s="208"/>
      <c r="P44" s="207"/>
      <c r="S44" s="191">
        <f>S43*POWER(S$39/S$32,1/7)</f>
        <v>3.2639822310384838</v>
      </c>
    </row>
    <row r="45" spans="1:19" ht="15" customHeight="1">
      <c r="A45" s="172" t="s">
        <v>435</v>
      </c>
      <c r="M45" s="172" t="s">
        <v>584</v>
      </c>
    </row>
    <row r="46" spans="1:19" ht="15" customHeight="1">
      <c r="A46" s="172" t="s">
        <v>436</v>
      </c>
      <c r="B46" s="179">
        <f>(POWER(B32/B26, 1/6)-1)*100</f>
        <v>1.0215101873224386</v>
      </c>
      <c r="C46" s="179">
        <f>(POWER(C32/C26, 1/6)-1)*100</f>
        <v>1.2550122847519329</v>
      </c>
      <c r="D46" s="179">
        <f t="shared" ref="D46:K46" si="19">(POWER(D32/D26,1/6)-1)*100</f>
        <v>3.5500904074476924</v>
      </c>
      <c r="E46" s="179">
        <f t="shared" si="19"/>
        <v>2.3700286343186772</v>
      </c>
      <c r="F46" s="179">
        <f t="shared" si="19"/>
        <v>0.95803975205128733</v>
      </c>
      <c r="G46" s="179">
        <f t="shared" si="19"/>
        <v>6.0042572009670891</v>
      </c>
      <c r="H46" s="179">
        <f t="shared" si="19"/>
        <v>4.5421414368360891</v>
      </c>
      <c r="I46" s="179">
        <f t="shared" si="19"/>
        <v>1.2048726835517165</v>
      </c>
      <c r="J46" s="179">
        <f t="shared" si="19"/>
        <v>1.3985898356734916</v>
      </c>
      <c r="K46" s="179">
        <f t="shared" si="19"/>
        <v>3.4850312997552813</v>
      </c>
      <c r="M46" s="172" t="s">
        <v>438</v>
      </c>
      <c r="N46" s="207">
        <f>(POWER(N39/N26,1/13)-1)*100</f>
        <v>2.6633703792159125</v>
      </c>
      <c r="O46" s="207">
        <f>(POWER(O39/O26,1/13)-1)*100</f>
        <v>1.8790674262326945</v>
      </c>
      <c r="P46" s="207">
        <f>(POWER(P39/P26,1/13)-1)*100</f>
        <v>0.76983719305354636</v>
      </c>
    </row>
    <row r="47" spans="1:19" ht="15" customHeight="1">
      <c r="A47" s="272" t="s">
        <v>1051</v>
      </c>
      <c r="B47" s="273">
        <f t="shared" ref="B47:K47" si="20">(POWER(B44/B26, 1/18)-1)*100</f>
        <v>1.0284593614278359</v>
      </c>
      <c r="C47" s="273">
        <f t="shared" si="20"/>
        <v>1.3259186340217388</v>
      </c>
      <c r="D47" s="273">
        <f t="shared" si="20"/>
        <v>1.5315577816410908</v>
      </c>
      <c r="E47" s="273">
        <f t="shared" si="20"/>
        <v>2.8092969963465997</v>
      </c>
      <c r="F47" s="273">
        <f t="shared" si="20"/>
        <v>0.95803975205128733</v>
      </c>
      <c r="G47" s="273">
        <f t="shared" si="20"/>
        <v>4.3838807847446537</v>
      </c>
      <c r="H47" s="273">
        <f t="shared" si="20"/>
        <v>2.5042704660661386</v>
      </c>
      <c r="I47" s="273">
        <f t="shared" si="20"/>
        <v>1.9404146494343744</v>
      </c>
      <c r="J47" s="273">
        <f t="shared" si="20"/>
        <v>1.8336897673943753</v>
      </c>
      <c r="K47" s="273">
        <f t="shared" si="20"/>
        <v>1.4607874988557423</v>
      </c>
      <c r="M47" s="172" t="s">
        <v>975</v>
      </c>
      <c r="N47" s="207">
        <f>(POWER(N42/N26,1/16)-1)*100</f>
        <v>2.9091063640951154</v>
      </c>
      <c r="O47" s="207">
        <f>(POWER(O42/O26,1/16)-1)*100</f>
        <v>1.9325519956959969</v>
      </c>
      <c r="P47" s="207">
        <f>(POWER(P42/P26,1/16)-1)*100</f>
        <v>0.95803975205128733</v>
      </c>
    </row>
    <row r="48" spans="1:19" ht="18" customHeight="1">
      <c r="A48" s="642" t="s">
        <v>886</v>
      </c>
      <c r="B48" s="642"/>
      <c r="C48" s="642"/>
      <c r="D48" s="642"/>
      <c r="E48" s="642"/>
      <c r="F48" s="642"/>
      <c r="G48" s="642"/>
      <c r="H48" s="642"/>
      <c r="I48" s="642"/>
      <c r="J48" s="642"/>
      <c r="K48" s="642"/>
    </row>
    <row r="49" spans="1:13">
      <c r="A49" s="185" t="s">
        <v>912</v>
      </c>
      <c r="B49" s="203"/>
      <c r="C49" s="203"/>
      <c r="D49" s="203"/>
      <c r="E49" s="203"/>
      <c r="F49" s="203"/>
      <c r="G49" s="203"/>
      <c r="H49" s="203"/>
      <c r="I49" s="203"/>
      <c r="J49" s="203"/>
      <c r="K49" s="203"/>
    </row>
    <row r="50" spans="1:13">
      <c r="A50" s="172" t="s">
        <v>974</v>
      </c>
      <c r="M50" s="172" t="s">
        <v>909</v>
      </c>
    </row>
    <row r="51" spans="1:13">
      <c r="A51" s="172" t="s">
        <v>887</v>
      </c>
    </row>
    <row r="52" spans="1:13">
      <c r="A52" s="642" t="s">
        <v>1055</v>
      </c>
      <c r="B52" s="642"/>
      <c r="C52" s="642"/>
      <c r="D52" s="642"/>
      <c r="E52" s="642"/>
      <c r="F52" s="642"/>
      <c r="G52" s="642"/>
      <c r="H52" s="642"/>
      <c r="I52" s="642"/>
      <c r="J52" s="642"/>
      <c r="K52" s="642"/>
    </row>
    <row r="53" spans="1:13">
      <c r="A53" s="172" t="s">
        <v>439</v>
      </c>
    </row>
    <row r="54" spans="1:13">
      <c r="A54" s="172" t="s">
        <v>437</v>
      </c>
    </row>
    <row r="55" spans="1:13" ht="13.5" customHeight="1">
      <c r="A55" s="185" t="s">
        <v>1030</v>
      </c>
    </row>
    <row r="56" spans="1:13" ht="13.5" customHeight="1">
      <c r="A56" s="185" t="s">
        <v>1050</v>
      </c>
    </row>
    <row r="57" spans="1:13">
      <c r="A57" s="185" t="s">
        <v>888</v>
      </c>
    </row>
    <row r="58" spans="1:13">
      <c r="A58" s="1" t="s">
        <v>1052</v>
      </c>
    </row>
    <row r="59" spans="1:13" hidden="1"/>
    <row r="60" spans="1:13" ht="15.75">
      <c r="C60" s="186"/>
    </row>
    <row r="61" spans="1:13">
      <c r="C61" s="209"/>
    </row>
  </sheetData>
  <mergeCells count="2">
    <mergeCell ref="A48:K48"/>
    <mergeCell ref="A52:K52"/>
  </mergeCells>
  <pageMargins left="0.74803149606299213" right="0.74803149606299213" top="0.98425196850393704" bottom="0.98425196850393704" header="0.51181102362204722" footer="0.51181102362204722"/>
  <pageSetup scale="54" orientation="landscape" r:id="rId1"/>
  <headerFooter alignWithMargins="0"/>
  <legacyDrawing r:id="rId2"/>
</worksheet>
</file>

<file path=xl/worksheets/sheet180.xml><?xml version="1.0" encoding="utf-8"?>
<worksheet xmlns="http://schemas.openxmlformats.org/spreadsheetml/2006/main" xmlns:r="http://schemas.openxmlformats.org/officeDocument/2006/relationships">
  <dimension ref="A1:L46"/>
  <sheetViews>
    <sheetView workbookViewId="0">
      <selection activeCell="E9" sqref="E9"/>
    </sheetView>
  </sheetViews>
  <sheetFormatPr defaultRowHeight="12.75"/>
  <cols>
    <col min="1" max="16384" width="9" style="618"/>
  </cols>
  <sheetData>
    <row r="1" spans="1:12">
      <c r="A1" s="611" t="s">
        <v>1530</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31">
        <f>'7'!C18</f>
        <v>0.18989999999999999</v>
      </c>
      <c r="C5" s="631">
        <f>'7'!G18</f>
        <v>0.16539999999999999</v>
      </c>
      <c r="D5" s="631">
        <f>'7'!K18</f>
        <v>0.16539999999999999</v>
      </c>
      <c r="E5" s="631">
        <f>'7'!O18</f>
        <v>0.2039</v>
      </c>
      <c r="F5" s="631">
        <f>'7'!S18</f>
        <v>0.191</v>
      </c>
      <c r="G5" s="631">
        <f>'7'!W18</f>
        <v>0.1898</v>
      </c>
      <c r="H5" s="631">
        <f>'7'!AA18</f>
        <v>0.17670000000000002</v>
      </c>
      <c r="I5" s="631">
        <f>'7'!AE18</f>
        <v>0.19539999999999999</v>
      </c>
      <c r="J5" s="631">
        <f>'7'!AI18</f>
        <v>0.2024</v>
      </c>
      <c r="K5" s="631">
        <f>'7'!AM18</f>
        <v>0.20949999999999999</v>
      </c>
      <c r="L5" s="631">
        <f>'7'!AQ18</f>
        <v>0.20829999999999999</v>
      </c>
    </row>
    <row r="6" spans="1:12">
      <c r="A6" s="611">
        <f t="shared" ref="A6:A34" si="0">A5+1</f>
        <v>1982</v>
      </c>
      <c r="B6" s="631">
        <f>'7'!C19</f>
        <v>0.1673</v>
      </c>
      <c r="C6" s="631">
        <f>'7'!G19</f>
        <v>0.2177</v>
      </c>
      <c r="D6" s="631">
        <f>'7'!K19</f>
        <v>0.16620000000000001</v>
      </c>
      <c r="E6" s="631">
        <f>'7'!O19</f>
        <v>0.1779</v>
      </c>
      <c r="F6" s="631">
        <f>'7'!S19</f>
        <v>0.21210000000000001</v>
      </c>
      <c r="G6" s="631">
        <f>'7'!W19</f>
        <v>0.18719999999999998</v>
      </c>
      <c r="H6" s="631">
        <f>'7'!AA19</f>
        <v>0.1497</v>
      </c>
      <c r="I6" s="631">
        <f>'7'!AE19</f>
        <v>0.15939999999999999</v>
      </c>
      <c r="J6" s="631">
        <f>'7'!AI19</f>
        <v>0.17129999999999998</v>
      </c>
      <c r="K6" s="631">
        <f>'7'!AM19</f>
        <v>0.1404</v>
      </c>
      <c r="L6" s="631">
        <f>'7'!AQ19</f>
        <v>0.1595</v>
      </c>
    </row>
    <row r="7" spans="1:12">
      <c r="A7" s="611">
        <f t="shared" si="0"/>
        <v>1983</v>
      </c>
      <c r="B7" s="631">
        <f>'7'!C20</f>
        <v>0.17559999999999998</v>
      </c>
      <c r="C7" s="631">
        <f>'7'!G20</f>
        <v>0.19399999999999998</v>
      </c>
      <c r="D7" s="631">
        <f>'7'!K20</f>
        <v>0.1668</v>
      </c>
      <c r="E7" s="631">
        <f>'7'!O20</f>
        <v>0.15109999999999998</v>
      </c>
      <c r="F7" s="631">
        <f>'7'!S20</f>
        <v>0.1699</v>
      </c>
      <c r="G7" s="631">
        <f>'7'!W20</f>
        <v>0.16980000000000001</v>
      </c>
      <c r="H7" s="631">
        <f>'7'!AA20</f>
        <v>0.2077</v>
      </c>
      <c r="I7" s="631">
        <f>'7'!AE20</f>
        <v>0.12659999999999999</v>
      </c>
      <c r="J7" s="631">
        <f>'7'!AI20</f>
        <v>0.192</v>
      </c>
      <c r="K7" s="631">
        <f>'7'!AM20</f>
        <v>0.17420000000000002</v>
      </c>
      <c r="L7" s="631">
        <f>'7'!AQ20</f>
        <v>0.13449999999999998</v>
      </c>
    </row>
    <row r="8" spans="1:12">
      <c r="A8" s="611">
        <f t="shared" si="0"/>
        <v>1984</v>
      </c>
      <c r="B8" s="631">
        <f>'7'!C21</f>
        <v>0.17249999999999999</v>
      </c>
      <c r="C8" s="631">
        <f>'7'!G21</f>
        <v>0.20660000000000001</v>
      </c>
      <c r="D8" s="631">
        <f>'7'!K21</f>
        <v>0.16739999999999999</v>
      </c>
      <c r="E8" s="631">
        <f>'7'!O21</f>
        <v>0.1709</v>
      </c>
      <c r="F8" s="631">
        <f>'7'!S21</f>
        <v>0.17280000000000001</v>
      </c>
      <c r="G8" s="631">
        <f>'7'!W21</f>
        <v>0.1812</v>
      </c>
      <c r="H8" s="631">
        <f>'7'!AA21</f>
        <v>0.152</v>
      </c>
      <c r="I8" s="631">
        <f>'7'!AE21</f>
        <v>0.16829999999999998</v>
      </c>
      <c r="J8" s="631">
        <f>'7'!AI21</f>
        <v>0.15310000000000001</v>
      </c>
      <c r="K8" s="631">
        <f>'7'!AM21</f>
        <v>0.19289999999999999</v>
      </c>
      <c r="L8" s="631">
        <f>'7'!AQ21</f>
        <v>0.19550000000000001</v>
      </c>
    </row>
    <row r="9" spans="1:12">
      <c r="A9" s="611">
        <f t="shared" si="0"/>
        <v>1985</v>
      </c>
      <c r="B9" s="631">
        <f>'7'!C22</f>
        <v>0.1918</v>
      </c>
      <c r="C9" s="631">
        <f>'7'!G22</f>
        <v>0.15820000000000001</v>
      </c>
      <c r="D9" s="631">
        <f>'7'!K22</f>
        <v>0.2041</v>
      </c>
      <c r="E9" s="631">
        <f>'7'!O22</f>
        <v>0.16390000000000002</v>
      </c>
      <c r="F9" s="631">
        <f>'7'!S22</f>
        <v>0.15039999999999998</v>
      </c>
      <c r="G9" s="631">
        <f>'7'!W22</f>
        <v>0.16079999999999997</v>
      </c>
      <c r="H9" s="631">
        <f>'7'!AA22</f>
        <v>0.26629999999999998</v>
      </c>
      <c r="I9" s="631">
        <f>'7'!AE22</f>
        <v>0.17079999999999998</v>
      </c>
      <c r="J9" s="631">
        <f>'7'!AI22</f>
        <v>0.17100000000000001</v>
      </c>
      <c r="K9" s="631">
        <f>'7'!AM22</f>
        <v>0.26769999999999999</v>
      </c>
      <c r="L9" s="631">
        <f>'7'!AQ22</f>
        <v>0.17019999999999999</v>
      </c>
    </row>
    <row r="10" spans="1:12">
      <c r="A10" s="611">
        <f t="shared" si="0"/>
        <v>1986</v>
      </c>
      <c r="B10" s="631">
        <f>'7'!C23</f>
        <v>0.1804</v>
      </c>
      <c r="C10" s="631">
        <f>'7'!G23</f>
        <v>0.17960000000000001</v>
      </c>
      <c r="D10" s="631">
        <f>'7'!K23</f>
        <v>0.16500000000000001</v>
      </c>
      <c r="E10" s="631">
        <f>'7'!O23</f>
        <v>0.14800000000000002</v>
      </c>
      <c r="F10" s="631">
        <f>'7'!S23</f>
        <v>0.19109999999999999</v>
      </c>
      <c r="G10" s="631">
        <f>'7'!W23</f>
        <v>0.17510000000000001</v>
      </c>
      <c r="H10" s="631">
        <f>'7'!AA23</f>
        <v>0.20069999999999999</v>
      </c>
      <c r="I10" s="631">
        <f>'7'!AE23</f>
        <v>0.21840000000000001</v>
      </c>
      <c r="J10" s="631">
        <f>'7'!AI23</f>
        <v>0.18870000000000001</v>
      </c>
      <c r="K10" s="631">
        <f>'7'!AM23</f>
        <v>0.23280000000000001</v>
      </c>
      <c r="L10" s="631">
        <f>'7'!AQ23</f>
        <v>0.1305</v>
      </c>
    </row>
    <row r="11" spans="1:12">
      <c r="A11" s="611">
        <f t="shared" si="0"/>
        <v>1987</v>
      </c>
      <c r="B11" s="631">
        <f>'7'!C24</f>
        <v>0.17960000000000001</v>
      </c>
      <c r="C11" s="631">
        <f>'7'!G24</f>
        <v>0.156</v>
      </c>
      <c r="D11" s="631">
        <f>'7'!K24</f>
        <v>0.126</v>
      </c>
      <c r="E11" s="631">
        <f>'7'!O24</f>
        <v>0.12820000000000001</v>
      </c>
      <c r="F11" s="631">
        <f>'7'!S24</f>
        <v>0.13500000000000001</v>
      </c>
      <c r="G11" s="631">
        <f>'7'!W24</f>
        <v>0.15310000000000001</v>
      </c>
      <c r="H11" s="631">
        <f>'7'!AA24</f>
        <v>0.24760000000000001</v>
      </c>
      <c r="I11" s="631">
        <f>'7'!AE24</f>
        <v>0.13489999999999999</v>
      </c>
      <c r="J11" s="631">
        <f>'7'!AI24</f>
        <v>0.15179999999999999</v>
      </c>
      <c r="K11" s="631">
        <f>'7'!AM24</f>
        <v>0.18899999999999997</v>
      </c>
      <c r="L11" s="631">
        <f>'7'!AQ24</f>
        <v>0.2145</v>
      </c>
    </row>
    <row r="12" spans="1:12">
      <c r="A12" s="611">
        <f t="shared" si="0"/>
        <v>1988</v>
      </c>
      <c r="B12" s="631">
        <f>'7'!C25</f>
        <v>0.16370000000000001</v>
      </c>
      <c r="C12" s="631">
        <f>'7'!G25</f>
        <v>0.16399999999999998</v>
      </c>
      <c r="D12" s="631">
        <f>'7'!K25</f>
        <v>0.1492</v>
      </c>
      <c r="E12" s="631">
        <f>'7'!O25</f>
        <v>0.16170000000000001</v>
      </c>
      <c r="F12" s="631">
        <f>'7'!S25</f>
        <v>0.16579999999999998</v>
      </c>
      <c r="G12" s="631">
        <f>'7'!W25</f>
        <v>0.15279999999999999</v>
      </c>
      <c r="H12" s="631">
        <f>'7'!AA25</f>
        <v>0.2016</v>
      </c>
      <c r="I12" s="631">
        <f>'7'!AE25</f>
        <v>0.18920000000000001</v>
      </c>
      <c r="J12" s="631">
        <f>'7'!AI25</f>
        <v>0.1479</v>
      </c>
      <c r="K12" s="631">
        <f>'7'!AM25</f>
        <v>0.15890000000000001</v>
      </c>
      <c r="L12" s="631">
        <f>'7'!AQ25</f>
        <v>0.1164</v>
      </c>
    </row>
    <row r="13" spans="1:12">
      <c r="A13" s="611">
        <f t="shared" si="0"/>
        <v>1989</v>
      </c>
      <c r="B13" s="631">
        <f>'7'!C26</f>
        <v>0.15010000000000001</v>
      </c>
      <c r="C13" s="631">
        <f>'7'!G26</f>
        <v>0.12869999999999998</v>
      </c>
      <c r="D13" s="631">
        <f>'7'!K26</f>
        <v>0.1278</v>
      </c>
      <c r="E13" s="631">
        <f>'7'!O26</f>
        <v>0.13769999999999999</v>
      </c>
      <c r="F13" s="631">
        <f>'7'!S26</f>
        <v>0.11509999999999999</v>
      </c>
      <c r="G13" s="631">
        <f>'7'!W26</f>
        <v>0.15190000000000001</v>
      </c>
      <c r="H13" s="631">
        <f>'7'!AA26</f>
        <v>0.19260000000000002</v>
      </c>
      <c r="I13" s="631">
        <f>'7'!AE26</f>
        <v>0.15079999999999999</v>
      </c>
      <c r="J13" s="631">
        <f>'7'!AI26</f>
        <v>0.11310000000000001</v>
      </c>
      <c r="K13" s="631">
        <f>'7'!AM26</f>
        <v>0.1051</v>
      </c>
      <c r="L13" s="631">
        <f>'7'!AQ26</f>
        <v>0.15029999999999999</v>
      </c>
    </row>
    <row r="14" spans="1:12">
      <c r="A14" s="611">
        <f t="shared" si="0"/>
        <v>1990</v>
      </c>
      <c r="B14" s="631">
        <f>'7'!C27</f>
        <v>0.15570000000000001</v>
      </c>
      <c r="C14" s="631">
        <f>'7'!G27</f>
        <v>0.1333</v>
      </c>
      <c r="D14" s="631">
        <f>'7'!K27</f>
        <v>0.15359999999999999</v>
      </c>
      <c r="E14" s="631">
        <f>'7'!O27</f>
        <v>0.1074</v>
      </c>
      <c r="F14" s="631">
        <f>'7'!S27</f>
        <v>0.1105</v>
      </c>
      <c r="G14" s="631">
        <f>'7'!W27</f>
        <v>0.13849999999999998</v>
      </c>
      <c r="H14" s="631">
        <f>'7'!AA27</f>
        <v>0.24030000000000001</v>
      </c>
      <c r="I14" s="631">
        <f>'7'!AE27</f>
        <v>0.153</v>
      </c>
      <c r="J14" s="631">
        <f>'7'!AI27</f>
        <v>0.20140000000000002</v>
      </c>
      <c r="K14" s="631">
        <f>'7'!AM27</f>
        <v>0.151</v>
      </c>
      <c r="L14" s="631">
        <f>'7'!AQ27</f>
        <v>0.1142</v>
      </c>
    </row>
    <row r="15" spans="1:12">
      <c r="A15" s="611">
        <f t="shared" si="0"/>
        <v>1991</v>
      </c>
      <c r="B15" s="631">
        <f>'7'!C28</f>
        <v>0.13720000000000002</v>
      </c>
      <c r="C15" s="631">
        <f>'7'!G28</f>
        <v>0.13720000000000002</v>
      </c>
      <c r="D15" s="631">
        <f>'7'!K28</f>
        <v>0.1183</v>
      </c>
      <c r="E15" s="631">
        <f>'7'!O28</f>
        <v>0.10349999999999999</v>
      </c>
      <c r="F15" s="631">
        <f>'7'!S28</f>
        <v>9.9399999999999988E-2</v>
      </c>
      <c r="G15" s="631">
        <f>'7'!W28</f>
        <v>0.1027</v>
      </c>
      <c r="H15" s="631">
        <f>'7'!AA28</f>
        <v>0.21719999999999998</v>
      </c>
      <c r="I15" s="631">
        <f>'7'!AE28</f>
        <v>0.11539999999999999</v>
      </c>
      <c r="J15" s="631">
        <f>'7'!AI28</f>
        <v>0.15990000000000001</v>
      </c>
      <c r="K15" s="631">
        <f>'7'!AM28</f>
        <v>0.23149999999999998</v>
      </c>
      <c r="L15" s="631">
        <f>'7'!AQ28</f>
        <v>6.8499999999999991E-2</v>
      </c>
    </row>
    <row r="16" spans="1:12">
      <c r="A16" s="611">
        <f t="shared" si="0"/>
        <v>1992</v>
      </c>
      <c r="B16" s="631">
        <f>'7'!C29</f>
        <v>0.1487</v>
      </c>
      <c r="C16" s="631">
        <f>'7'!G29</f>
        <v>0.12179999999999999</v>
      </c>
      <c r="D16" s="631">
        <f>'7'!K29</f>
        <v>0.16070000000000001</v>
      </c>
      <c r="E16" s="631">
        <f>'7'!O29</f>
        <v>0.1137</v>
      </c>
      <c r="F16" s="631">
        <f>'7'!S29</f>
        <v>0.11169999999999999</v>
      </c>
      <c r="G16" s="631">
        <f>'7'!W29</f>
        <v>0.1283</v>
      </c>
      <c r="H16" s="631">
        <f>'7'!AA29</f>
        <v>0.22839999999999999</v>
      </c>
      <c r="I16" s="631">
        <f>'7'!AE29</f>
        <v>9.1700000000000004E-2</v>
      </c>
      <c r="J16" s="631">
        <f>'7'!AI29</f>
        <v>0.1593</v>
      </c>
      <c r="K16" s="631">
        <f>'7'!AM29</f>
        <v>0.27899999999999997</v>
      </c>
      <c r="L16" s="631">
        <f>'7'!AQ29</f>
        <v>0.11630000000000001</v>
      </c>
    </row>
    <row r="17" spans="1:12">
      <c r="A17" s="611">
        <f t="shared" si="0"/>
        <v>1993</v>
      </c>
      <c r="B17" s="631">
        <f>'7'!C30</f>
        <v>0.17480000000000001</v>
      </c>
      <c r="C17" s="631">
        <f>'7'!G30</f>
        <v>0.17329999999999998</v>
      </c>
      <c r="D17" s="631">
        <f>'7'!K30</f>
        <v>6.6900000000000001E-2</v>
      </c>
      <c r="E17" s="631">
        <f>'7'!O30</f>
        <v>9.64E-2</v>
      </c>
      <c r="F17" s="631">
        <f>'7'!S30</f>
        <v>8.1000000000000003E-2</v>
      </c>
      <c r="G17" s="631">
        <f>'7'!W30</f>
        <v>0.12210000000000001</v>
      </c>
      <c r="H17" s="631">
        <f>'7'!AA30</f>
        <v>0.21710000000000002</v>
      </c>
      <c r="I17" s="631">
        <f>'7'!AE30</f>
        <v>0.17469999999999999</v>
      </c>
      <c r="J17" s="631">
        <f>'7'!AI30</f>
        <v>0.16920000000000002</v>
      </c>
      <c r="K17" s="631">
        <f>'7'!AM30</f>
        <v>0.2702</v>
      </c>
      <c r="L17" s="631">
        <f>'7'!AQ30</f>
        <v>0.27949999999999997</v>
      </c>
    </row>
    <row r="18" spans="1:12">
      <c r="A18" s="611">
        <f t="shared" si="0"/>
        <v>1994</v>
      </c>
      <c r="B18" s="631">
        <f>'7'!C31</f>
        <v>0.1638</v>
      </c>
      <c r="C18" s="631">
        <f>'7'!G31</f>
        <v>0.1143</v>
      </c>
      <c r="D18" s="631">
        <f>'7'!K31</f>
        <v>9.5400000000000013E-2</v>
      </c>
      <c r="E18" s="631">
        <f>'7'!O31</f>
        <v>0.11650000000000001</v>
      </c>
      <c r="F18" s="631">
        <f>'7'!S31</f>
        <v>0.11609999999999999</v>
      </c>
      <c r="G18" s="631">
        <f>'7'!W31</f>
        <v>0.1072</v>
      </c>
      <c r="H18" s="631">
        <f>'7'!AA31</f>
        <v>0.26079999999999998</v>
      </c>
      <c r="I18" s="631">
        <f>'7'!AE31</f>
        <v>0.19760000000000003</v>
      </c>
      <c r="J18" s="631">
        <f>'7'!AI31</f>
        <v>0.13350000000000001</v>
      </c>
      <c r="K18" s="631">
        <f>'7'!AM31</f>
        <v>0.29530000000000001</v>
      </c>
      <c r="L18" s="631">
        <f>'7'!AQ31</f>
        <v>0.15039999999999998</v>
      </c>
    </row>
    <row r="19" spans="1:12">
      <c r="A19" s="611">
        <f t="shared" si="0"/>
        <v>1995</v>
      </c>
      <c r="B19" s="631">
        <f>'7'!C32</f>
        <v>0.13750000000000001</v>
      </c>
      <c r="C19" s="631">
        <f>'7'!G32</f>
        <v>0.14085</v>
      </c>
      <c r="D19" s="631">
        <f>'7'!K32</f>
        <v>0.12390000000000001</v>
      </c>
      <c r="E19" s="631">
        <f>'7'!O32</f>
        <v>0.12520000000000001</v>
      </c>
      <c r="F19" s="631">
        <f>'7'!S32</f>
        <v>0.10880000000000001</v>
      </c>
      <c r="G19" s="631">
        <f>'7'!W32</f>
        <v>8.5699999999999998E-2</v>
      </c>
      <c r="H19" s="631">
        <f>'7'!AA32</f>
        <v>0.1603</v>
      </c>
      <c r="I19" s="631">
        <f>'7'!AE32</f>
        <v>0.13589999999999999</v>
      </c>
      <c r="J19" s="631">
        <f>'7'!AI32</f>
        <v>0.1588</v>
      </c>
      <c r="K19" s="631">
        <f>'7'!AM32</f>
        <v>0.22059999999999999</v>
      </c>
      <c r="L19" s="631">
        <f>'7'!AQ32</f>
        <v>0.24109999999999998</v>
      </c>
    </row>
    <row r="20" spans="1:12">
      <c r="A20" s="611">
        <f t="shared" si="0"/>
        <v>1996</v>
      </c>
      <c r="B20" s="631">
        <f>'7'!C33</f>
        <v>0.17309999999999998</v>
      </c>
      <c r="C20" s="631">
        <f>'7'!G33</f>
        <v>0.16739999999999999</v>
      </c>
      <c r="D20" s="631">
        <f>'7'!K33</f>
        <v>0.1072</v>
      </c>
      <c r="E20" s="631">
        <f>'7'!O33</f>
        <v>0.113</v>
      </c>
      <c r="F20" s="631">
        <f>'7'!S33</f>
        <v>0.13489999999999999</v>
      </c>
      <c r="G20" s="631">
        <f>'7'!W33</f>
        <v>0.13849999999999998</v>
      </c>
      <c r="H20" s="631">
        <f>'7'!AA33</f>
        <v>0.23769999999999999</v>
      </c>
      <c r="I20" s="631">
        <f>'7'!AE33</f>
        <v>0.15869999999999998</v>
      </c>
      <c r="J20" s="631">
        <f>'7'!AI33</f>
        <v>0.18239999999999998</v>
      </c>
      <c r="K20" s="631">
        <f>'7'!AM33</f>
        <v>0.25280000000000002</v>
      </c>
      <c r="L20" s="631">
        <f>'7'!AQ33</f>
        <v>0.26450000000000001</v>
      </c>
    </row>
    <row r="21" spans="1:12">
      <c r="A21" s="611">
        <f t="shared" si="0"/>
        <v>1997</v>
      </c>
      <c r="B21" s="631">
        <f>'7'!C34</f>
        <v>0.17129999999999998</v>
      </c>
      <c r="C21" s="631">
        <f>'7'!G34</f>
        <v>0.12509999999999999</v>
      </c>
      <c r="D21" s="631">
        <f>'7'!K34</f>
        <v>8.7899999999999992E-2</v>
      </c>
      <c r="E21" s="631">
        <f>'7'!O34</f>
        <v>0.13140000000000002</v>
      </c>
      <c r="F21" s="631">
        <f>'7'!S34</f>
        <v>0.10830000000000001</v>
      </c>
      <c r="G21" s="631">
        <f>'7'!W34</f>
        <v>0.1148</v>
      </c>
      <c r="H21" s="631">
        <f>'7'!AA34</f>
        <v>0.2697</v>
      </c>
      <c r="I21" s="631">
        <f>'7'!AE34</f>
        <v>0.1653</v>
      </c>
      <c r="J21" s="631">
        <f>'7'!AI34</f>
        <v>0.192</v>
      </c>
      <c r="K21" s="631">
        <f>'7'!AM34</f>
        <v>0.28110000000000002</v>
      </c>
      <c r="L21" s="631">
        <f>'7'!AQ34</f>
        <v>0.1968</v>
      </c>
    </row>
    <row r="22" spans="1:12">
      <c r="A22" s="611">
        <f t="shared" si="0"/>
        <v>1998</v>
      </c>
      <c r="B22" s="631">
        <f>'7'!C35</f>
        <v>0.16140000000000002</v>
      </c>
      <c r="C22" s="631">
        <f>'7'!G35</f>
        <v>0.10589999999999999</v>
      </c>
      <c r="D22" s="631">
        <f>'7'!K35</f>
        <v>0.10859999999999999</v>
      </c>
      <c r="E22" s="631">
        <f>'7'!O35</f>
        <v>0.12740000000000001</v>
      </c>
      <c r="F22" s="631">
        <f>'7'!S35</f>
        <v>0.13269999999999998</v>
      </c>
      <c r="G22" s="631">
        <f>'7'!W35</f>
        <v>0.1623</v>
      </c>
      <c r="H22" s="631">
        <f>'7'!AA35</f>
        <v>0.20030000000000001</v>
      </c>
      <c r="I22" s="631">
        <f>'7'!AE35</f>
        <v>0.1265</v>
      </c>
      <c r="J22" s="631">
        <f>'7'!AI35</f>
        <v>0.17710000000000001</v>
      </c>
      <c r="K22" s="631">
        <f>'7'!AM35</f>
        <v>0.2661</v>
      </c>
      <c r="L22" s="631">
        <f>'7'!AQ35</f>
        <v>0.1216</v>
      </c>
    </row>
    <row r="23" spans="1:12">
      <c r="A23" s="611">
        <f t="shared" si="0"/>
        <v>1999</v>
      </c>
      <c r="B23" s="631">
        <f>'7'!C36</f>
        <v>0.13289999999999999</v>
      </c>
      <c r="C23" s="631">
        <f>'7'!G36</f>
        <v>0.10640000000000001</v>
      </c>
      <c r="D23" s="631">
        <f>'7'!K36</f>
        <v>0.1273</v>
      </c>
      <c r="E23" s="631">
        <f>'7'!O36</f>
        <v>0.1217</v>
      </c>
      <c r="F23" s="631">
        <f>'7'!S36</f>
        <v>0.1341</v>
      </c>
      <c r="G23" s="631">
        <f>'7'!W36</f>
        <v>0.11359999999999999</v>
      </c>
      <c r="H23" s="631">
        <f>'7'!AA36</f>
        <v>0.19339999999999999</v>
      </c>
      <c r="I23" s="631">
        <f>'7'!AE36</f>
        <v>0.1116</v>
      </c>
      <c r="J23" s="631">
        <f>'7'!AI36</f>
        <v>0.11030000000000001</v>
      </c>
      <c r="K23" s="631">
        <f>'7'!AM36</f>
        <v>0.25444234976871538</v>
      </c>
      <c r="L23" s="631">
        <f>'7'!AQ36</f>
        <v>0.1153</v>
      </c>
    </row>
    <row r="24" spans="1:12">
      <c r="A24" s="611">
        <f t="shared" si="0"/>
        <v>2000</v>
      </c>
      <c r="B24" s="631">
        <f>'7'!C37</f>
        <v>0.14630000000000001</v>
      </c>
      <c r="C24" s="631">
        <f>'7'!G37</f>
        <v>0.14529999999999998</v>
      </c>
      <c r="D24" s="631">
        <f>'7'!K37</f>
        <v>0.12920000000000001</v>
      </c>
      <c r="E24" s="631">
        <f>'7'!O37</f>
        <v>0.14880000000000002</v>
      </c>
      <c r="F24" s="631">
        <f>'7'!S37</f>
        <v>0.1153</v>
      </c>
      <c r="G24" s="631">
        <f>'7'!W37</f>
        <v>0.11650000000000001</v>
      </c>
      <c r="H24" s="631">
        <f>'7'!AA37</f>
        <v>0.2195</v>
      </c>
      <c r="I24" s="631">
        <f>'7'!AE37</f>
        <v>0.15310000000000001</v>
      </c>
      <c r="J24" s="631">
        <f>'7'!AI37</f>
        <v>0.09</v>
      </c>
      <c r="K24" s="631">
        <f>'7'!AM37</f>
        <v>0.24329541283662268</v>
      </c>
      <c r="L24" s="631">
        <f>'7'!AQ37</f>
        <v>0.1104</v>
      </c>
    </row>
    <row r="25" spans="1:12">
      <c r="A25" s="611">
        <f t="shared" si="0"/>
        <v>2001</v>
      </c>
      <c r="B25" s="631">
        <f>'7'!C38</f>
        <v>0.15340000000000001</v>
      </c>
      <c r="C25" s="631">
        <f>'7'!G38</f>
        <v>0.1346</v>
      </c>
      <c r="D25" s="631">
        <f>'7'!K38</f>
        <v>0.1326</v>
      </c>
      <c r="E25" s="631">
        <f>'7'!O38</f>
        <v>0.1409</v>
      </c>
      <c r="F25" s="631">
        <f>'7'!S38</f>
        <v>0.13150000000000001</v>
      </c>
      <c r="G25" s="631">
        <f>'7'!W38</f>
        <v>0.1245</v>
      </c>
      <c r="H25" s="631">
        <f>'7'!AA38</f>
        <v>0.19359999999999999</v>
      </c>
      <c r="I25" s="631">
        <f>'7'!AE38</f>
        <v>0.15310000000000001</v>
      </c>
      <c r="J25" s="631">
        <f>'7'!AI38</f>
        <v>0.1144</v>
      </c>
      <c r="K25" s="631">
        <f>'7'!AM38</f>
        <v>0.23263681522021779</v>
      </c>
      <c r="L25" s="631">
        <f>'7'!AQ38</f>
        <v>0.17030000000000001</v>
      </c>
    </row>
    <row r="26" spans="1:12">
      <c r="A26" s="611">
        <f t="shared" si="0"/>
        <v>2002</v>
      </c>
      <c r="B26" s="631">
        <f>'7'!C39</f>
        <v>0.14610000000000001</v>
      </c>
      <c r="C26" s="631">
        <f>'7'!G39</f>
        <v>0.12359999999999999</v>
      </c>
      <c r="D26" s="631">
        <f>'7'!K39</f>
        <v>0.1457</v>
      </c>
      <c r="E26" s="631">
        <f>'7'!O39</f>
        <v>0.12990000000000002</v>
      </c>
      <c r="F26" s="631">
        <f>'7'!S39</f>
        <v>0.11900000000000001</v>
      </c>
      <c r="G26" s="631">
        <f>'7'!W39</f>
        <v>0.13980000000000001</v>
      </c>
      <c r="H26" s="631">
        <f>'7'!AA39</f>
        <v>0.14910000000000001</v>
      </c>
      <c r="I26" s="631">
        <f>'7'!AE39</f>
        <v>0.15789999999999998</v>
      </c>
      <c r="J26" s="631">
        <f>'7'!AI39</f>
        <v>0.12339999999999998</v>
      </c>
      <c r="K26" s="631">
        <f>'7'!AM39</f>
        <v>0.22244516312417384</v>
      </c>
      <c r="L26" s="631">
        <f>'7'!AQ39</f>
        <v>0.1671</v>
      </c>
    </row>
    <row r="27" spans="1:12">
      <c r="A27" s="611">
        <f t="shared" si="0"/>
        <v>2003</v>
      </c>
      <c r="B27" s="631">
        <f>'7'!C40</f>
        <v>0.1618</v>
      </c>
      <c r="C27" s="631">
        <f>'7'!G40</f>
        <v>0.1018</v>
      </c>
      <c r="D27" s="631">
        <f>'7'!K40</f>
        <v>0.127</v>
      </c>
      <c r="E27" s="631">
        <f>'7'!O40</f>
        <v>0.11749999999999999</v>
      </c>
      <c r="F27" s="631">
        <f>'7'!S40</f>
        <v>0.12590000000000001</v>
      </c>
      <c r="G27" s="631">
        <f>'7'!W40</f>
        <v>0.1333</v>
      </c>
      <c r="H27" s="631">
        <f>'7'!AA40</f>
        <v>0.18760000000000002</v>
      </c>
      <c r="I27" s="631">
        <f>'7'!AE40</f>
        <v>0.21429999999999999</v>
      </c>
      <c r="J27" s="631">
        <f>'7'!AI40</f>
        <v>0.1016</v>
      </c>
      <c r="K27" s="631">
        <f>'7'!AM40</f>
        <v>0.2127</v>
      </c>
      <c r="L27" s="631">
        <f>'7'!AQ40</f>
        <v>0.22059999999999999</v>
      </c>
    </row>
    <row r="28" spans="1:12">
      <c r="A28" s="611">
        <f t="shared" si="0"/>
        <v>2004</v>
      </c>
      <c r="B28" s="631">
        <f>'7'!C41</f>
        <v>0.14960000000000001</v>
      </c>
      <c r="C28" s="631">
        <f>'7'!G41</f>
        <v>0.11710000000000001</v>
      </c>
      <c r="D28" s="631">
        <f>'7'!K41</f>
        <v>0.13600000000000001</v>
      </c>
      <c r="E28" s="631">
        <f>'7'!O41</f>
        <v>0.12909999999999999</v>
      </c>
      <c r="F28" s="631">
        <f>'7'!S41</f>
        <v>0.14249999999999999</v>
      </c>
      <c r="G28" s="631">
        <f>'7'!W41</f>
        <v>0.12970000000000001</v>
      </c>
      <c r="H28" s="631">
        <f>'7'!AA41</f>
        <v>0.15289999999999998</v>
      </c>
      <c r="I28" s="631">
        <f>'7'!AE41</f>
        <v>0.19320000000000001</v>
      </c>
      <c r="J28" s="631">
        <f>'7'!AI41</f>
        <v>0.12380000000000002</v>
      </c>
      <c r="K28" s="631">
        <f>'7'!AM41</f>
        <v>0.15889999999999999</v>
      </c>
      <c r="L28" s="631">
        <f>'7'!AQ41</f>
        <v>0.1807</v>
      </c>
    </row>
    <row r="29" spans="1:12">
      <c r="A29" s="611">
        <f t="shared" si="0"/>
        <v>2005</v>
      </c>
      <c r="B29" s="631">
        <f>'7'!C42</f>
        <v>0.13730000000000001</v>
      </c>
      <c r="C29" s="631">
        <f>'7'!G42</f>
        <v>0.1094</v>
      </c>
      <c r="D29" s="631">
        <f>'7'!K42</f>
        <v>0.13390000000000002</v>
      </c>
      <c r="E29" s="631">
        <f>'7'!O42</f>
        <v>0.1323</v>
      </c>
      <c r="F29" s="631">
        <f>'7'!S42</f>
        <v>0.15710000000000002</v>
      </c>
      <c r="G29" s="631">
        <f>'7'!W42</f>
        <v>0.14150000000000001</v>
      </c>
      <c r="H29" s="631">
        <f>'7'!AA42</f>
        <v>0.1241</v>
      </c>
      <c r="I29" s="631">
        <f>'7'!AE42</f>
        <v>0.17859999999999998</v>
      </c>
      <c r="J29" s="631">
        <f>'7'!AI42</f>
        <v>0.13489999999999999</v>
      </c>
      <c r="K29" s="631">
        <f>'7'!AM42</f>
        <v>0.1051</v>
      </c>
      <c r="L29" s="631">
        <f>'7'!AQ42</f>
        <v>0.1492</v>
      </c>
    </row>
    <row r="30" spans="1:12">
      <c r="A30" s="611">
        <f t="shared" si="0"/>
        <v>2006</v>
      </c>
      <c r="B30" s="631">
        <f>'7'!C43</f>
        <v>0.1431</v>
      </c>
      <c r="C30" s="631">
        <f>'7'!G43</f>
        <v>0.1275</v>
      </c>
      <c r="D30" s="631">
        <f>'7'!K43</f>
        <v>0.14730000000000001</v>
      </c>
      <c r="E30" s="631">
        <f>'7'!O43</f>
        <v>0.15640000000000001</v>
      </c>
      <c r="F30" s="631">
        <f>'7'!S43</f>
        <v>0.13720000000000002</v>
      </c>
      <c r="G30" s="631">
        <f>'7'!W43</f>
        <v>0.12380000000000001</v>
      </c>
      <c r="H30" s="631">
        <f>'7'!AA43</f>
        <v>0.16789999999999999</v>
      </c>
      <c r="I30" s="631">
        <f>'7'!AE43</f>
        <v>0.14000000000000001</v>
      </c>
      <c r="J30" s="631">
        <f>'7'!AI43</f>
        <v>0.13419999999999999</v>
      </c>
      <c r="K30" s="631">
        <f>'7'!AM43</f>
        <v>0.1678</v>
      </c>
      <c r="L30" s="631">
        <f>'7'!AQ43</f>
        <v>0.1265</v>
      </c>
    </row>
    <row r="31" spans="1:12">
      <c r="A31" s="611">
        <f t="shared" si="0"/>
        <v>2007</v>
      </c>
      <c r="B31" s="631">
        <f>'7'!C44</f>
        <v>0.13769999999999999</v>
      </c>
      <c r="C31" s="631">
        <f>'7'!G44</f>
        <v>0.1023</v>
      </c>
      <c r="D31" s="631">
        <f>'7'!K44</f>
        <v>0.14099999999999999</v>
      </c>
      <c r="E31" s="631">
        <f>'7'!O44</f>
        <v>0.1394</v>
      </c>
      <c r="F31" s="631">
        <f>'7'!S44</f>
        <v>0.1323</v>
      </c>
      <c r="G31" s="631">
        <f>'7'!W44</f>
        <v>0.1234</v>
      </c>
      <c r="H31" s="631">
        <f>'7'!AA44</f>
        <v>0.12809999999999999</v>
      </c>
      <c r="I31" s="631">
        <f>'7'!AE44</f>
        <v>0.14760000000000001</v>
      </c>
      <c r="J31" s="631">
        <f>'7'!AI44</f>
        <v>0.1663</v>
      </c>
      <c r="K31" s="631">
        <f>'7'!AM44</f>
        <v>0.23050000000000001</v>
      </c>
      <c r="L31" s="631">
        <f>'7'!AQ44</f>
        <v>0.1812</v>
      </c>
    </row>
    <row r="32" spans="1:12">
      <c r="A32" s="611">
        <f t="shared" si="0"/>
        <v>2008</v>
      </c>
      <c r="B32" s="631">
        <f>'7'!C45</f>
        <v>0.14660000000000001</v>
      </c>
      <c r="C32" s="631">
        <f>'7'!G45</f>
        <v>0.1041</v>
      </c>
      <c r="D32" s="631">
        <f>'7'!K45</f>
        <v>0.1444</v>
      </c>
      <c r="E32" s="631">
        <f>'7'!O45</f>
        <v>0.1371</v>
      </c>
      <c r="F32" s="631">
        <f>'7'!S45</f>
        <v>0.12619999999999998</v>
      </c>
      <c r="G32" s="631">
        <f>'7'!W45</f>
        <v>0.1268</v>
      </c>
      <c r="H32" s="631">
        <f>'7'!AA45</f>
        <v>0.1646</v>
      </c>
      <c r="I32" s="631">
        <f>'7'!AE45</f>
        <v>0.12890000000000001</v>
      </c>
      <c r="J32" s="631">
        <f>'7'!AI45</f>
        <v>0.14419999999999999</v>
      </c>
      <c r="K32" s="631">
        <f>'7'!AM45</f>
        <v>0.17460000000000001</v>
      </c>
      <c r="L32" s="631">
        <f>'7'!AQ45</f>
        <v>0.18530000000000002</v>
      </c>
    </row>
    <row r="33" spans="1:12">
      <c r="A33" s="611">
        <f t="shared" si="0"/>
        <v>2009</v>
      </c>
      <c r="B33" s="631">
        <f>'7'!C46</f>
        <v>0.15909999999999999</v>
      </c>
      <c r="C33" s="631">
        <f>'7'!G46</f>
        <v>0.1115</v>
      </c>
      <c r="D33" s="631">
        <f>'7'!K46</f>
        <v>0.12539999999999998</v>
      </c>
      <c r="E33" s="631">
        <f>'7'!O46</f>
        <v>0.1517</v>
      </c>
      <c r="F33" s="631">
        <f>'7'!S46</f>
        <v>0.1232</v>
      </c>
      <c r="G33" s="631">
        <f>'7'!W46</f>
        <v>0.14630000000000001</v>
      </c>
      <c r="H33" s="631">
        <f>'7'!AA46</f>
        <v>0.1678</v>
      </c>
      <c r="I33" s="631">
        <f>'7'!AE46</f>
        <v>0.1431</v>
      </c>
      <c r="J33" s="631">
        <f>'7'!AI46</f>
        <v>0.13170000000000001</v>
      </c>
      <c r="K33" s="631">
        <f>'7'!AM46</f>
        <v>0.17460000000000001</v>
      </c>
      <c r="L33" s="631">
        <f>'7'!AQ46</f>
        <v>0.1928</v>
      </c>
    </row>
    <row r="34" spans="1:12">
      <c r="A34" s="611">
        <f t="shared" si="0"/>
        <v>2010</v>
      </c>
      <c r="B34" s="631">
        <f>'7'!C47</f>
        <v>0.15909999999999999</v>
      </c>
      <c r="C34" s="631">
        <f>'7'!G47</f>
        <v>0.1115</v>
      </c>
      <c r="D34" s="631">
        <f>'7'!K47</f>
        <v>0.12539999999999998</v>
      </c>
      <c r="E34" s="631">
        <f>'7'!O47</f>
        <v>0.1517</v>
      </c>
      <c r="F34" s="631">
        <f>'7'!S47</f>
        <v>0.1232</v>
      </c>
      <c r="G34" s="631">
        <f>'7'!W47</f>
        <v>0.14630000000000001</v>
      </c>
      <c r="H34" s="631">
        <f>'7'!AA47</f>
        <v>0.1678</v>
      </c>
      <c r="I34" s="631">
        <f>'7'!AE47</f>
        <v>0.1431</v>
      </c>
      <c r="J34" s="631">
        <f>'7'!AI47</f>
        <v>0.13170000000000001</v>
      </c>
      <c r="K34" s="631">
        <f>'7'!AM47</f>
        <v>0.17460000000000001</v>
      </c>
      <c r="L34" s="631">
        <f>'7'!AQ47</f>
        <v>0.1928</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-0.60836496360178183</v>
      </c>
      <c r="C36" s="617">
        <f t="shared" si="1"/>
        <v>-1.3505971355718405</v>
      </c>
      <c r="D36" s="617">
        <f t="shared" si="1"/>
        <v>-0.95014065748647569</v>
      </c>
      <c r="E36" s="617">
        <f t="shared" si="1"/>
        <v>-1.0145589326863491</v>
      </c>
      <c r="F36" s="617">
        <f t="shared" si="1"/>
        <v>-1.5005736095331623</v>
      </c>
      <c r="G36" s="617">
        <f t="shared" si="1"/>
        <v>-0.89360949530060685</v>
      </c>
      <c r="H36" s="617">
        <f t="shared" si="1"/>
        <v>-0.17805021700051382</v>
      </c>
      <c r="I36" s="617">
        <f t="shared" si="1"/>
        <v>-1.0684069075257541</v>
      </c>
      <c r="J36" s="617">
        <f t="shared" si="1"/>
        <v>-1.4708662947377049</v>
      </c>
      <c r="K36" s="617">
        <f t="shared" si="1"/>
        <v>-0.62639575854762652</v>
      </c>
      <c r="L36" s="617">
        <f t="shared" si="1"/>
        <v>-0.26628609031550399</v>
      </c>
    </row>
    <row r="37" spans="1:12">
      <c r="A37" s="611" t="s">
        <v>1472</v>
      </c>
      <c r="B37" s="617">
        <f t="shared" ref="B37:L37" si="2">100*(POWER(B13/B5, 1/8)-1)</f>
        <v>-2.8971524237015989</v>
      </c>
      <c r="C37" s="617">
        <f t="shared" si="2"/>
        <v>-3.0873698517964621</v>
      </c>
      <c r="D37" s="617">
        <f t="shared" si="2"/>
        <v>-3.1723440047800811</v>
      </c>
      <c r="E37" s="617">
        <f t="shared" si="2"/>
        <v>-4.7884600886401447</v>
      </c>
      <c r="F37" s="617">
        <f t="shared" si="2"/>
        <v>-6.1346628201774278</v>
      </c>
      <c r="G37" s="617">
        <f t="shared" si="2"/>
        <v>-2.7459500446691432</v>
      </c>
      <c r="H37" s="617">
        <f t="shared" si="2"/>
        <v>1.0828473093421831</v>
      </c>
      <c r="I37" s="617">
        <f t="shared" si="2"/>
        <v>-3.1867949791202999</v>
      </c>
      <c r="J37" s="617">
        <f t="shared" si="2"/>
        <v>-7.0163666946726604</v>
      </c>
      <c r="K37" s="617">
        <f t="shared" si="2"/>
        <v>-8.261351858372235</v>
      </c>
      <c r="L37" s="617">
        <f t="shared" si="2"/>
        <v>-3.9972411045089862</v>
      </c>
    </row>
    <row r="38" spans="1:12">
      <c r="A38" s="611" t="s">
        <v>1473</v>
      </c>
      <c r="B38" s="617">
        <f t="shared" ref="B38:L38" si="3">100*(POWER(B24/B13, 1/11)-1)</f>
        <v>-0.23284150821515359</v>
      </c>
      <c r="C38" s="617">
        <f t="shared" si="3"/>
        <v>1.1089809790925331</v>
      </c>
      <c r="D38" s="617">
        <f t="shared" si="3"/>
        <v>9.9094970335777965E-2</v>
      </c>
      <c r="E38" s="617">
        <f t="shared" si="3"/>
        <v>0.70726865616015377</v>
      </c>
      <c r="F38" s="617">
        <f t="shared" si="3"/>
        <v>1.5784077801561658E-2</v>
      </c>
      <c r="G38" s="617">
        <f t="shared" si="3"/>
        <v>-2.3832425788229195</v>
      </c>
      <c r="H38" s="617">
        <f t="shared" si="3"/>
        <v>1.1956066687905498</v>
      </c>
      <c r="I38" s="617">
        <f t="shared" si="3"/>
        <v>0.13770242365647167</v>
      </c>
      <c r="J38" s="617">
        <f t="shared" si="3"/>
        <v>-2.0555140310340225</v>
      </c>
      <c r="K38" s="617">
        <f t="shared" si="3"/>
        <v>7.9292602547201829</v>
      </c>
      <c r="L38" s="617">
        <f t="shared" si="3"/>
        <v>-2.7657879147500175</v>
      </c>
    </row>
    <row r="39" spans="1:12">
      <c r="A39" s="611" t="s">
        <v>1474</v>
      </c>
      <c r="B39" s="617">
        <f t="shared" ref="B39:L39" si="4">100*(POWER(B32/B24, 1/8)-1)</f>
        <v>2.5609296451478691E-2</v>
      </c>
      <c r="C39" s="617">
        <f t="shared" si="4"/>
        <v>-4.0824362507883798</v>
      </c>
      <c r="D39" s="617">
        <f t="shared" si="4"/>
        <v>1.4000303408909121</v>
      </c>
      <c r="E39" s="617">
        <f t="shared" si="4"/>
        <v>-1.0184351647545387</v>
      </c>
      <c r="F39" s="617">
        <f t="shared" si="4"/>
        <v>1.1355302862822603</v>
      </c>
      <c r="G39" s="617">
        <f t="shared" si="4"/>
        <v>1.0646243333815253</v>
      </c>
      <c r="H39" s="617">
        <f t="shared" si="4"/>
        <v>-3.5339683303324043</v>
      </c>
      <c r="I39" s="617">
        <f t="shared" si="4"/>
        <v>-2.1277176977849255</v>
      </c>
      <c r="J39" s="617">
        <f t="shared" si="4"/>
        <v>6.0694565820602842</v>
      </c>
      <c r="K39" s="617">
        <f t="shared" si="4"/>
        <v>-4.0624132558463311</v>
      </c>
      <c r="L39" s="617">
        <f t="shared" si="4"/>
        <v>6.6874397604641089</v>
      </c>
    </row>
    <row r="40" spans="1:12">
      <c r="A40" s="611" t="s">
        <v>1500</v>
      </c>
      <c r="B40" s="611"/>
      <c r="C40" s="611"/>
      <c r="D40" s="611"/>
      <c r="E40" s="611"/>
      <c r="F40" s="611"/>
      <c r="G40" s="611"/>
      <c r="H40" s="611"/>
      <c r="I40" s="611"/>
      <c r="J40" s="611"/>
      <c r="K40" s="611"/>
      <c r="L40" s="611"/>
    </row>
    <row r="41" spans="1:12">
      <c r="A41" s="611" t="s">
        <v>1498</v>
      </c>
      <c r="B41" s="616">
        <f>100*(B34-B5)/B5</f>
        <v>-16.21906266456029</v>
      </c>
      <c r="C41" s="616">
        <f t="shared" ref="C41:L41" si="5">100*(C34-C5)/C5</f>
        <v>-32.587666263603381</v>
      </c>
      <c r="D41" s="616">
        <f t="shared" si="5"/>
        <v>-24.183796856106415</v>
      </c>
      <c r="E41" s="616">
        <f t="shared" si="5"/>
        <v>-25.60078469838156</v>
      </c>
      <c r="F41" s="616">
        <f t="shared" si="5"/>
        <v>-35.497382198952877</v>
      </c>
      <c r="G41" s="616">
        <f t="shared" si="5"/>
        <v>-22.918861959957841</v>
      </c>
      <c r="H41" s="616">
        <f t="shared" si="5"/>
        <v>-5.0367855121675253</v>
      </c>
      <c r="I41" s="616">
        <f t="shared" si="5"/>
        <v>-26.765609007164784</v>
      </c>
      <c r="J41" s="616">
        <f>100*(J34-J5)/J5</f>
        <v>-34.930830039525688</v>
      </c>
      <c r="K41" s="616">
        <f t="shared" si="5"/>
        <v>-16.658711217183765</v>
      </c>
      <c r="L41" s="616">
        <f t="shared" si="5"/>
        <v>-7.4411905904944726</v>
      </c>
    </row>
    <row r="42" spans="1:12">
      <c r="A42" s="611" t="s">
        <v>1472</v>
      </c>
      <c r="B42" s="616">
        <f>100*(B13-B5)/B5</f>
        <v>-20.958399157451279</v>
      </c>
      <c r="C42" s="616">
        <f t="shared" ref="C42:L42" si="6">100*(C13-C5)/C5</f>
        <v>-22.188633615477634</v>
      </c>
      <c r="D42" s="616">
        <f t="shared" si="6"/>
        <v>-22.732769044740021</v>
      </c>
      <c r="E42" s="616">
        <f t="shared" si="6"/>
        <v>-32.466895537027959</v>
      </c>
      <c r="F42" s="616">
        <f t="shared" si="6"/>
        <v>-39.738219895287962</v>
      </c>
      <c r="G42" s="616">
        <f t="shared" si="6"/>
        <v>-19.968387776606949</v>
      </c>
      <c r="H42" s="616">
        <f t="shared" si="6"/>
        <v>8.9983022071307275</v>
      </c>
      <c r="I42" s="616">
        <f t="shared" si="6"/>
        <v>-22.824974411463664</v>
      </c>
      <c r="J42" s="616">
        <f t="shared" si="6"/>
        <v>-44.120553359683797</v>
      </c>
      <c r="K42" s="616">
        <f t="shared" si="6"/>
        <v>-49.832935560859191</v>
      </c>
      <c r="L42" s="616">
        <f t="shared" si="6"/>
        <v>-27.844455112818054</v>
      </c>
    </row>
    <row r="43" spans="1:12">
      <c r="A43" s="611" t="s">
        <v>1473</v>
      </c>
      <c r="B43" s="616">
        <f>100*(B24-B13)/B13</f>
        <v>-2.5316455696202516</v>
      </c>
      <c r="C43" s="616">
        <f t="shared" ref="C43:L43" si="7">100*(C24-C13)/C13</f>
        <v>12.898212898212902</v>
      </c>
      <c r="D43" s="616">
        <f t="shared" si="7"/>
        <v>1.0954616588419501</v>
      </c>
      <c r="E43" s="616">
        <f t="shared" si="7"/>
        <v>8.0610021786492574</v>
      </c>
      <c r="F43" s="616">
        <f t="shared" si="7"/>
        <v>0.17376194613380169</v>
      </c>
      <c r="G43" s="616">
        <f t="shared" si="7"/>
        <v>-23.304805793285055</v>
      </c>
      <c r="H43" s="616">
        <f t="shared" si="7"/>
        <v>13.966770508826571</v>
      </c>
      <c r="I43" s="616">
        <f t="shared" si="7"/>
        <v>1.5251989389920586</v>
      </c>
      <c r="J43" s="616">
        <f t="shared" si="7"/>
        <v>-20.42440318302388</v>
      </c>
      <c r="K43" s="616">
        <f t="shared" si="7"/>
        <v>131.48945084359912</v>
      </c>
      <c r="L43" s="616">
        <f t="shared" si="7"/>
        <v>-26.546906187624749</v>
      </c>
    </row>
    <row r="44" spans="1:12">
      <c r="A44" s="611" t="s">
        <v>1474</v>
      </c>
      <c r="B44" s="616">
        <f>100*(B32-B24)/B24</f>
        <v>0.20505809979493828</v>
      </c>
      <c r="C44" s="616">
        <f t="shared" ref="C44:L44" si="8">100*(C32-C24)/C24</f>
        <v>-28.355127322780447</v>
      </c>
      <c r="D44" s="616">
        <f t="shared" si="8"/>
        <v>11.764705882352933</v>
      </c>
      <c r="E44" s="616">
        <f t="shared" si="8"/>
        <v>-7.8629032258064626</v>
      </c>
      <c r="F44" s="616">
        <f t="shared" si="8"/>
        <v>9.4535993061578303</v>
      </c>
      <c r="G44" s="616">
        <f t="shared" si="8"/>
        <v>8.8412017167381869</v>
      </c>
      <c r="H44" s="616">
        <f t="shared" si="8"/>
        <v>-25.011389521640091</v>
      </c>
      <c r="I44" s="616">
        <f t="shared" si="8"/>
        <v>-15.806662312214238</v>
      </c>
      <c r="J44" s="616">
        <f t="shared" si="8"/>
        <v>60.222222222222221</v>
      </c>
      <c r="K44" s="616">
        <f t="shared" si="8"/>
        <v>-28.235391714003626</v>
      </c>
      <c r="L44" s="616">
        <f t="shared" si="8"/>
        <v>67.844202898550748</v>
      </c>
    </row>
    <row r="46" spans="1:12">
      <c r="A46" s="611" t="s">
        <v>1534</v>
      </c>
    </row>
  </sheetData>
  <pageMargins left="0.7" right="0.7" top="0.75" bottom="0.75" header="0.3" footer="0.3"/>
</worksheet>
</file>

<file path=xl/worksheets/sheet181.xml><?xml version="1.0" encoding="utf-8"?>
<worksheet xmlns="http://schemas.openxmlformats.org/spreadsheetml/2006/main" xmlns:r="http://schemas.openxmlformats.org/officeDocument/2006/relationships">
  <dimension ref="A1:L46"/>
  <sheetViews>
    <sheetView workbookViewId="0">
      <selection activeCell="E9" sqref="E9"/>
    </sheetView>
  </sheetViews>
  <sheetFormatPr defaultRowHeight="12.75"/>
  <cols>
    <col min="1" max="16384" width="9" style="618"/>
  </cols>
  <sheetData>
    <row r="1" spans="1:12">
      <c r="A1" s="611" t="s">
        <v>1531</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14">
        <f>'7'!E18</f>
        <v>0.34472713020593992</v>
      </c>
      <c r="C5" s="614">
        <f>'7'!I18</f>
        <v>0.22339113313374512</v>
      </c>
      <c r="D5" s="614">
        <f>'7'!M18</f>
        <v>0.32675202039721485</v>
      </c>
      <c r="E5" s="614">
        <f>'7'!Q18</f>
        <v>0.22055177722528907</v>
      </c>
      <c r="F5" s="614">
        <f>'7'!U18</f>
        <v>0.15138173441703143</v>
      </c>
      <c r="G5" s="614">
        <f>'7'!Y18</f>
        <v>0.25685771750395614</v>
      </c>
      <c r="H5" s="614">
        <f>'7'!AC18</f>
        <v>0.46998406627812983</v>
      </c>
      <c r="I5" s="614">
        <f>'7'!AG18</f>
        <v>0.28291505711079196</v>
      </c>
      <c r="J5" s="614">
        <f>'7'!AK18</f>
        <v>8.3333333333333315E-2</v>
      </c>
      <c r="K5" s="614">
        <f>'7'!AO18</f>
        <v>0.31758500281692298</v>
      </c>
      <c r="L5" s="614">
        <f>'7'!AS18</f>
        <v>0.38137437003793712</v>
      </c>
    </row>
    <row r="6" spans="1:12">
      <c r="A6" s="611">
        <f t="shared" ref="A6:A34" si="0">A5+1</f>
        <v>1982</v>
      </c>
      <c r="B6" s="614">
        <f>'7'!E19</f>
        <v>0.55263784496091228</v>
      </c>
      <c r="C6" s="614">
        <f>'7'!I19</f>
        <v>0.27827306271643681</v>
      </c>
      <c r="D6" s="614">
        <f>'7'!M19</f>
        <v>0.37958775500524594</v>
      </c>
      <c r="E6" s="614">
        <f>'7'!Q19</f>
        <v>0.4295617008703298</v>
      </c>
      <c r="F6" s="614">
        <f>'7'!U19</f>
        <v>0.21098577566011817</v>
      </c>
      <c r="G6" s="614">
        <f>'7'!Y19</f>
        <v>0.50053277981916566</v>
      </c>
      <c r="H6" s="614">
        <f>'7'!AC19</f>
        <v>0.6560355861667605</v>
      </c>
      <c r="I6" s="614">
        <f>'7'!AG19</f>
        <v>0.51083265554126256</v>
      </c>
      <c r="J6" s="614">
        <f>'7'!AK19</f>
        <v>0.48512622955968199</v>
      </c>
      <c r="K6" s="614">
        <f>'7'!AO19</f>
        <v>0.62801537354194592</v>
      </c>
      <c r="L6" s="614">
        <f>'7'!AS19</f>
        <v>0.53354910515423215</v>
      </c>
    </row>
    <row r="7" spans="1:12">
      <c r="A7" s="611">
        <f t="shared" si="0"/>
        <v>1983</v>
      </c>
      <c r="B7" s="614">
        <f>'7'!E20</f>
        <v>0.52371551192048782</v>
      </c>
      <c r="C7" s="614">
        <f>'7'!I20</f>
        <v>0.1852232675923095</v>
      </c>
      <c r="D7" s="614">
        <f>'7'!M20</f>
        <v>0.20374637950074759</v>
      </c>
      <c r="E7" s="614">
        <f>'7'!Q20</f>
        <v>0.53450570531074926</v>
      </c>
      <c r="F7" s="614">
        <f>'7'!U20</f>
        <v>0.24948212199231765</v>
      </c>
      <c r="G7" s="614">
        <f>'7'!Y20</f>
        <v>0.51109864486451528</v>
      </c>
      <c r="H7" s="614">
        <f>'7'!AC20</f>
        <v>0.53947618049586821</v>
      </c>
      <c r="I7" s="614">
        <f>'7'!AG20</f>
        <v>0.66321249085861989</v>
      </c>
      <c r="J7" s="614">
        <f>'7'!AK20</f>
        <v>0.30094464666042375</v>
      </c>
      <c r="K7" s="614">
        <f>'7'!AO20</f>
        <v>0.58027189236341437</v>
      </c>
      <c r="L7" s="614">
        <f>'7'!AS20</f>
        <v>0.62495489397921955</v>
      </c>
    </row>
    <row r="8" spans="1:12">
      <c r="A8" s="611">
        <f t="shared" si="0"/>
        <v>1984</v>
      </c>
      <c r="B8" s="614">
        <f>'7'!E21</f>
        <v>0.57021076609411658</v>
      </c>
      <c r="C8" s="614">
        <f>'7'!I21</f>
        <v>0.35303689303960406</v>
      </c>
      <c r="D8" s="614">
        <f>'7'!M21</f>
        <v>0.32975802021903405</v>
      </c>
      <c r="E8" s="614">
        <f>'7'!Q21</f>
        <v>0.50815513651020727</v>
      </c>
      <c r="F8" s="614">
        <f>'7'!U21</f>
        <v>0.43938728237747016</v>
      </c>
      <c r="G8" s="614">
        <f>'7'!Y21</f>
        <v>0.5038207924174456</v>
      </c>
      <c r="H8" s="614">
        <f>'7'!AC21</f>
        <v>0.68050820625132602</v>
      </c>
      <c r="I8" s="614">
        <f>'7'!AG21</f>
        <v>0.59871168231517102</v>
      </c>
      <c r="J8" s="614">
        <f>'7'!AK21</f>
        <v>0.55333326283013928</v>
      </c>
      <c r="K8" s="614">
        <f>'7'!AO21</f>
        <v>0.59455840324365972</v>
      </c>
      <c r="L8" s="614">
        <f>'7'!AS21</f>
        <v>0.46112309665411061</v>
      </c>
    </row>
    <row r="9" spans="1:12">
      <c r="A9" s="611">
        <f t="shared" si="0"/>
        <v>1985</v>
      </c>
      <c r="B9" s="614">
        <f>'7'!E22</f>
        <v>0.59974679739240722</v>
      </c>
      <c r="C9" s="614">
        <f>'7'!I22</f>
        <v>0.35709082670122599</v>
      </c>
      <c r="D9" s="614">
        <f>'7'!M22</f>
        <v>0.43566663654257465</v>
      </c>
      <c r="E9" s="614">
        <f>'7'!Q22</f>
        <v>0.51638157738718993</v>
      </c>
      <c r="F9" s="614">
        <f>'7'!U22</f>
        <v>0.62084968526733197</v>
      </c>
      <c r="G9" s="614">
        <f>'7'!Y22</f>
        <v>0.56610075034626683</v>
      </c>
      <c r="H9" s="614">
        <f>'7'!AC22</f>
        <v>0.64544087890563662</v>
      </c>
      <c r="I9" s="614">
        <f>'7'!AG22</f>
        <v>0.58231648499275424</v>
      </c>
      <c r="J9" s="614">
        <f>'7'!AK22</f>
        <v>0.5544677233172649</v>
      </c>
      <c r="K9" s="614">
        <f>'7'!AO22</f>
        <v>0.70381111425170784</v>
      </c>
      <c r="L9" s="614">
        <f>'7'!AS22</f>
        <v>0.54820896249422346</v>
      </c>
    </row>
    <row r="10" spans="1:12">
      <c r="A10" s="611">
        <f t="shared" si="0"/>
        <v>1986</v>
      </c>
      <c r="B10" s="614">
        <f>'7'!E23</f>
        <v>0.64460926168414179</v>
      </c>
      <c r="C10" s="614">
        <f>'7'!I23</f>
        <v>0.3294728027519318</v>
      </c>
      <c r="D10" s="614">
        <f>'7'!M23</f>
        <v>0.41554438400397886</v>
      </c>
      <c r="E10" s="614">
        <f>'7'!Q23</f>
        <v>0.55283333109004984</v>
      </c>
      <c r="F10" s="614">
        <f>'7'!U23</f>
        <v>0.57658489578025562</v>
      </c>
      <c r="G10" s="614">
        <f>'7'!Y23</f>
        <v>0.54461329959435023</v>
      </c>
      <c r="H10" s="614">
        <f>'7'!AC23</f>
        <v>0.74678761810086181</v>
      </c>
      <c r="I10" s="614">
        <f>'7'!AG23</f>
        <v>0.53502806988532969</v>
      </c>
      <c r="J10" s="614">
        <f>'7'!AK23</f>
        <v>0.43633481454134787</v>
      </c>
      <c r="K10" s="614">
        <f>'7'!AO23</f>
        <v>0.67077876546343351</v>
      </c>
      <c r="L10" s="614">
        <f>'7'!AS23</f>
        <v>0.73963474858881439</v>
      </c>
    </row>
    <row r="11" spans="1:12">
      <c r="A11" s="611">
        <f t="shared" si="0"/>
        <v>1987</v>
      </c>
      <c r="B11" s="614">
        <f>'7'!E24</f>
        <v>0.66905464189825359</v>
      </c>
      <c r="C11" s="614">
        <f>'7'!I24</f>
        <v>0.48053551021559232</v>
      </c>
      <c r="D11" s="614">
        <f>'7'!M24</f>
        <v>0.67877767330486283</v>
      </c>
      <c r="E11" s="614">
        <f>'7'!Q24</f>
        <v>0.70663925374291847</v>
      </c>
      <c r="F11" s="614">
        <f>'7'!U24</f>
        <v>0.55014139095110726</v>
      </c>
      <c r="G11" s="614">
        <f>'7'!Y24</f>
        <v>0.60485026723915258</v>
      </c>
      <c r="H11" s="614">
        <f>'7'!AC24</f>
        <v>0.74329450530151964</v>
      </c>
      <c r="I11" s="614">
        <f>'7'!AG24</f>
        <v>0.69743538222024803</v>
      </c>
      <c r="J11" s="614">
        <f>'7'!AK24</f>
        <v>0.65655955308666203</v>
      </c>
      <c r="K11" s="614">
        <f>'7'!AO24</f>
        <v>0.75650744481682952</v>
      </c>
      <c r="L11" s="614">
        <f>'7'!AS24</f>
        <v>0.57021076609411658</v>
      </c>
    </row>
    <row r="12" spans="1:12">
      <c r="A12" s="611">
        <f t="shared" si="0"/>
        <v>1988</v>
      </c>
      <c r="B12" s="614">
        <f>'7'!E25</f>
        <v>0.6218511510928314</v>
      </c>
      <c r="C12" s="614">
        <f>'7'!I25</f>
        <v>0.39785449166235637</v>
      </c>
      <c r="D12" s="614">
        <f>'7'!M25</f>
        <v>0.50645504812483932</v>
      </c>
      <c r="E12" s="614">
        <f>'7'!Q25</f>
        <v>0.47058975280939191</v>
      </c>
      <c r="F12" s="614">
        <f>'7'!U25</f>
        <v>0.51914562306556866</v>
      </c>
      <c r="G12" s="614">
        <f>'7'!Y25</f>
        <v>0.51741509011910547</v>
      </c>
      <c r="H12" s="614">
        <f>'7'!AC25</f>
        <v>0.6747397630964489</v>
      </c>
      <c r="I12" s="614">
        <f>'7'!AG25</f>
        <v>0.68959029952961548</v>
      </c>
      <c r="J12" s="614">
        <f>'7'!AK25</f>
        <v>0.57918069519995019</v>
      </c>
      <c r="K12" s="614">
        <f>'7'!AO25</f>
        <v>0.63447282518476644</v>
      </c>
      <c r="L12" s="614">
        <f>'7'!AS25</f>
        <v>0.75097935346007239</v>
      </c>
    </row>
    <row r="13" spans="1:12">
      <c r="A13" s="611">
        <f t="shared" si="0"/>
        <v>1989</v>
      </c>
      <c r="B13" s="614">
        <f>'7'!E26</f>
        <v>0.70812142316465765</v>
      </c>
      <c r="C13" s="614">
        <f>'7'!I26</f>
        <v>0.51384346239904422</v>
      </c>
      <c r="D13" s="614">
        <f>'7'!M26</f>
        <v>0.55795763142596555</v>
      </c>
      <c r="E13" s="614">
        <f>'7'!Q26</f>
        <v>0.57051841639570999</v>
      </c>
      <c r="F13" s="614">
        <f>'7'!U26</f>
        <v>0.69804587578747268</v>
      </c>
      <c r="G13" s="614">
        <f>'7'!Y26</f>
        <v>0.54926170336998847</v>
      </c>
      <c r="H13" s="614">
        <f>'7'!AC26</f>
        <v>0.80807732662142928</v>
      </c>
      <c r="I13" s="614">
        <f>'7'!AG26</f>
        <v>0.71417027675067446</v>
      </c>
      <c r="J13" s="614">
        <f>'7'!AK26</f>
        <v>0.74074998093209066</v>
      </c>
      <c r="K13" s="614">
        <f>'7'!AO26</f>
        <v>0.78022215556465691</v>
      </c>
      <c r="L13" s="614">
        <f>'7'!AS26</f>
        <v>0.73186177143761777</v>
      </c>
    </row>
    <row r="14" spans="1:12">
      <c r="A14" s="611">
        <f t="shared" si="0"/>
        <v>1990</v>
      </c>
      <c r="B14" s="614">
        <f>'7'!E27</f>
        <v>0.77835542326592577</v>
      </c>
      <c r="C14" s="614">
        <f>'7'!I27</f>
        <v>0.67071146695995987</v>
      </c>
      <c r="D14" s="614">
        <f>'7'!M27</f>
        <v>0.55937089999891032</v>
      </c>
      <c r="E14" s="614">
        <f>'7'!Q27</f>
        <v>0.76928454640488186</v>
      </c>
      <c r="F14" s="614">
        <f>'7'!U27</f>
        <v>0.75831008330272853</v>
      </c>
      <c r="G14" s="614">
        <f>'7'!Y27</f>
        <v>0.71025574713196216</v>
      </c>
      <c r="H14" s="614">
        <f>'7'!AC27</f>
        <v>0.81530230167291262</v>
      </c>
      <c r="I14" s="614">
        <f>'7'!AG27</f>
        <v>0.76934223083643061</v>
      </c>
      <c r="J14" s="614">
        <f>'7'!AK27</f>
        <v>0.77506901301296682</v>
      </c>
      <c r="K14" s="614">
        <f>'7'!AO27</f>
        <v>0.78884277339055631</v>
      </c>
      <c r="L14" s="614">
        <f>'7'!AS27</f>
        <v>0.81907902959403622</v>
      </c>
    </row>
    <row r="15" spans="1:12">
      <c r="A15" s="611">
        <f t="shared" si="0"/>
        <v>1991</v>
      </c>
      <c r="B15" s="614">
        <f>'7'!E28</f>
        <v>0.84675473797487899</v>
      </c>
      <c r="C15" s="614">
        <f>'7'!I28</f>
        <v>0.72144492450710251</v>
      </c>
      <c r="D15" s="614">
        <f>'7'!M28</f>
        <v>0.71146231315852382</v>
      </c>
      <c r="E15" s="614">
        <f>'7'!Q28</f>
        <v>0.81289397665575147</v>
      </c>
      <c r="F15" s="614">
        <f>'7'!U28</f>
        <v>0.83645806694342373</v>
      </c>
      <c r="G15" s="614">
        <f>'7'!Y28</f>
        <v>0.842048649767692</v>
      </c>
      <c r="H15" s="614">
        <f>'7'!AC28</f>
        <v>0.84365900681509509</v>
      </c>
      <c r="I15" s="614">
        <f>'7'!AG28</f>
        <v>0.86746665359152886</v>
      </c>
      <c r="J15" s="614">
        <f>'7'!AK28</f>
        <v>0.88091834255963763</v>
      </c>
      <c r="K15" s="614">
        <f>'7'!AO28</f>
        <v>0.79483554489034514</v>
      </c>
      <c r="L15" s="614">
        <f>'7'!AS28</f>
        <v>0.90400333159639101</v>
      </c>
    </row>
    <row r="16" spans="1:12">
      <c r="A16" s="611">
        <f t="shared" si="0"/>
        <v>1992</v>
      </c>
      <c r="B16" s="614">
        <f>'7'!E29</f>
        <v>0.84156954851677301</v>
      </c>
      <c r="C16" s="614">
        <f>'7'!I29</f>
        <v>0.66491418158930859</v>
      </c>
      <c r="D16" s="614">
        <f>'7'!M29</f>
        <v>0.7208472497024444</v>
      </c>
      <c r="E16" s="614">
        <f>'7'!Q29</f>
        <v>0.79057010164637775</v>
      </c>
      <c r="F16" s="614">
        <f>'7'!U29</f>
        <v>0.8097549821723059</v>
      </c>
      <c r="G16" s="614">
        <f>'7'!Y29</f>
        <v>0.81128361960834838</v>
      </c>
      <c r="H16" s="614">
        <f>'7'!AC29</f>
        <v>0.88495465042273069</v>
      </c>
      <c r="I16" s="614">
        <f>'7'!AG29</f>
        <v>0.87290020657435874</v>
      </c>
      <c r="J16" s="614">
        <f>'7'!AK29</f>
        <v>0.86081531816489165</v>
      </c>
      <c r="K16" s="614">
        <f>'7'!AO29</f>
        <v>0.77323592996597257</v>
      </c>
      <c r="L16" s="614">
        <f>'7'!AS29</f>
        <v>0.84247647596834541</v>
      </c>
    </row>
    <row r="17" spans="1:12">
      <c r="A17" s="611">
        <f t="shared" si="0"/>
        <v>1993</v>
      </c>
      <c r="B17" s="614">
        <f>'7'!E30</f>
        <v>0.81141981896061621</v>
      </c>
      <c r="C17" s="614">
        <f>'7'!I30</f>
        <v>0.72943582062192791</v>
      </c>
      <c r="D17" s="614">
        <f>'7'!M30</f>
        <v>0.89364737378806613</v>
      </c>
      <c r="E17" s="614">
        <f>'7'!Q30</f>
        <v>0.84035176607296558</v>
      </c>
      <c r="F17" s="614">
        <f>'7'!U30</f>
        <v>0.85384992305537766</v>
      </c>
      <c r="G17" s="614">
        <f>'7'!Y30</f>
        <v>0.80699574352988979</v>
      </c>
      <c r="H17" s="614">
        <f>'7'!AC30</f>
        <v>0.82632163044404827</v>
      </c>
      <c r="I17" s="614">
        <f>'7'!AG30</f>
        <v>0.79751146157607955</v>
      </c>
      <c r="J17" s="614">
        <f>'7'!AK30</f>
        <v>0.84346672537659928</v>
      </c>
      <c r="K17" s="614">
        <f>'7'!AO30</f>
        <v>0.79661735288707369</v>
      </c>
      <c r="L17" s="614">
        <f>'7'!AS30</f>
        <v>0.77289142572200087</v>
      </c>
    </row>
    <row r="18" spans="1:12">
      <c r="A18" s="611">
        <f t="shared" si="0"/>
        <v>1994</v>
      </c>
      <c r="B18" s="614">
        <f>'7'!E31</f>
        <v>0.85785899104801711</v>
      </c>
      <c r="C18" s="614">
        <f>'7'!I31</f>
        <v>0.79880455424996455</v>
      </c>
      <c r="D18" s="614">
        <f>'7'!M31</f>
        <v>0.89209470117221179</v>
      </c>
      <c r="E18" s="614">
        <f>'7'!Q31</f>
        <v>0.85346536017838581</v>
      </c>
      <c r="F18" s="614">
        <f>'7'!U31</f>
        <v>0.85384992305537766</v>
      </c>
      <c r="G18" s="614">
        <f>'7'!Y31</f>
        <v>0.84866473359727168</v>
      </c>
      <c r="H18" s="614">
        <f>'7'!AC31</f>
        <v>0.86517529978278607</v>
      </c>
      <c r="I18" s="614">
        <f>'7'!AG31</f>
        <v>0.81665628346898778</v>
      </c>
      <c r="J18" s="614">
        <f>'7'!AK31</f>
        <v>0.88204318897483858</v>
      </c>
      <c r="K18" s="614">
        <f>'7'!AO31</f>
        <v>0.79512717173873049</v>
      </c>
      <c r="L18" s="614">
        <f>'7'!AS31</f>
        <v>0.89076154986530687</v>
      </c>
    </row>
    <row r="19" spans="1:12">
      <c r="A19" s="611">
        <f t="shared" si="0"/>
        <v>1995</v>
      </c>
      <c r="B19" s="614">
        <f>'7'!E32</f>
        <v>0.87954353027439203</v>
      </c>
      <c r="C19" s="614">
        <f>'7'!I32</f>
        <v>0.88196387288145905</v>
      </c>
      <c r="D19" s="614">
        <f>'7'!M32</f>
        <v>0.81260074746204525</v>
      </c>
      <c r="E19" s="614">
        <f>'7'!Q32</f>
        <v>0.8330642995539711</v>
      </c>
      <c r="F19" s="614">
        <f>'7'!U32</f>
        <v>0.85389478872435998</v>
      </c>
      <c r="G19" s="614">
        <f>'7'!Y32</f>
        <v>0.87621065200712978</v>
      </c>
      <c r="H19" s="614">
        <f>'7'!AC32</f>
        <v>0.91666666666666674</v>
      </c>
      <c r="I19" s="614">
        <f>'7'!AG32</f>
        <v>0.87183304459070654</v>
      </c>
      <c r="J19" s="614">
        <f>'7'!AK32</f>
        <v>0.87132189643337166</v>
      </c>
      <c r="K19" s="614">
        <f>'7'!AO32</f>
        <v>0.8099392518841978</v>
      </c>
      <c r="L19" s="614">
        <f>'7'!AS32</f>
        <v>0.85343491561729068</v>
      </c>
    </row>
    <row r="20" spans="1:12">
      <c r="A20" s="611">
        <f t="shared" si="0"/>
        <v>1996</v>
      </c>
      <c r="B20" s="614">
        <f>'7'!E33</f>
        <v>0.8378809495882934</v>
      </c>
      <c r="C20" s="614">
        <f>'7'!I33</f>
        <v>0.83671764688539318</v>
      </c>
      <c r="D20" s="614">
        <f>'7'!M33</f>
        <v>0.84866473359727168</v>
      </c>
      <c r="E20" s="614">
        <f>'7'!Q33</f>
        <v>0.83148118237702151</v>
      </c>
      <c r="F20" s="614">
        <f>'7'!U33</f>
        <v>0.79038262724384423</v>
      </c>
      <c r="G20" s="614">
        <f>'7'!Y33</f>
        <v>0.76129845732601897</v>
      </c>
      <c r="H20" s="614">
        <f>'7'!AC33</f>
        <v>0.87405870224129645</v>
      </c>
      <c r="I20" s="614">
        <f>'7'!AG33</f>
        <v>0.84849488499326697</v>
      </c>
      <c r="J20" s="614">
        <f>'7'!AK33</f>
        <v>0.86317557282242874</v>
      </c>
      <c r="K20" s="614">
        <f>'7'!AO33</f>
        <v>0.84799815794381916</v>
      </c>
      <c r="L20" s="614">
        <f>'7'!AS33</f>
        <v>0.87222882388494394</v>
      </c>
    </row>
    <row r="21" spans="1:12">
      <c r="A21" s="611">
        <f t="shared" si="0"/>
        <v>1997</v>
      </c>
      <c r="B21" s="614">
        <f>'7'!E34</f>
        <v>0.83097323891032826</v>
      </c>
      <c r="C21" s="614">
        <f>'7'!I34</f>
        <v>0.83317005434514391</v>
      </c>
      <c r="D21" s="614">
        <f>'7'!M34</f>
        <v>0.84715852899572053</v>
      </c>
      <c r="E21" s="614">
        <f>'7'!Q34</f>
        <v>0.81598009374361058</v>
      </c>
      <c r="F21" s="614">
        <f>'7'!U34</f>
        <v>0.84226015935003751</v>
      </c>
      <c r="G21" s="614">
        <f>'7'!Y34</f>
        <v>0.81647041141177523</v>
      </c>
      <c r="H21" s="614">
        <f>'7'!AC34</f>
        <v>0.85310963951716845</v>
      </c>
      <c r="I21" s="614">
        <f>'7'!AG34</f>
        <v>0.7933053051089819</v>
      </c>
      <c r="J21" s="614">
        <f>'7'!AK34</f>
        <v>0.82702666238519995</v>
      </c>
      <c r="K21" s="614">
        <f>'7'!AO34</f>
        <v>0.83484770989602064</v>
      </c>
      <c r="L21" s="614">
        <f>'7'!AS34</f>
        <v>0.80779851853561024</v>
      </c>
    </row>
    <row r="22" spans="1:12">
      <c r="A22" s="611">
        <f t="shared" si="0"/>
        <v>1998</v>
      </c>
      <c r="B22" s="614">
        <f>'7'!E35</f>
        <v>0.81288436258382668</v>
      </c>
      <c r="C22" s="614">
        <f>'7'!I35</f>
        <v>0.7855996264612588</v>
      </c>
      <c r="D22" s="614">
        <f>'7'!M35</f>
        <v>0.75491150887731351</v>
      </c>
      <c r="E22" s="614">
        <f>'7'!Q35</f>
        <v>0.76133050423243487</v>
      </c>
      <c r="F22" s="614">
        <f>'7'!U35</f>
        <v>0.79749063108690932</v>
      </c>
      <c r="G22" s="614">
        <f>'7'!Y35</f>
        <v>0.70280804608088765</v>
      </c>
      <c r="H22" s="614">
        <f>'7'!AC35</f>
        <v>0.87560336313054699</v>
      </c>
      <c r="I22" s="614">
        <f>'7'!AG35</f>
        <v>0.83574342093034726</v>
      </c>
      <c r="J22" s="614">
        <f>'7'!AK35</f>
        <v>0.79520408431412892</v>
      </c>
      <c r="K22" s="614">
        <f>'7'!AO35</f>
        <v>0.81623486664961764</v>
      </c>
      <c r="L22" s="614">
        <f>'7'!AS35</f>
        <v>0.83881992394628169</v>
      </c>
    </row>
    <row r="23" spans="1:12">
      <c r="A23" s="611">
        <f t="shared" si="0"/>
        <v>1999</v>
      </c>
      <c r="B23" s="614">
        <f>'7'!E36</f>
        <v>0.83130973142769604</v>
      </c>
      <c r="C23" s="614">
        <f>'7'!I36</f>
        <v>0.73019372995866583</v>
      </c>
      <c r="D23" s="614">
        <f>'7'!M36</f>
        <v>0.7064165277433273</v>
      </c>
      <c r="E23" s="614">
        <f>'7'!Q36</f>
        <v>0.67491121404577448</v>
      </c>
      <c r="F23" s="614">
        <f>'7'!U36</f>
        <v>0.73555357505673902</v>
      </c>
      <c r="G23" s="614">
        <f>'7'!Y36</f>
        <v>0.79254419108160223</v>
      </c>
      <c r="H23" s="614">
        <f>'7'!AC36</f>
        <v>0.87250122258947982</v>
      </c>
      <c r="I23" s="614">
        <f>'7'!AG36</f>
        <v>0.82241190786129836</v>
      </c>
      <c r="J23" s="614">
        <f>'7'!AK36</f>
        <v>0.82231096010608795</v>
      </c>
      <c r="K23" s="614">
        <f>'7'!AO36</f>
        <v>0.90839066690314052</v>
      </c>
      <c r="L23" s="614">
        <f>'7'!AS36</f>
        <v>0.82321147817637719</v>
      </c>
    </row>
    <row r="24" spans="1:12">
      <c r="A24" s="611">
        <f t="shared" si="0"/>
        <v>2000</v>
      </c>
      <c r="B24" s="614">
        <f>'7'!E37</f>
        <v>0.78730772657323067</v>
      </c>
      <c r="C24" s="614">
        <f>'7'!I37</f>
        <v>0.56734577266052777</v>
      </c>
      <c r="D24" s="614">
        <f>'7'!M37</f>
        <v>0.68805845740293137</v>
      </c>
      <c r="E24" s="614">
        <f>'7'!Q37</f>
        <v>0.5601400257528939</v>
      </c>
      <c r="F24" s="614">
        <f>'7'!U37</f>
        <v>0.73822628705183202</v>
      </c>
      <c r="G24" s="614">
        <f>'7'!Y37</f>
        <v>0.75826201294310458</v>
      </c>
      <c r="H24" s="614">
        <f>'7'!AC37</f>
        <v>0.80016334308200221</v>
      </c>
      <c r="I24" s="614">
        <f>'7'!AG37</f>
        <v>0.75694808978004924</v>
      </c>
      <c r="J24" s="614">
        <f>'7'!AK37</f>
        <v>0.81404766528672678</v>
      </c>
      <c r="K24" s="614">
        <f>'7'!AO37</f>
        <v>0.87970377950950129</v>
      </c>
      <c r="L24" s="614">
        <f>'7'!AS37</f>
        <v>0.83633308400840134</v>
      </c>
    </row>
    <row r="25" spans="1:12">
      <c r="A25" s="611">
        <f t="shared" si="0"/>
        <v>2001</v>
      </c>
      <c r="B25" s="614">
        <f>'7'!E38</f>
        <v>0.76882948033377485</v>
      </c>
      <c r="C25" s="614">
        <f>'7'!I38</f>
        <v>0.57293956017543757</v>
      </c>
      <c r="D25" s="614">
        <f>'7'!M38</f>
        <v>0.70625469086592663</v>
      </c>
      <c r="E25" s="614">
        <f>'7'!Q38</f>
        <v>0.65616377379242441</v>
      </c>
      <c r="F25" s="614">
        <f>'7'!U38</f>
        <v>0.70629795418958807</v>
      </c>
      <c r="G25" s="614">
        <f>'7'!Y38</f>
        <v>0.75001794626759299</v>
      </c>
      <c r="H25" s="614">
        <f>'7'!AC38</f>
        <v>0.79795370888462025</v>
      </c>
      <c r="I25" s="614">
        <f>'7'!AG38</f>
        <v>0.73241618291861432</v>
      </c>
      <c r="J25" s="614">
        <f>'7'!AK38</f>
        <v>0.75466474769791048</v>
      </c>
      <c r="K25" s="614">
        <f>'7'!AO38</f>
        <v>0.88718875051636259</v>
      </c>
      <c r="L25" s="614">
        <f>'7'!AS38</f>
        <v>0.73079300710864481</v>
      </c>
    </row>
    <row r="26" spans="1:12">
      <c r="A26" s="611">
        <f t="shared" si="0"/>
        <v>2002</v>
      </c>
      <c r="B26" s="614">
        <f>'7'!E39</f>
        <v>0.73838972627455357</v>
      </c>
      <c r="C26" s="614">
        <f>'7'!I39</f>
        <v>0.67037497444259198</v>
      </c>
      <c r="D26" s="614">
        <f>'7'!M39</f>
        <v>0.56624976846110109</v>
      </c>
      <c r="E26" s="614">
        <f>'7'!Q39</f>
        <v>0.66782243834655897</v>
      </c>
      <c r="F26" s="614">
        <f>'7'!U39</f>
        <v>0.67945065833959839</v>
      </c>
      <c r="G26" s="614">
        <f>'7'!Y39</f>
        <v>0.66753882322477753</v>
      </c>
      <c r="H26" s="614">
        <f>'7'!AC39</f>
        <v>0.8101780013369968</v>
      </c>
      <c r="I26" s="614">
        <f>'7'!AG39</f>
        <v>0.72257938499422825</v>
      </c>
      <c r="J26" s="614">
        <f>'7'!AK39</f>
        <v>0.68864812048098556</v>
      </c>
      <c r="K26" s="614">
        <f>'7'!AO39</f>
        <v>0.85853910822231938</v>
      </c>
      <c r="L26" s="614">
        <f>'7'!AS39</f>
        <v>0.63345693825137972</v>
      </c>
    </row>
    <row r="27" spans="1:12">
      <c r="A27" s="611">
        <f t="shared" si="0"/>
        <v>2003</v>
      </c>
      <c r="B27" s="614">
        <f>'7'!E40</f>
        <v>0.72954317775842137</v>
      </c>
      <c r="C27" s="614">
        <f>'7'!I40</f>
        <v>0.65228129108012822</v>
      </c>
      <c r="D27" s="614">
        <f>'7'!M40</f>
        <v>0.56457852229150773</v>
      </c>
      <c r="E27" s="614">
        <f>'7'!Q40</f>
        <v>0.68682144681527457</v>
      </c>
      <c r="F27" s="614">
        <f>'7'!U40</f>
        <v>0.65277962047489657</v>
      </c>
      <c r="G27" s="614">
        <f>'7'!Y40</f>
        <v>0.68779887746096213</v>
      </c>
      <c r="H27" s="614">
        <f>'7'!AC40</f>
        <v>0.79713330808037108</v>
      </c>
      <c r="I27" s="614">
        <f>'7'!AG40</f>
        <v>0.70793234641680325</v>
      </c>
      <c r="J27" s="614">
        <f>'7'!AK40</f>
        <v>0.76685539089855037</v>
      </c>
      <c r="K27" s="614">
        <f>'7'!AO40</f>
        <v>0.82573356971131506</v>
      </c>
      <c r="L27" s="614">
        <f>'7'!AS40</f>
        <v>0.59078327766785688</v>
      </c>
    </row>
    <row r="28" spans="1:12">
      <c r="A28" s="611">
        <f t="shared" si="0"/>
        <v>2004</v>
      </c>
      <c r="B28" s="614">
        <f>'7'!E41</f>
        <v>0.75692084990959563</v>
      </c>
      <c r="C28" s="614">
        <f>'7'!I41</f>
        <v>0.59770540945370909</v>
      </c>
      <c r="D28" s="614">
        <f>'7'!M41</f>
        <v>0.53616893975373869</v>
      </c>
      <c r="E28" s="614">
        <f>'7'!Q41</f>
        <v>0.69654768291252533</v>
      </c>
      <c r="F28" s="614">
        <f>'7'!U41</f>
        <v>0.59556788079576317</v>
      </c>
      <c r="G28" s="614">
        <f>'7'!Y41</f>
        <v>0.703610821086608</v>
      </c>
      <c r="H28" s="614">
        <f>'7'!AC41</f>
        <v>0.84052001233164952</v>
      </c>
      <c r="I28" s="614">
        <f>'7'!AG41</f>
        <v>0.68685349372169047</v>
      </c>
      <c r="J28" s="614">
        <f>'7'!AK41</f>
        <v>0.71353895269427947</v>
      </c>
      <c r="K28" s="614">
        <f>'7'!AO41</f>
        <v>0.89163162337450075</v>
      </c>
      <c r="L28" s="614">
        <f>'7'!AS41</f>
        <v>0.67592549863384033</v>
      </c>
    </row>
    <row r="29" spans="1:12">
      <c r="A29" s="611">
        <f t="shared" si="0"/>
        <v>2005</v>
      </c>
      <c r="B29" s="614">
        <f>'7'!E42</f>
        <v>0.74106724530560886</v>
      </c>
      <c r="C29" s="614">
        <f>'7'!I42</f>
        <v>0.5990994498828045</v>
      </c>
      <c r="D29" s="614">
        <f>'7'!M42</f>
        <v>0.58570865003688588</v>
      </c>
      <c r="E29" s="614">
        <f>'7'!Q42</f>
        <v>0.66232318920557631</v>
      </c>
      <c r="F29" s="614">
        <f>'7'!U42</f>
        <v>0.62060132174260818</v>
      </c>
      <c r="G29" s="614">
        <f>'7'!Y42</f>
        <v>0.61856954787583485</v>
      </c>
      <c r="H29" s="614">
        <f>'7'!AC42</f>
        <v>0.83621611279998309</v>
      </c>
      <c r="I29" s="614">
        <f>'7'!AG42</f>
        <v>0.66498148009278224</v>
      </c>
      <c r="J29" s="614">
        <f>'7'!AK42</f>
        <v>0.59151875417010369</v>
      </c>
      <c r="K29" s="614">
        <f>'7'!AO42</f>
        <v>0.90484296054448976</v>
      </c>
      <c r="L29" s="614">
        <f>'7'!AS42</f>
        <v>0.71205518092721942</v>
      </c>
    </row>
    <row r="30" spans="1:12">
      <c r="A30" s="611">
        <f t="shared" si="0"/>
        <v>2006</v>
      </c>
      <c r="B30" s="614">
        <f>'7'!E43</f>
        <v>0.74993141962026966</v>
      </c>
      <c r="C30" s="614">
        <f>'7'!I43</f>
        <v>0.54665628987836901</v>
      </c>
      <c r="D30" s="614">
        <f>'7'!M43</f>
        <v>0.66099644727995466</v>
      </c>
      <c r="E30" s="614">
        <f>'7'!Q43</f>
        <v>0.63466831131390389</v>
      </c>
      <c r="F30" s="614">
        <f>'7'!U43</f>
        <v>0.63790504886191812</v>
      </c>
      <c r="G30" s="614">
        <f>'7'!Y43</f>
        <v>0.67981599307274054</v>
      </c>
      <c r="H30" s="614">
        <f>'7'!AC43</f>
        <v>0.80135869269131843</v>
      </c>
      <c r="I30" s="614">
        <f>'7'!AG43</f>
        <v>0.76581707113067254</v>
      </c>
      <c r="J30" s="614">
        <f>'7'!AK43</f>
        <v>0.64936822728691534</v>
      </c>
      <c r="K30" s="614">
        <f>'7'!AO43</f>
        <v>0.90093964734302301</v>
      </c>
      <c r="L30" s="614">
        <f>'7'!AS43</f>
        <v>0.77290744917520871</v>
      </c>
    </row>
    <row r="31" spans="1:12">
      <c r="A31" s="611">
        <f t="shared" si="0"/>
        <v>2007</v>
      </c>
      <c r="B31" s="614">
        <f>'7'!E44</f>
        <v>0.736000629401242</v>
      </c>
      <c r="C31" s="614">
        <f>'7'!I44</f>
        <v>0.59664946388730244</v>
      </c>
      <c r="D31" s="614">
        <f>'7'!M44</f>
        <v>0.64464771797184106</v>
      </c>
      <c r="E31" s="614">
        <f>'7'!Q44</f>
        <v>0.60361485899681655</v>
      </c>
      <c r="F31" s="614">
        <f>'7'!U44</f>
        <v>0.63688435489256912</v>
      </c>
      <c r="G31" s="614">
        <f>'7'!Y44</f>
        <v>0.62537470845326881</v>
      </c>
      <c r="H31" s="614">
        <f>'7'!AC44</f>
        <v>0.83820782803373639</v>
      </c>
      <c r="I31" s="614">
        <f>'7'!AG44</f>
        <v>0.70767757351079619</v>
      </c>
      <c r="J31" s="614">
        <f>'7'!AK44</f>
        <v>0.65902876722601345</v>
      </c>
      <c r="K31" s="614">
        <f>'7'!AO44</f>
        <v>0.85097371320454329</v>
      </c>
      <c r="L31" s="614">
        <f>'7'!AS44</f>
        <v>0.68093122541601692</v>
      </c>
    </row>
    <row r="32" spans="1:12">
      <c r="A32" s="611">
        <f t="shared" si="0"/>
        <v>2008</v>
      </c>
      <c r="B32" s="614">
        <f>'7'!E45</f>
        <v>0.67653759454638562</v>
      </c>
      <c r="C32" s="614">
        <f>'7'!I45</f>
        <v>0.59683213125387369</v>
      </c>
      <c r="D32" s="614">
        <f>'7'!M45</f>
        <v>0.60220479511451319</v>
      </c>
      <c r="E32" s="614">
        <f>'7'!Q45</f>
        <v>0.52830302657393569</v>
      </c>
      <c r="F32" s="614">
        <f>'7'!U45</f>
        <v>0.59945837523466339</v>
      </c>
      <c r="G32" s="614">
        <f>'7'!Y45</f>
        <v>0.58552758501563573</v>
      </c>
      <c r="H32" s="614">
        <f>'7'!AC45</f>
        <v>0.73601024347316679</v>
      </c>
      <c r="I32" s="614">
        <f>'7'!AG45</f>
        <v>0.73001106259209469</v>
      </c>
      <c r="J32" s="614">
        <f>'7'!AK45</f>
        <v>0.5819126939719127</v>
      </c>
      <c r="K32" s="614">
        <f>'7'!AO45</f>
        <v>0.87034767047832562</v>
      </c>
      <c r="L32" s="614">
        <f>'7'!AS45</f>
        <v>0.62401752196655191</v>
      </c>
    </row>
    <row r="33" spans="1:12">
      <c r="A33" s="611">
        <f t="shared" si="0"/>
        <v>2009</v>
      </c>
      <c r="B33" s="614">
        <f>'7'!E46</f>
        <v>0.67229618648223033</v>
      </c>
      <c r="C33" s="614">
        <f>'7'!I46</f>
        <v>0.58849352620443485</v>
      </c>
      <c r="D33" s="614">
        <f>'7'!M46</f>
        <v>0.74846046661577614</v>
      </c>
      <c r="E33" s="614">
        <f>'7'!Q46</f>
        <v>0.49633303273335105</v>
      </c>
      <c r="F33" s="614">
        <f>'7'!U46</f>
        <v>0.65948543564244111</v>
      </c>
      <c r="G33" s="614">
        <f>'7'!Y46</f>
        <v>0.58335961179659435</v>
      </c>
      <c r="H33" s="614">
        <f>'7'!AC46</f>
        <v>0.7288605786517609</v>
      </c>
      <c r="I33" s="614">
        <f>'7'!AG46</f>
        <v>0.71095116500118882</v>
      </c>
      <c r="J33" s="614">
        <f>'7'!AK46</f>
        <v>0.68269060057825426</v>
      </c>
      <c r="K33" s="614">
        <f>'7'!AO46</f>
        <v>0.89552692484936347</v>
      </c>
      <c r="L33" s="614">
        <f>'7'!AS46</f>
        <v>0.58857204112515393</v>
      </c>
    </row>
    <row r="34" spans="1:12">
      <c r="A34" s="611">
        <f t="shared" si="0"/>
        <v>2010</v>
      </c>
      <c r="B34" s="614">
        <f>'7'!E47</f>
        <v>0.67229618648223033</v>
      </c>
      <c r="C34" s="614">
        <f>'7'!I47</f>
        <v>0.58849352620443485</v>
      </c>
      <c r="D34" s="614">
        <f>'7'!M47</f>
        <v>0.74846046661577614</v>
      </c>
      <c r="E34" s="614">
        <f>'7'!Q47</f>
        <v>0.49633303273335105</v>
      </c>
      <c r="F34" s="614">
        <f>'7'!U47</f>
        <v>0.65948543564244111</v>
      </c>
      <c r="G34" s="614">
        <f>'7'!Y47</f>
        <v>0.58335961179659435</v>
      </c>
      <c r="H34" s="614">
        <f>'7'!AC47</f>
        <v>0.7288605786517609</v>
      </c>
      <c r="I34" s="614">
        <f>'7'!AG47</f>
        <v>0.71095116500118882</v>
      </c>
      <c r="J34" s="614">
        <f>'7'!AK47</f>
        <v>0.68269060057825426</v>
      </c>
      <c r="K34" s="614">
        <f>'7'!AO47</f>
        <v>0.89552692484936347</v>
      </c>
      <c r="L34" s="614">
        <f>'7'!AS47</f>
        <v>0.58857204112515393</v>
      </c>
    </row>
    <row r="35" spans="1:12">
      <c r="A35" s="611" t="s">
        <v>1501</v>
      </c>
      <c r="B35" s="611"/>
      <c r="C35" s="611"/>
      <c r="D35" s="611"/>
      <c r="E35" s="611"/>
      <c r="F35" s="611"/>
      <c r="G35" s="611"/>
      <c r="H35" s="611"/>
      <c r="I35" s="611"/>
      <c r="J35" s="611"/>
      <c r="K35" s="611"/>
      <c r="L35" s="611"/>
    </row>
    <row r="36" spans="1:12">
      <c r="A36" s="611" t="s">
        <v>1498</v>
      </c>
      <c r="B36" s="617">
        <f t="shared" ref="B36:L36" si="1">100*(POWER(B34/B5, 1/29)-1)</f>
        <v>2.3299913399276395</v>
      </c>
      <c r="C36" s="617">
        <f t="shared" si="1"/>
        <v>3.3965530021282442</v>
      </c>
      <c r="D36" s="617">
        <f t="shared" si="1"/>
        <v>2.8992215152993994</v>
      </c>
      <c r="E36" s="617">
        <f t="shared" si="1"/>
        <v>2.8364288821030481</v>
      </c>
      <c r="F36" s="617">
        <f t="shared" si="1"/>
        <v>5.2056406256495213</v>
      </c>
      <c r="G36" s="617">
        <f t="shared" si="1"/>
        <v>2.8689405059695527</v>
      </c>
      <c r="H36" s="617">
        <f t="shared" si="1"/>
        <v>1.5245516492463196</v>
      </c>
      <c r="I36" s="617">
        <f t="shared" si="1"/>
        <v>3.228457574726451</v>
      </c>
      <c r="J36" s="617">
        <f t="shared" si="1"/>
        <v>7.5218504510943696</v>
      </c>
      <c r="K36" s="617">
        <f t="shared" si="1"/>
        <v>3.639374082423763</v>
      </c>
      <c r="L36" s="617">
        <f t="shared" si="1"/>
        <v>1.5075185601960861</v>
      </c>
    </row>
    <row r="37" spans="1:12">
      <c r="A37" s="611" t="s">
        <v>1472</v>
      </c>
      <c r="B37" s="617">
        <f t="shared" ref="B37:L37" si="2">100*(POWER(B13/B5, 1/8)-1)</f>
        <v>9.4155464546660248</v>
      </c>
      <c r="C37" s="617">
        <f t="shared" si="2"/>
        <v>10.973839735308278</v>
      </c>
      <c r="D37" s="617">
        <f t="shared" si="2"/>
        <v>6.917271598076824</v>
      </c>
      <c r="E37" s="617">
        <f t="shared" si="2"/>
        <v>12.61464919269546</v>
      </c>
      <c r="F37" s="617">
        <f t="shared" si="2"/>
        <v>21.053210241219954</v>
      </c>
      <c r="G37" s="617">
        <f t="shared" si="2"/>
        <v>9.96661013178195</v>
      </c>
      <c r="H37" s="617">
        <f t="shared" si="2"/>
        <v>7.0092261359872454</v>
      </c>
      <c r="I37" s="617">
        <f t="shared" si="2"/>
        <v>12.271160988018416</v>
      </c>
      <c r="J37" s="617">
        <f t="shared" si="2"/>
        <v>31.40340282804457</v>
      </c>
      <c r="K37" s="617">
        <f t="shared" si="2"/>
        <v>11.890905017497587</v>
      </c>
      <c r="L37" s="617">
        <f t="shared" si="2"/>
        <v>8.4887473994272877</v>
      </c>
    </row>
    <row r="38" spans="1:12">
      <c r="A38" s="611" t="s">
        <v>1473</v>
      </c>
      <c r="B38" s="617">
        <f t="shared" ref="B38:L38" si="3">100*(POWER(B24/B13, 1/11)-1)</f>
        <v>0.96832736514544937</v>
      </c>
      <c r="C38" s="617">
        <f t="shared" si="3"/>
        <v>0.90452335563364628</v>
      </c>
      <c r="D38" s="617">
        <f t="shared" si="3"/>
        <v>1.9236386750277168</v>
      </c>
      <c r="E38" s="617">
        <f t="shared" si="3"/>
        <v>-0.1667576362340939</v>
      </c>
      <c r="F38" s="617">
        <f t="shared" si="3"/>
        <v>0.51007442185646568</v>
      </c>
      <c r="G38" s="617">
        <f t="shared" si="3"/>
        <v>2.9747881788152686</v>
      </c>
      <c r="H38" s="617">
        <f t="shared" si="3"/>
        <v>-8.9431527309369319E-2</v>
      </c>
      <c r="I38" s="617">
        <f t="shared" si="3"/>
        <v>0.53024869331461666</v>
      </c>
      <c r="J38" s="617">
        <f t="shared" si="3"/>
        <v>0.86146911154536543</v>
      </c>
      <c r="K38" s="617">
        <f t="shared" si="3"/>
        <v>1.0969413322330368</v>
      </c>
      <c r="L38" s="617">
        <f t="shared" si="3"/>
        <v>1.2204354540676476</v>
      </c>
    </row>
    <row r="39" spans="1:12">
      <c r="A39" s="611" t="s">
        <v>1474</v>
      </c>
      <c r="B39" s="617">
        <f t="shared" ref="B39:L39" si="4">100*(POWER(B32/B24, 1/8)-1)</f>
        <v>-1.8775400170721324</v>
      </c>
      <c r="C39" s="617">
        <f t="shared" si="4"/>
        <v>0.63534657407948725</v>
      </c>
      <c r="D39" s="617">
        <f t="shared" si="4"/>
        <v>-1.6521525331191111</v>
      </c>
      <c r="E39" s="617">
        <f t="shared" si="4"/>
        <v>-0.72879091285142916</v>
      </c>
      <c r="F39" s="617">
        <f t="shared" si="4"/>
        <v>-2.5692174345731678</v>
      </c>
      <c r="G39" s="617">
        <f t="shared" si="4"/>
        <v>-3.1797928301840472</v>
      </c>
      <c r="H39" s="617">
        <f t="shared" si="4"/>
        <v>-1.0392106183323868</v>
      </c>
      <c r="I39" s="617">
        <f t="shared" si="4"/>
        <v>-0.45191315085603145</v>
      </c>
      <c r="J39" s="617">
        <f t="shared" si="4"/>
        <v>-4.1094080745995072</v>
      </c>
      <c r="K39" s="617">
        <f t="shared" si="4"/>
        <v>-0.13356676447000559</v>
      </c>
      <c r="L39" s="617">
        <f t="shared" si="4"/>
        <v>-3.5944163088331704</v>
      </c>
    </row>
    <row r="40" spans="1:12">
      <c r="A40" s="611" t="s">
        <v>1500</v>
      </c>
      <c r="B40" s="611"/>
      <c r="C40" s="611"/>
      <c r="D40" s="611"/>
      <c r="E40" s="611"/>
      <c r="F40" s="611"/>
      <c r="G40" s="611"/>
      <c r="H40" s="611"/>
      <c r="I40" s="611"/>
      <c r="J40" s="611"/>
      <c r="K40" s="611"/>
      <c r="L40" s="611"/>
    </row>
    <row r="41" spans="1:12">
      <c r="A41" s="611" t="s">
        <v>1498</v>
      </c>
      <c r="B41" s="616">
        <f>100*(B34-B5)/B5</f>
        <v>95.022708563901162</v>
      </c>
      <c r="C41" s="616">
        <f t="shared" ref="C41:L41" si="5">100*(C34-C5)/C5</f>
        <v>163.43638529829272</v>
      </c>
      <c r="D41" s="616">
        <f t="shared" si="5"/>
        <v>129.06070043757128</v>
      </c>
      <c r="E41" s="616">
        <f t="shared" si="5"/>
        <v>125.0415022620095</v>
      </c>
      <c r="F41" s="616">
        <f t="shared" si="5"/>
        <v>335.64399508441937</v>
      </c>
      <c r="G41" s="616">
        <f t="shared" si="5"/>
        <v>127.11391250590296</v>
      </c>
      <c r="H41" s="616">
        <f t="shared" si="5"/>
        <v>55.081976379265519</v>
      </c>
      <c r="I41" s="616">
        <f t="shared" si="5"/>
        <v>151.29491949337086</v>
      </c>
      <c r="J41" s="616">
        <f>100*(J34-J5)/J5</f>
        <v>719.2287206939053</v>
      </c>
      <c r="K41" s="616">
        <f t="shared" si="5"/>
        <v>181.98023108969173</v>
      </c>
      <c r="L41" s="616">
        <f t="shared" si="5"/>
        <v>54.329207037852569</v>
      </c>
    </row>
    <row r="42" spans="1:12">
      <c r="A42" s="611" t="s">
        <v>1472</v>
      </c>
      <c r="B42" s="616">
        <f>100*(B13-B5)/B5</f>
        <v>105.41505472505922</v>
      </c>
      <c r="C42" s="616">
        <f t="shared" ref="C42:L42" si="6">100*(C13-C5)/C5</f>
        <v>130.01963201977409</v>
      </c>
      <c r="D42" s="616">
        <f t="shared" si="6"/>
        <v>70.758739532103419</v>
      </c>
      <c r="E42" s="616">
        <f t="shared" si="6"/>
        <v>158.67776880933371</v>
      </c>
      <c r="F42" s="616">
        <f t="shared" si="6"/>
        <v>361.11631530424455</v>
      </c>
      <c r="G42" s="616">
        <f t="shared" si="6"/>
        <v>113.83889443054352</v>
      </c>
      <c r="H42" s="616">
        <f t="shared" si="6"/>
        <v>71.93717502397638</v>
      </c>
      <c r="I42" s="616">
        <f t="shared" si="6"/>
        <v>152.43275633470412</v>
      </c>
      <c r="J42" s="616">
        <f t="shared" si="6"/>
        <v>788.89997711850901</v>
      </c>
      <c r="K42" s="616">
        <f t="shared" si="6"/>
        <v>145.67348856029847</v>
      </c>
      <c r="L42" s="616">
        <f t="shared" si="6"/>
        <v>91.901142010360061</v>
      </c>
    </row>
    <row r="43" spans="1:12">
      <c r="A43" s="611" t="s">
        <v>1473</v>
      </c>
      <c r="B43" s="616">
        <f>100*(B24-B13)/B13</f>
        <v>11.182588298865804</v>
      </c>
      <c r="C43" s="616">
        <f t="shared" ref="C43:L43" si="7">100*(C24-C13)/C13</f>
        <v>10.412180785893574</v>
      </c>
      <c r="D43" s="616">
        <f t="shared" si="7"/>
        <v>23.317330680551624</v>
      </c>
      <c r="E43" s="616">
        <f t="shared" si="7"/>
        <v>-1.8191157979408101</v>
      </c>
      <c r="F43" s="616">
        <f t="shared" si="7"/>
        <v>5.7561275924782747</v>
      </c>
      <c r="G43" s="616">
        <f t="shared" si="7"/>
        <v>38.051134512163742</v>
      </c>
      <c r="H43" s="616">
        <f t="shared" si="7"/>
        <v>-0.9793596823852776</v>
      </c>
      <c r="I43" s="616">
        <f t="shared" si="7"/>
        <v>5.9898618609563101</v>
      </c>
      <c r="J43" s="616">
        <f t="shared" si="7"/>
        <v>9.8950639542919951</v>
      </c>
      <c r="K43" s="616">
        <f t="shared" si="7"/>
        <v>12.75042284243367</v>
      </c>
      <c r="L43" s="616">
        <f t="shared" si="7"/>
        <v>14.274732831797934</v>
      </c>
    </row>
    <row r="44" spans="1:12">
      <c r="A44" s="611" t="s">
        <v>1474</v>
      </c>
      <c r="B44" s="616">
        <f>100*(B32-B24)/B24</f>
        <v>-14.069483670505026</v>
      </c>
      <c r="C44" s="616">
        <f t="shared" ref="C44:L44" si="8">100*(C32-C24)/C24</f>
        <v>5.1972465495022071</v>
      </c>
      <c r="D44" s="616">
        <f t="shared" si="8"/>
        <v>-12.477669791673199</v>
      </c>
      <c r="E44" s="616">
        <f t="shared" si="8"/>
        <v>-5.6837572241272269</v>
      </c>
      <c r="F44" s="616">
        <f t="shared" si="8"/>
        <v>-18.797476363426423</v>
      </c>
      <c r="G44" s="616">
        <f t="shared" si="8"/>
        <v>-22.78030878231926</v>
      </c>
      <c r="H44" s="616">
        <f t="shared" si="8"/>
        <v>-8.0175004470632061</v>
      </c>
      <c r="I44" s="616">
        <f t="shared" si="8"/>
        <v>-3.5586359952083093</v>
      </c>
      <c r="J44" s="616">
        <f t="shared" si="8"/>
        <v>-28.516139928127018</v>
      </c>
      <c r="K44" s="616">
        <f t="shared" si="8"/>
        <v>-1.0635522148594592</v>
      </c>
      <c r="L44" s="616">
        <f t="shared" si="8"/>
        <v>-25.386483699085211</v>
      </c>
    </row>
    <row r="46" spans="1:12">
      <c r="A46" s="611" t="s">
        <v>1534</v>
      </c>
    </row>
  </sheetData>
  <pageMargins left="0.7" right="0.7" top="0.75" bottom="0.75" header="0.3" footer="0.3"/>
</worksheet>
</file>

<file path=xl/worksheets/sheet182.xml><?xml version="1.0" encoding="utf-8"?>
<worksheet xmlns="http://schemas.openxmlformats.org/spreadsheetml/2006/main" xmlns:r="http://schemas.openxmlformats.org/officeDocument/2006/relationships">
  <dimension ref="A1:BG46"/>
  <sheetViews>
    <sheetView view="pageBreakPreview" topLeftCell="AE9" zoomScale="60" workbookViewId="0">
      <selection activeCell="E9" sqref="E9"/>
    </sheetView>
  </sheetViews>
  <sheetFormatPr defaultRowHeight="12.75"/>
  <cols>
    <col min="1" max="16384" width="9" style="618"/>
  </cols>
  <sheetData>
    <row r="1" spans="1:59">
      <c r="A1" s="611" t="s">
        <v>1560</v>
      </c>
      <c r="Q1" s="611" t="s">
        <v>1562</v>
      </c>
      <c r="AG1" s="611" t="s">
        <v>1563</v>
      </c>
      <c r="AW1" s="611" t="s">
        <v>1564</v>
      </c>
    </row>
    <row r="2" spans="1:59">
      <c r="A2" s="611"/>
      <c r="Q2" s="611"/>
      <c r="AG2" s="611"/>
      <c r="AW2" s="611"/>
    </row>
    <row r="3" spans="1:59" s="611" customFormat="1" ht="11.25">
      <c r="B3" s="632" t="s">
        <v>321</v>
      </c>
      <c r="F3" s="633"/>
      <c r="G3" s="611" t="s">
        <v>370</v>
      </c>
      <c r="K3" s="633"/>
      <c r="L3" s="611" t="s">
        <v>371</v>
      </c>
      <c r="P3" s="633"/>
      <c r="R3" s="611" t="s">
        <v>372</v>
      </c>
      <c r="V3" s="633"/>
      <c r="W3" s="611" t="s">
        <v>373</v>
      </c>
      <c r="AA3" s="633"/>
      <c r="AB3" s="611" t="s">
        <v>374</v>
      </c>
      <c r="AF3" s="633"/>
      <c r="AH3" s="611" t="s">
        <v>375</v>
      </c>
      <c r="AL3" s="633"/>
      <c r="AM3" s="611" t="s">
        <v>376</v>
      </c>
      <c r="AQ3" s="633"/>
      <c r="AR3" s="611" t="s">
        <v>377</v>
      </c>
      <c r="AV3" s="633"/>
      <c r="AX3" s="611" t="s">
        <v>378</v>
      </c>
      <c r="BB3" s="633"/>
      <c r="BC3" s="611" t="s">
        <v>379</v>
      </c>
    </row>
    <row r="4" spans="1:59" s="621" customFormat="1" ht="33.75">
      <c r="B4" s="634" t="s">
        <v>3</v>
      </c>
      <c r="C4" s="621" t="s">
        <v>5</v>
      </c>
      <c r="D4" s="621" t="s">
        <v>7</v>
      </c>
      <c r="E4" s="621" t="s">
        <v>9</v>
      </c>
      <c r="F4" s="635" t="s">
        <v>11</v>
      </c>
      <c r="G4" s="621" t="s">
        <v>3</v>
      </c>
      <c r="H4" s="621" t="s">
        <v>5</v>
      </c>
      <c r="I4" s="621" t="s">
        <v>7</v>
      </c>
      <c r="J4" s="621" t="s">
        <v>9</v>
      </c>
      <c r="K4" s="635" t="s">
        <v>11</v>
      </c>
      <c r="L4" s="621" t="s">
        <v>3</v>
      </c>
      <c r="M4" s="621" t="s">
        <v>5</v>
      </c>
      <c r="N4" s="621" t="s">
        <v>7</v>
      </c>
      <c r="O4" s="621" t="s">
        <v>9</v>
      </c>
      <c r="P4" s="635" t="s">
        <v>11</v>
      </c>
      <c r="R4" s="621" t="s">
        <v>3</v>
      </c>
      <c r="S4" s="621" t="s">
        <v>5</v>
      </c>
      <c r="T4" s="621" t="s">
        <v>7</v>
      </c>
      <c r="U4" s="621" t="s">
        <v>9</v>
      </c>
      <c r="V4" s="635" t="s">
        <v>11</v>
      </c>
      <c r="W4" s="621" t="s">
        <v>3</v>
      </c>
      <c r="X4" s="621" t="s">
        <v>5</v>
      </c>
      <c r="Y4" s="621" t="s">
        <v>7</v>
      </c>
      <c r="Z4" s="621" t="s">
        <v>9</v>
      </c>
      <c r="AA4" s="635" t="s">
        <v>11</v>
      </c>
      <c r="AB4" s="621" t="s">
        <v>3</v>
      </c>
      <c r="AC4" s="621" t="s">
        <v>5</v>
      </c>
      <c r="AD4" s="621" t="s">
        <v>7</v>
      </c>
      <c r="AE4" s="621" t="s">
        <v>9</v>
      </c>
      <c r="AF4" s="635" t="s">
        <v>11</v>
      </c>
      <c r="AH4" s="621" t="s">
        <v>3</v>
      </c>
      <c r="AI4" s="621" t="s">
        <v>5</v>
      </c>
      <c r="AJ4" s="621" t="s">
        <v>7</v>
      </c>
      <c r="AK4" s="621" t="s">
        <v>9</v>
      </c>
      <c r="AL4" s="635" t="s">
        <v>11</v>
      </c>
      <c r="AM4" s="621" t="s">
        <v>3</v>
      </c>
      <c r="AN4" s="621" t="s">
        <v>5</v>
      </c>
      <c r="AO4" s="621" t="s">
        <v>7</v>
      </c>
      <c r="AP4" s="621" t="s">
        <v>9</v>
      </c>
      <c r="AQ4" s="635" t="s">
        <v>11</v>
      </c>
      <c r="AR4" s="621" t="s">
        <v>3</v>
      </c>
      <c r="AS4" s="621" t="s">
        <v>5</v>
      </c>
      <c r="AT4" s="621" t="s">
        <v>7</v>
      </c>
      <c r="AU4" s="621" t="s">
        <v>9</v>
      </c>
      <c r="AV4" s="635" t="s">
        <v>11</v>
      </c>
      <c r="AX4" s="621" t="s">
        <v>3</v>
      </c>
      <c r="AY4" s="621" t="s">
        <v>5</v>
      </c>
      <c r="AZ4" s="621" t="s">
        <v>7</v>
      </c>
      <c r="BA4" s="621" t="s">
        <v>9</v>
      </c>
      <c r="BB4" s="635" t="s">
        <v>11</v>
      </c>
      <c r="BC4" s="621" t="s">
        <v>3</v>
      </c>
      <c r="BD4" s="621" t="s">
        <v>5</v>
      </c>
      <c r="BE4" s="621" t="s">
        <v>7</v>
      </c>
      <c r="BF4" s="621" t="s">
        <v>9</v>
      </c>
      <c r="BG4" s="621" t="s">
        <v>11</v>
      </c>
    </row>
    <row r="5" spans="1:59" s="611" customFormat="1" ht="15.75" customHeight="1">
      <c r="A5" s="611">
        <v>1981</v>
      </c>
      <c r="B5" s="636">
        <v>68.131836873736276</v>
      </c>
      <c r="C5" s="617">
        <v>100</v>
      </c>
      <c r="D5" s="617">
        <v>45.270148652400152</v>
      </c>
      <c r="E5" s="617">
        <v>18.899694056164172</v>
      </c>
      <c r="F5" s="637">
        <v>232.30167958230064</v>
      </c>
      <c r="G5" s="617">
        <v>63.124932644072153</v>
      </c>
      <c r="H5" s="617">
        <v>100</v>
      </c>
      <c r="I5" s="617">
        <v>49.756656834722762</v>
      </c>
      <c r="J5" s="617">
        <v>15.18993502543012</v>
      </c>
      <c r="K5" s="637">
        <v>228.07152450422504</v>
      </c>
      <c r="L5" s="617">
        <v>63.182815193725673</v>
      </c>
      <c r="M5" s="617">
        <v>100</v>
      </c>
      <c r="N5" s="617">
        <v>47.69952507293511</v>
      </c>
      <c r="O5" s="617">
        <v>17.418717776464778</v>
      </c>
      <c r="P5" s="637">
        <v>228.30105804312555</v>
      </c>
      <c r="Q5" s="611">
        <v>1981</v>
      </c>
      <c r="R5" s="617">
        <v>65.848414556114307</v>
      </c>
      <c r="S5" s="617">
        <v>100</v>
      </c>
      <c r="T5" s="617">
        <v>47.455922931853834</v>
      </c>
      <c r="U5" s="617">
        <v>18.299252167870943</v>
      </c>
      <c r="V5" s="637">
        <v>231.6035896558391</v>
      </c>
      <c r="W5" s="617">
        <v>65.231343727262697</v>
      </c>
      <c r="X5" s="617">
        <v>100</v>
      </c>
      <c r="Y5" s="617">
        <v>47.148932069586245</v>
      </c>
      <c r="Z5" s="617">
        <v>17.341224566062415</v>
      </c>
      <c r="AA5" s="637">
        <v>229.72150036291134</v>
      </c>
      <c r="AB5" s="617">
        <v>69.747664920324041</v>
      </c>
      <c r="AC5" s="617">
        <v>100</v>
      </c>
      <c r="AD5" s="617">
        <v>46.984485994451276</v>
      </c>
      <c r="AE5" s="617">
        <v>19.119053361227163</v>
      </c>
      <c r="AF5" s="637">
        <v>235.85120427600251</v>
      </c>
      <c r="AG5" s="611">
        <v>1981</v>
      </c>
      <c r="AH5" s="617">
        <v>68.467784636131881</v>
      </c>
      <c r="AI5" s="617">
        <v>100</v>
      </c>
      <c r="AJ5" s="617">
        <v>45.665496734309848</v>
      </c>
      <c r="AK5" s="617">
        <v>19.920109265632096</v>
      </c>
      <c r="AL5" s="637">
        <v>234.05339063607383</v>
      </c>
      <c r="AM5" s="617">
        <v>65.123195998242466</v>
      </c>
      <c r="AN5" s="617">
        <v>100</v>
      </c>
      <c r="AO5" s="617">
        <v>43.693850511690385</v>
      </c>
      <c r="AP5" s="617">
        <v>19.140645746925532</v>
      </c>
      <c r="AQ5" s="637">
        <v>227.95769225685839</v>
      </c>
      <c r="AR5" s="617">
        <v>63.521832747635429</v>
      </c>
      <c r="AS5" s="617">
        <v>100</v>
      </c>
      <c r="AT5" s="617">
        <v>44.488596968056527</v>
      </c>
      <c r="AU5" s="617">
        <v>18.880891695592865</v>
      </c>
      <c r="AV5" s="637">
        <v>226.89132141128482</v>
      </c>
      <c r="AW5" s="611">
        <v>1981</v>
      </c>
      <c r="AX5" s="617">
        <v>68.86326417307987</v>
      </c>
      <c r="AY5" s="617">
        <v>100</v>
      </c>
      <c r="AZ5" s="617">
        <v>43.437814132789072</v>
      </c>
      <c r="BA5" s="617">
        <v>15.830053982708773</v>
      </c>
      <c r="BB5" s="637">
        <v>228.1311322885777</v>
      </c>
      <c r="BC5" s="617">
        <v>68.15872874358142</v>
      </c>
      <c r="BD5" s="617">
        <v>100</v>
      </c>
      <c r="BE5" s="617">
        <v>39.89446221094861</v>
      </c>
      <c r="BF5" s="617">
        <v>19.190584449355011</v>
      </c>
      <c r="BG5" s="617">
        <v>227.24377540388505</v>
      </c>
    </row>
    <row r="6" spans="1:59" s="611" customFormat="1" ht="15.75" customHeight="1">
      <c r="A6" s="611">
        <v>1982</v>
      </c>
      <c r="B6" s="636">
        <v>68.280441942335173</v>
      </c>
      <c r="C6" s="617">
        <v>100</v>
      </c>
      <c r="D6" s="617">
        <v>44.641456670539121</v>
      </c>
      <c r="E6" s="617">
        <v>18.8968028034623</v>
      </c>
      <c r="F6" s="637">
        <v>231.81870141633661</v>
      </c>
      <c r="G6" s="617">
        <v>63.563467789018723</v>
      </c>
      <c r="H6" s="617">
        <v>100</v>
      </c>
      <c r="I6" s="617">
        <v>49.298084506820729</v>
      </c>
      <c r="J6" s="617">
        <v>15.32550823900522</v>
      </c>
      <c r="K6" s="637">
        <v>228.18706053484465</v>
      </c>
      <c r="L6" s="617">
        <v>63.203547269961483</v>
      </c>
      <c r="M6" s="617">
        <v>100</v>
      </c>
      <c r="N6" s="617">
        <v>47.316760907647918</v>
      </c>
      <c r="O6" s="617">
        <v>17.525164255429328</v>
      </c>
      <c r="P6" s="637">
        <v>228.04547243303875</v>
      </c>
      <c r="Q6" s="611">
        <v>1982</v>
      </c>
      <c r="R6" s="617">
        <v>66.043411350836635</v>
      </c>
      <c r="S6" s="617">
        <v>100</v>
      </c>
      <c r="T6" s="617">
        <v>46.948864160156084</v>
      </c>
      <c r="U6" s="617">
        <v>18.251811910532478</v>
      </c>
      <c r="V6" s="637">
        <v>231.24408742152519</v>
      </c>
      <c r="W6" s="617">
        <v>65.489068593568234</v>
      </c>
      <c r="X6" s="617">
        <v>100</v>
      </c>
      <c r="Y6" s="617">
        <v>46.570675681571373</v>
      </c>
      <c r="Z6" s="617">
        <v>17.372504618655267</v>
      </c>
      <c r="AA6" s="637">
        <v>229.43224889379485</v>
      </c>
      <c r="AB6" s="617">
        <v>69.841889022496474</v>
      </c>
      <c r="AC6" s="617">
        <v>100</v>
      </c>
      <c r="AD6" s="617">
        <v>46.217550871520068</v>
      </c>
      <c r="AE6" s="617">
        <v>19.176914797380373</v>
      </c>
      <c r="AF6" s="637">
        <v>235.23635469139691</v>
      </c>
      <c r="AG6" s="611">
        <v>1982</v>
      </c>
      <c r="AH6" s="617">
        <v>68.659341492113256</v>
      </c>
      <c r="AI6" s="617">
        <v>100</v>
      </c>
      <c r="AJ6" s="617">
        <v>45.125717383941925</v>
      </c>
      <c r="AK6" s="617">
        <v>19.959075312366597</v>
      </c>
      <c r="AL6" s="637">
        <v>233.74413418842175</v>
      </c>
      <c r="AM6" s="617">
        <v>65.230228161618939</v>
      </c>
      <c r="AN6" s="617">
        <v>100</v>
      </c>
      <c r="AO6" s="617">
        <v>43.200317973745868</v>
      </c>
      <c r="AP6" s="617">
        <v>18.945795351044371</v>
      </c>
      <c r="AQ6" s="637">
        <v>227.37634148640919</v>
      </c>
      <c r="AR6" s="617">
        <v>63.447336359268668</v>
      </c>
      <c r="AS6" s="617">
        <v>100</v>
      </c>
      <c r="AT6" s="617">
        <v>44.289406348628098</v>
      </c>
      <c r="AU6" s="617">
        <v>18.595920055302042</v>
      </c>
      <c r="AV6" s="637">
        <v>226.33266276319878</v>
      </c>
      <c r="AW6" s="611">
        <v>1982</v>
      </c>
      <c r="AX6" s="617">
        <v>69.109053108096077</v>
      </c>
      <c r="AY6" s="617">
        <v>100</v>
      </c>
      <c r="AZ6" s="617">
        <v>42.437896418969977</v>
      </c>
      <c r="BA6" s="617">
        <v>15.71891112726794</v>
      </c>
      <c r="BB6" s="637">
        <v>227.26586065433401</v>
      </c>
      <c r="BC6" s="617">
        <v>68.184638831807817</v>
      </c>
      <c r="BD6" s="617">
        <v>100</v>
      </c>
      <c r="BE6" s="617">
        <v>39.441085381536794</v>
      </c>
      <c r="BF6" s="617">
        <v>19.19417711652963</v>
      </c>
      <c r="BG6" s="617">
        <v>226.81990132987426</v>
      </c>
    </row>
    <row r="7" spans="1:59" s="611" customFormat="1" ht="15.75" customHeight="1">
      <c r="A7" s="611">
        <v>1983</v>
      </c>
      <c r="B7" s="636">
        <v>68.375666741870987</v>
      </c>
      <c r="C7" s="617">
        <v>100</v>
      </c>
      <c r="D7" s="617">
        <v>44.106666294844707</v>
      </c>
      <c r="E7" s="617">
        <v>18.937525001033844</v>
      </c>
      <c r="F7" s="637">
        <v>231.41985803774952</v>
      </c>
      <c r="G7" s="617">
        <v>64.221187781008496</v>
      </c>
      <c r="H7" s="617">
        <v>100</v>
      </c>
      <c r="I7" s="617">
        <v>48.405287105597345</v>
      </c>
      <c r="J7" s="617">
        <v>15.30809926031314</v>
      </c>
      <c r="K7" s="637">
        <v>227.93457414691898</v>
      </c>
      <c r="L7" s="617">
        <v>63.615289923422495</v>
      </c>
      <c r="M7" s="617">
        <v>100</v>
      </c>
      <c r="N7" s="617">
        <v>46.388624924929239</v>
      </c>
      <c r="O7" s="617">
        <v>17.40259947882528</v>
      </c>
      <c r="P7" s="637">
        <v>227.40651432717704</v>
      </c>
      <c r="Q7" s="611">
        <v>1983</v>
      </c>
      <c r="R7" s="617">
        <v>66.330104377689906</v>
      </c>
      <c r="S7" s="617">
        <v>100</v>
      </c>
      <c r="T7" s="617">
        <v>46.241705073697936</v>
      </c>
      <c r="U7" s="617">
        <v>18.148565742511998</v>
      </c>
      <c r="V7" s="637">
        <v>230.72037519389986</v>
      </c>
      <c r="W7" s="617">
        <v>65.830071540284436</v>
      </c>
      <c r="X7" s="617">
        <v>100</v>
      </c>
      <c r="Y7" s="617">
        <v>45.660819754811754</v>
      </c>
      <c r="Z7" s="617">
        <v>17.306621603095511</v>
      </c>
      <c r="AA7" s="637">
        <v>228.79751289819174</v>
      </c>
      <c r="AB7" s="617">
        <v>69.896846512845116</v>
      </c>
      <c r="AC7" s="617">
        <v>100</v>
      </c>
      <c r="AD7" s="617">
        <v>45.516837059444889</v>
      </c>
      <c r="AE7" s="617">
        <v>19.257044096480133</v>
      </c>
      <c r="AF7" s="637">
        <v>234.67072766877016</v>
      </c>
      <c r="AG7" s="611">
        <v>1983</v>
      </c>
      <c r="AH7" s="617">
        <v>68.82531060126351</v>
      </c>
      <c r="AI7" s="617">
        <v>100</v>
      </c>
      <c r="AJ7" s="617">
        <v>44.558079046883357</v>
      </c>
      <c r="AK7" s="617">
        <v>20.009892070015766</v>
      </c>
      <c r="AL7" s="637">
        <v>233.39328171816265</v>
      </c>
      <c r="AM7" s="617">
        <v>65.376050245717863</v>
      </c>
      <c r="AN7" s="617">
        <v>100</v>
      </c>
      <c r="AO7" s="617">
        <v>42.557782082200902</v>
      </c>
      <c r="AP7" s="617">
        <v>18.755520159433527</v>
      </c>
      <c r="AQ7" s="637">
        <v>226.68935248735229</v>
      </c>
      <c r="AR7" s="617">
        <v>63.447953506070917</v>
      </c>
      <c r="AS7" s="617">
        <v>100</v>
      </c>
      <c r="AT7" s="617">
        <v>43.954320861457006</v>
      </c>
      <c r="AU7" s="617">
        <v>18.288058215289105</v>
      </c>
      <c r="AV7" s="637">
        <v>225.69033258281704</v>
      </c>
      <c r="AW7" s="611">
        <v>1983</v>
      </c>
      <c r="AX7" s="617">
        <v>68.971840171257611</v>
      </c>
      <c r="AY7" s="617">
        <v>100</v>
      </c>
      <c r="AZ7" s="617">
        <v>42.396119018011525</v>
      </c>
      <c r="BA7" s="617">
        <v>15.839073323844088</v>
      </c>
      <c r="BB7" s="637">
        <v>227.20703251311321</v>
      </c>
      <c r="BC7" s="617">
        <v>68.149050284402207</v>
      </c>
      <c r="BD7" s="617">
        <v>100</v>
      </c>
      <c r="BE7" s="617">
        <v>39.222573933523265</v>
      </c>
      <c r="BF7" s="617">
        <v>19.329273032314337</v>
      </c>
      <c r="BG7" s="617">
        <v>226.70089725023985</v>
      </c>
    </row>
    <row r="8" spans="1:59" s="611" customFormat="1" ht="15.75" customHeight="1">
      <c r="A8" s="611">
        <v>1984</v>
      </c>
      <c r="B8" s="636">
        <v>68.439023420617744</v>
      </c>
      <c r="C8" s="617">
        <v>100</v>
      </c>
      <c r="D8" s="617">
        <v>43.599666771218274</v>
      </c>
      <c r="E8" s="617">
        <v>18.989408894494812</v>
      </c>
      <c r="F8" s="637">
        <v>231.0280990863308</v>
      </c>
      <c r="G8" s="617">
        <v>64.757225483350993</v>
      </c>
      <c r="H8" s="617">
        <v>100</v>
      </c>
      <c r="I8" s="617">
        <v>47.885641040647698</v>
      </c>
      <c r="J8" s="617">
        <v>15.391033763457543</v>
      </c>
      <c r="K8" s="637">
        <v>228.03390028745622</v>
      </c>
      <c r="L8" s="617">
        <v>64.03530257658241</v>
      </c>
      <c r="M8" s="617">
        <v>100</v>
      </c>
      <c r="N8" s="617">
        <v>45.633394870205464</v>
      </c>
      <c r="O8" s="617">
        <v>17.310746426680783</v>
      </c>
      <c r="P8" s="637">
        <v>226.97944387346865</v>
      </c>
      <c r="Q8" s="611">
        <v>1984</v>
      </c>
      <c r="R8" s="617">
        <v>66.580547961129199</v>
      </c>
      <c r="S8" s="617">
        <v>100</v>
      </c>
      <c r="T8" s="617">
        <v>45.611575446664091</v>
      </c>
      <c r="U8" s="617">
        <v>18.074557449761873</v>
      </c>
      <c r="V8" s="637">
        <v>230.26668085755514</v>
      </c>
      <c r="W8" s="617">
        <v>66.097700447474494</v>
      </c>
      <c r="X8" s="617">
        <v>100</v>
      </c>
      <c r="Y8" s="617">
        <v>44.859881378755141</v>
      </c>
      <c r="Z8" s="617">
        <v>17.296748870210191</v>
      </c>
      <c r="AA8" s="637">
        <v>228.25433069643984</v>
      </c>
      <c r="AB8" s="617">
        <v>69.923603801412099</v>
      </c>
      <c r="AC8" s="617">
        <v>100</v>
      </c>
      <c r="AD8" s="617">
        <v>44.781736465344409</v>
      </c>
      <c r="AE8" s="617">
        <v>19.370251627905574</v>
      </c>
      <c r="AF8" s="637">
        <v>234.07559189466207</v>
      </c>
      <c r="AG8" s="611">
        <v>1984</v>
      </c>
      <c r="AH8" s="617">
        <v>68.952735559723905</v>
      </c>
      <c r="AI8" s="617">
        <v>100</v>
      </c>
      <c r="AJ8" s="617">
        <v>43.953929442377763</v>
      </c>
      <c r="AK8" s="617">
        <v>20.036086236965346</v>
      </c>
      <c r="AL8" s="637">
        <v>232.94275123906704</v>
      </c>
      <c r="AM8" s="617">
        <v>65.476996855786012</v>
      </c>
      <c r="AN8" s="617">
        <v>100</v>
      </c>
      <c r="AO8" s="617">
        <v>42.068607134043617</v>
      </c>
      <c r="AP8" s="617">
        <v>18.575400490758621</v>
      </c>
      <c r="AQ8" s="637">
        <v>226.12100448058825</v>
      </c>
      <c r="AR8" s="617">
        <v>63.455990695978279</v>
      </c>
      <c r="AS8" s="617">
        <v>100</v>
      </c>
      <c r="AT8" s="617">
        <v>43.670289431377689</v>
      </c>
      <c r="AU8" s="617">
        <v>17.986822587878159</v>
      </c>
      <c r="AV8" s="637">
        <v>225.11310271523411</v>
      </c>
      <c r="AW8" s="611">
        <v>1984</v>
      </c>
      <c r="AX8" s="617">
        <v>68.729654075951984</v>
      </c>
      <c r="AY8" s="617">
        <v>100</v>
      </c>
      <c r="AZ8" s="617">
        <v>42.751345862849334</v>
      </c>
      <c r="BA8" s="617">
        <v>16.065745244071721</v>
      </c>
      <c r="BB8" s="637">
        <v>227.54674518287305</v>
      </c>
      <c r="BC8" s="617">
        <v>68.148546017363714</v>
      </c>
      <c r="BD8" s="617">
        <v>100</v>
      </c>
      <c r="BE8" s="617">
        <v>38.908992042602463</v>
      </c>
      <c r="BF8" s="617">
        <v>19.398604972005451</v>
      </c>
      <c r="BG8" s="617">
        <v>226.45614303197164</v>
      </c>
    </row>
    <row r="9" spans="1:59" s="611" customFormat="1" ht="15.75" customHeight="1">
      <c r="A9" s="611">
        <v>1985</v>
      </c>
      <c r="B9" s="636">
        <v>68.450687242484321</v>
      </c>
      <c r="C9" s="617">
        <v>100</v>
      </c>
      <c r="D9" s="617">
        <v>43.112280275933792</v>
      </c>
      <c r="E9" s="617">
        <v>18.957553630670184</v>
      </c>
      <c r="F9" s="637">
        <v>230.5205211490883</v>
      </c>
      <c r="G9" s="617">
        <v>65.201501877346686</v>
      </c>
      <c r="H9" s="617">
        <v>100</v>
      </c>
      <c r="I9" s="617">
        <v>47.487868394577852</v>
      </c>
      <c r="J9" s="617">
        <v>15.429459237840405</v>
      </c>
      <c r="K9" s="637">
        <v>228.11882950976494</v>
      </c>
      <c r="L9" s="617">
        <v>64.200471716593924</v>
      </c>
      <c r="M9" s="617">
        <v>100</v>
      </c>
      <c r="N9" s="617">
        <v>44.934000455044071</v>
      </c>
      <c r="O9" s="617">
        <v>17.26623778590962</v>
      </c>
      <c r="P9" s="637">
        <v>226.40070995754763</v>
      </c>
      <c r="Q9" s="611">
        <v>1985</v>
      </c>
      <c r="R9" s="617">
        <v>66.744972049380934</v>
      </c>
      <c r="S9" s="617">
        <v>100</v>
      </c>
      <c r="T9" s="617">
        <v>44.995726206108962</v>
      </c>
      <c r="U9" s="617">
        <v>17.916053318402252</v>
      </c>
      <c r="V9" s="637">
        <v>229.65675157389214</v>
      </c>
      <c r="W9" s="617">
        <v>66.319040712746116</v>
      </c>
      <c r="X9" s="617">
        <v>100</v>
      </c>
      <c r="Y9" s="617">
        <v>44.252874947687317</v>
      </c>
      <c r="Z9" s="617">
        <v>17.275300122911101</v>
      </c>
      <c r="AA9" s="637">
        <v>227.84721578334452</v>
      </c>
      <c r="AB9" s="617">
        <v>69.941666434136508</v>
      </c>
      <c r="AC9" s="617">
        <v>100</v>
      </c>
      <c r="AD9" s="617">
        <v>44.01622166500718</v>
      </c>
      <c r="AE9" s="617">
        <v>19.449332578435424</v>
      </c>
      <c r="AF9" s="637">
        <v>233.40722067757909</v>
      </c>
      <c r="AG9" s="611">
        <v>1985</v>
      </c>
      <c r="AH9" s="617">
        <v>68.992712695046194</v>
      </c>
      <c r="AI9" s="617">
        <v>100</v>
      </c>
      <c r="AJ9" s="617">
        <v>43.388427228256113</v>
      </c>
      <c r="AK9" s="617">
        <v>19.930956032051533</v>
      </c>
      <c r="AL9" s="637">
        <v>232.31209595535384</v>
      </c>
      <c r="AM9" s="617">
        <v>65.524829213991751</v>
      </c>
      <c r="AN9" s="617">
        <v>100</v>
      </c>
      <c r="AO9" s="617">
        <v>41.604180112185681</v>
      </c>
      <c r="AP9" s="617">
        <v>18.341701347350334</v>
      </c>
      <c r="AQ9" s="637">
        <v>225.47071067352775</v>
      </c>
      <c r="AR9" s="617">
        <v>63.356060133004469</v>
      </c>
      <c r="AS9" s="617">
        <v>100</v>
      </c>
      <c r="AT9" s="617">
        <v>43.547847981112874</v>
      </c>
      <c r="AU9" s="617">
        <v>17.672851166130695</v>
      </c>
      <c r="AV9" s="637">
        <v>224.57675928024804</v>
      </c>
      <c r="AW9" s="611">
        <v>1985</v>
      </c>
      <c r="AX9" s="617">
        <v>68.577619370427826</v>
      </c>
      <c r="AY9" s="617">
        <v>100</v>
      </c>
      <c r="AZ9" s="617">
        <v>42.871310830864566</v>
      </c>
      <c r="BA9" s="617">
        <v>16.173824802764827</v>
      </c>
      <c r="BB9" s="637">
        <v>227.62275500405724</v>
      </c>
      <c r="BC9" s="617">
        <v>68.022550939773737</v>
      </c>
      <c r="BD9" s="617">
        <v>100</v>
      </c>
      <c r="BE9" s="617">
        <v>38.752831751797821</v>
      </c>
      <c r="BF9" s="617">
        <v>19.394574558229539</v>
      </c>
      <c r="BG9" s="617">
        <v>226.16995724980112</v>
      </c>
    </row>
    <row r="10" spans="1:59" s="611" customFormat="1" ht="15.75" customHeight="1">
      <c r="A10" s="611">
        <v>1986</v>
      </c>
      <c r="B10" s="636">
        <v>68.497814467723288</v>
      </c>
      <c r="C10" s="617">
        <v>100</v>
      </c>
      <c r="D10" s="617">
        <v>42.594310591355793</v>
      </c>
      <c r="E10" s="617">
        <v>18.957054786926026</v>
      </c>
      <c r="F10" s="637">
        <v>230.0491798460051</v>
      </c>
      <c r="G10" s="617">
        <v>65.686458235728935</v>
      </c>
      <c r="H10" s="617">
        <v>100</v>
      </c>
      <c r="I10" s="617">
        <v>47.246803546182129</v>
      </c>
      <c r="J10" s="617">
        <v>15.623991421224142</v>
      </c>
      <c r="K10" s="637">
        <v>228.55725320313519</v>
      </c>
      <c r="L10" s="617">
        <v>64.380703229624089</v>
      </c>
      <c r="M10" s="617">
        <v>100</v>
      </c>
      <c r="N10" s="617">
        <v>44.350013269235347</v>
      </c>
      <c r="O10" s="617">
        <v>17.316795913918213</v>
      </c>
      <c r="P10" s="637">
        <v>226.04751241277765</v>
      </c>
      <c r="Q10" s="611">
        <v>1986</v>
      </c>
      <c r="R10" s="617">
        <v>66.959476406695856</v>
      </c>
      <c r="S10" s="617">
        <v>100</v>
      </c>
      <c r="T10" s="617">
        <v>44.576581244755651</v>
      </c>
      <c r="U10" s="617">
        <v>17.933565556576578</v>
      </c>
      <c r="V10" s="637">
        <v>229.46962320802808</v>
      </c>
      <c r="W10" s="617">
        <v>66.582117158308947</v>
      </c>
      <c r="X10" s="617">
        <v>100</v>
      </c>
      <c r="Y10" s="617">
        <v>43.724018449782228</v>
      </c>
      <c r="Z10" s="617">
        <v>17.346855737573776</v>
      </c>
      <c r="AA10" s="637">
        <v>227.65299134566496</v>
      </c>
      <c r="AB10" s="617">
        <v>69.947929166971022</v>
      </c>
      <c r="AC10" s="617">
        <v>100</v>
      </c>
      <c r="AD10" s="617">
        <v>43.208121758878804</v>
      </c>
      <c r="AE10" s="617">
        <v>19.572267846521481</v>
      </c>
      <c r="AF10" s="637">
        <v>232.7283187723713</v>
      </c>
      <c r="AG10" s="611">
        <v>1986</v>
      </c>
      <c r="AH10" s="617">
        <v>69.053937653532088</v>
      </c>
      <c r="AI10" s="617">
        <v>100</v>
      </c>
      <c r="AJ10" s="617">
        <v>42.77229782141471</v>
      </c>
      <c r="AK10" s="617">
        <v>19.804555490577396</v>
      </c>
      <c r="AL10" s="637">
        <v>231.63079096552423</v>
      </c>
      <c r="AM10" s="617">
        <v>65.644330274691455</v>
      </c>
      <c r="AN10" s="617">
        <v>100</v>
      </c>
      <c r="AO10" s="617">
        <v>41.185869316640165</v>
      </c>
      <c r="AP10" s="617">
        <v>18.202156195948522</v>
      </c>
      <c r="AQ10" s="637">
        <v>225.03235578728015</v>
      </c>
      <c r="AR10" s="617">
        <v>63.254519950579216</v>
      </c>
      <c r="AS10" s="617">
        <v>100</v>
      </c>
      <c r="AT10" s="617">
        <v>43.688501102717659</v>
      </c>
      <c r="AU10" s="617">
        <v>17.532907495453074</v>
      </c>
      <c r="AV10" s="637">
        <v>224.47592854874995</v>
      </c>
      <c r="AW10" s="611">
        <v>1986</v>
      </c>
      <c r="AX10" s="617">
        <v>68.588122140793189</v>
      </c>
      <c r="AY10" s="617">
        <v>100</v>
      </c>
      <c r="AZ10" s="617">
        <v>42.723675314391556</v>
      </c>
      <c r="BA10" s="617">
        <v>16.245637975609657</v>
      </c>
      <c r="BB10" s="637">
        <v>227.55743543079441</v>
      </c>
      <c r="BC10" s="617">
        <v>67.942393531008065</v>
      </c>
      <c r="BD10" s="617">
        <v>100</v>
      </c>
      <c r="BE10" s="617">
        <v>38.587318203012785</v>
      </c>
      <c r="BF10" s="617">
        <v>19.458213935779515</v>
      </c>
      <c r="BG10" s="617">
        <v>225.98792566980038</v>
      </c>
    </row>
    <row r="11" spans="1:59" s="611" customFormat="1" ht="15.75" customHeight="1">
      <c r="A11" s="611">
        <v>1987</v>
      </c>
      <c r="B11" s="636">
        <v>68.371875085195256</v>
      </c>
      <c r="C11" s="617">
        <v>100</v>
      </c>
      <c r="D11" s="617">
        <v>41.955036682113189</v>
      </c>
      <c r="E11" s="617">
        <v>18.96622934644796</v>
      </c>
      <c r="F11" s="637">
        <v>229.29314111375641</v>
      </c>
      <c r="G11" s="617">
        <v>66.155113847737127</v>
      </c>
      <c r="H11" s="617">
        <v>100</v>
      </c>
      <c r="I11" s="617">
        <v>46.89794272598099</v>
      </c>
      <c r="J11" s="617">
        <v>15.793526898244565</v>
      </c>
      <c r="K11" s="637">
        <v>228.84658347196267</v>
      </c>
      <c r="L11" s="617">
        <v>64.418031576247074</v>
      </c>
      <c r="M11" s="617">
        <v>100</v>
      </c>
      <c r="N11" s="617">
        <v>43.973200774564887</v>
      </c>
      <c r="O11" s="617">
        <v>17.397252819863031</v>
      </c>
      <c r="P11" s="637">
        <v>225.78848517067499</v>
      </c>
      <c r="Q11" s="611">
        <v>1987</v>
      </c>
      <c r="R11" s="617">
        <v>67.016671777047151</v>
      </c>
      <c r="S11" s="617">
        <v>100</v>
      </c>
      <c r="T11" s="617">
        <v>44.175762241370322</v>
      </c>
      <c r="U11" s="617">
        <v>17.973805010261792</v>
      </c>
      <c r="V11" s="637">
        <v>229.16623902867929</v>
      </c>
      <c r="W11" s="617">
        <v>66.720988007167108</v>
      </c>
      <c r="X11" s="617">
        <v>100</v>
      </c>
      <c r="Y11" s="617">
        <v>43.122054778817827</v>
      </c>
      <c r="Z11" s="617">
        <v>17.44992909828407</v>
      </c>
      <c r="AA11" s="637">
        <v>227.29297188426901</v>
      </c>
      <c r="AB11" s="617">
        <v>69.821942959464366</v>
      </c>
      <c r="AC11" s="617">
        <v>100</v>
      </c>
      <c r="AD11" s="617">
        <v>42.231612702063387</v>
      </c>
      <c r="AE11" s="617">
        <v>19.704882818950914</v>
      </c>
      <c r="AF11" s="637">
        <v>231.75843848047867</v>
      </c>
      <c r="AG11" s="611">
        <v>1987</v>
      </c>
      <c r="AH11" s="617">
        <v>68.935203510706899</v>
      </c>
      <c r="AI11" s="617">
        <v>100</v>
      </c>
      <c r="AJ11" s="617">
        <v>41.89188225061578</v>
      </c>
      <c r="AK11" s="617">
        <v>19.678136781232929</v>
      </c>
      <c r="AL11" s="637">
        <v>230.5052225425556</v>
      </c>
      <c r="AM11" s="617">
        <v>65.461186682483998</v>
      </c>
      <c r="AN11" s="617">
        <v>100</v>
      </c>
      <c r="AO11" s="617">
        <v>40.886267425823384</v>
      </c>
      <c r="AP11" s="617">
        <v>18.047421049133582</v>
      </c>
      <c r="AQ11" s="637">
        <v>224.39487515744096</v>
      </c>
      <c r="AR11" s="617">
        <v>63.023201997678157</v>
      </c>
      <c r="AS11" s="617">
        <v>100</v>
      </c>
      <c r="AT11" s="617">
        <v>43.848779098503364</v>
      </c>
      <c r="AU11" s="617">
        <v>17.401933967790441</v>
      </c>
      <c r="AV11" s="637">
        <v>224.27391506397197</v>
      </c>
      <c r="AW11" s="611">
        <v>1987</v>
      </c>
      <c r="AX11" s="617">
        <v>68.297624173606451</v>
      </c>
      <c r="AY11" s="617">
        <v>100</v>
      </c>
      <c r="AZ11" s="617">
        <v>42.976998124495758</v>
      </c>
      <c r="BA11" s="617">
        <v>16.413403870821842</v>
      </c>
      <c r="BB11" s="637">
        <v>227.68802616892404</v>
      </c>
      <c r="BC11" s="617">
        <v>67.68882367971932</v>
      </c>
      <c r="BD11" s="617">
        <v>100</v>
      </c>
      <c r="BE11" s="617">
        <v>38.252070339763954</v>
      </c>
      <c r="BF11" s="617">
        <v>19.467954842978092</v>
      </c>
      <c r="BG11" s="617">
        <v>225.40884886246135</v>
      </c>
    </row>
    <row r="12" spans="1:59" s="611" customFormat="1" ht="15.75" customHeight="1">
      <c r="A12" s="611">
        <v>1988</v>
      </c>
      <c r="B12" s="636">
        <v>68.260602789358984</v>
      </c>
      <c r="C12" s="617">
        <v>100</v>
      </c>
      <c r="D12" s="617">
        <v>41.76306869189461</v>
      </c>
      <c r="E12" s="617">
        <v>19.075094281832385</v>
      </c>
      <c r="F12" s="637">
        <v>229.09876576308596</v>
      </c>
      <c r="G12" s="617">
        <v>66.66173897617665</v>
      </c>
      <c r="H12" s="617">
        <v>100</v>
      </c>
      <c r="I12" s="617">
        <v>46.302007642870009</v>
      </c>
      <c r="J12" s="617">
        <v>16.122069908275389</v>
      </c>
      <c r="K12" s="637">
        <v>229.08581652732207</v>
      </c>
      <c r="L12" s="617">
        <v>64.375159526332482</v>
      </c>
      <c r="M12" s="617">
        <v>100</v>
      </c>
      <c r="N12" s="617">
        <v>43.408408903670981</v>
      </c>
      <c r="O12" s="617">
        <v>17.448506833527986</v>
      </c>
      <c r="P12" s="637">
        <v>225.23207526353144</v>
      </c>
      <c r="Q12" s="611">
        <v>1988</v>
      </c>
      <c r="R12" s="617">
        <v>67.091759397959919</v>
      </c>
      <c r="S12" s="617">
        <v>100</v>
      </c>
      <c r="T12" s="617">
        <v>43.659025429481957</v>
      </c>
      <c r="U12" s="617">
        <v>18.17276999072687</v>
      </c>
      <c r="V12" s="637">
        <v>228.92355481816872</v>
      </c>
      <c r="W12" s="617">
        <v>66.908833995802013</v>
      </c>
      <c r="X12" s="617">
        <v>100</v>
      </c>
      <c r="Y12" s="617">
        <v>42.647797533403939</v>
      </c>
      <c r="Z12" s="617">
        <v>17.661145561916289</v>
      </c>
      <c r="AA12" s="637">
        <v>227.21777709112226</v>
      </c>
      <c r="AB12" s="617">
        <v>69.667593329722635</v>
      </c>
      <c r="AC12" s="617">
        <v>100</v>
      </c>
      <c r="AD12" s="617">
        <v>41.942336452351938</v>
      </c>
      <c r="AE12" s="617">
        <v>19.963253302544349</v>
      </c>
      <c r="AF12" s="637">
        <v>231.57318308461893</v>
      </c>
      <c r="AG12" s="611">
        <v>1988</v>
      </c>
      <c r="AH12" s="617">
        <v>68.811693103301081</v>
      </c>
      <c r="AI12" s="617">
        <v>100</v>
      </c>
      <c r="AJ12" s="617">
        <v>41.686593012685996</v>
      </c>
      <c r="AK12" s="617">
        <v>19.632336648838962</v>
      </c>
      <c r="AL12" s="637">
        <v>230.13062276482603</v>
      </c>
      <c r="AM12" s="617">
        <v>65.319393332317148</v>
      </c>
      <c r="AN12" s="617">
        <v>100</v>
      </c>
      <c r="AO12" s="617">
        <v>40.637939662046627</v>
      </c>
      <c r="AP12" s="617">
        <v>18.019020969884373</v>
      </c>
      <c r="AQ12" s="637">
        <v>223.97635396424812</v>
      </c>
      <c r="AR12" s="617">
        <v>62.861824989666658</v>
      </c>
      <c r="AS12" s="617">
        <v>100</v>
      </c>
      <c r="AT12" s="617">
        <v>43.486544612505938</v>
      </c>
      <c r="AU12" s="617">
        <v>17.463006637652263</v>
      </c>
      <c r="AV12" s="637">
        <v>223.81137623982488</v>
      </c>
      <c r="AW12" s="611">
        <v>1988</v>
      </c>
      <c r="AX12" s="617">
        <v>68.06873200266709</v>
      </c>
      <c r="AY12" s="617">
        <v>100</v>
      </c>
      <c r="AZ12" s="617">
        <v>43.106055476300895</v>
      </c>
      <c r="BA12" s="617">
        <v>16.645309356699915</v>
      </c>
      <c r="BB12" s="637">
        <v>227.82009683566793</v>
      </c>
      <c r="BC12" s="617">
        <v>67.534587725992452</v>
      </c>
      <c r="BD12" s="617">
        <v>100</v>
      </c>
      <c r="BE12" s="617">
        <v>38.494552776889243</v>
      </c>
      <c r="BF12" s="617">
        <v>19.562078759814959</v>
      </c>
      <c r="BG12" s="617">
        <v>225.59121926269665</v>
      </c>
    </row>
    <row r="13" spans="1:59" s="611" customFormat="1" ht="15.75" customHeight="1">
      <c r="A13" s="611">
        <v>1989</v>
      </c>
      <c r="B13" s="636">
        <v>68.168699964999533</v>
      </c>
      <c r="C13" s="617">
        <v>100</v>
      </c>
      <c r="D13" s="617">
        <v>41.363856123843227</v>
      </c>
      <c r="E13" s="617">
        <v>19.122692666704332</v>
      </c>
      <c r="F13" s="637">
        <v>228.65524875554706</v>
      </c>
      <c r="G13" s="617">
        <v>67.202727946009972</v>
      </c>
      <c r="H13" s="617">
        <v>100</v>
      </c>
      <c r="I13" s="617">
        <v>45.581899291024712</v>
      </c>
      <c r="J13" s="617">
        <v>16.476773086856149</v>
      </c>
      <c r="K13" s="637">
        <v>229.26140032389085</v>
      </c>
      <c r="L13" s="617">
        <v>64.323526926002472</v>
      </c>
      <c r="M13" s="617">
        <v>100</v>
      </c>
      <c r="N13" s="617">
        <v>42.817732036902022</v>
      </c>
      <c r="O13" s="617">
        <v>17.654606501578911</v>
      </c>
      <c r="P13" s="637">
        <v>224.7958654644834</v>
      </c>
      <c r="Q13" s="611">
        <v>1989</v>
      </c>
      <c r="R13" s="617">
        <v>67.163693614252949</v>
      </c>
      <c r="S13" s="617">
        <v>100</v>
      </c>
      <c r="T13" s="617">
        <v>43.026474144657406</v>
      </c>
      <c r="U13" s="617">
        <v>18.337738606679714</v>
      </c>
      <c r="V13" s="637">
        <v>228.5279063655901</v>
      </c>
      <c r="W13" s="617">
        <v>67.069725177485864</v>
      </c>
      <c r="X13" s="617">
        <v>100</v>
      </c>
      <c r="Y13" s="617">
        <v>42.042743164885884</v>
      </c>
      <c r="Z13" s="617">
        <v>17.906245026383125</v>
      </c>
      <c r="AA13" s="637">
        <v>227.01871336875485</v>
      </c>
      <c r="AB13" s="617">
        <v>69.535797749875528</v>
      </c>
      <c r="AC13" s="617">
        <v>100</v>
      </c>
      <c r="AD13" s="617">
        <v>41.459044083863958</v>
      </c>
      <c r="AE13" s="617">
        <v>20.161013630361779</v>
      </c>
      <c r="AF13" s="637">
        <v>231.15585546410125</v>
      </c>
      <c r="AG13" s="611">
        <v>1989</v>
      </c>
      <c r="AH13" s="617">
        <v>68.742723296980543</v>
      </c>
      <c r="AI13" s="617">
        <v>100</v>
      </c>
      <c r="AJ13" s="617">
        <v>41.215133773887295</v>
      </c>
      <c r="AK13" s="617">
        <v>19.497372394478838</v>
      </c>
      <c r="AL13" s="637">
        <v>229.45522946534669</v>
      </c>
      <c r="AM13" s="617">
        <v>65.130296287706386</v>
      </c>
      <c r="AN13" s="617">
        <v>100</v>
      </c>
      <c r="AO13" s="617">
        <v>40.486770672366852</v>
      </c>
      <c r="AP13" s="617">
        <v>18.052495397683622</v>
      </c>
      <c r="AQ13" s="637">
        <v>223.66956235775686</v>
      </c>
      <c r="AR13" s="617">
        <v>62.558622928885399</v>
      </c>
      <c r="AS13" s="617">
        <v>100</v>
      </c>
      <c r="AT13" s="617">
        <v>43.292131085749475</v>
      </c>
      <c r="AU13" s="617">
        <v>17.528660371047213</v>
      </c>
      <c r="AV13" s="637">
        <v>223.37941438568208</v>
      </c>
      <c r="AW13" s="611">
        <v>1989</v>
      </c>
      <c r="AX13" s="617">
        <v>67.824602483664052</v>
      </c>
      <c r="AY13" s="617">
        <v>100</v>
      </c>
      <c r="AZ13" s="617">
        <v>42.856915742771811</v>
      </c>
      <c r="BA13" s="617">
        <v>16.790169413507051</v>
      </c>
      <c r="BB13" s="637">
        <v>227.4716876399429</v>
      </c>
      <c r="BC13" s="617">
        <v>67.390563780118711</v>
      </c>
      <c r="BD13" s="617">
        <v>100</v>
      </c>
      <c r="BE13" s="617">
        <v>38.51787215284272</v>
      </c>
      <c r="BF13" s="617">
        <v>19.594022006897685</v>
      </c>
      <c r="BG13" s="617">
        <v>225.50245793985914</v>
      </c>
    </row>
    <row r="14" spans="1:59" s="611" customFormat="1" ht="15.75" customHeight="1">
      <c r="A14" s="611">
        <v>1990</v>
      </c>
      <c r="B14" s="636">
        <v>68.026333912315195</v>
      </c>
      <c r="C14" s="617">
        <v>100</v>
      </c>
      <c r="D14" s="617">
        <v>41.088057046452619</v>
      </c>
      <c r="E14" s="617">
        <v>19.209419995667929</v>
      </c>
      <c r="F14" s="637">
        <v>228.32381095443571</v>
      </c>
      <c r="G14" s="617">
        <v>67.697205248645574</v>
      </c>
      <c r="H14" s="617">
        <v>100</v>
      </c>
      <c r="I14" s="617">
        <v>44.846704335269564</v>
      </c>
      <c r="J14" s="617">
        <v>16.863594795693562</v>
      </c>
      <c r="K14" s="637">
        <v>229.4075043796087</v>
      </c>
      <c r="L14" s="617">
        <v>64.280236802552068</v>
      </c>
      <c r="M14" s="617">
        <v>100</v>
      </c>
      <c r="N14" s="617">
        <v>42.348230140544153</v>
      </c>
      <c r="O14" s="617">
        <v>17.897457133216772</v>
      </c>
      <c r="P14" s="637">
        <v>224.52592407631298</v>
      </c>
      <c r="Q14" s="611">
        <v>1990</v>
      </c>
      <c r="R14" s="617">
        <v>67.19581833618723</v>
      </c>
      <c r="S14" s="617">
        <v>100</v>
      </c>
      <c r="T14" s="617">
        <v>42.435861109372269</v>
      </c>
      <c r="U14" s="617">
        <v>18.553112688107323</v>
      </c>
      <c r="V14" s="637">
        <v>228.18479213366683</v>
      </c>
      <c r="W14" s="617">
        <v>67.191916298726213</v>
      </c>
      <c r="X14" s="617">
        <v>100</v>
      </c>
      <c r="Y14" s="617">
        <v>41.444219284635672</v>
      </c>
      <c r="Z14" s="617">
        <v>18.118747939623539</v>
      </c>
      <c r="AA14" s="637">
        <v>226.75488352298541</v>
      </c>
      <c r="AB14" s="617">
        <v>69.354004710028008</v>
      </c>
      <c r="AC14" s="617">
        <v>100</v>
      </c>
      <c r="AD14" s="617">
        <v>41.075242443963141</v>
      </c>
      <c r="AE14" s="617">
        <v>20.422822055096294</v>
      </c>
      <c r="AF14" s="637">
        <v>230.85206920908743</v>
      </c>
      <c r="AG14" s="611">
        <v>1990</v>
      </c>
      <c r="AH14" s="617">
        <v>68.540823121433988</v>
      </c>
      <c r="AI14" s="617">
        <v>100</v>
      </c>
      <c r="AJ14" s="617">
        <v>41.068321165476334</v>
      </c>
      <c r="AK14" s="617">
        <v>19.44571356642183</v>
      </c>
      <c r="AL14" s="637">
        <v>229.05485785333215</v>
      </c>
      <c r="AM14" s="617">
        <v>64.954890489686733</v>
      </c>
      <c r="AN14" s="617">
        <v>100</v>
      </c>
      <c r="AO14" s="617">
        <v>40.313095115831054</v>
      </c>
      <c r="AP14" s="617">
        <v>18.084964913820166</v>
      </c>
      <c r="AQ14" s="637">
        <v>223.35295051933795</v>
      </c>
      <c r="AR14" s="617">
        <v>62.253070524060583</v>
      </c>
      <c r="AS14" s="617">
        <v>100</v>
      </c>
      <c r="AT14" s="617">
        <v>43.237602323579075</v>
      </c>
      <c r="AU14" s="617">
        <v>17.643568148913346</v>
      </c>
      <c r="AV14" s="637">
        <v>223.13424099655299</v>
      </c>
      <c r="AW14" s="611">
        <v>1990</v>
      </c>
      <c r="AX14" s="617">
        <v>67.635297756328242</v>
      </c>
      <c r="AY14" s="617">
        <v>100</v>
      </c>
      <c r="AZ14" s="617">
        <v>42.436659214784662</v>
      </c>
      <c r="BA14" s="617">
        <v>16.892928297016862</v>
      </c>
      <c r="BB14" s="637">
        <v>226.96488526812976</v>
      </c>
      <c r="BC14" s="617">
        <v>67.340044123664129</v>
      </c>
      <c r="BD14" s="617">
        <v>100</v>
      </c>
      <c r="BE14" s="617">
        <v>38.423960992303599</v>
      </c>
      <c r="BF14" s="617">
        <v>19.594539795286366</v>
      </c>
      <c r="BG14" s="617">
        <v>225.35854491125411</v>
      </c>
    </row>
    <row r="15" spans="1:59" s="611" customFormat="1" ht="15.75" customHeight="1">
      <c r="A15" s="611">
        <v>1991</v>
      </c>
      <c r="B15" s="636">
        <v>67.87133766230987</v>
      </c>
      <c r="C15" s="617">
        <v>100</v>
      </c>
      <c r="D15" s="617">
        <v>40.940110365892593</v>
      </c>
      <c r="E15" s="617">
        <v>19.415106668159908</v>
      </c>
      <c r="F15" s="637">
        <v>228.22655469636237</v>
      </c>
      <c r="G15" s="617">
        <v>68.2054847458095</v>
      </c>
      <c r="H15" s="617">
        <v>100</v>
      </c>
      <c r="I15" s="617">
        <v>44.116422270058827</v>
      </c>
      <c r="J15" s="617">
        <v>17.378252858651173</v>
      </c>
      <c r="K15" s="637">
        <v>229.70015987451947</v>
      </c>
      <c r="L15" s="617">
        <v>64.340449033129048</v>
      </c>
      <c r="M15" s="617">
        <v>100</v>
      </c>
      <c r="N15" s="617">
        <v>42.100096670316169</v>
      </c>
      <c r="O15" s="617">
        <v>18.316470940177496</v>
      </c>
      <c r="P15" s="637">
        <v>224.75701664362271</v>
      </c>
      <c r="Q15" s="611">
        <v>1991</v>
      </c>
      <c r="R15" s="617">
        <v>67.215719876848283</v>
      </c>
      <c r="S15" s="617">
        <v>100</v>
      </c>
      <c r="T15" s="617">
        <v>41.86846110075065</v>
      </c>
      <c r="U15" s="617">
        <v>18.886869391203419</v>
      </c>
      <c r="V15" s="637">
        <v>227.97105036880234</v>
      </c>
      <c r="W15" s="617">
        <v>67.330501484105383</v>
      </c>
      <c r="X15" s="617">
        <v>100</v>
      </c>
      <c r="Y15" s="617">
        <v>40.819306358343439</v>
      </c>
      <c r="Z15" s="617">
        <v>18.409076581983914</v>
      </c>
      <c r="AA15" s="637">
        <v>226.55888442443273</v>
      </c>
      <c r="AB15" s="617">
        <v>69.135718445662306</v>
      </c>
      <c r="AC15" s="617">
        <v>100</v>
      </c>
      <c r="AD15" s="617">
        <v>40.772126608254993</v>
      </c>
      <c r="AE15" s="617">
        <v>20.727252300564452</v>
      </c>
      <c r="AF15" s="637">
        <v>230.63509735448176</v>
      </c>
      <c r="AG15" s="611">
        <v>1991</v>
      </c>
      <c r="AH15" s="617">
        <v>68.288929220435847</v>
      </c>
      <c r="AI15" s="617">
        <v>100</v>
      </c>
      <c r="AJ15" s="617">
        <v>41.162493440537062</v>
      </c>
      <c r="AK15" s="617">
        <v>19.576906691351311</v>
      </c>
      <c r="AL15" s="637">
        <v>229.02832935232425</v>
      </c>
      <c r="AM15" s="617">
        <v>64.860166329609484</v>
      </c>
      <c r="AN15" s="617">
        <v>100</v>
      </c>
      <c r="AO15" s="617">
        <v>40.070820915162393</v>
      </c>
      <c r="AP15" s="617">
        <v>18.230648051016399</v>
      </c>
      <c r="AQ15" s="637">
        <v>223.16163529578827</v>
      </c>
      <c r="AR15" s="617">
        <v>62.100521285751753</v>
      </c>
      <c r="AS15" s="617">
        <v>100</v>
      </c>
      <c r="AT15" s="617">
        <v>42.854767285700234</v>
      </c>
      <c r="AU15" s="617">
        <v>17.761014368019563</v>
      </c>
      <c r="AV15" s="637">
        <v>222.71630293947157</v>
      </c>
      <c r="AW15" s="611">
        <v>1991</v>
      </c>
      <c r="AX15" s="617">
        <v>67.50634377268733</v>
      </c>
      <c r="AY15" s="617">
        <v>100</v>
      </c>
      <c r="AZ15" s="617">
        <v>42.149361122859105</v>
      </c>
      <c r="BA15" s="617">
        <v>17.084248541645934</v>
      </c>
      <c r="BB15" s="637">
        <v>226.73995343719236</v>
      </c>
      <c r="BC15" s="617">
        <v>67.31038444335698</v>
      </c>
      <c r="BD15" s="617">
        <v>100</v>
      </c>
      <c r="BE15" s="617">
        <v>38.462687752158757</v>
      </c>
      <c r="BF15" s="617">
        <v>19.760287178769733</v>
      </c>
      <c r="BG15" s="617">
        <v>225.53335937428548</v>
      </c>
    </row>
    <row r="16" spans="1:59" s="611" customFormat="1" ht="15.75" customHeight="1">
      <c r="A16" s="611">
        <v>1992</v>
      </c>
      <c r="B16" s="636">
        <v>67.700956150561353</v>
      </c>
      <c r="C16" s="617">
        <v>100</v>
      </c>
      <c r="D16" s="617">
        <v>40.661996725919799</v>
      </c>
      <c r="E16" s="617">
        <v>19.800555942801843</v>
      </c>
      <c r="F16" s="637">
        <v>228.16350881928301</v>
      </c>
      <c r="G16" s="617">
        <v>68.530569255088267</v>
      </c>
      <c r="H16" s="617">
        <v>100</v>
      </c>
      <c r="I16" s="617">
        <v>43.257337201058128</v>
      </c>
      <c r="J16" s="617">
        <v>17.974035913940313</v>
      </c>
      <c r="K16" s="637">
        <v>229.76194237008673</v>
      </c>
      <c r="L16" s="617">
        <v>64.497389682557881</v>
      </c>
      <c r="M16" s="617">
        <v>100</v>
      </c>
      <c r="N16" s="617">
        <v>41.585946237714396</v>
      </c>
      <c r="O16" s="617">
        <v>18.954802907656678</v>
      </c>
      <c r="P16" s="637">
        <v>225.03813882792892</v>
      </c>
      <c r="Q16" s="611">
        <v>1992</v>
      </c>
      <c r="R16" s="617">
        <v>67.224898336072286</v>
      </c>
      <c r="S16" s="617">
        <v>100</v>
      </c>
      <c r="T16" s="617">
        <v>41.247214252556155</v>
      </c>
      <c r="U16" s="617">
        <v>19.457915647489642</v>
      </c>
      <c r="V16" s="637">
        <v>227.93002823611806</v>
      </c>
      <c r="W16" s="617">
        <v>67.524103721189491</v>
      </c>
      <c r="X16" s="617">
        <v>100</v>
      </c>
      <c r="Y16" s="617">
        <v>40.257039464897908</v>
      </c>
      <c r="Z16" s="617">
        <v>19.019784232764486</v>
      </c>
      <c r="AA16" s="637">
        <v>226.80092741885187</v>
      </c>
      <c r="AB16" s="617">
        <v>68.961239154375306</v>
      </c>
      <c r="AC16" s="617">
        <v>100</v>
      </c>
      <c r="AD16" s="617">
        <v>40.360996690288303</v>
      </c>
      <c r="AE16" s="617">
        <v>21.095075815645828</v>
      </c>
      <c r="AF16" s="637">
        <v>230.41731166030945</v>
      </c>
      <c r="AG16" s="611">
        <v>1992</v>
      </c>
      <c r="AH16" s="617">
        <v>67.980180104339638</v>
      </c>
      <c r="AI16" s="617">
        <v>100</v>
      </c>
      <c r="AJ16" s="617">
        <v>41.079212873775283</v>
      </c>
      <c r="AK16" s="617">
        <v>19.945129705676344</v>
      </c>
      <c r="AL16" s="637">
        <v>229.00452268379127</v>
      </c>
      <c r="AM16" s="617">
        <v>64.696514479787254</v>
      </c>
      <c r="AN16" s="617">
        <v>100</v>
      </c>
      <c r="AO16" s="617">
        <v>39.803941575670457</v>
      </c>
      <c r="AP16" s="617">
        <v>18.568980191230434</v>
      </c>
      <c r="AQ16" s="637">
        <v>223.06943624668813</v>
      </c>
      <c r="AR16" s="617">
        <v>62.068137789530823</v>
      </c>
      <c r="AS16" s="617">
        <v>100</v>
      </c>
      <c r="AT16" s="617">
        <v>42.218159995460915</v>
      </c>
      <c r="AU16" s="617">
        <v>17.997101579191131</v>
      </c>
      <c r="AV16" s="637">
        <v>222.28339936418288</v>
      </c>
      <c r="AW16" s="611">
        <v>1992</v>
      </c>
      <c r="AX16" s="617">
        <v>67.36961535656549</v>
      </c>
      <c r="AY16" s="617">
        <v>100</v>
      </c>
      <c r="AZ16" s="617">
        <v>41.85282873466749</v>
      </c>
      <c r="BA16" s="617">
        <v>17.503167884187622</v>
      </c>
      <c r="BB16" s="637">
        <v>226.72561197542061</v>
      </c>
      <c r="BC16" s="617">
        <v>67.274897788919631</v>
      </c>
      <c r="BD16" s="617">
        <v>100</v>
      </c>
      <c r="BE16" s="617">
        <v>38.310377425600407</v>
      </c>
      <c r="BF16" s="617">
        <v>20.128851401723129</v>
      </c>
      <c r="BG16" s="617">
        <v>225.71412661624316</v>
      </c>
    </row>
    <row r="17" spans="1:59" s="611" customFormat="1" ht="15.75" customHeight="1">
      <c r="A17" s="611">
        <v>1993</v>
      </c>
      <c r="B17" s="636">
        <v>67.605799371401488</v>
      </c>
      <c r="C17" s="617">
        <v>100</v>
      </c>
      <c r="D17" s="617">
        <v>40.399149509701139</v>
      </c>
      <c r="E17" s="617">
        <v>20.190781419711175</v>
      </c>
      <c r="F17" s="637">
        <v>228.19573030081381</v>
      </c>
      <c r="G17" s="617">
        <v>68.891007746858918</v>
      </c>
      <c r="H17" s="617">
        <v>100</v>
      </c>
      <c r="I17" s="617">
        <v>42.795390116490459</v>
      </c>
      <c r="J17" s="617">
        <v>18.635566582812764</v>
      </c>
      <c r="K17" s="637">
        <v>230.32196444616216</v>
      </c>
      <c r="L17" s="617">
        <v>64.687502364253987</v>
      </c>
      <c r="M17" s="617">
        <v>100</v>
      </c>
      <c r="N17" s="617">
        <v>41.33247496327629</v>
      </c>
      <c r="O17" s="617">
        <v>19.467078236001726</v>
      </c>
      <c r="P17" s="637">
        <v>225.48705556353201</v>
      </c>
      <c r="Q17" s="611">
        <v>1993</v>
      </c>
      <c r="R17" s="617">
        <v>67.267040073599048</v>
      </c>
      <c r="S17" s="617">
        <v>100</v>
      </c>
      <c r="T17" s="617">
        <v>40.631751417792486</v>
      </c>
      <c r="U17" s="617">
        <v>20.037015991557755</v>
      </c>
      <c r="V17" s="637">
        <v>227.93580748294929</v>
      </c>
      <c r="W17" s="617">
        <v>67.608692168394739</v>
      </c>
      <c r="X17" s="617">
        <v>100</v>
      </c>
      <c r="Y17" s="617">
        <v>39.734943184458629</v>
      </c>
      <c r="Z17" s="617">
        <v>19.641378610385519</v>
      </c>
      <c r="AA17" s="637">
        <v>226.98501396323888</v>
      </c>
      <c r="AB17" s="617">
        <v>68.864074901031046</v>
      </c>
      <c r="AC17" s="617">
        <v>100</v>
      </c>
      <c r="AD17" s="617">
        <v>39.874619817913377</v>
      </c>
      <c r="AE17" s="617">
        <v>21.459610982239035</v>
      </c>
      <c r="AF17" s="637">
        <v>230.19830570118347</v>
      </c>
      <c r="AG17" s="611">
        <v>1993</v>
      </c>
      <c r="AH17" s="617">
        <v>67.739057616072088</v>
      </c>
      <c r="AI17" s="617">
        <v>100</v>
      </c>
      <c r="AJ17" s="617">
        <v>40.767478808123798</v>
      </c>
      <c r="AK17" s="617">
        <v>20.316045649229686</v>
      </c>
      <c r="AL17" s="637">
        <v>228.82258207342559</v>
      </c>
      <c r="AM17" s="617">
        <v>64.637559523916039</v>
      </c>
      <c r="AN17" s="617">
        <v>100</v>
      </c>
      <c r="AO17" s="617">
        <v>39.639565534370298</v>
      </c>
      <c r="AP17" s="617">
        <v>18.907712653160562</v>
      </c>
      <c r="AQ17" s="637">
        <v>223.18483771144687</v>
      </c>
      <c r="AR17" s="617">
        <v>62.083623001291087</v>
      </c>
      <c r="AS17" s="617">
        <v>100</v>
      </c>
      <c r="AT17" s="617">
        <v>42.649983936817897</v>
      </c>
      <c r="AU17" s="617">
        <v>18.183334988578807</v>
      </c>
      <c r="AV17" s="637">
        <v>222.9169419266878</v>
      </c>
      <c r="AW17" s="611">
        <v>1993</v>
      </c>
      <c r="AX17" s="617">
        <v>67.32348764214791</v>
      </c>
      <c r="AY17" s="617">
        <v>100</v>
      </c>
      <c r="AZ17" s="617">
        <v>41.953618445666919</v>
      </c>
      <c r="BA17" s="617">
        <v>17.956826624156637</v>
      </c>
      <c r="BB17" s="637">
        <v>227.23393271197148</v>
      </c>
      <c r="BC17" s="617">
        <v>67.378773083033323</v>
      </c>
      <c r="BD17" s="617">
        <v>100</v>
      </c>
      <c r="BE17" s="617">
        <v>38.398562932151364</v>
      </c>
      <c r="BF17" s="617">
        <v>20.500637372567528</v>
      </c>
      <c r="BG17" s="617">
        <v>226.27797338775221</v>
      </c>
    </row>
    <row r="18" spans="1:59" s="611" customFormat="1" ht="15.75" customHeight="1">
      <c r="A18" s="611">
        <v>1994</v>
      </c>
      <c r="B18" s="636">
        <v>67.602578603116754</v>
      </c>
      <c r="C18" s="617">
        <v>100</v>
      </c>
      <c r="D18" s="617">
        <v>39.78881432938271</v>
      </c>
      <c r="E18" s="617">
        <v>20.58894308726666</v>
      </c>
      <c r="F18" s="637">
        <v>227.98033601976613</v>
      </c>
      <c r="G18" s="617">
        <v>69.161273252028849</v>
      </c>
      <c r="H18" s="617">
        <v>100</v>
      </c>
      <c r="I18" s="617">
        <v>42.156410223671955</v>
      </c>
      <c r="J18" s="617">
        <v>19.449540965000541</v>
      </c>
      <c r="K18" s="637">
        <v>230.76722444070134</v>
      </c>
      <c r="L18" s="617">
        <v>64.959493993420111</v>
      </c>
      <c r="M18" s="617">
        <v>100</v>
      </c>
      <c r="N18" s="617">
        <v>40.94714798691281</v>
      </c>
      <c r="O18" s="617">
        <v>20.016936831613421</v>
      </c>
      <c r="P18" s="637">
        <v>225.9235788119463</v>
      </c>
      <c r="Q18" s="611">
        <v>1994</v>
      </c>
      <c r="R18" s="617">
        <v>67.341409969672156</v>
      </c>
      <c r="S18" s="617">
        <v>100</v>
      </c>
      <c r="T18" s="617">
        <v>39.91497521742879</v>
      </c>
      <c r="U18" s="617">
        <v>20.62422926167719</v>
      </c>
      <c r="V18" s="637">
        <v>227.88061444877812</v>
      </c>
      <c r="W18" s="617">
        <v>67.753287522411142</v>
      </c>
      <c r="X18" s="617">
        <v>100</v>
      </c>
      <c r="Y18" s="617">
        <v>39.064062532473393</v>
      </c>
      <c r="Z18" s="617">
        <v>20.282730259869233</v>
      </c>
      <c r="AA18" s="637">
        <v>227.10008031475377</v>
      </c>
      <c r="AB18" s="617">
        <v>68.859809440600031</v>
      </c>
      <c r="AC18" s="617">
        <v>100</v>
      </c>
      <c r="AD18" s="617">
        <v>39.22816972395416</v>
      </c>
      <c r="AE18" s="617">
        <v>21.878849113432604</v>
      </c>
      <c r="AF18" s="637">
        <v>229.96682827798679</v>
      </c>
      <c r="AG18" s="611">
        <v>1994</v>
      </c>
      <c r="AH18" s="617">
        <v>67.617065154680418</v>
      </c>
      <c r="AI18" s="617">
        <v>100</v>
      </c>
      <c r="AJ18" s="617">
        <v>40.137310286981432</v>
      </c>
      <c r="AK18" s="617">
        <v>20.663460868353194</v>
      </c>
      <c r="AL18" s="637">
        <v>228.41783631001502</v>
      </c>
      <c r="AM18" s="617">
        <v>64.597544581252293</v>
      </c>
      <c r="AN18" s="617">
        <v>100</v>
      </c>
      <c r="AO18" s="617">
        <v>39.170303699025929</v>
      </c>
      <c r="AP18" s="617">
        <v>19.246993046838138</v>
      </c>
      <c r="AQ18" s="637">
        <v>223.01484132711636</v>
      </c>
      <c r="AR18" s="617">
        <v>62.205779659757823</v>
      </c>
      <c r="AS18" s="617">
        <v>100</v>
      </c>
      <c r="AT18" s="617">
        <v>41.311146093329903</v>
      </c>
      <c r="AU18" s="617">
        <v>18.401604635613996</v>
      </c>
      <c r="AV18" s="637">
        <v>221.91853038870173</v>
      </c>
      <c r="AW18" s="611">
        <v>1994</v>
      </c>
      <c r="AX18" s="617">
        <v>67.385764528405844</v>
      </c>
      <c r="AY18" s="617">
        <v>100</v>
      </c>
      <c r="AZ18" s="617">
        <v>41.540160702676602</v>
      </c>
      <c r="BA18" s="617">
        <v>18.391094443247184</v>
      </c>
      <c r="BB18" s="637">
        <v>227.31701967432963</v>
      </c>
      <c r="BC18" s="617">
        <v>67.560917554728888</v>
      </c>
      <c r="BD18" s="617">
        <v>100</v>
      </c>
      <c r="BE18" s="617">
        <v>38.028344228071866</v>
      </c>
      <c r="BF18" s="617">
        <v>20.871826608543078</v>
      </c>
      <c r="BG18" s="617">
        <v>226.46108839134382</v>
      </c>
    </row>
    <row r="19" spans="1:59" s="611" customFormat="1" ht="15.75" customHeight="1">
      <c r="A19" s="611">
        <v>1995</v>
      </c>
      <c r="B19" s="636">
        <v>67.64423120074045</v>
      </c>
      <c r="C19" s="617">
        <v>100</v>
      </c>
      <c r="D19" s="617">
        <v>39.219941342846766</v>
      </c>
      <c r="E19" s="617">
        <v>20.968219878630052</v>
      </c>
      <c r="F19" s="637">
        <v>227.83239242221725</v>
      </c>
      <c r="G19" s="617">
        <v>69.413126964012847</v>
      </c>
      <c r="H19" s="617">
        <v>100</v>
      </c>
      <c r="I19" s="617">
        <v>41.569549792542347</v>
      </c>
      <c r="J19" s="617">
        <v>20.306945577787687</v>
      </c>
      <c r="K19" s="637">
        <v>231.28962233434288</v>
      </c>
      <c r="L19" s="617">
        <v>65.187665067142802</v>
      </c>
      <c r="M19" s="617">
        <v>100</v>
      </c>
      <c r="N19" s="617">
        <v>40.697844726671065</v>
      </c>
      <c r="O19" s="617">
        <v>20.636833686716514</v>
      </c>
      <c r="P19" s="637">
        <v>226.52234348053037</v>
      </c>
      <c r="Q19" s="611">
        <v>1995</v>
      </c>
      <c r="R19" s="617">
        <v>67.437939059604361</v>
      </c>
      <c r="S19" s="617">
        <v>100</v>
      </c>
      <c r="T19" s="617">
        <v>39.163426620861799</v>
      </c>
      <c r="U19" s="617">
        <v>21.202430720165495</v>
      </c>
      <c r="V19" s="637">
        <v>227.80379640063165</v>
      </c>
      <c r="W19" s="617">
        <v>67.939643887751799</v>
      </c>
      <c r="X19" s="617">
        <v>100</v>
      </c>
      <c r="Y19" s="617">
        <v>38.403974305769431</v>
      </c>
      <c r="Z19" s="617">
        <v>20.901852737158482</v>
      </c>
      <c r="AA19" s="637">
        <v>227.24547093067972</v>
      </c>
      <c r="AB19" s="617">
        <v>68.920156044580452</v>
      </c>
      <c r="AC19" s="617">
        <v>100</v>
      </c>
      <c r="AD19" s="617">
        <v>38.552189879198963</v>
      </c>
      <c r="AE19" s="617">
        <v>22.28191165831096</v>
      </c>
      <c r="AF19" s="637">
        <v>229.75425758209036</v>
      </c>
      <c r="AG19" s="611">
        <v>1995</v>
      </c>
      <c r="AH19" s="617">
        <v>67.532973842567372</v>
      </c>
      <c r="AI19" s="617">
        <v>100</v>
      </c>
      <c r="AJ19" s="617">
        <v>39.537112358944775</v>
      </c>
      <c r="AK19" s="617">
        <v>20.964374907706482</v>
      </c>
      <c r="AL19" s="637">
        <v>228.03446110921863</v>
      </c>
      <c r="AM19" s="617">
        <v>64.600008856219276</v>
      </c>
      <c r="AN19" s="617">
        <v>100</v>
      </c>
      <c r="AO19" s="617">
        <v>38.768123063839148</v>
      </c>
      <c r="AP19" s="617">
        <v>19.583137758490903</v>
      </c>
      <c r="AQ19" s="637">
        <v>222.95126967854932</v>
      </c>
      <c r="AR19" s="617">
        <v>62.434935569081439</v>
      </c>
      <c r="AS19" s="617">
        <v>100</v>
      </c>
      <c r="AT19" s="617">
        <v>40.834923727850779</v>
      </c>
      <c r="AU19" s="617">
        <v>18.649322067823785</v>
      </c>
      <c r="AV19" s="637">
        <v>221.91918136475601</v>
      </c>
      <c r="AW19" s="611">
        <v>1995</v>
      </c>
      <c r="AX19" s="617">
        <v>67.491833115805747</v>
      </c>
      <c r="AY19" s="617">
        <v>100</v>
      </c>
      <c r="AZ19" s="617">
        <v>41.121817641080696</v>
      </c>
      <c r="BA19" s="617">
        <v>18.826235985195204</v>
      </c>
      <c r="BB19" s="637">
        <v>227.43988674208165</v>
      </c>
      <c r="BC19" s="617">
        <v>67.775051027296627</v>
      </c>
      <c r="BD19" s="617">
        <v>100</v>
      </c>
      <c r="BE19" s="617">
        <v>37.68044109219025</v>
      </c>
      <c r="BF19" s="617">
        <v>21.267012408038354</v>
      </c>
      <c r="BG19" s="617">
        <v>226.72250452752525</v>
      </c>
    </row>
    <row r="20" spans="1:59" s="611" customFormat="1" ht="15.75" customHeight="1">
      <c r="A20" s="611">
        <v>1996</v>
      </c>
      <c r="B20" s="636">
        <v>67.696728879199739</v>
      </c>
      <c r="C20" s="617">
        <v>100</v>
      </c>
      <c r="D20" s="617">
        <v>38.58193</v>
      </c>
      <c r="E20" s="617">
        <v>21.34509445354303</v>
      </c>
      <c r="F20" s="637">
        <v>227.62375333274275</v>
      </c>
      <c r="G20" s="617">
        <v>69.644701249602463</v>
      </c>
      <c r="H20" s="617">
        <v>100</v>
      </c>
      <c r="I20" s="617">
        <v>41.064010000000003</v>
      </c>
      <c r="J20" s="617">
        <v>21.262716679352078</v>
      </c>
      <c r="K20" s="637">
        <v>231.97142792895454</v>
      </c>
      <c r="L20" s="617">
        <v>65.548081952599517</v>
      </c>
      <c r="M20" s="617">
        <v>100</v>
      </c>
      <c r="N20" s="617">
        <v>40.371960000000001</v>
      </c>
      <c r="O20" s="617">
        <v>21.179192114161946</v>
      </c>
      <c r="P20" s="637">
        <v>227.09923406676145</v>
      </c>
      <c r="Q20" s="611">
        <v>1996</v>
      </c>
      <c r="R20" s="617">
        <v>67.514632347177738</v>
      </c>
      <c r="S20" s="617">
        <v>100</v>
      </c>
      <c r="T20" s="617">
        <v>38.204320000000003</v>
      </c>
      <c r="U20" s="617">
        <v>21.747678312773065</v>
      </c>
      <c r="V20" s="637">
        <v>227.46663065995079</v>
      </c>
      <c r="W20" s="617">
        <v>68.142736365231542</v>
      </c>
      <c r="X20" s="617">
        <v>100</v>
      </c>
      <c r="Y20" s="617">
        <v>38.003270000000001</v>
      </c>
      <c r="Z20" s="617">
        <v>21.516666932529365</v>
      </c>
      <c r="AA20" s="637">
        <v>227.6626732977609</v>
      </c>
      <c r="AB20" s="617">
        <v>68.955319773414743</v>
      </c>
      <c r="AC20" s="617">
        <v>100</v>
      </c>
      <c r="AD20" s="617">
        <v>37.739789999999999</v>
      </c>
      <c r="AE20" s="617">
        <v>22.709788755104427</v>
      </c>
      <c r="AF20" s="637">
        <v>229.40489852851917</v>
      </c>
      <c r="AG20" s="611">
        <v>1996</v>
      </c>
      <c r="AH20" s="617">
        <v>67.426178863065033</v>
      </c>
      <c r="AI20" s="617">
        <v>100</v>
      </c>
      <c r="AJ20" s="617">
        <v>39.047979999999995</v>
      </c>
      <c r="AK20" s="617">
        <v>21.271520647613716</v>
      </c>
      <c r="AL20" s="637">
        <v>227.74567951067877</v>
      </c>
      <c r="AM20" s="617">
        <v>64.721000603070365</v>
      </c>
      <c r="AN20" s="617">
        <v>100</v>
      </c>
      <c r="AO20" s="617">
        <v>38.195659999999997</v>
      </c>
      <c r="AP20" s="617">
        <v>19.980320861650014</v>
      </c>
      <c r="AQ20" s="637">
        <v>222.8969814647204</v>
      </c>
      <c r="AR20" s="617">
        <v>62.696416391463714</v>
      </c>
      <c r="AS20" s="617">
        <v>100</v>
      </c>
      <c r="AT20" s="617">
        <v>40.412999999999997</v>
      </c>
      <c r="AU20" s="617">
        <v>18.886004642056246</v>
      </c>
      <c r="AV20" s="637">
        <v>221.99542103351993</v>
      </c>
      <c r="AW20" s="611">
        <v>1996</v>
      </c>
      <c r="AX20" s="617">
        <v>67.695386131043094</v>
      </c>
      <c r="AY20" s="617">
        <v>100</v>
      </c>
      <c r="AZ20" s="617">
        <v>40.686679999999996</v>
      </c>
      <c r="BA20" s="617">
        <v>19.228700029872442</v>
      </c>
      <c r="BB20" s="637">
        <v>227.61076616091555</v>
      </c>
      <c r="BC20" s="617">
        <v>68.065442244400757</v>
      </c>
      <c r="BD20" s="617">
        <v>100</v>
      </c>
      <c r="BE20" s="617">
        <v>36.740469999999995</v>
      </c>
      <c r="BF20" s="617">
        <v>21.590282880827768</v>
      </c>
      <c r="BG20" s="617">
        <v>226.3961951252285</v>
      </c>
    </row>
    <row r="21" spans="1:59" s="611" customFormat="1" ht="15.75" customHeight="1">
      <c r="A21" s="611">
        <v>1997</v>
      </c>
      <c r="B21" s="636">
        <v>67.791400560182879</v>
      </c>
      <c r="C21" s="617">
        <v>100</v>
      </c>
      <c r="D21" s="617">
        <v>38.082230000000003</v>
      </c>
      <c r="E21" s="617">
        <v>21.763506711106434</v>
      </c>
      <c r="F21" s="637">
        <v>227.6371372712893</v>
      </c>
      <c r="G21" s="617">
        <v>69.901671957902451</v>
      </c>
      <c r="H21" s="617">
        <v>100</v>
      </c>
      <c r="I21" s="617">
        <v>39.471679999999999</v>
      </c>
      <c r="J21" s="617">
        <v>22.274015222059461</v>
      </c>
      <c r="K21" s="637">
        <v>231.64736717996192</v>
      </c>
      <c r="L21" s="617">
        <v>65.812116536243067</v>
      </c>
      <c r="M21" s="617">
        <v>100</v>
      </c>
      <c r="N21" s="617">
        <v>40.409329999999997</v>
      </c>
      <c r="O21" s="617">
        <v>21.747308865130975</v>
      </c>
      <c r="P21" s="637">
        <v>227.96875540137407</v>
      </c>
      <c r="Q21" s="611">
        <v>1997</v>
      </c>
      <c r="R21" s="617">
        <v>67.64882529209504</v>
      </c>
      <c r="S21" s="617">
        <v>100</v>
      </c>
      <c r="T21" s="617">
        <v>36.742069999999998</v>
      </c>
      <c r="U21" s="617">
        <v>22.355057153459558</v>
      </c>
      <c r="V21" s="637">
        <v>226.74595244555459</v>
      </c>
      <c r="W21" s="617">
        <v>68.281261004822525</v>
      </c>
      <c r="X21" s="617">
        <v>100</v>
      </c>
      <c r="Y21" s="617">
        <v>37.302639999999997</v>
      </c>
      <c r="Z21" s="617">
        <v>22.138679700363184</v>
      </c>
      <c r="AA21" s="637">
        <v>227.72258070518569</v>
      </c>
      <c r="AB21" s="617">
        <v>68.995414325247083</v>
      </c>
      <c r="AC21" s="617">
        <v>100</v>
      </c>
      <c r="AD21" s="617">
        <v>36.72052</v>
      </c>
      <c r="AE21" s="617">
        <v>23.178723920770473</v>
      </c>
      <c r="AF21" s="637">
        <v>228.89465824601754</v>
      </c>
      <c r="AG21" s="611">
        <v>1997</v>
      </c>
      <c r="AH21" s="617">
        <v>67.461715723084012</v>
      </c>
      <c r="AI21" s="617">
        <v>100</v>
      </c>
      <c r="AJ21" s="617">
        <v>38.830010000000001</v>
      </c>
      <c r="AK21" s="617">
        <v>21.600911891543475</v>
      </c>
      <c r="AL21" s="637">
        <v>227.89263761462752</v>
      </c>
      <c r="AM21" s="617">
        <v>64.826674459215866</v>
      </c>
      <c r="AN21" s="617">
        <v>100</v>
      </c>
      <c r="AO21" s="617">
        <v>37.538319999999999</v>
      </c>
      <c r="AP21" s="617">
        <v>20.401662488733663</v>
      </c>
      <c r="AQ21" s="637">
        <v>222.76665694794951</v>
      </c>
      <c r="AR21" s="617">
        <v>62.925802287450075</v>
      </c>
      <c r="AS21" s="617">
        <v>100</v>
      </c>
      <c r="AT21" s="617">
        <v>39.932369999999999</v>
      </c>
      <c r="AU21" s="617">
        <v>19.249986737426589</v>
      </c>
      <c r="AV21" s="637">
        <v>222.10815902487664</v>
      </c>
      <c r="AW21" s="611">
        <v>1997</v>
      </c>
      <c r="AX21" s="617">
        <v>67.962130828228226</v>
      </c>
      <c r="AY21" s="617">
        <v>100</v>
      </c>
      <c r="AZ21" s="617">
        <v>40.03725</v>
      </c>
      <c r="BA21" s="617">
        <v>19.618332857453826</v>
      </c>
      <c r="BB21" s="637">
        <v>227.61771368568205</v>
      </c>
      <c r="BC21" s="617">
        <v>68.220624968501355</v>
      </c>
      <c r="BD21" s="617">
        <v>100</v>
      </c>
      <c r="BE21" s="617">
        <v>36.916939999999997</v>
      </c>
      <c r="BF21" s="617">
        <v>22.047022944686738</v>
      </c>
      <c r="BG21" s="617">
        <v>227.1845879131881</v>
      </c>
    </row>
    <row r="22" spans="1:59" s="611" customFormat="1" ht="15.75" customHeight="1">
      <c r="A22" s="611">
        <v>1998</v>
      </c>
      <c r="B22" s="636">
        <v>67.889844306315211</v>
      </c>
      <c r="C22" s="617">
        <v>100</v>
      </c>
      <c r="D22" s="617">
        <v>37.521819999999998</v>
      </c>
      <c r="E22" s="617">
        <v>22.251256857322623</v>
      </c>
      <c r="F22" s="637">
        <v>227.66292116363783</v>
      </c>
      <c r="G22" s="617">
        <v>70.077411395535378</v>
      </c>
      <c r="H22" s="617">
        <v>100</v>
      </c>
      <c r="I22" s="617">
        <v>38.846000000000004</v>
      </c>
      <c r="J22" s="617">
        <v>23.363274137110235</v>
      </c>
      <c r="K22" s="637">
        <v>232.28668553264561</v>
      </c>
      <c r="L22" s="617">
        <v>66.009101351948402</v>
      </c>
      <c r="M22" s="617">
        <v>100</v>
      </c>
      <c r="N22" s="617">
        <v>39.642899999999997</v>
      </c>
      <c r="O22" s="617">
        <v>22.416129127271656</v>
      </c>
      <c r="P22" s="637">
        <v>228.06813047922006</v>
      </c>
      <c r="Q22" s="611">
        <v>1998</v>
      </c>
      <c r="R22" s="617">
        <v>67.823200649041254</v>
      </c>
      <c r="S22" s="617">
        <v>100</v>
      </c>
      <c r="T22" s="617">
        <v>36.402079999999998</v>
      </c>
      <c r="U22" s="617">
        <v>23.017569615254185</v>
      </c>
      <c r="V22" s="637">
        <v>227.24285026429547</v>
      </c>
      <c r="W22" s="617">
        <v>68.450694842311435</v>
      </c>
      <c r="X22" s="617">
        <v>100</v>
      </c>
      <c r="Y22" s="617">
        <v>36.685790000000004</v>
      </c>
      <c r="Z22" s="617">
        <v>22.880231303212398</v>
      </c>
      <c r="AA22" s="637">
        <v>228.01671614552384</v>
      </c>
      <c r="AB22" s="617">
        <v>69.010140578280925</v>
      </c>
      <c r="AC22" s="617">
        <v>100</v>
      </c>
      <c r="AD22" s="617">
        <v>35.470839999999995</v>
      </c>
      <c r="AE22" s="617">
        <v>23.709764409907706</v>
      </c>
      <c r="AF22" s="637">
        <v>228.19074498818864</v>
      </c>
      <c r="AG22" s="611">
        <v>1998</v>
      </c>
      <c r="AH22" s="617">
        <v>67.50624521540351</v>
      </c>
      <c r="AI22" s="617">
        <v>100</v>
      </c>
      <c r="AJ22" s="617">
        <v>38.431939999999997</v>
      </c>
      <c r="AK22" s="617">
        <v>21.980527544626685</v>
      </c>
      <c r="AL22" s="637">
        <v>227.91871276003019</v>
      </c>
      <c r="AM22" s="617">
        <v>64.961507320070794</v>
      </c>
      <c r="AN22" s="617">
        <v>100</v>
      </c>
      <c r="AO22" s="617">
        <v>37.299720000000001</v>
      </c>
      <c r="AP22" s="617">
        <v>20.899279025994979</v>
      </c>
      <c r="AQ22" s="637">
        <v>223.16050634606577</v>
      </c>
      <c r="AR22" s="617">
        <v>63.210240118270143</v>
      </c>
      <c r="AS22" s="617">
        <v>100</v>
      </c>
      <c r="AT22" s="617">
        <v>40.020580000000002</v>
      </c>
      <c r="AU22" s="617">
        <v>19.705858067966012</v>
      </c>
      <c r="AV22" s="637">
        <v>222.93667818623615</v>
      </c>
      <c r="AW22" s="611">
        <v>1998</v>
      </c>
      <c r="AX22" s="617">
        <v>68.317106268018733</v>
      </c>
      <c r="AY22" s="617">
        <v>100</v>
      </c>
      <c r="AZ22" s="617">
        <v>39.353660000000005</v>
      </c>
      <c r="BA22" s="617">
        <v>20.049526295710411</v>
      </c>
      <c r="BB22" s="637">
        <v>227.72029256372915</v>
      </c>
      <c r="BC22" s="617">
        <v>68.339085534354666</v>
      </c>
      <c r="BD22" s="617">
        <v>100</v>
      </c>
      <c r="BE22" s="617">
        <v>36.9452</v>
      </c>
      <c r="BF22" s="617">
        <v>22.663228484855942</v>
      </c>
      <c r="BG22" s="617">
        <v>227.94751401921062</v>
      </c>
    </row>
    <row r="23" spans="1:59" s="611" customFormat="1" ht="15.75" customHeight="1">
      <c r="A23" s="611">
        <v>1999</v>
      </c>
      <c r="B23" s="636">
        <v>68.076886615914873</v>
      </c>
      <c r="C23" s="617">
        <v>100</v>
      </c>
      <c r="D23" s="617">
        <v>37.661909999999999</v>
      </c>
      <c r="E23" s="617">
        <v>22.804492546795554</v>
      </c>
      <c r="F23" s="637">
        <v>228.54328916271044</v>
      </c>
      <c r="G23" s="617">
        <v>70.336696485658948</v>
      </c>
      <c r="H23" s="617">
        <v>100</v>
      </c>
      <c r="I23" s="617">
        <v>38.006129999999999</v>
      </c>
      <c r="J23" s="617">
        <v>24.392635690164983</v>
      </c>
      <c r="K23" s="637">
        <v>232.7354621758239</v>
      </c>
      <c r="L23" s="617">
        <v>66.223464752973641</v>
      </c>
      <c r="M23" s="617">
        <v>100</v>
      </c>
      <c r="N23" s="617">
        <v>38.870349999999995</v>
      </c>
      <c r="O23" s="617">
        <v>23.110338198281489</v>
      </c>
      <c r="P23" s="637">
        <v>228.20415295125514</v>
      </c>
      <c r="Q23" s="611">
        <v>1999</v>
      </c>
      <c r="R23" s="617">
        <v>68.066597842755925</v>
      </c>
      <c r="S23" s="617">
        <v>100</v>
      </c>
      <c r="T23" s="617">
        <v>35.953790000000005</v>
      </c>
      <c r="U23" s="617">
        <v>23.736859916211888</v>
      </c>
      <c r="V23" s="637">
        <v>227.75724775896782</v>
      </c>
      <c r="W23" s="617">
        <v>68.711738993153489</v>
      </c>
      <c r="X23" s="617">
        <v>100</v>
      </c>
      <c r="Y23" s="617">
        <v>36.969059999999999</v>
      </c>
      <c r="Z23" s="617">
        <v>23.658641541911081</v>
      </c>
      <c r="AA23" s="637">
        <v>229.33944053506457</v>
      </c>
      <c r="AB23" s="617">
        <v>69.125183490936408</v>
      </c>
      <c r="AC23" s="617">
        <v>100</v>
      </c>
      <c r="AD23" s="617">
        <v>35.468290000000003</v>
      </c>
      <c r="AE23" s="617">
        <v>24.329580445840303</v>
      </c>
      <c r="AF23" s="637">
        <v>228.92305393677671</v>
      </c>
      <c r="AG23" s="611">
        <v>1999</v>
      </c>
      <c r="AH23" s="617">
        <v>67.656349863565154</v>
      </c>
      <c r="AI23" s="617">
        <v>100</v>
      </c>
      <c r="AJ23" s="617">
        <v>38.723910000000004</v>
      </c>
      <c r="AK23" s="617">
        <v>22.405910458445934</v>
      </c>
      <c r="AL23" s="637">
        <v>228.78617032201106</v>
      </c>
      <c r="AM23" s="617">
        <v>65.212421046734732</v>
      </c>
      <c r="AN23" s="617">
        <v>100</v>
      </c>
      <c r="AO23" s="617">
        <v>38.658340000000003</v>
      </c>
      <c r="AP23" s="617">
        <v>21.422331694746717</v>
      </c>
      <c r="AQ23" s="637">
        <v>225.29309274148147</v>
      </c>
      <c r="AR23" s="617">
        <v>63.569220639432878</v>
      </c>
      <c r="AS23" s="617">
        <v>100</v>
      </c>
      <c r="AT23" s="617">
        <v>40.170499999999997</v>
      </c>
      <c r="AU23" s="617">
        <v>20.318395621986269</v>
      </c>
      <c r="AV23" s="637">
        <v>224.05811626141914</v>
      </c>
      <c r="AW23" s="611">
        <v>1999</v>
      </c>
      <c r="AX23" s="617">
        <v>68.658160079005867</v>
      </c>
      <c r="AY23" s="617">
        <v>100</v>
      </c>
      <c r="AZ23" s="617">
        <v>40.000229999999995</v>
      </c>
      <c r="BA23" s="617">
        <v>20.636151688018934</v>
      </c>
      <c r="BB23" s="637">
        <v>229.29454176702481</v>
      </c>
      <c r="BC23" s="617">
        <v>68.55011062291608</v>
      </c>
      <c r="BD23" s="617">
        <v>100</v>
      </c>
      <c r="BE23" s="617">
        <v>36.146450000000002</v>
      </c>
      <c r="BF23" s="617">
        <v>23.304403103673927</v>
      </c>
      <c r="BG23" s="617">
        <v>228.00096372659002</v>
      </c>
    </row>
    <row r="24" spans="1:59" s="611" customFormat="1" ht="15.75" customHeight="1">
      <c r="A24" s="611">
        <v>2000</v>
      </c>
      <c r="B24" s="636">
        <v>68.273634031192998</v>
      </c>
      <c r="C24" s="617">
        <v>100</v>
      </c>
      <c r="D24" s="617">
        <v>36.99335</v>
      </c>
      <c r="E24" s="617">
        <v>23.364127234385496</v>
      </c>
      <c r="F24" s="637">
        <v>228.63111126557851</v>
      </c>
      <c r="G24" s="617">
        <v>70.550186943856232</v>
      </c>
      <c r="H24" s="617">
        <v>100</v>
      </c>
      <c r="I24" s="617">
        <v>37.543500000000002</v>
      </c>
      <c r="J24" s="617">
        <v>25.348223181038172</v>
      </c>
      <c r="K24" s="637">
        <v>233.44191012489441</v>
      </c>
      <c r="L24" s="617">
        <v>66.528907452187298</v>
      </c>
      <c r="M24" s="617">
        <v>100</v>
      </c>
      <c r="N24" s="617">
        <v>38.400950000000002</v>
      </c>
      <c r="O24" s="617">
        <v>23.835275152048069</v>
      </c>
      <c r="P24" s="637">
        <v>228.76513260423536</v>
      </c>
      <c r="Q24" s="611">
        <v>2000</v>
      </c>
      <c r="R24" s="617">
        <v>68.234704509750799</v>
      </c>
      <c r="S24" s="617">
        <v>100</v>
      </c>
      <c r="T24" s="617">
        <v>35.2166</v>
      </c>
      <c r="U24" s="617">
        <v>24.425130726338345</v>
      </c>
      <c r="V24" s="637">
        <v>227.87643523608915</v>
      </c>
      <c r="W24" s="617">
        <v>68.962328634794417</v>
      </c>
      <c r="X24" s="617">
        <v>100</v>
      </c>
      <c r="Y24" s="617">
        <v>36.322049999999997</v>
      </c>
      <c r="Z24" s="617">
        <v>24.463003502918653</v>
      </c>
      <c r="AA24" s="637">
        <v>229.74738213771303</v>
      </c>
      <c r="AB24" s="617">
        <v>69.20978541246231</v>
      </c>
      <c r="AC24" s="617">
        <v>100</v>
      </c>
      <c r="AD24" s="617">
        <v>34.933680000000003</v>
      </c>
      <c r="AE24" s="617">
        <v>24.961169375737313</v>
      </c>
      <c r="AF24" s="637">
        <v>229.10463478819963</v>
      </c>
      <c r="AG24" s="611">
        <v>2000</v>
      </c>
      <c r="AH24" s="617">
        <v>67.860602621350665</v>
      </c>
      <c r="AI24" s="617">
        <v>100</v>
      </c>
      <c r="AJ24" s="617">
        <v>37.708439999999996</v>
      </c>
      <c r="AK24" s="617">
        <v>22.811921984304078</v>
      </c>
      <c r="AL24" s="637">
        <v>228.38096460565475</v>
      </c>
      <c r="AM24" s="617">
        <v>65.428875991120123</v>
      </c>
      <c r="AN24" s="617">
        <v>100</v>
      </c>
      <c r="AO24" s="617">
        <v>39.205550000000002</v>
      </c>
      <c r="AP24" s="617">
        <v>21.975955994571663</v>
      </c>
      <c r="AQ24" s="637">
        <v>226.61038198569179</v>
      </c>
      <c r="AR24" s="617">
        <v>63.905157483636287</v>
      </c>
      <c r="AS24" s="617">
        <v>100</v>
      </c>
      <c r="AT24" s="617">
        <v>39.730399999999996</v>
      </c>
      <c r="AU24" s="617">
        <v>21.039436661654584</v>
      </c>
      <c r="AV24" s="637">
        <v>224.67499414529087</v>
      </c>
      <c r="AW24" s="611">
        <v>2000</v>
      </c>
      <c r="AX24" s="617">
        <v>68.977111362167207</v>
      </c>
      <c r="AY24" s="617">
        <v>100</v>
      </c>
      <c r="AZ24" s="617">
        <v>39.21622</v>
      </c>
      <c r="BA24" s="617">
        <v>21.2861136316581</v>
      </c>
      <c r="BB24" s="637">
        <v>229.4794449938253</v>
      </c>
      <c r="BC24" s="617">
        <v>68.786897502741866</v>
      </c>
      <c r="BD24" s="617">
        <v>100</v>
      </c>
      <c r="BE24" s="617">
        <v>36.088700000000003</v>
      </c>
      <c r="BF24" s="617">
        <v>23.963849545581709</v>
      </c>
      <c r="BG24" s="617">
        <v>228.83944704832356</v>
      </c>
    </row>
    <row r="25" spans="1:59" s="611" customFormat="1" ht="15.75" customHeight="1">
      <c r="A25" s="611">
        <v>2001</v>
      </c>
      <c r="B25" s="636">
        <v>68.481857260480822</v>
      </c>
      <c r="C25" s="617">
        <v>100</v>
      </c>
      <c r="D25" s="617">
        <v>36.427599999999998</v>
      </c>
      <c r="E25" s="617">
        <v>23.899036784527684</v>
      </c>
      <c r="F25" s="637">
        <v>228.80849404500847</v>
      </c>
      <c r="G25" s="617">
        <v>70.750316550869385</v>
      </c>
      <c r="H25" s="617">
        <v>100</v>
      </c>
      <c r="I25" s="617">
        <v>36.210500000000003</v>
      </c>
      <c r="J25" s="617">
        <v>26.288759522865412</v>
      </c>
      <c r="K25" s="637">
        <v>233.2495760737348</v>
      </c>
      <c r="L25" s="617">
        <v>66.823500142686754</v>
      </c>
      <c r="M25" s="617">
        <v>100</v>
      </c>
      <c r="N25" s="617">
        <v>37.326450000000001</v>
      </c>
      <c r="O25" s="617">
        <v>24.568464031961835</v>
      </c>
      <c r="P25" s="637">
        <v>228.71841417464859</v>
      </c>
      <c r="Q25" s="611">
        <v>2001</v>
      </c>
      <c r="R25" s="617">
        <v>68.447666051086699</v>
      </c>
      <c r="S25" s="617">
        <v>100</v>
      </c>
      <c r="T25" s="617">
        <v>34.521429999999995</v>
      </c>
      <c r="U25" s="617">
        <v>25.171965587578583</v>
      </c>
      <c r="V25" s="637">
        <v>228.14106163866529</v>
      </c>
      <c r="W25" s="617">
        <v>69.170086462941498</v>
      </c>
      <c r="X25" s="617">
        <v>100</v>
      </c>
      <c r="Y25" s="617">
        <v>34.972270000000002</v>
      </c>
      <c r="Z25" s="617">
        <v>25.193217933825107</v>
      </c>
      <c r="AA25" s="637">
        <v>229.33557439676662</v>
      </c>
      <c r="AB25" s="617">
        <v>69.313934165466634</v>
      </c>
      <c r="AC25" s="617">
        <v>100</v>
      </c>
      <c r="AD25" s="617">
        <v>33.891399999999997</v>
      </c>
      <c r="AE25" s="617">
        <v>25.554332276367838</v>
      </c>
      <c r="AF25" s="637">
        <v>228.75966644183447</v>
      </c>
      <c r="AG25" s="611">
        <v>2001</v>
      </c>
      <c r="AH25" s="617">
        <v>68.073072255640085</v>
      </c>
      <c r="AI25" s="617">
        <v>100</v>
      </c>
      <c r="AJ25" s="617">
        <v>37.483980000000003</v>
      </c>
      <c r="AK25" s="617">
        <v>23.190150044596539</v>
      </c>
      <c r="AL25" s="637">
        <v>228.74720230023664</v>
      </c>
      <c r="AM25" s="617">
        <v>65.668784885695203</v>
      </c>
      <c r="AN25" s="617">
        <v>100</v>
      </c>
      <c r="AO25" s="617">
        <v>38.209209999999999</v>
      </c>
      <c r="AP25" s="617">
        <v>22.525987047511855</v>
      </c>
      <c r="AQ25" s="637">
        <v>226.40398193320706</v>
      </c>
      <c r="AR25" s="617">
        <v>64.267896794808337</v>
      </c>
      <c r="AS25" s="617">
        <v>100</v>
      </c>
      <c r="AT25" s="617">
        <v>38.28792</v>
      </c>
      <c r="AU25" s="617">
        <v>21.771688456851034</v>
      </c>
      <c r="AV25" s="637">
        <v>224.32750525165935</v>
      </c>
      <c r="AW25" s="611">
        <v>2001</v>
      </c>
      <c r="AX25" s="617">
        <v>69.326037101821214</v>
      </c>
      <c r="AY25" s="617">
        <v>100</v>
      </c>
      <c r="AZ25" s="617">
        <v>39.202550000000002</v>
      </c>
      <c r="BA25" s="617">
        <v>21.950041481129766</v>
      </c>
      <c r="BB25" s="637">
        <v>230.47862858295099</v>
      </c>
      <c r="BC25" s="617">
        <v>69.009416465665623</v>
      </c>
      <c r="BD25" s="617">
        <v>100</v>
      </c>
      <c r="BE25" s="617">
        <v>35.045429999999996</v>
      </c>
      <c r="BF25" s="617">
        <v>24.59055645071075</v>
      </c>
      <c r="BG25" s="617">
        <v>228.64540291637636</v>
      </c>
    </row>
    <row r="26" spans="1:59" s="611" customFormat="1" ht="15.75" customHeight="1">
      <c r="A26" s="611">
        <v>2002</v>
      </c>
      <c r="B26" s="636">
        <v>68.675764638101526</v>
      </c>
      <c r="C26" s="617">
        <v>100</v>
      </c>
      <c r="D26" s="617">
        <v>35.709350000000001</v>
      </c>
      <c r="E26" s="617">
        <v>24.510471761251701</v>
      </c>
      <c r="F26" s="637">
        <v>228.89558639935322</v>
      </c>
      <c r="G26" s="617">
        <v>70.846782963865479</v>
      </c>
      <c r="H26" s="617">
        <v>100</v>
      </c>
      <c r="I26" s="617">
        <v>35.165459999999996</v>
      </c>
      <c r="J26" s="617">
        <v>27.133510801087908</v>
      </c>
      <c r="K26" s="637">
        <v>233.14575376495338</v>
      </c>
      <c r="L26" s="617">
        <v>67.188550220637651</v>
      </c>
      <c r="M26" s="617">
        <v>100</v>
      </c>
      <c r="N26" s="638">
        <v>36.529939999999996</v>
      </c>
      <c r="O26" s="617">
        <v>25.249861188228763</v>
      </c>
      <c r="P26" s="637">
        <v>228.9683514088664</v>
      </c>
      <c r="Q26" s="611">
        <v>2002</v>
      </c>
      <c r="R26" s="617">
        <v>68.740501489280931</v>
      </c>
      <c r="S26" s="617">
        <v>100</v>
      </c>
      <c r="T26" s="617">
        <v>34.761399999999995</v>
      </c>
      <c r="U26" s="617">
        <v>25.961936439522361</v>
      </c>
      <c r="V26" s="637">
        <v>229.46383792880326</v>
      </c>
      <c r="W26" s="617">
        <v>69.32210198163429</v>
      </c>
      <c r="X26" s="617">
        <v>100</v>
      </c>
      <c r="Y26" s="617">
        <v>34.100140000000003</v>
      </c>
      <c r="Z26" s="617">
        <v>26.053506394370444</v>
      </c>
      <c r="AA26" s="637">
        <v>229.47574837600473</v>
      </c>
      <c r="AB26" s="617">
        <v>69.379616603835245</v>
      </c>
      <c r="AC26" s="617">
        <v>100</v>
      </c>
      <c r="AD26" s="617">
        <v>33.23265</v>
      </c>
      <c r="AE26" s="617">
        <v>26.209730958264636</v>
      </c>
      <c r="AF26" s="637">
        <v>228.82199756209988</v>
      </c>
      <c r="AG26" s="611">
        <v>2002</v>
      </c>
      <c r="AH26" s="617">
        <v>68.302656457113784</v>
      </c>
      <c r="AI26" s="617">
        <v>100</v>
      </c>
      <c r="AJ26" s="617">
        <v>37.073499999999996</v>
      </c>
      <c r="AK26" s="617">
        <v>23.686437275107021</v>
      </c>
      <c r="AL26" s="637">
        <v>229.06259373222079</v>
      </c>
      <c r="AM26" s="617">
        <v>65.936488695873209</v>
      </c>
      <c r="AN26" s="617">
        <v>100</v>
      </c>
      <c r="AO26" s="617">
        <v>37.956159999999997</v>
      </c>
      <c r="AP26" s="617">
        <v>23.161333998493877</v>
      </c>
      <c r="AQ26" s="637">
        <v>227.05398269436711</v>
      </c>
      <c r="AR26" s="617">
        <v>64.531335743041993</v>
      </c>
      <c r="AS26" s="617">
        <v>100</v>
      </c>
      <c r="AT26" s="617">
        <v>37.268630000000002</v>
      </c>
      <c r="AU26" s="617">
        <v>22.464764782539344</v>
      </c>
      <c r="AV26" s="637">
        <v>224.26473052558134</v>
      </c>
      <c r="AW26" s="611">
        <v>2002</v>
      </c>
      <c r="AX26" s="617">
        <v>69.66797981309081</v>
      </c>
      <c r="AY26" s="617">
        <v>100</v>
      </c>
      <c r="AZ26" s="617">
        <v>37.709769999999999</v>
      </c>
      <c r="BA26" s="617">
        <v>22.604626571588216</v>
      </c>
      <c r="BB26" s="637">
        <v>229.98237638467904</v>
      </c>
      <c r="BC26" s="617">
        <v>69.159319092533309</v>
      </c>
      <c r="BD26" s="617">
        <v>100</v>
      </c>
      <c r="BE26" s="617">
        <v>34.127130000000001</v>
      </c>
      <c r="BF26" s="617">
        <v>25.331891391735546</v>
      </c>
      <c r="BG26" s="617">
        <v>228.61834048426886</v>
      </c>
    </row>
    <row r="27" spans="1:59" s="611" customFormat="1" ht="15.75" customHeight="1">
      <c r="A27" s="611">
        <v>2003</v>
      </c>
      <c r="B27" s="636">
        <v>68.836429077800119</v>
      </c>
      <c r="C27" s="617">
        <v>100</v>
      </c>
      <c r="D27" s="617">
        <v>35.454120000000003</v>
      </c>
      <c r="E27" s="617">
        <v>25.130258943914395</v>
      </c>
      <c r="F27" s="637">
        <v>229.42080802171449</v>
      </c>
      <c r="G27" s="617">
        <v>70.987040037028464</v>
      </c>
      <c r="H27" s="617">
        <v>100</v>
      </c>
      <c r="I27" s="617">
        <v>34.201500000000003</v>
      </c>
      <c r="J27" s="617">
        <v>27.947813006248552</v>
      </c>
      <c r="K27" s="637">
        <v>233.13635304327704</v>
      </c>
      <c r="L27" s="617">
        <v>67.453961128398703</v>
      </c>
      <c r="M27" s="617">
        <v>100</v>
      </c>
      <c r="N27" s="638">
        <v>36.823540000000001</v>
      </c>
      <c r="O27" s="617">
        <v>25.895453319827137</v>
      </c>
      <c r="P27" s="637">
        <v>230.17295444822585</v>
      </c>
      <c r="Q27" s="611">
        <v>2003</v>
      </c>
      <c r="R27" s="617">
        <v>68.954048625533474</v>
      </c>
      <c r="S27" s="617">
        <v>100</v>
      </c>
      <c r="T27" s="617">
        <v>34.45073</v>
      </c>
      <c r="U27" s="617">
        <v>26.689536219547712</v>
      </c>
      <c r="V27" s="637">
        <v>230.09431484508116</v>
      </c>
      <c r="W27" s="617">
        <v>69.428561134470883</v>
      </c>
      <c r="X27" s="617">
        <v>100</v>
      </c>
      <c r="Y27" s="617">
        <v>33.01126</v>
      </c>
      <c r="Z27" s="617">
        <v>26.860549060634732</v>
      </c>
      <c r="AA27" s="637">
        <v>229.30037019510561</v>
      </c>
      <c r="AB27" s="617">
        <v>69.414673413985184</v>
      </c>
      <c r="AC27" s="617">
        <v>100</v>
      </c>
      <c r="AD27" s="617">
        <v>33.164320000000004</v>
      </c>
      <c r="AE27" s="617">
        <v>26.846039147520962</v>
      </c>
      <c r="AF27" s="637">
        <v>229.42503256150616</v>
      </c>
      <c r="AG27" s="611">
        <v>2003</v>
      </c>
      <c r="AH27" s="617">
        <v>68.51641847882334</v>
      </c>
      <c r="AI27" s="617">
        <v>100</v>
      </c>
      <c r="AJ27" s="617">
        <v>37.177329999999998</v>
      </c>
      <c r="AK27" s="617">
        <v>24.234478352181821</v>
      </c>
      <c r="AL27" s="637">
        <v>229.92822683100516</v>
      </c>
      <c r="AM27" s="617">
        <v>66.18211251062236</v>
      </c>
      <c r="AN27" s="617">
        <v>100</v>
      </c>
      <c r="AO27" s="617">
        <v>37.453879999999998</v>
      </c>
      <c r="AP27" s="617">
        <v>23.750514470033572</v>
      </c>
      <c r="AQ27" s="637">
        <v>227.38650698065592</v>
      </c>
      <c r="AR27" s="617">
        <v>64.856199252772001</v>
      </c>
      <c r="AS27" s="617">
        <v>100</v>
      </c>
      <c r="AT27" s="617">
        <v>36.599029999999999</v>
      </c>
      <c r="AU27" s="617">
        <v>23.137273791926205</v>
      </c>
      <c r="AV27" s="637">
        <v>224.59250304469822</v>
      </c>
      <c r="AW27" s="611">
        <v>2003</v>
      </c>
      <c r="AX27" s="617">
        <v>69.903367347323424</v>
      </c>
      <c r="AY27" s="617">
        <v>100</v>
      </c>
      <c r="AZ27" s="617">
        <v>36.639800000000001</v>
      </c>
      <c r="BA27" s="617">
        <v>23.268138805225615</v>
      </c>
      <c r="BB27" s="637">
        <v>229.81130615254904</v>
      </c>
      <c r="BC27" s="617">
        <v>69.251935039719612</v>
      </c>
      <c r="BD27" s="617">
        <v>100</v>
      </c>
      <c r="BE27" s="617">
        <v>33.167540000000002</v>
      </c>
      <c r="BF27" s="617">
        <v>26.051209054152004</v>
      </c>
      <c r="BG27" s="617">
        <v>228.47068409387163</v>
      </c>
    </row>
    <row r="28" spans="1:59" s="611" customFormat="1" ht="15.75" customHeight="1">
      <c r="A28" s="611">
        <v>2004</v>
      </c>
      <c r="B28" s="636">
        <v>69.017230568319846</v>
      </c>
      <c r="C28" s="617">
        <v>100</v>
      </c>
      <c r="D28" s="617">
        <v>35.428513117861499</v>
      </c>
      <c r="E28" s="617">
        <v>25.714546554994637</v>
      </c>
      <c r="F28" s="637">
        <v>230.16029024117597</v>
      </c>
      <c r="G28" s="617">
        <v>71.058871729858325</v>
      </c>
      <c r="H28" s="617">
        <v>100</v>
      </c>
      <c r="I28" s="617">
        <v>33.916012090287843</v>
      </c>
      <c r="J28" s="617">
        <v>28.67443428988863</v>
      </c>
      <c r="K28" s="637">
        <v>233.64931811003478</v>
      </c>
      <c r="L28" s="617">
        <v>67.770239841945468</v>
      </c>
      <c r="M28" s="617">
        <v>100</v>
      </c>
      <c r="N28" s="617">
        <v>37.096086023239302</v>
      </c>
      <c r="O28" s="617">
        <v>26.507546813486933</v>
      </c>
      <c r="P28" s="637">
        <v>231.37387267867169</v>
      </c>
      <c r="Q28" s="611">
        <v>2004</v>
      </c>
      <c r="R28" s="617">
        <v>69.167830559861017</v>
      </c>
      <c r="S28" s="617">
        <v>100</v>
      </c>
      <c r="T28" s="617">
        <v>33.863643001061014</v>
      </c>
      <c r="U28" s="617">
        <v>27.389671441467527</v>
      </c>
      <c r="V28" s="637">
        <v>230.42114500238955</v>
      </c>
      <c r="W28" s="617">
        <v>69.522891926407411</v>
      </c>
      <c r="X28" s="617">
        <v>100</v>
      </c>
      <c r="Y28" s="617">
        <v>32.979477226759691</v>
      </c>
      <c r="Z28" s="617">
        <v>27.553047964354011</v>
      </c>
      <c r="AA28" s="637">
        <v>230.0554171175211</v>
      </c>
      <c r="AB28" s="617">
        <v>69.483722577534905</v>
      </c>
      <c r="AC28" s="617">
        <v>100</v>
      </c>
      <c r="AD28" s="617">
        <v>33.552483912767102</v>
      </c>
      <c r="AE28" s="617">
        <v>27.420401651873309</v>
      </c>
      <c r="AF28" s="637">
        <v>230.4566081421753</v>
      </c>
      <c r="AG28" s="611">
        <v>2004</v>
      </c>
      <c r="AH28" s="617">
        <v>68.727726561080701</v>
      </c>
      <c r="AI28" s="617">
        <v>100</v>
      </c>
      <c r="AJ28" s="617">
        <v>36.549028769839168</v>
      </c>
      <c r="AK28" s="617">
        <v>24.77434706748237</v>
      </c>
      <c r="AL28" s="637">
        <v>230.05110239840226</v>
      </c>
      <c r="AM28" s="617">
        <v>66.496473142541618</v>
      </c>
      <c r="AN28" s="617">
        <v>100</v>
      </c>
      <c r="AO28" s="617">
        <v>38.415996695575807</v>
      </c>
      <c r="AP28" s="617">
        <v>24.32330179981356</v>
      </c>
      <c r="AQ28" s="637">
        <v>229.23577163793098</v>
      </c>
      <c r="AR28" s="617">
        <v>65.240458891550119</v>
      </c>
      <c r="AS28" s="617">
        <v>100</v>
      </c>
      <c r="AT28" s="617">
        <v>36.505759668837769</v>
      </c>
      <c r="AU28" s="617">
        <v>23.79264261660018</v>
      </c>
      <c r="AV28" s="637">
        <v>225.53886117698806</v>
      </c>
      <c r="AW28" s="611">
        <v>2004</v>
      </c>
      <c r="AX28" s="617">
        <v>70.163739697006093</v>
      </c>
      <c r="AY28" s="617">
        <v>100</v>
      </c>
      <c r="AZ28" s="617">
        <v>37.474260727011831</v>
      </c>
      <c r="BA28" s="617">
        <v>23.912669692057747</v>
      </c>
      <c r="BB28" s="637">
        <v>231.55067011607565</v>
      </c>
      <c r="BC28" s="617">
        <v>69.399495086843615</v>
      </c>
      <c r="BD28" s="617">
        <v>100</v>
      </c>
      <c r="BE28" s="617">
        <v>33.1506088884991</v>
      </c>
      <c r="BF28" s="617">
        <v>26.691447040674632</v>
      </c>
      <c r="BG28" s="617">
        <v>229.24155101601735</v>
      </c>
    </row>
    <row r="29" spans="1:59" s="611" customFormat="1" ht="15.75" customHeight="1">
      <c r="A29" s="611">
        <v>2005</v>
      </c>
      <c r="B29" s="636">
        <v>69.240565319331623</v>
      </c>
      <c r="C29" s="617">
        <v>100</v>
      </c>
      <c r="D29" s="617">
        <v>35.066785125756475</v>
      </c>
      <c r="E29" s="617">
        <v>26.297571834625106</v>
      </c>
      <c r="F29" s="637">
        <v>230.60492227971318</v>
      </c>
      <c r="G29" s="617">
        <v>71.169582571063629</v>
      </c>
      <c r="H29" s="617">
        <v>100</v>
      </c>
      <c r="I29" s="617">
        <v>32.640220773276098</v>
      </c>
      <c r="J29" s="617">
        <v>29.459156276792847</v>
      </c>
      <c r="K29" s="637">
        <v>233.26895962113258</v>
      </c>
      <c r="L29" s="617">
        <v>68.008402448299591</v>
      </c>
      <c r="M29" s="617">
        <v>100</v>
      </c>
      <c r="N29" s="617">
        <v>35.349961794353447</v>
      </c>
      <c r="O29" s="617">
        <v>27.172503712288581</v>
      </c>
      <c r="P29" s="637">
        <v>230.53086795494161</v>
      </c>
      <c r="Q29" s="611">
        <v>2005</v>
      </c>
      <c r="R29" s="617">
        <v>69.405325068421149</v>
      </c>
      <c r="S29" s="617">
        <v>100</v>
      </c>
      <c r="T29" s="617">
        <v>34.078286685476336</v>
      </c>
      <c r="U29" s="617">
        <v>28.149745026606148</v>
      </c>
      <c r="V29" s="637">
        <v>231.63335678050365</v>
      </c>
      <c r="W29" s="617">
        <v>69.605861276004063</v>
      </c>
      <c r="X29" s="617">
        <v>100</v>
      </c>
      <c r="Y29" s="617">
        <v>33.249143936915054</v>
      </c>
      <c r="Z29" s="617">
        <v>28.29977538905824</v>
      </c>
      <c r="AA29" s="637">
        <v>231.15478060197739</v>
      </c>
      <c r="AB29" s="617">
        <v>69.614138177037418</v>
      </c>
      <c r="AC29" s="617">
        <v>100</v>
      </c>
      <c r="AD29" s="617">
        <v>32.813253186777963</v>
      </c>
      <c r="AE29" s="617">
        <v>27.984026718329986</v>
      </c>
      <c r="AF29" s="637">
        <v>230.41141808214536</v>
      </c>
      <c r="AG29" s="611">
        <v>2005</v>
      </c>
      <c r="AH29" s="617">
        <v>68.981807848996851</v>
      </c>
      <c r="AI29" s="617">
        <v>100</v>
      </c>
      <c r="AJ29" s="617">
        <v>36.407973979303208</v>
      </c>
      <c r="AK29" s="617">
        <v>25.345053829355198</v>
      </c>
      <c r="AL29" s="637">
        <v>230.73483565765525</v>
      </c>
      <c r="AM29" s="617">
        <v>66.82019280302741</v>
      </c>
      <c r="AN29" s="617">
        <v>100</v>
      </c>
      <c r="AO29" s="617">
        <v>37.010538509186432</v>
      </c>
      <c r="AP29" s="617">
        <v>24.983599267080315</v>
      </c>
      <c r="AQ29" s="637">
        <v>228.81433057929414</v>
      </c>
      <c r="AR29" s="617">
        <v>65.584719483805515</v>
      </c>
      <c r="AS29" s="617">
        <v>100</v>
      </c>
      <c r="AT29" s="617">
        <v>37.22883569714444</v>
      </c>
      <c r="AU29" s="617">
        <v>24.507865001172529</v>
      </c>
      <c r="AV29" s="637">
        <v>227.32142018212247</v>
      </c>
      <c r="AW29" s="611">
        <v>2005</v>
      </c>
      <c r="AX29" s="617">
        <v>70.484678827283119</v>
      </c>
      <c r="AY29" s="617">
        <v>100</v>
      </c>
      <c r="AZ29" s="617">
        <v>37.388268971081317</v>
      </c>
      <c r="BA29" s="617">
        <v>24.438594906989344</v>
      </c>
      <c r="BB29" s="637">
        <v>232.31154270535379</v>
      </c>
      <c r="BC29" s="617">
        <v>69.575804162611973</v>
      </c>
      <c r="BD29" s="617">
        <v>100</v>
      </c>
      <c r="BE29" s="617">
        <v>32.468904782337006</v>
      </c>
      <c r="BF29" s="617">
        <v>27.283055517695914</v>
      </c>
      <c r="BG29" s="617">
        <v>229.32776446264489</v>
      </c>
    </row>
    <row r="30" spans="1:59" s="611" customFormat="1" ht="15.75" customHeight="1">
      <c r="A30" s="611">
        <v>2006</v>
      </c>
      <c r="B30" s="636">
        <v>69.374415713814997</v>
      </c>
      <c r="C30" s="617">
        <v>100</v>
      </c>
      <c r="D30" s="617">
        <v>34.60746435945164</v>
      </c>
      <c r="E30" s="617">
        <v>26.836189652565256</v>
      </c>
      <c r="F30" s="637">
        <v>230.81806972583186</v>
      </c>
      <c r="G30" s="617">
        <v>71.114982373562896</v>
      </c>
      <c r="H30" s="617">
        <v>100</v>
      </c>
      <c r="I30" s="617">
        <v>32.52895510919717</v>
      </c>
      <c r="J30" s="617">
        <v>30.248102635049467</v>
      </c>
      <c r="K30" s="637">
        <v>233.89204011780953</v>
      </c>
      <c r="L30" s="617">
        <v>68.130075406032489</v>
      </c>
      <c r="M30" s="617">
        <v>100</v>
      </c>
      <c r="N30" s="617">
        <v>36.072236601718025</v>
      </c>
      <c r="O30" s="617">
        <v>27.898781902552205</v>
      </c>
      <c r="P30" s="637">
        <v>232.10109391030272</v>
      </c>
      <c r="Q30" s="611">
        <v>2006</v>
      </c>
      <c r="R30" s="617">
        <v>69.519941152013303</v>
      </c>
      <c r="S30" s="617">
        <v>100</v>
      </c>
      <c r="T30" s="617">
        <v>33.092751225417729</v>
      </c>
      <c r="U30" s="617">
        <v>28.872719907037236</v>
      </c>
      <c r="V30" s="637">
        <v>231.48541228446825</v>
      </c>
      <c r="W30" s="617">
        <v>69.570482543309808</v>
      </c>
      <c r="X30" s="617">
        <v>100</v>
      </c>
      <c r="Y30" s="617">
        <v>32.702583401012951</v>
      </c>
      <c r="Z30" s="617">
        <v>28.975799075735509</v>
      </c>
      <c r="AA30" s="637">
        <v>231.2488650200583</v>
      </c>
      <c r="AB30" s="617">
        <v>69.663654260627467</v>
      </c>
      <c r="AC30" s="617">
        <v>100</v>
      </c>
      <c r="AD30" s="617">
        <v>32.86135326445018</v>
      </c>
      <c r="AE30" s="617">
        <v>28.457016344774956</v>
      </c>
      <c r="AF30" s="637">
        <v>230.98202386985261</v>
      </c>
      <c r="AG30" s="611">
        <v>2006</v>
      </c>
      <c r="AH30" s="617">
        <v>69.145367209075843</v>
      </c>
      <c r="AI30" s="617">
        <v>100</v>
      </c>
      <c r="AJ30" s="617">
        <v>36.001048146259606</v>
      </c>
      <c r="AK30" s="617">
        <v>25.93009302706772</v>
      </c>
      <c r="AL30" s="637">
        <v>231.0765083824032</v>
      </c>
      <c r="AM30" s="617">
        <v>67.01817773352218</v>
      </c>
      <c r="AN30" s="617">
        <v>100</v>
      </c>
      <c r="AO30" s="617">
        <v>36.785606234886458</v>
      </c>
      <c r="AP30" s="617">
        <v>25.564871190027965</v>
      </c>
      <c r="AQ30" s="637">
        <v>229.36865515843661</v>
      </c>
      <c r="AR30" s="617">
        <v>65.797351535395848</v>
      </c>
      <c r="AS30" s="617">
        <v>100</v>
      </c>
      <c r="AT30" s="617">
        <v>35.816762346899246</v>
      </c>
      <c r="AU30" s="617">
        <v>25.109714329487705</v>
      </c>
      <c r="AV30" s="637">
        <v>226.7238282117828</v>
      </c>
      <c r="AW30" s="611">
        <v>2006</v>
      </c>
      <c r="AX30" s="617">
        <v>70.749839313257453</v>
      </c>
      <c r="AY30" s="617">
        <v>100</v>
      </c>
      <c r="AZ30" s="617">
        <v>36.479936189014701</v>
      </c>
      <c r="BA30" s="617">
        <v>24.855601149637284</v>
      </c>
      <c r="BB30" s="637">
        <v>232.08537665190943</v>
      </c>
      <c r="BC30" s="617">
        <v>69.65312307061491</v>
      </c>
      <c r="BD30" s="617">
        <v>100</v>
      </c>
      <c r="BE30" s="617">
        <v>32.305680063114302</v>
      </c>
      <c r="BF30" s="617">
        <v>27.81118772357302</v>
      </c>
      <c r="BG30" s="617">
        <v>229.76999085730225</v>
      </c>
    </row>
    <row r="31" spans="1:59" s="611" customFormat="1" ht="15.75" customHeight="1">
      <c r="A31" s="611">
        <v>2007</v>
      </c>
      <c r="B31" s="636">
        <v>69.474984810839487</v>
      </c>
      <c r="C31" s="617">
        <v>100</v>
      </c>
      <c r="D31" s="617">
        <v>34.14663585942408</v>
      </c>
      <c r="E31" s="617">
        <v>27.297649209606405</v>
      </c>
      <c r="F31" s="637">
        <v>230.91926987986994</v>
      </c>
      <c r="G31" s="617">
        <v>70.870632470935803</v>
      </c>
      <c r="H31" s="617">
        <v>100</v>
      </c>
      <c r="I31" s="617">
        <v>32.230180364231479</v>
      </c>
      <c r="J31" s="617">
        <v>30.929797641687351</v>
      </c>
      <c r="K31" s="637">
        <v>234.0306104768546</v>
      </c>
      <c r="L31" s="617">
        <v>68.169743994325458</v>
      </c>
      <c r="M31" s="617">
        <v>100</v>
      </c>
      <c r="N31" s="617">
        <v>35.34531848463542</v>
      </c>
      <c r="O31" s="617">
        <v>28.56450083598121</v>
      </c>
      <c r="P31" s="637">
        <v>232.07956331494211</v>
      </c>
      <c r="Q31" s="611">
        <v>2007</v>
      </c>
      <c r="R31" s="617">
        <v>69.460693272237265</v>
      </c>
      <c r="S31" s="617">
        <v>100</v>
      </c>
      <c r="T31" s="617">
        <v>32.526450364797697</v>
      </c>
      <c r="U31" s="617">
        <v>29.527973036800837</v>
      </c>
      <c r="V31" s="637">
        <v>231.51511667383582</v>
      </c>
      <c r="W31" s="617">
        <v>69.462854536796712</v>
      </c>
      <c r="X31" s="617">
        <v>100</v>
      </c>
      <c r="Y31" s="617">
        <v>32.288680063519287</v>
      </c>
      <c r="Z31" s="617">
        <v>29.551652213570485</v>
      </c>
      <c r="AA31" s="637">
        <v>231.3031868138865</v>
      </c>
      <c r="AB31" s="617">
        <v>69.639292647223911</v>
      </c>
      <c r="AC31" s="617">
        <v>100</v>
      </c>
      <c r="AD31" s="617">
        <v>32.463627122604791</v>
      </c>
      <c r="AE31" s="617">
        <v>28.835059551165585</v>
      </c>
      <c r="AF31" s="637">
        <v>230.93797932099429</v>
      </c>
      <c r="AG31" s="611">
        <v>2007</v>
      </c>
      <c r="AH31" s="617">
        <v>69.28209683202536</v>
      </c>
      <c r="AI31" s="617">
        <v>100</v>
      </c>
      <c r="AJ31" s="617">
        <v>35.527615203053436</v>
      </c>
      <c r="AK31" s="617">
        <v>26.469785632493931</v>
      </c>
      <c r="AL31" s="637">
        <v>231.27949766757274</v>
      </c>
      <c r="AM31" s="617">
        <v>67.174029247007681</v>
      </c>
      <c r="AN31" s="617">
        <v>100</v>
      </c>
      <c r="AO31" s="617">
        <v>36.495390088254894</v>
      </c>
      <c r="AP31" s="617">
        <v>26.004601368345735</v>
      </c>
      <c r="AQ31" s="637">
        <v>229.67402070360833</v>
      </c>
      <c r="AR31" s="617">
        <v>65.965546854458395</v>
      </c>
      <c r="AS31" s="617">
        <v>100</v>
      </c>
      <c r="AT31" s="617">
        <v>35.525288871970645</v>
      </c>
      <c r="AU31" s="617">
        <v>25.590323286915261</v>
      </c>
      <c r="AV31" s="637">
        <v>227.08115901334432</v>
      </c>
      <c r="AW31" s="611">
        <v>2007</v>
      </c>
      <c r="AX31" s="617">
        <v>71.051652422601364</v>
      </c>
      <c r="AY31" s="617">
        <v>100</v>
      </c>
      <c r="AZ31" s="617">
        <v>35.807722273621586</v>
      </c>
      <c r="BA31" s="617">
        <v>25.21810201922116</v>
      </c>
      <c r="BB31" s="637">
        <v>232.07747671544411</v>
      </c>
      <c r="BC31" s="617">
        <v>69.766003222548932</v>
      </c>
      <c r="BD31" s="617">
        <v>100</v>
      </c>
      <c r="BE31" s="617">
        <v>31.829994738269257</v>
      </c>
      <c r="BF31" s="617">
        <v>28.217583311057648</v>
      </c>
      <c r="BG31" s="617">
        <v>229.81358127187582</v>
      </c>
    </row>
    <row r="32" spans="1:59" s="611" customFormat="1" ht="15.75" customHeight="1">
      <c r="A32" s="611">
        <v>2008</v>
      </c>
      <c r="B32" s="636">
        <v>69.493284543127302</v>
      </c>
      <c r="C32" s="617">
        <v>100</v>
      </c>
      <c r="D32" s="617">
        <v>33.720744207048881</v>
      </c>
      <c r="E32" s="617">
        <v>27.717441025891006</v>
      </c>
      <c r="F32" s="637">
        <v>230.93146977606716</v>
      </c>
      <c r="G32" s="617">
        <v>70.586910526222212</v>
      </c>
      <c r="H32" s="617">
        <v>100</v>
      </c>
      <c r="I32" s="617">
        <v>31.894282311179285</v>
      </c>
      <c r="J32" s="617">
        <v>31.376569806378203</v>
      </c>
      <c r="K32" s="637">
        <v>233.85776264377969</v>
      </c>
      <c r="L32" s="617">
        <v>68.21813751836325</v>
      </c>
      <c r="M32" s="617">
        <v>100</v>
      </c>
      <c r="N32" s="617">
        <v>34.88941979539068</v>
      </c>
      <c r="O32" s="617">
        <v>29.159769250062705</v>
      </c>
      <c r="P32" s="637">
        <v>232.26732656381665</v>
      </c>
      <c r="Q32" s="611">
        <v>2008</v>
      </c>
      <c r="R32" s="617">
        <v>69.360450158368891</v>
      </c>
      <c r="S32" s="617">
        <v>100</v>
      </c>
      <c r="T32" s="617">
        <v>32.074422029688641</v>
      </c>
      <c r="U32" s="617">
        <v>30.070233160428167</v>
      </c>
      <c r="V32" s="637">
        <v>231.5051053484857</v>
      </c>
      <c r="W32" s="617">
        <v>69.359701808269364</v>
      </c>
      <c r="X32" s="617">
        <v>100</v>
      </c>
      <c r="Y32" s="617">
        <v>31.866592651106892</v>
      </c>
      <c r="Z32" s="617">
        <v>30.077573764697373</v>
      </c>
      <c r="AA32" s="637">
        <v>231.30386822407363</v>
      </c>
      <c r="AB32" s="617">
        <v>69.500119463338677</v>
      </c>
      <c r="AC32" s="617">
        <v>100</v>
      </c>
      <c r="AD32" s="617">
        <v>32.091464202141609</v>
      </c>
      <c r="AE32" s="617">
        <v>29.148641807627385</v>
      </c>
      <c r="AF32" s="637">
        <v>230.74022547310767</v>
      </c>
      <c r="AG32" s="611">
        <v>2008</v>
      </c>
      <c r="AH32" s="617">
        <v>69.347757788117619</v>
      </c>
      <c r="AI32" s="617">
        <v>100</v>
      </c>
      <c r="AJ32" s="617">
        <v>35.043760375258444</v>
      </c>
      <c r="AK32" s="617">
        <v>27.001978070871708</v>
      </c>
      <c r="AL32" s="637">
        <v>231.39349623424778</v>
      </c>
      <c r="AM32" s="617">
        <v>67.234306940507679</v>
      </c>
      <c r="AN32" s="617">
        <v>100</v>
      </c>
      <c r="AO32" s="617">
        <v>36.240605757170499</v>
      </c>
      <c r="AP32" s="617">
        <v>26.339238683486005</v>
      </c>
      <c r="AQ32" s="637">
        <v>229.81415138116418</v>
      </c>
      <c r="AR32" s="617">
        <v>66.124806666456237</v>
      </c>
      <c r="AS32" s="617">
        <v>100</v>
      </c>
      <c r="AT32" s="617">
        <v>35.25495287828614</v>
      </c>
      <c r="AU32" s="617">
        <v>26.001882042864811</v>
      </c>
      <c r="AV32" s="637">
        <v>227.38164158760719</v>
      </c>
      <c r="AW32" s="611">
        <v>2008</v>
      </c>
      <c r="AX32" s="617">
        <v>71.181444738264361</v>
      </c>
      <c r="AY32" s="617">
        <v>100</v>
      </c>
      <c r="AZ32" s="617">
        <v>35.386595582631941</v>
      </c>
      <c r="BA32" s="617">
        <v>25.527490601830877</v>
      </c>
      <c r="BB32" s="637">
        <v>232.09553092272716</v>
      </c>
      <c r="BC32" s="617">
        <v>69.853143120446362</v>
      </c>
      <c r="BD32" s="617">
        <v>100</v>
      </c>
      <c r="BE32" s="617">
        <v>31.368008859000959</v>
      </c>
      <c r="BF32" s="617">
        <v>28.587683000825759</v>
      </c>
      <c r="BG32" s="617">
        <v>229.80883498027308</v>
      </c>
    </row>
    <row r="33" spans="1:59" s="611" customFormat="1" ht="15.75" customHeight="1">
      <c r="A33" s="611">
        <v>2009</v>
      </c>
      <c r="B33" s="636">
        <v>69.465988085948766</v>
      </c>
      <c r="C33" s="617">
        <v>100</v>
      </c>
      <c r="D33" s="617">
        <v>33.321590648479827</v>
      </c>
      <c r="E33" s="617">
        <v>28.07194053270884</v>
      </c>
      <c r="F33" s="637">
        <v>230.85951926713744</v>
      </c>
      <c r="G33" s="617">
        <v>70.315836290178154</v>
      </c>
      <c r="H33" s="617">
        <v>100</v>
      </c>
      <c r="I33" s="617">
        <v>31.484716906313544</v>
      </c>
      <c r="J33" s="617">
        <v>31.792428509297583</v>
      </c>
      <c r="K33" s="637">
        <v>233.59298170578927</v>
      </c>
      <c r="L33" s="617">
        <v>68.188551138578418</v>
      </c>
      <c r="M33" s="617">
        <v>100</v>
      </c>
      <c r="N33" s="617">
        <v>34.356625885090487</v>
      </c>
      <c r="O33" s="617">
        <v>29.64131058775169</v>
      </c>
      <c r="P33" s="637">
        <v>232.1864876114206</v>
      </c>
      <c r="Q33" s="611">
        <v>2009</v>
      </c>
      <c r="R33" s="617">
        <v>69.249002261682165</v>
      </c>
      <c r="S33" s="617">
        <v>100</v>
      </c>
      <c r="T33" s="617">
        <v>31.610175900435092</v>
      </c>
      <c r="U33" s="617">
        <v>30.511732210016994</v>
      </c>
      <c r="V33" s="637">
        <v>231.37091037213423</v>
      </c>
      <c r="W33" s="617">
        <v>69.226662965552947</v>
      </c>
      <c r="X33" s="617">
        <v>100</v>
      </c>
      <c r="Y33" s="617">
        <v>31.458618899293302</v>
      </c>
      <c r="Z33" s="617">
        <v>30.510166496735724</v>
      </c>
      <c r="AA33" s="637">
        <v>231.19544836158198</v>
      </c>
      <c r="AB33" s="617">
        <v>69.289813941801583</v>
      </c>
      <c r="AC33" s="617">
        <v>100</v>
      </c>
      <c r="AD33" s="617">
        <v>31.700942965813567</v>
      </c>
      <c r="AE33" s="617">
        <v>29.354627030933823</v>
      </c>
      <c r="AF33" s="637">
        <v>230.34538393854896</v>
      </c>
      <c r="AG33" s="611">
        <v>2009</v>
      </c>
      <c r="AH33" s="617">
        <v>69.374767506831276</v>
      </c>
      <c r="AI33" s="617">
        <v>100</v>
      </c>
      <c r="AJ33" s="617">
        <v>34.661789795280178</v>
      </c>
      <c r="AK33" s="617">
        <v>27.506823626663806</v>
      </c>
      <c r="AL33" s="637">
        <v>231.54338092877529</v>
      </c>
      <c r="AM33" s="617">
        <v>67.310559036768936</v>
      </c>
      <c r="AN33" s="617">
        <v>100</v>
      </c>
      <c r="AO33" s="617">
        <v>36.022405800656379</v>
      </c>
      <c r="AP33" s="617">
        <v>26.588562123122895</v>
      </c>
      <c r="AQ33" s="637">
        <v>229.92152696054822</v>
      </c>
      <c r="AR33" s="617">
        <v>66.319802084102591</v>
      </c>
      <c r="AS33" s="617">
        <v>100</v>
      </c>
      <c r="AT33" s="617">
        <v>34.985348606465159</v>
      </c>
      <c r="AU33" s="617">
        <v>26.282644268329179</v>
      </c>
      <c r="AV33" s="637">
        <v>227.58779495889695</v>
      </c>
      <c r="AW33" s="611">
        <v>2009</v>
      </c>
      <c r="AX33" s="617">
        <v>71.237259387883981</v>
      </c>
      <c r="AY33" s="617">
        <v>100</v>
      </c>
      <c r="AZ33" s="617">
        <v>34.953567723069277</v>
      </c>
      <c r="BA33" s="617">
        <v>25.796637301123315</v>
      </c>
      <c r="BB33" s="637">
        <v>231.98746441207658</v>
      </c>
      <c r="BC33" s="617">
        <v>69.889751612674686</v>
      </c>
      <c r="BD33" s="617">
        <v>100</v>
      </c>
      <c r="BE33" s="617">
        <v>30.862017315273054</v>
      </c>
      <c r="BF33" s="617">
        <v>28.861406383259215</v>
      </c>
      <c r="BG33" s="617">
        <v>229.61317531120693</v>
      </c>
    </row>
    <row r="34" spans="1:59" s="611" customFormat="1" ht="15.75" customHeight="1">
      <c r="A34" s="611">
        <v>2010</v>
      </c>
      <c r="B34" s="636">
        <v>69.402952649806721</v>
      </c>
      <c r="C34" s="617">
        <v>100</v>
      </c>
      <c r="D34" s="617">
        <v>32.933536404891676</v>
      </c>
      <c r="E34" s="617">
        <v>28.348005813874401</v>
      </c>
      <c r="F34" s="637">
        <v>230.68449486857278</v>
      </c>
      <c r="G34" s="617">
        <v>69.999941146351361</v>
      </c>
      <c r="H34" s="617">
        <v>100</v>
      </c>
      <c r="I34" s="617">
        <v>31.009831532043453</v>
      </c>
      <c r="J34" s="617">
        <v>32.144097273310457</v>
      </c>
      <c r="K34" s="637">
        <v>233.15386995170527</v>
      </c>
      <c r="L34" s="617">
        <v>68.16105042666554</v>
      </c>
      <c r="M34" s="617">
        <v>100</v>
      </c>
      <c r="N34" s="617">
        <v>33.63197681352959</v>
      </c>
      <c r="O34" s="617">
        <v>30.244049878396805</v>
      </c>
      <c r="P34" s="637">
        <v>232.03707711859195</v>
      </c>
      <c r="Q34" s="611">
        <v>2010</v>
      </c>
      <c r="R34" s="617">
        <v>69.121575883867052</v>
      </c>
      <c r="S34" s="617">
        <v>100</v>
      </c>
      <c r="T34" s="617">
        <v>31.057274991298648</v>
      </c>
      <c r="U34" s="617">
        <v>30.827920458861801</v>
      </c>
      <c r="V34" s="637">
        <v>231.00677133402749</v>
      </c>
      <c r="W34" s="617">
        <v>69.060398667118932</v>
      </c>
      <c r="X34" s="617">
        <v>100</v>
      </c>
      <c r="Y34" s="617">
        <v>30.972937392337194</v>
      </c>
      <c r="Z34" s="617">
        <v>30.879608383050329</v>
      </c>
      <c r="AA34" s="637">
        <v>230.91294444250647</v>
      </c>
      <c r="AB34" s="617">
        <v>69.037689498727445</v>
      </c>
      <c r="AC34" s="617">
        <v>100</v>
      </c>
      <c r="AD34" s="617">
        <v>31.257946003332311</v>
      </c>
      <c r="AE34" s="617">
        <v>29.472043503691175</v>
      </c>
      <c r="AF34" s="637">
        <v>229.76767900575092</v>
      </c>
      <c r="AG34" s="611">
        <v>2010</v>
      </c>
      <c r="AH34" s="617">
        <v>69.421869463517623</v>
      </c>
      <c r="AI34" s="617">
        <v>100</v>
      </c>
      <c r="AJ34" s="617">
        <v>34.247947464474159</v>
      </c>
      <c r="AK34" s="617">
        <v>27.921103453746888</v>
      </c>
      <c r="AL34" s="637">
        <v>231.59092038173867</v>
      </c>
      <c r="AM34" s="617">
        <v>67.361900321512181</v>
      </c>
      <c r="AN34" s="617">
        <v>100</v>
      </c>
      <c r="AO34" s="617">
        <v>35.722846924937642</v>
      </c>
      <c r="AP34" s="617">
        <v>26.750347252576468</v>
      </c>
      <c r="AQ34" s="637">
        <v>229.83509449902627</v>
      </c>
      <c r="AR34" s="617">
        <v>66.425916822714143</v>
      </c>
      <c r="AS34" s="617">
        <v>100</v>
      </c>
      <c r="AT34" s="617">
        <v>34.699955068697889</v>
      </c>
      <c r="AU34" s="617">
        <v>26.436226475724496</v>
      </c>
      <c r="AV34" s="637">
        <v>227.56209836713651</v>
      </c>
      <c r="AW34" s="611">
        <v>2010</v>
      </c>
      <c r="AX34" s="617">
        <v>71.086815019621355</v>
      </c>
      <c r="AY34" s="617">
        <v>100</v>
      </c>
      <c r="AZ34" s="617">
        <v>34.874281830295928</v>
      </c>
      <c r="BA34" s="617">
        <v>26.058212078326321</v>
      </c>
      <c r="BB34" s="637">
        <v>232.01930892824362</v>
      </c>
      <c r="BC34" s="617">
        <v>69.891612373536731</v>
      </c>
      <c r="BD34" s="617">
        <v>100</v>
      </c>
      <c r="BE34" s="617">
        <v>30.425087229203211</v>
      </c>
      <c r="BF34" s="617">
        <v>29.056380987693558</v>
      </c>
      <c r="BG34" s="617">
        <v>229.37308059043349</v>
      </c>
    </row>
    <row r="35" spans="1:59">
      <c r="A35" s="611" t="s">
        <v>1499</v>
      </c>
      <c r="B35" s="611"/>
      <c r="C35" s="611"/>
      <c r="D35" s="611"/>
      <c r="E35" s="611"/>
      <c r="F35" s="611"/>
      <c r="G35" s="611"/>
      <c r="H35" s="611"/>
      <c r="I35" s="611"/>
      <c r="J35" s="611"/>
      <c r="K35" s="611"/>
      <c r="L35" s="611"/>
      <c r="Q35" s="611" t="s">
        <v>1499</v>
      </c>
      <c r="AG35" s="611" t="s">
        <v>1499</v>
      </c>
      <c r="AW35" s="611" t="s">
        <v>1499</v>
      </c>
    </row>
    <row r="36" spans="1:59">
      <c r="A36" s="611" t="s">
        <v>1498</v>
      </c>
      <c r="B36" s="615">
        <f>B34-B5</f>
        <v>1.2711157760704452</v>
      </c>
      <c r="C36" s="615">
        <f t="shared" ref="C36:L36" si="0">C34-C5</f>
        <v>0</v>
      </c>
      <c r="D36" s="615">
        <f t="shared" si="0"/>
        <v>-12.336612247508477</v>
      </c>
      <c r="E36" s="615">
        <f t="shared" si="0"/>
        <v>9.4483117577102291</v>
      </c>
      <c r="F36" s="615">
        <f t="shared" si="0"/>
        <v>-1.6171847137278519</v>
      </c>
      <c r="G36" s="615">
        <f t="shared" si="0"/>
        <v>6.8750085022792078</v>
      </c>
      <c r="H36" s="615">
        <f t="shared" si="0"/>
        <v>0</v>
      </c>
      <c r="I36" s="615">
        <f t="shared" si="0"/>
        <v>-18.746825302679309</v>
      </c>
      <c r="J36" s="615">
        <f t="shared" si="0"/>
        <v>16.954162247880337</v>
      </c>
      <c r="K36" s="615">
        <f t="shared" si="0"/>
        <v>5.0823454474802361</v>
      </c>
      <c r="L36" s="615">
        <f t="shared" si="0"/>
        <v>4.9782352329398663</v>
      </c>
      <c r="M36" s="615">
        <f t="shared" ref="M36:R36" si="1">M34-M5</f>
        <v>0</v>
      </c>
      <c r="N36" s="615">
        <f t="shared" si="1"/>
        <v>-14.06754825940552</v>
      </c>
      <c r="O36" s="615">
        <f t="shared" si="1"/>
        <v>12.825332101932027</v>
      </c>
      <c r="P36" s="615">
        <f t="shared" si="1"/>
        <v>3.7360190754664018</v>
      </c>
      <c r="Q36" s="611" t="s">
        <v>1498</v>
      </c>
      <c r="R36" s="615">
        <f t="shared" si="1"/>
        <v>3.2731613277527458</v>
      </c>
      <c r="S36" s="615">
        <f t="shared" ref="S36:BG36" si="2">S34-S5</f>
        <v>0</v>
      </c>
      <c r="T36" s="615">
        <f t="shared" si="2"/>
        <v>-16.398647940555186</v>
      </c>
      <c r="U36" s="615">
        <f t="shared" si="2"/>
        <v>12.528668290990858</v>
      </c>
      <c r="V36" s="615">
        <f t="shared" si="2"/>
        <v>-0.59681832181161099</v>
      </c>
      <c r="W36" s="615">
        <f t="shared" si="2"/>
        <v>3.8290549398562348</v>
      </c>
      <c r="X36" s="615">
        <f t="shared" si="2"/>
        <v>0</v>
      </c>
      <c r="Y36" s="615">
        <f t="shared" si="2"/>
        <v>-16.175994677249051</v>
      </c>
      <c r="Z36" s="615">
        <f t="shared" si="2"/>
        <v>13.538383816987913</v>
      </c>
      <c r="AA36" s="615">
        <f t="shared" si="2"/>
        <v>1.1914440795951293</v>
      </c>
      <c r="AB36" s="615">
        <f t="shared" si="2"/>
        <v>-0.70997542159659588</v>
      </c>
      <c r="AC36" s="615">
        <f t="shared" si="2"/>
        <v>0</v>
      </c>
      <c r="AD36" s="615">
        <f t="shared" si="2"/>
        <v>-15.726539991118965</v>
      </c>
      <c r="AE36" s="615">
        <f t="shared" si="2"/>
        <v>10.352990142464012</v>
      </c>
      <c r="AF36" s="615">
        <f t="shared" si="2"/>
        <v>-6.0835252702515845</v>
      </c>
      <c r="AG36" s="611" t="s">
        <v>1498</v>
      </c>
      <c r="AH36" s="615">
        <f t="shared" si="2"/>
        <v>0.95408482738574207</v>
      </c>
      <c r="AI36" s="615">
        <f t="shared" si="2"/>
        <v>0</v>
      </c>
      <c r="AJ36" s="615">
        <f t="shared" si="2"/>
        <v>-11.417549269835689</v>
      </c>
      <c r="AK36" s="615">
        <f t="shared" si="2"/>
        <v>8.0009941881147917</v>
      </c>
      <c r="AL36" s="615">
        <f t="shared" si="2"/>
        <v>-2.4624702543351589</v>
      </c>
      <c r="AM36" s="615">
        <f t="shared" si="2"/>
        <v>2.2387043232697152</v>
      </c>
      <c r="AN36" s="615">
        <f t="shared" si="2"/>
        <v>0</v>
      </c>
      <c r="AO36" s="615">
        <f t="shared" si="2"/>
        <v>-7.9710035867527438</v>
      </c>
      <c r="AP36" s="615">
        <f t="shared" si="2"/>
        <v>7.6097015056509356</v>
      </c>
      <c r="AQ36" s="615">
        <f t="shared" si="2"/>
        <v>1.8774022421678751</v>
      </c>
      <c r="AR36" s="615">
        <f t="shared" si="2"/>
        <v>2.904084075078714</v>
      </c>
      <c r="AS36" s="615">
        <f t="shared" si="2"/>
        <v>0</v>
      </c>
      <c r="AT36" s="615">
        <f t="shared" si="2"/>
        <v>-9.7886418993586375</v>
      </c>
      <c r="AU36" s="615">
        <f t="shared" si="2"/>
        <v>7.5553347801316306</v>
      </c>
      <c r="AV36" s="615">
        <f t="shared" si="2"/>
        <v>0.67077695585169295</v>
      </c>
      <c r="AW36" s="611" t="s">
        <v>1498</v>
      </c>
      <c r="AX36" s="615">
        <f t="shared" si="2"/>
        <v>2.2235508465414853</v>
      </c>
      <c r="AY36" s="615">
        <f t="shared" si="2"/>
        <v>0</v>
      </c>
      <c r="AZ36" s="615">
        <f t="shared" si="2"/>
        <v>-8.5635323024931438</v>
      </c>
      <c r="BA36" s="615">
        <f t="shared" si="2"/>
        <v>10.228158095617548</v>
      </c>
      <c r="BB36" s="615">
        <f t="shared" si="2"/>
        <v>3.8881766396659145</v>
      </c>
      <c r="BC36" s="615">
        <f t="shared" si="2"/>
        <v>1.7328836299553103</v>
      </c>
      <c r="BD36" s="615">
        <f t="shared" si="2"/>
        <v>0</v>
      </c>
      <c r="BE36" s="615">
        <f t="shared" si="2"/>
        <v>-9.4693749817453998</v>
      </c>
      <c r="BF36" s="615">
        <f t="shared" si="2"/>
        <v>9.8657965383385466</v>
      </c>
      <c r="BG36" s="615">
        <f t="shared" si="2"/>
        <v>2.1293051865484358</v>
      </c>
    </row>
    <row r="37" spans="1:59">
      <c r="A37" s="611" t="s">
        <v>1472</v>
      </c>
      <c r="B37" s="615">
        <f>B13-B5</f>
        <v>3.686309126325682E-2</v>
      </c>
      <c r="C37" s="615">
        <f t="shared" ref="C37:L37" si="3">C13-C5</f>
        <v>0</v>
      </c>
      <c r="D37" s="615">
        <f t="shared" si="3"/>
        <v>-3.906292528556925</v>
      </c>
      <c r="E37" s="615">
        <f t="shared" si="3"/>
        <v>0.22299861054015935</v>
      </c>
      <c r="F37" s="615">
        <f t="shared" si="3"/>
        <v>-3.6464308267535728</v>
      </c>
      <c r="G37" s="615">
        <f t="shared" si="3"/>
        <v>4.0777953019378188</v>
      </c>
      <c r="H37" s="615">
        <f t="shared" si="3"/>
        <v>0</v>
      </c>
      <c r="I37" s="615">
        <f t="shared" si="3"/>
        <v>-4.1747575436980497</v>
      </c>
      <c r="J37" s="615">
        <f t="shared" si="3"/>
        <v>1.2868380614260282</v>
      </c>
      <c r="K37" s="615">
        <f t="shared" si="3"/>
        <v>1.189875819665815</v>
      </c>
      <c r="L37" s="615">
        <f t="shared" si="3"/>
        <v>1.1407117322767988</v>
      </c>
      <c r="M37" s="615">
        <f t="shared" ref="M37:R37" si="4">M13-M5</f>
        <v>0</v>
      </c>
      <c r="N37" s="615">
        <f t="shared" si="4"/>
        <v>-4.8817930360330877</v>
      </c>
      <c r="O37" s="615">
        <f t="shared" si="4"/>
        <v>0.23588872511413328</v>
      </c>
      <c r="P37" s="615">
        <f t="shared" si="4"/>
        <v>-3.5051925786421521</v>
      </c>
      <c r="Q37" s="611" t="s">
        <v>1472</v>
      </c>
      <c r="R37" s="615">
        <f t="shared" si="4"/>
        <v>1.3152790581386427</v>
      </c>
      <c r="S37" s="615">
        <f t="shared" ref="S37:BG37" si="5">S13-S5</f>
        <v>0</v>
      </c>
      <c r="T37" s="615">
        <f t="shared" si="5"/>
        <v>-4.4294487871964279</v>
      </c>
      <c r="U37" s="615">
        <f t="shared" si="5"/>
        <v>3.8486438808771339E-2</v>
      </c>
      <c r="V37" s="615">
        <f t="shared" si="5"/>
        <v>-3.0756832902490032</v>
      </c>
      <c r="W37" s="615">
        <f t="shared" si="5"/>
        <v>1.8383814502231672</v>
      </c>
      <c r="X37" s="615">
        <f t="shared" si="5"/>
        <v>0</v>
      </c>
      <c r="Y37" s="615">
        <f t="shared" si="5"/>
        <v>-5.1061889047003604</v>
      </c>
      <c r="Z37" s="615">
        <f t="shared" si="5"/>
        <v>0.56502046032071007</v>
      </c>
      <c r="AA37" s="615">
        <f t="shared" si="5"/>
        <v>-2.7027869941564973</v>
      </c>
      <c r="AB37" s="615">
        <f t="shared" si="5"/>
        <v>-0.21186717044851378</v>
      </c>
      <c r="AC37" s="615">
        <f t="shared" si="5"/>
        <v>0</v>
      </c>
      <c r="AD37" s="615">
        <f t="shared" si="5"/>
        <v>-5.5254419105873183</v>
      </c>
      <c r="AE37" s="615">
        <f t="shared" si="5"/>
        <v>1.0419602691346164</v>
      </c>
      <c r="AF37" s="615">
        <f t="shared" si="5"/>
        <v>-4.6953488119012547</v>
      </c>
      <c r="AG37" s="611" t="s">
        <v>1472</v>
      </c>
      <c r="AH37" s="615">
        <f t="shared" si="5"/>
        <v>0.2749386608486617</v>
      </c>
      <c r="AI37" s="615">
        <f t="shared" si="5"/>
        <v>0</v>
      </c>
      <c r="AJ37" s="615">
        <f t="shared" si="5"/>
        <v>-4.4503629604225523</v>
      </c>
      <c r="AK37" s="615">
        <f t="shared" si="5"/>
        <v>-0.42273687115325842</v>
      </c>
      <c r="AL37" s="615">
        <f t="shared" si="5"/>
        <v>-4.5981611707271384</v>
      </c>
      <c r="AM37" s="615">
        <f t="shared" si="5"/>
        <v>7.100289463920717E-3</v>
      </c>
      <c r="AN37" s="615">
        <f t="shared" si="5"/>
        <v>0</v>
      </c>
      <c r="AO37" s="615">
        <f t="shared" si="5"/>
        <v>-3.2070798393235336</v>
      </c>
      <c r="AP37" s="615">
        <f t="shared" si="5"/>
        <v>-1.0881503492419107</v>
      </c>
      <c r="AQ37" s="615">
        <f t="shared" si="5"/>
        <v>-4.2881298991015342</v>
      </c>
      <c r="AR37" s="615">
        <f t="shared" si="5"/>
        <v>-0.96320981875003042</v>
      </c>
      <c r="AS37" s="615">
        <f t="shared" si="5"/>
        <v>0</v>
      </c>
      <c r="AT37" s="615">
        <f t="shared" si="5"/>
        <v>-1.1964658823070522</v>
      </c>
      <c r="AU37" s="615">
        <f t="shared" si="5"/>
        <v>-1.3522313245456523</v>
      </c>
      <c r="AV37" s="615">
        <f t="shared" si="5"/>
        <v>-3.5119070256027385</v>
      </c>
      <c r="AW37" s="611" t="s">
        <v>1472</v>
      </c>
      <c r="AX37" s="615">
        <f t="shared" si="5"/>
        <v>-1.038661689415818</v>
      </c>
      <c r="AY37" s="615">
        <f t="shared" si="5"/>
        <v>0</v>
      </c>
      <c r="AZ37" s="615">
        <f t="shared" si="5"/>
        <v>-0.58089839001726062</v>
      </c>
      <c r="BA37" s="615">
        <f t="shared" si="5"/>
        <v>0.96011543079827888</v>
      </c>
      <c r="BB37" s="615">
        <f t="shared" si="5"/>
        <v>-0.65944464863480334</v>
      </c>
      <c r="BC37" s="615">
        <f t="shared" si="5"/>
        <v>-0.76816496346270924</v>
      </c>
      <c r="BD37" s="615">
        <f t="shared" si="5"/>
        <v>0</v>
      </c>
      <c r="BE37" s="615">
        <f t="shared" si="5"/>
        <v>-1.3765900581058901</v>
      </c>
      <c r="BF37" s="615">
        <f t="shared" si="5"/>
        <v>0.40343755754267363</v>
      </c>
      <c r="BG37" s="615">
        <f t="shared" si="5"/>
        <v>-1.7413174640259115</v>
      </c>
    </row>
    <row r="38" spans="1:59">
      <c r="A38" s="611" t="s">
        <v>1473</v>
      </c>
      <c r="B38" s="615">
        <f>B24-B13</f>
        <v>0.10493406619346501</v>
      </c>
      <c r="C38" s="615">
        <f t="shared" ref="C38:L38" si="6">C24-C13</f>
        <v>0</v>
      </c>
      <c r="D38" s="615">
        <f t="shared" si="6"/>
        <v>-4.3705061238432279</v>
      </c>
      <c r="E38" s="615">
        <f t="shared" si="6"/>
        <v>4.2414345676811642</v>
      </c>
      <c r="F38" s="615">
        <f t="shared" si="6"/>
        <v>-2.4137489968552472E-2</v>
      </c>
      <c r="G38" s="615">
        <f t="shared" si="6"/>
        <v>3.3474589978462603</v>
      </c>
      <c r="H38" s="615">
        <f t="shared" si="6"/>
        <v>0</v>
      </c>
      <c r="I38" s="615">
        <f t="shared" si="6"/>
        <v>-8.0383992910247102</v>
      </c>
      <c r="J38" s="615">
        <f t="shared" si="6"/>
        <v>8.8714500941820233</v>
      </c>
      <c r="K38" s="615">
        <f t="shared" si="6"/>
        <v>4.1805098010035522</v>
      </c>
      <c r="L38" s="615">
        <f t="shared" si="6"/>
        <v>2.2053805261848254</v>
      </c>
      <c r="M38" s="615">
        <f t="shared" ref="M38:R38" si="7">M24-M13</f>
        <v>0</v>
      </c>
      <c r="N38" s="615">
        <f t="shared" si="7"/>
        <v>-4.4167820369020205</v>
      </c>
      <c r="O38" s="615">
        <f t="shared" si="7"/>
        <v>6.1806686504691584</v>
      </c>
      <c r="P38" s="615">
        <f t="shared" si="7"/>
        <v>3.9692671397519632</v>
      </c>
      <c r="Q38" s="611" t="s">
        <v>1473</v>
      </c>
      <c r="R38" s="615">
        <f t="shared" si="7"/>
        <v>1.0710108954978494</v>
      </c>
      <c r="S38" s="615">
        <f t="shared" ref="S38:BG38" si="8">S24-S13</f>
        <v>0</v>
      </c>
      <c r="T38" s="615">
        <f t="shared" si="8"/>
        <v>-7.8098741446574067</v>
      </c>
      <c r="U38" s="615">
        <f t="shared" si="8"/>
        <v>6.0873921196586309</v>
      </c>
      <c r="V38" s="615">
        <f t="shared" si="8"/>
        <v>-0.65147112950094765</v>
      </c>
      <c r="W38" s="615">
        <f t="shared" si="8"/>
        <v>1.8926034573085531</v>
      </c>
      <c r="X38" s="615">
        <f t="shared" si="8"/>
        <v>0</v>
      </c>
      <c r="Y38" s="615">
        <f t="shared" si="8"/>
        <v>-5.720693164885887</v>
      </c>
      <c r="Z38" s="615">
        <f t="shared" si="8"/>
        <v>6.5567584765355278</v>
      </c>
      <c r="AA38" s="615">
        <f t="shared" si="8"/>
        <v>2.7286687689581868</v>
      </c>
      <c r="AB38" s="615">
        <f t="shared" si="8"/>
        <v>-0.32601233741321778</v>
      </c>
      <c r="AC38" s="615">
        <f t="shared" si="8"/>
        <v>0</v>
      </c>
      <c r="AD38" s="615">
        <f t="shared" si="8"/>
        <v>-6.5253640838639555</v>
      </c>
      <c r="AE38" s="615">
        <f t="shared" si="8"/>
        <v>4.8001557453755339</v>
      </c>
      <c r="AF38" s="615">
        <f t="shared" si="8"/>
        <v>-2.0512206759016181</v>
      </c>
      <c r="AG38" s="611" t="s">
        <v>1473</v>
      </c>
      <c r="AH38" s="615">
        <f t="shared" si="8"/>
        <v>-0.88212067562987784</v>
      </c>
      <c r="AI38" s="615">
        <f t="shared" si="8"/>
        <v>0</v>
      </c>
      <c r="AJ38" s="615">
        <f t="shared" si="8"/>
        <v>-3.5066937738872994</v>
      </c>
      <c r="AK38" s="615">
        <f t="shared" si="8"/>
        <v>3.3145495898252406</v>
      </c>
      <c r="AL38" s="615">
        <f t="shared" si="8"/>
        <v>-1.0742648596919366</v>
      </c>
      <c r="AM38" s="615">
        <f t="shared" si="8"/>
        <v>0.2985797034137363</v>
      </c>
      <c r="AN38" s="615">
        <f t="shared" si="8"/>
        <v>0</v>
      </c>
      <c r="AO38" s="615">
        <f t="shared" si="8"/>
        <v>-1.2812206723668496</v>
      </c>
      <c r="AP38" s="615">
        <f t="shared" si="8"/>
        <v>3.9234605968880416</v>
      </c>
      <c r="AQ38" s="615">
        <f t="shared" si="8"/>
        <v>2.9408196279349283</v>
      </c>
      <c r="AR38" s="615">
        <f t="shared" si="8"/>
        <v>1.3465345547508889</v>
      </c>
      <c r="AS38" s="615">
        <f t="shared" si="8"/>
        <v>0</v>
      </c>
      <c r="AT38" s="615">
        <f t="shared" si="8"/>
        <v>-3.5617310857494786</v>
      </c>
      <c r="AU38" s="615">
        <f t="shared" si="8"/>
        <v>3.510776290607371</v>
      </c>
      <c r="AV38" s="615">
        <f t="shared" si="8"/>
        <v>1.2955797596087848</v>
      </c>
      <c r="AW38" s="611" t="s">
        <v>1473</v>
      </c>
      <c r="AX38" s="615">
        <f t="shared" si="8"/>
        <v>1.1525088785031556</v>
      </c>
      <c r="AY38" s="615">
        <f t="shared" si="8"/>
        <v>0</v>
      </c>
      <c r="AZ38" s="615">
        <f t="shared" si="8"/>
        <v>-3.6406957427718112</v>
      </c>
      <c r="BA38" s="615">
        <f t="shared" si="8"/>
        <v>4.4959442181510489</v>
      </c>
      <c r="BB38" s="615">
        <f t="shared" si="8"/>
        <v>2.007757353882397</v>
      </c>
      <c r="BC38" s="615">
        <f t="shared" si="8"/>
        <v>1.3963337226231545</v>
      </c>
      <c r="BD38" s="615">
        <f t="shared" si="8"/>
        <v>0</v>
      </c>
      <c r="BE38" s="615">
        <f t="shared" si="8"/>
        <v>-2.4291721528427175</v>
      </c>
      <c r="BF38" s="615">
        <f t="shared" si="8"/>
        <v>4.3698275386840244</v>
      </c>
      <c r="BG38" s="615">
        <f t="shared" si="8"/>
        <v>3.3369891084644223</v>
      </c>
    </row>
    <row r="39" spans="1:59">
      <c r="A39" s="611" t="s">
        <v>1474</v>
      </c>
      <c r="B39" s="615">
        <f>B32-B24</f>
        <v>1.2196505119343044</v>
      </c>
      <c r="C39" s="615">
        <f t="shared" ref="C39:L39" si="9">C32-C24</f>
        <v>0</v>
      </c>
      <c r="D39" s="615">
        <f t="shared" si="9"/>
        <v>-3.2726057929511185</v>
      </c>
      <c r="E39" s="615">
        <f t="shared" si="9"/>
        <v>4.35331379150551</v>
      </c>
      <c r="F39" s="615">
        <f t="shared" si="9"/>
        <v>2.3003585104886497</v>
      </c>
      <c r="G39" s="615">
        <f t="shared" si="9"/>
        <v>3.6723582365979723E-2</v>
      </c>
      <c r="H39" s="615">
        <f t="shared" si="9"/>
        <v>0</v>
      </c>
      <c r="I39" s="615">
        <f t="shared" si="9"/>
        <v>-5.6492176888207162</v>
      </c>
      <c r="J39" s="615">
        <f t="shared" si="9"/>
        <v>6.0283466253400313</v>
      </c>
      <c r="K39" s="615">
        <f t="shared" si="9"/>
        <v>0.41585251888528774</v>
      </c>
      <c r="L39" s="615">
        <f t="shared" si="9"/>
        <v>1.6892300661759521</v>
      </c>
      <c r="M39" s="615">
        <f t="shared" ref="M39:R39" si="10">M32-M24</f>
        <v>0</v>
      </c>
      <c r="N39" s="615">
        <f t="shared" si="10"/>
        <v>-3.511530204609322</v>
      </c>
      <c r="O39" s="615">
        <f t="shared" si="10"/>
        <v>5.324494098014636</v>
      </c>
      <c r="P39" s="615">
        <f t="shared" si="10"/>
        <v>3.502193959581291</v>
      </c>
      <c r="Q39" s="611" t="s">
        <v>1474</v>
      </c>
      <c r="R39" s="615">
        <f t="shared" si="10"/>
        <v>1.1257456486180928</v>
      </c>
      <c r="S39" s="615">
        <f t="shared" ref="S39:BG39" si="11">S32-S24</f>
        <v>0</v>
      </c>
      <c r="T39" s="615">
        <f t="shared" si="11"/>
        <v>-3.1421779703113586</v>
      </c>
      <c r="U39" s="615">
        <f t="shared" si="11"/>
        <v>5.6451024340898215</v>
      </c>
      <c r="V39" s="615">
        <f t="shared" si="11"/>
        <v>3.6286701123965486</v>
      </c>
      <c r="W39" s="615">
        <f t="shared" si="11"/>
        <v>0.39737317347494638</v>
      </c>
      <c r="X39" s="615">
        <f t="shared" si="11"/>
        <v>0</v>
      </c>
      <c r="Y39" s="615">
        <f t="shared" si="11"/>
        <v>-4.4554573488931055</v>
      </c>
      <c r="Z39" s="615">
        <f t="shared" si="11"/>
        <v>5.6145702617787201</v>
      </c>
      <c r="AA39" s="615">
        <f t="shared" si="11"/>
        <v>1.5564860863605929</v>
      </c>
      <c r="AB39" s="615">
        <f t="shared" si="11"/>
        <v>0.29033405087636766</v>
      </c>
      <c r="AC39" s="615">
        <f t="shared" si="11"/>
        <v>0</v>
      </c>
      <c r="AD39" s="615">
        <f t="shared" si="11"/>
        <v>-2.842215797858394</v>
      </c>
      <c r="AE39" s="615">
        <f t="shared" si="11"/>
        <v>4.1874724318900718</v>
      </c>
      <c r="AF39" s="615">
        <f t="shared" si="11"/>
        <v>1.6355906849080384</v>
      </c>
      <c r="AG39" s="611" t="s">
        <v>1474</v>
      </c>
      <c r="AH39" s="615">
        <f t="shared" si="11"/>
        <v>1.4871551667669536</v>
      </c>
      <c r="AI39" s="615">
        <f t="shared" si="11"/>
        <v>0</v>
      </c>
      <c r="AJ39" s="615">
        <f t="shared" si="11"/>
        <v>-2.6646796247415523</v>
      </c>
      <c r="AK39" s="615">
        <f t="shared" si="11"/>
        <v>4.1900560865676297</v>
      </c>
      <c r="AL39" s="615">
        <f t="shared" si="11"/>
        <v>3.0125316285930239</v>
      </c>
      <c r="AM39" s="615">
        <f t="shared" si="11"/>
        <v>1.8054309493875564</v>
      </c>
      <c r="AN39" s="615">
        <f t="shared" si="11"/>
        <v>0</v>
      </c>
      <c r="AO39" s="615">
        <f t="shared" si="11"/>
        <v>-2.9649442428295032</v>
      </c>
      <c r="AP39" s="615">
        <f t="shared" si="11"/>
        <v>4.3632826889143423</v>
      </c>
      <c r="AQ39" s="615">
        <f t="shared" si="11"/>
        <v>3.203769395472392</v>
      </c>
      <c r="AR39" s="615">
        <f t="shared" si="11"/>
        <v>2.2196491828199498</v>
      </c>
      <c r="AS39" s="615">
        <f t="shared" si="11"/>
        <v>0</v>
      </c>
      <c r="AT39" s="615">
        <f t="shared" si="11"/>
        <v>-4.4754471217138558</v>
      </c>
      <c r="AU39" s="615">
        <f t="shared" si="11"/>
        <v>4.9624453812102267</v>
      </c>
      <c r="AV39" s="615">
        <f t="shared" si="11"/>
        <v>2.7066474423163243</v>
      </c>
      <c r="AW39" s="611" t="s">
        <v>1474</v>
      </c>
      <c r="AX39" s="615">
        <f t="shared" si="11"/>
        <v>2.2043333760971535</v>
      </c>
      <c r="AY39" s="615">
        <f t="shared" si="11"/>
        <v>0</v>
      </c>
      <c r="AZ39" s="615">
        <f t="shared" si="11"/>
        <v>-3.8296244173680591</v>
      </c>
      <c r="BA39" s="615">
        <f t="shared" si="11"/>
        <v>4.2413769701727766</v>
      </c>
      <c r="BB39" s="615">
        <f t="shared" si="11"/>
        <v>2.6160859289018674</v>
      </c>
      <c r="BC39" s="615">
        <f t="shared" si="11"/>
        <v>1.0662456177044959</v>
      </c>
      <c r="BD39" s="615">
        <f t="shared" si="11"/>
        <v>0</v>
      </c>
      <c r="BE39" s="615">
        <f t="shared" si="11"/>
        <v>-4.720691140999044</v>
      </c>
      <c r="BF39" s="615">
        <f t="shared" si="11"/>
        <v>4.6238334552440499</v>
      </c>
      <c r="BG39" s="615">
        <f t="shared" si="11"/>
        <v>0.96938793194951245</v>
      </c>
    </row>
    <row r="40" spans="1:59">
      <c r="A40" s="611" t="s">
        <v>1500</v>
      </c>
      <c r="B40" s="611"/>
      <c r="C40" s="611"/>
      <c r="D40" s="611"/>
      <c r="E40" s="611"/>
      <c r="F40" s="611"/>
      <c r="G40" s="611"/>
      <c r="H40" s="611"/>
      <c r="I40" s="611"/>
      <c r="J40" s="611"/>
      <c r="K40" s="611"/>
      <c r="L40" s="611"/>
      <c r="M40" s="611"/>
      <c r="N40" s="611"/>
      <c r="O40" s="611"/>
      <c r="P40" s="611"/>
      <c r="Q40" s="611" t="s">
        <v>1500</v>
      </c>
      <c r="R40" s="611"/>
      <c r="S40" s="611"/>
      <c r="T40" s="611"/>
      <c r="U40" s="611"/>
      <c r="V40" s="611"/>
      <c r="W40" s="611"/>
      <c r="X40" s="611"/>
      <c r="Y40" s="611"/>
      <c r="Z40" s="611"/>
      <c r="AA40" s="611"/>
      <c r="AB40" s="611"/>
      <c r="AC40" s="611"/>
      <c r="AD40" s="611"/>
      <c r="AE40" s="611"/>
      <c r="AF40" s="611"/>
      <c r="AG40" s="611" t="s">
        <v>1500</v>
      </c>
      <c r="AH40" s="611"/>
      <c r="AI40" s="611"/>
      <c r="AJ40" s="611"/>
      <c r="AK40" s="611"/>
      <c r="AL40" s="611"/>
      <c r="AM40" s="611"/>
      <c r="AN40" s="611"/>
      <c r="AO40" s="611"/>
      <c r="AP40" s="611"/>
      <c r="AQ40" s="611"/>
      <c r="AR40" s="611"/>
      <c r="AS40" s="611"/>
      <c r="AT40" s="611"/>
      <c r="AU40" s="611"/>
      <c r="AV40" s="611"/>
      <c r="AW40" s="611" t="s">
        <v>1500</v>
      </c>
      <c r="AX40" s="611"/>
      <c r="AY40" s="611"/>
      <c r="AZ40" s="611"/>
      <c r="BA40" s="611"/>
      <c r="BB40" s="611"/>
      <c r="BC40" s="611"/>
      <c r="BD40" s="611"/>
      <c r="BE40" s="611"/>
      <c r="BF40" s="611"/>
      <c r="BG40" s="611"/>
    </row>
    <row r="41" spans="1:59">
      <c r="A41" s="611" t="s">
        <v>1498</v>
      </c>
      <c r="B41" s="616">
        <f>100*(B34-B5)/B5</f>
        <v>1.8656707853424099</v>
      </c>
      <c r="C41" s="616">
        <f t="shared" ref="C41:L41" si="12">100*(C34-C5)/C5</f>
        <v>0</v>
      </c>
      <c r="D41" s="616">
        <f t="shared" si="12"/>
        <v>-27.251097278768064</v>
      </c>
      <c r="E41" s="616">
        <f t="shared" si="12"/>
        <v>49.991876744844149</v>
      </c>
      <c r="F41" s="616">
        <f t="shared" si="12"/>
        <v>-0.69615713353243758</v>
      </c>
      <c r="G41" s="616">
        <f t="shared" si="12"/>
        <v>10.891114198954819</v>
      </c>
      <c r="H41" s="616">
        <f t="shared" si="12"/>
        <v>0</v>
      </c>
      <c r="I41" s="616">
        <f t="shared" si="12"/>
        <v>-37.677019509069602</v>
      </c>
      <c r="J41" s="616">
        <f>100*(J34-J5)/J5</f>
        <v>111.6144487747752</v>
      </c>
      <c r="K41" s="616">
        <f t="shared" si="12"/>
        <v>2.2283998226118253</v>
      </c>
      <c r="L41" s="616">
        <f t="shared" si="12"/>
        <v>7.8790968994908388</v>
      </c>
      <c r="M41" s="616">
        <f t="shared" ref="M41:R41" si="13">100*(M34-M5)/M5</f>
        <v>0</v>
      </c>
      <c r="N41" s="616">
        <f t="shared" si="13"/>
        <v>-29.492009066957145</v>
      </c>
      <c r="O41" s="616">
        <f t="shared" si="13"/>
        <v>73.629599299558762</v>
      </c>
      <c r="P41" s="616">
        <f t="shared" si="13"/>
        <v>1.6364440478242008</v>
      </c>
      <c r="Q41" s="611" t="s">
        <v>1498</v>
      </c>
      <c r="R41" s="616">
        <f t="shared" si="13"/>
        <v>4.9707519153152013</v>
      </c>
      <c r="S41" s="616">
        <f t="shared" ref="S41:BG41" si="14">100*(S34-S5)/S5</f>
        <v>0</v>
      </c>
      <c r="T41" s="616">
        <f t="shared" si="14"/>
        <v>-34.555534751907487</v>
      </c>
      <c r="U41" s="616">
        <f t="shared" si="14"/>
        <v>68.465466107889185</v>
      </c>
      <c r="V41" s="616">
        <f t="shared" si="14"/>
        <v>-0.25768958188363045</v>
      </c>
      <c r="W41" s="616">
        <f t="shared" si="14"/>
        <v>5.8699617715462225</v>
      </c>
      <c r="X41" s="616">
        <f t="shared" si="14"/>
        <v>0</v>
      </c>
      <c r="Y41" s="616">
        <f t="shared" si="14"/>
        <v>-34.308294943722579</v>
      </c>
      <c r="Z41" s="616">
        <f t="shared" si="14"/>
        <v>78.070517831152259</v>
      </c>
      <c r="AA41" s="616">
        <f t="shared" si="14"/>
        <v>0.51864717830629692</v>
      </c>
      <c r="AB41" s="616">
        <f t="shared" si="14"/>
        <v>-1.0179199868664182</v>
      </c>
      <c r="AC41" s="616">
        <f t="shared" si="14"/>
        <v>0</v>
      </c>
      <c r="AD41" s="616">
        <f t="shared" si="14"/>
        <v>-33.471771922707042</v>
      </c>
      <c r="AE41" s="616">
        <f t="shared" si="14"/>
        <v>54.150118977436136</v>
      </c>
      <c r="AF41" s="616">
        <f t="shared" si="14"/>
        <v>-2.5793912263141978</v>
      </c>
      <c r="AG41" s="611" t="s">
        <v>1498</v>
      </c>
      <c r="AH41" s="616">
        <f t="shared" si="14"/>
        <v>1.3934799153443787</v>
      </c>
      <c r="AI41" s="616">
        <f t="shared" si="14"/>
        <v>0</v>
      </c>
      <c r="AJ41" s="616">
        <f t="shared" si="14"/>
        <v>-25.002573247511279</v>
      </c>
      <c r="AK41" s="616">
        <f t="shared" si="14"/>
        <v>40.165413158244078</v>
      </c>
      <c r="AL41" s="616">
        <f t="shared" si="14"/>
        <v>-1.0520976635472108</v>
      </c>
      <c r="AM41" s="616">
        <f t="shared" si="14"/>
        <v>3.4376450494385029</v>
      </c>
      <c r="AN41" s="616">
        <f t="shared" si="14"/>
        <v>0</v>
      </c>
      <c r="AO41" s="616">
        <f t="shared" si="14"/>
        <v>-18.242849951207859</v>
      </c>
      <c r="AP41" s="616">
        <f t="shared" si="14"/>
        <v>39.756764773065427</v>
      </c>
      <c r="AQ41" s="616">
        <f t="shared" si="14"/>
        <v>0.8235748588174221</v>
      </c>
      <c r="AR41" s="616">
        <f t="shared" si="14"/>
        <v>4.5717888629194459</v>
      </c>
      <c r="AS41" s="616">
        <f t="shared" si="14"/>
        <v>0</v>
      </c>
      <c r="AT41" s="616">
        <f t="shared" si="14"/>
        <v>-22.002586205150564</v>
      </c>
      <c r="AU41" s="616">
        <f t="shared" si="14"/>
        <v>40.01577309982229</v>
      </c>
      <c r="AV41" s="616">
        <f t="shared" si="14"/>
        <v>0.29563799605881741</v>
      </c>
      <c r="AW41" s="611" t="s">
        <v>1498</v>
      </c>
      <c r="AX41" s="616">
        <f t="shared" si="14"/>
        <v>3.2289361726345804</v>
      </c>
      <c r="AY41" s="616">
        <f t="shared" si="14"/>
        <v>0</v>
      </c>
      <c r="AZ41" s="616">
        <f t="shared" si="14"/>
        <v>-19.714464167820438</v>
      </c>
      <c r="BA41" s="616">
        <f t="shared" si="14"/>
        <v>64.612275528496639</v>
      </c>
      <c r="BB41" s="616">
        <f t="shared" si="14"/>
        <v>1.7043603828466123</v>
      </c>
      <c r="BC41" s="616">
        <f t="shared" si="14"/>
        <v>2.542423636559533</v>
      </c>
      <c r="BD41" s="616">
        <f t="shared" si="14"/>
        <v>0</v>
      </c>
      <c r="BE41" s="616">
        <f t="shared" si="14"/>
        <v>-23.736063746578417</v>
      </c>
      <c r="BF41" s="616">
        <f t="shared" si="14"/>
        <v>51.409567876241162</v>
      </c>
      <c r="BG41" s="616">
        <f t="shared" si="14"/>
        <v>0.93701364658458863</v>
      </c>
    </row>
    <row r="42" spans="1:59">
      <c r="A42" s="611" t="s">
        <v>1472</v>
      </c>
      <c r="B42" s="616">
        <f>100*(B13-B5)/B5</f>
        <v>5.4105529741657304E-2</v>
      </c>
      <c r="C42" s="616">
        <f t="shared" ref="C42:L42" si="15">100*(C13-C5)/C5</f>
        <v>0</v>
      </c>
      <c r="D42" s="616">
        <f t="shared" si="15"/>
        <v>-8.62884846822746</v>
      </c>
      <c r="E42" s="616">
        <f t="shared" si="15"/>
        <v>1.1799059279873787</v>
      </c>
      <c r="F42" s="616">
        <f t="shared" si="15"/>
        <v>-1.5696962817101383</v>
      </c>
      <c r="G42" s="616">
        <f t="shared" si="15"/>
        <v>6.45988063849562</v>
      </c>
      <c r="H42" s="616">
        <f t="shared" si="15"/>
        <v>0</v>
      </c>
      <c r="I42" s="616">
        <f t="shared" si="15"/>
        <v>-8.3903497728261538</v>
      </c>
      <c r="J42" s="616">
        <f t="shared" si="15"/>
        <v>8.4716495447260129</v>
      </c>
      <c r="K42" s="616">
        <f t="shared" si="15"/>
        <v>0.52171169647431037</v>
      </c>
      <c r="L42" s="616">
        <f t="shared" si="15"/>
        <v>1.8054145399809225</v>
      </c>
      <c r="M42" s="616">
        <f t="shared" ref="M42:R42" si="16">100*(M13-M5)/M5</f>
        <v>0</v>
      </c>
      <c r="N42" s="616">
        <f t="shared" si="16"/>
        <v>-10.234468851772773</v>
      </c>
      <c r="O42" s="616">
        <f t="shared" si="16"/>
        <v>1.3542255414049664</v>
      </c>
      <c r="P42" s="616">
        <f t="shared" si="16"/>
        <v>-1.5353378598797511</v>
      </c>
      <c r="Q42" s="611" t="s">
        <v>1472</v>
      </c>
      <c r="R42" s="616">
        <f t="shared" si="16"/>
        <v>1.9974346641524618</v>
      </c>
      <c r="S42" s="616">
        <f t="shared" ref="S42:BG42" si="17">100*(S13-S5)/S5</f>
        <v>0</v>
      </c>
      <c r="T42" s="616">
        <f t="shared" si="17"/>
        <v>-9.333816547108496</v>
      </c>
      <c r="U42" s="616">
        <f t="shared" si="17"/>
        <v>0.21031700342566026</v>
      </c>
      <c r="V42" s="616">
        <f t="shared" si="17"/>
        <v>-1.3279946544953996</v>
      </c>
      <c r="W42" s="616">
        <f t="shared" si="17"/>
        <v>2.8182486289253559</v>
      </c>
      <c r="X42" s="616">
        <f t="shared" si="17"/>
        <v>0</v>
      </c>
      <c r="Y42" s="616">
        <f t="shared" si="17"/>
        <v>-10.829914232551927</v>
      </c>
      <c r="Z42" s="616">
        <f t="shared" si="17"/>
        <v>3.2582500628385924</v>
      </c>
      <c r="AA42" s="616">
        <f t="shared" si="17"/>
        <v>-1.1765494261036367</v>
      </c>
      <c r="AB42" s="616">
        <f t="shared" si="17"/>
        <v>-0.30376238500678032</v>
      </c>
      <c r="AC42" s="616">
        <f t="shared" si="17"/>
        <v>0</v>
      </c>
      <c r="AD42" s="616">
        <f t="shared" si="17"/>
        <v>-11.760141233086717</v>
      </c>
      <c r="AE42" s="616">
        <f t="shared" si="17"/>
        <v>5.449852821937716</v>
      </c>
      <c r="AF42" s="616">
        <f t="shared" si="17"/>
        <v>-1.9908097676730834</v>
      </c>
      <c r="AG42" s="611" t="s">
        <v>1472</v>
      </c>
      <c r="AH42" s="616">
        <f t="shared" si="17"/>
        <v>0.40155915999007047</v>
      </c>
      <c r="AI42" s="616">
        <f t="shared" si="17"/>
        <v>0</v>
      </c>
      <c r="AJ42" s="616">
        <f t="shared" si="17"/>
        <v>-9.7455700226268682</v>
      </c>
      <c r="AK42" s="616">
        <f t="shared" si="17"/>
        <v>-2.1221614074306352</v>
      </c>
      <c r="AL42" s="616">
        <f t="shared" si="17"/>
        <v>-1.9645778932024751</v>
      </c>
      <c r="AM42" s="616">
        <f t="shared" si="17"/>
        <v>1.0902857814460362E-2</v>
      </c>
      <c r="AN42" s="616">
        <f t="shared" si="17"/>
        <v>0</v>
      </c>
      <c r="AO42" s="616">
        <f t="shared" si="17"/>
        <v>-7.3398883407299449</v>
      </c>
      <c r="AP42" s="616">
        <f t="shared" si="17"/>
        <v>-5.6850242339221753</v>
      </c>
      <c r="AQ42" s="616">
        <f t="shared" si="17"/>
        <v>-1.8811077865579333</v>
      </c>
      <c r="AR42" s="616">
        <f t="shared" si="17"/>
        <v>-1.5163445024905795</v>
      </c>
      <c r="AS42" s="616">
        <f t="shared" si="17"/>
        <v>0</v>
      </c>
      <c r="AT42" s="616">
        <f t="shared" si="17"/>
        <v>-2.6893765230810325</v>
      </c>
      <c r="AU42" s="616">
        <f t="shared" si="17"/>
        <v>-7.161903930953045</v>
      </c>
      <c r="AV42" s="616">
        <f t="shared" si="17"/>
        <v>-1.5478366487348898</v>
      </c>
      <c r="AW42" s="611" t="s">
        <v>1472</v>
      </c>
      <c r="AX42" s="616">
        <f t="shared" si="17"/>
        <v>-1.5082957537494326</v>
      </c>
      <c r="AY42" s="616">
        <f t="shared" si="17"/>
        <v>0</v>
      </c>
      <c r="AZ42" s="616">
        <f t="shared" si="17"/>
        <v>-1.3373103633655659</v>
      </c>
      <c r="BA42" s="616">
        <f t="shared" si="17"/>
        <v>6.0651431248877392</v>
      </c>
      <c r="BB42" s="616">
        <f t="shared" si="17"/>
        <v>-0.28906385639669274</v>
      </c>
      <c r="BC42" s="616">
        <f t="shared" si="17"/>
        <v>-1.1270236074276079</v>
      </c>
      <c r="BD42" s="616">
        <f t="shared" si="17"/>
        <v>0</v>
      </c>
      <c r="BE42" s="616">
        <f t="shared" si="17"/>
        <v>-3.4505793080426574</v>
      </c>
      <c r="BF42" s="616">
        <f t="shared" si="17"/>
        <v>2.1022682170382416</v>
      </c>
      <c r="BG42" s="616">
        <f t="shared" si="17"/>
        <v>-0.76627729887475771</v>
      </c>
    </row>
    <row r="43" spans="1:59">
      <c r="A43" s="611" t="s">
        <v>1473</v>
      </c>
      <c r="B43" s="616">
        <f>100*(B24-B13)/B13</f>
        <v>0.15393291385539443</v>
      </c>
      <c r="C43" s="616">
        <f t="shared" ref="C43:L43" si="18">100*(C24-C13)/C13</f>
        <v>0</v>
      </c>
      <c r="D43" s="616">
        <f t="shared" si="18"/>
        <v>-10.566002624992093</v>
      </c>
      <c r="E43" s="616">
        <f t="shared" si="18"/>
        <v>22.180111564864401</v>
      </c>
      <c r="F43" s="616">
        <f t="shared" si="18"/>
        <v>-1.055628073264026E-2</v>
      </c>
      <c r="G43" s="616">
        <f t="shared" si="18"/>
        <v>4.9811355880308561</v>
      </c>
      <c r="H43" s="616">
        <f t="shared" si="18"/>
        <v>0</v>
      </c>
      <c r="I43" s="616">
        <f t="shared" si="18"/>
        <v>-17.635068779609867</v>
      </c>
      <c r="J43" s="616">
        <f t="shared" si="18"/>
        <v>53.842157365503546</v>
      </c>
      <c r="K43" s="616">
        <f t="shared" si="18"/>
        <v>1.823468667249482</v>
      </c>
      <c r="L43" s="616">
        <f t="shared" si="18"/>
        <v>3.4285752532224896</v>
      </c>
      <c r="M43" s="616">
        <f t="shared" ref="M43:R43" si="19">100*(M24-M13)/M13</f>
        <v>0</v>
      </c>
      <c r="N43" s="616">
        <f t="shared" si="19"/>
        <v>-10.315310565948383</v>
      </c>
      <c r="O43" s="616">
        <f t="shared" si="19"/>
        <v>35.008815687375417</v>
      </c>
      <c r="P43" s="616">
        <f t="shared" si="19"/>
        <v>1.76572070467154</v>
      </c>
      <c r="Q43" s="611" t="s">
        <v>1473</v>
      </c>
      <c r="R43" s="616">
        <f t="shared" si="19"/>
        <v>1.5946277488088714</v>
      </c>
      <c r="S43" s="616">
        <f t="shared" ref="S43:BG43" si="20">100*(S24-S13)/S13</f>
        <v>0</v>
      </c>
      <c r="T43" s="616">
        <f t="shared" si="20"/>
        <v>-18.151322644751634</v>
      </c>
      <c r="U43" s="616">
        <f t="shared" si="20"/>
        <v>33.195980432621255</v>
      </c>
      <c r="V43" s="616">
        <f t="shared" si="20"/>
        <v>-0.28507289978789258</v>
      </c>
      <c r="W43" s="616">
        <f t="shared" si="20"/>
        <v>2.8218446583763055</v>
      </c>
      <c r="X43" s="616">
        <f t="shared" si="20"/>
        <v>0</v>
      </c>
      <c r="Y43" s="616">
        <f t="shared" si="20"/>
        <v>-13.606850396155435</v>
      </c>
      <c r="Z43" s="616">
        <f t="shared" si="20"/>
        <v>36.617160475994694</v>
      </c>
      <c r="AA43" s="616">
        <f t="shared" si="20"/>
        <v>1.2019576397325051</v>
      </c>
      <c r="AB43" s="616">
        <f t="shared" si="20"/>
        <v>-0.4688410113390859</v>
      </c>
      <c r="AC43" s="616">
        <f t="shared" si="20"/>
        <v>0</v>
      </c>
      <c r="AD43" s="616">
        <f t="shared" si="20"/>
        <v>-15.739301829208493</v>
      </c>
      <c r="AE43" s="616">
        <f t="shared" si="20"/>
        <v>23.809099251570704</v>
      </c>
      <c r="AF43" s="616">
        <f t="shared" si="20"/>
        <v>-0.88737560715617469</v>
      </c>
      <c r="AG43" s="611" t="s">
        <v>1473</v>
      </c>
      <c r="AH43" s="616">
        <f t="shared" si="20"/>
        <v>-1.2832204389386246</v>
      </c>
      <c r="AI43" s="616">
        <f t="shared" si="20"/>
        <v>0</v>
      </c>
      <c r="AJ43" s="616">
        <f t="shared" si="20"/>
        <v>-8.5082673590860391</v>
      </c>
      <c r="AK43" s="616">
        <f t="shared" si="20"/>
        <v>16.999980934681421</v>
      </c>
      <c r="AL43" s="616">
        <f t="shared" si="20"/>
        <v>-0.46818059548918528</v>
      </c>
      <c r="AM43" s="616">
        <f t="shared" si="20"/>
        <v>0.45843443133559714</v>
      </c>
      <c r="AN43" s="616">
        <f t="shared" si="20"/>
        <v>0</v>
      </c>
      <c r="AO43" s="616">
        <f t="shared" si="20"/>
        <v>-3.1645415307013161</v>
      </c>
      <c r="AP43" s="616">
        <f t="shared" si="20"/>
        <v>21.733619150466449</v>
      </c>
      <c r="AQ43" s="616">
        <f t="shared" si="20"/>
        <v>1.3148054643354297</v>
      </c>
      <c r="AR43" s="616">
        <f t="shared" si="20"/>
        <v>2.1524363736100542</v>
      </c>
      <c r="AS43" s="616">
        <f t="shared" si="20"/>
        <v>0</v>
      </c>
      <c r="AT43" s="616">
        <f t="shared" si="20"/>
        <v>-8.2272020259171246</v>
      </c>
      <c r="AU43" s="616">
        <f t="shared" si="20"/>
        <v>20.028776964646198</v>
      </c>
      <c r="AV43" s="616">
        <f t="shared" si="20"/>
        <v>0.57999066886793105</v>
      </c>
      <c r="AW43" s="611" t="s">
        <v>1473</v>
      </c>
      <c r="AX43" s="616">
        <f t="shared" si="20"/>
        <v>1.6992489985927217</v>
      </c>
      <c r="AY43" s="616">
        <f t="shared" si="20"/>
        <v>0</v>
      </c>
      <c r="AZ43" s="616">
        <f t="shared" si="20"/>
        <v>-8.4950017509970852</v>
      </c>
      <c r="BA43" s="616">
        <f t="shared" si="20"/>
        <v>26.777241535956353</v>
      </c>
      <c r="BB43" s="616">
        <f t="shared" si="20"/>
        <v>0.88264054956166982</v>
      </c>
      <c r="BC43" s="616">
        <f t="shared" si="20"/>
        <v>2.072001841651153</v>
      </c>
      <c r="BD43" s="616">
        <f t="shared" si="20"/>
        <v>0</v>
      </c>
      <c r="BE43" s="616">
        <f t="shared" si="20"/>
        <v>-6.3066104565785004</v>
      </c>
      <c r="BF43" s="616">
        <f t="shared" si="20"/>
        <v>22.301840516182505</v>
      </c>
      <c r="BG43" s="616">
        <f t="shared" si="20"/>
        <v>1.4798016566872134</v>
      </c>
    </row>
    <row r="44" spans="1:59">
      <c r="A44" s="611" t="s">
        <v>1474</v>
      </c>
      <c r="B44" s="616">
        <f>100*(B32-B24)/B24</f>
        <v>1.7864151062723099</v>
      </c>
      <c r="C44" s="616">
        <f t="shared" ref="C44:L44" si="21">100*(C32-C24)/C24</f>
        <v>0</v>
      </c>
      <c r="D44" s="616">
        <f t="shared" si="21"/>
        <v>-8.8464704952406805</v>
      </c>
      <c r="E44" s="616">
        <f t="shared" si="21"/>
        <v>18.632469117436766</v>
      </c>
      <c r="F44" s="616">
        <f t="shared" si="21"/>
        <v>1.0061441322465283</v>
      </c>
      <c r="G44" s="616">
        <f t="shared" si="21"/>
        <v>5.2053132609278997E-2</v>
      </c>
      <c r="H44" s="616">
        <f t="shared" si="21"/>
        <v>0</v>
      </c>
      <c r="I44" s="616">
        <f t="shared" si="21"/>
        <v>-15.047125837550352</v>
      </c>
      <c r="J44" s="616">
        <f t="shared" si="21"/>
        <v>23.782126984938166</v>
      </c>
      <c r="K44" s="616">
        <f t="shared" si="21"/>
        <v>0.17813961454599189</v>
      </c>
      <c r="L44" s="616">
        <f t="shared" si="21"/>
        <v>2.539091848742534</v>
      </c>
      <c r="M44" s="616">
        <f t="shared" ref="M44:R44" si="22">100*(M32-M24)/M24</f>
        <v>0</v>
      </c>
      <c r="N44" s="616">
        <f t="shared" si="22"/>
        <v>-9.1443836795947036</v>
      </c>
      <c r="O44" s="616">
        <f t="shared" si="22"/>
        <v>22.338714632195568</v>
      </c>
      <c r="P44" s="616">
        <f t="shared" si="22"/>
        <v>1.5309124776633252</v>
      </c>
      <c r="Q44" s="611" t="s">
        <v>1474</v>
      </c>
      <c r="R44" s="616">
        <f t="shared" si="22"/>
        <v>1.6498139131784806</v>
      </c>
      <c r="S44" s="616">
        <f t="shared" ref="S44:BG44" si="23">100*(S32-S24)/S24</f>
        <v>0</v>
      </c>
      <c r="T44" s="616">
        <f t="shared" si="23"/>
        <v>-8.9224342222456432</v>
      </c>
      <c r="U44" s="616">
        <f t="shared" si="23"/>
        <v>23.111861702351259</v>
      </c>
      <c r="V44" s="616">
        <f t="shared" si="23"/>
        <v>1.5923849733023516</v>
      </c>
      <c r="W44" s="616">
        <f t="shared" si="23"/>
        <v>0.57621774284816529</v>
      </c>
      <c r="X44" s="616">
        <f t="shared" si="23"/>
        <v>0</v>
      </c>
      <c r="Y44" s="616">
        <f t="shared" si="23"/>
        <v>-12.266536026719598</v>
      </c>
      <c r="Z44" s="616">
        <f t="shared" si="23"/>
        <v>22.951271135242457</v>
      </c>
      <c r="AA44" s="616">
        <f t="shared" si="23"/>
        <v>0.67747718031782345</v>
      </c>
      <c r="AB44" s="616">
        <f t="shared" si="23"/>
        <v>0.41949855666520885</v>
      </c>
      <c r="AC44" s="616">
        <f t="shared" si="23"/>
        <v>0</v>
      </c>
      <c r="AD44" s="616">
        <f t="shared" si="23"/>
        <v>-8.136033185906534</v>
      </c>
      <c r="AE44" s="616">
        <f t="shared" si="23"/>
        <v>16.775946546640427</v>
      </c>
      <c r="AF44" s="616">
        <f t="shared" si="23"/>
        <v>0.71390554207691737</v>
      </c>
      <c r="AG44" s="611" t="s">
        <v>1474</v>
      </c>
      <c r="AH44" s="616">
        <f t="shared" si="23"/>
        <v>2.1914853527974079</v>
      </c>
      <c r="AI44" s="616">
        <f t="shared" si="23"/>
        <v>0</v>
      </c>
      <c r="AJ44" s="616">
        <f t="shared" si="23"/>
        <v>-7.0665337116612426</v>
      </c>
      <c r="AK44" s="616">
        <f t="shared" si="23"/>
        <v>18.367834544807891</v>
      </c>
      <c r="AL44" s="616">
        <f t="shared" si="23"/>
        <v>1.3190817517540308</v>
      </c>
      <c r="AM44" s="616">
        <f t="shared" si="23"/>
        <v>2.7593794361263151</v>
      </c>
      <c r="AN44" s="616">
        <f t="shared" si="23"/>
        <v>0</v>
      </c>
      <c r="AO44" s="616">
        <f t="shared" si="23"/>
        <v>-7.5625625525710083</v>
      </c>
      <c r="AP44" s="616">
        <f t="shared" si="23"/>
        <v>19.854802630621066</v>
      </c>
      <c r="AQ44" s="616">
        <f t="shared" si="23"/>
        <v>1.413778736613523</v>
      </c>
      <c r="AR44" s="616">
        <f t="shared" si="23"/>
        <v>3.4733490538511211</v>
      </c>
      <c r="AS44" s="616">
        <f t="shared" si="23"/>
        <v>0</v>
      </c>
      <c r="AT44" s="616">
        <f t="shared" si="23"/>
        <v>-11.264540809339589</v>
      </c>
      <c r="AU44" s="616">
        <f t="shared" si="23"/>
        <v>23.586398538201024</v>
      </c>
      <c r="AV44" s="616">
        <f t="shared" si="23"/>
        <v>1.2046945645255087</v>
      </c>
      <c r="AW44" s="611" t="s">
        <v>1474</v>
      </c>
      <c r="AX44" s="616">
        <f t="shared" si="23"/>
        <v>3.1957461432723804</v>
      </c>
      <c r="AY44" s="616">
        <f t="shared" si="23"/>
        <v>0</v>
      </c>
      <c r="AZ44" s="616">
        <f t="shared" si="23"/>
        <v>-9.7654093570672007</v>
      </c>
      <c r="BA44" s="616">
        <f t="shared" si="23"/>
        <v>19.925558246878488</v>
      </c>
      <c r="BB44" s="616">
        <f t="shared" si="23"/>
        <v>1.1400088269222803</v>
      </c>
      <c r="BC44" s="616">
        <f t="shared" si="23"/>
        <v>1.5500708076883321</v>
      </c>
      <c r="BD44" s="616">
        <f t="shared" si="23"/>
        <v>0</v>
      </c>
      <c r="BE44" s="616">
        <f t="shared" si="23"/>
        <v>-13.080801306223398</v>
      </c>
      <c r="BF44" s="616">
        <f t="shared" si="23"/>
        <v>19.295036243859915</v>
      </c>
      <c r="BG44" s="616">
        <f t="shared" si="23"/>
        <v>0.42361050267037603</v>
      </c>
    </row>
    <row r="46" spans="1:59">
      <c r="A46" s="611" t="s">
        <v>1561</v>
      </c>
      <c r="Q46" s="611" t="s">
        <v>1561</v>
      </c>
      <c r="AG46" s="611" t="s">
        <v>1561</v>
      </c>
      <c r="AW46" s="611" t="s">
        <v>1561</v>
      </c>
    </row>
  </sheetData>
  <pageMargins left="0.7" right="0.7" top="0.75" bottom="0.75" header="0.3" footer="0.3"/>
  <pageSetup scale="55" orientation="landscape" horizontalDpi="300" verticalDpi="300" r:id="rId1"/>
  <colBreaks count="1" manualBreakCount="1">
    <brk id="16" max="45" man="1"/>
  </colBreaks>
</worksheet>
</file>

<file path=xl/worksheets/sheet183.xml><?xml version="1.0" encoding="utf-8"?>
<worksheet xmlns="http://schemas.openxmlformats.org/spreadsheetml/2006/main" xmlns:r="http://schemas.openxmlformats.org/officeDocument/2006/relationships">
  <dimension ref="A1:L48"/>
  <sheetViews>
    <sheetView topLeftCell="A23" workbookViewId="0">
      <selection activeCell="E9" sqref="E9"/>
    </sheetView>
  </sheetViews>
  <sheetFormatPr defaultRowHeight="12.75"/>
  <cols>
    <col min="1" max="16384" width="9" style="618"/>
  </cols>
  <sheetData>
    <row r="1" spans="1:12">
      <c r="A1" s="611" t="s">
        <v>1532</v>
      </c>
    </row>
    <row r="3" spans="1:12">
      <c r="A3" s="611"/>
      <c r="B3" s="611"/>
      <c r="C3" s="611"/>
      <c r="D3" s="613" t="s">
        <v>1479</v>
      </c>
      <c r="E3" s="611"/>
      <c r="F3" s="611"/>
      <c r="G3" s="611"/>
      <c r="H3" s="611"/>
      <c r="I3" s="611"/>
      <c r="J3" s="611"/>
      <c r="K3" s="611"/>
      <c r="L3" s="611"/>
    </row>
    <row r="4" spans="1:12">
      <c r="A4" s="611"/>
      <c r="B4" s="612" t="s">
        <v>321</v>
      </c>
      <c r="C4" s="612" t="s">
        <v>370</v>
      </c>
      <c r="D4" s="613" t="s">
        <v>1480</v>
      </c>
      <c r="E4" s="612" t="s">
        <v>372</v>
      </c>
      <c r="F4" s="612" t="s">
        <v>373</v>
      </c>
      <c r="G4" s="612" t="s">
        <v>374</v>
      </c>
      <c r="H4" s="612" t="s">
        <v>375</v>
      </c>
      <c r="I4" s="612" t="s">
        <v>376</v>
      </c>
      <c r="J4" s="612" t="s">
        <v>377</v>
      </c>
      <c r="K4" s="612" t="s">
        <v>378</v>
      </c>
      <c r="L4" s="612" t="s">
        <v>379</v>
      </c>
    </row>
    <row r="5" spans="1:12">
      <c r="A5" s="611">
        <v>1981</v>
      </c>
      <c r="B5" s="614">
        <f>'a31'!H19</f>
        <v>0.44965563875290226</v>
      </c>
      <c r="C5" s="614">
        <f>'a31'!P19</f>
        <v>0.26487135852188343</v>
      </c>
      <c r="D5" s="614">
        <f>'a31'!X19</f>
        <v>0.3096814672396962</v>
      </c>
      <c r="E5" s="614">
        <f>'a31'!AF19</f>
        <v>0.39442612127176396</v>
      </c>
      <c r="F5" s="614">
        <f>'a31'!AN19</f>
        <v>0.27215508440267366</v>
      </c>
      <c r="G5" s="614">
        <f>'a31'!AV19</f>
        <v>0.38487881728184953</v>
      </c>
      <c r="H5" s="614">
        <f>'a31'!BD19</f>
        <v>0.49181052036795314</v>
      </c>
      <c r="I5" s="614">
        <f>'a31'!BL19</f>
        <v>0.38421143917849565</v>
      </c>
      <c r="J5" s="614">
        <f>'a31'!BT19</f>
        <v>0.40434912779132703</v>
      </c>
      <c r="K5" s="614">
        <f>'a31'!CB19</f>
        <v>0.57524952617237934</v>
      </c>
      <c r="L5" s="614">
        <f>'a31'!CJ19</f>
        <v>0.49565354529181876</v>
      </c>
    </row>
    <row r="6" spans="1:12">
      <c r="A6" s="611">
        <f>A5+1</f>
        <v>1982</v>
      </c>
      <c r="B6" s="614">
        <f>'a31'!H20</f>
        <v>0.43191352960631268</v>
      </c>
      <c r="C6" s="614">
        <f>'a31'!P20</f>
        <v>0.2572880793135684</v>
      </c>
      <c r="D6" s="614">
        <f>'a31'!X20</f>
        <v>0.34981531226966867</v>
      </c>
      <c r="E6" s="614">
        <f>'a31'!AF20</f>
        <v>0.39333140222129792</v>
      </c>
      <c r="F6" s="614">
        <f>'a31'!AN20</f>
        <v>0.26885347523806641</v>
      </c>
      <c r="G6" s="614">
        <f>'a31'!AV20</f>
        <v>0.38103880989578315</v>
      </c>
      <c r="H6" s="614">
        <f>'a31'!BD20</f>
        <v>0.46697995680996646</v>
      </c>
      <c r="I6" s="614">
        <f>'a31'!BL20</f>
        <v>0.40332040361563742</v>
      </c>
      <c r="J6" s="614">
        <f>'a31'!BT20</f>
        <v>0.44066332686432119</v>
      </c>
      <c r="K6" s="614">
        <f>'a31'!CB20</f>
        <v>0.54740531893412914</v>
      </c>
      <c r="L6" s="614">
        <f>'a31'!CJ20</f>
        <v>0.43661532899856864</v>
      </c>
    </row>
    <row r="7" spans="1:12">
      <c r="A7" s="611">
        <f t="shared" ref="A7:A34" si="0">A6+1</f>
        <v>1983</v>
      </c>
      <c r="B7" s="614">
        <f>'a31'!H21</f>
        <v>0.42235109416826999</v>
      </c>
      <c r="C7" s="614">
        <f>'a31'!P21</f>
        <v>0.2020467958601172</v>
      </c>
      <c r="D7" s="614">
        <f>'a31'!X21</f>
        <v>0.37297275527353591</v>
      </c>
      <c r="E7" s="614">
        <f>'a31'!AF21</f>
        <v>0.39971111027998485</v>
      </c>
      <c r="F7" s="614">
        <f>'a31'!AN21</f>
        <v>0.24025707847544364</v>
      </c>
      <c r="G7" s="614">
        <f>'a31'!AV21</f>
        <v>0.39294343356012212</v>
      </c>
      <c r="H7" s="614">
        <f>'a31'!BD21</f>
        <v>0.44293215732779068</v>
      </c>
      <c r="I7" s="614">
        <f>'a31'!BL21</f>
        <v>0.39726730674552108</v>
      </c>
      <c r="J7" s="614">
        <f>'a31'!BT21</f>
        <v>0.43558611909559619</v>
      </c>
      <c r="K7" s="614">
        <f>'a31'!CB21</f>
        <v>0.5044504972788284</v>
      </c>
      <c r="L7" s="614">
        <f>'a31'!CJ21</f>
        <v>0.4536532911006263</v>
      </c>
    </row>
    <row r="8" spans="1:12">
      <c r="A8" s="611">
        <f t="shared" si="0"/>
        <v>1984</v>
      </c>
      <c r="B8" s="614">
        <f>'a31'!H22</f>
        <v>0.43025075938626511</v>
      </c>
      <c r="C8" s="614">
        <f>'a31'!P22</f>
        <v>0.26675775118560424</v>
      </c>
      <c r="D8" s="614">
        <f>'a31'!X22</f>
        <v>0.38813383444255445</v>
      </c>
      <c r="E8" s="614">
        <f>'a31'!AF22</f>
        <v>0.40708415812137355</v>
      </c>
      <c r="F8" s="614">
        <f>'a31'!AN22</f>
        <v>0.29670180196662876</v>
      </c>
      <c r="G8" s="614">
        <f>'a31'!AV22</f>
        <v>0.39360006177721302</v>
      </c>
      <c r="H8" s="614">
        <f>'a31'!BD22</f>
        <v>0.46808323001817026</v>
      </c>
      <c r="I8" s="614">
        <f>'a31'!BL22</f>
        <v>0.43515757539901989</v>
      </c>
      <c r="J8" s="614">
        <f>'a31'!BT22</f>
        <v>0.39728586382152975</v>
      </c>
      <c r="K8" s="614">
        <f>'a31'!CB22</f>
        <v>0.49173010645070164</v>
      </c>
      <c r="L8" s="614">
        <f>'a31'!CJ22</f>
        <v>0.41900184827131437</v>
      </c>
    </row>
    <row r="9" spans="1:12">
      <c r="A9" s="611">
        <f t="shared" si="0"/>
        <v>1985</v>
      </c>
      <c r="B9" s="614">
        <f>'a31'!H23</f>
        <v>0.45384815802344081</v>
      </c>
      <c r="C9" s="614">
        <f>'a31'!P23</f>
        <v>0.26767134353450595</v>
      </c>
      <c r="D9" s="614">
        <f>'a31'!X23</f>
        <v>0.40306544852001147</v>
      </c>
      <c r="E9" s="614">
        <f>'a31'!AF23</f>
        <v>0.41596510700545353</v>
      </c>
      <c r="F9" s="614">
        <f>'a31'!AN23</f>
        <v>0.35298282053233088</v>
      </c>
      <c r="G9" s="614">
        <f>'a31'!AV23</f>
        <v>0.42045240409175988</v>
      </c>
      <c r="H9" s="614">
        <f>'a31'!BD23</f>
        <v>0.49585455806079776</v>
      </c>
      <c r="I9" s="614">
        <f>'a31'!BL23</f>
        <v>0.45817932534767947</v>
      </c>
      <c r="J9" s="614">
        <f>'a31'!BT23</f>
        <v>0.37113404282857021</v>
      </c>
      <c r="K9" s="614">
        <f>'a31'!CB23</f>
        <v>0.55360073117202291</v>
      </c>
      <c r="L9" s="614">
        <f>'a31'!CJ23</f>
        <v>0.41496624079170819</v>
      </c>
    </row>
    <row r="10" spans="1:12">
      <c r="A10" s="611">
        <f t="shared" si="0"/>
        <v>1986</v>
      </c>
      <c r="B10" s="614">
        <f>'a31'!H24</f>
        <v>0.46437205019033345</v>
      </c>
      <c r="C10" s="614">
        <f>'a31'!P24</f>
        <v>0.31900507023310987</v>
      </c>
      <c r="D10" s="614">
        <f>'a31'!X24</f>
        <v>0.43406134444918903</v>
      </c>
      <c r="E10" s="614">
        <f>'a31'!AF24</f>
        <v>0.41776438325815402</v>
      </c>
      <c r="F10" s="614">
        <f>'a31'!AN24</f>
        <v>0.38350023343419215</v>
      </c>
      <c r="G10" s="614">
        <f>'a31'!AV24</f>
        <v>0.42364186189784236</v>
      </c>
      <c r="H10" s="614">
        <f>'a31'!BD24</f>
        <v>0.5146463781700843</v>
      </c>
      <c r="I10" s="614">
        <f>'a31'!BL24</f>
        <v>0.45849583762887475</v>
      </c>
      <c r="J10" s="614">
        <f>'a31'!BT24</f>
        <v>0.3600940150320241</v>
      </c>
      <c r="K10" s="614">
        <f>'a31'!CB24</f>
        <v>0.5358777451858312</v>
      </c>
      <c r="L10" s="614">
        <f>'a31'!CJ24</f>
        <v>0.44651916110038375</v>
      </c>
    </row>
    <row r="11" spans="1:12">
      <c r="A11" s="611">
        <f t="shared" si="0"/>
        <v>1987</v>
      </c>
      <c r="B11" s="614">
        <f>'a31'!H25</f>
        <v>0.47781504106506589</v>
      </c>
      <c r="C11" s="614">
        <f>'a31'!P25</f>
        <v>0.31934015230721302</v>
      </c>
      <c r="D11" s="614">
        <f>'a31'!X25</f>
        <v>0.43992580180028784</v>
      </c>
      <c r="E11" s="614">
        <f>'a31'!AF25</f>
        <v>0.44897990364851542</v>
      </c>
      <c r="F11" s="614">
        <f>'a31'!AN25</f>
        <v>0.37297437426410357</v>
      </c>
      <c r="G11" s="614">
        <f>'a31'!AV25</f>
        <v>0.42993975376635607</v>
      </c>
      <c r="H11" s="614">
        <f>'a31'!BD25</f>
        <v>0.53903000499017595</v>
      </c>
      <c r="I11" s="614">
        <f>'a31'!BL25</f>
        <v>0.47959039979565143</v>
      </c>
      <c r="J11" s="614">
        <f>'a31'!BT25</f>
        <v>0.4163978827990798</v>
      </c>
      <c r="K11" s="614">
        <f>'a31'!CB25</f>
        <v>0.52288834288553443</v>
      </c>
      <c r="L11" s="614">
        <f>'a31'!CJ25</f>
        <v>0.45897355714964316</v>
      </c>
    </row>
    <row r="12" spans="1:12">
      <c r="A12" s="611">
        <f t="shared" si="0"/>
        <v>1988</v>
      </c>
      <c r="B12" s="614">
        <f>'a31'!H26</f>
        <v>0.50619193353301362</v>
      </c>
      <c r="C12" s="614">
        <f>'a31'!P26</f>
        <v>0.38741504266683069</v>
      </c>
      <c r="D12" s="614">
        <f>'a31'!X26</f>
        <v>0.47410223784144712</v>
      </c>
      <c r="E12" s="614">
        <f>'a31'!AF26</f>
        <v>0.48551422904273994</v>
      </c>
      <c r="F12" s="614">
        <f>'a31'!AN26</f>
        <v>0.41823139959961475</v>
      </c>
      <c r="G12" s="614">
        <f>'a31'!AV26</f>
        <v>0.4603933771370069</v>
      </c>
      <c r="H12" s="614">
        <f>'a31'!BD26</f>
        <v>0.55567097034539448</v>
      </c>
      <c r="I12" s="614">
        <f>'a31'!BL26</f>
        <v>0.49375897912984823</v>
      </c>
      <c r="J12" s="614">
        <f>'a31'!BT26</f>
        <v>0.41169810148024866</v>
      </c>
      <c r="K12" s="614">
        <f>'a31'!CB26</f>
        <v>0.5510024113863321</v>
      </c>
      <c r="L12" s="614">
        <f>'a31'!CJ26</f>
        <v>0.52163052527250298</v>
      </c>
    </row>
    <row r="13" spans="1:12">
      <c r="A13" s="611">
        <f t="shared" si="0"/>
        <v>1989</v>
      </c>
      <c r="B13" s="614">
        <f>'a31'!H27</f>
        <v>0.52529920714411216</v>
      </c>
      <c r="C13" s="614">
        <f>'a31'!P27</f>
        <v>0.41976825415610758</v>
      </c>
      <c r="D13" s="614">
        <f>'a31'!X27</f>
        <v>0.46978944549926599</v>
      </c>
      <c r="E13" s="614">
        <f>'a31'!AF27</f>
        <v>0.4876363828256669</v>
      </c>
      <c r="F13" s="614">
        <f>'a31'!AN27</f>
        <v>0.42698779282043658</v>
      </c>
      <c r="G13" s="614">
        <f>'a31'!AV27</f>
        <v>0.47624991169301678</v>
      </c>
      <c r="H13" s="614">
        <f>'a31'!BD27</f>
        <v>0.58163881490183922</v>
      </c>
      <c r="I13" s="614">
        <f>'a31'!BL27</f>
        <v>0.50669711916965054</v>
      </c>
      <c r="J13" s="614">
        <f>'a31'!BT27</f>
        <v>0.42347274085793613</v>
      </c>
      <c r="K13" s="614">
        <f>'a31'!CB27</f>
        <v>0.54557071659819156</v>
      </c>
      <c r="L13" s="614">
        <f>'a31'!CJ27</f>
        <v>0.53924421042116999</v>
      </c>
    </row>
    <row r="14" spans="1:12">
      <c r="A14" s="611">
        <f t="shared" si="0"/>
        <v>1990</v>
      </c>
      <c r="B14" s="614">
        <f>'a31'!H28</f>
        <v>0.51208514380793546</v>
      </c>
      <c r="C14" s="614">
        <f>'a31'!P28</f>
        <v>0.37867522938933496</v>
      </c>
      <c r="D14" s="614">
        <f>'a31'!X28</f>
        <v>0.49898705952931294</v>
      </c>
      <c r="E14" s="614">
        <f>'a31'!AF28</f>
        <v>0.50349326606131928</v>
      </c>
      <c r="F14" s="614">
        <f>'a31'!AN28</f>
        <v>0.43004106821255372</v>
      </c>
      <c r="G14" s="614">
        <f>'a31'!AV28</f>
        <v>0.46353104791891636</v>
      </c>
      <c r="H14" s="614">
        <f>'a31'!BD28</f>
        <v>0.56218105914905492</v>
      </c>
      <c r="I14" s="614">
        <f>'a31'!BL28</f>
        <v>0.49039370891511247</v>
      </c>
      <c r="J14" s="614">
        <f>'a31'!BT28</f>
        <v>0.39936433755743839</v>
      </c>
      <c r="K14" s="614">
        <f>'a31'!CB28</f>
        <v>0.5635561604696554</v>
      </c>
      <c r="L14" s="614">
        <f>'a31'!CJ28</f>
        <v>0.51320182662600022</v>
      </c>
    </row>
    <row r="15" spans="1:12">
      <c r="A15" s="611">
        <f t="shared" si="0"/>
        <v>1991</v>
      </c>
      <c r="B15" s="614">
        <f>'a31'!H29</f>
        <v>0.50432244928183356</v>
      </c>
      <c r="C15" s="614">
        <f>'a31'!P29</f>
        <v>0.36597582036702891</v>
      </c>
      <c r="D15" s="614">
        <f>'a31'!X29</f>
        <v>0.46871441450590345</v>
      </c>
      <c r="E15" s="614">
        <f>'a31'!AF29</f>
        <v>0.49573802444279214</v>
      </c>
      <c r="F15" s="614">
        <f>'a31'!AN29</f>
        <v>0.4221004567061869</v>
      </c>
      <c r="G15" s="614">
        <f>'a31'!AV29</f>
        <v>0.45373068081756879</v>
      </c>
      <c r="H15" s="614">
        <f>'a31'!BD29</f>
        <v>0.5447053712493608</v>
      </c>
      <c r="I15" s="614">
        <f>'a31'!BL29</f>
        <v>0.4937150498332839</v>
      </c>
      <c r="J15" s="614">
        <f>'a31'!BT29</f>
        <v>0.4075101298053444</v>
      </c>
      <c r="K15" s="614">
        <f>'a31'!CB29</f>
        <v>0.54173449162777687</v>
      </c>
      <c r="L15" s="614">
        <f>'a31'!CJ29</f>
        <v>0.54753335451278384</v>
      </c>
    </row>
    <row r="16" spans="1:12">
      <c r="A16" s="611">
        <f t="shared" si="0"/>
        <v>1992</v>
      </c>
      <c r="B16" s="614">
        <f>'a31'!H30</f>
        <v>0.50680318616634823</v>
      </c>
      <c r="C16" s="614">
        <f>'a31'!P30</f>
        <v>0.33954489255789339</v>
      </c>
      <c r="D16" s="614">
        <f>'a31'!X30</f>
        <v>0.50057568261199448</v>
      </c>
      <c r="E16" s="614">
        <f>'a31'!AF30</f>
        <v>0.49977334428431786</v>
      </c>
      <c r="F16" s="614">
        <f>'a31'!AN30</f>
        <v>0.41651009118285087</v>
      </c>
      <c r="G16" s="614">
        <f>'a31'!AV30</f>
        <v>0.46760648241145941</v>
      </c>
      <c r="H16" s="614">
        <f>'a31'!BD30</f>
        <v>0.55318961922924526</v>
      </c>
      <c r="I16" s="614">
        <f>'a31'!BL30</f>
        <v>0.47976765865505838</v>
      </c>
      <c r="J16" s="614">
        <f>'a31'!BT30</f>
        <v>0.40873169964381795</v>
      </c>
      <c r="K16" s="614">
        <f>'a31'!CB30</f>
        <v>0.50936675564316403</v>
      </c>
      <c r="L16" s="614">
        <f>'a31'!CJ30</f>
        <v>0.53860208117407204</v>
      </c>
    </row>
    <row r="17" spans="1:12">
      <c r="A17" s="611">
        <f t="shared" si="0"/>
        <v>1993</v>
      </c>
      <c r="B17" s="614">
        <f>'a31'!H31</f>
        <v>0.50834849177607988</v>
      </c>
      <c r="C17" s="614">
        <f>'a31'!P31</f>
        <v>0.36534834313528591</v>
      </c>
      <c r="D17" s="614">
        <f>'a31'!X31</f>
        <v>0.47583542018845942</v>
      </c>
      <c r="E17" s="614">
        <f>'a31'!AF31</f>
        <v>0.49675088334685513</v>
      </c>
      <c r="F17" s="614">
        <f>'a31'!AN31</f>
        <v>0.42024410294597558</v>
      </c>
      <c r="G17" s="614">
        <f>'a31'!AV31</f>
        <v>0.45140722342913486</v>
      </c>
      <c r="H17" s="614">
        <f>'a31'!BD31</f>
        <v>0.55465786542521223</v>
      </c>
      <c r="I17" s="614">
        <f>'a31'!BL31</f>
        <v>0.48450126667021376</v>
      </c>
      <c r="J17" s="614">
        <f>'a31'!BT31</f>
        <v>0.43381640636554725</v>
      </c>
      <c r="K17" s="614">
        <f>'a31'!CB31</f>
        <v>0.54189115652441489</v>
      </c>
      <c r="L17" s="614">
        <f>'a31'!CJ31</f>
        <v>0.54384146492305985</v>
      </c>
    </row>
    <row r="18" spans="1:12">
      <c r="A18" s="611">
        <f t="shared" si="0"/>
        <v>1994</v>
      </c>
      <c r="B18" s="614">
        <f>'a31'!H32</f>
        <v>0.5162052202572105</v>
      </c>
      <c r="C18" s="614">
        <f>'a31'!P32</f>
        <v>0.36965603095741029</v>
      </c>
      <c r="D18" s="614">
        <f>'a31'!X32</f>
        <v>0.48571163039797016</v>
      </c>
      <c r="E18" s="614">
        <f>'a31'!AF32</f>
        <v>0.47648722389388265</v>
      </c>
      <c r="F18" s="614">
        <f>'a31'!AN32</f>
        <v>0.40517267169733195</v>
      </c>
      <c r="G18" s="614">
        <f>'a31'!AV32</f>
        <v>0.46229193350318565</v>
      </c>
      <c r="H18" s="614">
        <f>'a31'!BD32</f>
        <v>0.56184026807955578</v>
      </c>
      <c r="I18" s="614">
        <f>'a31'!BL32</f>
        <v>0.48996496843364112</v>
      </c>
      <c r="J18" s="614">
        <f>'a31'!BT32</f>
        <v>0.43981047368964787</v>
      </c>
      <c r="K18" s="614">
        <f>'a31'!CB32</f>
        <v>0.55411768782220394</v>
      </c>
      <c r="L18" s="614">
        <f>'a31'!CJ32</f>
        <v>0.55415798033446984</v>
      </c>
    </row>
    <row r="19" spans="1:12">
      <c r="A19" s="611">
        <f t="shared" si="0"/>
        <v>1995</v>
      </c>
      <c r="B19" s="614">
        <f>'a31'!H33</f>
        <v>0.51840041718436636</v>
      </c>
      <c r="C19" s="614">
        <f>'a31'!P33</f>
        <v>0.36296569038723575</v>
      </c>
      <c r="D19" s="614">
        <f>'a31'!X33</f>
        <v>0.45825051631430108</v>
      </c>
      <c r="E19" s="614">
        <f>'a31'!AF33</f>
        <v>0.49331271728992088</v>
      </c>
      <c r="F19" s="614">
        <f>'a31'!AN33</f>
        <v>0.43596963342629252</v>
      </c>
      <c r="G19" s="614">
        <f>'a31'!AV33</f>
        <v>0.45502831267758265</v>
      </c>
      <c r="H19" s="614">
        <f>'a31'!BD33</f>
        <v>0.5648125137299862</v>
      </c>
      <c r="I19" s="614">
        <f>'a31'!BL33</f>
        <v>0.52947456407438176</v>
      </c>
      <c r="J19" s="614">
        <f>'a31'!BT33</f>
        <v>0.43277484819277584</v>
      </c>
      <c r="K19" s="614">
        <f>'a31'!CB33</f>
        <v>0.55974357768760641</v>
      </c>
      <c r="L19" s="614">
        <f>'a31'!CJ33</f>
        <v>0.55805897931796244</v>
      </c>
    </row>
    <row r="20" spans="1:12">
      <c r="A20" s="611">
        <f t="shared" si="0"/>
        <v>1996</v>
      </c>
      <c r="B20" s="614">
        <f>'a31'!H34</f>
        <v>0.50786644785437918</v>
      </c>
      <c r="C20" s="614">
        <f>'a31'!P34</f>
        <v>0.36195250477384761</v>
      </c>
      <c r="D20" s="614">
        <f>'a31'!X34</f>
        <v>0.45805344909229367</v>
      </c>
      <c r="E20" s="614">
        <f>'a31'!AF34</f>
        <v>0.46885464974203339</v>
      </c>
      <c r="F20" s="614">
        <f>'a31'!AN34</f>
        <v>0.44640164309519187</v>
      </c>
      <c r="G20" s="614">
        <f>'a31'!AV34</f>
        <v>0.47046625767081907</v>
      </c>
      <c r="H20" s="614">
        <f>'a31'!BD34</f>
        <v>0.53589207574874398</v>
      </c>
      <c r="I20" s="614">
        <f>'a31'!BL34</f>
        <v>0.50774153707365044</v>
      </c>
      <c r="J20" s="614">
        <f>'a31'!BT34</f>
        <v>0.45428579881058706</v>
      </c>
      <c r="K20" s="614">
        <f>'a31'!CB34</f>
        <v>0.55544353479071074</v>
      </c>
      <c r="L20" s="614">
        <f>'a31'!CJ34</f>
        <v>0.54037911290420315</v>
      </c>
    </row>
    <row r="21" spans="1:12">
      <c r="A21" s="611">
        <f t="shared" si="0"/>
        <v>1997</v>
      </c>
      <c r="B21" s="614">
        <f>'a31'!H35</f>
        <v>0.51100504630659382</v>
      </c>
      <c r="C21" s="614">
        <f>'a31'!P35</f>
        <v>0.38988572057930876</v>
      </c>
      <c r="D21" s="614">
        <f>'a31'!X35</f>
        <v>0.46575821581933013</v>
      </c>
      <c r="E21" s="614">
        <f>'a31'!AF35</f>
        <v>0.46016200029993343</v>
      </c>
      <c r="F21" s="614">
        <f>'a31'!AN35</f>
        <v>0.43131213601726459</v>
      </c>
      <c r="G21" s="614">
        <f>'a31'!AV35</f>
        <v>0.45767471289936501</v>
      </c>
      <c r="H21" s="614">
        <f>'a31'!BD35</f>
        <v>0.54672379968616658</v>
      </c>
      <c r="I21" s="614">
        <f>'a31'!BL35</f>
        <v>0.50965599461288535</v>
      </c>
      <c r="J21" s="614">
        <f>'a31'!BT35</f>
        <v>0.49591487945299173</v>
      </c>
      <c r="K21" s="614">
        <f>'a31'!CB35</f>
        <v>0.56576357475015437</v>
      </c>
      <c r="L21" s="614">
        <f>'a31'!CJ35</f>
        <v>0.54021345248283958</v>
      </c>
    </row>
    <row r="22" spans="1:12">
      <c r="A22" s="611">
        <f t="shared" si="0"/>
        <v>1998</v>
      </c>
      <c r="B22" s="614">
        <f>'a31'!H36</f>
        <v>0.52186686366470803</v>
      </c>
      <c r="C22" s="614">
        <f>'a31'!P36</f>
        <v>0.39069490423017061</v>
      </c>
      <c r="D22" s="614">
        <f>'a31'!X36</f>
        <v>0.48524510576872004</v>
      </c>
      <c r="E22" s="614">
        <f>'a31'!AF36</f>
        <v>0.46322259089509082</v>
      </c>
      <c r="F22" s="614">
        <f>'a31'!AN36</f>
        <v>0.45294870315237928</v>
      </c>
      <c r="G22" s="614">
        <f>'a31'!AV36</f>
        <v>0.48548127215959547</v>
      </c>
      <c r="H22" s="614">
        <f>'a31'!BD36</f>
        <v>0.56176278248168043</v>
      </c>
      <c r="I22" s="614">
        <f>'a31'!BL36</f>
        <v>0.51091274959887245</v>
      </c>
      <c r="J22" s="614">
        <f>'a31'!BT36</f>
        <v>0.49275573405560619</v>
      </c>
      <c r="K22" s="614">
        <f>'a31'!CB36</f>
        <v>0.57218236284722113</v>
      </c>
      <c r="L22" s="614">
        <f>'a31'!CJ36</f>
        <v>0.52568436242059702</v>
      </c>
    </row>
    <row r="23" spans="1:12">
      <c r="A23" s="611">
        <f t="shared" si="0"/>
        <v>1999</v>
      </c>
      <c r="B23" s="614">
        <f>'a31'!H37</f>
        <v>0.53334172581578243</v>
      </c>
      <c r="C23" s="614">
        <f>'a31'!P37</f>
        <v>0.4006314146694091</v>
      </c>
      <c r="D23" s="614">
        <f>'a31'!X37</f>
        <v>0.45668311029491782</v>
      </c>
      <c r="E23" s="614">
        <f>'a31'!AF37</f>
        <v>0.50924375977936753</v>
      </c>
      <c r="F23" s="614">
        <f>'a31'!AN37</f>
        <v>0.46650441577088225</v>
      </c>
      <c r="G23" s="614">
        <f>'a31'!AV37</f>
        <v>0.5047634658492709</v>
      </c>
      <c r="H23" s="614">
        <f>'a31'!BD37</f>
        <v>0.56727759569902925</v>
      </c>
      <c r="I23" s="614">
        <f>'a31'!BL37</f>
        <v>0.49899181692788092</v>
      </c>
      <c r="J23" s="614">
        <f>'a31'!BT37</f>
        <v>0.51121142339348946</v>
      </c>
      <c r="K23" s="614">
        <f>'a31'!CB37</f>
        <v>0.59760706375526862</v>
      </c>
      <c r="L23" s="614">
        <f>'a31'!CJ37</f>
        <v>0.5305675599670725</v>
      </c>
    </row>
    <row r="24" spans="1:12">
      <c r="A24" s="611">
        <f t="shared" si="0"/>
        <v>2000</v>
      </c>
      <c r="B24" s="614">
        <f>'a31'!H38</f>
        <v>0.54833660173103493</v>
      </c>
      <c r="C24" s="614">
        <f>'a31'!P38</f>
        <v>0.41746265054604026</v>
      </c>
      <c r="D24" s="614">
        <f>'a31'!X38</f>
        <v>0.47062119032707084</v>
      </c>
      <c r="E24" s="614">
        <f>'a31'!AF38</f>
        <v>0.51584597902599139</v>
      </c>
      <c r="F24" s="614">
        <f>'a31'!AN38</f>
        <v>0.48272108689399446</v>
      </c>
      <c r="G24" s="614">
        <f>'a31'!AV38</f>
        <v>0.5057110026454642</v>
      </c>
      <c r="H24" s="614">
        <f>'a31'!BD38</f>
        <v>0.58667874468759573</v>
      </c>
      <c r="I24" s="614">
        <f>'a31'!BL38</f>
        <v>0.5120752355141619</v>
      </c>
      <c r="J24" s="614">
        <f>'a31'!BT38</f>
        <v>0.48932266275997105</v>
      </c>
      <c r="K24" s="614">
        <f>'a31'!CB38</f>
        <v>0.62847898748648001</v>
      </c>
      <c r="L24" s="614">
        <f>'a31'!CJ38</f>
        <v>0.55359400432751227</v>
      </c>
    </row>
    <row r="25" spans="1:12">
      <c r="A25" s="611">
        <f t="shared" si="0"/>
        <v>2001</v>
      </c>
      <c r="B25" s="614">
        <f>'a31'!H39</f>
        <v>0.55119002335128076</v>
      </c>
      <c r="C25" s="614">
        <f>'a31'!P39</f>
        <v>0.46299637154021256</v>
      </c>
      <c r="D25" s="614">
        <f>'a31'!X39</f>
        <v>0.47920730356563873</v>
      </c>
      <c r="E25" s="614">
        <f>'a31'!AF39</f>
        <v>0.51457293923836889</v>
      </c>
      <c r="F25" s="614">
        <f>'a31'!AN39</f>
        <v>0.46967243280152104</v>
      </c>
      <c r="G25" s="614">
        <f>'a31'!AV39</f>
        <v>0.51768783460151691</v>
      </c>
      <c r="H25" s="614">
        <f>'a31'!BD39</f>
        <v>0.58788693492746968</v>
      </c>
      <c r="I25" s="614">
        <f>'a31'!BL39</f>
        <v>0.52713986887761921</v>
      </c>
      <c r="J25" s="614">
        <f>'a31'!BT39</f>
        <v>0.51715874542613882</v>
      </c>
      <c r="K25" s="614">
        <f>'a31'!CB39</f>
        <v>0.63770779618411688</v>
      </c>
      <c r="L25" s="614">
        <f>'a31'!CJ39</f>
        <v>0.53035765855170303</v>
      </c>
    </row>
    <row r="26" spans="1:12">
      <c r="A26" s="611">
        <f t="shared" si="0"/>
        <v>2002</v>
      </c>
      <c r="B26" s="614">
        <f>'a31'!H40</f>
        <v>0.546433308712855</v>
      </c>
      <c r="C26" s="614">
        <f>'a31'!P40</f>
        <v>0.45026468978754586</v>
      </c>
      <c r="D26" s="614">
        <f>'a31'!X40</f>
        <v>0.51292085935549525</v>
      </c>
      <c r="E26" s="614">
        <f>'a31'!AF40</f>
        <v>0.51550115481559877</v>
      </c>
      <c r="F26" s="614">
        <f>'a31'!AN40</f>
        <v>0.46137948122342842</v>
      </c>
      <c r="G26" s="614">
        <f>'a31'!AV40</f>
        <v>0.52177948239486782</v>
      </c>
      <c r="H26" s="614">
        <f>'a31'!BD40</f>
        <v>0.57466366837544425</v>
      </c>
      <c r="I26" s="614">
        <f>'a31'!BL40</f>
        <v>0.523747140069448</v>
      </c>
      <c r="J26" s="614">
        <f>'a31'!BT40</f>
        <v>0.51562066183926658</v>
      </c>
      <c r="K26" s="614">
        <f>'a31'!CB40</f>
        <v>0.6535707813408862</v>
      </c>
      <c r="L26" s="614">
        <f>'a31'!CJ40</f>
        <v>0.51350907132592916</v>
      </c>
    </row>
    <row r="27" spans="1:12">
      <c r="A27" s="611">
        <f t="shared" si="0"/>
        <v>2003</v>
      </c>
      <c r="B27" s="614">
        <f>'a31'!H41</f>
        <v>0.55623221833664094</v>
      </c>
      <c r="C27" s="614">
        <f>'a31'!P41</f>
        <v>0.45359241930725314</v>
      </c>
      <c r="D27" s="614">
        <f>'a31'!X41</f>
        <v>0.53116896350168818</v>
      </c>
      <c r="E27" s="614">
        <f>'a31'!AF41</f>
        <v>0.51631102360117542</v>
      </c>
      <c r="F27" s="614">
        <f>'a31'!AN41</f>
        <v>0.45150867456424426</v>
      </c>
      <c r="G27" s="614">
        <f>'a31'!AV41</f>
        <v>0.53774963175205648</v>
      </c>
      <c r="H27" s="614">
        <f>'a31'!BD41</f>
        <v>0.58947779916271603</v>
      </c>
      <c r="I27" s="614">
        <f>'a31'!BL41</f>
        <v>0.54156707789032266</v>
      </c>
      <c r="J27" s="614">
        <f>'a31'!BT41</f>
        <v>0.52499351158670671</v>
      </c>
      <c r="K27" s="614">
        <f>'a31'!CB41</f>
        <v>0.62894817602076281</v>
      </c>
      <c r="L27" s="614">
        <f>'a31'!CJ41</f>
        <v>0.52622640466426363</v>
      </c>
    </row>
    <row r="28" spans="1:12">
      <c r="A28" s="611">
        <f t="shared" si="0"/>
        <v>2004</v>
      </c>
      <c r="B28" s="614">
        <f>'a31'!H42</f>
        <v>0.56244732601114955</v>
      </c>
      <c r="C28" s="614">
        <f>'a31'!P42</f>
        <v>0.45339337063288215</v>
      </c>
      <c r="D28" s="614">
        <f>'a31'!X42</f>
        <v>0.53803074031233344</v>
      </c>
      <c r="E28" s="614">
        <f>'a31'!AF42</f>
        <v>0.53650776950297407</v>
      </c>
      <c r="F28" s="614">
        <f>'a31'!AN42</f>
        <v>0.47647151722786862</v>
      </c>
      <c r="G28" s="614">
        <f>'a31'!AV42</f>
        <v>0.56278889987989134</v>
      </c>
      <c r="H28" s="614">
        <f>'a31'!BD42</f>
        <v>0.57592053805484622</v>
      </c>
      <c r="I28" s="614">
        <f>'a31'!BL42</f>
        <v>0.54994855767141948</v>
      </c>
      <c r="J28" s="614">
        <f>'a31'!BT42</f>
        <v>0.51238757640855703</v>
      </c>
      <c r="K28" s="614">
        <f>'a31'!CB42</f>
        <v>0.64345091503431062</v>
      </c>
      <c r="L28" s="614">
        <f>'a31'!CJ42</f>
        <v>0.5464231875993617</v>
      </c>
    </row>
    <row r="29" spans="1:12">
      <c r="A29" s="611">
        <f t="shared" si="0"/>
        <v>2005</v>
      </c>
      <c r="B29" s="614">
        <f>'a31'!H43</f>
        <v>0.57743697227828228</v>
      </c>
      <c r="C29" s="614">
        <f>'a31'!P43</f>
        <v>0.50374476096367848</v>
      </c>
      <c r="D29" s="614">
        <f>'a31'!X43</f>
        <v>0.5806208579918426</v>
      </c>
      <c r="E29" s="614">
        <f>'a31'!AF43</f>
        <v>0.56616248428444216</v>
      </c>
      <c r="F29" s="614">
        <f>'a31'!AN43</f>
        <v>0.47241502830554571</v>
      </c>
      <c r="G29" s="614">
        <f>'a31'!AV43</f>
        <v>0.54928964876910491</v>
      </c>
      <c r="H29" s="614">
        <f>'a31'!BD43</f>
        <v>0.59034057642700244</v>
      </c>
      <c r="I29" s="614">
        <f>'a31'!BL43</f>
        <v>0.54506423254459979</v>
      </c>
      <c r="J29" s="614">
        <f>'a31'!BT43</f>
        <v>0.48746848277596244</v>
      </c>
      <c r="K29" s="614">
        <f>'a31'!CB43</f>
        <v>0.70271723173231371</v>
      </c>
      <c r="L29" s="614">
        <f>'a31'!CJ43</f>
        <v>0.58200061861295305</v>
      </c>
    </row>
    <row r="30" spans="1:12">
      <c r="A30" s="611">
        <f t="shared" si="0"/>
        <v>2006</v>
      </c>
      <c r="B30" s="614">
        <f>'a31'!H44</f>
        <v>0.60415591612700814</v>
      </c>
      <c r="C30" s="614">
        <f>'a31'!P44</f>
        <v>0.55203488134813161</v>
      </c>
      <c r="D30" s="614">
        <f>'a31'!X44</f>
        <v>0.57196816559182539</v>
      </c>
      <c r="E30" s="614">
        <f>'a31'!AF44</f>
        <v>0.5753396410475391</v>
      </c>
      <c r="F30" s="614">
        <f>'a31'!AN44</f>
        <v>0.49518977396209773</v>
      </c>
      <c r="G30" s="614">
        <f>'a31'!AV44</f>
        <v>0.57931040524523392</v>
      </c>
      <c r="H30" s="614">
        <f>'a31'!BD44</f>
        <v>0.61262627156477012</v>
      </c>
      <c r="I30" s="614">
        <f>'a31'!BL44</f>
        <v>0.57113455072381325</v>
      </c>
      <c r="J30" s="614">
        <f>'a31'!BT44</f>
        <v>0.51422816163370788</v>
      </c>
      <c r="K30" s="614">
        <f>'a31'!CB44</f>
        <v>0.74810172531512564</v>
      </c>
      <c r="L30" s="614">
        <f>'a31'!CJ44</f>
        <v>0.59962968937175853</v>
      </c>
    </row>
    <row r="31" spans="1:12">
      <c r="A31" s="611">
        <f t="shared" si="0"/>
        <v>2007</v>
      </c>
      <c r="B31" s="614">
        <f>'a31'!H45</f>
        <v>0.62208807374632469</v>
      </c>
      <c r="C31" s="614">
        <f>'a31'!P45</f>
        <v>0.58352953443817412</v>
      </c>
      <c r="D31" s="614">
        <f>'a31'!X45</f>
        <v>0.6086686861156716</v>
      </c>
      <c r="E31" s="614">
        <f>'a31'!AF45</f>
        <v>0.57785793425603038</v>
      </c>
      <c r="F31" s="614">
        <f>'a31'!AN45</f>
        <v>0.52206174086901247</v>
      </c>
      <c r="G31" s="614">
        <f>'a31'!AV45</f>
        <v>0.58702835717059165</v>
      </c>
      <c r="H31" s="614">
        <f>'a31'!BD45</f>
        <v>0.63168181434427506</v>
      </c>
      <c r="I31" s="614">
        <f>'a31'!BL45</f>
        <v>0.58804909934324034</v>
      </c>
      <c r="J31" s="614">
        <f>'a31'!BT45</f>
        <v>0.57754685427602726</v>
      </c>
      <c r="K31" s="614">
        <f>'a31'!CB45</f>
        <v>0.75313561071572455</v>
      </c>
      <c r="L31" s="614">
        <f>'a31'!CJ45</f>
        <v>0.63634346528365193</v>
      </c>
    </row>
    <row r="32" spans="1:12">
      <c r="A32" s="611">
        <f t="shared" si="0"/>
        <v>2008</v>
      </c>
      <c r="B32" s="614">
        <f>'a31'!H46</f>
        <v>0.6238528404783874</v>
      </c>
      <c r="C32" s="614">
        <f>'a31'!P46</f>
        <v>0.59195422441915224</v>
      </c>
      <c r="D32" s="614">
        <f>'a31'!X46</f>
        <v>0.578036431998873</v>
      </c>
      <c r="E32" s="614">
        <f>'a31'!AF46</f>
        <v>0.57135528999605145</v>
      </c>
      <c r="F32" s="614">
        <f>'a31'!AN46</f>
        <v>0.5368617589790694</v>
      </c>
      <c r="G32" s="614">
        <f>'a31'!AV46</f>
        <v>0.58277772405063644</v>
      </c>
      <c r="H32" s="614">
        <f>'a31'!BD46</f>
        <v>0.621466140016524</v>
      </c>
      <c r="I32" s="614">
        <f>'a31'!BL46</f>
        <v>0.61846274140390833</v>
      </c>
      <c r="J32" s="614">
        <f>'a31'!BT46</f>
        <v>0.63499698770936419</v>
      </c>
      <c r="K32" s="614">
        <f>'a31'!CB46</f>
        <v>0.7948017908960604</v>
      </c>
      <c r="L32" s="614">
        <f>'a31'!CJ46</f>
        <v>0.61396251310554606</v>
      </c>
    </row>
    <row r="33" spans="1:12">
      <c r="A33" s="611">
        <f t="shared" si="0"/>
        <v>2009</v>
      </c>
      <c r="B33" s="614">
        <f>'a31'!H47</f>
        <v>0.61126553002367945</v>
      </c>
      <c r="C33" s="614">
        <f>'a31'!P47</f>
        <v>0.61675987139851118</v>
      </c>
      <c r="D33" s="614">
        <f>'a31'!X47</f>
        <v>0.61780109014911733</v>
      </c>
      <c r="E33" s="614">
        <f>'a31'!AF47</f>
        <v>0.573546044102763</v>
      </c>
      <c r="F33" s="614">
        <f>'a31'!AN47</f>
        <v>0.5511972734054178</v>
      </c>
      <c r="G33" s="614">
        <f>'a31'!AV47</f>
        <v>0.59774609819816005</v>
      </c>
      <c r="H33" s="614">
        <f>'a31'!BD47</f>
        <v>0.60909043456113321</v>
      </c>
      <c r="I33" s="614">
        <f>'a31'!BL47</f>
        <v>0.61366399198700838</v>
      </c>
      <c r="J33" s="614">
        <f>'a31'!BT47</f>
        <v>0.62106464456478394</v>
      </c>
      <c r="K33" s="614">
        <f>'a31'!CB47</f>
        <v>0.73037186947663491</v>
      </c>
      <c r="L33" s="614">
        <f>'a31'!CJ47</f>
        <v>0.59597971468425903</v>
      </c>
    </row>
    <row r="34" spans="1:12">
      <c r="A34" s="611">
        <f t="shared" si="0"/>
        <v>2010</v>
      </c>
      <c r="B34" s="614">
        <f>'a31'!H48</f>
        <v>0.6216526238021125</v>
      </c>
      <c r="C34" s="614">
        <f>'a31'!P48</f>
        <v>0.63636759627983164</v>
      </c>
      <c r="D34" s="614">
        <f>'a31'!X48</f>
        <v>0.63795956586114211</v>
      </c>
      <c r="E34" s="614">
        <f>'a31'!AF48</f>
        <v>0.58363400041266256</v>
      </c>
      <c r="F34" s="614">
        <f>'a31'!AN48</f>
        <v>0.56049599068524281</v>
      </c>
      <c r="G34" s="614">
        <f>'a31'!AV48</f>
        <v>0.60861742984821054</v>
      </c>
      <c r="H34" s="614">
        <f>'a31'!BD48</f>
        <v>0.61591860357491335</v>
      </c>
      <c r="I34" s="614">
        <f>'a31'!BL48</f>
        <v>0.6234569637691445</v>
      </c>
      <c r="J34" s="614">
        <f>'a31'!BT48</f>
        <v>0.63055580588262239</v>
      </c>
      <c r="K34" s="614">
        <f>'a31'!CB48</f>
        <v>0.74558136916894358</v>
      </c>
      <c r="L34" s="614">
        <f>'a31'!CJ48</f>
        <v>0.60451874579566456</v>
      </c>
    </row>
    <row r="35" spans="1:12">
      <c r="A35" s="611" t="s">
        <v>1499</v>
      </c>
      <c r="B35" s="611"/>
      <c r="C35" s="611"/>
      <c r="D35" s="611"/>
      <c r="E35" s="611"/>
      <c r="F35" s="611"/>
      <c r="G35" s="611"/>
      <c r="H35" s="611"/>
      <c r="I35" s="611"/>
      <c r="J35" s="611"/>
      <c r="K35" s="611"/>
      <c r="L35" s="611"/>
    </row>
    <row r="36" spans="1:12">
      <c r="A36" s="611" t="s">
        <v>1498</v>
      </c>
      <c r="B36" s="615">
        <f>B34-B5</f>
        <v>0.17199698504921024</v>
      </c>
      <c r="C36" s="615">
        <f t="shared" ref="C36:L36" si="1">C34-C5</f>
        <v>0.37149623775794821</v>
      </c>
      <c r="D36" s="615">
        <f t="shared" si="1"/>
        <v>0.32827809862144591</v>
      </c>
      <c r="E36" s="615">
        <f t="shared" si="1"/>
        <v>0.18920787914089859</v>
      </c>
      <c r="F36" s="615">
        <f t="shared" si="1"/>
        <v>0.28834090628256914</v>
      </c>
      <c r="G36" s="615">
        <f t="shared" si="1"/>
        <v>0.22373861256636102</v>
      </c>
      <c r="H36" s="615">
        <f t="shared" si="1"/>
        <v>0.12410808320696021</v>
      </c>
      <c r="I36" s="615">
        <f t="shared" si="1"/>
        <v>0.23924552459064885</v>
      </c>
      <c r="J36" s="615">
        <f t="shared" si="1"/>
        <v>0.22620667809129535</v>
      </c>
      <c r="K36" s="615">
        <f t="shared" si="1"/>
        <v>0.17033184299656423</v>
      </c>
      <c r="L36" s="615">
        <f t="shared" si="1"/>
        <v>0.10886520050384579</v>
      </c>
    </row>
    <row r="37" spans="1:12">
      <c r="A37" s="611" t="s">
        <v>1472</v>
      </c>
      <c r="B37" s="615">
        <f>B13-B5</f>
        <v>7.5643568391209892E-2</v>
      </c>
      <c r="C37" s="615">
        <f t="shared" ref="C37:L37" si="2">C13-C5</f>
        <v>0.15489689563422415</v>
      </c>
      <c r="D37" s="615">
        <f t="shared" si="2"/>
        <v>0.16010797825956979</v>
      </c>
      <c r="E37" s="615">
        <f t="shared" si="2"/>
        <v>9.321026155390294E-2</v>
      </c>
      <c r="F37" s="615">
        <f t="shared" si="2"/>
        <v>0.15483270841776292</v>
      </c>
      <c r="G37" s="615">
        <f t="shared" si="2"/>
        <v>9.1371094411167253E-2</v>
      </c>
      <c r="H37" s="615">
        <f t="shared" si="2"/>
        <v>8.9828294533886077E-2</v>
      </c>
      <c r="I37" s="615">
        <f t="shared" si="2"/>
        <v>0.12248567999115489</v>
      </c>
      <c r="J37" s="615">
        <f t="shared" si="2"/>
        <v>1.9123613066609091E-2</v>
      </c>
      <c r="K37" s="615">
        <f t="shared" si="2"/>
        <v>-2.9678809574187781E-2</v>
      </c>
      <c r="L37" s="615">
        <f t="shared" si="2"/>
        <v>4.3590665129351225E-2</v>
      </c>
    </row>
    <row r="38" spans="1:12">
      <c r="A38" s="611" t="s">
        <v>1473</v>
      </c>
      <c r="B38" s="615">
        <f>B24-B13</f>
        <v>2.3037394586922777E-2</v>
      </c>
      <c r="C38" s="615">
        <f t="shared" ref="C38:L38" si="3">C24-C13</f>
        <v>-2.3056036100673194E-3</v>
      </c>
      <c r="D38" s="615">
        <f t="shared" si="3"/>
        <v>8.3174482780484782E-4</v>
      </c>
      <c r="E38" s="615">
        <f t="shared" si="3"/>
        <v>2.8209596200324483E-2</v>
      </c>
      <c r="F38" s="615">
        <f t="shared" si="3"/>
        <v>5.5733294073557871E-2</v>
      </c>
      <c r="G38" s="615">
        <f t="shared" si="3"/>
        <v>2.9461090952447422E-2</v>
      </c>
      <c r="H38" s="615">
        <f t="shared" si="3"/>
        <v>5.039929785756514E-3</v>
      </c>
      <c r="I38" s="615">
        <f t="shared" si="3"/>
        <v>5.3781163445113522E-3</v>
      </c>
      <c r="J38" s="615">
        <f t="shared" si="3"/>
        <v>6.5849921902034925E-2</v>
      </c>
      <c r="K38" s="615">
        <f t="shared" si="3"/>
        <v>8.2908270888288449E-2</v>
      </c>
      <c r="L38" s="615">
        <f t="shared" si="3"/>
        <v>1.4349793906342279E-2</v>
      </c>
    </row>
    <row r="39" spans="1:12">
      <c r="A39" s="611" t="s">
        <v>1474</v>
      </c>
      <c r="B39" s="615">
        <f>B32-B24</f>
        <v>7.5516238747352471E-2</v>
      </c>
      <c r="C39" s="615">
        <f t="shared" ref="C39:L39" si="4">C32-C24</f>
        <v>0.17449157387311198</v>
      </c>
      <c r="D39" s="615">
        <f t="shared" si="4"/>
        <v>0.10741524167180216</v>
      </c>
      <c r="E39" s="615">
        <f t="shared" si="4"/>
        <v>5.5509310970060066E-2</v>
      </c>
      <c r="F39" s="615">
        <f t="shared" si="4"/>
        <v>5.4140672085074948E-2</v>
      </c>
      <c r="G39" s="615">
        <f t="shared" si="4"/>
        <v>7.7066721405172234E-2</v>
      </c>
      <c r="H39" s="615">
        <f t="shared" si="4"/>
        <v>3.4787395328928272E-2</v>
      </c>
      <c r="I39" s="615">
        <f t="shared" si="4"/>
        <v>0.10638750588974644</v>
      </c>
      <c r="J39" s="615">
        <f t="shared" si="4"/>
        <v>0.14567432494939314</v>
      </c>
      <c r="K39" s="615">
        <f t="shared" si="4"/>
        <v>0.16632280340958039</v>
      </c>
      <c r="L39" s="615">
        <f t="shared" si="4"/>
        <v>6.0368508778033791E-2</v>
      </c>
    </row>
    <row r="40" spans="1:12">
      <c r="A40" s="611" t="s">
        <v>1500</v>
      </c>
      <c r="B40" s="611"/>
      <c r="C40" s="611"/>
      <c r="D40" s="611"/>
      <c r="E40" s="611"/>
      <c r="F40" s="611"/>
      <c r="G40" s="611"/>
      <c r="H40" s="611"/>
      <c r="I40" s="611"/>
      <c r="J40" s="611"/>
      <c r="K40" s="611"/>
      <c r="L40" s="611"/>
    </row>
    <row r="41" spans="1:12">
      <c r="A41" s="611" t="s">
        <v>1498</v>
      </c>
      <c r="B41" s="616">
        <f>100*(B34-B5)/B5</f>
        <v>38.250823569395322</v>
      </c>
      <c r="C41" s="616">
        <f t="shared" ref="C41:L41" si="5">100*(C34-C5)/C5</f>
        <v>140.25534502147977</v>
      </c>
      <c r="D41" s="616">
        <f t="shared" si="5"/>
        <v>106.00508372280339</v>
      </c>
      <c r="E41" s="616">
        <f t="shared" si="5"/>
        <v>47.970423087301633</v>
      </c>
      <c r="F41" s="616">
        <f t="shared" si="5"/>
        <v>105.94727888895412</v>
      </c>
      <c r="G41" s="616">
        <f t="shared" si="5"/>
        <v>58.132223058281646</v>
      </c>
      <c r="H41" s="616">
        <f t="shared" si="5"/>
        <v>25.234938673964812</v>
      </c>
      <c r="I41" s="616">
        <f t="shared" si="5"/>
        <v>62.269235164417104</v>
      </c>
      <c r="J41" s="616">
        <f>100*(J34-J5)/J5</f>
        <v>55.943406957967802</v>
      </c>
      <c r="K41" s="616">
        <f t="shared" si="5"/>
        <v>29.610079669239497</v>
      </c>
      <c r="L41" s="616">
        <f t="shared" si="5"/>
        <v>21.963970910316156</v>
      </c>
    </row>
    <row r="42" spans="1:12">
      <c r="A42" s="611" t="s">
        <v>1472</v>
      </c>
      <c r="B42" s="616">
        <f>100*(B13-B5)/B5</f>
        <v>16.822555278302215</v>
      </c>
      <c r="C42" s="616">
        <f t="shared" ref="C42:L42" si="6">100*(C13-C5)/C5</f>
        <v>58.480047257139248</v>
      </c>
      <c r="D42" s="616">
        <f t="shared" si="6"/>
        <v>51.70085884914927</v>
      </c>
      <c r="E42" s="616">
        <f t="shared" si="6"/>
        <v>23.631868308661037</v>
      </c>
      <c r="F42" s="616">
        <f t="shared" si="6"/>
        <v>56.891352501310038</v>
      </c>
      <c r="G42" s="616">
        <f t="shared" si="6"/>
        <v>23.740224275386804</v>
      </c>
      <c r="H42" s="616">
        <f t="shared" si="6"/>
        <v>18.26481761038379</v>
      </c>
      <c r="I42" s="616">
        <f t="shared" si="6"/>
        <v>31.879758773723267</v>
      </c>
      <c r="J42" s="616">
        <f t="shared" si="6"/>
        <v>4.7294804791759653</v>
      </c>
      <c r="K42" s="616">
        <f t="shared" si="6"/>
        <v>-5.1592931804161495</v>
      </c>
      <c r="L42" s="616">
        <f t="shared" si="6"/>
        <v>8.7945835439726299</v>
      </c>
    </row>
    <row r="43" spans="1:12">
      <c r="A43" s="611" t="s">
        <v>1473</v>
      </c>
      <c r="B43" s="616">
        <f>100*(B24-B13)/B13</f>
        <v>4.3855757392381953</v>
      </c>
      <c r="C43" s="616">
        <f t="shared" ref="C43:L43" si="7">100*(C24-C13)/C13</f>
        <v>-0.5492563068406523</v>
      </c>
      <c r="D43" s="616">
        <f t="shared" si="7"/>
        <v>0.17704629930987825</v>
      </c>
      <c r="E43" s="616">
        <f t="shared" si="7"/>
        <v>5.7849654361023326</v>
      </c>
      <c r="F43" s="616">
        <f t="shared" si="7"/>
        <v>13.052666846847233</v>
      </c>
      <c r="G43" s="616">
        <f t="shared" si="7"/>
        <v>6.1860569900614655</v>
      </c>
      <c r="H43" s="616">
        <f t="shared" si="7"/>
        <v>0.86650506407607653</v>
      </c>
      <c r="I43" s="616">
        <f t="shared" si="7"/>
        <v>1.0614065367738297</v>
      </c>
      <c r="J43" s="616">
        <f t="shared" si="7"/>
        <v>15.549978912131639</v>
      </c>
      <c r="K43" s="616">
        <f t="shared" si="7"/>
        <v>15.196613081663934</v>
      </c>
      <c r="L43" s="616">
        <f t="shared" si="7"/>
        <v>2.6610937362006259</v>
      </c>
    </row>
    <row r="44" spans="1:12">
      <c r="A44" s="611" t="s">
        <v>1474</v>
      </c>
      <c r="B44" s="616">
        <f>100*(B32-B24)/B24</f>
        <v>13.771876345470369</v>
      </c>
      <c r="C44" s="616">
        <f t="shared" ref="C44:L44" si="8">100*(C32-C24)/C24</f>
        <v>41.798128202577495</v>
      </c>
      <c r="D44" s="616">
        <f t="shared" si="8"/>
        <v>22.824140493366023</v>
      </c>
      <c r="E44" s="616">
        <f t="shared" si="8"/>
        <v>10.760830408113579</v>
      </c>
      <c r="F44" s="616">
        <f t="shared" si="8"/>
        <v>11.215725510032305</v>
      </c>
      <c r="G44" s="616">
        <f t="shared" si="8"/>
        <v>15.239281131322537</v>
      </c>
      <c r="H44" s="616">
        <f t="shared" si="8"/>
        <v>5.9295475835676354</v>
      </c>
      <c r="I44" s="616">
        <f t="shared" si="8"/>
        <v>20.775756863720506</v>
      </c>
      <c r="J44" s="616">
        <f t="shared" si="8"/>
        <v>29.770606602958672</v>
      </c>
      <c r="K44" s="616">
        <f t="shared" si="8"/>
        <v>26.464337984435538</v>
      </c>
      <c r="L44" s="616">
        <f t="shared" si="8"/>
        <v>10.904834283992557</v>
      </c>
    </row>
    <row r="45" spans="1:12">
      <c r="A45" s="611" t="s">
        <v>1501</v>
      </c>
      <c r="B45" s="611"/>
      <c r="C45" s="611"/>
      <c r="D45" s="611"/>
      <c r="E45" s="611"/>
      <c r="F45" s="611"/>
      <c r="G45" s="611"/>
      <c r="H45" s="611"/>
      <c r="I45" s="611"/>
      <c r="J45" s="611"/>
      <c r="K45" s="611"/>
      <c r="L45" s="611"/>
    </row>
    <row r="46" spans="1:12">
      <c r="A46" s="611" t="s">
        <v>1498</v>
      </c>
      <c r="B46" s="617">
        <f>100*(POWER(B34/B5, 1/29)-1)</f>
        <v>1.1231550754959851</v>
      </c>
      <c r="C46" s="617">
        <f t="shared" ref="C46:L46" si="9">100*(POWER(C34/C5, 1/29)-1)</f>
        <v>3.0686664982257472</v>
      </c>
      <c r="D46" s="617">
        <f t="shared" si="9"/>
        <v>2.5234889600411758</v>
      </c>
      <c r="E46" s="617">
        <f t="shared" si="9"/>
        <v>1.3603497732750602</v>
      </c>
      <c r="F46" s="617">
        <f t="shared" si="9"/>
        <v>2.5224968258065639</v>
      </c>
      <c r="G46" s="617">
        <f t="shared" si="9"/>
        <v>1.592762926589808</v>
      </c>
      <c r="H46" s="617">
        <f t="shared" si="9"/>
        <v>0.77895368652227681</v>
      </c>
      <c r="I46" s="617">
        <f t="shared" si="9"/>
        <v>1.6832746020821299</v>
      </c>
      <c r="J46" s="617">
        <f t="shared" si="9"/>
        <v>1.5439457709529592</v>
      </c>
      <c r="K46" s="617">
        <f t="shared" si="9"/>
        <v>0.89835732782650446</v>
      </c>
      <c r="L46" s="617">
        <f t="shared" si="9"/>
        <v>0.68702337149553205</v>
      </c>
    </row>
    <row r="48" spans="1:12">
      <c r="A48" s="611" t="s">
        <v>1557</v>
      </c>
    </row>
  </sheetData>
  <pageMargins left="0.7" right="0.7" top="0.75" bottom="0.75" header="0.3" footer="0.3"/>
</worksheet>
</file>

<file path=xl/worksheets/sheet184.xml><?xml version="1.0" encoding="utf-8"?>
<worksheet xmlns="http://schemas.openxmlformats.org/spreadsheetml/2006/main" xmlns:r="http://schemas.openxmlformats.org/officeDocument/2006/relationships">
  <dimension ref="A1:L48"/>
  <sheetViews>
    <sheetView topLeftCell="A23" workbookViewId="0">
      <selection activeCell="E9" sqref="E9"/>
    </sheetView>
  </sheetViews>
  <sheetFormatPr defaultRowHeight="12.75"/>
  <cols>
    <col min="1" max="16384" width="9" style="618"/>
  </cols>
  <sheetData>
    <row r="1" spans="1:12">
      <c r="A1" s="611" t="s">
        <v>1533</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14">
        <f>'a32'!H19</f>
        <v>0.38323868703715341</v>
      </c>
      <c r="C5" s="614">
        <f>'a32'!P19</f>
        <v>0.2235555446033903</v>
      </c>
      <c r="D5" s="614">
        <f>'a32'!X19</f>
        <v>0.2432144701689134</v>
      </c>
      <c r="E5" s="614">
        <f>'a32'!AF19</f>
        <v>0.33288433783663102</v>
      </c>
      <c r="F5" s="614">
        <f>'a32'!AN19</f>
        <v>0.25826072126570471</v>
      </c>
      <c r="G5" s="614">
        <f>'a32'!AV19</f>
        <v>0.31633454549472134</v>
      </c>
      <c r="H5" s="614">
        <f>'a32'!BD19</f>
        <v>0.38529893857094177</v>
      </c>
      <c r="I5" s="614">
        <f>'a32'!BL19</f>
        <v>0.35684770341683264</v>
      </c>
      <c r="J5" s="614">
        <f>'a32'!BT19</f>
        <v>0.4346450730588986</v>
      </c>
      <c r="K5" s="614">
        <f>'a32'!CB19</f>
        <v>0.56454969705117886</v>
      </c>
      <c r="L5" s="614">
        <f>'a32'!CJ19</f>
        <v>0.42937274399425202</v>
      </c>
    </row>
    <row r="6" spans="1:12">
      <c r="A6" s="611">
        <f t="shared" ref="A6:A34" si="0">A5+1</f>
        <v>1982</v>
      </c>
      <c r="B6" s="614">
        <f>'a32'!H20</f>
        <v>0.36624314318263412</v>
      </c>
      <c r="C6" s="614">
        <f>'a32'!P20</f>
        <v>0.22365523438733667</v>
      </c>
      <c r="D6" s="614">
        <f>'a32'!X20</f>
        <v>0.25623193163623365</v>
      </c>
      <c r="E6" s="614">
        <f>'a32'!AF20</f>
        <v>0.33661093635590494</v>
      </c>
      <c r="F6" s="614">
        <f>'a32'!AN20</f>
        <v>0.24619865978159342</v>
      </c>
      <c r="G6" s="614">
        <f>'a32'!AV20</f>
        <v>0.30897372028553644</v>
      </c>
      <c r="H6" s="614">
        <f>'a32'!BD20</f>
        <v>0.36401378612130714</v>
      </c>
      <c r="I6" s="614">
        <f>'a32'!BL20</f>
        <v>0.36745097940101462</v>
      </c>
      <c r="J6" s="614">
        <f>'a32'!BT20</f>
        <v>0.43729049852717394</v>
      </c>
      <c r="K6" s="614">
        <f>'a32'!CB20</f>
        <v>0.53410568872132369</v>
      </c>
      <c r="L6" s="614">
        <f>'a32'!CJ20</f>
        <v>0.38823236055277643</v>
      </c>
    </row>
    <row r="7" spans="1:12">
      <c r="A7" s="611">
        <f t="shared" si="0"/>
        <v>1983</v>
      </c>
      <c r="B7" s="614">
        <f>'a32'!H21</f>
        <v>0.36450091436089638</v>
      </c>
      <c r="C7" s="614">
        <f>'a32'!P21</f>
        <v>0.20301533901070576</v>
      </c>
      <c r="D7" s="614">
        <f>'a32'!X21</f>
        <v>0.26391042430609052</v>
      </c>
      <c r="E7" s="614">
        <f>'a32'!AF21</f>
        <v>0.33980797902572651</v>
      </c>
      <c r="F7" s="614">
        <f>'a32'!AN21</f>
        <v>0.23309838763212257</v>
      </c>
      <c r="G7" s="614">
        <f>'a32'!AV21</f>
        <v>0.32200452992582712</v>
      </c>
      <c r="H7" s="614">
        <f>'a32'!BD21</f>
        <v>0.35342497377177856</v>
      </c>
      <c r="I7" s="614">
        <f>'a32'!BL21</f>
        <v>0.34087089432457679</v>
      </c>
      <c r="J7" s="614">
        <f>'a32'!BT21</f>
        <v>0.43871606115419631</v>
      </c>
      <c r="K7" s="614">
        <f>'a32'!CB21</f>
        <v>0.53314986957148169</v>
      </c>
      <c r="L7" s="614">
        <f>'a32'!CJ21</f>
        <v>0.39297745729922623</v>
      </c>
    </row>
    <row r="8" spans="1:12">
      <c r="A8" s="611">
        <f t="shared" si="0"/>
        <v>1984</v>
      </c>
      <c r="B8" s="614">
        <f>'a32'!H22</f>
        <v>0.37826008781696779</v>
      </c>
      <c r="C8" s="614">
        <f>'a32'!P22</f>
        <v>0.25726157248220599</v>
      </c>
      <c r="D8" s="614">
        <f>'a32'!X22</f>
        <v>0.30154132670906236</v>
      </c>
      <c r="E8" s="614">
        <f>'a32'!AF22</f>
        <v>0.34202922017866588</v>
      </c>
      <c r="F8" s="614">
        <f>'a32'!AN22</f>
        <v>0.26268573074109036</v>
      </c>
      <c r="G8" s="614">
        <f>'a32'!AV22</f>
        <v>0.34175590708565151</v>
      </c>
      <c r="H8" s="614">
        <f>'a32'!BD22</f>
        <v>0.37512531107189018</v>
      </c>
      <c r="I8" s="614">
        <f>'a32'!BL22</f>
        <v>0.39381750340226812</v>
      </c>
      <c r="J8" s="614">
        <f>'a32'!BT22</f>
        <v>0.42876892257418264</v>
      </c>
      <c r="K8" s="614">
        <f>'a32'!CB22</f>
        <v>0.5300804828420792</v>
      </c>
      <c r="L8" s="614">
        <f>'a32'!CJ22</f>
        <v>0.37040756797249519</v>
      </c>
    </row>
    <row r="9" spans="1:12">
      <c r="A9" s="611">
        <f t="shared" si="0"/>
        <v>1985</v>
      </c>
      <c r="B9" s="614">
        <f>'a32'!H23</f>
        <v>0.38837260293056602</v>
      </c>
      <c r="C9" s="614">
        <f>'a32'!P23</f>
        <v>0.26799244099368175</v>
      </c>
      <c r="D9" s="614">
        <f>'a32'!X23</f>
        <v>0.29387272652344915</v>
      </c>
      <c r="E9" s="614">
        <f>'a32'!AF23</f>
        <v>0.34747377095197707</v>
      </c>
      <c r="F9" s="614">
        <f>'a32'!AN23</f>
        <v>0.28268809482498464</v>
      </c>
      <c r="G9" s="614">
        <f>'a32'!AV23</f>
        <v>0.34961926216024458</v>
      </c>
      <c r="H9" s="614">
        <f>'a32'!BD23</f>
        <v>0.39029060081635686</v>
      </c>
      <c r="I9" s="614">
        <f>'a32'!BL23</f>
        <v>0.39558589146014872</v>
      </c>
      <c r="J9" s="614">
        <f>'a32'!BT23</f>
        <v>0.41721139410422142</v>
      </c>
      <c r="K9" s="614">
        <f>'a32'!CB23</f>
        <v>0.55234937348839563</v>
      </c>
      <c r="L9" s="614">
        <f>'a32'!CJ23</f>
        <v>0.37350613048704523</v>
      </c>
    </row>
    <row r="10" spans="1:12">
      <c r="A10" s="611">
        <f t="shared" si="0"/>
        <v>1986</v>
      </c>
      <c r="B10" s="614">
        <f>'a32'!H24</f>
        <v>0.38706324336300063</v>
      </c>
      <c r="C10" s="614">
        <f>'a32'!P24</f>
        <v>0.30075461300757583</v>
      </c>
      <c r="D10" s="614">
        <f>'a32'!X24</f>
        <v>0.31093650732345729</v>
      </c>
      <c r="E10" s="614">
        <f>'a32'!AF24</f>
        <v>0.34095495997308928</v>
      </c>
      <c r="F10" s="614">
        <f>'a32'!AN24</f>
        <v>0.29793404941433427</v>
      </c>
      <c r="G10" s="614">
        <f>'a32'!AV24</f>
        <v>0.3528927767860508</v>
      </c>
      <c r="H10" s="614">
        <f>'a32'!BD24</f>
        <v>0.401025310609048</v>
      </c>
      <c r="I10" s="614">
        <f>'a32'!BL24</f>
        <v>0.38847816631581494</v>
      </c>
      <c r="J10" s="614">
        <f>'a32'!BT24</f>
        <v>0.40406447081853258</v>
      </c>
      <c r="K10" s="614">
        <f>'a32'!CB24</f>
        <v>0.50518106738231117</v>
      </c>
      <c r="L10" s="614">
        <f>'a32'!CJ24</f>
        <v>0.37559889158152054</v>
      </c>
    </row>
    <row r="11" spans="1:12">
      <c r="A11" s="611">
        <f t="shared" si="0"/>
        <v>1987</v>
      </c>
      <c r="B11" s="614">
        <f>'a32'!H25</f>
        <v>0.39415939616050527</v>
      </c>
      <c r="C11" s="614">
        <f>'a32'!P25</f>
        <v>0.29629959719949589</v>
      </c>
      <c r="D11" s="614">
        <f>'a32'!X25</f>
        <v>0.3232754022739745</v>
      </c>
      <c r="E11" s="614">
        <f>'a32'!AF25</f>
        <v>0.36159145378781404</v>
      </c>
      <c r="F11" s="614">
        <f>'a32'!AN25</f>
        <v>0.3052419511618048</v>
      </c>
      <c r="G11" s="614">
        <f>'a32'!AV25</f>
        <v>0.36008400870889457</v>
      </c>
      <c r="H11" s="614">
        <f>'a32'!BD25</f>
        <v>0.41277364328115995</v>
      </c>
      <c r="I11" s="614">
        <f>'a32'!BL25</f>
        <v>0.40634027108976345</v>
      </c>
      <c r="J11" s="614">
        <f>'a32'!BT25</f>
        <v>0.40392626496740319</v>
      </c>
      <c r="K11" s="614">
        <f>'a32'!CB25</f>
        <v>0.50076247912251626</v>
      </c>
      <c r="L11" s="614">
        <f>'a32'!CJ25</f>
        <v>0.38976336215242791</v>
      </c>
    </row>
    <row r="12" spans="1:12">
      <c r="A12" s="611">
        <f t="shared" si="0"/>
        <v>1988</v>
      </c>
      <c r="B12" s="614">
        <f>'a32'!H26</f>
        <v>0.41942504879342596</v>
      </c>
      <c r="C12" s="614">
        <f>'a32'!P26</f>
        <v>0.33546935925132226</v>
      </c>
      <c r="D12" s="614">
        <f>'a32'!X26</f>
        <v>0.34899565173612856</v>
      </c>
      <c r="E12" s="614">
        <f>'a32'!AF26</f>
        <v>0.39054174142954134</v>
      </c>
      <c r="F12" s="614">
        <f>'a32'!AN26</f>
        <v>0.33696146252987069</v>
      </c>
      <c r="G12" s="614">
        <f>'a32'!AV26</f>
        <v>0.38377297202504512</v>
      </c>
      <c r="H12" s="614">
        <f>'a32'!BD26</f>
        <v>0.43581604344474262</v>
      </c>
      <c r="I12" s="614">
        <f>'a32'!BL26</f>
        <v>0.42576613354726733</v>
      </c>
      <c r="J12" s="614">
        <f>'a32'!BT26</f>
        <v>0.42460382551273951</v>
      </c>
      <c r="K12" s="614">
        <f>'a32'!CB26</f>
        <v>0.49223966514659828</v>
      </c>
      <c r="L12" s="614">
        <f>'a32'!CJ26</f>
        <v>0.43425369813542103</v>
      </c>
    </row>
    <row r="13" spans="1:12">
      <c r="A13" s="611">
        <f t="shared" si="0"/>
        <v>1989</v>
      </c>
      <c r="B13" s="614">
        <f>'a32'!H27</f>
        <v>0.43449262584837084</v>
      </c>
      <c r="C13" s="614">
        <f>'a32'!P27</f>
        <v>0.35252807747019438</v>
      </c>
      <c r="D13" s="614">
        <f>'a32'!X27</f>
        <v>0.34959731258693227</v>
      </c>
      <c r="E13" s="614">
        <f>'a32'!AF27</f>
        <v>0.39724372642653522</v>
      </c>
      <c r="F13" s="614">
        <f>'a32'!AN27</f>
        <v>0.34913919476783234</v>
      </c>
      <c r="G13" s="614">
        <f>'a32'!AV27</f>
        <v>0.38981417155781956</v>
      </c>
      <c r="H13" s="614">
        <f>'a32'!BD27</f>
        <v>0.45668248709120624</v>
      </c>
      <c r="I13" s="614">
        <f>'a32'!BL27</f>
        <v>0.43219079911482999</v>
      </c>
      <c r="J13" s="614">
        <f>'a32'!BT27</f>
        <v>0.43416833304373842</v>
      </c>
      <c r="K13" s="614">
        <f>'a32'!CB27</f>
        <v>0.5099929908980837</v>
      </c>
      <c r="L13" s="614">
        <f>'a32'!CJ27</f>
        <v>0.45256389952569825</v>
      </c>
    </row>
    <row r="14" spans="1:12">
      <c r="A14" s="611">
        <f t="shared" si="0"/>
        <v>1990</v>
      </c>
      <c r="B14" s="614">
        <f>'a32'!H28</f>
        <v>0.43890728096718973</v>
      </c>
      <c r="C14" s="614">
        <f>'a32'!P28</f>
        <v>0.34257625082044446</v>
      </c>
      <c r="D14" s="614">
        <f>'a32'!X28</f>
        <v>0.36386673587550783</v>
      </c>
      <c r="E14" s="614">
        <f>'a32'!AF28</f>
        <v>0.40686649624842852</v>
      </c>
      <c r="F14" s="614">
        <f>'a32'!AN28</f>
        <v>0.35563728035500103</v>
      </c>
      <c r="G14" s="614">
        <f>'a32'!AV28</f>
        <v>0.39163920693612858</v>
      </c>
      <c r="H14" s="614">
        <f>'a32'!BD28</f>
        <v>0.45256001067636148</v>
      </c>
      <c r="I14" s="614">
        <f>'a32'!BL28</f>
        <v>0.43598345767449964</v>
      </c>
      <c r="J14" s="614">
        <f>'a32'!BT28</f>
        <v>0.4461006528979552</v>
      </c>
      <c r="K14" s="614">
        <f>'a32'!CB28</f>
        <v>0.52187895438830312</v>
      </c>
      <c r="L14" s="614">
        <f>'a32'!CJ28</f>
        <v>0.47577440004224991</v>
      </c>
    </row>
    <row r="15" spans="1:12">
      <c r="A15" s="611">
        <f t="shared" si="0"/>
        <v>1991</v>
      </c>
      <c r="B15" s="614">
        <f>'a32'!H29</f>
        <v>0.42899419073597844</v>
      </c>
      <c r="C15" s="614">
        <f>'a32'!P29</f>
        <v>0.33594621120205587</v>
      </c>
      <c r="D15" s="614">
        <f>'a32'!X29</f>
        <v>0.35083825584445244</v>
      </c>
      <c r="E15" s="614">
        <f>'a32'!AF29</f>
        <v>0.40297830578847799</v>
      </c>
      <c r="F15" s="614">
        <f>'a32'!AN29</f>
        <v>0.35024103708705062</v>
      </c>
      <c r="G15" s="614">
        <f>'a32'!AV29</f>
        <v>0.39029763091903397</v>
      </c>
      <c r="H15" s="614">
        <f>'a32'!BD29</f>
        <v>0.43804523749710017</v>
      </c>
      <c r="I15" s="614">
        <f>'a32'!BL29</f>
        <v>0.43582175676885365</v>
      </c>
      <c r="J15" s="614">
        <f>'a32'!BT29</f>
        <v>0.42987572881855279</v>
      </c>
      <c r="K15" s="614">
        <f>'a32'!CB29</f>
        <v>0.48865307388382151</v>
      </c>
      <c r="L15" s="614">
        <f>'a32'!CJ29</f>
        <v>0.47571696657374135</v>
      </c>
    </row>
    <row r="16" spans="1:12">
      <c r="A16" s="611">
        <f t="shared" si="0"/>
        <v>1992</v>
      </c>
      <c r="B16" s="614">
        <f>'a32'!H30</f>
        <v>0.4305005563394606</v>
      </c>
      <c r="C16" s="614">
        <f>'a32'!P30</f>
        <v>0.32849167182362504</v>
      </c>
      <c r="D16" s="614">
        <f>'a32'!X30</f>
        <v>0.36113704675237707</v>
      </c>
      <c r="E16" s="614">
        <f>'a32'!AF30</f>
        <v>0.40341199957539625</v>
      </c>
      <c r="F16" s="614">
        <f>'a32'!AN30</f>
        <v>0.33721367020428</v>
      </c>
      <c r="G16" s="614">
        <f>'a32'!AV30</f>
        <v>0.38950725093709337</v>
      </c>
      <c r="H16" s="614">
        <f>'a32'!BD30</f>
        <v>0.44670220387870979</v>
      </c>
      <c r="I16" s="614">
        <f>'a32'!BL30</f>
        <v>0.42971097274822084</v>
      </c>
      <c r="J16" s="614">
        <f>'a32'!BT30</f>
        <v>0.42976914051632314</v>
      </c>
      <c r="K16" s="614">
        <f>'a32'!CB30</f>
        <v>0.48718101199246711</v>
      </c>
      <c r="L16" s="614">
        <f>'a32'!CJ30</f>
        <v>0.47333458171175297</v>
      </c>
    </row>
    <row r="17" spans="1:12">
      <c r="A17" s="611">
        <f t="shared" si="0"/>
        <v>1993</v>
      </c>
      <c r="B17" s="614">
        <f>'a32'!H31</f>
        <v>0.42808303721202384</v>
      </c>
      <c r="C17" s="614">
        <f>'a32'!P31</f>
        <v>0.32789457568425978</v>
      </c>
      <c r="D17" s="614">
        <f>'a32'!X31</f>
        <v>0.32724435322841156</v>
      </c>
      <c r="E17" s="614">
        <f>'a32'!AF31</f>
        <v>0.39762629623769735</v>
      </c>
      <c r="F17" s="614">
        <f>'a32'!AN31</f>
        <v>0.34279353240584071</v>
      </c>
      <c r="G17" s="614">
        <f>'a32'!AV31</f>
        <v>0.3829559058081819</v>
      </c>
      <c r="H17" s="614">
        <f>'a32'!BD31</f>
        <v>0.44032606401665725</v>
      </c>
      <c r="I17" s="614">
        <f>'a32'!BL31</f>
        <v>0.43219736943378101</v>
      </c>
      <c r="J17" s="614">
        <f>'a32'!BT31</f>
        <v>0.42453742429163843</v>
      </c>
      <c r="K17" s="614">
        <f>'a32'!CB31</f>
        <v>0.49937188965910062</v>
      </c>
      <c r="L17" s="614">
        <f>'a32'!CJ31</f>
        <v>0.4746393894729839</v>
      </c>
    </row>
    <row r="18" spans="1:12">
      <c r="A18" s="611">
        <f t="shared" si="0"/>
        <v>1994</v>
      </c>
      <c r="B18" s="614">
        <f>'a32'!H32</f>
        <v>0.43729079951622946</v>
      </c>
      <c r="C18" s="614">
        <f>'a32'!P32</f>
        <v>0.33506893492091711</v>
      </c>
      <c r="D18" s="614">
        <f>'a32'!X32</f>
        <v>0.32509113090447289</v>
      </c>
      <c r="E18" s="614">
        <f>'a32'!AF32</f>
        <v>0.39911388741017717</v>
      </c>
      <c r="F18" s="614">
        <f>'a32'!AN32</f>
        <v>0.34485654727790171</v>
      </c>
      <c r="G18" s="614">
        <f>'a32'!AV32</f>
        <v>0.39577527188382478</v>
      </c>
      <c r="H18" s="614">
        <f>'a32'!BD32</f>
        <v>0.45171232263432054</v>
      </c>
      <c r="I18" s="614">
        <f>'a32'!BL32</f>
        <v>0.42900438141018488</v>
      </c>
      <c r="J18" s="614">
        <f>'a32'!BT32</f>
        <v>0.4317407633969057</v>
      </c>
      <c r="K18" s="614">
        <f>'a32'!CB32</f>
        <v>0.49894870192023277</v>
      </c>
      <c r="L18" s="614">
        <f>'a32'!CJ32</f>
        <v>0.48905423800604497</v>
      </c>
    </row>
    <row r="19" spans="1:12">
      <c r="A19" s="611">
        <f t="shared" si="0"/>
        <v>1995</v>
      </c>
      <c r="B19" s="614">
        <f>'a32'!H33</f>
        <v>0.44651724686443228</v>
      </c>
      <c r="C19" s="614">
        <f>'a32'!P33</f>
        <v>0.3512807279507128</v>
      </c>
      <c r="D19" s="614">
        <f>'a32'!X33</f>
        <v>0.32654206550256865</v>
      </c>
      <c r="E19" s="614">
        <f>'a32'!AF33</f>
        <v>0.41305641778184005</v>
      </c>
      <c r="F19" s="614">
        <f>'a32'!AN33</f>
        <v>0.37647776954211259</v>
      </c>
      <c r="G19" s="614">
        <f>'a32'!AV33</f>
        <v>0.40663919504702056</v>
      </c>
      <c r="H19" s="614">
        <f>'a32'!BD33</f>
        <v>0.45539836681491902</v>
      </c>
      <c r="I19" s="614">
        <f>'a32'!BL33</f>
        <v>0.44887749211015571</v>
      </c>
      <c r="J19" s="614">
        <f>'a32'!BT33</f>
        <v>0.44420675297968026</v>
      </c>
      <c r="K19" s="614">
        <f>'a32'!CB33</f>
        <v>0.50364332910125764</v>
      </c>
      <c r="L19" s="614">
        <f>'a32'!CJ33</f>
        <v>0.50147440727981862</v>
      </c>
    </row>
    <row r="20" spans="1:12">
      <c r="A20" s="611">
        <f t="shared" si="0"/>
        <v>1996</v>
      </c>
      <c r="B20" s="614">
        <f>'a32'!H34</f>
        <v>0.45091284586268499</v>
      </c>
      <c r="C20" s="614">
        <f>'a32'!P34</f>
        <v>0.35652644842245085</v>
      </c>
      <c r="D20" s="614">
        <f>'a32'!X34</f>
        <v>0.33299160313201687</v>
      </c>
      <c r="E20" s="614">
        <f>'a32'!AF34</f>
        <v>0.40543071825599614</v>
      </c>
      <c r="F20" s="614">
        <f>'a32'!AN34</f>
        <v>0.38537937700144981</v>
      </c>
      <c r="G20" s="614">
        <f>'a32'!AV34</f>
        <v>0.41653952671227135</v>
      </c>
      <c r="H20" s="614">
        <f>'a32'!BD34</f>
        <v>0.45278306054803591</v>
      </c>
      <c r="I20" s="614">
        <f>'a32'!BL34</f>
        <v>0.44363262402114834</v>
      </c>
      <c r="J20" s="614">
        <f>'a32'!BT34</f>
        <v>0.45550770620742531</v>
      </c>
      <c r="K20" s="614">
        <f>'a32'!CB34</f>
        <v>0.52629470976096682</v>
      </c>
      <c r="L20" s="614">
        <f>'a32'!CJ34</f>
        <v>0.50626226514857897</v>
      </c>
    </row>
    <row r="21" spans="1:12">
      <c r="A21" s="611">
        <f t="shared" si="0"/>
        <v>1997</v>
      </c>
      <c r="B21" s="614">
        <f>'a32'!H35</f>
        <v>0.46291593727734837</v>
      </c>
      <c r="C21" s="614">
        <f>'a32'!P35</f>
        <v>0.37627888560950223</v>
      </c>
      <c r="D21" s="614">
        <f>'a32'!X35</f>
        <v>0.34380972526637699</v>
      </c>
      <c r="E21" s="614">
        <f>'a32'!AF35</f>
        <v>0.40678231494617867</v>
      </c>
      <c r="F21" s="614">
        <f>'a32'!AN35</f>
        <v>0.38294425031716495</v>
      </c>
      <c r="G21" s="614">
        <f>'a32'!AV35</f>
        <v>0.42391701245997132</v>
      </c>
      <c r="H21" s="614">
        <f>'a32'!BD35</f>
        <v>0.4683909981371393</v>
      </c>
      <c r="I21" s="614">
        <f>'a32'!BL35</f>
        <v>0.45065638859390544</v>
      </c>
      <c r="J21" s="614">
        <f>'a32'!BT35</f>
        <v>0.46775961680485684</v>
      </c>
      <c r="K21" s="614">
        <f>'a32'!CB35</f>
        <v>0.54222266751072112</v>
      </c>
      <c r="L21" s="614">
        <f>'a32'!CJ35</f>
        <v>0.51793191321248699</v>
      </c>
    </row>
    <row r="22" spans="1:12">
      <c r="A22" s="611">
        <f t="shared" si="0"/>
        <v>1998</v>
      </c>
      <c r="B22" s="614">
        <f>'a32'!H36</f>
        <v>0.47433467588882933</v>
      </c>
      <c r="C22" s="614">
        <f>'a32'!P36</f>
        <v>0.38988528102204434</v>
      </c>
      <c r="D22" s="614">
        <f>'a32'!X36</f>
        <v>0.35300098229511878</v>
      </c>
      <c r="E22" s="614">
        <f>'a32'!AF36</f>
        <v>0.41869586059012548</v>
      </c>
      <c r="F22" s="614">
        <f>'a32'!AN36</f>
        <v>0.4013946317598675</v>
      </c>
      <c r="G22" s="614">
        <f>'a32'!AV36</f>
        <v>0.44270273189778547</v>
      </c>
      <c r="H22" s="614">
        <f>'a32'!BD36</f>
        <v>0.48040489884684606</v>
      </c>
      <c r="I22" s="614">
        <f>'a32'!BL36</f>
        <v>0.46665624662808919</v>
      </c>
      <c r="J22" s="614">
        <f>'a32'!BT36</f>
        <v>0.48865028822639722</v>
      </c>
      <c r="K22" s="614">
        <f>'a32'!CB36</f>
        <v>0.549042268879671</v>
      </c>
      <c r="L22" s="614">
        <f>'a32'!CJ36</f>
        <v>0.51464610724300908</v>
      </c>
    </row>
    <row r="23" spans="1:12">
      <c r="A23" s="611">
        <f t="shared" si="0"/>
        <v>1999</v>
      </c>
      <c r="B23" s="614">
        <f>'a32'!H37</f>
        <v>0.49021523873506306</v>
      </c>
      <c r="C23" s="614">
        <f>'a32'!P37</f>
        <v>0.42454695594702008</v>
      </c>
      <c r="D23" s="614">
        <f>'a32'!X37</f>
        <v>0.37006787605095165</v>
      </c>
      <c r="E23" s="614">
        <f>'a32'!AF37</f>
        <v>0.45613394495341436</v>
      </c>
      <c r="F23" s="614">
        <f>'a32'!AN37</f>
        <v>0.41659685580705458</v>
      </c>
      <c r="G23" s="614">
        <f>'a32'!AV37</f>
        <v>0.45462397843480346</v>
      </c>
      <c r="H23" s="614">
        <f>'a32'!BD37</f>
        <v>0.49646954795939485</v>
      </c>
      <c r="I23" s="614">
        <f>'a32'!BL37</f>
        <v>0.46178686129711344</v>
      </c>
      <c r="J23" s="614">
        <f>'a32'!BT37</f>
        <v>0.49692332252565002</v>
      </c>
      <c r="K23" s="614">
        <f>'a32'!CB37</f>
        <v>0.58135014394225459</v>
      </c>
      <c r="L23" s="614">
        <f>'a32'!CJ37</f>
        <v>0.52991085451688436</v>
      </c>
    </row>
    <row r="24" spans="1:12">
      <c r="A24" s="611">
        <f t="shared" si="0"/>
        <v>2000</v>
      </c>
      <c r="B24" s="614">
        <f>'a32'!H38</f>
        <v>0.51220388622629642</v>
      </c>
      <c r="C24" s="614">
        <f>'a32'!P38</f>
        <v>0.45008157710066893</v>
      </c>
      <c r="D24" s="614">
        <f>'a32'!X38</f>
        <v>0.39280153621871455</v>
      </c>
      <c r="E24" s="614">
        <f>'a32'!AF38</f>
        <v>0.46271542972750207</v>
      </c>
      <c r="F24" s="614">
        <f>'a32'!AN38</f>
        <v>0.43055930023685662</v>
      </c>
      <c r="G24" s="614">
        <f>'a32'!AV38</f>
        <v>0.46944967980092356</v>
      </c>
      <c r="H24" s="614">
        <f>'a32'!BD38</f>
        <v>0.51127698422333789</v>
      </c>
      <c r="I24" s="614">
        <f>'a32'!BL38</f>
        <v>0.4748868269326274</v>
      </c>
      <c r="J24" s="614">
        <f>'a32'!BT38</f>
        <v>0.51683806086157302</v>
      </c>
      <c r="K24" s="614">
        <f>'a32'!CB38</f>
        <v>0.63429856879282775</v>
      </c>
      <c r="L24" s="614">
        <f>'a32'!CJ38</f>
        <v>0.5604603812533514</v>
      </c>
    </row>
    <row r="25" spans="1:12">
      <c r="A25" s="611">
        <f t="shared" si="0"/>
        <v>2001</v>
      </c>
      <c r="B25" s="614">
        <f>'a32'!H39</f>
        <v>0.50922320746356842</v>
      </c>
      <c r="C25" s="614">
        <f>'a32'!P39</f>
        <v>0.46830899581675256</v>
      </c>
      <c r="D25" s="614">
        <f>'a32'!X39</f>
        <v>0.38667962780003123</v>
      </c>
      <c r="E25" s="614">
        <f>'a32'!AF39</f>
        <v>0.46184241617928956</v>
      </c>
      <c r="F25" s="614">
        <f>'a32'!AN39</f>
        <v>0.41466145748490907</v>
      </c>
      <c r="G25" s="614">
        <f>'a32'!AV39</f>
        <v>0.4743827208235743</v>
      </c>
      <c r="H25" s="614">
        <f>'a32'!BD39</f>
        <v>0.50687930102129075</v>
      </c>
      <c r="I25" s="614">
        <f>'a32'!BL39</f>
        <v>0.47029779282110457</v>
      </c>
      <c r="J25" s="614">
        <f>'a32'!BT39</f>
        <v>0.51277617654773222</v>
      </c>
      <c r="K25" s="614">
        <f>'a32'!CB39</f>
        <v>0.62928947465046081</v>
      </c>
      <c r="L25" s="614">
        <f>'a32'!CJ39</f>
        <v>0.54824906843915622</v>
      </c>
    </row>
    <row r="26" spans="1:12">
      <c r="A26" s="611">
        <f t="shared" si="0"/>
        <v>2002</v>
      </c>
      <c r="B26" s="614">
        <f>'a32'!H40</f>
        <v>0.50322346394124995</v>
      </c>
      <c r="C26" s="614">
        <f>'a32'!P40</f>
        <v>0.47693700778485876</v>
      </c>
      <c r="D26" s="614">
        <f>'a32'!X40</f>
        <v>0.41065153435064844</v>
      </c>
      <c r="E26" s="614">
        <f>'a32'!AF40</f>
        <v>0.45797600457251164</v>
      </c>
      <c r="F26" s="614">
        <f>'a32'!AN40</f>
        <v>0.42325777224922184</v>
      </c>
      <c r="G26" s="614">
        <f>'a32'!AV40</f>
        <v>0.47436043683007184</v>
      </c>
      <c r="H26" s="614">
        <f>'a32'!BD40</f>
        <v>0.49702052596054092</v>
      </c>
      <c r="I26" s="614">
        <f>'a32'!BL40</f>
        <v>0.4801459188918708</v>
      </c>
      <c r="J26" s="614">
        <f>'a32'!BT40</f>
        <v>0.51018206663084353</v>
      </c>
      <c r="K26" s="614">
        <f>'a32'!CB40</f>
        <v>0.62752573535141065</v>
      </c>
      <c r="L26" s="614">
        <f>'a32'!CJ40</f>
        <v>0.53331689442128172</v>
      </c>
    </row>
    <row r="27" spans="1:12">
      <c r="A27" s="611">
        <f t="shared" si="0"/>
        <v>2003</v>
      </c>
      <c r="B27" s="614">
        <f>'a32'!H41</f>
        <v>0.51305154799722708</v>
      </c>
      <c r="C27" s="614">
        <f>'a32'!P41</f>
        <v>0.47280102763258963</v>
      </c>
      <c r="D27" s="614">
        <f>'a32'!X41</f>
        <v>0.41133416126383593</v>
      </c>
      <c r="E27" s="614">
        <f>'a32'!AF41</f>
        <v>0.46731993412211859</v>
      </c>
      <c r="F27" s="614">
        <f>'a32'!AN41</f>
        <v>0.42190272615883334</v>
      </c>
      <c r="G27" s="614">
        <f>'a32'!AV41</f>
        <v>0.48303884995597252</v>
      </c>
      <c r="H27" s="614">
        <f>'a32'!BD41</f>
        <v>0.50673424544311385</v>
      </c>
      <c r="I27" s="614">
        <f>'a32'!BL41</f>
        <v>0.48973597260772966</v>
      </c>
      <c r="J27" s="614">
        <f>'a32'!BT41</f>
        <v>0.52773488278905145</v>
      </c>
      <c r="K27" s="614">
        <f>'a32'!CB41</f>
        <v>0.64063740713180728</v>
      </c>
      <c r="L27" s="614">
        <f>'a32'!CJ41</f>
        <v>0.54078677802379616</v>
      </c>
    </row>
    <row r="28" spans="1:12">
      <c r="A28" s="611">
        <f t="shared" si="0"/>
        <v>2004</v>
      </c>
      <c r="B28" s="614">
        <f>'a32'!H42</f>
        <v>0.52850617591969495</v>
      </c>
      <c r="C28" s="614">
        <f>'a32'!P42</f>
        <v>0.48758988327233482</v>
      </c>
      <c r="D28" s="614">
        <f>'a32'!X42</f>
        <v>0.41278758859550946</v>
      </c>
      <c r="E28" s="614">
        <f>'a32'!AF42</f>
        <v>0.48347838975145124</v>
      </c>
      <c r="F28" s="614">
        <f>'a32'!AN42</f>
        <v>0.44238311894401844</v>
      </c>
      <c r="G28" s="614">
        <f>'a32'!AV42</f>
        <v>0.50296726846207207</v>
      </c>
      <c r="H28" s="614">
        <f>'a32'!BD42</f>
        <v>0.5158666216553992</v>
      </c>
      <c r="I28" s="614">
        <f>'a32'!BL42</f>
        <v>0.49958781323776186</v>
      </c>
      <c r="J28" s="614">
        <f>'a32'!BT42</f>
        <v>0.54683190458919195</v>
      </c>
      <c r="K28" s="614">
        <f>'a32'!CB42</f>
        <v>0.66082631945809156</v>
      </c>
      <c r="L28" s="614">
        <f>'a32'!CJ42</f>
        <v>0.55828010983939846</v>
      </c>
    </row>
    <row r="29" spans="1:12">
      <c r="A29" s="611">
        <f t="shared" si="0"/>
        <v>2005</v>
      </c>
      <c r="B29" s="614">
        <f>'a32'!H43</f>
        <v>0.54555323272624212</v>
      </c>
      <c r="C29" s="614">
        <f>'a32'!P43</f>
        <v>0.55290445472434813</v>
      </c>
      <c r="D29" s="614">
        <f>'a32'!X43</f>
        <v>0.43636574525814859</v>
      </c>
      <c r="E29" s="614">
        <f>'a32'!AF43</f>
        <v>0.49591389885592813</v>
      </c>
      <c r="F29" s="614">
        <f>'a32'!AN43</f>
        <v>0.43962579759756309</v>
      </c>
      <c r="G29" s="614">
        <f>'a32'!AV43</f>
        <v>0.5050500200409076</v>
      </c>
      <c r="H29" s="614">
        <f>'a32'!BD43</f>
        <v>0.52307228115570703</v>
      </c>
      <c r="I29" s="614">
        <f>'a32'!BL43</f>
        <v>0.50564102205634753</v>
      </c>
      <c r="J29" s="614">
        <f>'a32'!BT43</f>
        <v>0.56862937262254754</v>
      </c>
      <c r="K29" s="614">
        <f>'a32'!CB43</f>
        <v>0.70730849366969661</v>
      </c>
      <c r="L29" s="614">
        <f>'a32'!CJ43</f>
        <v>0.59207274867615622</v>
      </c>
    </row>
    <row r="30" spans="1:12">
      <c r="A30" s="611">
        <f t="shared" si="0"/>
        <v>2006</v>
      </c>
      <c r="B30" s="614">
        <f>'a32'!H44</f>
        <v>0.5653602675684315</v>
      </c>
      <c r="C30" s="614">
        <f>'a32'!P44</f>
        <v>0.59055140005074624</v>
      </c>
      <c r="D30" s="614">
        <f>'a32'!X44</f>
        <v>0.44074050019499689</v>
      </c>
      <c r="E30" s="614">
        <f>'a32'!AF44</f>
        <v>0.50182411189770615</v>
      </c>
      <c r="F30" s="614">
        <f>'a32'!AN44</f>
        <v>0.46201157953314986</v>
      </c>
      <c r="G30" s="614">
        <f>'a32'!AV44</f>
        <v>0.52140501983566345</v>
      </c>
      <c r="H30" s="614">
        <f>'a32'!BD44</f>
        <v>0.54004787043601998</v>
      </c>
      <c r="I30" s="614">
        <f>'a32'!BL44</f>
        <v>0.53028367291976375</v>
      </c>
      <c r="J30" s="614">
        <f>'a32'!BT44</f>
        <v>0.58735121830784942</v>
      </c>
      <c r="K30" s="614">
        <f>'a32'!CB44</f>
        <v>0.74960815863159436</v>
      </c>
      <c r="L30" s="614">
        <f>'a32'!CJ44</f>
        <v>0.60043758828639993</v>
      </c>
    </row>
    <row r="31" spans="1:12">
      <c r="A31" s="611">
        <f t="shared" si="0"/>
        <v>2007</v>
      </c>
      <c r="B31" s="614">
        <f>'a32'!H45</f>
        <v>0.58004500871402176</v>
      </c>
      <c r="C31" s="614">
        <f>'a32'!P45</f>
        <v>0.61655074500501528</v>
      </c>
      <c r="D31" s="614">
        <f>'a32'!X45</f>
        <v>0.46348318306015884</v>
      </c>
      <c r="E31" s="614">
        <f>'a32'!AF45</f>
        <v>0.51257937875813575</v>
      </c>
      <c r="F31" s="614">
        <f>'a32'!AN45</f>
        <v>0.49224036076526123</v>
      </c>
      <c r="G31" s="614">
        <f>'a32'!AV45</f>
        <v>0.53604807591195891</v>
      </c>
      <c r="H31" s="614">
        <f>'a32'!BD45</f>
        <v>0.55392437162992358</v>
      </c>
      <c r="I31" s="614">
        <f>'a32'!BL45</f>
        <v>0.54447420515021105</v>
      </c>
      <c r="J31" s="614">
        <f>'a32'!BT45</f>
        <v>0.6180886984699191</v>
      </c>
      <c r="K31" s="614">
        <f>'a32'!CB45</f>
        <v>0.74476506292941791</v>
      </c>
      <c r="L31" s="614">
        <f>'a32'!CJ45</f>
        <v>0.62172612318617182</v>
      </c>
    </row>
    <row r="32" spans="1:12">
      <c r="A32" s="611">
        <f t="shared" si="0"/>
        <v>2008</v>
      </c>
      <c r="B32" s="614">
        <f>'a32'!H46</f>
        <v>0.60197634434765834</v>
      </c>
      <c r="C32" s="614">
        <f>'a32'!P46</f>
        <v>0.65897890747801535</v>
      </c>
      <c r="D32" s="614">
        <f>'a32'!X46</f>
        <v>0.46170999599237167</v>
      </c>
      <c r="E32" s="614">
        <f>'a32'!AF46</f>
        <v>0.51926984101716622</v>
      </c>
      <c r="F32" s="614">
        <f>'a32'!AN46</f>
        <v>0.49808979284749788</v>
      </c>
      <c r="G32" s="614">
        <f>'a32'!AV46</f>
        <v>0.54698258909072406</v>
      </c>
      <c r="H32" s="614">
        <f>'a32'!BD46</f>
        <v>0.55845994605181826</v>
      </c>
      <c r="I32" s="614">
        <f>'a32'!BL46</f>
        <v>0.56297042885934745</v>
      </c>
      <c r="J32" s="614">
        <f>'a32'!BT46</f>
        <v>0.6695794787879995</v>
      </c>
      <c r="K32" s="614">
        <f>'a32'!CB46</f>
        <v>0.82057823019977449</v>
      </c>
      <c r="L32" s="614">
        <f>'a32'!CJ46</f>
        <v>0.63064163566212328</v>
      </c>
    </row>
    <row r="33" spans="1:12">
      <c r="A33" s="611">
        <f t="shared" si="0"/>
        <v>2009</v>
      </c>
      <c r="B33" s="614">
        <f>'a32'!H47</f>
        <v>0.57483818046366275</v>
      </c>
      <c r="C33" s="614">
        <f>'a32'!P47</f>
        <v>0.67232458897292446</v>
      </c>
      <c r="D33" s="614">
        <f>'a32'!X47</f>
        <v>0.47341448732061481</v>
      </c>
      <c r="E33" s="614">
        <f>'a32'!AF47</f>
        <v>0.51145878551918222</v>
      </c>
      <c r="F33" s="614">
        <f>'a32'!AN47</f>
        <v>0.49004474678364457</v>
      </c>
      <c r="G33" s="614">
        <f>'a32'!AV47</f>
        <v>0.53674493022614966</v>
      </c>
      <c r="H33" s="614">
        <f>'a32'!BD47</f>
        <v>0.54339360141379789</v>
      </c>
      <c r="I33" s="614">
        <f>'a32'!BL47</f>
        <v>0.55084611087701552</v>
      </c>
      <c r="J33" s="614">
        <f>'a32'!BT47</f>
        <v>0.64270562039605716</v>
      </c>
      <c r="K33" s="614">
        <f>'a32'!CB47</f>
        <v>0.78022402278892466</v>
      </c>
      <c r="L33" s="614">
        <f>'a32'!CJ47</f>
        <v>0.60672114995507476</v>
      </c>
    </row>
    <row r="34" spans="1:12">
      <c r="A34" s="611">
        <f t="shared" si="0"/>
        <v>2010</v>
      </c>
      <c r="B34" s="614">
        <f>'a32'!H48</f>
        <v>0.58552847243991757</v>
      </c>
      <c r="C34" s="614">
        <f>'a32'!P48</f>
        <v>0.68792689800575291</v>
      </c>
      <c r="D34" s="614">
        <f>'a32'!X48</f>
        <v>0.49582404872398894</v>
      </c>
      <c r="E34" s="614">
        <f>'a32'!AF48</f>
        <v>0.52041042297501694</v>
      </c>
      <c r="F34" s="614">
        <f>'a32'!AN48</f>
        <v>0.49669635486416513</v>
      </c>
      <c r="G34" s="614">
        <f>'a32'!AV48</f>
        <v>0.54713560361456193</v>
      </c>
      <c r="H34" s="614">
        <f>'a32'!BD48</f>
        <v>0.54940693065200408</v>
      </c>
      <c r="I34" s="614">
        <f>'a32'!BL48</f>
        <v>0.55968815417487539</v>
      </c>
      <c r="J34" s="614">
        <f>'a32'!BT48</f>
        <v>0.64906375507587655</v>
      </c>
      <c r="K34" s="614">
        <f>'a32'!CB48</f>
        <v>0.78911347836548174</v>
      </c>
      <c r="L34" s="614">
        <f>'a32'!CJ48</f>
        <v>0.61404832558718825</v>
      </c>
    </row>
    <row r="35" spans="1:12">
      <c r="A35" s="611" t="s">
        <v>1499</v>
      </c>
      <c r="B35" s="611"/>
      <c r="C35" s="611"/>
      <c r="D35" s="611"/>
      <c r="E35" s="611"/>
      <c r="F35" s="611"/>
      <c r="G35" s="611"/>
      <c r="H35" s="611"/>
      <c r="I35" s="611"/>
      <c r="J35" s="611"/>
      <c r="K35" s="611"/>
      <c r="L35" s="611"/>
    </row>
    <row r="36" spans="1:12">
      <c r="A36" s="611" t="s">
        <v>1498</v>
      </c>
      <c r="B36" s="615">
        <f>B34-B5</f>
        <v>0.20228978540276416</v>
      </c>
      <c r="C36" s="615">
        <f t="shared" ref="C36:L36" si="1">C34-C5</f>
        <v>0.46437135340236257</v>
      </c>
      <c r="D36" s="615">
        <f t="shared" si="1"/>
        <v>0.25260957855507554</v>
      </c>
      <c r="E36" s="615">
        <f t="shared" si="1"/>
        <v>0.18752608513838592</v>
      </c>
      <c r="F36" s="615">
        <f t="shared" si="1"/>
        <v>0.23843563359846043</v>
      </c>
      <c r="G36" s="615">
        <f t="shared" si="1"/>
        <v>0.23080105811984059</v>
      </c>
      <c r="H36" s="615">
        <f t="shared" si="1"/>
        <v>0.1641079920810623</v>
      </c>
      <c r="I36" s="615">
        <f t="shared" si="1"/>
        <v>0.20284045075804275</v>
      </c>
      <c r="J36" s="615">
        <f t="shared" si="1"/>
        <v>0.21441868201697795</v>
      </c>
      <c r="K36" s="615">
        <f t="shared" si="1"/>
        <v>0.22456378131430288</v>
      </c>
      <c r="L36" s="615">
        <f t="shared" si="1"/>
        <v>0.18467558159293623</v>
      </c>
    </row>
    <row r="37" spans="1:12">
      <c r="A37" s="611" t="s">
        <v>1472</v>
      </c>
      <c r="B37" s="615">
        <f>B13-B5</f>
        <v>5.1253938811217425E-2</v>
      </c>
      <c r="C37" s="615">
        <f t="shared" ref="C37:L37" si="2">C13-C5</f>
        <v>0.12897253286680407</v>
      </c>
      <c r="D37" s="615">
        <f t="shared" si="2"/>
        <v>0.10638284241801887</v>
      </c>
      <c r="E37" s="615">
        <f t="shared" si="2"/>
        <v>6.4359388589904198E-2</v>
      </c>
      <c r="F37" s="615">
        <f t="shared" si="2"/>
        <v>9.0878473502127632E-2</v>
      </c>
      <c r="G37" s="615">
        <f t="shared" si="2"/>
        <v>7.3479626063098213E-2</v>
      </c>
      <c r="H37" s="615">
        <f t="shared" si="2"/>
        <v>7.1383548520264462E-2</v>
      </c>
      <c r="I37" s="615">
        <f t="shared" si="2"/>
        <v>7.5343095697997353E-2</v>
      </c>
      <c r="J37" s="615">
        <f t="shared" si="2"/>
        <v>-4.7674001516018194E-4</v>
      </c>
      <c r="K37" s="615">
        <f t="shared" si="2"/>
        <v>-5.4556706153095158E-2</v>
      </c>
      <c r="L37" s="615">
        <f t="shared" si="2"/>
        <v>2.3191155531446239E-2</v>
      </c>
    </row>
    <row r="38" spans="1:12">
      <c r="A38" s="611" t="s">
        <v>1473</v>
      </c>
      <c r="B38" s="615">
        <f>B24-B13</f>
        <v>7.7711260377925584E-2</v>
      </c>
      <c r="C38" s="615">
        <f t="shared" ref="C38:L38" si="3">C24-C13</f>
        <v>9.7553499630474549E-2</v>
      </c>
      <c r="D38" s="615">
        <f t="shared" si="3"/>
        <v>4.3204223631782279E-2</v>
      </c>
      <c r="E38" s="615">
        <f t="shared" si="3"/>
        <v>6.5471703300966855E-2</v>
      </c>
      <c r="F38" s="615">
        <f t="shared" si="3"/>
        <v>8.1420105469024284E-2</v>
      </c>
      <c r="G38" s="615">
        <f t="shared" si="3"/>
        <v>7.9635508243104003E-2</v>
      </c>
      <c r="H38" s="615">
        <f t="shared" si="3"/>
        <v>5.4594497132131659E-2</v>
      </c>
      <c r="I38" s="615">
        <f t="shared" si="3"/>
        <v>4.2696027817797411E-2</v>
      </c>
      <c r="J38" s="615">
        <f t="shared" si="3"/>
        <v>8.2669727817834604E-2</v>
      </c>
      <c r="K38" s="615">
        <f t="shared" si="3"/>
        <v>0.12430557789474406</v>
      </c>
      <c r="L38" s="615">
        <f t="shared" si="3"/>
        <v>0.10789648172765315</v>
      </c>
    </row>
    <row r="39" spans="1:12">
      <c r="A39" s="611" t="s">
        <v>1474</v>
      </c>
      <c r="B39" s="615">
        <f>B32-B24</f>
        <v>8.977245812136192E-2</v>
      </c>
      <c r="C39" s="615">
        <f t="shared" ref="C39:L39" si="4">C32-C24</f>
        <v>0.20889733037734642</v>
      </c>
      <c r="D39" s="615">
        <f t="shared" si="4"/>
        <v>6.8908459773657116E-2</v>
      </c>
      <c r="E39" s="615">
        <f t="shared" si="4"/>
        <v>5.6554411289664153E-2</v>
      </c>
      <c r="F39" s="615">
        <f t="shared" si="4"/>
        <v>6.7530492610641257E-2</v>
      </c>
      <c r="G39" s="615">
        <f t="shared" si="4"/>
        <v>7.75329092898005E-2</v>
      </c>
      <c r="H39" s="615">
        <f t="shared" si="4"/>
        <v>4.7182961828480363E-2</v>
      </c>
      <c r="I39" s="615">
        <f t="shared" si="4"/>
        <v>8.8083601926720045E-2</v>
      </c>
      <c r="J39" s="615">
        <f t="shared" si="4"/>
        <v>0.15274141792642648</v>
      </c>
      <c r="K39" s="615">
        <f t="shared" si="4"/>
        <v>0.18627966140694674</v>
      </c>
      <c r="L39" s="615">
        <f t="shared" si="4"/>
        <v>7.0181254408771876E-2</v>
      </c>
    </row>
    <row r="40" spans="1:12">
      <c r="A40" s="611" t="s">
        <v>1500</v>
      </c>
      <c r="B40" s="611"/>
      <c r="C40" s="611"/>
      <c r="D40" s="611"/>
      <c r="E40" s="611"/>
      <c r="F40" s="611"/>
      <c r="G40" s="611"/>
      <c r="H40" s="611"/>
      <c r="I40" s="611"/>
      <c r="J40" s="611"/>
      <c r="K40" s="611"/>
      <c r="L40" s="611"/>
    </row>
    <row r="41" spans="1:12">
      <c r="A41" s="611" t="s">
        <v>1498</v>
      </c>
      <c r="B41" s="616">
        <f>100*(B34-B5)/B5</f>
        <v>52.784280983394815</v>
      </c>
      <c r="C41" s="616">
        <f t="shared" ref="C41:L41" si="5">100*(C34-C5)/C5</f>
        <v>207.72079450152015</v>
      </c>
      <c r="D41" s="616">
        <f t="shared" si="5"/>
        <v>103.86289038626576</v>
      </c>
      <c r="E41" s="616">
        <f t="shared" si="5"/>
        <v>56.333706282816379</v>
      </c>
      <c r="F41" s="616">
        <f t="shared" si="5"/>
        <v>92.323614845461634</v>
      </c>
      <c r="G41" s="616">
        <f t="shared" si="5"/>
        <v>72.961066505994978</v>
      </c>
      <c r="H41" s="616">
        <f t="shared" si="5"/>
        <v>42.592381045671246</v>
      </c>
      <c r="I41" s="616">
        <f t="shared" si="5"/>
        <v>56.842302420846877</v>
      </c>
      <c r="J41" s="616">
        <f>100*(J34-J5)/J5</f>
        <v>49.331902121417151</v>
      </c>
      <c r="K41" s="616">
        <f t="shared" si="5"/>
        <v>39.777504529232829</v>
      </c>
      <c r="L41" s="616">
        <f t="shared" si="5"/>
        <v>43.010550663972396</v>
      </c>
    </row>
    <row r="42" spans="1:12">
      <c r="A42" s="611" t="s">
        <v>1472</v>
      </c>
      <c r="B42" s="616">
        <f>100*(B13-B5)/B5</f>
        <v>13.373894793207182</v>
      </c>
      <c r="C42" s="616">
        <f t="shared" ref="C42:L42" si="6">100*(C13-C5)/C5</f>
        <v>57.69149367134424</v>
      </c>
      <c r="D42" s="616">
        <f t="shared" si="6"/>
        <v>43.740342564377677</v>
      </c>
      <c r="E42" s="616">
        <f t="shared" si="6"/>
        <v>19.333859023878055</v>
      </c>
      <c r="F42" s="616">
        <f t="shared" si="6"/>
        <v>35.188654727185451</v>
      </c>
      <c r="G42" s="616">
        <f t="shared" si="6"/>
        <v>23.228454530055227</v>
      </c>
      <c r="H42" s="616">
        <f t="shared" si="6"/>
        <v>18.526796046992281</v>
      </c>
      <c r="I42" s="616">
        <f t="shared" si="6"/>
        <v>21.113515647315047</v>
      </c>
      <c r="J42" s="616">
        <f t="shared" si="6"/>
        <v>-0.10968490032684186</v>
      </c>
      <c r="K42" s="616">
        <f t="shared" si="6"/>
        <v>-9.663756164968655</v>
      </c>
      <c r="L42" s="616">
        <f t="shared" si="6"/>
        <v>5.4011708604765785</v>
      </c>
    </row>
    <row r="43" spans="1:12">
      <c r="A43" s="611" t="s">
        <v>1473</v>
      </c>
      <c r="B43" s="616">
        <f>100*(B24-B13)/B13</f>
        <v>17.885518822371278</v>
      </c>
      <c r="C43" s="616">
        <f t="shared" ref="C43:L43" si="7">100*(C24-C13)/C13</f>
        <v>27.672547483461802</v>
      </c>
      <c r="D43" s="616">
        <f t="shared" si="7"/>
        <v>12.358282537151638</v>
      </c>
      <c r="E43" s="616">
        <f t="shared" si="7"/>
        <v>16.481494595251952</v>
      </c>
      <c r="F43" s="616">
        <f t="shared" si="7"/>
        <v>23.320242095181076</v>
      </c>
      <c r="G43" s="616">
        <f t="shared" si="7"/>
        <v>20.429095208328512</v>
      </c>
      <c r="H43" s="616">
        <f t="shared" si="7"/>
        <v>11.954585226130718</v>
      </c>
      <c r="I43" s="616">
        <f t="shared" si="7"/>
        <v>9.878976578224977</v>
      </c>
      <c r="J43" s="616">
        <f t="shared" si="7"/>
        <v>19.040939084220682</v>
      </c>
      <c r="K43" s="616">
        <f t="shared" si="7"/>
        <v>24.373977704251452</v>
      </c>
      <c r="L43" s="616">
        <f t="shared" si="7"/>
        <v>23.841159633088761</v>
      </c>
    </row>
    <row r="44" spans="1:12">
      <c r="A44" s="611" t="s">
        <v>1474</v>
      </c>
      <c r="B44" s="616">
        <f>100*(B32-B24)/B24</f>
        <v>17.52670382545665</v>
      </c>
      <c r="C44" s="616">
        <f t="shared" ref="C44:L44" si="8">100*(C32-C24)/C24</f>
        <v>46.413215071591956</v>
      </c>
      <c r="D44" s="616">
        <f t="shared" si="8"/>
        <v>17.542818298777838</v>
      </c>
      <c r="E44" s="616">
        <f t="shared" si="8"/>
        <v>12.222287751020023</v>
      </c>
      <c r="F44" s="616">
        <f t="shared" si="8"/>
        <v>15.684365097558409</v>
      </c>
      <c r="G44" s="616">
        <f t="shared" si="8"/>
        <v>16.515701815512873</v>
      </c>
      <c r="H44" s="616">
        <f t="shared" si="8"/>
        <v>9.2284541030444132</v>
      </c>
      <c r="I44" s="616">
        <f t="shared" si="8"/>
        <v>18.548335504622568</v>
      </c>
      <c r="J44" s="616">
        <f t="shared" si="8"/>
        <v>29.553051428102133</v>
      </c>
      <c r="K44" s="616">
        <f t="shared" si="8"/>
        <v>29.367819915070424</v>
      </c>
      <c r="L44" s="616">
        <f t="shared" si="8"/>
        <v>12.522072345564606</v>
      </c>
    </row>
    <row r="45" spans="1:12">
      <c r="A45" s="611" t="s">
        <v>1501</v>
      </c>
      <c r="B45" s="611"/>
      <c r="C45" s="611"/>
      <c r="D45" s="611"/>
      <c r="E45" s="611"/>
      <c r="F45" s="611"/>
      <c r="G45" s="611"/>
      <c r="H45" s="611"/>
      <c r="I45" s="611"/>
      <c r="J45" s="611"/>
      <c r="K45" s="611"/>
      <c r="L45" s="611"/>
    </row>
    <row r="46" spans="1:12">
      <c r="A46" s="611" t="s">
        <v>1498</v>
      </c>
      <c r="B46" s="617">
        <f>100*(POWER(B34/B5, 1/29)-1)</f>
        <v>1.4723084530938513</v>
      </c>
      <c r="C46" s="617">
        <f t="shared" ref="C46:L46" si="9">100*(POWER(C34/C5, 1/29)-1)</f>
        <v>3.9520347635062292</v>
      </c>
      <c r="D46" s="617">
        <f t="shared" si="9"/>
        <v>2.4865405513266214</v>
      </c>
      <c r="E46" s="617">
        <f t="shared" si="9"/>
        <v>1.5526988856743751</v>
      </c>
      <c r="F46" s="617">
        <f t="shared" si="9"/>
        <v>2.2808263289727071</v>
      </c>
      <c r="G46" s="617">
        <f t="shared" si="9"/>
        <v>1.907257861452738</v>
      </c>
      <c r="H46" s="617">
        <f t="shared" si="9"/>
        <v>1.2310324558225894</v>
      </c>
      <c r="I46" s="617">
        <f t="shared" si="9"/>
        <v>1.5640733968878884</v>
      </c>
      <c r="J46" s="617">
        <f t="shared" si="9"/>
        <v>1.3923670484641715</v>
      </c>
      <c r="K46" s="617">
        <f t="shared" si="9"/>
        <v>1.1614576928219655</v>
      </c>
      <c r="L46" s="617">
        <f t="shared" si="9"/>
        <v>1.2412549698845199</v>
      </c>
    </row>
    <row r="48" spans="1:12">
      <c r="A48" s="611" t="s">
        <v>1558</v>
      </c>
    </row>
  </sheetData>
  <pageMargins left="0.7" right="0.7" top="0.75" bottom="0.75" header="0.3" footer="0.3"/>
</worksheet>
</file>

<file path=xl/worksheets/sheet185.xml><?xml version="1.0" encoding="utf-8"?>
<worksheet xmlns="http://schemas.openxmlformats.org/spreadsheetml/2006/main" xmlns:r="http://schemas.openxmlformats.org/officeDocument/2006/relationships">
  <dimension ref="A1:L48"/>
  <sheetViews>
    <sheetView workbookViewId="0">
      <selection activeCell="E9" sqref="E9"/>
    </sheetView>
  </sheetViews>
  <sheetFormatPr defaultRowHeight="12.75"/>
  <cols>
    <col min="1" max="16384" width="9" style="618"/>
  </cols>
  <sheetData>
    <row r="1" spans="1:12">
      <c r="A1" s="611" t="s">
        <v>1565</v>
      </c>
    </row>
    <row r="3" spans="1:12">
      <c r="A3" s="611"/>
      <c r="B3" s="611"/>
      <c r="C3" s="611"/>
      <c r="D3" s="613" t="s">
        <v>1479</v>
      </c>
      <c r="E3" s="611"/>
      <c r="F3" s="611"/>
      <c r="G3" s="611"/>
      <c r="H3" s="611"/>
      <c r="I3" s="611"/>
      <c r="J3" s="611"/>
      <c r="K3" s="611"/>
      <c r="L3" s="611"/>
    </row>
    <row r="4" spans="1:12">
      <c r="A4" s="611"/>
      <c r="B4" s="611" t="s">
        <v>321</v>
      </c>
      <c r="C4" s="611" t="s">
        <v>370</v>
      </c>
      <c r="D4" s="613" t="s">
        <v>1480</v>
      </c>
      <c r="E4" s="611" t="s">
        <v>372</v>
      </c>
      <c r="F4" s="611" t="s">
        <v>373</v>
      </c>
      <c r="G4" s="611" t="s">
        <v>374</v>
      </c>
      <c r="H4" s="611" t="s">
        <v>375</v>
      </c>
      <c r="I4" s="611" t="s">
        <v>376</v>
      </c>
      <c r="J4" s="611" t="s">
        <v>377</v>
      </c>
      <c r="K4" s="611" t="s">
        <v>378</v>
      </c>
      <c r="L4" s="611" t="s">
        <v>379</v>
      </c>
    </row>
    <row r="5" spans="1:12">
      <c r="A5" s="611">
        <v>1981</v>
      </c>
      <c r="B5" s="614">
        <f>'a33'!H19</f>
        <v>0.52447772861809816</v>
      </c>
      <c r="C5" s="614">
        <f>'a33'!P19</f>
        <v>0.3353634259471287</v>
      </c>
      <c r="D5" s="614">
        <f>'a33'!X19</f>
        <v>0.35950196575603222</v>
      </c>
      <c r="E5" s="614">
        <f>'a33'!AF19</f>
        <v>0.45857447960608544</v>
      </c>
      <c r="F5" s="614">
        <f>'a33'!AN19</f>
        <v>0.33136689986878337</v>
      </c>
      <c r="G5" s="614">
        <f>'a33'!AV19</f>
        <v>0.46493808028215533</v>
      </c>
      <c r="H5" s="614">
        <f>'a33'!BD19</f>
        <v>0.58480338825987921</v>
      </c>
      <c r="I5" s="614">
        <f>'a33'!BL19</f>
        <v>0.44474625579475946</v>
      </c>
      <c r="J5" s="614">
        <f>'a33'!BT19</f>
        <v>0.44892457911302897</v>
      </c>
      <c r="K5" s="614">
        <f>'a33'!CB19</f>
        <v>0.63774865524784485</v>
      </c>
      <c r="L5" s="614">
        <f>'a33'!CJ19</f>
        <v>0.55167097247946029</v>
      </c>
    </row>
    <row r="6" spans="1:12">
      <c r="A6" s="611">
        <f t="shared" ref="A6:A34" si="0">A5+1</f>
        <v>1982</v>
      </c>
      <c r="B6" s="614">
        <f>'a33'!H20</f>
        <v>0.50804602797713783</v>
      </c>
      <c r="C6" s="614">
        <f>'a33'!P20</f>
        <v>0.32170264279535021</v>
      </c>
      <c r="D6" s="614">
        <f>'a33'!X20</f>
        <v>0.42517940849290581</v>
      </c>
      <c r="E6" s="614">
        <f>'a33'!AF20</f>
        <v>0.46029564967028436</v>
      </c>
      <c r="F6" s="614">
        <f>'a33'!AN20</f>
        <v>0.32433276398243971</v>
      </c>
      <c r="G6" s="614">
        <f>'a33'!AV20</f>
        <v>0.46756646583269812</v>
      </c>
      <c r="H6" s="614">
        <f>'a33'!BD20</f>
        <v>0.55753890981089549</v>
      </c>
      <c r="I6" s="614">
        <f>'a33'!BL20</f>
        <v>0.46621556478780724</v>
      </c>
      <c r="J6" s="614">
        <f>'a33'!BT20</f>
        <v>0.51302332913028659</v>
      </c>
      <c r="K6" s="614">
        <f>'a33'!CB20</f>
        <v>0.61151253526530425</v>
      </c>
      <c r="L6" s="614">
        <f>'a33'!CJ20</f>
        <v>0.48689676359440892</v>
      </c>
    </row>
    <row r="7" spans="1:12">
      <c r="A7" s="611">
        <f t="shared" si="0"/>
        <v>1983</v>
      </c>
      <c r="B7" s="614">
        <f>'a33'!H21</f>
        <v>0.49034558391430927</v>
      </c>
      <c r="C7" s="614">
        <f>'a33'!P21</f>
        <v>0.23486727174613856</v>
      </c>
      <c r="D7" s="614">
        <f>'a33'!X21</f>
        <v>0.45723763548964763</v>
      </c>
      <c r="E7" s="614">
        <f>'a33'!AF21</f>
        <v>0.46906260484437334</v>
      </c>
      <c r="F7" s="614">
        <f>'a33'!AN21</f>
        <v>0.2754626700193154</v>
      </c>
      <c r="G7" s="614">
        <f>'a33'!AV21</f>
        <v>0.47666570393993779</v>
      </c>
      <c r="H7" s="614">
        <f>'a33'!BD21</f>
        <v>0.51864523830886955</v>
      </c>
      <c r="I7" s="614">
        <f>'a33'!BL21</f>
        <v>0.46178751003062268</v>
      </c>
      <c r="J7" s="614">
        <f>'a33'!BT21</f>
        <v>0.50385688218031421</v>
      </c>
      <c r="K7" s="614">
        <f>'a33'!CB21</f>
        <v>0.54438738404773301</v>
      </c>
      <c r="L7" s="614">
        <f>'a33'!CJ21</f>
        <v>0.51437292370551257</v>
      </c>
    </row>
    <row r="8" spans="1:12">
      <c r="A8" s="611">
        <f t="shared" si="0"/>
        <v>1984</v>
      </c>
      <c r="B8" s="614">
        <f>'a33'!H22</f>
        <v>0.49222835302279683</v>
      </c>
      <c r="C8" s="614">
        <f>'a33'!P22</f>
        <v>0.31198725123249554</v>
      </c>
      <c r="D8" s="614">
        <f>'a33'!X22</f>
        <v>0.45888493813447223</v>
      </c>
      <c r="E8" s="614">
        <f>'a33'!AF22</f>
        <v>0.46631283624281206</v>
      </c>
      <c r="F8" s="614">
        <f>'a33'!AN22</f>
        <v>0.34682880200612165</v>
      </c>
      <c r="G8" s="614">
        <f>'a33'!AV22</f>
        <v>0.46241810320552157</v>
      </c>
      <c r="H8" s="614">
        <f>'a33'!BD22</f>
        <v>0.54544613311450973</v>
      </c>
      <c r="I8" s="614">
        <f>'a33'!BL22</f>
        <v>0.49015079991503918</v>
      </c>
      <c r="J8" s="614">
        <f>'a33'!BT22</f>
        <v>0.44404202625189793</v>
      </c>
      <c r="K8" s="614">
        <f>'a33'!CB22</f>
        <v>0.52469270424434356</v>
      </c>
      <c r="L8" s="614">
        <f>'a33'!CJ22</f>
        <v>0.46697647334187842</v>
      </c>
    </row>
    <row r="9" spans="1:12">
      <c r="A9" s="611">
        <f t="shared" si="0"/>
        <v>1985</v>
      </c>
      <c r="B9" s="614">
        <f>'a33'!H23</f>
        <v>0.51695778601225151</v>
      </c>
      <c r="C9" s="614">
        <f>'a33'!P23</f>
        <v>0.30047830999939906</v>
      </c>
      <c r="D9" s="614">
        <f>'a33'!X23</f>
        <v>0.48167701712217048</v>
      </c>
      <c r="E9" s="614">
        <f>'a33'!AF23</f>
        <v>0.46757081925905009</v>
      </c>
      <c r="F9" s="614">
        <f>'a33'!AN23</f>
        <v>0.41613962030851293</v>
      </c>
      <c r="G9" s="614">
        <f>'a33'!AV23</f>
        <v>0.49200965593453705</v>
      </c>
      <c r="H9" s="614">
        <f>'a33'!BD23</f>
        <v>0.57559247702817729</v>
      </c>
      <c r="I9" s="614">
        <f>'a33'!BL23</f>
        <v>0.51429455079601394</v>
      </c>
      <c r="J9" s="614">
        <f>'a33'!BT23</f>
        <v>0.40345813768132022</v>
      </c>
      <c r="K9" s="614">
        <f>'a33'!CB23</f>
        <v>0.60465575823452844</v>
      </c>
      <c r="L9" s="614">
        <f>'a33'!CJ23</f>
        <v>0.45400136366369231</v>
      </c>
    </row>
    <row r="10" spans="1:12">
      <c r="A10" s="611">
        <f t="shared" si="0"/>
        <v>1986</v>
      </c>
      <c r="B10" s="614">
        <f>'a33'!H24</f>
        <v>0.52584244216464526</v>
      </c>
      <c r="C10" s="614">
        <f>'a33'!P24</f>
        <v>0.36124518579068188</v>
      </c>
      <c r="D10" s="614">
        <f>'a33'!X24</f>
        <v>0.52401462344682415</v>
      </c>
      <c r="E10" s="614">
        <f>'a33'!AF24</f>
        <v>0.46313229565178998</v>
      </c>
      <c r="F10" s="614">
        <f>'a33'!AN24</f>
        <v>0.44797096292798166</v>
      </c>
      <c r="G10" s="614">
        <f>'a33'!AV24</f>
        <v>0.48655333425732628</v>
      </c>
      <c r="H10" s="614">
        <f>'a33'!BD24</f>
        <v>0.59433815742391272</v>
      </c>
      <c r="I10" s="614">
        <f>'a33'!BL24</f>
        <v>0.50626905125484067</v>
      </c>
      <c r="J10" s="614">
        <f>'a33'!BT24</f>
        <v>0.38060997505408201</v>
      </c>
      <c r="K10" s="614">
        <f>'a33'!CB24</f>
        <v>0.58431573520002722</v>
      </c>
      <c r="L10" s="614">
        <f>'a33'!CJ24</f>
        <v>0.50126453608251997</v>
      </c>
    </row>
    <row r="11" spans="1:12">
      <c r="A11" s="611">
        <f t="shared" si="0"/>
        <v>1987</v>
      </c>
      <c r="B11" s="614">
        <f>'a33'!H25</f>
        <v>0.53661381217732607</v>
      </c>
      <c r="C11" s="614">
        <f>'a33'!P25</f>
        <v>0.35691534982221118</v>
      </c>
      <c r="D11" s="614">
        <f>'a33'!X25</f>
        <v>0.51329919442380167</v>
      </c>
      <c r="E11" s="614">
        <f>'a33'!AF25</f>
        <v>0.49790757784533646</v>
      </c>
      <c r="F11" s="614">
        <f>'a33'!AN25</f>
        <v>0.42134826475362896</v>
      </c>
      <c r="G11" s="614">
        <f>'a33'!AV25</f>
        <v>0.49039856751074518</v>
      </c>
      <c r="H11" s="614">
        <f>'a33'!BD25</f>
        <v>0.61876821315527575</v>
      </c>
      <c r="I11" s="614">
        <f>'a33'!BL25</f>
        <v>0.53092886145496998</v>
      </c>
      <c r="J11" s="614">
        <f>'a33'!BT25</f>
        <v>0.46709663480115177</v>
      </c>
      <c r="K11" s="614">
        <f>'a33'!CB25</f>
        <v>0.55486888808801849</v>
      </c>
      <c r="L11" s="614">
        <f>'a33'!CJ25</f>
        <v>0.50419681069766165</v>
      </c>
    </row>
    <row r="12" spans="1:12">
      <c r="A12" s="611">
        <f t="shared" si="0"/>
        <v>1988</v>
      </c>
      <c r="B12" s="614">
        <f>'a33'!H26</f>
        <v>0.56440245671374756</v>
      </c>
      <c r="C12" s="614">
        <f>'a33'!P26</f>
        <v>0.44184132207150617</v>
      </c>
      <c r="D12" s="614">
        <f>'a33'!X26</f>
        <v>0.54474694887517494</v>
      </c>
      <c r="E12" s="614">
        <f>'a33'!AF26</f>
        <v>0.53782028953955885</v>
      </c>
      <c r="F12" s="614">
        <f>'a33'!AN26</f>
        <v>0.47837041338492875</v>
      </c>
      <c r="G12" s="614">
        <f>'a33'!AV26</f>
        <v>0.52285435490764132</v>
      </c>
      <c r="H12" s="614">
        <f>'a33'!BD26</f>
        <v>0.62780348937340635</v>
      </c>
      <c r="I12" s="614">
        <f>'a33'!BL26</f>
        <v>0.54543788468738164</v>
      </c>
      <c r="J12" s="614">
        <f>'a33'!BT26</f>
        <v>0.45110409513864413</v>
      </c>
      <c r="K12" s="614">
        <f>'a33'!CB26</f>
        <v>0.59098219448930989</v>
      </c>
      <c r="L12" s="614">
        <f>'a33'!CJ26</f>
        <v>0.57966446768571489</v>
      </c>
    </row>
    <row r="13" spans="1:12">
      <c r="A13" s="611">
        <f t="shared" si="0"/>
        <v>1989</v>
      </c>
      <c r="B13" s="614">
        <f>'a33'!H27</f>
        <v>0.58259864073699563</v>
      </c>
      <c r="C13" s="614">
        <f>'a33'!P27</f>
        <v>0.48327386810079664</v>
      </c>
      <c r="D13" s="614">
        <f>'a33'!X27</f>
        <v>0.52725090902599436</v>
      </c>
      <c r="E13" s="614">
        <f>'a33'!AF27</f>
        <v>0.53299663483297788</v>
      </c>
      <c r="F13" s="614">
        <f>'a33'!AN27</f>
        <v>0.48753253946001684</v>
      </c>
      <c r="G13" s="614">
        <f>'a33'!AV27</f>
        <v>0.54116578117497272</v>
      </c>
      <c r="H13" s="614">
        <f>'a33'!BD27</f>
        <v>0.6545773971741915</v>
      </c>
      <c r="I13" s="614">
        <f>'a33'!BL27</f>
        <v>0.5574098069717125</v>
      </c>
      <c r="J13" s="614">
        <f>'a33'!BT27</f>
        <v>0.45738982668295025</v>
      </c>
      <c r="K13" s="614">
        <f>'a33'!CB27</f>
        <v>0.56881804527063995</v>
      </c>
      <c r="L13" s="614">
        <f>'a33'!CJ27</f>
        <v>0.58934954659456473</v>
      </c>
    </row>
    <row r="14" spans="1:12">
      <c r="A14" s="611">
        <f t="shared" si="0"/>
        <v>1990</v>
      </c>
      <c r="B14" s="614">
        <f>'a33'!H28</f>
        <v>0.55605520061805114</v>
      </c>
      <c r="C14" s="614">
        <f>'a33'!P28</f>
        <v>0.42159703294927642</v>
      </c>
      <c r="D14" s="614">
        <f>'a33'!X28</f>
        <v>0.56227717921174003</v>
      </c>
      <c r="E14" s="614">
        <f>'a33'!AF28</f>
        <v>0.55175467180283289</v>
      </c>
      <c r="F14" s="614">
        <f>'a33'!AN28</f>
        <v>0.48647240567062316</v>
      </c>
      <c r="G14" s="614">
        <f>'a33'!AV28</f>
        <v>0.51755305119147277</v>
      </c>
      <c r="H14" s="614">
        <f>'a33'!BD28</f>
        <v>0.61976407534303735</v>
      </c>
      <c r="I14" s="614">
        <f>'a33'!BL28</f>
        <v>0.52605937012644355</v>
      </c>
      <c r="J14" s="614">
        <f>'a33'!BT28</f>
        <v>0.40838708357050435</v>
      </c>
      <c r="K14" s="614">
        <f>'a33'!CB28</f>
        <v>0.59248731521469999</v>
      </c>
      <c r="L14" s="614">
        <f>'a33'!CJ28</f>
        <v>0.53425874371586546</v>
      </c>
    </row>
    <row r="15" spans="1:12">
      <c r="A15" s="611">
        <f t="shared" si="0"/>
        <v>1991</v>
      </c>
      <c r="B15" s="614">
        <f>'a33'!H29</f>
        <v>0.54496648554265159</v>
      </c>
      <c r="C15" s="614">
        <f>'a33'!P29</f>
        <v>0.40613913737250146</v>
      </c>
      <c r="D15" s="614">
        <f>'a33'!X29</f>
        <v>0.51883841591539515</v>
      </c>
      <c r="E15" s="614">
        <f>'a33'!AF29</f>
        <v>0.5402570048548454</v>
      </c>
      <c r="F15" s="614">
        <f>'a33'!AN29</f>
        <v>0.47673197691356572</v>
      </c>
      <c r="G15" s="614">
        <f>'a33'!AV29</f>
        <v>0.50379549400499579</v>
      </c>
      <c r="H15" s="614">
        <f>'a33'!BD29</f>
        <v>0.59224310562340332</v>
      </c>
      <c r="I15" s="614">
        <f>'a33'!BL29</f>
        <v>0.53262759483719391</v>
      </c>
      <c r="J15" s="614">
        <f>'a33'!BT29</f>
        <v>0.4274445815879368</v>
      </c>
      <c r="K15" s="614">
        <f>'a33'!CB29</f>
        <v>0.57095382930536331</v>
      </c>
      <c r="L15" s="614">
        <f>'a33'!CJ29</f>
        <v>0.58111422490958842</v>
      </c>
    </row>
    <row r="16" spans="1:12">
      <c r="A16" s="611">
        <f t="shared" si="0"/>
        <v>1992</v>
      </c>
      <c r="B16" s="614">
        <f>'a33'!H30</f>
        <v>0.54057842638476361</v>
      </c>
      <c r="C16" s="614">
        <f>'a33'!P30</f>
        <v>0.36244362163150579</v>
      </c>
      <c r="D16" s="614">
        <f>'a33'!X30</f>
        <v>0.54995919708577445</v>
      </c>
      <c r="E16" s="614">
        <f>'a33'!AF30</f>
        <v>0.53485323826168274</v>
      </c>
      <c r="F16" s="614">
        <f>'a33'!AN30</f>
        <v>0.46749931309116555</v>
      </c>
      <c r="G16" s="614">
        <f>'a33'!AV30</f>
        <v>0.51862807281097112</v>
      </c>
      <c r="H16" s="614">
        <f>'a33'!BD30</f>
        <v>0.5929655808215456</v>
      </c>
      <c r="I16" s="614">
        <f>'a33'!BL30</f>
        <v>0.50681221324428694</v>
      </c>
      <c r="J16" s="614">
        <f>'a33'!BT30</f>
        <v>0.42643840792267795</v>
      </c>
      <c r="K16" s="614">
        <f>'a33'!CB30</f>
        <v>0.51620674005298339</v>
      </c>
      <c r="L16" s="614">
        <f>'a33'!CJ30</f>
        <v>0.55801656478401318</v>
      </c>
    </row>
    <row r="17" spans="1:12">
      <c r="A17" s="611">
        <f t="shared" si="0"/>
        <v>1993</v>
      </c>
      <c r="B17" s="614">
        <f>'a33'!H31</f>
        <v>0.54110947279220933</v>
      </c>
      <c r="C17" s="614">
        <f>'a33'!P31</f>
        <v>0.40391566902338683</v>
      </c>
      <c r="D17" s="614">
        <f>'a33'!X31</f>
        <v>0.56647733696430358</v>
      </c>
      <c r="E17" s="614">
        <f>'a33'!AF31</f>
        <v>0.52488286106687398</v>
      </c>
      <c r="F17" s="614">
        <f>'a33'!AN31</f>
        <v>0.46626441678522157</v>
      </c>
      <c r="G17" s="614">
        <f>'a33'!AV31</f>
        <v>0.49214944034071451</v>
      </c>
      <c r="H17" s="614">
        <f>'a33'!BD31</f>
        <v>0.59490721805790925</v>
      </c>
      <c r="I17" s="614">
        <f>'a33'!BL31</f>
        <v>0.51181455613379601</v>
      </c>
      <c r="J17" s="614">
        <f>'a33'!BT31</f>
        <v>0.46308395643760836</v>
      </c>
      <c r="K17" s="614">
        <f>'a33'!CB31</f>
        <v>0.56143174315979461</v>
      </c>
      <c r="L17" s="614">
        <f>'a33'!CJ31</f>
        <v>0.56404210347497663</v>
      </c>
    </row>
    <row r="18" spans="1:12">
      <c r="A18" s="611">
        <f t="shared" si="0"/>
        <v>1994</v>
      </c>
      <c r="B18" s="614">
        <f>'a33'!H32</f>
        <v>0.5454903633321232</v>
      </c>
      <c r="C18" s="614">
        <f>'a33'!P32</f>
        <v>0.4060714405742914</v>
      </c>
      <c r="D18" s="614">
        <f>'a33'!X32</f>
        <v>0.57818705618934896</v>
      </c>
      <c r="E18" s="614">
        <f>'a33'!AF32</f>
        <v>0.49224609579850997</v>
      </c>
      <c r="F18" s="614">
        <f>'a33'!AN32</f>
        <v>0.43915857290128535</v>
      </c>
      <c r="G18" s="614">
        <f>'a33'!AV32</f>
        <v>0.49917424126386511</v>
      </c>
      <c r="H18" s="614">
        <f>'a33'!BD32</f>
        <v>0.59551779126154436</v>
      </c>
      <c r="I18" s="614">
        <f>'a33'!BL32</f>
        <v>0.51646649422894009</v>
      </c>
      <c r="J18" s="614">
        <f>'a33'!BT32</f>
        <v>0.46825473262069434</v>
      </c>
      <c r="K18" s="614">
        <f>'a33'!CB32</f>
        <v>0.5783323628307725</v>
      </c>
      <c r="L18" s="614">
        <f>'a33'!CJ32</f>
        <v>0.57026940506345158</v>
      </c>
    </row>
    <row r="19" spans="1:12">
      <c r="A19" s="611">
        <f t="shared" si="0"/>
        <v>1995</v>
      </c>
      <c r="B19" s="614">
        <f>'a33'!H33</f>
        <v>0.54231583261288896</v>
      </c>
      <c r="C19" s="614">
        <f>'a33'!P33</f>
        <v>0.38743033929194248</v>
      </c>
      <c r="D19" s="614">
        <f>'a33'!X33</f>
        <v>0.53200432438910217</v>
      </c>
      <c r="E19" s="614">
        <f>'a33'!AF33</f>
        <v>0.50924250764208945</v>
      </c>
      <c r="F19" s="614">
        <f>'a33'!AN33</f>
        <v>0.47572324491257401</v>
      </c>
      <c r="G19" s="614">
        <f>'a33'!AV33</f>
        <v>0.48151343952711817</v>
      </c>
      <c r="H19" s="614">
        <f>'a33'!BD33</f>
        <v>0.59352197668581741</v>
      </c>
      <c r="I19" s="614">
        <f>'a33'!BL33</f>
        <v>0.5707505883738716</v>
      </c>
      <c r="J19" s="614">
        <f>'a33'!BT33</f>
        <v>0.45155712935363357</v>
      </c>
      <c r="K19" s="614">
        <f>'a33'!CB33</f>
        <v>0.58195846308526256</v>
      </c>
      <c r="L19" s="614">
        <f>'a33'!CJ33</f>
        <v>0.57226675547577155</v>
      </c>
    </row>
    <row r="20" spans="1:12">
      <c r="A20" s="611">
        <f t="shared" si="0"/>
        <v>1996</v>
      </c>
      <c r="B20" s="614">
        <f>'a33'!H34</f>
        <v>0.51960490431590856</v>
      </c>
      <c r="C20" s="614">
        <f>'a33'!P34</f>
        <v>0.38165670216664804</v>
      </c>
      <c r="D20" s="614">
        <f>'a33'!X34</f>
        <v>0.52167950998069434</v>
      </c>
      <c r="E20" s="614">
        <f>'a33'!AF34</f>
        <v>0.47447423309913345</v>
      </c>
      <c r="F20" s="614">
        <f>'a33'!AN34</f>
        <v>0.48636323507674034</v>
      </c>
      <c r="G20" s="614">
        <f>'a33'!AV34</f>
        <v>0.49609311227700692</v>
      </c>
      <c r="H20" s="614">
        <f>'a33'!BD34</f>
        <v>0.54456907319203229</v>
      </c>
      <c r="I20" s="614">
        <f>'a33'!BL34</f>
        <v>0.53330039422931097</v>
      </c>
      <c r="J20" s="614">
        <f>'a33'!BT34</f>
        <v>0.47766889314094518</v>
      </c>
      <c r="K20" s="614">
        <f>'a33'!CB34</f>
        <v>0.56550765861666252</v>
      </c>
      <c r="L20" s="614">
        <f>'a33'!CJ34</f>
        <v>0.53559214961906876</v>
      </c>
    </row>
    <row r="21" spans="1:12">
      <c r="A21" s="611">
        <f t="shared" si="0"/>
        <v>1997</v>
      </c>
      <c r="B21" s="614">
        <f>'a33'!H35</f>
        <v>0.51261411078255792</v>
      </c>
      <c r="C21" s="614">
        <f>'a33'!P35</f>
        <v>0.41609274108639982</v>
      </c>
      <c r="D21" s="614">
        <f>'a33'!X35</f>
        <v>0.51366577733012764</v>
      </c>
      <c r="E21" s="614">
        <f>'a33'!AF35</f>
        <v>0.45444898698438663</v>
      </c>
      <c r="F21" s="614">
        <f>'a33'!AN35</f>
        <v>0.45716937480535069</v>
      </c>
      <c r="G21" s="614">
        <f>'a33'!AV35</f>
        <v>0.46844741325136208</v>
      </c>
      <c r="H21" s="614">
        <f>'a33'!BD35</f>
        <v>0.54631777438680662</v>
      </c>
      <c r="I21" s="614">
        <f>'a33'!BL35</f>
        <v>0.52638116113684574</v>
      </c>
      <c r="J21" s="614">
        <f>'a33'!BT35</f>
        <v>0.53089232723094548</v>
      </c>
      <c r="K21" s="614">
        <f>'a33'!CB35</f>
        <v>0.56484243255215882</v>
      </c>
      <c r="L21" s="614">
        <f>'a33'!CJ35</f>
        <v>0.52485093493571633</v>
      </c>
    </row>
    <row r="22" spans="1:12">
      <c r="A22" s="611">
        <f t="shared" si="0"/>
        <v>1998</v>
      </c>
      <c r="B22" s="614">
        <f>'a33'!H36</f>
        <v>0.5164990700223393</v>
      </c>
      <c r="C22" s="614">
        <f>'a33'!P36</f>
        <v>0.39545603822277231</v>
      </c>
      <c r="D22" s="614">
        <f>'a33'!X36</f>
        <v>0.53670676365054382</v>
      </c>
      <c r="E22" s="614">
        <f>'a33'!AF36</f>
        <v>0.44690190928877049</v>
      </c>
      <c r="F22" s="614">
        <f>'a33'!AN36</f>
        <v>0.47521586752744516</v>
      </c>
      <c r="G22" s="614">
        <f>'a33'!AV36</f>
        <v>0.49809198838243252</v>
      </c>
      <c r="H22" s="614">
        <f>'a33'!BD36</f>
        <v>0.55548342595587341</v>
      </c>
      <c r="I22" s="614">
        <f>'a33'!BL36</f>
        <v>0.51870186652016426</v>
      </c>
      <c r="J22" s="614">
        <f>'a33'!BT36</f>
        <v>0.511342407774243</v>
      </c>
      <c r="K22" s="614">
        <f>'a33'!CB36</f>
        <v>0.56110538281597322</v>
      </c>
      <c r="L22" s="614">
        <f>'a33'!CJ36</f>
        <v>0.49210345692598334</v>
      </c>
    </row>
    <row r="23" spans="1:12">
      <c r="A23" s="611">
        <f t="shared" si="0"/>
        <v>1999</v>
      </c>
      <c r="B23" s="614">
        <f>'a33'!H37</f>
        <v>0.52238734112030705</v>
      </c>
      <c r="C23" s="614">
        <f>'a33'!P37</f>
        <v>0.38734052645526917</v>
      </c>
      <c r="D23" s="614">
        <f>'a33'!X37</f>
        <v>0.46918899368014849</v>
      </c>
      <c r="E23" s="614">
        <f>'a33'!AF37</f>
        <v>0.4959170050613747</v>
      </c>
      <c r="F23" s="614">
        <f>'a33'!AN37</f>
        <v>0.47905777677508188</v>
      </c>
      <c r="G23" s="614">
        <f>'a33'!AV37</f>
        <v>0.51789558968296368</v>
      </c>
      <c r="H23" s="614">
        <f>'a33'!BD37</f>
        <v>0.55041898706162407</v>
      </c>
      <c r="I23" s="614">
        <f>'a33'!BL37</f>
        <v>0.49288873756540363</v>
      </c>
      <c r="J23" s="614">
        <f>'a33'!BT37</f>
        <v>0.53467254084711535</v>
      </c>
      <c r="K23" s="614">
        <f>'a33'!CB37</f>
        <v>0.58976051876780666</v>
      </c>
      <c r="L23" s="614">
        <f>'a33'!CJ37</f>
        <v>0.48858707564800302</v>
      </c>
    </row>
    <row r="24" spans="1:12">
      <c r="A24" s="611">
        <f t="shared" si="0"/>
        <v>2000</v>
      </c>
      <c r="B24" s="614">
        <f>'a33'!H38</f>
        <v>0.53106230426920131</v>
      </c>
      <c r="C24" s="614">
        <f>'a33'!P38</f>
        <v>0.40062138165649896</v>
      </c>
      <c r="D24" s="614">
        <f>'a33'!X38</f>
        <v>0.48063230136481661</v>
      </c>
      <c r="E24" s="614">
        <f>'a33'!AF38</f>
        <v>0.49882610137086819</v>
      </c>
      <c r="F24" s="614">
        <f>'a33'!AN38</f>
        <v>0.49577666807920923</v>
      </c>
      <c r="G24" s="614">
        <f>'a33'!AV38</f>
        <v>0.50451005299401364</v>
      </c>
      <c r="H24" s="614">
        <f>'a33'!BD38</f>
        <v>0.56888182991676206</v>
      </c>
      <c r="I24" s="614">
        <f>'a33'!BL38</f>
        <v>0.50527037722791224</v>
      </c>
      <c r="J24" s="614">
        <f>'a33'!BT38</f>
        <v>0.48843290024407937</v>
      </c>
      <c r="K24" s="614">
        <f>'a33'!CB38</f>
        <v>0.61569435561952013</v>
      </c>
      <c r="L24" s="614">
        <f>'a33'!CJ38</f>
        <v>0.50678333381840368</v>
      </c>
    </row>
    <row r="25" spans="1:12">
      <c r="A25" s="611">
        <f t="shared" si="0"/>
        <v>2001</v>
      </c>
      <c r="B25" s="614">
        <f>'a33'!H39</f>
        <v>0.53012488903384081</v>
      </c>
      <c r="C25" s="614">
        <f>'a33'!P39</f>
        <v>0.45314754512640409</v>
      </c>
      <c r="D25" s="614">
        <f>'a33'!X39</f>
        <v>0.48448532773036612</v>
      </c>
      <c r="E25" s="614">
        <f>'a33'!AF39</f>
        <v>0.48916463436321567</v>
      </c>
      <c r="F25" s="614">
        <f>'a33'!AN39</f>
        <v>0.4768024283950108</v>
      </c>
      <c r="G25" s="614">
        <f>'a33'!AV39</f>
        <v>0.51433755984497054</v>
      </c>
      <c r="H25" s="614">
        <f>'a33'!BD39</f>
        <v>0.56710857051767927</v>
      </c>
      <c r="I25" s="614">
        <f>'a33'!BL39</f>
        <v>0.52204094797142964</v>
      </c>
      <c r="J25" s="614">
        <f>'a33'!BT39</f>
        <v>0.52150875137375841</v>
      </c>
      <c r="K25" s="614">
        <f>'a33'!CB39</f>
        <v>0.62194518946243704</v>
      </c>
      <c r="L25" s="614">
        <f>'a33'!CJ39</f>
        <v>0.46853044171355562</v>
      </c>
    </row>
    <row r="26" spans="1:12">
      <c r="A26" s="611">
        <f t="shared" si="0"/>
        <v>2002</v>
      </c>
      <c r="B26" s="614">
        <f>'a33'!H40</f>
        <v>0.51773668360944214</v>
      </c>
      <c r="C26" s="614">
        <f>'a33'!P40</f>
        <v>0.41857507186018805</v>
      </c>
      <c r="D26" s="614">
        <f>'a33'!X40</f>
        <v>0.52402416444571587</v>
      </c>
      <c r="E26" s="614">
        <f>'a33'!AF40</f>
        <v>0.47973153087887038</v>
      </c>
      <c r="F26" s="614">
        <f>'a33'!AN40</f>
        <v>0.45322802157434205</v>
      </c>
      <c r="G26" s="614">
        <f>'a33'!AV40</f>
        <v>0.5141467031238085</v>
      </c>
      <c r="H26" s="614">
        <f>'a33'!BD40</f>
        <v>0.54216525241058267</v>
      </c>
      <c r="I26" s="614">
        <f>'a33'!BL40</f>
        <v>0.50685215424251551</v>
      </c>
      <c r="J26" s="614">
        <f>'a33'!BT40</f>
        <v>0.51296305571440204</v>
      </c>
      <c r="K26" s="614">
        <f>'a33'!CB40</f>
        <v>0.6430396473610166</v>
      </c>
      <c r="L26" s="614">
        <f>'a33'!CJ40</f>
        <v>0.44004864650718178</v>
      </c>
    </row>
    <row r="27" spans="1:12">
      <c r="A27" s="611">
        <f t="shared" si="0"/>
        <v>2003</v>
      </c>
      <c r="B27" s="614">
        <f>'a33'!H41</f>
        <v>0.52351062267017034</v>
      </c>
      <c r="C27" s="614">
        <f>'a33'!P41</f>
        <v>0.4205212994911447</v>
      </c>
      <c r="D27" s="614">
        <f>'a33'!X41</f>
        <v>0.54358262755415676</v>
      </c>
      <c r="E27" s="614">
        <f>'a33'!AF41</f>
        <v>0.47123193937556485</v>
      </c>
      <c r="F27" s="614">
        <f>'a33'!AN41</f>
        <v>0.43182459803311357</v>
      </c>
      <c r="G27" s="614">
        <f>'a33'!AV41</f>
        <v>0.52714492592276496</v>
      </c>
      <c r="H27" s="614">
        <f>'a33'!BD41</f>
        <v>0.55571138781917151</v>
      </c>
      <c r="I27" s="614">
        <f>'a33'!BL41</f>
        <v>0.52709928981219645</v>
      </c>
      <c r="J27" s="614">
        <f>'a33'!BT41</f>
        <v>0.5194480072880987</v>
      </c>
      <c r="K27" s="614">
        <f>'a33'!CB41</f>
        <v>0.59642396502515782</v>
      </c>
      <c r="L27" s="614">
        <f>'a33'!CJ41</f>
        <v>0.45201494723392194</v>
      </c>
    </row>
    <row r="28" spans="1:12">
      <c r="A28" s="611">
        <f t="shared" si="0"/>
        <v>2004</v>
      </c>
      <c r="B28" s="614">
        <f>'a33'!H42</f>
        <v>0.52197103566555847</v>
      </c>
      <c r="C28" s="614">
        <f>'a33'!P42</f>
        <v>0.41225709542214117</v>
      </c>
      <c r="D28" s="614">
        <f>'a33'!X42</f>
        <v>0.55355283288227863</v>
      </c>
      <c r="E28" s="614">
        <f>'a33'!AF42</f>
        <v>0.49300154662523954</v>
      </c>
      <c r="F28" s="614">
        <f>'a33'!AN42</f>
        <v>0.45517921545617779</v>
      </c>
      <c r="G28" s="614">
        <f>'a33'!AV42</f>
        <v>0.55505833651884839</v>
      </c>
      <c r="H28" s="614">
        <f>'a33'!BD42</f>
        <v>0.52383544820740535</v>
      </c>
      <c r="I28" s="614">
        <f>'a33'!BL42</f>
        <v>0.53131385716847268</v>
      </c>
      <c r="J28" s="614">
        <f>'a33'!BT42</f>
        <v>0.48865045447985089</v>
      </c>
      <c r="K28" s="614">
        <f>'a33'!CB42</f>
        <v>0.60671165680103856</v>
      </c>
      <c r="L28" s="614">
        <f>'a33'!CJ42</f>
        <v>0.47128186715956566</v>
      </c>
    </row>
    <row r="29" spans="1:12">
      <c r="A29" s="611">
        <f t="shared" si="0"/>
        <v>2005</v>
      </c>
      <c r="B29" s="614">
        <f>'a33'!H43</f>
        <v>0.53378094031430512</v>
      </c>
      <c r="C29" s="614">
        <f>'a33'!P43</f>
        <v>0.47397867344621147</v>
      </c>
      <c r="D29" s="614">
        <f>'a33'!X43</f>
        <v>0.60280859774796669</v>
      </c>
      <c r="E29" s="614">
        <f>'a33'!AF43</f>
        <v>0.52585190211905397</v>
      </c>
      <c r="F29" s="614">
        <f>'a33'!AN43</f>
        <v>0.44148929569495221</v>
      </c>
      <c r="G29" s="614">
        <f>'a33'!AV43</f>
        <v>0.52546408783434773</v>
      </c>
      <c r="H29" s="614">
        <f>'a33'!BD43</f>
        <v>0.53974519834720991</v>
      </c>
      <c r="I29" s="614">
        <f>'a33'!BL43</f>
        <v>0.51427413243177988</v>
      </c>
      <c r="J29" s="614">
        <f>'a33'!BT43</f>
        <v>0.43451790383978067</v>
      </c>
      <c r="K29" s="614">
        <f>'a33'!CB43</f>
        <v>0.67617081987087024</v>
      </c>
      <c r="L29" s="614">
        <f>'a33'!CJ43</f>
        <v>0.50833065133602318</v>
      </c>
    </row>
    <row r="30" spans="1:12">
      <c r="A30" s="611">
        <f t="shared" si="0"/>
        <v>2006</v>
      </c>
      <c r="B30" s="614">
        <f>'a33'!H44</f>
        <v>0.55968153310649105</v>
      </c>
      <c r="C30" s="614">
        <f>'a33'!P44</f>
        <v>0.52613001096797385</v>
      </c>
      <c r="D30" s="614">
        <f>'a33'!X44</f>
        <v>0.57519005308627957</v>
      </c>
      <c r="E30" s="614">
        <f>'a33'!AF44</f>
        <v>0.53013224672863013</v>
      </c>
      <c r="F30" s="614">
        <f>'a33'!AN44</f>
        <v>0.45850609232548045</v>
      </c>
      <c r="G30" s="614">
        <f>'a33'!AV44</f>
        <v>0.55935259402813997</v>
      </c>
      <c r="H30" s="614">
        <f>'a33'!BD44</f>
        <v>0.55969855167242799</v>
      </c>
      <c r="I30" s="614">
        <f>'a33'!BL44</f>
        <v>0.53818421013191253</v>
      </c>
      <c r="J30" s="614">
        <f>'a33'!BT44</f>
        <v>0.4610308554702352</v>
      </c>
      <c r="K30" s="614">
        <f>'a33'!CB44</f>
        <v>0.72345706818647371</v>
      </c>
      <c r="L30" s="614">
        <f>'a33'!CJ44</f>
        <v>0.52139744467152349</v>
      </c>
    </row>
    <row r="31" spans="1:12">
      <c r="A31" s="611">
        <f t="shared" si="0"/>
        <v>2007</v>
      </c>
      <c r="B31" s="614">
        <f>'a33'!H45</f>
        <v>0.57230256990220563</v>
      </c>
      <c r="C31" s="614">
        <f>'a33'!P45</f>
        <v>0.55443498799770607</v>
      </c>
      <c r="D31" s="614">
        <f>'a33'!X45</f>
        <v>0.61816012347965543</v>
      </c>
      <c r="E31" s="614">
        <f>'a33'!AF45</f>
        <v>0.51860120540804233</v>
      </c>
      <c r="F31" s="614">
        <f>'a33'!AN45</f>
        <v>0.47598678610429296</v>
      </c>
      <c r="G31" s="614">
        <f>'a33'!AV45</f>
        <v>0.55714976109904313</v>
      </c>
      <c r="H31" s="614">
        <f>'a33'!BD45</f>
        <v>0.57584285444863403</v>
      </c>
      <c r="I31" s="614">
        <f>'a33'!BL45</f>
        <v>0.54760450161309115</v>
      </c>
      <c r="J31" s="614">
        <f>'a33'!BT45</f>
        <v>0.53993082437851259</v>
      </c>
      <c r="K31" s="614">
        <f>'a33'!CB45</f>
        <v>0.7164652604960362</v>
      </c>
      <c r="L31" s="614">
        <f>'a33'!CJ45</f>
        <v>0.56131179351390159</v>
      </c>
    </row>
    <row r="32" spans="1:12">
      <c r="A32" s="611">
        <f t="shared" si="0"/>
        <v>2008</v>
      </c>
      <c r="B32" s="614">
        <f>'a33'!H46</f>
        <v>0.56275254345867121</v>
      </c>
      <c r="C32" s="614">
        <f>'a33'!P46</f>
        <v>0.53781946566698935</v>
      </c>
      <c r="D32" s="614">
        <f>'a33'!X46</f>
        <v>0.56452410059642311</v>
      </c>
      <c r="E32" s="614">
        <f>'a33'!AF46</f>
        <v>0.49540883560853421</v>
      </c>
      <c r="F32" s="614">
        <f>'a33'!AN46</f>
        <v>0.4927935344552713</v>
      </c>
      <c r="G32" s="614">
        <f>'a33'!AV46</f>
        <v>0.537135391588349</v>
      </c>
      <c r="H32" s="614">
        <f>'a33'!BD46</f>
        <v>0.55278458892709126</v>
      </c>
      <c r="I32" s="614">
        <f>'a33'!BL46</f>
        <v>0.58366924415804156</v>
      </c>
      <c r="J32" s="614">
        <f>'a33'!BT46</f>
        <v>0.6043197375527174</v>
      </c>
      <c r="K32" s="614">
        <f>'a33'!CB46</f>
        <v>0.75989472804236702</v>
      </c>
      <c r="L32" s="614">
        <f>'a33'!CJ46</f>
        <v>0.51977589836026339</v>
      </c>
    </row>
    <row r="33" spans="1:12">
      <c r="A33" s="611">
        <f t="shared" si="0"/>
        <v>2009</v>
      </c>
      <c r="B33" s="614">
        <f>'a33'!H47</f>
        <v>0.54671833692928629</v>
      </c>
      <c r="C33" s="614">
        <f>'a33'!P47</f>
        <v>0.56421980448722209</v>
      </c>
      <c r="D33" s="614">
        <f>'a33'!X47</f>
        <v>0.61374206801590458</v>
      </c>
      <c r="E33" s="614">
        <f>'a33'!AF47</f>
        <v>0.49135823338244694</v>
      </c>
      <c r="F33" s="614">
        <f>'a33'!AN47</f>
        <v>0.50973683396981739</v>
      </c>
      <c r="G33" s="614">
        <f>'a33'!AV47</f>
        <v>0.55781336286509708</v>
      </c>
      <c r="H33" s="614">
        <f>'a33'!BD47</f>
        <v>0.53569794034841201</v>
      </c>
      <c r="I33" s="614">
        <f>'a33'!BL47</f>
        <v>0.57419473988032688</v>
      </c>
      <c r="J33" s="614">
        <f>'a33'!BT47</f>
        <v>0.5905749925735162</v>
      </c>
      <c r="K33" s="614">
        <f>'a33'!CB47</f>
        <v>0.67025865767478265</v>
      </c>
      <c r="L33" s="614">
        <f>'a33'!CJ47</f>
        <v>0.49945089449542296</v>
      </c>
    </row>
    <row r="34" spans="1:12">
      <c r="A34" s="611">
        <f t="shared" si="0"/>
        <v>2010</v>
      </c>
      <c r="B34" s="614">
        <f>'a33'!H48</f>
        <v>0.55216678406145281</v>
      </c>
      <c r="C34" s="614">
        <f>'a33'!P48</f>
        <v>0.57597285701473688</v>
      </c>
      <c r="D34" s="614">
        <f>'a33'!X48</f>
        <v>0.62884915758459781</v>
      </c>
      <c r="E34" s="614">
        <f>'a33'!AF48</f>
        <v>0.49512595215049238</v>
      </c>
      <c r="F34" s="614">
        <f>'a33'!AN48</f>
        <v>0.512319553348066</v>
      </c>
      <c r="G34" s="614">
        <f>'a33'!AV48</f>
        <v>0.56374787743420596</v>
      </c>
      <c r="H34" s="614">
        <f>'a33'!BD48</f>
        <v>0.53814557057972578</v>
      </c>
      <c r="I34" s="614">
        <f>'a33'!BL48</f>
        <v>0.57852636709578109</v>
      </c>
      <c r="J34" s="614">
        <f>'a33'!BT48</f>
        <v>0.59502203358955286</v>
      </c>
      <c r="K34" s="614">
        <f>'a33'!CB48</f>
        <v>0.67775084495693727</v>
      </c>
      <c r="L34" s="614">
        <f>'a33'!CJ48</f>
        <v>0.50363841423347699</v>
      </c>
    </row>
    <row r="35" spans="1:12">
      <c r="A35" s="611" t="s">
        <v>1499</v>
      </c>
      <c r="B35" s="611"/>
      <c r="C35" s="611"/>
      <c r="D35" s="611"/>
      <c r="E35" s="611"/>
      <c r="F35" s="611"/>
      <c r="G35" s="611"/>
      <c r="H35" s="611"/>
      <c r="I35" s="611"/>
      <c r="J35" s="611"/>
      <c r="K35" s="611"/>
      <c r="L35" s="611"/>
    </row>
    <row r="36" spans="1:12">
      <c r="A36" s="611" t="s">
        <v>1498</v>
      </c>
      <c r="B36" s="615">
        <f>B34-B5</f>
        <v>2.7689055443354649E-2</v>
      </c>
      <c r="C36" s="615">
        <f t="shared" ref="C36:L36" si="1">C34-C5</f>
        <v>0.24060943106760818</v>
      </c>
      <c r="D36" s="615">
        <f t="shared" si="1"/>
        <v>0.26934719182856559</v>
      </c>
      <c r="E36" s="615">
        <f t="shared" si="1"/>
        <v>3.6551472544406938E-2</v>
      </c>
      <c r="F36" s="615">
        <f t="shared" si="1"/>
        <v>0.18095265347928263</v>
      </c>
      <c r="G36" s="615">
        <f t="shared" si="1"/>
        <v>9.8809797152050627E-2</v>
      </c>
      <c r="H36" s="615">
        <f t="shared" si="1"/>
        <v>-4.6657817680153424E-2</v>
      </c>
      <c r="I36" s="615">
        <f t="shared" si="1"/>
        <v>0.13378011130102163</v>
      </c>
      <c r="J36" s="615">
        <f t="shared" si="1"/>
        <v>0.14609745447652389</v>
      </c>
      <c r="K36" s="615">
        <f t="shared" si="1"/>
        <v>4.0002189709092417E-2</v>
      </c>
      <c r="L36" s="615">
        <f t="shared" si="1"/>
        <v>-4.8032558245983292E-2</v>
      </c>
    </row>
    <row r="37" spans="1:12">
      <c r="A37" s="611" t="s">
        <v>1472</v>
      </c>
      <c r="B37" s="615">
        <f>B13-B5</f>
        <v>5.8120912118897472E-2</v>
      </c>
      <c r="C37" s="615">
        <f t="shared" ref="C37:L37" si="2">C13-C5</f>
        <v>0.14791044215366794</v>
      </c>
      <c r="D37" s="615">
        <f t="shared" si="2"/>
        <v>0.16774894326996215</v>
      </c>
      <c r="E37" s="615">
        <f t="shared" si="2"/>
        <v>7.4422155226892439E-2</v>
      </c>
      <c r="F37" s="615">
        <f t="shared" si="2"/>
        <v>0.15616563959123347</v>
      </c>
      <c r="G37" s="615">
        <f t="shared" si="2"/>
        <v>7.6227700892817385E-2</v>
      </c>
      <c r="H37" s="615">
        <f t="shared" si="2"/>
        <v>6.9774008914312291E-2</v>
      </c>
      <c r="I37" s="615">
        <f t="shared" si="2"/>
        <v>0.11266355117695304</v>
      </c>
      <c r="J37" s="615">
        <f t="shared" si="2"/>
        <v>8.4652475699212859E-3</v>
      </c>
      <c r="K37" s="615">
        <f t="shared" si="2"/>
        <v>-6.8930609977204904E-2</v>
      </c>
      <c r="L37" s="615">
        <f t="shared" si="2"/>
        <v>3.7678574115104446E-2</v>
      </c>
    </row>
    <row r="38" spans="1:12">
      <c r="A38" s="611" t="s">
        <v>1473</v>
      </c>
      <c r="B38" s="615">
        <f>B24-B13</f>
        <v>-5.1536336467794319E-2</v>
      </c>
      <c r="C38" s="615">
        <f t="shared" ref="C38:L38" si="3">C24-C13</f>
        <v>-8.2652486444297679E-2</v>
      </c>
      <c r="D38" s="615">
        <f t="shared" si="3"/>
        <v>-4.6618607661177758E-2</v>
      </c>
      <c r="E38" s="615">
        <f t="shared" si="3"/>
        <v>-3.4170533462109687E-2</v>
      </c>
      <c r="F38" s="615">
        <f t="shared" si="3"/>
        <v>8.2441286191923813E-3</v>
      </c>
      <c r="G38" s="615">
        <f t="shared" si="3"/>
        <v>-3.665572818095908E-2</v>
      </c>
      <c r="H38" s="615">
        <f t="shared" si="3"/>
        <v>-8.5695567257429439E-2</v>
      </c>
      <c r="I38" s="615">
        <f t="shared" si="3"/>
        <v>-5.2139429743800259E-2</v>
      </c>
      <c r="J38" s="615">
        <f t="shared" si="3"/>
        <v>3.104307356112912E-2</v>
      </c>
      <c r="K38" s="615">
        <f t="shared" si="3"/>
        <v>4.6876310348880179E-2</v>
      </c>
      <c r="L38" s="615">
        <f t="shared" si="3"/>
        <v>-8.2566212776161052E-2</v>
      </c>
    </row>
    <row r="39" spans="1:12">
      <c r="A39" s="611" t="s">
        <v>1474</v>
      </c>
      <c r="B39" s="615">
        <f>B32-B24</f>
        <v>3.1690239189469893E-2</v>
      </c>
      <c r="C39" s="615">
        <f t="shared" ref="C39:L39" si="4">C32-C24</f>
        <v>0.13719808401049038</v>
      </c>
      <c r="D39" s="615">
        <f t="shared" si="4"/>
        <v>8.3891799231606501E-2</v>
      </c>
      <c r="E39" s="615">
        <f t="shared" si="4"/>
        <v>-3.4172657623339764E-3</v>
      </c>
      <c r="F39" s="615">
        <f t="shared" si="4"/>
        <v>-2.983133623937928E-3</v>
      </c>
      <c r="G39" s="615">
        <f t="shared" si="4"/>
        <v>3.2625338594335362E-2</v>
      </c>
      <c r="H39" s="615">
        <f t="shared" si="4"/>
        <v>-1.6097240989670802E-2</v>
      </c>
      <c r="I39" s="615">
        <f t="shared" si="4"/>
        <v>7.8398866930129318E-2</v>
      </c>
      <c r="J39" s="615">
        <f t="shared" si="4"/>
        <v>0.11588683730863802</v>
      </c>
      <c r="K39" s="615">
        <f t="shared" si="4"/>
        <v>0.14420037242284689</v>
      </c>
      <c r="L39" s="615">
        <f t="shared" si="4"/>
        <v>1.2992564541859708E-2</v>
      </c>
    </row>
    <row r="40" spans="1:12">
      <c r="A40" s="611" t="s">
        <v>1500</v>
      </c>
      <c r="B40" s="611"/>
      <c r="C40" s="611"/>
      <c r="D40" s="611"/>
      <c r="E40" s="611"/>
      <c r="F40" s="611"/>
      <c r="G40" s="611"/>
      <c r="H40" s="611"/>
      <c r="I40" s="611"/>
      <c r="J40" s="611"/>
      <c r="K40" s="611"/>
      <c r="L40" s="611"/>
    </row>
    <row r="41" spans="1:12">
      <c r="A41" s="611" t="s">
        <v>1498</v>
      </c>
      <c r="B41" s="616">
        <f>100*(B34-B5)/B5</f>
        <v>5.2793577176880682</v>
      </c>
      <c r="C41" s="616">
        <f t="shared" ref="C41:L41" si="5">100*(C34-C5)/C5</f>
        <v>71.745876995406519</v>
      </c>
      <c r="D41" s="616">
        <f t="shared" si="5"/>
        <v>74.922314058041025</v>
      </c>
      <c r="E41" s="616">
        <f t="shared" si="5"/>
        <v>7.970673068375846</v>
      </c>
      <c r="F41" s="616">
        <f t="shared" si="5"/>
        <v>54.607944713529719</v>
      </c>
      <c r="G41" s="616">
        <f t="shared" si="5"/>
        <v>21.252248706340914</v>
      </c>
      <c r="H41" s="616">
        <f t="shared" si="5"/>
        <v>-7.9783767701802857</v>
      </c>
      <c r="I41" s="616">
        <f t="shared" si="5"/>
        <v>30.080098383730562</v>
      </c>
      <c r="J41" s="616">
        <f>100*(J34-J5)/J5</f>
        <v>32.543875134923255</v>
      </c>
      <c r="K41" s="616">
        <f t="shared" si="5"/>
        <v>6.2724067514570576</v>
      </c>
      <c r="L41" s="616">
        <f t="shared" si="5"/>
        <v>-8.7067401842991892</v>
      </c>
    </row>
    <row r="42" spans="1:12">
      <c r="A42" s="611" t="s">
        <v>1472</v>
      </c>
      <c r="B42" s="616">
        <f>100*(B13-B5)/B5</f>
        <v>11.081674005879206</v>
      </c>
      <c r="C42" s="616">
        <f t="shared" ref="C42:L42" si="6">100*(C13-C5)/C5</f>
        <v>44.104523841841527</v>
      </c>
      <c r="D42" s="616">
        <f t="shared" si="6"/>
        <v>46.661481507392125</v>
      </c>
      <c r="E42" s="616">
        <f t="shared" si="6"/>
        <v>16.229022445998503</v>
      </c>
      <c r="F42" s="616">
        <f t="shared" si="6"/>
        <v>47.127712409740646</v>
      </c>
      <c r="G42" s="616">
        <f t="shared" si="6"/>
        <v>16.395237156431101</v>
      </c>
      <c r="H42" s="616">
        <f t="shared" si="6"/>
        <v>11.931190946401562</v>
      </c>
      <c r="I42" s="616">
        <f t="shared" si="6"/>
        <v>25.332096607676618</v>
      </c>
      <c r="J42" s="616">
        <f t="shared" si="6"/>
        <v>1.885672552535808</v>
      </c>
      <c r="K42" s="616">
        <f t="shared" si="6"/>
        <v>-10.808428902200784</v>
      </c>
      <c r="L42" s="616">
        <f t="shared" si="6"/>
        <v>6.8298997037599776</v>
      </c>
    </row>
    <row r="43" spans="1:12">
      <c r="A43" s="611" t="s">
        <v>1473</v>
      </c>
      <c r="B43" s="616">
        <f>100*(B24-B13)/B13</f>
        <v>-8.8459417623426155</v>
      </c>
      <c r="C43" s="616">
        <f t="shared" ref="C43:L43" si="7">100*(C24-C13)/C13</f>
        <v>-17.102618597837946</v>
      </c>
      <c r="D43" s="616">
        <f t="shared" si="7"/>
        <v>-8.8418259434199253</v>
      </c>
      <c r="E43" s="616">
        <f t="shared" si="7"/>
        <v>-6.4110223646754374</v>
      </c>
      <c r="F43" s="616">
        <f t="shared" si="7"/>
        <v>1.6909904369303113</v>
      </c>
      <c r="G43" s="616">
        <f t="shared" si="7"/>
        <v>-6.7734748677886838</v>
      </c>
      <c r="H43" s="616">
        <f t="shared" si="7"/>
        <v>-13.091739437899463</v>
      </c>
      <c r="I43" s="616">
        <f t="shared" si="7"/>
        <v>-9.3538773612654147</v>
      </c>
      <c r="J43" s="616">
        <f t="shared" si="7"/>
        <v>6.7870056897105639</v>
      </c>
      <c r="K43" s="616">
        <f t="shared" si="7"/>
        <v>8.2410026789105704</v>
      </c>
      <c r="L43" s="616">
        <f t="shared" si="7"/>
        <v>-14.00971855382819</v>
      </c>
    </row>
    <row r="44" spans="1:12">
      <c r="A44" s="611" t="s">
        <v>1474</v>
      </c>
      <c r="B44" s="616">
        <f>100*(B32-B24)/B24</f>
        <v>5.967329809461634</v>
      </c>
      <c r="C44" s="616">
        <f t="shared" ref="C44:L44" si="8">100*(C32-C24)/C24</f>
        <v>34.246320913576909</v>
      </c>
      <c r="D44" s="616">
        <f t="shared" si="8"/>
        <v>17.454465501670416</v>
      </c>
      <c r="E44" s="616">
        <f t="shared" si="8"/>
        <v>-0.68506153806761227</v>
      </c>
      <c r="F44" s="616">
        <f t="shared" si="8"/>
        <v>-0.60170915979073847</v>
      </c>
      <c r="G44" s="616">
        <f t="shared" si="8"/>
        <v>6.4667370651427802</v>
      </c>
      <c r="H44" s="616">
        <f t="shared" si="8"/>
        <v>-2.829628253731733</v>
      </c>
      <c r="I44" s="616">
        <f t="shared" si="8"/>
        <v>15.5162207134035</v>
      </c>
      <c r="J44" s="616">
        <f t="shared" si="8"/>
        <v>23.726255387531662</v>
      </c>
      <c r="K44" s="616">
        <f t="shared" si="8"/>
        <v>23.420772191057441</v>
      </c>
      <c r="L44" s="616">
        <f t="shared" si="8"/>
        <v>2.5637316136594479</v>
      </c>
    </row>
    <row r="45" spans="1:12">
      <c r="A45" s="611" t="s">
        <v>1501</v>
      </c>
      <c r="B45" s="611"/>
      <c r="C45" s="611"/>
      <c r="D45" s="611"/>
      <c r="E45" s="611"/>
      <c r="F45" s="611"/>
      <c r="G45" s="611"/>
      <c r="H45" s="611"/>
      <c r="I45" s="611"/>
      <c r="J45" s="611"/>
      <c r="K45" s="611"/>
      <c r="L45" s="611"/>
    </row>
    <row r="46" spans="1:12">
      <c r="A46" s="611" t="s">
        <v>1498</v>
      </c>
      <c r="B46" s="617">
        <f>100*(POWER(B34/B5, 1/29)-1)</f>
        <v>0.177561526066361</v>
      </c>
      <c r="C46" s="617">
        <f t="shared" ref="C46:L46" si="9">100*(POWER(C34/C5, 1/29)-1)</f>
        <v>1.8824847760179786</v>
      </c>
      <c r="D46" s="617">
        <f t="shared" si="9"/>
        <v>1.9468879350416302</v>
      </c>
      <c r="E46" s="617">
        <f t="shared" si="9"/>
        <v>0.26479637689833524</v>
      </c>
      <c r="F46" s="617">
        <f t="shared" si="9"/>
        <v>1.5138349565568143</v>
      </c>
      <c r="G46" s="617">
        <f t="shared" si="9"/>
        <v>0.66670537421480436</v>
      </c>
      <c r="H46" s="617">
        <f t="shared" si="9"/>
        <v>-0.28630179126709621</v>
      </c>
      <c r="I46" s="617">
        <f t="shared" si="9"/>
        <v>0.9109524765227528</v>
      </c>
      <c r="J46" s="617">
        <f t="shared" si="9"/>
        <v>0.97626410815527809</v>
      </c>
      <c r="K46" s="617">
        <f t="shared" si="9"/>
        <v>0.20999772721366217</v>
      </c>
      <c r="L46" s="617">
        <f t="shared" si="9"/>
        <v>-0.31362174768404527</v>
      </c>
    </row>
    <row r="48" spans="1:12">
      <c r="A48" s="611" t="s">
        <v>1559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S56"/>
  <sheetViews>
    <sheetView view="pageBreakPreview" zoomScaleSheetLayoutView="100" zoomScalePageLayoutView="59" workbookViewId="0">
      <selection activeCell="E9" sqref="E9"/>
    </sheetView>
  </sheetViews>
  <sheetFormatPr defaultRowHeight="12.75"/>
  <cols>
    <col min="1" max="1" width="9.375" style="172" customWidth="1"/>
    <col min="2" max="2" width="10.5" style="172" customWidth="1"/>
    <col min="3" max="4" width="10.625" style="172" customWidth="1"/>
    <col min="5" max="5" width="10.25" style="172" customWidth="1"/>
    <col min="6" max="6" width="10.5" style="172" customWidth="1"/>
    <col min="7" max="7" width="11" style="172" customWidth="1"/>
    <col min="8" max="9" width="10.75" style="172" customWidth="1"/>
    <col min="10" max="10" width="10.625" style="172" customWidth="1"/>
    <col min="11" max="11" width="10.5" style="172" customWidth="1"/>
    <col min="12" max="12" width="10.625" style="172" customWidth="1"/>
    <col min="13" max="16384" width="9" style="172"/>
  </cols>
  <sheetData>
    <row r="1" spans="1:19" ht="31.5" customHeight="1">
      <c r="A1" s="172" t="s">
        <v>889</v>
      </c>
      <c r="S1" s="203" t="s">
        <v>914</v>
      </c>
    </row>
    <row r="2" spans="1:19" ht="53.25" customHeight="1">
      <c r="B2" s="203" t="s">
        <v>868</v>
      </c>
      <c r="C2" s="203" t="s">
        <v>869</v>
      </c>
      <c r="D2" s="203" t="s">
        <v>890</v>
      </c>
      <c r="E2" s="203" t="s">
        <v>870</v>
      </c>
      <c r="F2" s="203" t="s">
        <v>871</v>
      </c>
      <c r="G2" s="203" t="s">
        <v>872</v>
      </c>
      <c r="H2" s="203" t="s">
        <v>873</v>
      </c>
      <c r="I2" s="203" t="s">
        <v>873</v>
      </c>
      <c r="J2" s="203" t="s">
        <v>473</v>
      </c>
      <c r="K2" s="203" t="s">
        <v>874</v>
      </c>
      <c r="L2" s="203" t="s">
        <v>875</v>
      </c>
      <c r="S2" s="172" t="s">
        <v>915</v>
      </c>
    </row>
    <row r="3" spans="1:19" ht="40.5" customHeight="1">
      <c r="B3" s="203" t="s">
        <v>876</v>
      </c>
      <c r="C3" s="203" t="s">
        <v>876</v>
      </c>
      <c r="D3" s="203" t="s">
        <v>891</v>
      </c>
      <c r="E3" s="203" t="s">
        <v>877</v>
      </c>
      <c r="F3" s="203" t="s">
        <v>878</v>
      </c>
      <c r="G3" s="203" t="s">
        <v>879</v>
      </c>
      <c r="H3" s="203" t="s">
        <v>880</v>
      </c>
      <c r="I3" s="203" t="s">
        <v>881</v>
      </c>
      <c r="J3" s="203" t="s">
        <v>882</v>
      </c>
      <c r="K3" s="203" t="s">
        <v>882</v>
      </c>
      <c r="L3" s="203" t="s">
        <v>883</v>
      </c>
    </row>
    <row r="4" spans="1:19">
      <c r="A4" s="272"/>
      <c r="B4" s="274" t="s">
        <v>105</v>
      </c>
      <c r="C4" s="274" t="s">
        <v>106</v>
      </c>
      <c r="D4" s="274" t="s">
        <v>107</v>
      </c>
      <c r="E4" s="274" t="s">
        <v>108</v>
      </c>
      <c r="F4" s="274" t="s">
        <v>109</v>
      </c>
      <c r="G4" s="274" t="s">
        <v>110</v>
      </c>
      <c r="H4" s="275" t="s">
        <v>892</v>
      </c>
      <c r="I4" s="275" t="s">
        <v>936</v>
      </c>
      <c r="J4" s="276" t="s">
        <v>138</v>
      </c>
      <c r="K4" s="276" t="s">
        <v>138</v>
      </c>
      <c r="L4" s="276" t="s">
        <v>935</v>
      </c>
    </row>
    <row r="5" spans="1:19" hidden="1">
      <c r="A5" s="172">
        <v>1971</v>
      </c>
      <c r="B5" s="175">
        <v>530.85400000000004</v>
      </c>
      <c r="C5" s="176">
        <f>C6*B5/B6</f>
        <v>349.75815362959202</v>
      </c>
      <c r="D5" s="182">
        <f>C5/'a5-1'!C5*100</f>
        <v>2.1893062090323738</v>
      </c>
      <c r="E5" s="177">
        <v>17519</v>
      </c>
      <c r="F5" s="187">
        <f>H5/E5</f>
        <v>1.6931331697014669</v>
      </c>
      <c r="G5" s="179">
        <f>F5/K5*100</f>
        <v>7.7153482328615475</v>
      </c>
      <c r="H5" s="177">
        <v>29662</v>
      </c>
      <c r="I5" s="175">
        <f t="shared" ref="I5:I14" si="0">H5/J5*100</f>
        <v>126631.28806163174</v>
      </c>
      <c r="J5" s="188">
        <v>23.423910831234249</v>
      </c>
      <c r="K5" s="183">
        <v>21.945000000000004</v>
      </c>
      <c r="L5" s="175">
        <f>I5/B5*1000</f>
        <v>238542.58998073242</v>
      </c>
    </row>
    <row r="6" spans="1:19" hidden="1">
      <c r="A6" s="172">
        <v>1972</v>
      </c>
      <c r="B6" s="175">
        <v>539.12400000000002</v>
      </c>
      <c r="C6" s="176">
        <f>C7*B6/B7</f>
        <v>355.20692095642147</v>
      </c>
      <c r="D6" s="182">
        <f>C6/'a5-1'!C6*100</f>
        <v>2.1977515126819327</v>
      </c>
      <c r="E6" s="175">
        <v>17872</v>
      </c>
      <c r="F6" s="182">
        <f>POWER(F$16/F$5,1/10)*F5</f>
        <v>1.8238252953036491</v>
      </c>
      <c r="G6" s="179">
        <f t="shared" ref="G6:G27" si="1">F6/K6*100</f>
        <v>7.9313994142363509</v>
      </c>
      <c r="H6" s="175">
        <v>33180</v>
      </c>
      <c r="I6" s="175">
        <f t="shared" si="0"/>
        <v>134488.04419352324</v>
      </c>
      <c r="J6" s="188">
        <v>24.67133803526448</v>
      </c>
      <c r="K6" s="183">
        <v>22.995000000000001</v>
      </c>
      <c r="L6" s="175">
        <f t="shared" ref="L6:L43" si="2">I6/B6*1000</f>
        <v>249456.60774427262</v>
      </c>
    </row>
    <row r="7" spans="1:19" hidden="1">
      <c r="A7" s="172">
        <v>1973</v>
      </c>
      <c r="B7" s="175">
        <v>545.56100000000004</v>
      </c>
      <c r="C7" s="176">
        <f>C8*B7/B8</f>
        <v>359.44799898336237</v>
      </c>
      <c r="D7" s="182">
        <f>C7/'a5-1'!C7*100</f>
        <v>2.1969667414449878</v>
      </c>
      <c r="E7" s="175">
        <v>18232</v>
      </c>
      <c r="F7" s="182">
        <f t="shared" ref="F7:F14" si="3">POWER(F$16/F$5,1/10)*F6</f>
        <v>1.964605482494884</v>
      </c>
      <c r="G7" s="179">
        <f t="shared" si="1"/>
        <v>7.9281900019971099</v>
      </c>
      <c r="H7" s="175">
        <v>37115</v>
      </c>
      <c r="I7" s="175">
        <f t="shared" si="0"/>
        <v>138745.67507787407</v>
      </c>
      <c r="J7" s="188">
        <v>26.750383375314861</v>
      </c>
      <c r="K7" s="183">
        <v>24.78</v>
      </c>
      <c r="L7" s="175">
        <f t="shared" si="2"/>
        <v>254317.4366897085</v>
      </c>
    </row>
    <row r="8" spans="1:19" hidden="1">
      <c r="A8" s="172">
        <v>1974</v>
      </c>
      <c r="B8" s="175">
        <v>549.60400000000004</v>
      </c>
      <c r="C8" s="176">
        <f>C9*B8/B9</f>
        <v>362.1117675809889</v>
      </c>
      <c r="D8" s="182">
        <f>C8/'a5-1'!C8*100</f>
        <v>2.1825650952590521</v>
      </c>
      <c r="E8" s="175">
        <v>18599</v>
      </c>
      <c r="F8" s="182">
        <f t="shared" si="3"/>
        <v>2.1162524238410443</v>
      </c>
      <c r="G8" s="179">
        <f t="shared" si="1"/>
        <v>7.6926660263214988</v>
      </c>
      <c r="H8" s="175">
        <v>41518</v>
      </c>
      <c r="I8" s="175">
        <f t="shared" si="0"/>
        <v>136157.33494316839</v>
      </c>
      <c r="J8" s="188">
        <v>30.49266498740554</v>
      </c>
      <c r="K8" s="183">
        <v>27.509999999999998</v>
      </c>
      <c r="L8" s="175">
        <f t="shared" si="2"/>
        <v>247737.16156208538</v>
      </c>
    </row>
    <row r="9" spans="1:19" hidden="1">
      <c r="A9" s="172">
        <v>1975</v>
      </c>
      <c r="B9" s="175">
        <v>556.49599999999998</v>
      </c>
      <c r="C9" s="176">
        <f>C10*B9/B10</f>
        <v>366.65262663981696</v>
      </c>
      <c r="D9" s="182">
        <f>C9/'a5-1'!C9*100</f>
        <v>2.1779162023151697</v>
      </c>
      <c r="E9" s="175">
        <v>18974</v>
      </c>
      <c r="F9" s="182">
        <f t="shared" si="3"/>
        <v>2.2796049188083023</v>
      </c>
      <c r="G9" s="179">
        <f t="shared" si="1"/>
        <v>7.4863872538860505</v>
      </c>
      <c r="H9" s="175">
        <v>46442</v>
      </c>
      <c r="I9" s="175">
        <f t="shared" si="0"/>
        <v>136485.56319004745</v>
      </c>
      <c r="J9" s="188">
        <v>34.027042065491187</v>
      </c>
      <c r="K9" s="183">
        <v>30.45</v>
      </c>
      <c r="L9" s="175">
        <f t="shared" si="2"/>
        <v>245258.83957844705</v>
      </c>
    </row>
    <row r="10" spans="1:19" hidden="1">
      <c r="A10" s="172">
        <v>1976</v>
      </c>
      <c r="B10" s="175">
        <v>562.63900000000001</v>
      </c>
      <c r="C10" s="175">
        <v>370.7</v>
      </c>
      <c r="D10" s="182">
        <f>C10/'a5-1'!C10*100</f>
        <v>2.1731738773595968</v>
      </c>
      <c r="E10" s="175">
        <v>19356</v>
      </c>
      <c r="F10" s="182">
        <f t="shared" si="3"/>
        <v>2.4555665133855187</v>
      </c>
      <c r="G10" s="179">
        <f t="shared" si="1"/>
        <v>7.5197259635140661</v>
      </c>
      <c r="H10" s="175">
        <v>51950</v>
      </c>
      <c r="I10" s="175">
        <f t="shared" si="0"/>
        <v>140642.19538906304</v>
      </c>
      <c r="J10" s="188">
        <v>36.937705541561719</v>
      </c>
      <c r="K10" s="183">
        <v>32.655000000000001</v>
      </c>
      <c r="L10" s="175">
        <f t="shared" si="2"/>
        <v>249968.79951276581</v>
      </c>
    </row>
    <row r="11" spans="1:19" hidden="1">
      <c r="A11" s="172">
        <v>1977</v>
      </c>
      <c r="B11" s="175">
        <v>565.34799999999996</v>
      </c>
      <c r="C11" s="175">
        <v>376.2</v>
      </c>
      <c r="D11" s="182">
        <f>C11/'a5-1'!C11*100</f>
        <v>2.1576668291703704</v>
      </c>
      <c r="E11" s="175">
        <v>19746</v>
      </c>
      <c r="F11" s="182">
        <f t="shared" si="3"/>
        <v>2.6451104978368289</v>
      </c>
      <c r="G11" s="179">
        <f t="shared" si="1"/>
        <v>7.4974787353651609</v>
      </c>
      <c r="H11" s="175">
        <v>58111</v>
      </c>
      <c r="I11" s="175">
        <f t="shared" si="0"/>
        <v>148411.37725904924</v>
      </c>
      <c r="J11" s="188">
        <v>39.155353904282123</v>
      </c>
      <c r="K11" s="183">
        <v>35.28</v>
      </c>
      <c r="L11" s="175">
        <f t="shared" si="2"/>
        <v>262513.3143816716</v>
      </c>
    </row>
    <row r="12" spans="1:19" hidden="1">
      <c r="A12" s="172">
        <v>1978</v>
      </c>
      <c r="B12" s="175">
        <v>567.63900000000001</v>
      </c>
      <c r="C12" s="175">
        <v>382</v>
      </c>
      <c r="D12" s="182">
        <f>C12/'a5-1'!C12*100</f>
        <v>2.148626453978896</v>
      </c>
      <c r="E12" s="175">
        <v>20144</v>
      </c>
      <c r="F12" s="182">
        <f t="shared" si="3"/>
        <v>2.8492852902283183</v>
      </c>
      <c r="G12" s="179">
        <f t="shared" si="1"/>
        <v>7.4142214161548745</v>
      </c>
      <c r="H12" s="175">
        <v>65004</v>
      </c>
      <c r="I12" s="175">
        <f t="shared" si="0"/>
        <v>156592.35422575186</v>
      </c>
      <c r="J12" s="188">
        <v>41.511605289672559</v>
      </c>
      <c r="K12" s="183">
        <v>38.43</v>
      </c>
      <c r="L12" s="175">
        <f t="shared" si="2"/>
        <v>275866.09486971796</v>
      </c>
    </row>
    <row r="13" spans="1:19" hidden="1">
      <c r="A13" s="172">
        <v>1979</v>
      </c>
      <c r="B13" s="175">
        <v>570.07500000000005</v>
      </c>
      <c r="C13" s="175">
        <v>388.6</v>
      </c>
      <c r="D13" s="182">
        <f>C13/'a5-1'!C13*100</f>
        <v>2.1446626267977971</v>
      </c>
      <c r="E13" s="175">
        <v>20550</v>
      </c>
      <c r="F13" s="182">
        <f t="shared" si="3"/>
        <v>3.0692202355065019</v>
      </c>
      <c r="G13" s="179">
        <f t="shared" si="1"/>
        <v>7.3076672273964336</v>
      </c>
      <c r="H13" s="175">
        <v>72714</v>
      </c>
      <c r="I13" s="175">
        <f t="shared" si="0"/>
        <v>160680.12048964316</v>
      </c>
      <c r="J13" s="188">
        <v>45.253886901763224</v>
      </c>
      <c r="K13" s="183">
        <v>42</v>
      </c>
      <c r="L13" s="175">
        <f t="shared" si="2"/>
        <v>281857.86166669853</v>
      </c>
    </row>
    <row r="14" spans="1:19" hidden="1">
      <c r="A14" s="172">
        <v>1980</v>
      </c>
      <c r="B14" s="175">
        <v>572.75900000000001</v>
      </c>
      <c r="C14" s="175">
        <v>395.6</v>
      </c>
      <c r="D14" s="182">
        <f>C14/'a5-1'!C14*100</f>
        <v>2.140287283252631</v>
      </c>
      <c r="E14" s="175">
        <v>20964</v>
      </c>
      <c r="F14" s="182">
        <f t="shared" si="3"/>
        <v>3.3061318522048508</v>
      </c>
      <c r="G14" s="179">
        <f t="shared" si="1"/>
        <v>7.0493216464922197</v>
      </c>
      <c r="H14" s="175">
        <v>81338</v>
      </c>
      <c r="I14" s="175">
        <f t="shared" si="0"/>
        <v>164381.36097249674</v>
      </c>
      <c r="J14" s="188">
        <v>49.481279093198992</v>
      </c>
      <c r="K14" s="183">
        <v>46.9</v>
      </c>
      <c r="L14" s="175">
        <f t="shared" si="2"/>
        <v>286999.17587064847</v>
      </c>
    </row>
    <row r="15" spans="1:19" hidden="1">
      <c r="B15" s="175"/>
      <c r="C15" s="175"/>
      <c r="D15" s="182"/>
      <c r="E15" s="175"/>
      <c r="F15" s="182"/>
      <c r="G15" s="179"/>
      <c r="I15" s="175"/>
      <c r="J15" s="175"/>
      <c r="K15" s="183"/>
      <c r="L15" s="175"/>
    </row>
    <row r="16" spans="1:19">
      <c r="A16" s="172">
        <v>1981</v>
      </c>
      <c r="B16" s="175">
        <f>'a1'!L19/1000</f>
        <v>575.30200000000002</v>
      </c>
      <c r="C16" s="175">
        <v>401.8</v>
      </c>
      <c r="D16" s="182">
        <f>C16/'a5-1'!C15*100</f>
        <v>2.1355982651586016</v>
      </c>
      <c r="E16" s="177">
        <v>481</v>
      </c>
      <c r="F16" s="187">
        <f>H16/E16</f>
        <v>3.5613305613305615</v>
      </c>
      <c r="G16" s="179">
        <f t="shared" si="1"/>
        <v>6.7068372153117926</v>
      </c>
      <c r="H16" s="177">
        <v>1713</v>
      </c>
      <c r="I16" s="175">
        <f>H16/K16*100</f>
        <v>3225.9887005649716</v>
      </c>
      <c r="J16" s="286">
        <f>'a8'!I19</f>
        <v>55</v>
      </c>
      <c r="K16" s="17">
        <f>'a1'!H19</f>
        <v>53.1</v>
      </c>
      <c r="L16" s="175">
        <f t="shared" si="2"/>
        <v>5607.4699906570313</v>
      </c>
    </row>
    <row r="17" spans="1:12">
      <c r="A17" s="172">
        <v>1982</v>
      </c>
      <c r="B17" s="175">
        <f>'a1'!L20/1000</f>
        <v>573.79499999999996</v>
      </c>
      <c r="C17" s="175">
        <v>406.5</v>
      </c>
      <c r="D17" s="182">
        <f>C17/'a5-1'!C16*100</f>
        <v>2.127893463990703</v>
      </c>
      <c r="E17" s="175">
        <v>481</v>
      </c>
      <c r="F17" s="182">
        <f>POWER(F$21/F$16,1/5)*F16</f>
        <v>3.931896506144819</v>
      </c>
      <c r="G17" s="179">
        <f t="shared" si="1"/>
        <v>6.7211906087945623</v>
      </c>
      <c r="H17" s="175">
        <f>POWER(H21/H16,1/5)*H16</f>
        <v>1891.2422194556577</v>
      </c>
      <c r="I17" s="175">
        <f t="shared" ref="I17:I43" si="4">H17/K17*100</f>
        <v>3232.8926828301837</v>
      </c>
      <c r="J17" s="286">
        <f>'a8'!I20</f>
        <v>59.3</v>
      </c>
      <c r="K17" s="17">
        <f>'a1'!H20</f>
        <v>58.5</v>
      </c>
      <c r="L17" s="175">
        <f t="shared" si="2"/>
        <v>5634.229442275001</v>
      </c>
    </row>
    <row r="18" spans="1:12">
      <c r="A18" s="172">
        <v>1983</v>
      </c>
      <c r="B18" s="175">
        <f>'a1'!L21/1000</f>
        <v>579.16399999999999</v>
      </c>
      <c r="C18" s="175">
        <v>413.8</v>
      </c>
      <c r="D18" s="182">
        <f>C18/'a5-1'!C17*100</f>
        <v>2.1379488504262465</v>
      </c>
      <c r="E18" s="175">
        <v>481</v>
      </c>
      <c r="F18" s="182">
        <f>POWER(F$21/F$16,1/5)*F17</f>
        <v>4.3410208260077487</v>
      </c>
      <c r="G18" s="179">
        <f t="shared" si="1"/>
        <v>6.9567641442431869</v>
      </c>
      <c r="H18" s="175">
        <f>POWER(H21/H16,1/5)*H17</f>
        <v>2088.0310173097268</v>
      </c>
      <c r="I18" s="175">
        <f t="shared" si="4"/>
        <v>3346.2035533809726</v>
      </c>
      <c r="J18" s="286">
        <f>'a8'!I21</f>
        <v>61.4</v>
      </c>
      <c r="K18" s="17">
        <f>'a1'!H21</f>
        <v>62.4</v>
      </c>
      <c r="L18" s="175">
        <f t="shared" si="2"/>
        <v>5777.6442482284338</v>
      </c>
    </row>
    <row r="19" spans="1:12">
      <c r="A19" s="172">
        <v>1984</v>
      </c>
      <c r="B19" s="175">
        <f>'a1'!L22/1000</f>
        <v>580.06500000000005</v>
      </c>
      <c r="C19" s="175">
        <v>418.6</v>
      </c>
      <c r="D19" s="182">
        <f>C19/'a5-1'!C18*100</f>
        <v>2.1359431367646531</v>
      </c>
      <c r="E19" s="175">
        <v>481</v>
      </c>
      <c r="F19" s="182">
        <f>POWER(F$21/F$16,1/5)*F18</f>
        <v>4.7927156226982648</v>
      </c>
      <c r="G19" s="179">
        <f t="shared" si="1"/>
        <v>7.3507908323593014</v>
      </c>
      <c r="H19" s="175">
        <f>POWER(H21/H16,1/5)*H18</f>
        <v>2305.2962145178649</v>
      </c>
      <c r="I19" s="175">
        <f t="shared" si="4"/>
        <v>3535.7303903648231</v>
      </c>
      <c r="J19" s="286">
        <f>'a8'!I22</f>
        <v>63.6</v>
      </c>
      <c r="K19" s="17">
        <f>'a1'!H22</f>
        <v>65.2</v>
      </c>
      <c r="L19" s="175">
        <f t="shared" si="2"/>
        <v>6095.4037743439494</v>
      </c>
    </row>
    <row r="20" spans="1:12">
      <c r="A20" s="172">
        <v>1985</v>
      </c>
      <c r="B20" s="175">
        <f>'a1'!L23/1000</f>
        <v>579.27499999999998</v>
      </c>
      <c r="C20" s="175">
        <v>421.9</v>
      </c>
      <c r="D20" s="182">
        <f>C20/'a5-1'!C19*100</f>
        <v>2.1262227418647663</v>
      </c>
      <c r="E20" s="175">
        <v>481</v>
      </c>
      <c r="F20" s="182">
        <f>POWER(F$21/F$16,1/5)*F19</f>
        <v>5.2914104678877241</v>
      </c>
      <c r="G20" s="179">
        <f t="shared" si="1"/>
        <v>7.7929461971836869</v>
      </c>
      <c r="H20" s="175">
        <f>POWER(H21/H16,1/5)*H19</f>
        <v>2545.1684350539949</v>
      </c>
      <c r="I20" s="175">
        <f t="shared" si="4"/>
        <v>3748.4071208453529</v>
      </c>
      <c r="J20" s="286">
        <f>'a8'!I23</f>
        <v>65.400000000000006</v>
      </c>
      <c r="K20" s="17">
        <f>'a1'!H23</f>
        <v>67.900000000000006</v>
      </c>
      <c r="L20" s="175">
        <f t="shared" si="2"/>
        <v>6470.8594723496672</v>
      </c>
    </row>
    <row r="21" spans="1:12">
      <c r="A21" s="172">
        <v>1986</v>
      </c>
      <c r="B21" s="175">
        <f>'a1'!L24/1000</f>
        <v>576.30600000000004</v>
      </c>
      <c r="C21" s="175">
        <v>424.2</v>
      </c>
      <c r="D21" s="182">
        <f>C21/'a5-1'!C20*100</f>
        <v>2.1111619851492045</v>
      </c>
      <c r="E21" s="177">
        <v>481</v>
      </c>
      <c r="F21" s="187">
        <f>H21/E21</f>
        <v>5.8419958419958418</v>
      </c>
      <c r="G21" s="179">
        <f t="shared" si="1"/>
        <v>8.3576478426263829</v>
      </c>
      <c r="H21" s="177">
        <v>2810</v>
      </c>
      <c r="I21" s="175">
        <f t="shared" si="4"/>
        <v>4020.0286123032902</v>
      </c>
      <c r="J21" s="286">
        <f>'a8'!I24</f>
        <v>71.2</v>
      </c>
      <c r="K21" s="17">
        <f>'a1'!H24</f>
        <v>69.900000000000006</v>
      </c>
      <c r="L21" s="175">
        <f t="shared" si="2"/>
        <v>6975.5106007976492</v>
      </c>
    </row>
    <row r="22" spans="1:12">
      <c r="A22" s="172">
        <v>1987</v>
      </c>
      <c r="B22" s="175">
        <f>'a1'!L25/1000</f>
        <v>575.24199999999996</v>
      </c>
      <c r="C22" s="175">
        <v>427.1</v>
      </c>
      <c r="D22" s="182">
        <f>C22/'a5-1'!C21*100</f>
        <v>2.098967471164384</v>
      </c>
      <c r="E22" s="175">
        <v>490.8184</v>
      </c>
      <c r="F22" s="182">
        <f>POWER(F$27/F$21,1/6)*F21</f>
        <v>5.9763823860858656</v>
      </c>
      <c r="G22" s="179">
        <f t="shared" si="1"/>
        <v>8.3120756412877128</v>
      </c>
      <c r="H22" s="175">
        <f>POWER(H27/H21,1/6)*H21</f>
        <v>2933.3186648197507</v>
      </c>
      <c r="I22" s="175">
        <f t="shared" si="4"/>
        <v>4079.7199788869966</v>
      </c>
      <c r="J22" s="286">
        <f>'a8'!I25</f>
        <v>73.8</v>
      </c>
      <c r="K22" s="17">
        <f>'a1'!H25</f>
        <v>71.900000000000006</v>
      </c>
      <c r="L22" s="175">
        <f t="shared" si="2"/>
        <v>7092.180297834645</v>
      </c>
    </row>
    <row r="23" spans="1:12">
      <c r="A23" s="172">
        <v>1988</v>
      </c>
      <c r="B23" s="175">
        <f>'a1'!L26/1000</f>
        <v>574.98199999999997</v>
      </c>
      <c r="C23" s="175">
        <v>430.9</v>
      </c>
      <c r="D23" s="182">
        <f>C23/'a5-1'!C22*100</f>
        <v>2.0905095040801078</v>
      </c>
      <c r="E23" s="175">
        <v>500.83730000000003</v>
      </c>
      <c r="F23" s="182">
        <f>POWER(F$27/F$21,1/6)*F22</f>
        <v>6.1138602954765346</v>
      </c>
      <c r="G23" s="179">
        <f t="shared" si="1"/>
        <v>8.3181772727571914</v>
      </c>
      <c r="H23" s="175">
        <f>POWER(H27/H21,1/6)*H22</f>
        <v>3062.049248889653</v>
      </c>
      <c r="I23" s="175">
        <f t="shared" si="4"/>
        <v>4166.0533998498677</v>
      </c>
      <c r="J23" s="286">
        <f>'a8'!I26</f>
        <v>75.8</v>
      </c>
      <c r="K23" s="17">
        <f>'a1'!H26</f>
        <v>73.5</v>
      </c>
      <c r="L23" s="175">
        <f t="shared" si="2"/>
        <v>7245.5370774213243</v>
      </c>
    </row>
    <row r="24" spans="1:12">
      <c r="A24" s="172">
        <v>1989</v>
      </c>
      <c r="B24" s="175">
        <f>'a1'!L27/1000</f>
        <v>576.55100000000004</v>
      </c>
      <c r="C24" s="175">
        <v>435.6</v>
      </c>
      <c r="D24" s="182">
        <f>C24/'a5-1'!C23*100</f>
        <v>2.0843601215398233</v>
      </c>
      <c r="E24" s="175">
        <v>511.0607</v>
      </c>
      <c r="F24" s="182">
        <f>POWER(F$27/F$21,1/6)*F23</f>
        <v>6.2545006824915328</v>
      </c>
      <c r="G24" s="179">
        <f t="shared" si="1"/>
        <v>8.2080061450020114</v>
      </c>
      <c r="H24" s="175">
        <f>POWER(H27/H21,1/6)*H23</f>
        <v>3196.4292577812516</v>
      </c>
      <c r="I24" s="175">
        <f t="shared" si="4"/>
        <v>4194.7890522063663</v>
      </c>
      <c r="J24" s="286">
        <f>'a8'!I27</f>
        <v>77.2</v>
      </c>
      <c r="K24" s="17">
        <f>'a1'!H27</f>
        <v>76.2</v>
      </c>
      <c r="L24" s="175">
        <f t="shared" si="2"/>
        <v>7275.6600061510007</v>
      </c>
    </row>
    <row r="25" spans="1:12">
      <c r="A25" s="172">
        <v>1990</v>
      </c>
      <c r="B25" s="175">
        <f>'a1'!L28/1000</f>
        <v>577.36800000000005</v>
      </c>
      <c r="C25" s="175">
        <v>439.8</v>
      </c>
      <c r="D25" s="182">
        <f>C25/'a5-1'!C24*100</f>
        <v>2.0730908285292742</v>
      </c>
      <c r="E25" s="175">
        <v>521.49270000000001</v>
      </c>
      <c r="F25" s="182">
        <f>POWER(F$27/F$21,1/6)*F24</f>
        <v>6.3983762952892267</v>
      </c>
      <c r="G25" s="179">
        <f t="shared" si="1"/>
        <v>8.0482720695461971</v>
      </c>
      <c r="H25" s="175">
        <f>POWER(H27/H21,1/6)*H24</f>
        <v>3336.7066201514904</v>
      </c>
      <c r="I25" s="175">
        <f t="shared" si="4"/>
        <v>4197.1152454735729</v>
      </c>
      <c r="J25" s="286">
        <f>'a8'!I28</f>
        <v>79.099999999999994</v>
      </c>
      <c r="K25" s="17">
        <f>'a1'!H28</f>
        <v>79.5</v>
      </c>
      <c r="L25" s="175">
        <f t="shared" si="2"/>
        <v>7269.3936024746308</v>
      </c>
    </row>
    <row r="26" spans="1:12">
      <c r="A26" s="172">
        <v>1991</v>
      </c>
      <c r="B26" s="175">
        <f>'a1'!L29/1000</f>
        <v>579.64400000000001</v>
      </c>
      <c r="C26" s="175">
        <v>444.4</v>
      </c>
      <c r="D26" s="182">
        <f>C26/'a5-1'!C25*100</f>
        <v>2.0637802844896047</v>
      </c>
      <c r="E26" s="175">
        <v>532.1377</v>
      </c>
      <c r="F26" s="182">
        <f>POWER(F$27/F$21,1/6)*F25</f>
        <v>6.5455615554926458</v>
      </c>
      <c r="G26" s="179">
        <f t="shared" si="1"/>
        <v>7.7554046866026596</v>
      </c>
      <c r="H26" s="175">
        <f>POWER(H27/H21,1/6)*H25</f>
        <v>3483.1401451665456</v>
      </c>
      <c r="I26" s="175">
        <f t="shared" si="4"/>
        <v>4126.9432999603614</v>
      </c>
      <c r="J26" s="286">
        <f>'a8'!I29</f>
        <v>81.8</v>
      </c>
      <c r="K26" s="17">
        <f>'a1'!H29</f>
        <v>84.4</v>
      </c>
      <c r="L26" s="175">
        <f t="shared" si="2"/>
        <v>7119.7895604204668</v>
      </c>
    </row>
    <row r="27" spans="1:12">
      <c r="A27" s="172">
        <v>1992</v>
      </c>
      <c r="B27" s="175">
        <f>'a1'!L30/1000</f>
        <v>580.10900000000004</v>
      </c>
      <c r="C27" s="175">
        <v>447.9</v>
      </c>
      <c r="D27" s="182">
        <f>C27/'a5-1'!C26*100</f>
        <v>2.0526851266257871</v>
      </c>
      <c r="E27" s="177">
        <v>543</v>
      </c>
      <c r="F27" s="187">
        <f>H27/E27</f>
        <v>6.6961325966850831</v>
      </c>
      <c r="G27" s="179">
        <f t="shared" si="1"/>
        <v>7.8500968308148691</v>
      </c>
      <c r="H27" s="177">
        <v>3636</v>
      </c>
      <c r="I27" s="175">
        <f t="shared" si="4"/>
        <v>4262.6025791324737</v>
      </c>
      <c r="J27" s="286">
        <f>'a8'!I30</f>
        <v>82.7</v>
      </c>
      <c r="K27" s="17">
        <f>'a1'!H30</f>
        <v>85.3</v>
      </c>
      <c r="L27" s="175">
        <f t="shared" si="2"/>
        <v>7347.9338867910565</v>
      </c>
    </row>
    <row r="28" spans="1:12">
      <c r="A28" s="172">
        <v>1993</v>
      </c>
      <c r="B28" s="175">
        <f>'a1'!L31/1000</f>
        <v>579.97699999999998</v>
      </c>
      <c r="C28" s="175">
        <v>450.3</v>
      </c>
      <c r="D28" s="182">
        <f>C28/'a5-1'!C27*100</f>
        <v>2.0382113710739649</v>
      </c>
      <c r="E28" s="175">
        <f>E27*POWER(E$33/E$27, 1/6)</f>
        <v>547.47469439513497</v>
      </c>
      <c r="F28" s="182">
        <f>G28*K28/100</f>
        <v>6.8712384631177903</v>
      </c>
      <c r="G28" s="179">
        <f>G27*(1+'a5-1'!$P$47/100)</f>
        <v>7.9253038790285935</v>
      </c>
      <c r="H28" s="175">
        <f>E28*F28</f>
        <v>3761.8291777115091</v>
      </c>
      <c r="I28" s="175">
        <f t="shared" si="4"/>
        <v>4338.9033191597573</v>
      </c>
      <c r="J28" s="286">
        <f>'a8'!I31</f>
        <v>84</v>
      </c>
      <c r="K28" s="17">
        <f>'a1'!H31</f>
        <v>86.7</v>
      </c>
      <c r="L28" s="175">
        <f t="shared" si="2"/>
        <v>7481.1644585212125</v>
      </c>
    </row>
    <row r="29" spans="1:12">
      <c r="A29" s="172">
        <v>1994</v>
      </c>
      <c r="B29" s="175">
        <f>'a1'!L32/1000</f>
        <v>574.46600000000001</v>
      </c>
      <c r="C29" s="175">
        <v>449.1</v>
      </c>
      <c r="D29" s="182">
        <f>C29/'a5-1'!C28*100</f>
        <v>2.0078058986842633</v>
      </c>
      <c r="E29" s="175">
        <f>E28*POWER(E$33/E$27, 1/6)</f>
        <v>551.98626335735992</v>
      </c>
      <c r="F29" s="182">
        <f t="shared" ref="F29:F43" si="5">G29*K29/100</f>
        <v>7.0250812048999629</v>
      </c>
      <c r="G29" s="179">
        <f>G28*(1+'a5-1'!$P$47/100)</f>
        <v>8.0012314406605505</v>
      </c>
      <c r="H29" s="175">
        <f t="shared" ref="H29:H43" si="6">E29*F29</f>
        <v>3877.7483240747501</v>
      </c>
      <c r="I29" s="175">
        <f t="shared" si="4"/>
        <v>4416.5698451876424</v>
      </c>
      <c r="J29" s="286">
        <f>'a8'!I32</f>
        <v>84.6</v>
      </c>
      <c r="K29" s="17">
        <f>'a1'!H32</f>
        <v>87.8</v>
      </c>
      <c r="L29" s="175">
        <f t="shared" si="2"/>
        <v>7688.1309689131158</v>
      </c>
    </row>
    <row r="30" spans="1:12">
      <c r="A30" s="172">
        <v>1995</v>
      </c>
      <c r="B30" s="175">
        <f>'a1'!L33/1000</f>
        <v>567.39700000000005</v>
      </c>
      <c r="C30" s="175">
        <v>446.7</v>
      </c>
      <c r="D30" s="182">
        <f>C30/'a5-1'!C29*100</f>
        <v>1.9713150926743159</v>
      </c>
      <c r="E30" s="175">
        <f>E29*POWER(E$33/E$27, 1/6)</f>
        <v>556.53501075853251</v>
      </c>
      <c r="F30" s="182">
        <f t="shared" si="5"/>
        <v>7.1893189124789778</v>
      </c>
      <c r="G30" s="179">
        <f>G29*(1+'a5-1'!$P$47/100)</f>
        <v>8.0778864185157051</v>
      </c>
      <c r="H30" s="175">
        <f t="shared" si="6"/>
        <v>4001.1076783030089</v>
      </c>
      <c r="I30" s="175">
        <f t="shared" si="4"/>
        <v>4495.6266048348416</v>
      </c>
      <c r="J30" s="286">
        <f>'a8'!I33</f>
        <v>85.8</v>
      </c>
      <c r="K30" s="17">
        <f>'a1'!H33</f>
        <v>89</v>
      </c>
      <c r="L30" s="175">
        <f t="shared" si="2"/>
        <v>7923.2470471906636</v>
      </c>
    </row>
    <row r="31" spans="1:12">
      <c r="A31" s="172">
        <v>1996</v>
      </c>
      <c r="B31" s="175">
        <f>'a1'!L34/1000</f>
        <v>559.69799999999998</v>
      </c>
      <c r="C31" s="175">
        <v>443.7</v>
      </c>
      <c r="D31" s="182">
        <f>C31/'a5-1'!C30*100</f>
        <v>1.9325333739846251</v>
      </c>
      <c r="E31" s="175">
        <f>E30*POWER(E$33/E$27, 1/6)</f>
        <v>561.1212429746239</v>
      </c>
      <c r="F31" s="182">
        <f t="shared" si="5"/>
        <v>7.372369306503697</v>
      </c>
      <c r="G31" s="179">
        <f>G30*(1+'a5-1'!$P$47/100)</f>
        <v>8.1552757815306371</v>
      </c>
      <c r="H31" s="175">
        <f t="shared" si="6"/>
        <v>4136.7930289333208</v>
      </c>
      <c r="I31" s="175">
        <f t="shared" si="4"/>
        <v>4576.0984833333187</v>
      </c>
      <c r="J31" s="286">
        <f>'a8'!I34</f>
        <v>88</v>
      </c>
      <c r="K31" s="17">
        <f>'a1'!H34</f>
        <v>90.4</v>
      </c>
      <c r="L31" s="175">
        <f t="shared" si="2"/>
        <v>8176.0136418806542</v>
      </c>
    </row>
    <row r="32" spans="1:12">
      <c r="A32" s="172">
        <v>1997</v>
      </c>
      <c r="B32" s="175">
        <f>'a1'!L35/1000</f>
        <v>550.91099999999994</v>
      </c>
      <c r="C32" s="175">
        <v>439.5</v>
      </c>
      <c r="D32" s="182">
        <f>C32/'a5-1'!C31*100</f>
        <v>1.8905909225825599</v>
      </c>
      <c r="E32" s="175">
        <f>E31*POWER(E$33/E$27, 1/6)</f>
        <v>565.74526890635457</v>
      </c>
      <c r="F32" s="182">
        <f t="shared" si="5"/>
        <v>7.5994342598707636</v>
      </c>
      <c r="G32" s="179">
        <f>G31*(1+'a5-1'!$P$47/100)</f>
        <v>8.2334065654071118</v>
      </c>
      <c r="H32" s="175">
        <f t="shared" si="6"/>
        <v>4299.343978886749</v>
      </c>
      <c r="I32" s="175">
        <f t="shared" si="4"/>
        <v>4658.0108113615915</v>
      </c>
      <c r="J32" s="286">
        <f>'a8'!I35</f>
        <v>87.9</v>
      </c>
      <c r="K32" s="17">
        <f>'a1'!H35</f>
        <v>92.3</v>
      </c>
      <c r="L32" s="175">
        <f t="shared" si="2"/>
        <v>8455.1058362631939</v>
      </c>
    </row>
    <row r="33" spans="1:19">
      <c r="A33" s="172">
        <v>1998</v>
      </c>
      <c r="B33" s="175">
        <f>'a1'!L36/1000</f>
        <v>539.84299999999996</v>
      </c>
      <c r="C33" s="175">
        <v>434.1</v>
      </c>
      <c r="D33" s="182">
        <f>C33/'a5-1'!C32*100</f>
        <v>1.8460007569411074</v>
      </c>
      <c r="E33" s="177">
        <f>C33*S33*365/1000</f>
        <v>570.40740000000005</v>
      </c>
      <c r="F33" s="182">
        <f t="shared" si="5"/>
        <v>7.6888644327578337</v>
      </c>
      <c r="G33" s="179">
        <f>G32*(1+'a5-1'!$P$47/100)</f>
        <v>8.312285873251712</v>
      </c>
      <c r="H33" s="175">
        <f t="shared" si="6"/>
        <v>4385.7851700418714</v>
      </c>
      <c r="I33" s="175">
        <f t="shared" si="4"/>
        <v>4741.389373018239</v>
      </c>
      <c r="J33" s="286">
        <f>'a8'!I36</f>
        <v>88.5</v>
      </c>
      <c r="K33" s="17">
        <f>'a1'!H36</f>
        <v>92.5</v>
      </c>
      <c r="L33" s="175">
        <f t="shared" si="2"/>
        <v>8782.9042388587786</v>
      </c>
      <c r="S33" s="172">
        <v>3.6</v>
      </c>
    </row>
    <row r="34" spans="1:19">
      <c r="A34" s="172">
        <v>1999</v>
      </c>
      <c r="B34" s="175">
        <f>'a1'!L37/1000</f>
        <v>533.32899999999995</v>
      </c>
      <c r="C34" s="175">
        <v>431.2</v>
      </c>
      <c r="D34" s="182">
        <f>C34/'a5-1'!C33*100</f>
        <v>1.8131817302597826</v>
      </c>
      <c r="E34" s="175">
        <f t="shared" ref="E34:E43" si="7">C34*S34*365/1000</f>
        <v>575.18943682923236</v>
      </c>
      <c r="F34" s="182">
        <f t="shared" si="5"/>
        <v>7.8716217818958656</v>
      </c>
      <c r="G34" s="179">
        <f>G33*(1+'a5-1'!$P$47/100)</f>
        <v>8.3919208762216062</v>
      </c>
      <c r="H34" s="175">
        <f t="shared" si="6"/>
        <v>4527.6736996614018</v>
      </c>
      <c r="I34" s="175">
        <f t="shared" si="4"/>
        <v>4826.9442427093836</v>
      </c>
      <c r="J34" s="286">
        <f>'a8'!I37</f>
        <v>91.5</v>
      </c>
      <c r="K34" s="17">
        <f>'a1'!H37</f>
        <v>93.8</v>
      </c>
      <c r="L34" s="175">
        <f t="shared" si="2"/>
        <v>9050.5939911562728</v>
      </c>
      <c r="S34" s="191">
        <f t="shared" ref="S34:S39" si="8">S33*POWER(S$40/S$33, 1/7)</f>
        <v>3.6545952475997687</v>
      </c>
    </row>
    <row r="35" spans="1:19">
      <c r="A35" s="172">
        <v>2000</v>
      </c>
      <c r="B35" s="175">
        <f>'a1'!L38/1000</f>
        <v>527.96600000000001</v>
      </c>
      <c r="C35" s="175">
        <v>429.3</v>
      </c>
      <c r="D35" s="182">
        <f>C35/'a5-1'!C34*100</f>
        <v>1.7820894407153267</v>
      </c>
      <c r="E35" s="175">
        <f t="shared" si="7"/>
        <v>581.33948617800263</v>
      </c>
      <c r="F35" s="182">
        <f t="shared" si="5"/>
        <v>8.1842599744944984</v>
      </c>
      <c r="G35" s="179">
        <f>G34*(1+'a5-1'!$P$47/100)</f>
        <v>8.4723188141765</v>
      </c>
      <c r="H35" s="175">
        <f t="shared" si="6"/>
        <v>4757.8334883198249</v>
      </c>
      <c r="I35" s="175">
        <f t="shared" si="4"/>
        <v>4925.2934661695908</v>
      </c>
      <c r="J35" s="286">
        <f>'a8'!I38</f>
        <v>99.4</v>
      </c>
      <c r="K35" s="17">
        <f>'a1'!H38</f>
        <v>96.6</v>
      </c>
      <c r="L35" s="175">
        <f t="shared" si="2"/>
        <v>9328.8080409904996</v>
      </c>
      <c r="S35" s="191">
        <f t="shared" si="8"/>
        <v>3.7100184510496708</v>
      </c>
    </row>
    <row r="36" spans="1:19">
      <c r="A36" s="172">
        <v>2001</v>
      </c>
      <c r="B36" s="175">
        <f>'a1'!L39/1000</f>
        <v>522.03300000000002</v>
      </c>
      <c r="C36" s="175">
        <v>427.3</v>
      </c>
      <c r="D36" s="182">
        <f>C36/'a5-1'!C35*100</f>
        <v>1.7484348786775235</v>
      </c>
      <c r="E36" s="175">
        <f t="shared" si="7"/>
        <v>587.40631497067466</v>
      </c>
      <c r="F36" s="182">
        <f t="shared" si="5"/>
        <v>8.3567567954210844</v>
      </c>
      <c r="G36" s="179">
        <f>G35*(1+'a5-1'!$P$47/100)</f>
        <v>8.5534869963368312</v>
      </c>
      <c r="H36" s="175">
        <f t="shared" si="6"/>
        <v>4908.8117143044437</v>
      </c>
      <c r="I36" s="175">
        <f t="shared" si="4"/>
        <v>5024.3722766678029</v>
      </c>
      <c r="J36" s="286">
        <f>'a8'!I39</f>
        <v>99.6</v>
      </c>
      <c r="K36" s="17">
        <f>'a1'!H39</f>
        <v>97.7</v>
      </c>
      <c r="L36" s="175">
        <f t="shared" si="2"/>
        <v>9624.6257931353048</v>
      </c>
      <c r="S36" s="191">
        <f t="shared" si="8"/>
        <v>3.7662821665871058</v>
      </c>
    </row>
    <row r="37" spans="1:19">
      <c r="A37" s="172">
        <v>2002</v>
      </c>
      <c r="B37" s="175">
        <f>'a1'!L40/1000</f>
        <v>519.53099999999995</v>
      </c>
      <c r="C37" s="175">
        <v>426.7</v>
      </c>
      <c r="D37" s="182">
        <f>C37/'a5-1'!C36*100</f>
        <v>1.7215432967937414</v>
      </c>
      <c r="E37" s="175">
        <f t="shared" si="7"/>
        <v>595.47721089423862</v>
      </c>
      <c r="F37" s="182">
        <f t="shared" si="5"/>
        <v>8.6354328019482764</v>
      </c>
      <c r="G37" s="179">
        <f>G36*(1+'a5-1'!$P$47/100)</f>
        <v>8.6354328019482764</v>
      </c>
      <c r="H37" s="175">
        <f t="shared" si="6"/>
        <v>5142.2034397687794</v>
      </c>
      <c r="I37" s="175">
        <f t="shared" si="4"/>
        <v>5142.2034397687794</v>
      </c>
      <c r="J37" s="286">
        <f>'a8'!I40</f>
        <v>100</v>
      </c>
      <c r="K37" s="17">
        <f>'a1'!H40</f>
        <v>100</v>
      </c>
      <c r="L37" s="175">
        <f t="shared" si="2"/>
        <v>9897.7798048023706</v>
      </c>
      <c r="S37" s="191">
        <f t="shared" si="8"/>
        <v>3.8233991408691659</v>
      </c>
    </row>
    <row r="38" spans="1:19">
      <c r="A38" s="172">
        <v>2003</v>
      </c>
      <c r="B38" s="175">
        <f>'a1'!L41/1000</f>
        <v>518.52</v>
      </c>
      <c r="C38" s="175">
        <v>427.4</v>
      </c>
      <c r="D38" s="182">
        <f>C38/'a5-1'!C37*100</f>
        <v>1.7028906109926887</v>
      </c>
      <c r="E38" s="175">
        <f t="shared" si="7"/>
        <v>605.49952234453849</v>
      </c>
      <c r="F38" s="182">
        <f t="shared" si="5"/>
        <v>8.9709904277002437</v>
      </c>
      <c r="G38" s="179">
        <f>G37*(1+'a5-1'!$P$47/100)</f>
        <v>8.7181636809526175</v>
      </c>
      <c r="H38" s="175">
        <f t="shared" si="6"/>
        <v>5431.9304189299246</v>
      </c>
      <c r="I38" s="175">
        <f t="shared" si="4"/>
        <v>5278.8439445383137</v>
      </c>
      <c r="J38" s="286">
        <f>'a8'!I41</f>
        <v>104</v>
      </c>
      <c r="K38" s="17">
        <f>'a1'!H41</f>
        <v>102.9</v>
      </c>
      <c r="L38" s="175">
        <f t="shared" si="2"/>
        <v>10180.59851989955</v>
      </c>
      <c r="S38" s="191">
        <f t="shared" si="8"/>
        <v>3.8813823138604144</v>
      </c>
    </row>
    <row r="39" spans="1:19">
      <c r="A39" s="172">
        <v>2004</v>
      </c>
      <c r="B39" s="175">
        <f>'a1'!L42/1000</f>
        <v>517.447</v>
      </c>
      <c r="C39" s="175">
        <v>428.1</v>
      </c>
      <c r="D39" s="182">
        <f>C39/'a5-1'!C38*100</f>
        <v>1.6833785537336321</v>
      </c>
      <c r="E39" s="175">
        <f t="shared" si="7"/>
        <v>615.6888649920387</v>
      </c>
      <c r="F39" s="182">
        <f t="shared" si="5"/>
        <v>9.2241681380889631</v>
      </c>
      <c r="G39" s="179">
        <f>G38*(1+'a5-1'!$P$47/100)</f>
        <v>8.801687154665041</v>
      </c>
      <c r="H39" s="175">
        <f t="shared" si="6"/>
        <v>5679.2176114357208</v>
      </c>
      <c r="I39" s="175">
        <f t="shared" si="4"/>
        <v>5419.1007742707261</v>
      </c>
      <c r="J39" s="286">
        <f>'a8'!I42</f>
        <v>112.8</v>
      </c>
      <c r="K39" s="17">
        <f>'a1'!H42</f>
        <v>104.8</v>
      </c>
      <c r="L39" s="175">
        <f t="shared" si="2"/>
        <v>10472.764890453953</v>
      </c>
      <c r="S39" s="191">
        <f t="shared" si="8"/>
        <v>3.9402448217644621</v>
      </c>
    </row>
    <row r="40" spans="1:19">
      <c r="A40" s="172">
        <v>2005</v>
      </c>
      <c r="B40" s="175">
        <f>'a1'!L43/1000</f>
        <v>514.36300000000006</v>
      </c>
      <c r="C40" s="175">
        <v>427.6</v>
      </c>
      <c r="D40" s="182">
        <f>C40/'a5-1'!C39*100</f>
        <v>1.6586629841969296</v>
      </c>
      <c r="E40" s="177">
        <f t="shared" si="7"/>
        <v>624.29600000000005</v>
      </c>
      <c r="F40" s="182">
        <f t="shared" si="5"/>
        <v>9.5613476385087264</v>
      </c>
      <c r="G40" s="179">
        <f>G39*(1+'a5-1'!$P$47/100)</f>
        <v>8.8860108164579241</v>
      </c>
      <c r="H40" s="175">
        <f t="shared" si="6"/>
        <v>5969.1110853304444</v>
      </c>
      <c r="I40" s="175">
        <f t="shared" si="4"/>
        <v>5547.5010086714174</v>
      </c>
      <c r="J40" s="286">
        <f>'a8'!I43</f>
        <v>124.8</v>
      </c>
      <c r="K40" s="17">
        <f>'a1'!H43</f>
        <v>107.6</v>
      </c>
      <c r="L40" s="175">
        <f t="shared" si="2"/>
        <v>10785.186742964437</v>
      </c>
      <c r="S40" s="172">
        <v>4</v>
      </c>
    </row>
    <row r="41" spans="1:19">
      <c r="A41" s="172">
        <v>2006</v>
      </c>
      <c r="B41" s="175">
        <f>'a1'!L44/1000</f>
        <v>510.31299999999999</v>
      </c>
      <c r="C41" s="175">
        <v>425.8</v>
      </c>
      <c r="D41" s="182">
        <f>C41/'a5-1'!C40*100</f>
        <v>1.6285536164369938</v>
      </c>
      <c r="E41" s="175">
        <f t="shared" si="7"/>
        <v>631.09581066245914</v>
      </c>
      <c r="F41" s="182">
        <f t="shared" si="5"/>
        <v>9.823400854034027</v>
      </c>
      <c r="G41" s="179">
        <f>G40*(1+'a5-1'!$P$47/100)</f>
        <v>8.9711423324511674</v>
      </c>
      <c r="H41" s="175">
        <f t="shared" si="6"/>
        <v>6199.5071254388977</v>
      </c>
      <c r="I41" s="175">
        <f t="shared" si="4"/>
        <v>5661.6503428665728</v>
      </c>
      <c r="J41" s="286">
        <f>'a8'!I44</f>
        <v>143.80000000000001</v>
      </c>
      <c r="K41" s="17">
        <f>'a1'!H44</f>
        <v>109.5</v>
      </c>
      <c r="L41" s="175">
        <f t="shared" si="2"/>
        <v>11094.466225368691</v>
      </c>
      <c r="S41" s="191">
        <f>S40*POWER(S$40/S$33,1/7)</f>
        <v>4.0606613862219652</v>
      </c>
    </row>
    <row r="42" spans="1:19">
      <c r="A42" s="172">
        <v>2007</v>
      </c>
      <c r="B42" s="175">
        <f>'a1'!L45/1000</f>
        <v>506.37900000000002</v>
      </c>
      <c r="C42" s="175">
        <v>423.9</v>
      </c>
      <c r="D42" s="182">
        <f>C42/'a5-1'!C41*100</f>
        <v>1.5984223168262324</v>
      </c>
      <c r="E42" s="175">
        <f t="shared" si="7"/>
        <v>637.80782201220416</v>
      </c>
      <c r="F42" s="182">
        <f t="shared" si="5"/>
        <v>10.062426370294366</v>
      </c>
      <c r="G42" s="179">
        <f>G41*(1+'a5-1'!$P$47/100)</f>
        <v>9.0570894422091506</v>
      </c>
      <c r="H42" s="175">
        <f t="shared" si="6"/>
        <v>6417.8942473956185</v>
      </c>
      <c r="I42" s="175">
        <f t="shared" si="4"/>
        <v>5776.6824909051475</v>
      </c>
      <c r="J42" s="286">
        <f>'a8'!I45</f>
        <v>147.80000000000001</v>
      </c>
      <c r="K42" s="17">
        <f>'a1'!H45</f>
        <v>111.1</v>
      </c>
      <c r="L42" s="175">
        <f t="shared" si="2"/>
        <v>11407.823963681643</v>
      </c>
      <c r="S42" s="191">
        <f>S41*POWER(S$40/S$33,1/7)</f>
        <v>4.1222427233885233</v>
      </c>
    </row>
    <row r="43" spans="1:19">
      <c r="A43" s="172">
        <v>2009</v>
      </c>
      <c r="B43" s="175">
        <f>'a1'!L46/1000</f>
        <v>506.19299999999998</v>
      </c>
      <c r="C43" s="309">
        <v>424.2</v>
      </c>
      <c r="D43" s="182">
        <f>C43/'a5-1'!C42*100</f>
        <v>1.5765179839003396</v>
      </c>
      <c r="E43" s="175">
        <f t="shared" si="7"/>
        <v>647.93862966575705</v>
      </c>
      <c r="F43" s="182">
        <f t="shared" si="5"/>
        <v>10.451431933644896</v>
      </c>
      <c r="G43" s="179">
        <f>G42*(1+'a5-1'!$P$47/100)</f>
        <v>9.1438599594443541</v>
      </c>
      <c r="H43" s="175">
        <f t="shared" si="6"/>
        <v>6771.8864851308072</v>
      </c>
      <c r="I43" s="175">
        <f t="shared" si="4"/>
        <v>5924.6600919779585</v>
      </c>
      <c r="J43" s="286">
        <f>'a8'!I46</f>
        <v>156.9</v>
      </c>
      <c r="K43" s="17">
        <f>'a1'!H46</f>
        <v>114.3</v>
      </c>
      <c r="L43" s="175">
        <f t="shared" si="2"/>
        <v>11704.350103573061</v>
      </c>
      <c r="S43" s="191">
        <f>S42*POWER(S$40/S$33,1/7)</f>
        <v>4.1847579628745626</v>
      </c>
    </row>
    <row r="44" spans="1:19">
      <c r="A44" s="172">
        <v>2009</v>
      </c>
      <c r="B44" s="175">
        <f>'a1'!L47/1000</f>
        <v>508.14299999999997</v>
      </c>
      <c r="C44" s="304">
        <v>426.1</v>
      </c>
      <c r="D44" s="182">
        <f>C44/'a5-1'!C43*100</f>
        <v>1.5609087778681379</v>
      </c>
      <c r="E44" s="175">
        <f t="shared" ref="E44:E45" si="9">C44*S44*365/1000</f>
        <v>660.71098498043159</v>
      </c>
      <c r="F44" s="182">
        <f t="shared" ref="F44:F45" si="10">G44*K44/100</f>
        <v>10.579255191545981</v>
      </c>
      <c r="G44" s="179">
        <f>G43*(1+'a5-1'!$P$47/100)</f>
        <v>9.2314617727277319</v>
      </c>
      <c r="H44" s="175">
        <f t="shared" ref="H44" si="11">E44*F44</f>
        <v>6989.8301179656892</v>
      </c>
      <c r="I44" s="175">
        <f t="shared" ref="I44" si="12">H44/K44*100</f>
        <v>6099.3282006681411</v>
      </c>
      <c r="J44" s="286">
        <f>'a8'!I47</f>
        <v>137.80000000000001</v>
      </c>
      <c r="K44" s="17">
        <f>'a1'!H47</f>
        <v>114.6</v>
      </c>
      <c r="L44" s="175">
        <f t="shared" ref="L44:L45" si="13">I44/B44*1000</f>
        <v>12003.172730251408</v>
      </c>
      <c r="S44" s="191">
        <f>S43*POWER(S$40/S$33,1/7)</f>
        <v>4.2482212676324069</v>
      </c>
    </row>
    <row r="45" spans="1:19">
      <c r="A45" s="172">
        <v>2010</v>
      </c>
      <c r="B45" s="175">
        <f>'a1'!L48/1000</f>
        <v>509.73899999999998</v>
      </c>
      <c r="C45" s="304">
        <v>428.1</v>
      </c>
      <c r="D45" s="182">
        <f>C45/'a5-1'!C44*100</f>
        <v>1.5478062801670374</v>
      </c>
      <c r="E45" s="175">
        <f t="shared" si="9"/>
        <v>673.87912836192208</v>
      </c>
      <c r="F45" s="182">
        <f t="shared" si="10"/>
        <v>10.941565941445706</v>
      </c>
      <c r="G45" s="179">
        <f>G44*(1+'a5-1'!$P$47/100)</f>
        <v>9.3199028462058813</v>
      </c>
      <c r="H45" s="175">
        <f t="shared" ref="H45" si="14">E45*F45</f>
        <v>7373.2929195359256</v>
      </c>
      <c r="I45" s="175">
        <f t="shared" ref="I45" si="15">H45/K45*100</f>
        <v>6280.4880064190165</v>
      </c>
      <c r="J45" s="286">
        <f>'a8'!I48</f>
        <v>143.42908939114417</v>
      </c>
      <c r="K45" s="17">
        <f>'a1'!H48</f>
        <v>117.4</v>
      </c>
      <c r="L45" s="175">
        <f t="shared" si="13"/>
        <v>12320.987812231389</v>
      </c>
      <c r="S45" s="191">
        <f>S44*POWER(S$40/S$33,1/7)</f>
        <v>4.3126470154004606</v>
      </c>
    </row>
    <row r="46" spans="1:19">
      <c r="A46" s="172" t="s">
        <v>435</v>
      </c>
    </row>
    <row r="47" spans="1:19">
      <c r="A47" s="172" t="s">
        <v>438</v>
      </c>
      <c r="B47" s="179">
        <f>(POWER(B40/B27, 1/13)-1)*100</f>
        <v>-0.92101531535936365</v>
      </c>
      <c r="C47" s="179">
        <f t="shared" ref="C47:L47" si="16">(POWER(C40/C27, 1/13)-1)*100</f>
        <v>-0.35614747015534354</v>
      </c>
      <c r="D47" s="179">
        <f t="shared" si="16"/>
        <v>-1.6261477803539148</v>
      </c>
      <c r="E47" s="179">
        <f t="shared" si="16"/>
        <v>1.0789739656284159</v>
      </c>
      <c r="F47" s="179">
        <f t="shared" si="16"/>
        <v>2.7778717300767974</v>
      </c>
      <c r="G47" s="179">
        <f t="shared" si="16"/>
        <v>0.95803975205128733</v>
      </c>
      <c r="H47" s="179">
        <f t="shared" si="16"/>
        <v>3.8868182084712988</v>
      </c>
      <c r="I47" s="179">
        <f t="shared" si="16"/>
        <v>2.047350717184715</v>
      </c>
      <c r="J47" s="179">
        <f t="shared" si="16"/>
        <v>3.2159589873874239</v>
      </c>
      <c r="K47" s="179">
        <f t="shared" si="16"/>
        <v>1.8025627107013387</v>
      </c>
      <c r="L47" s="179">
        <f t="shared" si="16"/>
        <v>2.9959592763209253</v>
      </c>
    </row>
    <row r="48" spans="1:19" ht="16.5" customHeight="1">
      <c r="A48" s="272" t="s">
        <v>1051</v>
      </c>
      <c r="B48" s="273">
        <f t="shared" ref="B48:L48" si="17">(POWER(B45/B27, 1/18)-1)*100</f>
        <v>-0.71585428538204487</v>
      </c>
      <c r="C48" s="273">
        <f t="shared" si="17"/>
        <v>-0.25086912980180065</v>
      </c>
      <c r="D48" s="273">
        <f t="shared" si="17"/>
        <v>-1.5561544223632762</v>
      </c>
      <c r="E48" s="273">
        <f t="shared" si="17"/>
        <v>1.2068996269744892</v>
      </c>
      <c r="F48" s="273">
        <f t="shared" si="17"/>
        <v>2.7655436969749481</v>
      </c>
      <c r="G48" s="273">
        <f t="shared" si="17"/>
        <v>0.95803975205128733</v>
      </c>
      <c r="H48" s="273">
        <f t="shared" si="17"/>
        <v>4.0058206605120494</v>
      </c>
      <c r="I48" s="273">
        <f t="shared" si="17"/>
        <v>2.1765019572195454</v>
      </c>
      <c r="J48" s="273">
        <f t="shared" si="17"/>
        <v>3.1062747986652761</v>
      </c>
      <c r="K48" s="273">
        <f t="shared" si="17"/>
        <v>1.7903516642783668</v>
      </c>
      <c r="L48" s="273">
        <f t="shared" si="17"/>
        <v>2.9132105854195345</v>
      </c>
    </row>
    <row r="49" spans="1:13">
      <c r="A49" s="642" t="s">
        <v>933</v>
      </c>
      <c r="B49" s="642"/>
      <c r="C49" s="642"/>
      <c r="D49" s="642"/>
      <c r="E49" s="642"/>
      <c r="F49" s="642"/>
      <c r="G49" s="642"/>
      <c r="H49" s="642"/>
      <c r="I49" s="642"/>
      <c r="J49" s="642"/>
      <c r="K49" s="642"/>
      <c r="L49" s="642"/>
    </row>
    <row r="50" spans="1:13" ht="12" customHeight="1">
      <c r="A50" s="643" t="s">
        <v>913</v>
      </c>
      <c r="B50" s="642"/>
      <c r="C50" s="642"/>
      <c r="D50" s="642"/>
      <c r="E50" s="642"/>
      <c r="F50" s="642"/>
      <c r="G50" s="642"/>
      <c r="H50" s="642"/>
      <c r="I50" s="642"/>
      <c r="J50" s="642"/>
      <c r="K50" s="642"/>
      <c r="L50" s="642"/>
    </row>
    <row r="51" spans="1:13" ht="17.25" customHeight="1">
      <c r="A51" s="185" t="s">
        <v>912</v>
      </c>
      <c r="B51" s="203"/>
      <c r="C51" s="203"/>
      <c r="D51" s="203"/>
      <c r="E51" s="203"/>
      <c r="F51" s="203"/>
      <c r="G51" s="203"/>
      <c r="H51" s="203"/>
      <c r="I51" s="203"/>
      <c r="J51" s="203"/>
      <c r="K51" s="203"/>
    </row>
    <row r="52" spans="1:13">
      <c r="A52" s="172" t="s">
        <v>1053</v>
      </c>
      <c r="M52" s="172" t="s">
        <v>909</v>
      </c>
    </row>
    <row r="53" spans="1:13">
      <c r="A53" s="189" t="s">
        <v>1054</v>
      </c>
    </row>
    <row r="54" spans="1:13">
      <c r="A54" s="189" t="s">
        <v>944</v>
      </c>
    </row>
    <row r="55" spans="1:13">
      <c r="A55" s="185" t="s">
        <v>1050</v>
      </c>
    </row>
    <row r="56" spans="1:13">
      <c r="A56" s="1" t="s">
        <v>1052</v>
      </c>
    </row>
  </sheetData>
  <mergeCells count="2">
    <mergeCell ref="A49:L49"/>
    <mergeCell ref="A50:L50"/>
  </mergeCells>
  <pageMargins left="0.74803149606299213" right="0.74803149606299213" top="0.98425196850393704" bottom="0.98425196850393704" header="0.51181102362204722" footer="0.51181102362204722"/>
  <pageSetup scale="74" orientation="landscape" r:id="rId1"/>
  <headerFooter alignWithMargins="0"/>
</worksheet>
</file>

<file path=xl/worksheets/sheet2.xml><?xml version="1.0" encoding="utf-8"?>
<worksheet xmlns="http://schemas.openxmlformats.org/spreadsheetml/2006/main" xmlns:r="http://schemas.openxmlformats.org/officeDocument/2006/relationships">
  <dimension ref="A1:EH140"/>
  <sheetViews>
    <sheetView view="pageBreakPreview" topLeftCell="A3" zoomScale="80" zoomScaleSheetLayoutView="80" workbookViewId="0">
      <selection activeCell="E9" sqref="E9"/>
    </sheetView>
  </sheetViews>
  <sheetFormatPr defaultColWidth="8.875" defaultRowHeight="12.75"/>
  <cols>
    <col min="1" max="1" width="8.875" style="1" customWidth="1"/>
    <col min="2" max="111" width="14" style="1" customWidth="1"/>
    <col min="112" max="169" width="11.375" style="1" customWidth="1"/>
    <col min="170" max="185" width="10.625" style="1" customWidth="1"/>
    <col min="186" max="16384" width="8.875" style="1"/>
  </cols>
  <sheetData>
    <row r="1" spans="1:111" ht="15.75">
      <c r="B1" s="2" t="s">
        <v>769</v>
      </c>
      <c r="L1" s="2" t="s">
        <v>770</v>
      </c>
      <c r="V1" s="2" t="s">
        <v>771</v>
      </c>
      <c r="AF1" s="2" t="s">
        <v>772</v>
      </c>
      <c r="AP1" s="2" t="s">
        <v>773</v>
      </c>
      <c r="AZ1" s="2" t="s">
        <v>774</v>
      </c>
      <c r="BJ1" s="2" t="s">
        <v>775</v>
      </c>
      <c r="BT1" s="2" t="s">
        <v>776</v>
      </c>
      <c r="CD1" s="2" t="s">
        <v>777</v>
      </c>
      <c r="CN1" s="2" t="s">
        <v>778</v>
      </c>
      <c r="CX1" s="2" t="s">
        <v>779</v>
      </c>
    </row>
    <row r="3" spans="1:111" s="3" customFormat="1" ht="15.75">
      <c r="B3" s="2" t="s">
        <v>321</v>
      </c>
      <c r="L3" s="2" t="s">
        <v>370</v>
      </c>
      <c r="V3" s="2" t="s">
        <v>371</v>
      </c>
      <c r="AF3" s="2" t="s">
        <v>372</v>
      </c>
      <c r="AP3" s="2" t="s">
        <v>373</v>
      </c>
      <c r="AZ3" s="2" t="s">
        <v>374</v>
      </c>
      <c r="BJ3" s="2" t="s">
        <v>375</v>
      </c>
      <c r="BT3" s="2" t="s">
        <v>376</v>
      </c>
      <c r="CD3" s="2" t="s">
        <v>377</v>
      </c>
      <c r="CN3" s="2" t="s">
        <v>378</v>
      </c>
      <c r="CX3" s="2" t="s">
        <v>379</v>
      </c>
    </row>
    <row r="4" spans="1:111" s="256" customFormat="1" ht="57.75" customHeight="1">
      <c r="B4" s="256" t="s">
        <v>444</v>
      </c>
      <c r="C4" s="256" t="s">
        <v>569</v>
      </c>
      <c r="D4" s="256" t="s">
        <v>445</v>
      </c>
      <c r="E4" s="256" t="s">
        <v>446</v>
      </c>
      <c r="F4" s="256" t="s">
        <v>447</v>
      </c>
      <c r="G4" s="256" t="s">
        <v>448</v>
      </c>
      <c r="H4" s="256" t="s">
        <v>466</v>
      </c>
      <c r="I4" s="256" t="s">
        <v>570</v>
      </c>
      <c r="J4" s="256" t="s">
        <v>389</v>
      </c>
      <c r="K4" s="256" t="s">
        <v>390</v>
      </c>
      <c r="L4" s="256" t="s">
        <v>444</v>
      </c>
      <c r="M4" s="256" t="s">
        <v>569</v>
      </c>
      <c r="N4" s="256" t="s">
        <v>445</v>
      </c>
      <c r="O4" s="256" t="s">
        <v>446</v>
      </c>
      <c r="P4" s="256" t="s">
        <v>447</v>
      </c>
      <c r="Q4" s="256" t="s">
        <v>448</v>
      </c>
      <c r="R4" s="256" t="s">
        <v>466</v>
      </c>
      <c r="S4" s="256" t="s">
        <v>570</v>
      </c>
      <c r="T4" s="256" t="s">
        <v>389</v>
      </c>
      <c r="U4" s="256" t="s">
        <v>390</v>
      </c>
      <c r="V4" s="256" t="s">
        <v>444</v>
      </c>
      <c r="W4" s="256" t="s">
        <v>569</v>
      </c>
      <c r="X4" s="256" t="s">
        <v>445</v>
      </c>
      <c r="Y4" s="256" t="s">
        <v>446</v>
      </c>
      <c r="Z4" s="256" t="s">
        <v>447</v>
      </c>
      <c r="AA4" s="256" t="s">
        <v>448</v>
      </c>
      <c r="AB4" s="256" t="s">
        <v>466</v>
      </c>
      <c r="AC4" s="256" t="s">
        <v>570</v>
      </c>
      <c r="AD4" s="256" t="s">
        <v>389</v>
      </c>
      <c r="AE4" s="256" t="s">
        <v>390</v>
      </c>
      <c r="AF4" s="256" t="s">
        <v>444</v>
      </c>
      <c r="AG4" s="256" t="s">
        <v>569</v>
      </c>
      <c r="AH4" s="256" t="s">
        <v>445</v>
      </c>
      <c r="AI4" s="256" t="s">
        <v>446</v>
      </c>
      <c r="AJ4" s="256" t="s">
        <v>447</v>
      </c>
      <c r="AK4" s="256" t="s">
        <v>448</v>
      </c>
      <c r="AL4" s="256" t="s">
        <v>466</v>
      </c>
      <c r="AM4" s="256" t="s">
        <v>570</v>
      </c>
      <c r="AN4" s="256" t="s">
        <v>389</v>
      </c>
      <c r="AO4" s="256" t="s">
        <v>390</v>
      </c>
      <c r="AP4" s="256" t="s">
        <v>444</v>
      </c>
      <c r="AQ4" s="256" t="s">
        <v>569</v>
      </c>
      <c r="AR4" s="256" t="s">
        <v>445</v>
      </c>
      <c r="AS4" s="256" t="s">
        <v>446</v>
      </c>
      <c r="AT4" s="256" t="s">
        <v>447</v>
      </c>
      <c r="AU4" s="256" t="s">
        <v>448</v>
      </c>
      <c r="AV4" s="256" t="s">
        <v>466</v>
      </c>
      <c r="AW4" s="256" t="s">
        <v>570</v>
      </c>
      <c r="AX4" s="256" t="s">
        <v>389</v>
      </c>
      <c r="AY4" s="256" t="s">
        <v>390</v>
      </c>
      <c r="AZ4" s="256" t="s">
        <v>444</v>
      </c>
      <c r="BA4" s="256" t="s">
        <v>569</v>
      </c>
      <c r="BB4" s="256" t="s">
        <v>445</v>
      </c>
      <c r="BC4" s="256" t="s">
        <v>446</v>
      </c>
      <c r="BD4" s="256" t="s">
        <v>447</v>
      </c>
      <c r="BE4" s="256" t="s">
        <v>448</v>
      </c>
      <c r="BF4" s="256" t="s">
        <v>466</v>
      </c>
      <c r="BG4" s="256" t="s">
        <v>570</v>
      </c>
      <c r="BH4" s="256" t="s">
        <v>389</v>
      </c>
      <c r="BI4" s="256" t="s">
        <v>390</v>
      </c>
      <c r="BJ4" s="256" t="s">
        <v>444</v>
      </c>
      <c r="BK4" s="256" t="s">
        <v>569</v>
      </c>
      <c r="BL4" s="256" t="s">
        <v>445</v>
      </c>
      <c r="BM4" s="256" t="s">
        <v>446</v>
      </c>
      <c r="BN4" s="256" t="s">
        <v>447</v>
      </c>
      <c r="BO4" s="256" t="s">
        <v>448</v>
      </c>
      <c r="BP4" s="256" t="s">
        <v>466</v>
      </c>
      <c r="BQ4" s="256" t="s">
        <v>570</v>
      </c>
      <c r="BR4" s="256" t="s">
        <v>389</v>
      </c>
      <c r="BS4" s="256" t="s">
        <v>390</v>
      </c>
      <c r="BT4" s="256" t="s">
        <v>444</v>
      </c>
      <c r="BU4" s="256" t="s">
        <v>569</v>
      </c>
      <c r="BV4" s="256" t="s">
        <v>445</v>
      </c>
      <c r="BW4" s="256" t="s">
        <v>446</v>
      </c>
      <c r="BX4" s="256" t="s">
        <v>447</v>
      </c>
      <c r="BY4" s="256" t="s">
        <v>448</v>
      </c>
      <c r="BZ4" s="256" t="s">
        <v>466</v>
      </c>
      <c r="CA4" s="256" t="s">
        <v>570</v>
      </c>
      <c r="CB4" s="256" t="s">
        <v>389</v>
      </c>
      <c r="CC4" s="256" t="s">
        <v>390</v>
      </c>
      <c r="CD4" s="256" t="s">
        <v>444</v>
      </c>
      <c r="CE4" s="256" t="s">
        <v>569</v>
      </c>
      <c r="CF4" s="256" t="s">
        <v>445</v>
      </c>
      <c r="CG4" s="256" t="s">
        <v>446</v>
      </c>
      <c r="CH4" s="256" t="s">
        <v>447</v>
      </c>
      <c r="CI4" s="256" t="s">
        <v>448</v>
      </c>
      <c r="CJ4" s="256" t="s">
        <v>466</v>
      </c>
      <c r="CK4" s="256" t="s">
        <v>570</v>
      </c>
      <c r="CL4" s="256" t="s">
        <v>389</v>
      </c>
      <c r="CM4" s="256" t="s">
        <v>390</v>
      </c>
      <c r="CN4" s="256" t="s">
        <v>444</v>
      </c>
      <c r="CO4" s="256" t="s">
        <v>569</v>
      </c>
      <c r="CP4" s="256" t="s">
        <v>445</v>
      </c>
      <c r="CQ4" s="256" t="s">
        <v>446</v>
      </c>
      <c r="CR4" s="256" t="s">
        <v>447</v>
      </c>
      <c r="CS4" s="256" t="s">
        <v>448</v>
      </c>
      <c r="CT4" s="256" t="s">
        <v>466</v>
      </c>
      <c r="CU4" s="256" t="s">
        <v>570</v>
      </c>
      <c r="CV4" s="256" t="s">
        <v>389</v>
      </c>
      <c r="CW4" s="256" t="s">
        <v>390</v>
      </c>
      <c r="CX4" s="256" t="s">
        <v>444</v>
      </c>
      <c r="CY4" s="256" t="s">
        <v>569</v>
      </c>
      <c r="CZ4" s="256" t="s">
        <v>445</v>
      </c>
      <c r="DA4" s="256" t="s">
        <v>446</v>
      </c>
      <c r="DB4" s="256" t="s">
        <v>447</v>
      </c>
      <c r="DC4" s="256" t="s">
        <v>448</v>
      </c>
      <c r="DD4" s="256" t="s">
        <v>466</v>
      </c>
      <c r="DE4" s="256" t="s">
        <v>570</v>
      </c>
      <c r="DF4" s="256" t="s">
        <v>389</v>
      </c>
      <c r="DG4" s="256" t="s">
        <v>390</v>
      </c>
    </row>
    <row r="5" spans="1:111" s="4" customFormat="1" ht="16.5" customHeight="1">
      <c r="M5" s="4" t="s">
        <v>365</v>
      </c>
      <c r="Q5" s="4" t="s">
        <v>365</v>
      </c>
      <c r="W5" s="4" t="s">
        <v>365</v>
      </c>
      <c r="AA5" s="4" t="s">
        <v>365</v>
      </c>
      <c r="AG5" s="4" t="s">
        <v>365</v>
      </c>
      <c r="AK5" s="4" t="s">
        <v>365</v>
      </c>
      <c r="AQ5" s="4" t="s">
        <v>365</v>
      </c>
      <c r="AU5" s="4" t="s">
        <v>365</v>
      </c>
      <c r="BA5" s="4" t="s">
        <v>365</v>
      </c>
      <c r="BE5" s="4" t="s">
        <v>365</v>
      </c>
      <c r="BK5" s="4" t="s">
        <v>365</v>
      </c>
      <c r="BO5" s="4" t="s">
        <v>365</v>
      </c>
      <c r="BU5" s="4" t="s">
        <v>365</v>
      </c>
      <c r="BY5" s="4" t="s">
        <v>365</v>
      </c>
      <c r="CE5" s="4" t="s">
        <v>365</v>
      </c>
      <c r="CI5" s="4" t="s">
        <v>365</v>
      </c>
      <c r="CO5" s="4" t="s">
        <v>365</v>
      </c>
      <c r="CS5" s="4" t="s">
        <v>365</v>
      </c>
      <c r="CY5" s="4" t="s">
        <v>365</v>
      </c>
      <c r="DC5" s="4" t="s">
        <v>365</v>
      </c>
    </row>
    <row r="6" spans="1:111" s="4" customFormat="1">
      <c r="B6" s="4" t="s">
        <v>105</v>
      </c>
      <c r="C6" s="4" t="s">
        <v>106</v>
      </c>
      <c r="D6" s="4" t="s">
        <v>107</v>
      </c>
      <c r="E6" s="4" t="s">
        <v>108</v>
      </c>
      <c r="F6" s="4" t="s">
        <v>109</v>
      </c>
      <c r="G6" s="4" t="s">
        <v>110</v>
      </c>
      <c r="H6" s="4" t="s">
        <v>440</v>
      </c>
      <c r="I6" s="4" t="s">
        <v>112</v>
      </c>
      <c r="J6" s="4" t="s">
        <v>965</v>
      </c>
      <c r="K6" s="4" t="s">
        <v>113</v>
      </c>
      <c r="L6" s="4" t="s">
        <v>105</v>
      </c>
      <c r="M6" s="4" t="s">
        <v>106</v>
      </c>
      <c r="N6" s="4" t="s">
        <v>107</v>
      </c>
      <c r="O6" s="4" t="s">
        <v>108</v>
      </c>
      <c r="P6" s="4" t="s">
        <v>109</v>
      </c>
      <c r="Q6" s="4" t="s">
        <v>110</v>
      </c>
      <c r="R6" s="4" t="s">
        <v>571</v>
      </c>
      <c r="T6" s="4" t="s">
        <v>193</v>
      </c>
      <c r="V6" s="4" t="s">
        <v>105</v>
      </c>
      <c r="W6" s="4" t="s">
        <v>106</v>
      </c>
      <c r="X6" s="4" t="s">
        <v>107</v>
      </c>
      <c r="Y6" s="4" t="s">
        <v>108</v>
      </c>
      <c r="Z6" s="4" t="s">
        <v>109</v>
      </c>
      <c r="AA6" s="4" t="s">
        <v>110</v>
      </c>
      <c r="AB6" s="4" t="s">
        <v>571</v>
      </c>
      <c r="AD6" s="4" t="s">
        <v>193</v>
      </c>
      <c r="AF6" s="4" t="s">
        <v>105</v>
      </c>
      <c r="AG6" s="4" t="s">
        <v>106</v>
      </c>
      <c r="AH6" s="4" t="s">
        <v>107</v>
      </c>
      <c r="AI6" s="4" t="s">
        <v>108</v>
      </c>
      <c r="AJ6" s="4" t="s">
        <v>109</v>
      </c>
      <c r="AK6" s="4" t="s">
        <v>110</v>
      </c>
      <c r="AL6" s="4" t="s">
        <v>571</v>
      </c>
      <c r="AN6" s="4" t="s">
        <v>193</v>
      </c>
      <c r="AP6" s="4" t="s">
        <v>105</v>
      </c>
      <c r="AQ6" s="4" t="s">
        <v>106</v>
      </c>
      <c r="AR6" s="4" t="s">
        <v>107</v>
      </c>
      <c r="AS6" s="4" t="s">
        <v>108</v>
      </c>
      <c r="AT6" s="4" t="s">
        <v>109</v>
      </c>
      <c r="AU6" s="4" t="s">
        <v>110</v>
      </c>
      <c r="AV6" s="4" t="s">
        <v>571</v>
      </c>
      <c r="AX6" s="4" t="s">
        <v>193</v>
      </c>
      <c r="AZ6" s="4" t="s">
        <v>105</v>
      </c>
      <c r="BA6" s="4" t="s">
        <v>106</v>
      </c>
      <c r="BB6" s="4" t="s">
        <v>107</v>
      </c>
      <c r="BC6" s="4" t="s">
        <v>108</v>
      </c>
      <c r="BD6" s="4" t="s">
        <v>109</v>
      </c>
      <c r="BE6" s="4" t="s">
        <v>110</v>
      </c>
      <c r="BF6" s="4" t="s">
        <v>571</v>
      </c>
      <c r="BH6" s="4" t="s">
        <v>193</v>
      </c>
      <c r="BJ6" s="4" t="s">
        <v>105</v>
      </c>
      <c r="BK6" s="4" t="s">
        <v>106</v>
      </c>
      <c r="BL6" s="4" t="s">
        <v>107</v>
      </c>
      <c r="BM6" s="4" t="s">
        <v>108</v>
      </c>
      <c r="BN6" s="4" t="s">
        <v>109</v>
      </c>
      <c r="BO6" s="4" t="s">
        <v>110</v>
      </c>
      <c r="BP6" s="4" t="s">
        <v>571</v>
      </c>
      <c r="BR6" s="4" t="s">
        <v>193</v>
      </c>
      <c r="BT6" s="4" t="s">
        <v>105</v>
      </c>
      <c r="BU6" s="4" t="s">
        <v>106</v>
      </c>
      <c r="BV6" s="4" t="s">
        <v>107</v>
      </c>
      <c r="BW6" s="4" t="s">
        <v>108</v>
      </c>
      <c r="BX6" s="4" t="s">
        <v>109</v>
      </c>
      <c r="BY6" s="4" t="s">
        <v>110</v>
      </c>
      <c r="BZ6" s="4" t="s">
        <v>571</v>
      </c>
      <c r="CB6" s="4" t="s">
        <v>193</v>
      </c>
      <c r="CD6" s="4" t="s">
        <v>105</v>
      </c>
      <c r="CE6" s="4" t="s">
        <v>106</v>
      </c>
      <c r="CF6" s="4" t="s">
        <v>107</v>
      </c>
      <c r="CG6" s="4" t="s">
        <v>108</v>
      </c>
      <c r="CH6" s="4" t="s">
        <v>109</v>
      </c>
      <c r="CI6" s="4" t="s">
        <v>110</v>
      </c>
      <c r="CJ6" s="4" t="s">
        <v>571</v>
      </c>
      <c r="CL6" s="4" t="s">
        <v>193</v>
      </c>
      <c r="CN6" s="4" t="s">
        <v>105</v>
      </c>
      <c r="CO6" s="4" t="s">
        <v>106</v>
      </c>
      <c r="CP6" s="4" t="s">
        <v>107</v>
      </c>
      <c r="CQ6" s="4" t="s">
        <v>108</v>
      </c>
      <c r="CR6" s="4" t="s">
        <v>109</v>
      </c>
      <c r="CS6" s="4" t="s">
        <v>110</v>
      </c>
      <c r="CT6" s="4" t="s">
        <v>571</v>
      </c>
      <c r="CV6" s="4" t="s">
        <v>193</v>
      </c>
      <c r="CX6" s="4" t="s">
        <v>105</v>
      </c>
      <c r="CY6" s="4" t="s">
        <v>106</v>
      </c>
      <c r="CZ6" s="4" t="s">
        <v>107</v>
      </c>
      <c r="DA6" s="4" t="s">
        <v>108</v>
      </c>
      <c r="DB6" s="4" t="s">
        <v>109</v>
      </c>
      <c r="DC6" s="4" t="s">
        <v>110</v>
      </c>
      <c r="DD6" s="4" t="s">
        <v>571</v>
      </c>
      <c r="DF6" s="4" t="s">
        <v>193</v>
      </c>
    </row>
    <row r="7" spans="1:111" s="4" customFormat="1" hidden="1"/>
    <row r="8" spans="1:111" hidden="1">
      <c r="A8" s="1">
        <v>1971</v>
      </c>
      <c r="B8" s="7">
        <f>'a1'!G8</f>
        <v>11453.143174332288</v>
      </c>
      <c r="C8" s="9">
        <f>'a2'!E8/'a2'!E$8</f>
        <v>1</v>
      </c>
      <c r="D8" s="7">
        <f>'a6'!H8</f>
        <v>4902.4921387567056</v>
      </c>
      <c r="E8" s="7">
        <f>'a5'!C8</f>
        <v>5963.6498053999885</v>
      </c>
      <c r="F8" s="7">
        <f>'a4'!H8</f>
        <v>1374.3230512216855</v>
      </c>
      <c r="G8" s="9">
        <f>'a3'!B4/'a3'!B$4</f>
        <v>1</v>
      </c>
      <c r="H8" s="7">
        <f t="shared" ref="H8:H40" si="0">(B8*C8+D8+E8-F8)*G8</f>
        <v>20944.962067267297</v>
      </c>
      <c r="I8" s="114">
        <f t="shared" ref="I8:I17" si="1">(H8-D$61)/D$62</f>
        <v>9.286072550406746E-2</v>
      </c>
      <c r="J8" s="11">
        <f>LN(H8)</f>
        <v>9.9496534223156274</v>
      </c>
      <c r="K8" s="114">
        <f t="shared" ref="K8:K17" si="2">(J8-$G$61)/$G$62</f>
        <v>9.8142272288917642E-2</v>
      </c>
      <c r="L8" s="7">
        <f>'a1'!M8</f>
        <v>7441.7672356925686</v>
      </c>
      <c r="M8" s="9">
        <f>'a2'!I8/'a2'!$E$8</f>
        <v>1.163652970435775</v>
      </c>
      <c r="N8" s="7">
        <f>'a6'!O8</f>
        <v>3472.9156983535954</v>
      </c>
      <c r="O8" s="7">
        <f>'a5'!E8</f>
        <v>5621.5732025886236</v>
      </c>
      <c r="P8" s="7">
        <f>'a4'!L8</f>
        <v>892.97689709836618</v>
      </c>
      <c r="Q8" s="9">
        <f>'a3'!C4/'a3'!B$4</f>
        <v>1.0391254786839552</v>
      </c>
      <c r="R8" s="7">
        <f t="shared" ref="R8:R39" si="3">(L8*M8+N8+O8-P8)*Q8</f>
        <v>17520.846982993593</v>
      </c>
      <c r="S8" s="114">
        <f t="shared" ref="S8:S17" si="4">(R8-D$61)/D$62</f>
        <v>-1.2416360431895312E-2</v>
      </c>
      <c r="T8" s="11">
        <f>LN(R8)</f>
        <v>9.7711467071000335</v>
      </c>
      <c r="U8" s="114">
        <f t="shared" ref="U8:U17" si="5">(T8-$G$61)/$G$62</f>
        <v>-7.921006185159718E-2</v>
      </c>
      <c r="V8" s="7">
        <f>'a1'!S8</f>
        <v>9905.6814040041645</v>
      </c>
      <c r="W8" s="9">
        <f>'a2'!M8/'a2'!$E$8</f>
        <v>1.0753671630358927</v>
      </c>
      <c r="X8" s="7">
        <f>'a6'!V8</f>
        <v>4550.8666806913498</v>
      </c>
      <c r="Y8" s="7">
        <f>'a5'!G8</f>
        <v>5602.5659907335985</v>
      </c>
      <c r="Z8" s="7">
        <f>'a4'!N8</f>
        <v>1188.6349523762572</v>
      </c>
      <c r="AA8" s="9">
        <f>'a3'!D4/'a3'!$B$4</f>
        <v>1.0174492904284345</v>
      </c>
      <c r="AB8" s="7">
        <f t="shared" ref="AB8:AB39" si="6">(V8*W8+X8+Y8-Z8)*AA8</f>
        <v>19959.345695600437</v>
      </c>
      <c r="AC8" s="114">
        <f t="shared" ref="AC8:AC17" si="7">(AB8-D$61)/D$62</f>
        <v>6.2557182280176912E-2</v>
      </c>
      <c r="AD8" s="11">
        <f>LN(AB8)</f>
        <v>9.901452768546612</v>
      </c>
      <c r="AE8" s="114">
        <f t="shared" ref="AE8:AE17" si="8">(AD8-$G$61)/$G$62</f>
        <v>5.0253326247256869E-2</v>
      </c>
      <c r="AF8" s="7">
        <f>'a1'!Y8</f>
        <v>10973.690017829069</v>
      </c>
      <c r="AG8" s="9">
        <f>'a2'!Q8/'a2'!$E$8</f>
        <v>1.0420404363882758</v>
      </c>
      <c r="AH8" s="7">
        <f>'a6'!AC8</f>
        <v>5919.9184702108296</v>
      </c>
      <c r="AI8" s="7">
        <f>'a5'!I8</f>
        <v>5473.6089590481824</v>
      </c>
      <c r="AJ8" s="7">
        <f>'a4'!P8</f>
        <v>1316.7909384266502</v>
      </c>
      <c r="AK8" s="9">
        <f>'a3'!E4/'a3'!B$4</f>
        <v>0.9861885592745151</v>
      </c>
      <c r="AL8" s="7">
        <f t="shared" ref="AL8:AL39" si="9">(AF8*AG8+AH8+AI8-AJ8)*AK8</f>
        <v>21214.656755483938</v>
      </c>
      <c r="AM8" s="114">
        <f t="shared" ref="AM8:AM17" si="10">(AL8-D$61)/D$62</f>
        <v>0.10115269880784397</v>
      </c>
      <c r="AN8" s="11">
        <f>LN(AL8)</f>
        <v>9.9624475781741193</v>
      </c>
      <c r="AO8" s="114">
        <f t="shared" ref="AO8:AO17" si="11">(AN8-$G$61)/$G$62</f>
        <v>0.1108536899076922</v>
      </c>
      <c r="AP8" s="7">
        <f>'a1'!AE8</f>
        <v>8904.3455424717486</v>
      </c>
      <c r="AQ8" s="9">
        <f>'a2'!U8/'a2'!$E$8</f>
        <v>1.0756444659892959</v>
      </c>
      <c r="AR8" s="7">
        <f>'a6'!AJ8</f>
        <v>4400.4213054353741</v>
      </c>
      <c r="AS8" s="7">
        <f>'a5'!K8</f>
        <v>6415.7108229759133</v>
      </c>
      <c r="AT8" s="7">
        <f>'a4'!R8</f>
        <v>1068.4793814930567</v>
      </c>
      <c r="AU8" s="9">
        <f>'a3'!F4/'a3'!B$4</f>
        <v>0.9875652865198139</v>
      </c>
      <c r="AV8" s="7">
        <f t="shared" ref="AV8:AV39" si="12">(AP8*AQ8+AR8+AS8-AT8)*AU8</f>
        <v>19085.254917258328</v>
      </c>
      <c r="AW8" s="114">
        <f t="shared" ref="AW8:AW17" si="13">(AV8-D$61)/D$62</f>
        <v>3.5682580310753394E-2</v>
      </c>
      <c r="AX8" s="11">
        <f>LN(AV8)</f>
        <v>9.8566713220331881</v>
      </c>
      <c r="AY8" s="114">
        <f t="shared" ref="AY8:AY17" si="14">(AX8-$G$61)/$G$62</f>
        <v>5.7614758664340038E-3</v>
      </c>
      <c r="AZ8" s="7">
        <f>'a1'!AK8</f>
        <v>9877.4920181473481</v>
      </c>
      <c r="BA8" s="9">
        <f>'a2'!Y8/'a2'!$E$8</f>
        <v>1.0312075078302767</v>
      </c>
      <c r="BB8" s="7">
        <f>'a6'!AQ8</f>
        <v>4280.4986923942179</v>
      </c>
      <c r="BC8" s="7">
        <f>'a5'!M8</f>
        <v>6777.0147060824302</v>
      </c>
      <c r="BD8" s="7">
        <f>'a4'!T8</f>
        <v>1185.2523593017524</v>
      </c>
      <c r="BE8" s="9">
        <f>'a3'!G4/'a3'!B$4</f>
        <v>0.98481183576740083</v>
      </c>
      <c r="BF8" s="7">
        <f t="shared" ref="BF8:BF39" si="15">(AZ8*BA8+BB8+BC8-BD8)*BE8</f>
        <v>19753.360693207687</v>
      </c>
      <c r="BG8" s="114">
        <f t="shared" ref="BG8:BG17" si="16">(BF8-D$61)/D$62</f>
        <v>5.6224012902191242E-2</v>
      </c>
      <c r="BH8" s="11">
        <f>LN(BF8)</f>
        <v>9.8910789175348128</v>
      </c>
      <c r="BI8" s="114">
        <f t="shared" ref="BI8:BI17" si="17">(BH8-$G$61)/$G$62</f>
        <v>3.9946561660017352E-2</v>
      </c>
      <c r="BJ8" s="7">
        <f>'a1'!AQ8</f>
        <v>12924.407073198356</v>
      </c>
      <c r="BK8" s="9">
        <f>'a2'!AC8/'a2'!$E$8</f>
        <v>0.98328939254474523</v>
      </c>
      <c r="BL8" s="7">
        <f>'a6'!AX8</f>
        <v>5579.6880052204278</v>
      </c>
      <c r="BM8" s="7">
        <f>'a5'!O8</f>
        <v>6577.9910963948032</v>
      </c>
      <c r="BN8" s="7">
        <f>'a4'!V8</f>
        <v>1550.8677656170687</v>
      </c>
      <c r="BO8" s="9">
        <f>'a3'!H4/'a3'!B$4</f>
        <v>1.0076065999199644</v>
      </c>
      <c r="BP8" s="7">
        <f t="shared" ref="BP8:BP39" si="18">(BJ8*BK8+BL8+BM8-BN8)*BO8</f>
        <v>23492.593446988489</v>
      </c>
      <c r="BQ8" s="114">
        <f t="shared" ref="BQ8:BQ17" si="19">(BP8-D$61)/D$62</f>
        <v>0.17118963708997967</v>
      </c>
      <c r="BR8" s="11">
        <f>LN(BP8)</f>
        <v>10.064440477986395</v>
      </c>
      <c r="BS8" s="114">
        <f t="shared" ref="BS8:BS17" si="20">(BR8-$G$61)/$G$62</f>
        <v>0.21218701412252566</v>
      </c>
      <c r="BT8" s="7">
        <f>'a1'!AW8</f>
        <v>10963.201344925839</v>
      </c>
      <c r="BU8" s="9">
        <f>'a2'!AG8/'a2'!$E$8</f>
        <v>0.98593517099551864</v>
      </c>
      <c r="BV8" s="7">
        <f>'a6'!BE8</f>
        <v>4735.3241555695104</v>
      </c>
      <c r="BW8" s="7">
        <f>'a5'!Q8</f>
        <v>7694.8080906589557</v>
      </c>
      <c r="BX8" s="7">
        <f>'a4'!X8</f>
        <v>1315.5323472496939</v>
      </c>
      <c r="BY8" s="9">
        <f>'a3'!I4/'a3'!B$4</f>
        <v>1.00550823963824</v>
      </c>
      <c r="BZ8" s="7">
        <f t="shared" ref="BZ8:BZ39" si="21">(BT8*BU8+BV8+BW8-BX8)*BY8</f>
        <v>22044.366165530402</v>
      </c>
      <c r="CA8" s="114">
        <f t="shared" ref="CA8:CA17" si="22">(BZ8-D$61)/D$62</f>
        <v>0.1266627610322468</v>
      </c>
      <c r="CB8" s="11">
        <f>LN(BZ8)</f>
        <v>10.000812345531584</v>
      </c>
      <c r="CC8" s="114">
        <f t="shared" ref="CC8:CC17" si="23">(CB8-$G$61)/$G$62</f>
        <v>0.14897035701114769</v>
      </c>
      <c r="CD8" s="7">
        <f>'a1'!BC8</f>
        <v>9078.7271774896944</v>
      </c>
      <c r="CE8" s="9">
        <f>'a2'!AK8/'a2'!$E$8</f>
        <v>0.99775598143168731</v>
      </c>
      <c r="CF8" s="7">
        <f>'a6'!BL8</f>
        <v>4255.0432134489583</v>
      </c>
      <c r="CG8" s="7">
        <f>'a5'!S8</f>
        <v>5703.19218393961</v>
      </c>
      <c r="CH8" s="7">
        <f>'a4'!Z8</f>
        <v>1089.4043535349663</v>
      </c>
      <c r="CI8" s="9">
        <f>'a3'!J4/'a3'!B$4</f>
        <v>1.0235875214153618</v>
      </c>
      <c r="CJ8" s="7">
        <f t="shared" ref="CJ8:CJ39" si="24">(CD8*CE8+CF8+CG8-CH8)*CI8</f>
        <v>18350.043258260099</v>
      </c>
      <c r="CK8" s="114">
        <f t="shared" ref="CK8:CK17" si="25">(CJ8-D$61)/D$62</f>
        <v>1.3077925063923111E-2</v>
      </c>
      <c r="CL8" s="11">
        <f>LN(CJ8)</f>
        <v>9.8173872108783087</v>
      </c>
      <c r="CM8" s="114">
        <f t="shared" ref="CM8:CM17" si="26">(CL8-$G$61)/$G$62</f>
        <v>-3.3268589750641814E-2</v>
      </c>
      <c r="CN8" s="7">
        <f>'a1'!BI8</f>
        <v>11509.104753847409</v>
      </c>
      <c r="CO8" s="9">
        <f>'a2'!AO8/'a2'!$E$8</f>
        <v>0.96055795415709877</v>
      </c>
      <c r="CP8" s="7">
        <f>'a6'!BS8</f>
        <v>4948.709185284707</v>
      </c>
      <c r="CQ8" s="7">
        <f>'a5'!U8</f>
        <v>7213.650055226899</v>
      </c>
      <c r="CR8" s="7">
        <f>'a4'!AB8</f>
        <v>1381.0381762786014</v>
      </c>
      <c r="CS8" s="9">
        <f>'a3'!K4/'a3'!B$4</f>
        <v>1.0020400528369737</v>
      </c>
      <c r="CT8" s="7">
        <f t="shared" ref="CT8:CT39" si="27">(CN8*CO8+CP8+CQ8-CR8)*CS8</f>
        <v>21881.030760230864</v>
      </c>
      <c r="CU8" s="114">
        <f t="shared" ref="CU8:CU17" si="28">(CT8-D$61)/D$62</f>
        <v>0.12164088674446942</v>
      </c>
      <c r="CV8" s="11">
        <f>LN(CT8)</f>
        <v>9.993375365126056</v>
      </c>
      <c r="CW8" s="114">
        <f t="shared" ref="CW8:CW17" si="29">(CV8-$G$61)/$G$62</f>
        <v>0.14158147064749127</v>
      </c>
      <c r="CX8" s="7">
        <f>'a1'!BO8</f>
        <v>13354.425060866773</v>
      </c>
      <c r="CY8" s="9">
        <f>'a2'!AS8/'a2'!$E$8</f>
        <v>0.9500669316518785</v>
      </c>
      <c r="CZ8" s="7">
        <f>'a6'!BZ8</f>
        <v>4664.6802347381517</v>
      </c>
      <c r="DA8" s="7">
        <f>'a5'!W8</f>
        <v>6489.1182040681933</v>
      </c>
      <c r="DB8" s="7">
        <f>'a4'!AD8</f>
        <v>1602.4678917917879</v>
      </c>
      <c r="DC8" s="9">
        <f>'a3'!L4/'a3'!B$4</f>
        <v>1.0075477452567141</v>
      </c>
      <c r="DD8" s="7">
        <f t="shared" ref="DD8:DD39" si="30">(CX8*CY8+CZ8+DA8-DB8)*DC8</f>
        <v>22406.781953316866</v>
      </c>
      <c r="DE8" s="114">
        <f t="shared" ref="DE8:DE17" si="31">(DD8-D$61)/D$62</f>
        <v>0.13780551677973304</v>
      </c>
      <c r="DF8" s="11">
        <f>LN(DD8)</f>
        <v>10.017118957791897</v>
      </c>
      <c r="DG8" s="44">
        <f t="shared" ref="DG8:DG17" si="32">(DF8-$G$61)/$G$62</f>
        <v>0.16517151640617717</v>
      </c>
    </row>
    <row r="9" spans="1:111" hidden="1">
      <c r="A9" s="1">
        <v>1972</v>
      </c>
      <c r="B9" s="7">
        <f>'a1'!G9</f>
        <v>12088.80192503593</v>
      </c>
      <c r="C9" s="9">
        <f>'a2'!E9/'a2'!E$8</f>
        <v>0.99351459944326204</v>
      </c>
      <c r="D9" s="7">
        <f>'a6'!H9</f>
        <v>4999.6737620937356</v>
      </c>
      <c r="E9" s="7">
        <f>'a5'!C9</f>
        <v>6219.5067016085832</v>
      </c>
      <c r="F9" s="7">
        <f>'a4'!H9</f>
        <v>1584.8717633684359</v>
      </c>
      <c r="G9" s="9">
        <f>'a3'!B5/'a3'!B$4</f>
        <v>1.0039736351659376</v>
      </c>
      <c r="H9" s="7">
        <f t="shared" si="0"/>
        <v>21730.718083060518</v>
      </c>
      <c r="I9" s="114">
        <f t="shared" si="1"/>
        <v>0.11701940637881059</v>
      </c>
      <c r="J9" s="11">
        <f t="shared" ref="J9:J40" si="33">LN(H9)</f>
        <v>9.9864821184044565</v>
      </c>
      <c r="K9" s="114">
        <f t="shared" si="2"/>
        <v>0.13473280170859125</v>
      </c>
      <c r="L9" s="7">
        <f>'a1'!M9</f>
        <v>8052.1417487677536</v>
      </c>
      <c r="M9" s="9">
        <f>'a2'!I9/'a2'!$E$8</f>
        <v>1.1541299526970823</v>
      </c>
      <c r="N9" s="7">
        <f>'a6'!O9</f>
        <v>3357.3914656786424</v>
      </c>
      <c r="O9" s="7">
        <f>'a5'!E9</f>
        <v>5735.875802656069</v>
      </c>
      <c r="P9" s="7">
        <f>'a4'!L9</f>
        <v>1055.6556531737715</v>
      </c>
      <c r="Q9" s="9">
        <f>'a3'!C5/'a3'!B$4</f>
        <v>1.0391254786839552</v>
      </c>
      <c r="R9" s="7">
        <f t="shared" si="3"/>
        <v>18008.906594505654</v>
      </c>
      <c r="S9" s="114">
        <f t="shared" si="4"/>
        <v>2.5894125630057758E-3</v>
      </c>
      <c r="T9" s="11">
        <f t="shared" ref="T9:T40" si="34">LN(R9)</f>
        <v>9.7986217253056722</v>
      </c>
      <c r="U9" s="114">
        <f t="shared" si="5"/>
        <v>-5.1912721225290656E-2</v>
      </c>
      <c r="V9" s="7">
        <f>'a1'!S9</f>
        <v>10563.437354588848</v>
      </c>
      <c r="W9" s="9">
        <f>'a2'!M9/'a2'!$E$8</f>
        <v>1.0663706046188974</v>
      </c>
      <c r="X9" s="7">
        <f>'a6'!V9</f>
        <v>4658.641341042131</v>
      </c>
      <c r="Y9" s="7">
        <f>'a5'!G9</f>
        <v>5882.7977534697402</v>
      </c>
      <c r="Z9" s="7">
        <f>'a4'!N9</f>
        <v>1384.8927041088464</v>
      </c>
      <c r="AA9" s="9">
        <f>'a3'!D5/'a3'!$B$4</f>
        <v>1.0201338905304942</v>
      </c>
      <c r="AB9" s="7">
        <f t="shared" si="6"/>
        <v>20832.241368417897</v>
      </c>
      <c r="AC9" s="114">
        <f t="shared" si="7"/>
        <v>8.9395039799158638E-2</v>
      </c>
      <c r="AD9" s="11">
        <f t="shared" ref="AD9:AD40" si="35">LN(AB9)</f>
        <v>9.9442571313667631</v>
      </c>
      <c r="AE9" s="114">
        <f t="shared" si="8"/>
        <v>9.2780878493023008E-2</v>
      </c>
      <c r="AF9" s="7">
        <f>'a1'!Y9</f>
        <v>11608.084024049811</v>
      </c>
      <c r="AG9" s="9">
        <f>'a2'!Q9/'a2'!$E$8</f>
        <v>1.0349562032140913</v>
      </c>
      <c r="AH9" s="7">
        <f>'a6'!AC9</f>
        <v>5763.3952727753003</v>
      </c>
      <c r="AI9" s="7">
        <f>'a5'!I9</f>
        <v>5705.4141899799133</v>
      </c>
      <c r="AJ9" s="7">
        <f>'a4'!P9</f>
        <v>1521.8484603030763</v>
      </c>
      <c r="AK9" s="9">
        <f>'a3'!E5/'a3'!B$4</f>
        <v>0.99066662959799068</v>
      </c>
      <c r="AL9" s="7">
        <f t="shared" si="9"/>
        <v>21755.851107189028</v>
      </c>
      <c r="AM9" s="114">
        <f t="shared" si="10"/>
        <v>0.11779214078635432</v>
      </c>
      <c r="AN9" s="11">
        <f t="shared" ref="AN9:AN40" si="36">LN(AL9)</f>
        <v>9.9876380167608847</v>
      </c>
      <c r="AO9" s="114">
        <f t="shared" si="11"/>
        <v>0.13588122501184977</v>
      </c>
      <c r="AP9" s="7">
        <f>'a1'!AE9</f>
        <v>9307.316636025158</v>
      </c>
      <c r="AQ9" s="9">
        <f>'a2'!U9/'a2'!$E$8</f>
        <v>1.0650128152301335</v>
      </c>
      <c r="AR9" s="7">
        <f>'a6'!AJ9</f>
        <v>4400.5122918838742</v>
      </c>
      <c r="AS9" s="7">
        <f>'a5'!K9</f>
        <v>6461.6488006793879</v>
      </c>
      <c r="AT9" s="7">
        <f>'a4'!R9</f>
        <v>1220.212178232189</v>
      </c>
      <c r="AU9" s="9">
        <f>'a3'!F5/'a3'!B$4</f>
        <v>0.9920436270847367</v>
      </c>
      <c r="AV9" s="7">
        <f t="shared" si="12"/>
        <v>19398.778623584116</v>
      </c>
      <c r="AW9" s="114">
        <f t="shared" si="13"/>
        <v>4.5322110922740022E-2</v>
      </c>
      <c r="AX9" s="11">
        <f t="shared" ref="AX9:AX40" si="37">LN(AV9)</f>
        <v>9.8729653855222992</v>
      </c>
      <c r="AY9" s="114">
        <f t="shared" si="14"/>
        <v>2.195016764162808E-2</v>
      </c>
      <c r="AZ9" s="7">
        <f>'a1'!AK9</f>
        <v>10560.008691080071</v>
      </c>
      <c r="BA9" s="9">
        <f>'a2'!Y9/'a2'!$E$8</f>
        <v>1.0210395885985311</v>
      </c>
      <c r="BB9" s="7">
        <f>'a6'!AQ9</f>
        <v>4336.884810176879</v>
      </c>
      <c r="BC9" s="7">
        <f>'a5'!M9</f>
        <v>6996.2428640154194</v>
      </c>
      <c r="BD9" s="7">
        <f>'a4'!T9</f>
        <v>1384.4431978620858</v>
      </c>
      <c r="BE9" s="9">
        <f>'a3'!G5/'a3'!B$4</f>
        <v>0.98928963514425761</v>
      </c>
      <c r="BF9" s="7">
        <f t="shared" si="15"/>
        <v>20508.836209333207</v>
      </c>
      <c r="BG9" s="114">
        <f t="shared" si="16"/>
        <v>7.9451696223627369E-2</v>
      </c>
      <c r="BH9" s="11">
        <f t="shared" ref="BH9:BH40" si="38">LN(BF9)</f>
        <v>9.9286111068593907</v>
      </c>
      <c r="BI9" s="114">
        <f t="shared" si="17"/>
        <v>7.7236034910803594E-2</v>
      </c>
      <c r="BJ9" s="7">
        <f>'a1'!AQ9</f>
        <v>13549.299272437223</v>
      </c>
      <c r="BK9" s="9">
        <f>'a2'!AC9/'a2'!$E$8</f>
        <v>0.97877305317458785</v>
      </c>
      <c r="BL9" s="7">
        <f>'a6'!AX9</f>
        <v>5640.5476241282058</v>
      </c>
      <c r="BM9" s="7">
        <f>'a5'!O9</f>
        <v>6866.257550956213</v>
      </c>
      <c r="BN9" s="7">
        <f>'a4'!V9</f>
        <v>1776.3465696167757</v>
      </c>
      <c r="BO9" s="9">
        <f>'a3'!H5/'a3'!B$4</f>
        <v>1.0113257868619543</v>
      </c>
      <c r="BP9" s="7">
        <f t="shared" si="18"/>
        <v>24263.877573062797</v>
      </c>
      <c r="BQ9" s="114">
        <f t="shared" si="19"/>
        <v>0.19490336844051109</v>
      </c>
      <c r="BR9" s="11">
        <f t="shared" ref="BR9:BR40" si="39">LN(BP9)</f>
        <v>10.096744003735131</v>
      </c>
      <c r="BS9" s="114">
        <f t="shared" si="20"/>
        <v>0.24428163692473856</v>
      </c>
      <c r="BT9" s="7">
        <f>'a1'!AW9</f>
        <v>11613.541551389708</v>
      </c>
      <c r="BU9" s="9">
        <f>'a2'!AG9/'a2'!$E$8</f>
        <v>0.98167139484630317</v>
      </c>
      <c r="BV9" s="7">
        <f>'a6'!BE9</f>
        <v>4795.8431720068847</v>
      </c>
      <c r="BW9" s="7">
        <f>'a5'!Q9</f>
        <v>7839.3557747464492</v>
      </c>
      <c r="BX9" s="7">
        <f>'a4'!X9</f>
        <v>1522.5639556046331</v>
      </c>
      <c r="BY9" s="9">
        <f>'a3'!I5/'a3'!B$4</f>
        <v>1.0094827044491796</v>
      </c>
      <c r="BZ9" s="7">
        <f t="shared" si="21"/>
        <v>22726.803651784405</v>
      </c>
      <c r="CA9" s="114">
        <f t="shared" si="22"/>
        <v>0.14764483322259325</v>
      </c>
      <c r="CB9" s="11">
        <f t="shared" ref="CB9:CB40" si="40">LN(BZ9)</f>
        <v>10.031300284511532</v>
      </c>
      <c r="CC9" s="114">
        <f t="shared" si="23"/>
        <v>0.179261134221949</v>
      </c>
      <c r="CD9" s="7">
        <f>'a1'!BC9</f>
        <v>9713.8119500570283</v>
      </c>
      <c r="CE9" s="9">
        <f>'a2'!AK9/'a2'!$E$8</f>
        <v>0.99263644662615225</v>
      </c>
      <c r="CF9" s="7">
        <f>'a6'!BL9</f>
        <v>4439.4263979364432</v>
      </c>
      <c r="CG9" s="7">
        <f>'a5'!S9</f>
        <v>6150.9149675511317</v>
      </c>
      <c r="CH9" s="7">
        <f>'a4'!Z9</f>
        <v>1273.5047169920863</v>
      </c>
      <c r="CI9" s="9">
        <f>'a3'!J5/'a3'!B$4</f>
        <v>1.026533531097316</v>
      </c>
      <c r="CJ9" s="7">
        <f t="shared" si="24"/>
        <v>19462.172837190334</v>
      </c>
      <c r="CK9" s="114">
        <f t="shared" si="25"/>
        <v>4.7271215409419448E-2</v>
      </c>
      <c r="CL9" s="11">
        <f t="shared" ref="CL9:CL40" si="41">LN(CJ9)</f>
        <v>9.8762280060942391</v>
      </c>
      <c r="CM9" s="114">
        <f t="shared" si="26"/>
        <v>2.5191689245728836E-2</v>
      </c>
      <c r="CN9" s="7">
        <f>'a1'!BI9</f>
        <v>12125.050185524584</v>
      </c>
      <c r="CO9" s="9">
        <f>'a2'!AO9/'a2'!$E$8</f>
        <v>0.95510991021856984</v>
      </c>
      <c r="CP9" s="7">
        <f>'a6'!BS9</f>
        <v>4965.1665925171792</v>
      </c>
      <c r="CQ9" s="7">
        <f>'a5'!U9</f>
        <v>7734.5271438454702</v>
      </c>
      <c r="CR9" s="7">
        <f>'a4'!AB9</f>
        <v>1589.623999766711</v>
      </c>
      <c r="CS9" s="9">
        <f>'a3'!K5/'a3'!B$4</f>
        <v>1.0062682201766291</v>
      </c>
      <c r="CT9" s="7">
        <f t="shared" si="27"/>
        <v>22833.056419850163</v>
      </c>
      <c r="CU9" s="114">
        <f t="shared" si="28"/>
        <v>0.15091165735650389</v>
      </c>
      <c r="CV9" s="11">
        <f t="shared" ref="CV9:CV40" si="42">LN(CT9)</f>
        <v>10.035964607910865</v>
      </c>
      <c r="CW9" s="114">
        <f t="shared" si="29"/>
        <v>0.18389529401284924</v>
      </c>
      <c r="CX9" s="7">
        <f>'a1'!BO9</f>
        <v>13939.230258871525</v>
      </c>
      <c r="CY9" s="9">
        <f>'a2'!AS9/'a2'!$E$8</f>
        <v>0.94513894538094645</v>
      </c>
      <c r="CZ9" s="7">
        <f>'a6'!BZ9</f>
        <v>4882.9323387174154</v>
      </c>
      <c r="DA9" s="7">
        <f>'a5'!W9</f>
        <v>6869.5676366377447</v>
      </c>
      <c r="DB9" s="7">
        <f>'a4'!AD9</f>
        <v>1827.4674841535807</v>
      </c>
      <c r="DC9" s="9">
        <f>'a3'!L5/'a3'!B$4</f>
        <v>1.0117768456693119</v>
      </c>
      <c r="DD9" s="7">
        <f t="shared" si="30"/>
        <v>23371.581617216638</v>
      </c>
      <c r="DE9" s="114">
        <f t="shared" si="31"/>
        <v>0.16746903410538064</v>
      </c>
      <c r="DF9" s="11">
        <f t="shared" ref="DF9:DF40" si="43">LN(DD9)</f>
        <v>10.059276102487944</v>
      </c>
      <c r="DG9" s="44">
        <f t="shared" si="32"/>
        <v>0.20705603600821712</v>
      </c>
    </row>
    <row r="10" spans="1:111" hidden="1">
      <c r="A10" s="1">
        <v>1973</v>
      </c>
      <c r="B10" s="7">
        <f>'a1'!G10</f>
        <v>12677.725695810441</v>
      </c>
      <c r="C10" s="9">
        <f>'a2'!E10/'a2'!E$8</f>
        <v>0.98712773152987721</v>
      </c>
      <c r="D10" s="7">
        <f>'a6'!H10</f>
        <v>5144.610065561832</v>
      </c>
      <c r="E10" s="7">
        <f>'a5'!C10</f>
        <v>6281.7421600139223</v>
      </c>
      <c r="F10" s="7">
        <f>'a4'!H10</f>
        <v>1626.6107321648506</v>
      </c>
      <c r="G10" s="9">
        <f>'a3'!B6/'a3'!B$4</f>
        <v>1.0079630601083072</v>
      </c>
      <c r="H10" s="7">
        <f t="shared" si="0"/>
        <v>22491.966022335731</v>
      </c>
      <c r="I10" s="114">
        <f t="shared" si="1"/>
        <v>0.14042456734718101</v>
      </c>
      <c r="J10" s="11">
        <f t="shared" si="33"/>
        <v>10.020913458755418</v>
      </c>
      <c r="K10" s="114">
        <f t="shared" si="2"/>
        <v>0.16894147879647725</v>
      </c>
      <c r="L10" s="7">
        <f>'a1'!M10</f>
        <v>8625.33083667766</v>
      </c>
      <c r="M10" s="9">
        <f>'a2'!I10/'a2'!$E$8</f>
        <v>1.1431956186947749</v>
      </c>
      <c r="N10" s="7">
        <f>'a6'!O10</f>
        <v>3428.1225496940078</v>
      </c>
      <c r="O10" s="7">
        <f>'a5'!E10</f>
        <v>5873.5480805339657</v>
      </c>
      <c r="P10" s="7">
        <f>'a4'!L10</f>
        <v>1106.6697642818356</v>
      </c>
      <c r="Q10" s="9">
        <f>'a3'!C6/'a3'!B$4</f>
        <v>1.0391254786839552</v>
      </c>
      <c r="R10" s="7">
        <f t="shared" si="3"/>
        <v>18761.869071480985</v>
      </c>
      <c r="S10" s="114">
        <f t="shared" si="4"/>
        <v>2.5739830537903206E-2</v>
      </c>
      <c r="T10" s="11">
        <f t="shared" si="34"/>
        <v>9.8395818482733688</v>
      </c>
      <c r="U10" s="114">
        <f t="shared" si="5"/>
        <v>-1.1217482358619154E-2</v>
      </c>
      <c r="V10" s="7">
        <f>'a1'!S10</f>
        <v>11115.354792032203</v>
      </c>
      <c r="W10" s="9">
        <f>'a2'!M10/'a2'!$E$8</f>
        <v>1.0590731540189606</v>
      </c>
      <c r="X10" s="7">
        <f>'a6'!V10</f>
        <v>5154.9057940637094</v>
      </c>
      <c r="Y10" s="7">
        <f>'a5'!G10</f>
        <v>6161.7253031809441</v>
      </c>
      <c r="Z10" s="7">
        <f>'a4'!N10</f>
        <v>1426.1513326885222</v>
      </c>
      <c r="AA10" s="9">
        <f>'a3'!D6/'a3'!$B$4</f>
        <v>1.0228255741086305</v>
      </c>
      <c r="AB10" s="7">
        <f t="shared" si="6"/>
        <v>22156.911562721594</v>
      </c>
      <c r="AC10" s="114">
        <f t="shared" si="7"/>
        <v>0.13012305695109949</v>
      </c>
      <c r="AD10" s="11">
        <f t="shared" si="35"/>
        <v>10.005904761235046</v>
      </c>
      <c r="AE10" s="114">
        <f t="shared" si="8"/>
        <v>0.15402984068565281</v>
      </c>
      <c r="AF10" s="7">
        <f>'a1'!Y10</f>
        <v>12130.66180998934</v>
      </c>
      <c r="AG10" s="9">
        <f>'a2'!Q10/'a2'!$E$8</f>
        <v>1.0278158432379769</v>
      </c>
      <c r="AH10" s="7">
        <f>'a6'!AC10</f>
        <v>5935.7366341441802</v>
      </c>
      <c r="AI10" s="7">
        <f>'a5'!I10</f>
        <v>5909.4154974367029</v>
      </c>
      <c r="AJ10" s="7">
        <f>'a4'!P10</f>
        <v>1556.4199101508927</v>
      </c>
      <c r="AK10" s="9">
        <f>'a3'!E6/'a3'!B$4</f>
        <v>0.9951650338765029</v>
      </c>
      <c r="AL10" s="7">
        <f t="shared" si="9"/>
        <v>22646.790171598928</v>
      </c>
      <c r="AM10" s="114">
        <f t="shared" si="10"/>
        <v>0.1451847564371459</v>
      </c>
      <c r="AN10" s="11">
        <f t="shared" si="36"/>
        <v>10.027773406590571</v>
      </c>
      <c r="AO10" s="114">
        <f t="shared" si="11"/>
        <v>0.17575706418875314</v>
      </c>
      <c r="AP10" s="7">
        <f>'a1'!AE10</f>
        <v>9664.6099119227238</v>
      </c>
      <c r="AQ10" s="9">
        <f>'a2'!U10/'a2'!$E$8</f>
        <v>1.0551479427569221</v>
      </c>
      <c r="AR10" s="7">
        <f>'a6'!AJ10</f>
        <v>4264.5772935683326</v>
      </c>
      <c r="AS10" s="7">
        <f>'a5'!K10</f>
        <v>6492.1467323747547</v>
      </c>
      <c r="AT10" s="7">
        <f>'a4'!R10</f>
        <v>1240.0140673587382</v>
      </c>
      <c r="AU10" s="9">
        <f>'a3'!F6/'a3'!B$4</f>
        <v>0.99654227570877141</v>
      </c>
      <c r="AV10" s="7">
        <f t="shared" si="12"/>
        <v>19646.136599553087</v>
      </c>
      <c r="AW10" s="114">
        <f t="shared" si="13"/>
        <v>5.2927324606308376E-2</v>
      </c>
      <c r="AX10" s="11">
        <f t="shared" si="37"/>
        <v>9.8856359872572206</v>
      </c>
      <c r="AY10" s="114">
        <f t="shared" si="14"/>
        <v>3.453883014622422E-2</v>
      </c>
      <c r="AZ10" s="7">
        <f>'a1'!AK10</f>
        <v>11228.64223816081</v>
      </c>
      <c r="BA10" s="9">
        <f>'a2'!Y10/'a2'!$E$8</f>
        <v>1.0104189104046326</v>
      </c>
      <c r="BB10" s="7">
        <f>'a6'!AQ10</f>
        <v>4680.8892535711766</v>
      </c>
      <c r="BC10" s="7">
        <f>'a5'!M10</f>
        <v>7220.4703386632054</v>
      </c>
      <c r="BD10" s="7">
        <f>'a4'!T10</f>
        <v>1440.6866350064479</v>
      </c>
      <c r="BE10" s="9">
        <f>'a3'!G6/'a3'!B$4</f>
        <v>0.99378779443813714</v>
      </c>
      <c r="BF10" s="7">
        <f t="shared" si="15"/>
        <v>21670.840161064531</v>
      </c>
      <c r="BG10" s="114">
        <f t="shared" si="16"/>
        <v>0.11517841301717084</v>
      </c>
      <c r="BH10" s="11">
        <f t="shared" si="38"/>
        <v>9.9837228644786347</v>
      </c>
      <c r="BI10" s="114">
        <f t="shared" si="17"/>
        <v>0.13199139154012865</v>
      </c>
      <c r="BJ10" s="7">
        <f>'a1'!AQ10</f>
        <v>14048.652026290079</v>
      </c>
      <c r="BK10" s="9">
        <f>'a2'!AC10/'a2'!$E$8</f>
        <v>0.97469019654036027</v>
      </c>
      <c r="BL10" s="7">
        <f>'a6'!AX10</f>
        <v>5668.6780974208896</v>
      </c>
      <c r="BM10" s="7">
        <f>'a5'!O10</f>
        <v>7170.1017600816476</v>
      </c>
      <c r="BN10" s="7">
        <f>'a4'!V10</f>
        <v>1802.5069091031546</v>
      </c>
      <c r="BO10" s="9">
        <f>'a3'!H6/'a3'!B$4</f>
        <v>1.0150587017325927</v>
      </c>
      <c r="BP10" s="7">
        <f t="shared" si="18"/>
        <v>25101.748354390485</v>
      </c>
      <c r="BQ10" s="114">
        <f t="shared" si="19"/>
        <v>0.22066435838334109</v>
      </c>
      <c r="BR10" s="11">
        <f t="shared" si="39"/>
        <v>10.130692778247445</v>
      </c>
      <c r="BS10" s="114">
        <f t="shared" si="20"/>
        <v>0.27801086886818199</v>
      </c>
      <c r="BT10" s="7">
        <f>'a1'!AW10</f>
        <v>12215.440794165101</v>
      </c>
      <c r="BU10" s="9">
        <f>'a2'!AG10/'a2'!$E$8</f>
        <v>0.9774857812601262</v>
      </c>
      <c r="BV10" s="7">
        <f>'a6'!BE10</f>
        <v>4981.7259322693935</v>
      </c>
      <c r="BW10" s="7">
        <f>'a5'!Q10</f>
        <v>7963.4500982655891</v>
      </c>
      <c r="BX10" s="7">
        <f>'a4'!X10</f>
        <v>1567.2974451939406</v>
      </c>
      <c r="BY10" s="9">
        <f>'a3'!I6/'a3'!B$4</f>
        <v>1.0134728790971061</v>
      </c>
      <c r="BZ10" s="7">
        <f t="shared" si="21"/>
        <v>23632.46288685095</v>
      </c>
      <c r="CA10" s="114">
        <f t="shared" si="22"/>
        <v>0.17549003198845856</v>
      </c>
      <c r="CB10" s="11">
        <f t="shared" si="40"/>
        <v>10.070376591869911</v>
      </c>
      <c r="CC10" s="114">
        <f t="shared" si="23"/>
        <v>0.21808473988423713</v>
      </c>
      <c r="CD10" s="7">
        <f>'a1'!BC10</f>
        <v>10300.293297234008</v>
      </c>
      <c r="CE10" s="9">
        <f>'a2'!AK10/'a2'!$E$8</f>
        <v>0.98785839909983486</v>
      </c>
      <c r="CF10" s="7">
        <f>'a6'!BL10</f>
        <v>4362.7472271265297</v>
      </c>
      <c r="CG10" s="7">
        <f>'a5'!S10</f>
        <v>6617.207282602244</v>
      </c>
      <c r="CH10" s="7">
        <f>'a4'!Z10</f>
        <v>1321.5751802599207</v>
      </c>
      <c r="CI10" s="9">
        <f>'a3'!J6/'a3'!B$4</f>
        <v>1.0294880197543108</v>
      </c>
      <c r="CJ10" s="7">
        <f t="shared" si="24"/>
        <v>20418.464476807421</v>
      </c>
      <c r="CK10" s="114">
        <f t="shared" si="25"/>
        <v>7.6673146900038541E-2</v>
      </c>
      <c r="CL10" s="11">
        <f t="shared" si="41"/>
        <v>9.924194891869055</v>
      </c>
      <c r="CM10" s="114">
        <f t="shared" si="26"/>
        <v>7.2848379042191463E-2</v>
      </c>
      <c r="CN10" s="7">
        <f>'a1'!BI10</f>
        <v>12608.521734299951</v>
      </c>
      <c r="CO10" s="9">
        <f>'a2'!AO10/'a2'!$E$8</f>
        <v>0.95012727818538634</v>
      </c>
      <c r="CP10" s="7">
        <f>'a6'!BS10</f>
        <v>5225.7521264172965</v>
      </c>
      <c r="CQ10" s="7">
        <f>'a5'!U10</f>
        <v>8281.5720874005419</v>
      </c>
      <c r="CR10" s="7">
        <f>'a4'!AB10</f>
        <v>1617.7315444302171</v>
      </c>
      <c r="CS10" s="9">
        <f>'a3'!K6/'a3'!B$4</f>
        <v>1.0105142285187487</v>
      </c>
      <c r="CT10" s="7">
        <f t="shared" si="27"/>
        <v>24120.26030904457</v>
      </c>
      <c r="CU10" s="114">
        <f t="shared" si="28"/>
        <v>0.19048774376849695</v>
      </c>
      <c r="CV10" s="11">
        <f t="shared" si="42"/>
        <v>10.090807443031832</v>
      </c>
      <c r="CW10" s="114">
        <f t="shared" si="29"/>
        <v>0.23838346723277301</v>
      </c>
      <c r="CX10" s="7">
        <f>'a1'!BO10</f>
        <v>14630.278569379574</v>
      </c>
      <c r="CY10" s="9">
        <f>'a2'!AS10/'a2'!$E$8</f>
        <v>0.94034308696190128</v>
      </c>
      <c r="CZ10" s="7">
        <f>'a6'!BZ10</f>
        <v>4941.7395919673008</v>
      </c>
      <c r="DA10" s="7">
        <f>'a5'!W10</f>
        <v>7266.5639350674628</v>
      </c>
      <c r="DB10" s="7">
        <f>'a4'!AD10</f>
        <v>1877.1322795995331</v>
      </c>
      <c r="DC10" s="9">
        <f>'a3'!L6/'a3'!B$4</f>
        <v>1.0160236973898593</v>
      </c>
      <c r="DD10" s="7">
        <f t="shared" si="30"/>
        <v>24474.64183963673</v>
      </c>
      <c r="DE10" s="114">
        <f t="shared" si="31"/>
        <v>0.20138348001919087</v>
      </c>
      <c r="DF10" s="11">
        <f t="shared" si="43"/>
        <v>10.10539283356893</v>
      </c>
      <c r="DG10" s="44">
        <f t="shared" si="32"/>
        <v>0.25287453583476444</v>
      </c>
    </row>
    <row r="11" spans="1:111" hidden="1">
      <c r="A11" s="1">
        <v>1974</v>
      </c>
      <c r="B11" s="7">
        <f>'a1'!G11</f>
        <v>13129.205267594634</v>
      </c>
      <c r="C11" s="9">
        <f>'a2'!E11/'a2'!E$8</f>
        <v>0.98068087801125625</v>
      </c>
      <c r="D11" s="7">
        <f>'a6'!H11</f>
        <v>5393.973054053492</v>
      </c>
      <c r="E11" s="7">
        <f>'a5'!C11</f>
        <v>6042.5171003813202</v>
      </c>
      <c r="F11" s="7">
        <f>'a4'!H11</f>
        <v>1563.9591454774898</v>
      </c>
      <c r="G11" s="9">
        <f>'a3'!B7/'a3'!B$4</f>
        <v>1.0119683375699196</v>
      </c>
      <c r="H11" s="7">
        <f t="shared" si="0"/>
        <v>23020.348397214071</v>
      </c>
      <c r="I11" s="114">
        <f t="shared" si="1"/>
        <v>0.15667009511655916</v>
      </c>
      <c r="J11" s="11">
        <f t="shared" si="33"/>
        <v>10.044133816705834</v>
      </c>
      <c r="K11" s="114">
        <f t="shared" si="2"/>
        <v>0.19201167353458995</v>
      </c>
      <c r="L11" s="7">
        <f>'a1'!M11</f>
        <v>9207.5155223281126</v>
      </c>
      <c r="M11" s="9">
        <f>'a2'!I11/'a2'!$E$8</f>
        <v>1.1337051261476487</v>
      </c>
      <c r="N11" s="7">
        <f>'a6'!O11</f>
        <v>3660.0111555470148</v>
      </c>
      <c r="O11" s="7">
        <f>'a5'!E11</f>
        <v>6041.5642775974256</v>
      </c>
      <c r="P11" s="7">
        <f>'a4'!L11</f>
        <v>1096.8050095014787</v>
      </c>
      <c r="Q11" s="9">
        <f>'a3'!C7/'a3'!B$4</f>
        <v>1.0391254786839552</v>
      </c>
      <c r="R11" s="7">
        <f t="shared" si="3"/>
        <v>19788.459249241405</v>
      </c>
      <c r="S11" s="114">
        <f t="shared" si="4"/>
        <v>5.7303145352137402E-2</v>
      </c>
      <c r="T11" s="11">
        <f t="shared" si="34"/>
        <v>9.8928541805501595</v>
      </c>
      <c r="U11" s="114">
        <f t="shared" si="5"/>
        <v>4.1710344266765814E-2</v>
      </c>
      <c r="V11" s="7">
        <f>'a1'!S11</f>
        <v>11669.411194669659</v>
      </c>
      <c r="W11" s="9">
        <f>'a2'!M11/'a2'!$E$8</f>
        <v>1.050872943498163</v>
      </c>
      <c r="X11" s="7">
        <f>'a6'!V11</f>
        <v>5132.4291062826624</v>
      </c>
      <c r="Y11" s="7">
        <f>'a5'!G11</f>
        <v>6444.4087730901783</v>
      </c>
      <c r="Z11" s="7">
        <f>'a4'!N11</f>
        <v>1390.0675622222666</v>
      </c>
      <c r="AA11" s="9">
        <f>'a3'!D7/'a3'!$B$4</f>
        <v>1.0255243598530139</v>
      </c>
      <c r="AB11" s="7">
        <f t="shared" si="6"/>
        <v>23022.856572565724</v>
      </c>
      <c r="AC11" s="114">
        <f t="shared" si="7"/>
        <v>0.15674721092182259</v>
      </c>
      <c r="AD11" s="11">
        <f t="shared" si="35"/>
        <v>10.044242765479307</v>
      </c>
      <c r="AE11" s="114">
        <f t="shared" si="8"/>
        <v>0.19211991774968218</v>
      </c>
      <c r="AF11" s="7">
        <f>'a1'!Y11</f>
        <v>12584.783724963618</v>
      </c>
      <c r="AG11" s="9">
        <f>'a2'!Q11/'a2'!$E$8</f>
        <v>1.0210352353971845</v>
      </c>
      <c r="AH11" s="7">
        <f>'a6'!AC11</f>
        <v>6332.6055876221335</v>
      </c>
      <c r="AI11" s="7">
        <f>'a5'!I11</f>
        <v>6149.8207959048077</v>
      </c>
      <c r="AJ11" s="7">
        <f>'a4'!P11</f>
        <v>1499.1073107137902</v>
      </c>
      <c r="AK11" s="9">
        <f>'a3'!E7/'a3'!B$4</f>
        <v>0.99968386444217205</v>
      </c>
      <c r="AL11" s="7">
        <f t="shared" si="9"/>
        <v>23825.292281895086</v>
      </c>
      <c r="AM11" s="114">
        <f t="shared" si="10"/>
        <v>0.18141872196920064</v>
      </c>
      <c r="AN11" s="11">
        <f t="shared" si="36"/>
        <v>10.078502996312634</v>
      </c>
      <c r="AO11" s="114">
        <f t="shared" si="11"/>
        <v>0.22615859186423803</v>
      </c>
      <c r="AP11" s="7">
        <f>'a1'!AE11</f>
        <v>10132.23871402236</v>
      </c>
      <c r="AQ11" s="9">
        <f>'a2'!U11/'a2'!$E$8</f>
        <v>1.0461783337262753</v>
      </c>
      <c r="AR11" s="7">
        <f>'a6'!AJ11</f>
        <v>4397.6882748599692</v>
      </c>
      <c r="AS11" s="7">
        <f>'a5'!K11</f>
        <v>6523.0284619494478</v>
      </c>
      <c r="AT11" s="7">
        <f>'a4'!R11</f>
        <v>1206.9586146290428</v>
      </c>
      <c r="AU11" s="9">
        <f>'a3'!F7/'a3'!B$4</f>
        <v>1.0010613244834548</v>
      </c>
      <c r="AV11" s="7">
        <f t="shared" si="12"/>
        <v>20335.446362281178</v>
      </c>
      <c r="AW11" s="114">
        <f t="shared" si="13"/>
        <v>7.4120690290924676E-2</v>
      </c>
      <c r="AX11" s="11">
        <f t="shared" si="37"/>
        <v>9.9201207685445372</v>
      </c>
      <c r="AY11" s="114">
        <f t="shared" si="14"/>
        <v>6.8800602574472153E-2</v>
      </c>
      <c r="AZ11" s="7">
        <f>'a1'!AK11</f>
        <v>11620.383247984482</v>
      </c>
      <c r="BA11" s="9">
        <f>'a2'!Y11/'a2'!$E$8</f>
        <v>1.00122585513687</v>
      </c>
      <c r="BB11" s="7">
        <f>'a6'!AQ11</f>
        <v>4736.7639509766123</v>
      </c>
      <c r="BC11" s="7">
        <f>'a5'!M11</f>
        <v>7432.5744651367886</v>
      </c>
      <c r="BD11" s="7">
        <f>'a4'!T11</f>
        <v>1384.2273225398601</v>
      </c>
      <c r="BE11" s="9">
        <f>'a3'!G7/'a3'!B$4</f>
        <v>0.99830640622268707</v>
      </c>
      <c r="BF11" s="7">
        <f t="shared" si="15"/>
        <v>22381.76931717548</v>
      </c>
      <c r="BG11" s="114">
        <f t="shared" si="16"/>
        <v>0.1370364837946457</v>
      </c>
      <c r="BH11" s="11">
        <f t="shared" si="38"/>
        <v>10.016002036702371</v>
      </c>
      <c r="BI11" s="114">
        <f t="shared" si="17"/>
        <v>0.16406181830860714</v>
      </c>
      <c r="BJ11" s="7">
        <f>'a1'!AQ11</f>
        <v>14481.186894083045</v>
      </c>
      <c r="BK11" s="9">
        <f>'a2'!AC11/'a2'!$E$8</f>
        <v>0.96942031743094192</v>
      </c>
      <c r="BL11" s="7">
        <f>'a6'!AX11</f>
        <v>5691.1390364649542</v>
      </c>
      <c r="BM11" s="7">
        <f>'a5'!O11</f>
        <v>7473.966404626136</v>
      </c>
      <c r="BN11" s="7">
        <f>'a4'!V11</f>
        <v>1725.008042662678</v>
      </c>
      <c r="BO11" s="9">
        <f>'a3'!H7/'a3'!B$4</f>
        <v>1.0188053952031761</v>
      </c>
      <c r="BP11" s="7">
        <f t="shared" si="18"/>
        <v>25957.586594352644</v>
      </c>
      <c r="BQ11" s="114">
        <f t="shared" si="19"/>
        <v>0.24697777184003003</v>
      </c>
      <c r="BR11" s="11">
        <f t="shared" si="39"/>
        <v>10.164219200177154</v>
      </c>
      <c r="BS11" s="114">
        <f t="shared" si="20"/>
        <v>0.31132047953146885</v>
      </c>
      <c r="BT11" s="7">
        <f>'a1'!AW11</f>
        <v>12666.561648785311</v>
      </c>
      <c r="BU11" s="9">
        <f>'a2'!AG11/'a2'!$E$8</f>
        <v>0.97387393928166399</v>
      </c>
      <c r="BV11" s="7">
        <f>'a6'!BE11</f>
        <v>5326.2807755314425</v>
      </c>
      <c r="BW11" s="7">
        <f>'a5'!Q11</f>
        <v>8048.9145445605191</v>
      </c>
      <c r="BX11" s="7">
        <f>'a4'!X11</f>
        <v>1508.8487481620091</v>
      </c>
      <c r="BY11" s="9">
        <f>'a3'!I7/'a3'!B$4</f>
        <v>1.0174788256781726</v>
      </c>
      <c r="BZ11" s="7">
        <f t="shared" si="21"/>
        <v>24625.003066539684</v>
      </c>
      <c r="CA11" s="114">
        <f t="shared" si="22"/>
        <v>0.20600645308420301</v>
      </c>
      <c r="CB11" s="11">
        <f t="shared" si="40"/>
        <v>10.111517590569813</v>
      </c>
      <c r="CC11" s="114">
        <f t="shared" si="23"/>
        <v>0.25895968478189596</v>
      </c>
      <c r="CD11" s="7">
        <f>'a1'!BC11</f>
        <v>11189.471004687706</v>
      </c>
      <c r="CE11" s="9">
        <f>'a2'!AK11/'a2'!$E$8</f>
        <v>0.98254066890114933</v>
      </c>
      <c r="CF11" s="7">
        <f>'a6'!BL11</f>
        <v>4936.9272308613808</v>
      </c>
      <c r="CG11" s="7">
        <f>'a5'!S11</f>
        <v>7077.4885432876463</v>
      </c>
      <c r="CH11" s="7">
        <f>'a4'!Z11</f>
        <v>1332.8967865274788</v>
      </c>
      <c r="CI11" s="9">
        <f>'a3'!J7/'a3'!B$4</f>
        <v>1.0324510117898706</v>
      </c>
      <c r="CJ11" s="7">
        <f t="shared" si="24"/>
        <v>22379.025415613509</v>
      </c>
      <c r="CK11" s="114">
        <f t="shared" si="25"/>
        <v>0.13695212040339574</v>
      </c>
      <c r="CL11" s="11">
        <f t="shared" si="41"/>
        <v>10.015879433804823</v>
      </c>
      <c r="CM11" s="114">
        <f t="shared" si="26"/>
        <v>0.16394000826898886</v>
      </c>
      <c r="CN11" s="7">
        <f>'a1'!BI11</f>
        <v>13286.738690552247</v>
      </c>
      <c r="CO11" s="9">
        <f>'a2'!AO11/'a2'!$E$8</f>
        <v>0.9453288766583906</v>
      </c>
      <c r="CP11" s="7">
        <f>'a6'!BS11</f>
        <v>5450.7569621291022</v>
      </c>
      <c r="CQ11" s="7">
        <f>'a5'!U11</f>
        <v>8880.0383407756435</v>
      </c>
      <c r="CR11" s="7">
        <f>'a4'!AB11</f>
        <v>1582.7246253775591</v>
      </c>
      <c r="CS11" s="9">
        <f>'a3'!K7/'a3'!B$4</f>
        <v>1.014778153144499</v>
      </c>
      <c r="CT11" s="7">
        <f t="shared" si="27"/>
        <v>25682.419974065553</v>
      </c>
      <c r="CU11" s="114">
        <f t="shared" si="28"/>
        <v>0.23851755972165808</v>
      </c>
      <c r="CV11" s="11">
        <f t="shared" si="42"/>
        <v>10.153561989114204</v>
      </c>
      <c r="CW11" s="114">
        <f t="shared" si="29"/>
        <v>0.30073218734784096</v>
      </c>
      <c r="CX11" s="7">
        <f>'a1'!BO11</f>
        <v>15202.261502992884</v>
      </c>
      <c r="CY11" s="9">
        <f>'a2'!AS11/'a2'!$E$8</f>
        <v>0.93561310088148986</v>
      </c>
      <c r="CZ11" s="7">
        <f>'a6'!BZ11</f>
        <v>5351.6768454022595</v>
      </c>
      <c r="DA11" s="7">
        <f>'a5'!W11</f>
        <v>7660.4585163081274</v>
      </c>
      <c r="DB11" s="7">
        <f>'a4'!AD11</f>
        <v>1810.9029012006583</v>
      </c>
      <c r="DC11" s="9">
        <f>'a3'!L7/'a3'!B$4</f>
        <v>1.0202883749280398</v>
      </c>
      <c r="DD11" s="7">
        <f t="shared" si="30"/>
        <v>25940.492672107561</v>
      </c>
      <c r="DE11" s="114">
        <f t="shared" si="31"/>
        <v>0.24645220588302014</v>
      </c>
      <c r="DF11" s="11">
        <f t="shared" si="43"/>
        <v>10.163560450446727</v>
      </c>
      <c r="DG11" s="44">
        <f t="shared" si="32"/>
        <v>0.31066598985490684</v>
      </c>
    </row>
    <row r="12" spans="1:111" hidden="1">
      <c r="A12" s="1">
        <v>1975</v>
      </c>
      <c r="B12" s="7">
        <f>'a1'!G12</f>
        <v>13514.936222892316</v>
      </c>
      <c r="C12" s="9">
        <f>'a2'!E12/'a2'!E$8</f>
        <v>0.97511581623454302</v>
      </c>
      <c r="D12" s="7">
        <f>'a6'!H12</f>
        <v>5683.1077892190215</v>
      </c>
      <c r="E12" s="7">
        <f>'a5'!C12</f>
        <v>6037.803668497867</v>
      </c>
      <c r="F12" s="7">
        <f>'a4'!H12</f>
        <v>1613.7543617145695</v>
      </c>
      <c r="G12" s="9">
        <f>'a3'!B8/'a3'!B$4</f>
        <v>1.0159895305429028</v>
      </c>
      <c r="H12" s="7">
        <f t="shared" si="0"/>
        <v>23658.113935414553</v>
      </c>
      <c r="I12" s="114">
        <f t="shared" si="1"/>
        <v>0.17627869346084327</v>
      </c>
      <c r="J12" s="11">
        <f t="shared" si="33"/>
        <v>10.071461419030113</v>
      </c>
      <c r="K12" s="114">
        <f t="shared" si="2"/>
        <v>0.21916255159999537</v>
      </c>
      <c r="L12" s="7">
        <f>'a1'!M12</f>
        <v>9554.8073644716042</v>
      </c>
      <c r="M12" s="9">
        <f>'a2'!I12/'a2'!$E$8</f>
        <v>1.1246762567162927</v>
      </c>
      <c r="N12" s="7">
        <f>'a6'!O12</f>
        <v>4021.4552560949778</v>
      </c>
      <c r="O12" s="7">
        <f>'a5'!E12</f>
        <v>6182.9064925340817</v>
      </c>
      <c r="P12" s="7">
        <f>'a4'!L12</f>
        <v>1140.8941785193799</v>
      </c>
      <c r="Q12" s="9">
        <f>'a3'!C8/'a3'!B$4</f>
        <v>1.0391254786839552</v>
      </c>
      <c r="R12" s="7">
        <f t="shared" si="3"/>
        <v>20584.589993969792</v>
      </c>
      <c r="S12" s="114">
        <f t="shared" si="4"/>
        <v>8.1780805350767524E-2</v>
      </c>
      <c r="T12" s="11">
        <f t="shared" si="34"/>
        <v>9.9322980162971088</v>
      </c>
      <c r="U12" s="114">
        <f t="shared" si="5"/>
        <v>8.0899101556527603E-2</v>
      </c>
      <c r="V12" s="7">
        <f>'a1'!S12</f>
        <v>11905.357740742273</v>
      </c>
      <c r="W12" s="9">
        <f>'a2'!M12/'a2'!$E$8</f>
        <v>1.0429631896497042</v>
      </c>
      <c r="X12" s="7">
        <f>'a6'!V12</f>
        <v>5804.3426494493697</v>
      </c>
      <c r="Y12" s="7">
        <f>'a5'!G12</f>
        <v>6716.9143002766496</v>
      </c>
      <c r="Z12" s="7">
        <f>'a4'!N12</f>
        <v>1421.5622378855405</v>
      </c>
      <c r="AA12" s="9">
        <f>'a3'!D8/'a3'!$B$4</f>
        <v>1.0282302665031298</v>
      </c>
      <c r="AB12" s="7">
        <f t="shared" si="6"/>
        <v>24180.422916196716</v>
      </c>
      <c r="AC12" s="114">
        <f t="shared" si="7"/>
        <v>0.19233748999705619</v>
      </c>
      <c r="AD12" s="11">
        <f t="shared" si="35"/>
        <v>10.093298614346546</v>
      </c>
      <c r="AE12" s="114">
        <f t="shared" si="8"/>
        <v>0.2408585284475564</v>
      </c>
      <c r="AF12" s="7">
        <f>'a1'!Y12</f>
        <v>12703.176420631853</v>
      </c>
      <c r="AG12" s="9">
        <f>'a2'!Q12/'a2'!$E$8</f>
        <v>1.0145934423574192</v>
      </c>
      <c r="AH12" s="7">
        <f>'a6'!AC12</f>
        <v>6647.7105231060568</v>
      </c>
      <c r="AI12" s="7">
        <f>'a5'!I12</f>
        <v>6389.2965575358803</v>
      </c>
      <c r="AJ12" s="7">
        <f>'a4'!P12</f>
        <v>1516.8259781870568</v>
      </c>
      <c r="AK12" s="9">
        <f>'a3'!E8/'a3'!B$4</f>
        <v>1.0042232140463787</v>
      </c>
      <c r="AL12" s="7">
        <f t="shared" si="9"/>
        <v>24511.823932076528</v>
      </c>
      <c r="AM12" s="114">
        <f t="shared" si="10"/>
        <v>0.20252667241918984</v>
      </c>
      <c r="AN12" s="11">
        <f t="shared" si="36"/>
        <v>10.106910889586834</v>
      </c>
      <c r="AO12" s="114">
        <f t="shared" si="11"/>
        <v>0.25438277477023619</v>
      </c>
      <c r="AP12" s="7">
        <f>'a1'!AE12</f>
        <v>10649.421408531138</v>
      </c>
      <c r="AQ12" s="9">
        <f>'a2'!U12/'a2'!$E$8</f>
        <v>1.0395825461860251</v>
      </c>
      <c r="AR12" s="7">
        <f>'a6'!AJ12</f>
        <v>4769.2068851965369</v>
      </c>
      <c r="AS12" s="7">
        <f>'a5'!K12</f>
        <v>6513.9591216298004</v>
      </c>
      <c r="AT12" s="7">
        <f>'a4'!R12</f>
        <v>1271.5968439898252</v>
      </c>
      <c r="AU12" s="9">
        <f>'a3'!F8/'a3'!B$4</f>
        <v>1.0056008659179336</v>
      </c>
      <c r="AV12" s="7">
        <f t="shared" si="12"/>
        <v>21200.60216386128</v>
      </c>
      <c r="AW12" s="114">
        <f t="shared" si="13"/>
        <v>0.10072057943871146</v>
      </c>
      <c r="AX12" s="11">
        <f t="shared" si="37"/>
        <v>9.96178486421244</v>
      </c>
      <c r="AY12" s="114">
        <f t="shared" si="14"/>
        <v>0.11019526163607579</v>
      </c>
      <c r="AZ12" s="7">
        <f>'a1'!AK12</f>
        <v>12019.07526007973</v>
      </c>
      <c r="BA12" s="9">
        <f>'a2'!Y12/'a2'!$E$8</f>
        <v>0.99296195698194878</v>
      </c>
      <c r="BB12" s="7">
        <f>'a6'!AQ12</f>
        <v>4923.3256638669563</v>
      </c>
      <c r="BC12" s="7">
        <f>'a5'!M12</f>
        <v>7643.8803666752056</v>
      </c>
      <c r="BD12" s="7">
        <f>'a4'!T12</f>
        <v>1435.1407069073432</v>
      </c>
      <c r="BE12" s="9">
        <f>'a3'!G8/'a3'!B$4</f>
        <v>1.002845563492474</v>
      </c>
      <c r="BF12" s="7">
        <f t="shared" si="15"/>
        <v>23132.1871470478</v>
      </c>
      <c r="BG12" s="114">
        <f t="shared" si="16"/>
        <v>0.16010866461186965</v>
      </c>
      <c r="BH12" s="11">
        <f t="shared" si="38"/>
        <v>10.048980309641708</v>
      </c>
      <c r="BI12" s="114">
        <f t="shared" si="17"/>
        <v>0.19682682479393981</v>
      </c>
      <c r="BJ12" s="7">
        <f>'a1'!AQ12</f>
        <v>14789.002993835647</v>
      </c>
      <c r="BK12" s="9">
        <f>'a2'!AC12/'a2'!$E$8</f>
        <v>0.96514463744724033</v>
      </c>
      <c r="BL12" s="7">
        <f>'a6'!AX12</f>
        <v>5915.1717806423494</v>
      </c>
      <c r="BM12" s="7">
        <f>'a5'!O12</f>
        <v>7804.9981980006451</v>
      </c>
      <c r="BN12" s="7">
        <f>'a4'!V12</f>
        <v>1765.8846252109508</v>
      </c>
      <c r="BO12" s="9">
        <f>'a3'!H8/'a3'!B$4</f>
        <v>1.0225659181320352</v>
      </c>
      <c r="BP12" s="7">
        <f t="shared" si="18"/>
        <v>26819.666950954757</v>
      </c>
      <c r="BQ12" s="114">
        <f t="shared" si="19"/>
        <v>0.27348310403594156</v>
      </c>
      <c r="BR12" s="11">
        <f t="shared" si="39"/>
        <v>10.196890738822502</v>
      </c>
      <c r="BS12" s="114">
        <f t="shared" si="20"/>
        <v>0.34378073533594206</v>
      </c>
      <c r="BT12" s="7">
        <f>'a1'!AW12</f>
        <v>12991.554768270053</v>
      </c>
      <c r="BU12" s="9">
        <f>'a2'!AG12/'a2'!$E$8</f>
        <v>0.97020307826441399</v>
      </c>
      <c r="BV12" s="7">
        <f>'a6'!BE12</f>
        <v>5452.3621296359452</v>
      </c>
      <c r="BW12" s="7">
        <f>'a5'!Q12</f>
        <v>8168.5987075658531</v>
      </c>
      <c r="BX12" s="7">
        <f>'a4'!X12</f>
        <v>1551.259867378255</v>
      </c>
      <c r="BY12" s="9">
        <f>'a3'!I8/'a3'!B$4</f>
        <v>1.0215006065339804</v>
      </c>
      <c r="BZ12" s="7">
        <f t="shared" si="21"/>
        <v>25204.656532193665</v>
      </c>
      <c r="CA12" s="114">
        <f t="shared" si="22"/>
        <v>0.22382835048391519</v>
      </c>
      <c r="CB12" s="11">
        <f t="shared" si="40"/>
        <v>10.134784039452793</v>
      </c>
      <c r="CC12" s="114">
        <f t="shared" si="23"/>
        <v>0.28207567238815395</v>
      </c>
      <c r="CD12" s="7">
        <f>'a1'!BC12</f>
        <v>11695.419772016397</v>
      </c>
      <c r="CE12" s="9">
        <f>'a2'!AK12/'a2'!$E$8</f>
        <v>0.97768494998076638</v>
      </c>
      <c r="CF12" s="7">
        <f>'a6'!BL12</f>
        <v>5783.0334609349393</v>
      </c>
      <c r="CG12" s="7">
        <f>'a5'!S12</f>
        <v>7467.2671495352788</v>
      </c>
      <c r="CH12" s="7">
        <f>'a4'!Z12</f>
        <v>1396.4945418836148</v>
      </c>
      <c r="CI12" s="9">
        <f>'a3'!J8/'a3'!B$4</f>
        <v>1.035422531677755</v>
      </c>
      <c r="CJ12" s="7">
        <f t="shared" si="24"/>
        <v>24113.170452062084</v>
      </c>
      <c r="CK12" s="114">
        <f t="shared" si="25"/>
        <v>0.19026976059198314</v>
      </c>
      <c r="CL12" s="11">
        <f t="shared" si="41"/>
        <v>10.0905134619933</v>
      </c>
      <c r="CM12" s="114">
        <f t="shared" si="26"/>
        <v>0.23809138733362956</v>
      </c>
      <c r="CN12" s="7">
        <f>'a1'!BI12</f>
        <v>14087.549491778896</v>
      </c>
      <c r="CO12" s="9">
        <f>'a2'!AO12/'a2'!$E$8</f>
        <v>0.94064205281244029</v>
      </c>
      <c r="CP12" s="7">
        <f>'a6'!BS12</f>
        <v>5845.3439848893422</v>
      </c>
      <c r="CQ12" s="7">
        <f>'a5'!U12</f>
        <v>9393.9495813162848</v>
      </c>
      <c r="CR12" s="7">
        <f>'a4'!AB12</f>
        <v>1682.1273932258939</v>
      </c>
      <c r="CS12" s="9">
        <f>'a3'!K8/'a3'!B$4</f>
        <v>1.0190600696527001</v>
      </c>
      <c r="CT12" s="7">
        <f t="shared" si="27"/>
        <v>27319.479669041633</v>
      </c>
      <c r="CU12" s="114">
        <f t="shared" si="28"/>
        <v>0.28885023544913124</v>
      </c>
      <c r="CV12" s="11">
        <f t="shared" si="42"/>
        <v>10.215355267714248</v>
      </c>
      <c r="CW12" s="114">
        <f t="shared" si="29"/>
        <v>0.36212585637971378</v>
      </c>
      <c r="CX12" s="7">
        <f>'a1'!BO12</f>
        <v>15277.292697925495</v>
      </c>
      <c r="CY12" s="9">
        <f>'a2'!AS12/'a2'!$E$8</f>
        <v>0.93144371986443408</v>
      </c>
      <c r="CZ12" s="7">
        <f>'a6'!BZ12</f>
        <v>5707.0421534557008</v>
      </c>
      <c r="DA12" s="7">
        <f>'a5'!W12</f>
        <v>8142.6370022275678</v>
      </c>
      <c r="DB12" s="7">
        <f>'a4'!AD12</f>
        <v>1824.1889802415419</v>
      </c>
      <c r="DC12" s="9">
        <f>'a3'!L8/'a3'!B$4</f>
        <v>1.0245709531062852</v>
      </c>
      <c r="DD12" s="7">
        <f t="shared" si="30"/>
        <v>26900.549418293875</v>
      </c>
      <c r="DE12" s="114">
        <f t="shared" si="31"/>
        <v>0.27596989850844073</v>
      </c>
      <c r="DF12" s="11">
        <f t="shared" si="43"/>
        <v>10.199901989853245</v>
      </c>
      <c r="DG12" s="44">
        <f t="shared" si="32"/>
        <v>0.34677251297489753</v>
      </c>
    </row>
    <row r="13" spans="1:111" hidden="1">
      <c r="A13" s="1">
        <v>1976</v>
      </c>
      <c r="B13" s="7">
        <f>'a1'!G13</f>
        <v>14152.03858815421</v>
      </c>
      <c r="C13" s="9">
        <f>'a2'!E13/'a2'!E$8</f>
        <v>0.97067095170127249</v>
      </c>
      <c r="D13" s="7">
        <f>'a6'!H13</f>
        <v>5705.6180604497113</v>
      </c>
      <c r="E13" s="7">
        <f>'a5'!C13</f>
        <v>6105.8917397881778</v>
      </c>
      <c r="F13" s="7">
        <f>'a4'!H13</f>
        <v>1716.1719379120034</v>
      </c>
      <c r="G13" s="9">
        <f>'a3'!B9/'a3'!B$4</f>
        <v>1.0200267022696925</v>
      </c>
      <c r="H13" s="7">
        <f t="shared" si="0"/>
        <v>24309.593216532485</v>
      </c>
      <c r="I13" s="114">
        <f t="shared" si="1"/>
        <v>0.19630893151526885</v>
      </c>
      <c r="J13" s="11">
        <f t="shared" si="33"/>
        <v>10.098626333995856</v>
      </c>
      <c r="K13" s="114">
        <f t="shared" si="2"/>
        <v>0.24615179438609688</v>
      </c>
      <c r="L13" s="7">
        <f>'a1'!M13</f>
        <v>9848.8191464571155</v>
      </c>
      <c r="M13" s="9">
        <f>'a2'!I13/'a2'!$E$8</f>
        <v>1.1148835375020103</v>
      </c>
      <c r="N13" s="7">
        <f>'a6'!O13</f>
        <v>4141.0838121115412</v>
      </c>
      <c r="O13" s="7">
        <f>'a5'!E13</f>
        <v>6336.9507707645389</v>
      </c>
      <c r="P13" s="7">
        <f>'a4'!L13</f>
        <v>1194.3344370801806</v>
      </c>
      <c r="Q13" s="9">
        <f>'a3'!C9/'a3'!B$4</f>
        <v>1.0391254786839552</v>
      </c>
      <c r="R13" s="7">
        <f t="shared" si="3"/>
        <v>21056.824646934841</v>
      </c>
      <c r="S13" s="114">
        <f t="shared" si="4"/>
        <v>9.6300027666184035E-2</v>
      </c>
      <c r="T13" s="11">
        <f t="shared" si="34"/>
        <v>9.9549799978212263</v>
      </c>
      <c r="U13" s="114">
        <f t="shared" si="5"/>
        <v>0.10343440148278413</v>
      </c>
      <c r="V13" s="7">
        <f>'a1'!S13</f>
        <v>12421.739100259412</v>
      </c>
      <c r="W13" s="9">
        <f>'a2'!M13/'a2'!$E$8</f>
        <v>1.0336851699676848</v>
      </c>
      <c r="X13" s="7">
        <f>'a6'!V13</f>
        <v>6127.0086851703818</v>
      </c>
      <c r="Y13" s="7">
        <f>'a5'!G13</f>
        <v>7051.9696651517907</v>
      </c>
      <c r="Z13" s="7">
        <f>'a4'!N13</f>
        <v>1506.3441165128916</v>
      </c>
      <c r="AA13" s="9">
        <f>'a3'!D9/'a3'!$B$4</f>
        <v>1.0309433128479091</v>
      </c>
      <c r="AB13" s="7">
        <f t="shared" si="6"/>
        <v>25271.309019571105</v>
      </c>
      <c r="AC13" s="114">
        <f t="shared" si="7"/>
        <v>0.22587763313615664</v>
      </c>
      <c r="AD13" s="11">
        <f t="shared" si="35"/>
        <v>10.137425000369094</v>
      </c>
      <c r="AE13" s="114">
        <f t="shared" si="8"/>
        <v>0.28469955453350698</v>
      </c>
      <c r="AF13" s="7">
        <f>'a1'!Y13</f>
        <v>13468.527375335028</v>
      </c>
      <c r="AG13" s="9">
        <f>'a2'!Q13/'a2'!$E$8</f>
        <v>1.0093869944012313</v>
      </c>
      <c r="AH13" s="7">
        <f>'a6'!AC13</f>
        <v>7164.1572336748568</v>
      </c>
      <c r="AI13" s="7">
        <f>'a5'!I13</f>
        <v>6632.1782839156758</v>
      </c>
      <c r="AJ13" s="7">
        <f>'a4'!P13</f>
        <v>1633.2847442839179</v>
      </c>
      <c r="AK13" s="9">
        <f>'a3'!E9/'a3'!B$4</f>
        <v>1.0087831758616672</v>
      </c>
      <c r="AL13" s="7">
        <f t="shared" si="9"/>
        <v>25984.244246260867</v>
      </c>
      <c r="AM13" s="114">
        <f t="shared" si="10"/>
        <v>0.24779738211647265</v>
      </c>
      <c r="AN13" s="11">
        <f t="shared" si="36"/>
        <v>10.165245642788719</v>
      </c>
      <c r="AO13" s="114">
        <f t="shared" si="11"/>
        <v>0.31234028426431837</v>
      </c>
      <c r="AP13" s="7">
        <f>'a1'!AE13</f>
        <v>10998.763524948316</v>
      </c>
      <c r="AQ13" s="9">
        <f>'a2'!U13/'a2'!$E$8</f>
        <v>1.0347797566307182</v>
      </c>
      <c r="AR13" s="7">
        <f>'a6'!AJ13</f>
        <v>5063.4958541827127</v>
      </c>
      <c r="AS13" s="7">
        <f>'a5'!K13</f>
        <v>6504.942591306386</v>
      </c>
      <c r="AT13" s="7">
        <f>'a4'!R13</f>
        <v>1333.7844718036695</v>
      </c>
      <c r="AU13" s="9">
        <f>'a3'!F9/'a3'!B$4</f>
        <v>1.0101609929408588</v>
      </c>
      <c r="AV13" s="7">
        <f t="shared" si="12"/>
        <v>21835.591351095492</v>
      </c>
      <c r="AW13" s="114">
        <f t="shared" si="13"/>
        <v>0.1202438167095297</v>
      </c>
      <c r="AX13" s="11">
        <f t="shared" si="37"/>
        <v>9.9912965482685472</v>
      </c>
      <c r="AY13" s="114">
        <f t="shared" si="14"/>
        <v>0.1395160972441179</v>
      </c>
      <c r="AZ13" s="7">
        <f>'a1'!AK13</f>
        <v>12476.203643305109</v>
      </c>
      <c r="BA13" s="9">
        <f>'a2'!Y13/'a2'!$E$8</f>
        <v>0.98691951082279639</v>
      </c>
      <c r="BB13" s="7">
        <f>'a6'!AQ13</f>
        <v>5107.0793258093809</v>
      </c>
      <c r="BC13" s="7">
        <f>'a5'!M13</f>
        <v>7856.1327962433961</v>
      </c>
      <c r="BD13" s="7">
        <f>'a4'!T13</f>
        <v>1512.9488554559059</v>
      </c>
      <c r="BE13" s="9">
        <f>'a3'!G9/'a3'!B$4</f>
        <v>1.0074053596648982</v>
      </c>
      <c r="BF13" s="7">
        <f t="shared" si="15"/>
        <v>23939.247639615762</v>
      </c>
      <c r="BG13" s="114">
        <f t="shared" si="16"/>
        <v>0.18492236822300859</v>
      </c>
      <c r="BH13" s="11">
        <f t="shared" si="38"/>
        <v>10.083274551701493</v>
      </c>
      <c r="BI13" s="114">
        <f t="shared" si="17"/>
        <v>0.23089929018851513</v>
      </c>
      <c r="BJ13" s="7">
        <f>'a1'!AQ13</f>
        <v>15391.383473628666</v>
      </c>
      <c r="BK13" s="9">
        <f>'a2'!AC13/'a2'!$E$8</f>
        <v>0.96147552323863716</v>
      </c>
      <c r="BL13" s="7">
        <f>'a6'!AX13</f>
        <v>5740.339629611959</v>
      </c>
      <c r="BM13" s="7">
        <f>'a5'!O13</f>
        <v>8173.1301381862713</v>
      </c>
      <c r="BN13" s="7">
        <f>'a4'!V13</f>
        <v>1866.4632829077943</v>
      </c>
      <c r="BO13" s="9">
        <f>'a3'!H9/'a3'!B$4</f>
        <v>1.0263403215652229</v>
      </c>
      <c r="BP13" s="7">
        <f t="shared" si="18"/>
        <v>27552.562616465846</v>
      </c>
      <c r="BQ13" s="114">
        <f t="shared" si="19"/>
        <v>0.29601655225865847</v>
      </c>
      <c r="BR13" s="11">
        <f t="shared" si="39"/>
        <v>10.223850827186864</v>
      </c>
      <c r="BS13" s="114">
        <f t="shared" si="20"/>
        <v>0.37056647610921928</v>
      </c>
      <c r="BT13" s="7">
        <f>'a1'!AW13</f>
        <v>13674.551944858304</v>
      </c>
      <c r="BU13" s="9">
        <f>'a2'!AG13/'a2'!$E$8</f>
        <v>0.96681911021631572</v>
      </c>
      <c r="BV13" s="7">
        <f>'a6'!BE13</f>
        <v>5749.6203815681965</v>
      </c>
      <c r="BW13" s="7">
        <f>'a5'!Q13</f>
        <v>8290.311608870601</v>
      </c>
      <c r="BX13" s="7">
        <f>'a4'!X13</f>
        <v>1658.268677343018</v>
      </c>
      <c r="BY13" s="9">
        <f>'a3'!I9/'a3'!B$4</f>
        <v>1.0255382842525473</v>
      </c>
      <c r="BZ13" s="7">
        <f t="shared" si="21"/>
        <v>26256.32490605069</v>
      </c>
      <c r="CA13" s="114">
        <f t="shared" si="22"/>
        <v>0.25616271397513662</v>
      </c>
      <c r="CB13" s="11">
        <f t="shared" si="40"/>
        <v>10.175662187798201</v>
      </c>
      <c r="CC13" s="114">
        <f t="shared" si="23"/>
        <v>0.3226894667523843</v>
      </c>
      <c r="CD13" s="7">
        <f>'a1'!BC13</f>
        <v>12529.946516626895</v>
      </c>
      <c r="CE13" s="9">
        <f>'a2'!AK13/'a2'!$E$8</f>
        <v>0.9731424696493256</v>
      </c>
      <c r="CF13" s="7">
        <f>'a6'!BL13</f>
        <v>5692.7196564139686</v>
      </c>
      <c r="CG13" s="7">
        <f>'a5'!S13</f>
        <v>7834.9535598374941</v>
      </c>
      <c r="CH13" s="7">
        <f>'a4'!Z13</f>
        <v>1519.4660798460945</v>
      </c>
      <c r="CI13" s="9">
        <f>'a3'!J9/'a3'!B$4</f>
        <v>1.0384026039621632</v>
      </c>
      <c r="CJ13" s="7">
        <f t="shared" si="24"/>
        <v>25131.03585529116</v>
      </c>
      <c r="CK13" s="114">
        <f t="shared" si="25"/>
        <v>0.22156482541592737</v>
      </c>
      <c r="CL13" s="11">
        <f t="shared" si="41"/>
        <v>10.131858849556453</v>
      </c>
      <c r="CM13" s="114">
        <f t="shared" si="26"/>
        <v>0.27916939933678142</v>
      </c>
      <c r="CN13" s="7">
        <f>'a1'!BI13</f>
        <v>15270.518357983121</v>
      </c>
      <c r="CO13" s="9">
        <f>'a2'!AO13/'a2'!$E$8</f>
        <v>0.9365707464434202</v>
      </c>
      <c r="CP13" s="7">
        <f>'a6'!BS13</f>
        <v>5891.3941285655555</v>
      </c>
      <c r="CQ13" s="7">
        <f>'a5'!U13</f>
        <v>9911.7444218707697</v>
      </c>
      <c r="CR13" s="7">
        <f>'a4'!AB13</f>
        <v>1851.8063613306444</v>
      </c>
      <c r="CS13" s="9">
        <f>'a3'!K9/'a3'!B$4</f>
        <v>1.0233600539611649</v>
      </c>
      <c r="CT13" s="7">
        <f t="shared" si="27"/>
        <v>28913.250480089227</v>
      </c>
      <c r="CU13" s="114">
        <f t="shared" si="28"/>
        <v>0.33785196071458812</v>
      </c>
      <c r="CV13" s="11">
        <f t="shared" si="42"/>
        <v>10.272055263144946</v>
      </c>
      <c r="CW13" s="114">
        <f t="shared" si="29"/>
        <v>0.41845917988099318</v>
      </c>
      <c r="CX13" s="7">
        <f>'a1'!BO13</f>
        <v>16310.683402174434</v>
      </c>
      <c r="CY13" s="9">
        <f>'a2'!AS13/'a2'!$E$8</f>
        <v>0.92859567076440197</v>
      </c>
      <c r="CZ13" s="7">
        <f>'a6'!BZ13</f>
        <v>5783.872580640189</v>
      </c>
      <c r="DA13" s="7">
        <f>'a5'!W13</f>
        <v>8737.0770312802288</v>
      </c>
      <c r="DB13" s="7">
        <f>'a4'!AD13</f>
        <v>1977.943811318403</v>
      </c>
      <c r="DC13" s="9">
        <f>'a3'!L9/'a3'!B$4</f>
        <v>1.0288715070610892</v>
      </c>
      <c r="DD13" s="7">
        <f t="shared" si="30"/>
        <v>28488.459987542094</v>
      </c>
      <c r="DE13" s="114">
        <f t="shared" si="31"/>
        <v>0.32479144607416083</v>
      </c>
      <c r="DF13" s="11">
        <f t="shared" si="43"/>
        <v>10.257254371539631</v>
      </c>
      <c r="DG13" s="44">
        <f t="shared" si="32"/>
        <v>0.40375400382981197</v>
      </c>
    </row>
    <row r="14" spans="1:111" hidden="1">
      <c r="A14" s="1">
        <v>1977</v>
      </c>
      <c r="B14" s="7">
        <f>'a1'!G14</f>
        <v>14437.466135772765</v>
      </c>
      <c r="C14" s="9">
        <f>'a2'!E14/'a2'!E$8</f>
        <v>0.96572033491238929</v>
      </c>
      <c r="D14" s="7">
        <f>'a6'!H14</f>
        <v>5897.6881882444823</v>
      </c>
      <c r="E14" s="7">
        <f>'a5'!C14</f>
        <v>6320.0641253363101</v>
      </c>
      <c r="F14" s="7">
        <f>'a4'!H14</f>
        <v>1805.4307218360393</v>
      </c>
      <c r="G14" s="9">
        <f>'a3'!B10/'a3'!B$4</f>
        <v>1.0240799162440268</v>
      </c>
      <c r="H14" s="7">
        <f t="shared" si="0"/>
        <v>24941.339603269105</v>
      </c>
      <c r="I14" s="114">
        <f t="shared" si="1"/>
        <v>0.21573246635837778</v>
      </c>
      <c r="J14" s="11">
        <f t="shared" si="33"/>
        <v>10.124281930833599</v>
      </c>
      <c r="K14" s="114">
        <f t="shared" si="2"/>
        <v>0.27164147961976548</v>
      </c>
      <c r="L14" s="7">
        <f>'a1'!M14</f>
        <v>10088.126536814008</v>
      </c>
      <c r="M14" s="9">
        <f>'a2'!I14/'a2'!$E$8</f>
        <v>1.107398377143251</v>
      </c>
      <c r="N14" s="7">
        <f>'a6'!O14</f>
        <v>4144.9447572554291</v>
      </c>
      <c r="O14" s="7">
        <f>'a5'!E14</f>
        <v>6535.0625075382541</v>
      </c>
      <c r="P14" s="7">
        <f>'a4'!L14</f>
        <v>1261.5380984482251</v>
      </c>
      <c r="Q14" s="9">
        <f>'a3'!C10/'a3'!B$4</f>
        <v>1.0391254786839552</v>
      </c>
      <c r="R14" s="7">
        <f t="shared" si="3"/>
        <v>21395.639454011551</v>
      </c>
      <c r="S14" s="114">
        <f t="shared" si="4"/>
        <v>0.10671715287462524</v>
      </c>
      <c r="T14" s="11">
        <f t="shared" si="34"/>
        <v>9.9709424164160367</v>
      </c>
      <c r="U14" s="114">
        <f t="shared" si="5"/>
        <v>0.11929359307061004</v>
      </c>
      <c r="V14" s="7">
        <f>'a1'!S14</f>
        <v>12714.326076396386</v>
      </c>
      <c r="W14" s="9">
        <f>'a2'!M14/'a2'!$E$8</f>
        <v>1.0262014207318533</v>
      </c>
      <c r="X14" s="7">
        <f>'a6'!V14</f>
        <v>6391.6837117564901</v>
      </c>
      <c r="Y14" s="7">
        <f>'a5'!G14</f>
        <v>7383.8092721659996</v>
      </c>
      <c r="Z14" s="7">
        <f>'a4'!N14</f>
        <v>1589.9490042016605</v>
      </c>
      <c r="AA14" s="9">
        <f>'a3'!D10/'a3'!$B$4</f>
        <v>1.0336635177258582</v>
      </c>
      <c r="AB14" s="7">
        <f t="shared" si="6"/>
        <v>26082.435122319079</v>
      </c>
      <c r="AC14" s="114">
        <f t="shared" si="7"/>
        <v>0.250816337099728</v>
      </c>
      <c r="AD14" s="11">
        <f t="shared" si="35"/>
        <v>10.169017382936332</v>
      </c>
      <c r="AE14" s="114">
        <f t="shared" si="8"/>
        <v>0.31608763303012105</v>
      </c>
      <c r="AF14" s="7">
        <f>'a1'!Y14</f>
        <v>13606.966881340522</v>
      </c>
      <c r="AG14" s="9">
        <f>'a2'!Q14/'a2'!$E$8</f>
        <v>1.0043379122974068</v>
      </c>
      <c r="AH14" s="7">
        <f>'a6'!AC14</f>
        <v>7108.448903305155</v>
      </c>
      <c r="AI14" s="7">
        <f>'a5'!I14</f>
        <v>6915.8025036205327</v>
      </c>
      <c r="AJ14" s="7">
        <f>'a4'!P14</f>
        <v>1701.5753185185069</v>
      </c>
      <c r="AK14" s="9">
        <f>'a3'!E10/'a3'!B$4</f>
        <v>1.0133638434836592</v>
      </c>
      <c r="AL14" s="7">
        <f t="shared" si="9"/>
        <v>26335.977300887331</v>
      </c>
      <c r="AM14" s="114">
        <f t="shared" si="10"/>
        <v>0.25861168891021857</v>
      </c>
      <c r="AN14" s="11">
        <f t="shared" si="36"/>
        <v>10.178691241572086</v>
      </c>
      <c r="AO14" s="114">
        <f t="shared" si="11"/>
        <v>0.32569893200632027</v>
      </c>
      <c r="AP14" s="7">
        <f>'a1'!AE14</f>
        <v>11001.115859227113</v>
      </c>
      <c r="AQ14" s="9">
        <f>'a2'!U14/'a2'!$E$8</f>
        <v>1.027551396726327</v>
      </c>
      <c r="AR14" s="7">
        <f>'a6'!AJ14</f>
        <v>5304.0047056352614</v>
      </c>
      <c r="AS14" s="7">
        <f>'a5'!K14</f>
        <v>6555.3793176644267</v>
      </c>
      <c r="AT14" s="7">
        <f>'a4'!R14</f>
        <v>1375.7090309298383</v>
      </c>
      <c r="AU14" s="9">
        <f>'a3'!F10/'a3'!B$4</f>
        <v>1.0147417989022873</v>
      </c>
      <c r="AV14" s="7">
        <f t="shared" si="12"/>
        <v>22109.079607123149</v>
      </c>
      <c r="AW14" s="114">
        <f t="shared" si="13"/>
        <v>0.12865242621116021</v>
      </c>
      <c r="AX14" s="11">
        <f t="shared" si="37"/>
        <v>10.003743645084672</v>
      </c>
      <c r="AY14" s="114">
        <f t="shared" si="14"/>
        <v>0.15188270020886652</v>
      </c>
      <c r="AZ14" s="7">
        <f>'a1'!AK14</f>
        <v>12642.242697724971</v>
      </c>
      <c r="BA14" s="9">
        <f>'a2'!Y14/'a2'!$E$8</f>
        <v>0.97947406794013669</v>
      </c>
      <c r="BB14" s="7">
        <f>'a6'!AQ14</f>
        <v>5509.1640032091163</v>
      </c>
      <c r="BC14" s="7">
        <f>'a5'!M14</f>
        <v>8112.9158540974513</v>
      </c>
      <c r="BD14" s="7">
        <f>'a4'!T14</f>
        <v>1580.934849975203</v>
      </c>
      <c r="BE14" s="9">
        <f>'a3'!G10/'a3'!B$4</f>
        <v>1.0119858885821147</v>
      </c>
      <c r="BF14" s="7">
        <f t="shared" si="15"/>
        <v>24716.63596126976</v>
      </c>
      <c r="BG14" s="114">
        <f t="shared" si="16"/>
        <v>0.20882377782231279</v>
      </c>
      <c r="BH14" s="11">
        <f t="shared" si="38"/>
        <v>10.115231816601975</v>
      </c>
      <c r="BI14" s="114">
        <f t="shared" si="17"/>
        <v>0.26264989136899192</v>
      </c>
      <c r="BJ14" s="7">
        <f>'a1'!AQ14</f>
        <v>15492.587503599338</v>
      </c>
      <c r="BK14" s="9">
        <f>'a2'!AC14/'a2'!$E$8</f>
        <v>0.95769794133523589</v>
      </c>
      <c r="BL14" s="7">
        <f>'a6'!AX14</f>
        <v>5863.2969696284408</v>
      </c>
      <c r="BM14" s="7">
        <f>'a5'!O14</f>
        <v>8563.4005717123691</v>
      </c>
      <c r="BN14" s="7">
        <f>'a4'!V14</f>
        <v>1937.3755184385211</v>
      </c>
      <c r="BO14" s="9">
        <f>'a3'!H10/'a3'!B$4</f>
        <v>1.0301286567372099</v>
      </c>
      <c r="BP14" s="7">
        <f t="shared" si="18"/>
        <v>28149.853160114621</v>
      </c>
      <c r="BQ14" s="114">
        <f t="shared" si="19"/>
        <v>0.3143807153620688</v>
      </c>
      <c r="BR14" s="11">
        <f t="shared" si="39"/>
        <v>10.245297417217273</v>
      </c>
      <c r="BS14" s="114">
        <f t="shared" si="20"/>
        <v>0.39187437366732492</v>
      </c>
      <c r="BT14" s="7">
        <f>'a1'!AW14</f>
        <v>13771.884549389806</v>
      </c>
      <c r="BU14" s="9">
        <f>'a2'!AG14/'a2'!$E$8</f>
        <v>0.96202877859384794</v>
      </c>
      <c r="BV14" s="7">
        <f>'a6'!BE14</f>
        <v>5770.9935165390643</v>
      </c>
      <c r="BW14" s="7">
        <f>'a5'!Q14</f>
        <v>8423.7079154519342</v>
      </c>
      <c r="BX14" s="7">
        <f>'a4'!X14</f>
        <v>1722.1985651235316</v>
      </c>
      <c r="BY14" s="9">
        <f>'a3'!I10/'a3'!B$4</f>
        <v>1.0295919216692828</v>
      </c>
      <c r="BZ14" s="7">
        <f t="shared" si="21"/>
        <v>26482.599335765557</v>
      </c>
      <c r="CA14" s="114">
        <f t="shared" si="22"/>
        <v>0.26311969760328935</v>
      </c>
      <c r="CB14" s="11">
        <f t="shared" si="40"/>
        <v>10.184243167460144</v>
      </c>
      <c r="CC14" s="114">
        <f t="shared" si="23"/>
        <v>0.33121495426930952</v>
      </c>
      <c r="CD14" s="7">
        <f>'a1'!BC14</f>
        <v>12510.246662662963</v>
      </c>
      <c r="CE14" s="9">
        <f>'a2'!AK14/'a2'!$E$8</f>
        <v>0.96839713128850768</v>
      </c>
      <c r="CF14" s="7">
        <f>'a6'!BL14</f>
        <v>5781.4754724622962</v>
      </c>
      <c r="CG14" s="7">
        <f>'a5'!S14</f>
        <v>8232.9955253945482</v>
      </c>
      <c r="CH14" s="7">
        <f>'a4'!Z14</f>
        <v>1564.4285119086487</v>
      </c>
      <c r="CI14" s="9">
        <f>'a3'!J10/'a3'!B$4</f>
        <v>1.041391253257935</v>
      </c>
      <c r="CJ14" s="7">
        <f t="shared" si="24"/>
        <v>25581.702682564155</v>
      </c>
      <c r="CK14" s="114">
        <f t="shared" si="25"/>
        <v>0.2354209281273146</v>
      </c>
      <c r="CL14" s="11">
        <f t="shared" si="41"/>
        <v>10.14963263595765</v>
      </c>
      <c r="CM14" s="114">
        <f t="shared" si="26"/>
        <v>0.29682824483713149</v>
      </c>
      <c r="CN14" s="7">
        <f>'a1'!BI14</f>
        <v>15581.16910879434</v>
      </c>
      <c r="CO14" s="9">
        <f>'a2'!AO14/'a2'!$E$8</f>
        <v>0.93394038364160858</v>
      </c>
      <c r="CP14" s="7">
        <f>'a6'!BS14</f>
        <v>5964.9574498536685</v>
      </c>
      <c r="CQ14" s="7">
        <f>'a5'!U14</f>
        <v>10370.327131878801</v>
      </c>
      <c r="CR14" s="7">
        <f>'a4'!AB14</f>
        <v>1948.4528051247453</v>
      </c>
      <c r="CS14" s="9">
        <f>'a3'!K10/'a3'!B$4</f>
        <v>1.0276781823080468</v>
      </c>
      <c r="CT14" s="7">
        <f t="shared" si="27"/>
        <v>29739.685856531149</v>
      </c>
      <c r="CU14" s="114">
        <f t="shared" si="28"/>
        <v>0.36326136022507521</v>
      </c>
      <c r="CV14" s="11">
        <f t="shared" si="42"/>
        <v>10.300237656963439</v>
      </c>
      <c r="CW14" s="114">
        <f t="shared" si="29"/>
        <v>0.44645932160866086</v>
      </c>
      <c r="CX14" s="7">
        <f>'a1'!BO14</f>
        <v>16565.239706948396</v>
      </c>
      <c r="CY14" s="9">
        <f>'a2'!AS14/'a2'!$E$8</f>
        <v>0.92499737854012221</v>
      </c>
      <c r="CZ14" s="7">
        <f>'a6'!BZ14</f>
        <v>5853.481181809997</v>
      </c>
      <c r="DA14" s="7">
        <f>'a5'!W14</f>
        <v>9369.0432429438588</v>
      </c>
      <c r="DB14" s="7">
        <f>'a4'!AD14</f>
        <v>2071.5125770857485</v>
      </c>
      <c r="DC14" s="9">
        <f>'a3'!L10/'a3'!B$4</f>
        <v>1.0331901122443239</v>
      </c>
      <c r="DD14" s="7">
        <f t="shared" si="30"/>
        <v>29418.864272386003</v>
      </c>
      <c r="DE14" s="114">
        <f t="shared" si="31"/>
        <v>0.35339745067387968</v>
      </c>
      <c r="DF14" s="11">
        <f t="shared" si="43"/>
        <v>10.289391389480501</v>
      </c>
      <c r="DG14" s="44">
        <f t="shared" si="32"/>
        <v>0.43568319560976976</v>
      </c>
    </row>
    <row r="15" spans="1:111" hidden="1">
      <c r="A15" s="1">
        <v>1978</v>
      </c>
      <c r="B15" s="7">
        <f>'a1'!G15</f>
        <v>14668.522399171321</v>
      </c>
      <c r="C15" s="9">
        <f>'a2'!E15/'a2'!E$8</f>
        <v>0.96110794265218258</v>
      </c>
      <c r="D15" s="7">
        <f>'a6'!H15</f>
        <v>5922.7495617864743</v>
      </c>
      <c r="E15" s="7">
        <f>'a5'!C15</f>
        <v>6566.5142761927373</v>
      </c>
      <c r="F15" s="7">
        <f>'a4'!H15</f>
        <v>1870.2455248044976</v>
      </c>
      <c r="G15" s="9">
        <f>'a3'!B11/'a3'!B$4</f>
        <v>1.0281492362119447</v>
      </c>
      <c r="H15" s="7">
        <f t="shared" si="0"/>
        <v>25412.817824699283</v>
      </c>
      <c r="I15" s="114">
        <f t="shared" si="1"/>
        <v>0.23022843159693168</v>
      </c>
      <c r="J15" s="11">
        <f t="shared" si="33"/>
        <v>10.143008964486993</v>
      </c>
      <c r="K15" s="114">
        <f t="shared" si="2"/>
        <v>0.29024740783902736</v>
      </c>
      <c r="L15" s="7">
        <f>'a1'!M15</f>
        <v>10264.226466733577</v>
      </c>
      <c r="M15" s="9">
        <f>'a2'!I15/'a2'!$E$8</f>
        <v>1.1014314361901083</v>
      </c>
      <c r="N15" s="7">
        <f>'a6'!O15</f>
        <v>4554.2786285425254</v>
      </c>
      <c r="O15" s="7">
        <f>'a5'!E15</f>
        <v>6744.4854182821218</v>
      </c>
      <c r="P15" s="7">
        <f>'a4'!L15</f>
        <v>1308.6951154720832</v>
      </c>
      <c r="Q15" s="9">
        <f>'a3'!C11/'a3'!B$4</f>
        <v>1.0391254786839552</v>
      </c>
      <c r="R15" s="7">
        <f t="shared" si="3"/>
        <v>22128.603764657095</v>
      </c>
      <c r="S15" s="114">
        <f t="shared" si="4"/>
        <v>0.12925271164548124</v>
      </c>
      <c r="T15" s="11">
        <f t="shared" si="34"/>
        <v>10.004626338630695</v>
      </c>
      <c r="U15" s="114">
        <f t="shared" si="5"/>
        <v>0.15275968548378399</v>
      </c>
      <c r="V15" s="7">
        <f>'a1'!S15</f>
        <v>13260.506430646868</v>
      </c>
      <c r="W15" s="9">
        <f>'a2'!M15/'a2'!$E$8</f>
        <v>1.0212459692900442</v>
      </c>
      <c r="X15" s="7">
        <f>'a6'!V15</f>
        <v>5986.4390949298795</v>
      </c>
      <c r="Y15" s="7">
        <f>'a5'!G15</f>
        <v>7698.5593119168079</v>
      </c>
      <c r="Z15" s="7">
        <f>'a4'!N15</f>
        <v>1690.7226327008664</v>
      </c>
      <c r="AA15" s="9">
        <f>'a3'!D11/'a3'!$B$4</f>
        <v>1.0363909000251901</v>
      </c>
      <c r="AB15" s="7">
        <f t="shared" si="6"/>
        <v>26465.811263975473</v>
      </c>
      <c r="AC15" s="114">
        <f t="shared" si="7"/>
        <v>0.2626035352568013</v>
      </c>
      <c r="AD15" s="11">
        <f t="shared" si="35"/>
        <v>10.183609038043889</v>
      </c>
      <c r="AE15" s="114">
        <f t="shared" si="8"/>
        <v>0.33058492569036108</v>
      </c>
      <c r="AF15" s="7">
        <f>'a1'!Y15</f>
        <v>13936.192689137471</v>
      </c>
      <c r="AG15" s="9">
        <f>'a2'!Q15/'a2'!$E$8</f>
        <v>0.99950727696580144</v>
      </c>
      <c r="AH15" s="7">
        <f>'a6'!AC15</f>
        <v>7517.1929325797664</v>
      </c>
      <c r="AI15" s="7">
        <f>'a5'!I15</f>
        <v>7214.0345379072587</v>
      </c>
      <c r="AJ15" s="7">
        <f>'a4'!P15</f>
        <v>1776.8730414963247</v>
      </c>
      <c r="AK15" s="9">
        <f>'a3'!E11/'a3'!B$4</f>
        <v>1.0179653109329729</v>
      </c>
      <c r="AL15" s="7">
        <f t="shared" si="9"/>
        <v>27366.654113018321</v>
      </c>
      <c r="AM15" s="114">
        <f t="shared" si="10"/>
        <v>0.29030065048200349</v>
      </c>
      <c r="AN15" s="11">
        <f t="shared" si="36"/>
        <v>10.217080548051902</v>
      </c>
      <c r="AO15" s="114">
        <f t="shared" si="11"/>
        <v>0.36383997954062741</v>
      </c>
      <c r="AP15" s="7">
        <f>'a1'!AE15</f>
        <v>11254.581326729727</v>
      </c>
      <c r="AQ15" s="9">
        <f>'a2'!U15/'a2'!$E$8</f>
        <v>1.0210621321722677</v>
      </c>
      <c r="AR15" s="7">
        <f>'a6'!AJ15</f>
        <v>5329.2670967637996</v>
      </c>
      <c r="AS15" s="7">
        <f>'a5'!K15</f>
        <v>6632.0502534855914</v>
      </c>
      <c r="AT15" s="7">
        <f>'a4'!R15</f>
        <v>1434.9659622876304</v>
      </c>
      <c r="AU15" s="9">
        <f>'a3'!F11/'a3'!B$4</f>
        <v>1.0193433775755936</v>
      </c>
      <c r="AV15" s="7">
        <f t="shared" si="12"/>
        <v>22443.880259799011</v>
      </c>
      <c r="AW15" s="114">
        <f t="shared" si="13"/>
        <v>0.13894613311518775</v>
      </c>
      <c r="AX15" s="11">
        <f t="shared" si="37"/>
        <v>10.018773261791535</v>
      </c>
      <c r="AY15" s="114">
        <f t="shared" si="14"/>
        <v>0.16681512222436429</v>
      </c>
      <c r="AZ15" s="7">
        <f>'a1'!AK15</f>
        <v>12772.06086318101</v>
      </c>
      <c r="BA15" s="9">
        <f>'a2'!Y15/'a2'!$E$8</f>
        <v>0.97309592705903869</v>
      </c>
      <c r="BB15" s="7">
        <f>'a6'!AQ15</f>
        <v>5613.0937784870603</v>
      </c>
      <c r="BC15" s="7">
        <f>'a5'!M15</f>
        <v>8416.1456560335046</v>
      </c>
      <c r="BD15" s="7">
        <f>'a4'!T15</f>
        <v>1628.4455258591288</v>
      </c>
      <c r="BE15" s="9">
        <f>'a3'!G11/'a3'!B$4</f>
        <v>1.016587244512966</v>
      </c>
      <c r="BF15" s="7">
        <f t="shared" si="15"/>
        <v>25241.082895421889</v>
      </c>
      <c r="BG15" s="114">
        <f t="shared" si="16"/>
        <v>0.22494830740052849</v>
      </c>
      <c r="BH15" s="11">
        <f t="shared" si="38"/>
        <v>10.136228219673862</v>
      </c>
      <c r="BI15" s="114">
        <f t="shared" si="17"/>
        <v>0.28351051327252563</v>
      </c>
      <c r="BJ15" s="7">
        <f>'a1'!AQ15</f>
        <v>15577.106192078776</v>
      </c>
      <c r="BK15" s="9">
        <f>'a2'!AC15/'a2'!$E$8</f>
        <v>0.95385103378051117</v>
      </c>
      <c r="BL15" s="7">
        <f>'a6'!AX15</f>
        <v>5697.2422376776685</v>
      </c>
      <c r="BM15" s="7">
        <f>'a5'!O15</f>
        <v>8977.7443549243508</v>
      </c>
      <c r="BN15" s="7">
        <f>'a4'!V15</f>
        <v>1986.0905108469267</v>
      </c>
      <c r="BO15" s="9">
        <f>'a3'!H11/'a3'!B$4</f>
        <v>1.0339309750715786</v>
      </c>
      <c r="BP15" s="7">
        <f t="shared" si="18"/>
        <v>28481.836074858584</v>
      </c>
      <c r="BQ15" s="114">
        <f t="shared" si="19"/>
        <v>0.32458778871812832</v>
      </c>
      <c r="BR15" s="11">
        <f t="shared" si="39"/>
        <v>10.257021832368476</v>
      </c>
      <c r="BS15" s="114">
        <f t="shared" si="20"/>
        <v>0.40352296846101071</v>
      </c>
      <c r="BT15" s="7">
        <f>'a1'!AW15</f>
        <v>13785.013243909278</v>
      </c>
      <c r="BU15" s="9">
        <f>'a2'!AG15/'a2'!$E$8</f>
        <v>0.95768659400967593</v>
      </c>
      <c r="BV15" s="7">
        <f>'a6'!BE15</f>
        <v>5601.3044506340157</v>
      </c>
      <c r="BW15" s="7">
        <f>'a5'!Q15</f>
        <v>8576.7618241672371</v>
      </c>
      <c r="BX15" s="7">
        <f>'a4'!X15</f>
        <v>1757.5975703080044</v>
      </c>
      <c r="BY15" s="9">
        <f>'a3'!I11/'a3'!B$4</f>
        <v>1.0336615818679644</v>
      </c>
      <c r="BZ15" s="7">
        <f t="shared" si="21"/>
        <v>26484.674569323524</v>
      </c>
      <c r="CA15" s="114">
        <f t="shared" si="22"/>
        <v>0.26318350227580833</v>
      </c>
      <c r="CB15" s="11">
        <f t="shared" si="40"/>
        <v>10.184321526545142</v>
      </c>
      <c r="CC15" s="114">
        <f t="shared" si="23"/>
        <v>0.33129280661569771</v>
      </c>
      <c r="CD15" s="7">
        <f>'a1'!BC15</f>
        <v>12910.280773458579</v>
      </c>
      <c r="CE15" s="9">
        <f>'a2'!AK15/'a2'!$E$8</f>
        <v>0.96408402716950869</v>
      </c>
      <c r="CF15" s="7">
        <f>'a6'!BL15</f>
        <v>5722.5714348186129</v>
      </c>
      <c r="CG15" s="7">
        <f>'a5'!S15</f>
        <v>8700.1428610443218</v>
      </c>
      <c r="CH15" s="7">
        <f>'a4'!Z15</f>
        <v>1646.0686484614507</v>
      </c>
      <c r="CI15" s="9">
        <f>'a3'!J11/'a3'!B$4</f>
        <v>1.0443885042507548</v>
      </c>
      <c r="CJ15" s="7">
        <f t="shared" si="24"/>
        <v>26342.863073366436</v>
      </c>
      <c r="CK15" s="114">
        <f t="shared" si="25"/>
        <v>0.25882339734967713</v>
      </c>
      <c r="CL15" s="11">
        <f t="shared" si="41"/>
        <v>10.178952666177086</v>
      </c>
      <c r="CM15" s="114">
        <f t="shared" si="26"/>
        <v>0.32595866601040263</v>
      </c>
      <c r="CN15" s="7">
        <f>'a1'!BI15</f>
        <v>16055.06098983833</v>
      </c>
      <c r="CO15" s="9">
        <f>'a2'!AO15/'a2'!$E$8</f>
        <v>0.93114281493365447</v>
      </c>
      <c r="CP15" s="7">
        <f>'a6'!BS15</f>
        <v>6146.3953487867693</v>
      </c>
      <c r="CQ15" s="7">
        <f>'a5'!U15</f>
        <v>10894.845764734977</v>
      </c>
      <c r="CR15" s="7">
        <f>'a4'!AB15</f>
        <v>2047.0300381724019</v>
      </c>
      <c r="CS15" s="9">
        <f>'a3'!K11/'a3'!B$4</f>
        <v>1.0320145312531901</v>
      </c>
      <c r="CT15" s="7">
        <f t="shared" si="27"/>
        <v>30902.401384100111</v>
      </c>
      <c r="CU15" s="114">
        <f t="shared" si="28"/>
        <v>0.39900995497212355</v>
      </c>
      <c r="CV15" s="11">
        <f t="shared" si="42"/>
        <v>10.338589174562003</v>
      </c>
      <c r="CW15" s="114">
        <f t="shared" si="29"/>
        <v>0.48456282463778444</v>
      </c>
      <c r="CX15" s="7">
        <f>'a1'!BO15</f>
        <v>16696.591897727885</v>
      </c>
      <c r="CY15" s="9">
        <f>'a2'!AS15/'a2'!$E$8</f>
        <v>0.9210660863853336</v>
      </c>
      <c r="CZ15" s="7">
        <f>'a6'!BZ15</f>
        <v>6084.0610194615483</v>
      </c>
      <c r="DA15" s="7">
        <f>'a5'!W15</f>
        <v>10016.341577458425</v>
      </c>
      <c r="DB15" s="7">
        <f>'a4'!AD15</f>
        <v>2128.8256189987292</v>
      </c>
      <c r="DC15" s="9">
        <f>'a3'!L11/'a3'!B$4</f>
        <v>1.0375268444245656</v>
      </c>
      <c r="DD15" s="7">
        <f t="shared" si="30"/>
        <v>30451.6634809719</v>
      </c>
      <c r="DE15" s="114">
        <f t="shared" si="31"/>
        <v>0.38515166697819375</v>
      </c>
      <c r="DF15" s="11">
        <f t="shared" si="43"/>
        <v>10.323895901562858</v>
      </c>
      <c r="DG15" s="44">
        <f t="shared" si="32"/>
        <v>0.46996457123642205</v>
      </c>
    </row>
    <row r="16" spans="1:111" hidden="1">
      <c r="A16" s="1">
        <v>1979</v>
      </c>
      <c r="B16" s="7">
        <f>'a1'!G16</f>
        <v>14850.079766559193</v>
      </c>
      <c r="C16" s="9">
        <f>'a2'!E16/'a2'!E$8</f>
        <v>0.95737879387571445</v>
      </c>
      <c r="D16" s="7">
        <f>'a6'!H16</f>
        <v>5893.2034280625157</v>
      </c>
      <c r="E16" s="7">
        <f>'a5'!C16</f>
        <v>6639.5391597953276</v>
      </c>
      <c r="F16" s="7">
        <f>'a4'!H16</f>
        <v>1864.4244854589529</v>
      </c>
      <c r="G16" s="9">
        <f>'a3'!B12/'a3'!B$4</f>
        <v>1.0322347261727884</v>
      </c>
      <c r="H16" s="7">
        <f t="shared" si="0"/>
        <v>25687.645855157432</v>
      </c>
      <c r="I16" s="114">
        <f t="shared" si="1"/>
        <v>0.23867823350722323</v>
      </c>
      <c r="J16" s="11">
        <f t="shared" si="33"/>
        <v>10.153765449282128</v>
      </c>
      <c r="K16" s="114">
        <f t="shared" si="2"/>
        <v>0.30093433176376611</v>
      </c>
      <c r="L16" s="7">
        <f>'a1'!M16</f>
        <v>10488.358068115072</v>
      </c>
      <c r="M16" s="9">
        <f>'a2'!I16/'a2'!$E$8</f>
        <v>1.0957461139615967</v>
      </c>
      <c r="N16" s="7">
        <f>'a6'!O16</f>
        <v>4506.5440819637724</v>
      </c>
      <c r="O16" s="7">
        <f>'a5'!E16</f>
        <v>6958.9624116951409</v>
      </c>
      <c r="P16" s="7">
        <f>'a4'!L16</f>
        <v>1316.811215956559</v>
      </c>
      <c r="Q16" s="9">
        <f>'a3'!C12/'a3'!B$4</f>
        <v>1.0391254786839552</v>
      </c>
      <c r="R16" s="7">
        <f t="shared" si="3"/>
        <v>22487.998033150794</v>
      </c>
      <c r="S16" s="114">
        <f t="shared" si="4"/>
        <v>0.14030256842829705</v>
      </c>
      <c r="T16" s="11">
        <f t="shared" si="34"/>
        <v>10.020737025124197</v>
      </c>
      <c r="U16" s="114">
        <f t="shared" si="5"/>
        <v>0.16876618613995059</v>
      </c>
      <c r="V16" s="7">
        <f>'a1'!S16</f>
        <v>13250.130062896997</v>
      </c>
      <c r="W16" s="9">
        <f>'a2'!M16/'a2'!$E$8</f>
        <v>1.0192679945344247</v>
      </c>
      <c r="X16" s="7">
        <f>'a6'!V16</f>
        <v>5788.3842703236041</v>
      </c>
      <c r="Y16" s="7">
        <f>'a5'!G16</f>
        <v>8066.4064920891951</v>
      </c>
      <c r="Z16" s="7">
        <f>'a4'!N16</f>
        <v>1663.5511265341099</v>
      </c>
      <c r="AA16" s="9">
        <f>'a3'!D12/'a3'!$B$4</f>
        <v>1.0391254786839552</v>
      </c>
      <c r="AB16" s="7">
        <f t="shared" si="6"/>
        <v>26702.067769298596</v>
      </c>
      <c r="AC16" s="114">
        <f t="shared" si="7"/>
        <v>0.26986742557639565</v>
      </c>
      <c r="AD16" s="11">
        <f t="shared" si="35"/>
        <v>10.192496285932686</v>
      </c>
      <c r="AE16" s="114">
        <f t="shared" si="8"/>
        <v>0.33941470083500974</v>
      </c>
      <c r="AF16" s="7">
        <f>'a1'!Y16</f>
        <v>14230.185069805053</v>
      </c>
      <c r="AG16" s="9">
        <f>'a2'!Q16/'a2'!$E$8</f>
        <v>0.9946583863842412</v>
      </c>
      <c r="AH16" s="7">
        <f>'a6'!AC16</f>
        <v>7351.5432449088785</v>
      </c>
      <c r="AI16" s="7">
        <f>'a5'!I16</f>
        <v>7523.8621012241001</v>
      </c>
      <c r="AJ16" s="7">
        <f>'a4'!P16</f>
        <v>1786.5968327323199</v>
      </c>
      <c r="AK16" s="9">
        <f>'a3'!E12/'a3'!B$4</f>
        <v>1.0225876726571548</v>
      </c>
      <c r="AL16" s="7">
        <f t="shared" si="9"/>
        <v>27858.336979692958</v>
      </c>
      <c r="AM16" s="114">
        <f t="shared" si="10"/>
        <v>0.30541782327969458</v>
      </c>
      <c r="AN16" s="11">
        <f t="shared" si="36"/>
        <v>10.234887553509548</v>
      </c>
      <c r="AO16" s="114">
        <f t="shared" si="11"/>
        <v>0.38153182927385565</v>
      </c>
      <c r="AP16" s="7">
        <f>'a1'!AE16</f>
        <v>11558.62792672489</v>
      </c>
      <c r="AQ16" s="9">
        <f>'a2'!U16/'a2'!$E$8</f>
        <v>1.0153318387894463</v>
      </c>
      <c r="AR16" s="7">
        <f>'a6'!AJ16</f>
        <v>5118.2390522755422</v>
      </c>
      <c r="AS16" s="7">
        <f>'a5'!K16</f>
        <v>6710.0603608512274</v>
      </c>
      <c r="AT16" s="7">
        <f>'a4'!R16</f>
        <v>1451.1833783832112</v>
      </c>
      <c r="AU16" s="9">
        <f>'a3'!F12/'a3'!B$4</f>
        <v>1.023965823159388</v>
      </c>
      <c r="AV16" s="7">
        <f t="shared" si="12"/>
        <v>22642.914245948854</v>
      </c>
      <c r="AW16" s="114">
        <f t="shared" si="13"/>
        <v>0.14506558808336645</v>
      </c>
      <c r="AX16" s="11">
        <f t="shared" si="37"/>
        <v>10.027602245144083</v>
      </c>
      <c r="AY16" s="114">
        <f t="shared" si="14"/>
        <v>0.17558700962238644</v>
      </c>
      <c r="AZ16" s="7">
        <f>'a1'!AK16</f>
        <v>13087.392949301327</v>
      </c>
      <c r="BA16" s="9">
        <f>'a2'!Y16/'a2'!$E$8</f>
        <v>0.96774085457754944</v>
      </c>
      <c r="BB16" s="7">
        <f>'a6'!AQ16</f>
        <v>5796.2927088317392</v>
      </c>
      <c r="BC16" s="7">
        <f>'a5'!M16</f>
        <v>8706.1308975051234</v>
      </c>
      <c r="BD16" s="7">
        <f>'a4'!T16</f>
        <v>1643.1195151185316</v>
      </c>
      <c r="BE16" s="9">
        <f>'a3'!G12/'a3'!B$4</f>
        <v>1.0212095221549213</v>
      </c>
      <c r="BF16" s="7">
        <f t="shared" si="15"/>
        <v>26065.871565772846</v>
      </c>
      <c r="BG16" s="114">
        <f t="shared" si="16"/>
        <v>0.25030707764932819</v>
      </c>
      <c r="BH16" s="11">
        <f t="shared" si="38"/>
        <v>10.168382134808244</v>
      </c>
      <c r="BI16" s="114">
        <f t="shared" si="17"/>
        <v>0.31545649297391259</v>
      </c>
      <c r="BJ16" s="7">
        <f>'a1'!AQ16</f>
        <v>15629.882594009365</v>
      </c>
      <c r="BK16" s="9">
        <f>'a2'!AC16/'a2'!$E$8</f>
        <v>0.95125836852510282</v>
      </c>
      <c r="BL16" s="7">
        <f>'a6'!AX16</f>
        <v>5482.4146798308793</v>
      </c>
      <c r="BM16" s="7">
        <f>'a5'!O16</f>
        <v>9428.4254006821902</v>
      </c>
      <c r="BN16" s="7">
        <f>'a4'!V16</f>
        <v>1962.3285713751927</v>
      </c>
      <c r="BO16" s="9">
        <f>'a3'!H12/'a3'!B$4</f>
        <v>1.0377473281817218</v>
      </c>
      <c r="BP16" s="7">
        <f t="shared" si="18"/>
        <v>28866.569251686189</v>
      </c>
      <c r="BQ16" s="114">
        <f t="shared" si="19"/>
        <v>0.33641670997878365</v>
      </c>
      <c r="BR16" s="11">
        <f t="shared" si="39"/>
        <v>10.270439431223819</v>
      </c>
      <c r="BS16" s="114">
        <f t="shared" si="20"/>
        <v>0.41685379734709532</v>
      </c>
      <c r="BT16" s="7">
        <f>'a1'!AW16</f>
        <v>14064.794795429985</v>
      </c>
      <c r="BU16" s="9">
        <f>'a2'!AG16/'a2'!$E$8</f>
        <v>0.95381866627544665</v>
      </c>
      <c r="BV16" s="7">
        <f>'a6'!BE16</f>
        <v>5547.1665486040893</v>
      </c>
      <c r="BW16" s="7">
        <f>'a5'!Q16</f>
        <v>8792.6470834211032</v>
      </c>
      <c r="BX16" s="7">
        <f>'a4'!X16</f>
        <v>1765.8321175220999</v>
      </c>
      <c r="BY16" s="9">
        <f>'a3'!I12/'a3'!B$4</f>
        <v>1.0377473281817218</v>
      </c>
      <c r="BZ16" s="7">
        <f t="shared" si="21"/>
        <v>26970.269900298612</v>
      </c>
      <c r="CA16" s="114">
        <f t="shared" si="22"/>
        <v>0.27811350904572102</v>
      </c>
      <c r="CB16" s="11">
        <f t="shared" si="40"/>
        <v>10.202490423510421</v>
      </c>
      <c r="CC16" s="114">
        <f t="shared" si="23"/>
        <v>0.34934420754847967</v>
      </c>
      <c r="CD16" s="7">
        <f>'a1'!BC16</f>
        <v>13269.694330573069</v>
      </c>
      <c r="CE16" s="9">
        <f>'a2'!AK16/'a2'!$E$8</f>
        <v>0.96024747580787273</v>
      </c>
      <c r="CF16" s="7">
        <f>'a6'!BL16</f>
        <v>5733.2119801232093</v>
      </c>
      <c r="CG16" s="7">
        <f>'a5'!S16</f>
        <v>9199.2430296891271</v>
      </c>
      <c r="CH16" s="7">
        <f>'a4'!Z16</f>
        <v>1666.0074163499723</v>
      </c>
      <c r="CI16" s="9">
        <f>'a3'!J12/'a3'!B$4</f>
        <v>1.0473943816973552</v>
      </c>
      <c r="CJ16" s="7">
        <f t="shared" si="24"/>
        <v>27241.301399688189</v>
      </c>
      <c r="CK16" s="114">
        <f t="shared" si="25"/>
        <v>0.28644658365049636</v>
      </c>
      <c r="CL16" s="11">
        <f t="shared" si="41"/>
        <v>10.212489534441195</v>
      </c>
      <c r="CM16" s="114">
        <f t="shared" si="26"/>
        <v>0.35927865545292392</v>
      </c>
      <c r="CN16" s="7">
        <f>'a1'!BI16</f>
        <v>16654.302058413828</v>
      </c>
      <c r="CO16" s="9">
        <f>'a2'!AO16/'a2'!$E$8</f>
        <v>0.92800583315233798</v>
      </c>
      <c r="CP16" s="7">
        <f>'a6'!BS16</f>
        <v>6382.8046614155282</v>
      </c>
      <c r="CQ16" s="7">
        <f>'a5'!U16</f>
        <v>11457.149162244814</v>
      </c>
      <c r="CR16" s="7">
        <f>'a4'!AB16</f>
        <v>2090.9442261622762</v>
      </c>
      <c r="CS16" s="9">
        <f>'a3'!K12/'a3'!B$4</f>
        <v>1.0363691776794883</v>
      </c>
      <c r="CT16" s="7">
        <f t="shared" si="27"/>
        <v>32339.173751474529</v>
      </c>
      <c r="CU16" s="114">
        <f t="shared" si="28"/>
        <v>0.44318464077202485</v>
      </c>
      <c r="CV16" s="11">
        <f t="shared" si="42"/>
        <v>10.38403458399441</v>
      </c>
      <c r="CW16" s="114">
        <f t="shared" si="29"/>
        <v>0.52971434417067353</v>
      </c>
      <c r="CX16" s="7">
        <f>'a1'!BO16</f>
        <v>16945.251720659006</v>
      </c>
      <c r="CY16" s="9">
        <f>'a2'!AS16/'a2'!$E$8</f>
        <v>0.91807996039631812</v>
      </c>
      <c r="CZ16" s="7">
        <f>'a6'!BZ16</f>
        <v>5980.7980484344189</v>
      </c>
      <c r="DA16" s="7">
        <f>'a5'!W16</f>
        <v>10690.496019144035</v>
      </c>
      <c r="DB16" s="7">
        <f>'a4'!AD16</f>
        <v>2127.4728969070266</v>
      </c>
      <c r="DC16" s="9">
        <f>'a3'!L12/'a3'!B$4</f>
        <v>1.0418817796884217</v>
      </c>
      <c r="DD16" s="7">
        <f t="shared" si="30"/>
        <v>31361.597181839337</v>
      </c>
      <c r="DE16" s="114">
        <f t="shared" si="31"/>
        <v>0.41312828752527125</v>
      </c>
      <c r="DF16" s="11">
        <f t="shared" si="43"/>
        <v>10.353339403710775</v>
      </c>
      <c r="DG16" s="44">
        <f t="shared" si="32"/>
        <v>0.49921766586032734</v>
      </c>
    </row>
    <row r="17" spans="1:111" hidden="1">
      <c r="A17" s="1">
        <v>1980</v>
      </c>
      <c r="B17" s="7">
        <f>'a1'!G17</f>
        <v>14966.808521095998</v>
      </c>
      <c r="C17" s="9">
        <f>'a2'!E17/'a2'!E$8</f>
        <v>0.95405936642068034</v>
      </c>
      <c r="D17" s="7">
        <f>'a6'!H17</f>
        <v>6026.0954349808499</v>
      </c>
      <c r="E17" s="7">
        <f>'a5'!C17</f>
        <v>6607.0513223288981</v>
      </c>
      <c r="F17" s="7">
        <f>'a4'!H17</f>
        <v>1784.5731058428883</v>
      </c>
      <c r="G17" s="9">
        <f>'a3'!B13/'a3'!B$4</f>
        <v>1.0363691776794883</v>
      </c>
      <c r="H17" s="7">
        <f t="shared" si="0"/>
        <v>26041.674838649389</v>
      </c>
      <c r="I17" s="114">
        <f t="shared" si="1"/>
        <v>0.24956313042265793</v>
      </c>
      <c r="J17" s="11">
        <f t="shared" si="33"/>
        <v>10.16745341217468</v>
      </c>
      <c r="K17" s="114">
        <f t="shared" si="2"/>
        <v>0.31453377627592888</v>
      </c>
      <c r="L17" s="7">
        <f>'a1'!M17</f>
        <v>10284.047003685329</v>
      </c>
      <c r="M17" s="9">
        <f>'a2'!I17/'a2'!$E$8</f>
        <v>1.0892008052516395</v>
      </c>
      <c r="N17" s="7">
        <f>'a6'!O17</f>
        <v>4628.0055334829804</v>
      </c>
      <c r="O17" s="7">
        <f>'a5'!E17</f>
        <v>7177.2819082878113</v>
      </c>
      <c r="P17" s="7">
        <f>'a4'!L17</f>
        <v>1226.2222554750126</v>
      </c>
      <c r="Q17" s="9">
        <f>'a3'!C13/'a3'!B$4</f>
        <v>1.0308565756705548</v>
      </c>
      <c r="R17" s="7">
        <f t="shared" si="3"/>
        <v>22452.527797831397</v>
      </c>
      <c r="S17" s="114">
        <f t="shared" si="4"/>
        <v>0.13921200840914363</v>
      </c>
      <c r="T17" s="11">
        <f t="shared" si="34"/>
        <v>10.019158483617222</v>
      </c>
      <c r="U17" s="114">
        <f t="shared" si="5"/>
        <v>0.16719785286766153</v>
      </c>
      <c r="V17" s="7">
        <f>'a1'!S17</f>
        <v>12873.246286906253</v>
      </c>
      <c r="W17" s="9">
        <f>'a2'!M17/'a2'!$E$8</f>
        <v>1.0125075484570327</v>
      </c>
      <c r="X17" s="7">
        <f>'a6'!V17</f>
        <v>6085.4561465868082</v>
      </c>
      <c r="Y17" s="7">
        <f>'a5'!G17</f>
        <v>8476.6149331685647</v>
      </c>
      <c r="Z17" s="7">
        <f>'a4'!N17</f>
        <v>1534.9464166741686</v>
      </c>
      <c r="AA17" s="9">
        <f>'a3'!D13/'a3'!$B$4</f>
        <v>1.046016231195122</v>
      </c>
      <c r="AB17" s="7">
        <f t="shared" si="6"/>
        <v>27260.630359403396</v>
      </c>
      <c r="AC17" s="114">
        <f t="shared" si="7"/>
        <v>0.28704086757580499</v>
      </c>
      <c r="AD17" s="11">
        <f t="shared" si="35"/>
        <v>10.213198828952478</v>
      </c>
      <c r="AE17" s="114">
        <f t="shared" si="8"/>
        <v>0.35998336304343242</v>
      </c>
      <c r="AF17" s="7">
        <f>'a1'!Y17</f>
        <v>14077.740198187146</v>
      </c>
      <c r="AG17" s="9">
        <f>'a2'!Q17/'a2'!$E$8</f>
        <v>0.98882799385958997</v>
      </c>
      <c r="AH17" s="7">
        <f>'a6'!AC17</f>
        <v>7432.3885727810193</v>
      </c>
      <c r="AI17" s="7">
        <f>'a5'!I17</f>
        <v>7861.0942813390939</v>
      </c>
      <c r="AJ17" s="7">
        <f>'a4'!P17</f>
        <v>1678.5647062509761</v>
      </c>
      <c r="AK17" s="9">
        <f>'a3'!E13/'a3'!B$4</f>
        <v>1.0225876726571548</v>
      </c>
      <c r="AL17" s="7">
        <f t="shared" si="9"/>
        <v>28157.341935490174</v>
      </c>
      <c r="AM17" s="114">
        <f t="shared" si="10"/>
        <v>0.31461096359536805</v>
      </c>
      <c r="AN17" s="11">
        <f t="shared" si="36"/>
        <v>10.245563414321444</v>
      </c>
      <c r="AO17" s="114">
        <f t="shared" si="11"/>
        <v>0.39213865060078529</v>
      </c>
      <c r="AP17" s="7">
        <f>'a1'!AE17</f>
        <v>11546.013150231642</v>
      </c>
      <c r="AQ17" s="9">
        <f>'a2'!U17/'a2'!$E$8</f>
        <v>1.0087597950967158</v>
      </c>
      <c r="AR17" s="7">
        <f>'a6'!AJ17</f>
        <v>5386.9351307482266</v>
      </c>
      <c r="AS17" s="7">
        <f>'a5'!K17</f>
        <v>6794.7750193833353</v>
      </c>
      <c r="AT17" s="7">
        <f>'a4'!R17</f>
        <v>1376.6932688802017</v>
      </c>
      <c r="AU17" s="9">
        <f>'a3'!F13/'a3'!B$4</f>
        <v>1.0267221241638549</v>
      </c>
      <c r="AV17" s="7">
        <f t="shared" si="12"/>
        <v>23052.140435148427</v>
      </c>
      <c r="AW17" s="114">
        <f t="shared" si="13"/>
        <v>0.15764756609148828</v>
      </c>
      <c r="AX17" s="11">
        <f t="shared" si="37"/>
        <v>10.04551390464057</v>
      </c>
      <c r="AY17" s="114">
        <f t="shared" si="14"/>
        <v>0.19338283660959807</v>
      </c>
      <c r="AZ17" s="7">
        <f>'a1'!AK17</f>
        <v>13046.710796695768</v>
      </c>
      <c r="BA17" s="9">
        <f>'a2'!Y17/'a2'!$E$8</f>
        <v>0.96279551413041697</v>
      </c>
      <c r="BB17" s="7">
        <f>'a6'!AQ17</f>
        <v>5947.1129553835563</v>
      </c>
      <c r="BC17" s="7">
        <f>'a5'!M17</f>
        <v>8986.2257913903268</v>
      </c>
      <c r="BD17" s="7">
        <f>'a4'!T17</f>
        <v>1555.6295234669267</v>
      </c>
      <c r="BE17" s="9">
        <f>'a3'!G13/'a3'!B$4</f>
        <v>1.0267221241638549</v>
      </c>
      <c r="BF17" s="7">
        <f t="shared" si="15"/>
        <v>26632.169668598821</v>
      </c>
      <c r="BG17" s="114">
        <f t="shared" si="16"/>
        <v>0.26771835401395672</v>
      </c>
      <c r="BH17" s="11">
        <f t="shared" si="38"/>
        <v>10.189875150089133</v>
      </c>
      <c r="BI17" s="114">
        <f t="shared" si="17"/>
        <v>0.3368105155560861</v>
      </c>
      <c r="BJ17" s="7">
        <f>'a1'!AQ17</f>
        <v>15664.924088313655</v>
      </c>
      <c r="BK17" s="9">
        <f>'a2'!AC17/'a2'!$E$8</f>
        <v>0.94861869837977819</v>
      </c>
      <c r="BL17" s="7">
        <f>'a6'!AX17</f>
        <v>5478.8520971848102</v>
      </c>
      <c r="BM17" s="7">
        <f>'a5'!O17</f>
        <v>9888.8485180695152</v>
      </c>
      <c r="BN17" s="7">
        <f>'a4'!V17</f>
        <v>1867.8131809912304</v>
      </c>
      <c r="BO17" s="9">
        <f>'a3'!H13/'a3'!B$4</f>
        <v>1.0405036291861884</v>
      </c>
      <c r="BP17" s="7">
        <f t="shared" si="18"/>
        <v>29508.607313585864</v>
      </c>
      <c r="BQ17" s="114">
        <f t="shared" si="19"/>
        <v>0.35615667039285021</v>
      </c>
      <c r="BR17" s="11">
        <f t="shared" si="39"/>
        <v>10.292437273112242</v>
      </c>
      <c r="BS17" s="114">
        <f t="shared" si="20"/>
        <v>0.43870938188493103</v>
      </c>
      <c r="BT17" s="7">
        <f>'a1'!AW17</f>
        <v>14141.904977301969</v>
      </c>
      <c r="BU17" s="9">
        <f>'a2'!AG17/'a2'!$E$8</f>
        <v>0.95233048621893979</v>
      </c>
      <c r="BV17" s="7">
        <f>'a6'!BE17</f>
        <v>5637.6840878708272</v>
      </c>
      <c r="BW17" s="7">
        <f>'a5'!Q17</f>
        <v>9007.3482868277351</v>
      </c>
      <c r="BX17" s="7">
        <f>'a4'!X17</f>
        <v>1686.2154180903947</v>
      </c>
      <c r="BY17" s="9">
        <f>'a3'!I13/'a3'!B$4</f>
        <v>1.0391254786839552</v>
      </c>
      <c r="BZ17" s="7">
        <f t="shared" si="21"/>
        <v>27460.536956499469</v>
      </c>
      <c r="CA17" s="114">
        <f t="shared" si="22"/>
        <v>0.29318715164736187</v>
      </c>
      <c r="CB17" s="11">
        <f t="shared" si="40"/>
        <v>10.220505233264047</v>
      </c>
      <c r="CC17" s="114">
        <f t="shared" si="23"/>
        <v>0.36724251773274502</v>
      </c>
      <c r="CD17" s="7">
        <f>'a1'!BC17</f>
        <v>13327.975520065034</v>
      </c>
      <c r="CE17" s="9">
        <f>'a2'!AK17/'a2'!$E$8</f>
        <v>0.95715929598134197</v>
      </c>
      <c r="CF17" s="7">
        <f>'a6'!BL17</f>
        <v>6012.4665376059538</v>
      </c>
      <c r="CG17" s="7">
        <f>'a5'!S17</f>
        <v>9722.4312525204878</v>
      </c>
      <c r="CH17" s="7">
        <f>'a4'!Z17</f>
        <v>1589.166229721947</v>
      </c>
      <c r="CI17" s="9">
        <f>'a3'!J13/'a3'!B$4</f>
        <v>1.046016231195122</v>
      </c>
      <c r="CJ17" s="7">
        <f t="shared" si="24"/>
        <v>28140.689341859561</v>
      </c>
      <c r="CK17" s="114">
        <f t="shared" si="25"/>
        <v>0.31409896663044168</v>
      </c>
      <c r="CL17" s="11">
        <f t="shared" si="41"/>
        <v>10.244971827236125</v>
      </c>
      <c r="CM17" s="114">
        <f t="shared" si="26"/>
        <v>0.39155088923672682</v>
      </c>
      <c r="CN17" s="7">
        <f>'a1'!BI17</f>
        <v>17154.618183869425</v>
      </c>
      <c r="CO17" s="9">
        <f>'a2'!AO17/'a2'!$E$8</f>
        <v>0.92809462949063326</v>
      </c>
      <c r="CP17" s="7">
        <f>'a6'!BS17</f>
        <v>6505.2582039352001</v>
      </c>
      <c r="CQ17" s="7">
        <f>'a5'!U17</f>
        <v>11957.318263111774</v>
      </c>
      <c r="CR17" s="7">
        <f>'a4'!AB17</f>
        <v>2045.4374230007818</v>
      </c>
      <c r="CS17" s="9">
        <f>'a3'!K13/'a3'!B$4</f>
        <v>1.0349910271772549</v>
      </c>
      <c r="CT17" s="7">
        <f t="shared" si="27"/>
        <v>33469.796567891135</v>
      </c>
      <c r="CU17" s="114">
        <f t="shared" si="28"/>
        <v>0.47794652011180722</v>
      </c>
      <c r="CV17" s="11">
        <f t="shared" si="42"/>
        <v>10.418398716143612</v>
      </c>
      <c r="CW17" s="114">
        <f t="shared" si="29"/>
        <v>0.56385624768401343</v>
      </c>
      <c r="CX17" s="7">
        <f>'a1'!BO17</f>
        <v>17416.860881626479</v>
      </c>
      <c r="CY17" s="9">
        <f>'a2'!AS17/'a2'!$E$8</f>
        <v>0.91496922397264946</v>
      </c>
      <c r="CZ17" s="7">
        <f>'a6'!BZ17</f>
        <v>6236.060027881419</v>
      </c>
      <c r="DA17" s="7">
        <f>'a5'!W17</f>
        <v>11287.075584827076</v>
      </c>
      <c r="DB17" s="7">
        <f>'a4'!AD17</f>
        <v>2076.7060307979136</v>
      </c>
      <c r="DC17" s="9">
        <f>'a3'!L13/'a3'!B$4</f>
        <v>1.0473943816973552</v>
      </c>
      <c r="DD17" s="7">
        <f t="shared" si="30"/>
        <v>32869.666979480273</v>
      </c>
      <c r="DE17" s="114">
        <f t="shared" si="31"/>
        <v>0.45949506836533488</v>
      </c>
      <c r="DF17" s="11">
        <f t="shared" si="43"/>
        <v>10.400305535164296</v>
      </c>
      <c r="DG17" s="44">
        <f t="shared" si="32"/>
        <v>0.54588007309118203</v>
      </c>
    </row>
    <row r="18" spans="1:111" hidden="1">
      <c r="B18" s="7"/>
      <c r="C18" s="9" t="s">
        <v>351</v>
      </c>
      <c r="D18" s="7"/>
      <c r="E18" s="7"/>
      <c r="F18" s="7"/>
      <c r="G18" s="9" t="s">
        <v>351</v>
      </c>
      <c r="H18" s="7"/>
      <c r="I18" s="114"/>
      <c r="J18" s="11"/>
      <c r="K18" s="114"/>
      <c r="L18" s="7"/>
      <c r="M18" s="9" t="s">
        <v>351</v>
      </c>
      <c r="N18" s="7"/>
      <c r="O18" s="7"/>
      <c r="P18" s="7"/>
      <c r="Q18" s="9" t="s">
        <v>351</v>
      </c>
      <c r="R18" s="7"/>
      <c r="S18" s="114"/>
      <c r="T18" s="11"/>
      <c r="U18" s="114"/>
      <c r="V18" s="7"/>
      <c r="W18" s="9" t="s">
        <v>351</v>
      </c>
      <c r="X18" s="7"/>
      <c r="Y18" s="7"/>
      <c r="Z18" s="7"/>
      <c r="AA18" s="9" t="s">
        <v>351</v>
      </c>
      <c r="AB18" s="7"/>
      <c r="AC18" s="114"/>
      <c r="AD18" s="11"/>
      <c r="AE18" s="114"/>
      <c r="AF18" s="7"/>
      <c r="AG18" s="9" t="s">
        <v>351</v>
      </c>
      <c r="AH18" s="7"/>
      <c r="AI18" s="7"/>
      <c r="AJ18" s="7"/>
      <c r="AK18" s="9" t="s">
        <v>351</v>
      </c>
      <c r="AL18" s="7"/>
      <c r="AM18" s="114"/>
      <c r="AN18" s="11"/>
      <c r="AO18" s="114"/>
      <c r="AP18" s="7"/>
      <c r="AQ18" s="9" t="s">
        <v>351</v>
      </c>
      <c r="AR18" s="7"/>
      <c r="AS18" s="7"/>
      <c r="AT18" s="7"/>
      <c r="AU18" s="9" t="s">
        <v>351</v>
      </c>
      <c r="AV18" s="7"/>
      <c r="AW18" s="114"/>
      <c r="AX18" s="11"/>
      <c r="AY18" s="114"/>
      <c r="AZ18" s="7"/>
      <c r="BA18" s="9" t="s">
        <v>351</v>
      </c>
      <c r="BB18" s="7"/>
      <c r="BC18" s="7"/>
      <c r="BD18" s="7"/>
      <c r="BE18" s="9" t="s">
        <v>351</v>
      </c>
      <c r="BF18" s="7"/>
      <c r="BG18" s="114"/>
      <c r="BH18" s="11"/>
      <c r="BI18" s="114"/>
      <c r="BJ18" s="7"/>
      <c r="BK18" s="9" t="s">
        <v>351</v>
      </c>
      <c r="BL18" s="7"/>
      <c r="BM18" s="7"/>
      <c r="BN18" s="7"/>
      <c r="BO18" s="9" t="s">
        <v>351</v>
      </c>
      <c r="BP18" s="7"/>
      <c r="BQ18" s="114"/>
      <c r="BR18" s="11"/>
      <c r="BS18" s="114"/>
      <c r="BT18" s="7"/>
      <c r="BU18" s="9" t="s">
        <v>351</v>
      </c>
      <c r="BV18" s="7"/>
      <c r="BW18" s="7"/>
      <c r="BX18" s="7"/>
      <c r="BY18" s="9" t="s">
        <v>351</v>
      </c>
      <c r="BZ18" s="7"/>
      <c r="CA18" s="114"/>
      <c r="CB18" s="11"/>
      <c r="CC18" s="114"/>
      <c r="CD18" s="7"/>
      <c r="CE18" s="9" t="s">
        <v>351</v>
      </c>
      <c r="CF18" s="7"/>
      <c r="CG18" s="7"/>
      <c r="CH18" s="7"/>
      <c r="CI18" s="9" t="s">
        <v>351</v>
      </c>
      <c r="CJ18" s="7"/>
      <c r="CK18" s="114"/>
      <c r="CL18" s="11"/>
      <c r="CM18" s="114"/>
      <c r="CN18" s="7"/>
      <c r="CO18" s="9" t="s">
        <v>351</v>
      </c>
      <c r="CP18" s="7"/>
      <c r="CQ18" s="7"/>
      <c r="CR18" s="7"/>
      <c r="CS18" s="9" t="s">
        <v>351</v>
      </c>
      <c r="CT18" s="7"/>
      <c r="CU18" s="114"/>
      <c r="CV18" s="11"/>
      <c r="CW18" s="114"/>
      <c r="CX18" s="7"/>
      <c r="CY18" s="9" t="s">
        <v>351</v>
      </c>
      <c r="CZ18" s="7"/>
      <c r="DA18" s="7"/>
      <c r="DB18" s="7"/>
      <c r="DC18" s="9" t="s">
        <v>351</v>
      </c>
      <c r="DD18" s="7"/>
      <c r="DE18" s="114"/>
      <c r="DF18" s="11"/>
      <c r="DG18" s="114"/>
    </row>
    <row r="19" spans="1:111">
      <c r="A19" s="1">
        <v>1981</v>
      </c>
      <c r="B19" s="7">
        <f>'a1'!G19</f>
        <v>14849.083890899707</v>
      </c>
      <c r="C19" s="9">
        <f>'a2'!E19/'a2'!E$19</f>
        <v>1</v>
      </c>
      <c r="D19" s="7">
        <f>'a6'!H19</f>
        <v>6046.2166026798013</v>
      </c>
      <c r="E19" s="7">
        <f>'a5'!C19</f>
        <v>7405.6692300550103</v>
      </c>
      <c r="F19" s="7">
        <f>'a4'!H19</f>
        <v>1756.5556117178382</v>
      </c>
      <c r="G19" s="9">
        <f>'a3'!B15/'a3'!B$15</f>
        <v>1</v>
      </c>
      <c r="H19" s="7">
        <f t="shared" si="0"/>
        <v>26544.414111916678</v>
      </c>
      <c r="I19" s="114">
        <f t="shared" ref="I19:I45" si="44">(H19-D$61)/D$62</f>
        <v>0.26502024105489891</v>
      </c>
      <c r="J19" s="11">
        <f t="shared" si="33"/>
        <v>10.18657461326983</v>
      </c>
      <c r="K19" s="114">
        <f t="shared" ref="K19:K46" si="45">(J19-$G$61)/$G$62</f>
        <v>0.33353132290435233</v>
      </c>
      <c r="L19" s="7">
        <f>'a1'!M19</f>
        <v>10170.31054993725</v>
      </c>
      <c r="M19" s="9">
        <f>'a2'!I19/'a2'!$E$19</f>
        <v>1.1430710905282153</v>
      </c>
      <c r="N19" s="7">
        <f>'a6'!O19</f>
        <v>4605.3130806645977</v>
      </c>
      <c r="O19" s="7">
        <f>'a5'!E19</f>
        <v>5607.4699906570313</v>
      </c>
      <c r="P19" s="7">
        <f>'a4'!L19</f>
        <v>1203.0854024842463</v>
      </c>
      <c r="Q19" s="9">
        <f>'a3'!C15/'a3'!B$15</f>
        <v>1</v>
      </c>
      <c r="R19" s="7">
        <f t="shared" si="3"/>
        <v>20635.085640164769</v>
      </c>
      <c r="S19" s="114">
        <f t="shared" ref="S19:S46" si="46">(R19-D$61)/D$62</f>
        <v>8.3333333333333315E-2</v>
      </c>
      <c r="T19" s="11">
        <f t="shared" si="34"/>
        <v>9.9347480924162461</v>
      </c>
      <c r="U19" s="114">
        <f t="shared" ref="U19:U44" si="47">(T19-$G$61)/$G$62</f>
        <v>8.3333333333332898E-2</v>
      </c>
      <c r="V19" s="7">
        <f>'a1'!S19</f>
        <v>11873.639225906711</v>
      </c>
      <c r="W19" s="9">
        <f>'a2'!M19/'a2'!$E$19</f>
        <v>1.0529651814656009</v>
      </c>
      <c r="X19" s="7">
        <f>'a6'!V19</f>
        <v>6176.3091514801354</v>
      </c>
      <c r="Y19" s="7">
        <f>'a5'!G19</f>
        <v>6650.1434918201776</v>
      </c>
      <c r="Z19" s="7">
        <f>'a4'!N19</f>
        <v>1404.5787448585675</v>
      </c>
      <c r="AA19" s="9">
        <f>'a3'!D15/'a3'!$B$15</f>
        <v>1.0145502645502646</v>
      </c>
      <c r="AB19" s="7">
        <f t="shared" si="6"/>
        <v>24272.508967360529</v>
      </c>
      <c r="AC19" s="114">
        <f t="shared" ref="AC19:AC46" si="48">(AB19-D$61)/D$62</f>
        <v>0.19516874738276771</v>
      </c>
      <c r="AD19" s="11">
        <f t="shared" si="35"/>
        <v>10.097099670689511</v>
      </c>
      <c r="AE19" s="114">
        <f t="shared" ref="AE19:AE44" si="49">(AD19-$G$61)/$G$62</f>
        <v>0.24463500382446471</v>
      </c>
      <c r="AF19" s="7">
        <f>'a1'!Y19</f>
        <v>12968.038452585244</v>
      </c>
      <c r="AG19" s="9">
        <f>'a2'!Q19/'a2'!$E$19</f>
        <v>1.0343307438728382</v>
      </c>
      <c r="AH19" s="7">
        <f>'a6'!AC19</f>
        <v>7622.7686644742216</v>
      </c>
      <c r="AI19" s="7">
        <f>'a5'!I19</f>
        <v>6244.8985603270603</v>
      </c>
      <c r="AJ19" s="7">
        <f>'a4'!P19</f>
        <v>1534.0394656145443</v>
      </c>
      <c r="AK19" s="9">
        <f>'a3'!E15/'a3'!B$15</f>
        <v>0.98677248677248675</v>
      </c>
      <c r="AL19" s="7">
        <f t="shared" si="9"/>
        <v>25406.301573203596</v>
      </c>
      <c r="AM19" s="114">
        <f t="shared" ref="AM19:AM46" si="50">(AL19-D$61)/D$62</f>
        <v>0.23002808436799582</v>
      </c>
      <c r="AN19" s="11">
        <f t="shared" si="36"/>
        <v>10.142752515669754</v>
      </c>
      <c r="AO19" s="114">
        <f t="shared" ref="AO19:AO44" si="51">(AN19-$G$61)/$G$62</f>
        <v>0.28999261744489518</v>
      </c>
      <c r="AP19" s="7">
        <f>'a1'!AE19</f>
        <v>11328.665785249377</v>
      </c>
      <c r="AQ19" s="9">
        <f>'a2'!U19/'a2'!$E$19</f>
        <v>1.0539303327369713</v>
      </c>
      <c r="AR19" s="7">
        <f>'a6'!AJ19</f>
        <v>5438.644354706862</v>
      </c>
      <c r="AS19" s="7">
        <f>'a5'!K19</f>
        <v>5175.5265219425555</v>
      </c>
      <c r="AT19" s="7">
        <f>'a4'!R19</f>
        <v>1340.1117270642585</v>
      </c>
      <c r="AU19" s="9">
        <f>'a3'!F15/'a3'!B$15</f>
        <v>0.99338624338624337</v>
      </c>
      <c r="AV19" s="7">
        <f t="shared" si="12"/>
        <v>21073.381509555998</v>
      </c>
      <c r="AW19" s="114">
        <f t="shared" ref="AW19:AW46" si="52">(AV19-D$61)/D$62</f>
        <v>9.6809081306642272E-2</v>
      </c>
      <c r="AX19" s="11">
        <f t="shared" si="37"/>
        <v>9.9557659832214416</v>
      </c>
      <c r="AY19" s="114">
        <f t="shared" ref="AY19:AY44" si="53">(AX19-$G$61)/$G$62</f>
        <v>0.10421530401163399</v>
      </c>
      <c r="AZ19" s="7">
        <f>'a1'!AK19</f>
        <v>12937.272336127451</v>
      </c>
      <c r="BA19" s="9">
        <f>'a2'!Y19/'a2'!$E$19</f>
        <v>1.0047907372481997</v>
      </c>
      <c r="BB19" s="7">
        <f>'a6'!AQ19</f>
        <v>5860.4368595912865</v>
      </c>
      <c r="BC19" s="7">
        <f>'a5'!M19</f>
        <v>6873.7683204067043</v>
      </c>
      <c r="BD19" s="7">
        <f>'a4'!T19</f>
        <v>1530.4000226083788</v>
      </c>
      <c r="BE19" s="9">
        <f>'a3'!G15/'a3'!B$15</f>
        <v>0.99338624338624337</v>
      </c>
      <c r="BF19" s="7">
        <f t="shared" si="15"/>
        <v>24042.983440551423</v>
      </c>
      <c r="BG19" s="114">
        <f t="shared" ref="BG19:BG46" si="54">(BF19-D$61)/D$62</f>
        <v>0.188111806241578</v>
      </c>
      <c r="BH19" s="11">
        <f t="shared" si="38"/>
        <v>10.087598484133316</v>
      </c>
      <c r="BI19" s="114">
        <f t="shared" ref="BI19:BI44" si="55">(BH19-$G$61)/$G$62</f>
        <v>0.23519526027862409</v>
      </c>
      <c r="BJ19" s="7">
        <f>'a1'!AQ19</f>
        <v>15700.239415742975</v>
      </c>
      <c r="BK19" s="9">
        <f>'a2'!AC19/'a2'!$E$19</f>
        <v>0.99697695538492836</v>
      </c>
      <c r="BL19" s="7">
        <f>'a6'!AX19</f>
        <v>5572.6743321766908</v>
      </c>
      <c r="BM19" s="7">
        <f>'a5'!O19</f>
        <v>7476.8302804719742</v>
      </c>
      <c r="BN19" s="7">
        <f>'a4'!V19</f>
        <v>1857.2420934289669</v>
      </c>
      <c r="BO19" s="9">
        <f>'a3'!H15/'a3'!B$15</f>
        <v>1.0039682539682542</v>
      </c>
      <c r="BP19" s="7">
        <f t="shared" si="18"/>
        <v>26951.567344911193</v>
      </c>
      <c r="BQ19" s="114">
        <f t="shared" ref="BQ19:BQ46" si="56">(BP19-D$61)/D$62</f>
        <v>0.27753848440949125</v>
      </c>
      <c r="BR19" s="11">
        <f t="shared" si="39"/>
        <v>10.20179673215668</v>
      </c>
      <c r="BS19" s="114">
        <f t="shared" ref="BS19:BS44" si="57">(BR19-$G$61)/$G$62</f>
        <v>0.34865500221180429</v>
      </c>
      <c r="BT19" s="7">
        <f>'a1'!AW19</f>
        <v>14411.734883563728</v>
      </c>
      <c r="BU19" s="9">
        <f>'a2'!AG19/'a2'!$E$19</f>
        <v>0.9987012951012314</v>
      </c>
      <c r="BV19" s="7">
        <f>'a6'!BE19</f>
        <v>5813.3953814901361</v>
      </c>
      <c r="BW19" s="7">
        <f>'a5'!Q19</f>
        <v>6503.5260443061579</v>
      </c>
      <c r="BX19" s="7">
        <f>'a4'!X19</f>
        <v>1704.8199047368812</v>
      </c>
      <c r="BY19" s="9">
        <f>'a3'!I15/'a3'!B$15</f>
        <v>0.99470899470899488</v>
      </c>
      <c r="BZ19" s="7">
        <f t="shared" si="21"/>
        <v>24872.81759269238</v>
      </c>
      <c r="CA19" s="114">
        <f t="shared" ref="CA19:CA46" si="58">(BZ19-D$61)/D$62</f>
        <v>0.21362570375886047</v>
      </c>
      <c r="CB19" s="11">
        <f t="shared" si="40"/>
        <v>10.121530823210716</v>
      </c>
      <c r="CC19" s="114">
        <f t="shared" ref="CC19:CC44" si="59">(CB19-$G$61)/$G$62</f>
        <v>0.26890816307309789</v>
      </c>
      <c r="CD19" s="7">
        <f>'a1'!BC19</f>
        <v>13641.688162753302</v>
      </c>
      <c r="CE19" s="9">
        <f>'a2'!AK19/'a2'!$E$19</f>
        <v>0.9986259307970643</v>
      </c>
      <c r="CF19" s="7">
        <f>'a6'!BL19</f>
        <v>6130.006878402467</v>
      </c>
      <c r="CG19" s="7">
        <f>'a5'!S19</f>
        <v>7335.3930197679529</v>
      </c>
      <c r="CH19" s="7">
        <f>'a4'!Z19</f>
        <v>1613.7280974131018</v>
      </c>
      <c r="CI19" s="9">
        <f>'a3'!J15/'a3'!B$15</f>
        <v>1.0092592592592593</v>
      </c>
      <c r="CJ19" s="7">
        <f t="shared" si="24"/>
        <v>25710.491407892445</v>
      </c>
      <c r="CK19" s="114">
        <f t="shared" ref="CK19:CK46" si="60">(CJ19-D$61)/D$62</f>
        <v>0.23938063782464369</v>
      </c>
      <c r="CL19" s="11">
        <f t="shared" si="41"/>
        <v>10.154654413569785</v>
      </c>
      <c r="CM19" s="114">
        <f t="shared" ref="CM19:CM44" si="61">(CL19-$G$61)/$G$62</f>
        <v>0.30181754722819948</v>
      </c>
      <c r="CN19" s="7">
        <f>'a1'!BI19</f>
        <v>17319.597888179673</v>
      </c>
      <c r="CO19" s="9">
        <f>'a2'!AO19/'a2'!$E$19</f>
        <v>0.97376537470010749</v>
      </c>
      <c r="CP19" s="7">
        <f>'a6'!BS19</f>
        <v>7187.3692123827086</v>
      </c>
      <c r="CQ19" s="7">
        <f>'a5'!U19</f>
        <v>9016.01433458459</v>
      </c>
      <c r="CR19" s="7">
        <f>'a4'!AB19</f>
        <v>2048.8022753931054</v>
      </c>
      <c r="CS19" s="9">
        <f>'a3'!K15/'a3'!B$15</f>
        <v>0.99867724867724872</v>
      </c>
      <c r="CT19" s="7">
        <f t="shared" si="27"/>
        <v>30978.774509396244</v>
      </c>
      <c r="CU19" s="114">
        <f t="shared" ref="CU19:CU46" si="62">(CT19-D$61)/D$62</f>
        <v>0.40135810621035933</v>
      </c>
      <c r="CV19" s="11">
        <f t="shared" si="42"/>
        <v>10.341057555712529</v>
      </c>
      <c r="CW19" s="114">
        <f t="shared" ref="CW19:CW44" si="63">(CV19-$G$61)/$G$62</f>
        <v>0.48701524306958188</v>
      </c>
      <c r="CX19" s="7">
        <f>'a1'!BO19</f>
        <v>17371.304604398705</v>
      </c>
      <c r="CY19" s="9">
        <f>'a2'!AS19/'a2'!$E$19</f>
        <v>0.96275399350911173</v>
      </c>
      <c r="CZ19" s="7">
        <f>'a6'!BZ19</f>
        <v>6432.8558215638413</v>
      </c>
      <c r="DA19" s="7">
        <f>'a5'!W19</f>
        <v>8544.8484172303033</v>
      </c>
      <c r="DB19" s="7">
        <f>'a4'!AD19</f>
        <v>2054.9188630025074</v>
      </c>
      <c r="DC19" s="9">
        <f>'a3'!L15/'a3'!B$15</f>
        <v>1.0079365079365081</v>
      </c>
      <c r="DD19" s="7">
        <f t="shared" si="30"/>
        <v>29882.372528013842</v>
      </c>
      <c r="DE19" s="114">
        <f t="shared" ref="DE19:DE46" si="64">(DD19-D$61)/D$62</f>
        <v>0.36764837310457554</v>
      </c>
      <c r="DF19" s="11">
        <f t="shared" si="43"/>
        <v>10.305024037969218</v>
      </c>
      <c r="DG19" s="44">
        <f t="shared" ref="DG19:DG44" si="65">(DF19-$G$61)/$G$62</f>
        <v>0.451214749674409</v>
      </c>
    </row>
    <row r="20" spans="1:111">
      <c r="A20" s="1">
        <v>1982</v>
      </c>
      <c r="B20" s="7">
        <f>'a1'!G20</f>
        <v>14311.933355581265</v>
      </c>
      <c r="C20" s="9">
        <f>'a2'!E20/'a2'!E$19</f>
        <v>0.99694549891319173</v>
      </c>
      <c r="D20" s="7">
        <f>'a6'!H20</f>
        <v>6138.4499318862509</v>
      </c>
      <c r="E20" s="7">
        <f>'a5'!C20</f>
        <v>7110.781754250771</v>
      </c>
      <c r="F20" s="7">
        <f>'a4'!H20</f>
        <v>1699.3679735880385</v>
      </c>
      <c r="G20" s="9">
        <f>'a3'!B16/'a3'!B$15</f>
        <v>1.0026455026455028</v>
      </c>
      <c r="H20" s="7">
        <f t="shared" si="0"/>
        <v>25886.383054395639</v>
      </c>
      <c r="I20" s="114">
        <f t="shared" si="44"/>
        <v>0.24478856353058198</v>
      </c>
      <c r="J20" s="11">
        <f t="shared" si="33"/>
        <v>10.161472358636683</v>
      </c>
      <c r="K20" s="114">
        <f t="shared" si="45"/>
        <v>0.30859140147898034</v>
      </c>
      <c r="L20" s="7">
        <f>'a1'!M20</f>
        <v>10115.110797410225</v>
      </c>
      <c r="M20" s="9">
        <f>'a2'!I20/'a2'!$E$19</f>
        <v>1.1311474326636417</v>
      </c>
      <c r="N20" s="7">
        <f>'a6'!O20</f>
        <v>4977.3929892607521</v>
      </c>
      <c r="O20" s="7">
        <f>'a5'!E20</f>
        <v>5634.2294422750001</v>
      </c>
      <c r="P20" s="7">
        <f>'a4'!L20</f>
        <v>1201.0463514148594</v>
      </c>
      <c r="Q20" s="9">
        <f>'a3'!C16/'a3'!B$15</f>
        <v>0.99603174603174605</v>
      </c>
      <c r="R20" s="7">
        <f t="shared" si="3"/>
        <v>20769.510635395465</v>
      </c>
      <c r="S20" s="114">
        <f t="shared" si="46"/>
        <v>8.7466334539934174E-2</v>
      </c>
      <c r="T20" s="11">
        <f t="shared" si="34"/>
        <v>9.9412413554657473</v>
      </c>
      <c r="U20" s="114">
        <f t="shared" si="47"/>
        <v>8.9784605245577381E-2</v>
      </c>
      <c r="V20" s="7">
        <f>'a1'!S20</f>
        <v>11700.165064569375</v>
      </c>
      <c r="W20" s="9">
        <f>'a2'!M20/'a2'!$E$19</f>
        <v>1.0405101316577849</v>
      </c>
      <c r="X20" s="7">
        <f>'a6'!V20</f>
        <v>6100.5306417482361</v>
      </c>
      <c r="Y20" s="7">
        <f>'a5'!G20</f>
        <v>6430.8854145795649</v>
      </c>
      <c r="Z20" s="7">
        <f>'a4'!N20</f>
        <v>1389.2522626000796</v>
      </c>
      <c r="AA20" s="9">
        <f>'a3'!D16/'a3'!$B$15</f>
        <v>1.0198412698412698</v>
      </c>
      <c r="AB20" s="7">
        <f t="shared" si="6"/>
        <v>23778.929166541737</v>
      </c>
      <c r="AC20" s="114">
        <f t="shared" si="48"/>
        <v>0.17999325186694534</v>
      </c>
      <c r="AD20" s="11">
        <f t="shared" si="35"/>
        <v>10.076555138387361</v>
      </c>
      <c r="AE20" s="114">
        <f t="shared" si="49"/>
        <v>0.22422333049771684</v>
      </c>
      <c r="AF20" s="7">
        <f>'a1'!Y20</f>
        <v>12708.401723788704</v>
      </c>
      <c r="AG20" s="9">
        <f>'a2'!Q20/'a2'!$E$19</f>
        <v>1.0264277074009633</v>
      </c>
      <c r="AH20" s="7">
        <f>'a6'!AC20</f>
        <v>7467.6219381363271</v>
      </c>
      <c r="AI20" s="7">
        <f>'a5'!I20</f>
        <v>6143.1312136044398</v>
      </c>
      <c r="AJ20" s="7">
        <f>'a4'!P20</f>
        <v>1508.9681001397057</v>
      </c>
      <c r="AK20" s="9">
        <f>'a3'!E16/'a3'!B$15</f>
        <v>0.99338624338624337</v>
      </c>
      <c r="AL20" s="7">
        <f t="shared" si="9"/>
        <v>24979.730904705877</v>
      </c>
      <c r="AM20" s="114">
        <f t="shared" si="50"/>
        <v>0.21691283683106291</v>
      </c>
      <c r="AN20" s="11">
        <f t="shared" si="36"/>
        <v>10.125820011191838</v>
      </c>
      <c r="AO20" s="114">
        <f t="shared" si="51"/>
        <v>0.27316961340061485</v>
      </c>
      <c r="AP20" s="7">
        <f>'a1'!AE20</f>
        <v>11176.651019072537</v>
      </c>
      <c r="AQ20" s="9">
        <f>'a2'!U20/'a2'!$E$19</f>
        <v>1.04359954256273</v>
      </c>
      <c r="AR20" s="7">
        <f>'a6'!AJ20</f>
        <v>5832.9515249408914</v>
      </c>
      <c r="AS20" s="7">
        <f>'a5'!K20</f>
        <v>5474.1565665718072</v>
      </c>
      <c r="AT20" s="7">
        <f>'a4'!R20</f>
        <v>1327.0913385280078</v>
      </c>
      <c r="AU20" s="9">
        <f>'a3'!F16/'a3'!B$15</f>
        <v>0.99603174603174605</v>
      </c>
      <c r="AV20" s="7">
        <f t="shared" si="12"/>
        <v>21558.07589528527</v>
      </c>
      <c r="AW20" s="114">
        <f t="shared" si="52"/>
        <v>0.1117113878130612</v>
      </c>
      <c r="AX20" s="11">
        <f t="shared" si="37"/>
        <v>9.9785057768514385</v>
      </c>
      <c r="AY20" s="114">
        <f t="shared" si="53"/>
        <v>0.12680804217995839</v>
      </c>
      <c r="AZ20" s="7">
        <f>'a1'!AK20</f>
        <v>12419.477706621143</v>
      </c>
      <c r="BA20" s="9">
        <f>'a2'!Y20/'a2'!$E$19</f>
        <v>0.99983769608248418</v>
      </c>
      <c r="BB20" s="7">
        <f>'a6'!AQ20</f>
        <v>5792.2137866091352</v>
      </c>
      <c r="BC20" s="7">
        <f>'a5'!M20</f>
        <v>6743.9467993855114</v>
      </c>
      <c r="BD20" s="7">
        <f>'a4'!T20</f>
        <v>1474.6618880175342</v>
      </c>
      <c r="BE20" s="9">
        <f>'a3'!G16/'a3'!B$15</f>
        <v>0.99735449735449755</v>
      </c>
      <c r="BF20" s="7">
        <f t="shared" si="15"/>
        <v>23416.847022134367</v>
      </c>
      <c r="BG20" s="114">
        <f t="shared" si="54"/>
        <v>0.1688607542450852</v>
      </c>
      <c r="BH20" s="11">
        <f t="shared" si="38"/>
        <v>10.061211000511078</v>
      </c>
      <c r="BI20" s="114">
        <f t="shared" si="55"/>
        <v>0.20897842128269906</v>
      </c>
      <c r="BJ20" s="7">
        <f>'a1'!AQ20</f>
        <v>15212.513317955654</v>
      </c>
      <c r="BK20" s="9">
        <f>'a2'!AC20/'a2'!$E$19</f>
        <v>0.99158301355322875</v>
      </c>
      <c r="BL20" s="7">
        <f>'a6'!AX20</f>
        <v>5727.6758910159087</v>
      </c>
      <c r="BM20" s="7">
        <f>'a5'!O20</f>
        <v>7191.7639375066237</v>
      </c>
      <c r="BN20" s="7">
        <f>'a4'!V20</f>
        <v>1806.3008880791012</v>
      </c>
      <c r="BO20" s="9">
        <f>'a3'!H16/'a3'!B$15</f>
        <v>1.0066137566137565</v>
      </c>
      <c r="BP20" s="7">
        <f t="shared" si="18"/>
        <v>26370.873348049176</v>
      </c>
      <c r="BQ20" s="114">
        <f t="shared" si="56"/>
        <v>0.25968459506712777</v>
      </c>
      <c r="BR20" s="11">
        <f t="shared" si="39"/>
        <v>10.180015397799638</v>
      </c>
      <c r="BS20" s="114">
        <f t="shared" si="57"/>
        <v>0.32701452507764778</v>
      </c>
      <c r="BT20" s="7">
        <f>'a1'!AW20</f>
        <v>14304.11088914912</v>
      </c>
      <c r="BU20" s="9">
        <f>'a2'!AG20/'a2'!$E$19</f>
        <v>0.99556960798377891</v>
      </c>
      <c r="BV20" s="7">
        <f>'a6'!BE20</f>
        <v>6084.9070716811984</v>
      </c>
      <c r="BW20" s="7">
        <f>'a5'!Q20</f>
        <v>6689.5631215944268</v>
      </c>
      <c r="BX20" s="7">
        <f>'a4'!X20</f>
        <v>1698.4391508637441</v>
      </c>
      <c r="BY20" s="9">
        <f>'a3'!I16/'a3'!B$15</f>
        <v>1.0039682539682542</v>
      </c>
      <c r="BZ20" s="7">
        <f t="shared" si="21"/>
        <v>25417.232482374129</v>
      </c>
      <c r="CA20" s="114">
        <f t="shared" si="58"/>
        <v>0.23036416368652973</v>
      </c>
      <c r="CB20" s="11">
        <f t="shared" si="40"/>
        <v>10.143182667155367</v>
      </c>
      <c r="CC20" s="114">
        <f t="shared" si="59"/>
        <v>0.29041998719350859</v>
      </c>
      <c r="CD20" s="7">
        <f>'a1'!BC20</f>
        <v>13454.53292275756</v>
      </c>
      <c r="CE20" s="9">
        <f>'a2'!AK20/'a2'!$E$19</f>
        <v>0.99724752708357978</v>
      </c>
      <c r="CF20" s="7">
        <f>'a6'!BL20</f>
        <v>6241.2154385472704</v>
      </c>
      <c r="CG20" s="7">
        <f>'a5'!S20</f>
        <v>6915.5243269156499</v>
      </c>
      <c r="CH20" s="7">
        <f>'a4'!Z20</f>
        <v>1597.5621029288575</v>
      </c>
      <c r="CI20" s="9">
        <f>'a3'!J16/'a3'!B$15</f>
        <v>1.0013227513227514</v>
      </c>
      <c r="CJ20" s="7">
        <f t="shared" si="24"/>
        <v>25009.715280818411</v>
      </c>
      <c r="CK20" s="114">
        <f t="shared" si="60"/>
        <v>0.21783472983496147</v>
      </c>
      <c r="CL20" s="11">
        <f t="shared" si="41"/>
        <v>10.127019639593286</v>
      </c>
      <c r="CM20" s="114">
        <f t="shared" si="61"/>
        <v>0.27436148395204529</v>
      </c>
      <c r="CN20" s="7">
        <f>'a1'!BI20</f>
        <v>16564.922249598811</v>
      </c>
      <c r="CO20" s="9">
        <f>'a2'!AO20/'a2'!$E$19</f>
        <v>0.98428274862449583</v>
      </c>
      <c r="CP20" s="7">
        <f>'a6'!BS20</f>
        <v>7414.0246871830477</v>
      </c>
      <c r="CQ20" s="7">
        <f>'a5'!U20</f>
        <v>8242.7850966959886</v>
      </c>
      <c r="CR20" s="7">
        <f>'a4'!AB20</f>
        <v>1966.8829959277618</v>
      </c>
      <c r="CS20" s="9">
        <f>'a3'!K16/'a3'!B$15</f>
        <v>1.0039682539682542</v>
      </c>
      <c r="CT20" s="7">
        <f t="shared" si="27"/>
        <v>30113.519760341187</v>
      </c>
      <c r="CU20" s="114">
        <f t="shared" si="62"/>
        <v>0.37475517484536675</v>
      </c>
      <c r="CV20" s="11">
        <f t="shared" si="42"/>
        <v>10.312729511367277</v>
      </c>
      <c r="CW20" s="114">
        <f t="shared" si="63"/>
        <v>0.45887039271928132</v>
      </c>
      <c r="CX20" s="7">
        <f>'a1'!BO20</f>
        <v>16132.727368171116</v>
      </c>
      <c r="CY20" s="9">
        <f>'a2'!AS20/'a2'!$E$19</f>
        <v>0.9635262509612087</v>
      </c>
      <c r="CZ20" s="7">
        <f>'a6'!BZ20</f>
        <v>6446.7495158791671</v>
      </c>
      <c r="DA20" s="7">
        <f>'a5'!W20</f>
        <v>7835.0081086582886</v>
      </c>
      <c r="DB20" s="7">
        <f>'a4'!AD20</f>
        <v>1915.5651116420245</v>
      </c>
      <c r="DC20" s="9">
        <f>'a3'!L16/'a3'!B$15</f>
        <v>1.0092592592592593</v>
      </c>
      <c r="DD20" s="7">
        <f t="shared" si="30"/>
        <v>28168.929376466866</v>
      </c>
      <c r="DE20" s="114">
        <f t="shared" si="64"/>
        <v>0.31496722849577508</v>
      </c>
      <c r="DF20" s="11">
        <f t="shared" si="43"/>
        <v>10.245974854342956</v>
      </c>
      <c r="DG20" s="44">
        <f t="shared" si="65"/>
        <v>0.39254742989004565</v>
      </c>
    </row>
    <row r="21" spans="1:111">
      <c r="A21" s="1">
        <v>1983</v>
      </c>
      <c r="B21" s="7">
        <f>'a1'!G21</f>
        <v>14573.776993872734</v>
      </c>
      <c r="C21" s="9">
        <f>'a2'!E21/'a2'!E$19</f>
        <v>0.99222117859127168</v>
      </c>
      <c r="D21" s="7">
        <f>'a6'!H21</f>
        <v>6160.4458929331195</v>
      </c>
      <c r="E21" s="7">
        <f>'a5'!C21</f>
        <v>7169.8099742335135</v>
      </c>
      <c r="F21" s="7">
        <f>'a4'!H21</f>
        <v>1760.7758431142558</v>
      </c>
      <c r="G21" s="9">
        <f>'a3'!B17/'a3'!B$15</f>
        <v>1.0066137566137565</v>
      </c>
      <c r="H21" s="7">
        <f t="shared" si="0"/>
        <v>26202.045567967176</v>
      </c>
      <c r="I21" s="114">
        <f t="shared" si="44"/>
        <v>0.25449385343764758</v>
      </c>
      <c r="J21" s="11">
        <f t="shared" si="33"/>
        <v>10.173592761814737</v>
      </c>
      <c r="K21" s="114">
        <f t="shared" si="45"/>
        <v>0.32063342349342272</v>
      </c>
      <c r="L21" s="7">
        <f>'a1'!M21</f>
        <v>10235.442810671933</v>
      </c>
      <c r="M21" s="9">
        <f>'a2'!I21/'a2'!$E$19</f>
        <v>1.1228978069124105</v>
      </c>
      <c r="N21" s="7">
        <f>'a6'!O21</f>
        <v>5325.8925233462451</v>
      </c>
      <c r="O21" s="7">
        <f>'a5'!E21</f>
        <v>5777.6442482284338</v>
      </c>
      <c r="P21" s="7">
        <f>'a4'!L21</f>
        <v>1236.6266103965886</v>
      </c>
      <c r="Q21" s="9">
        <f>'a3'!C17/'a3'!B$15</f>
        <v>0.99338624338624337</v>
      </c>
      <c r="R21" s="7">
        <f t="shared" si="3"/>
        <v>21218.994842579777</v>
      </c>
      <c r="S21" s="114">
        <f t="shared" si="46"/>
        <v>0.1012860766753356</v>
      </c>
      <c r="T21" s="11">
        <f t="shared" si="34"/>
        <v>9.962652042647365</v>
      </c>
      <c r="U21" s="114">
        <f t="shared" si="47"/>
        <v>0.11105683213421934</v>
      </c>
      <c r="V21" s="7">
        <f>'a1'!S21</f>
        <v>12142.092052884846</v>
      </c>
      <c r="W21" s="9">
        <f>'a2'!M21/'a2'!$E$19</f>
        <v>1.0468640538086087</v>
      </c>
      <c r="X21" s="7">
        <f>'a6'!V21</f>
        <v>6267.7484057835127</v>
      </c>
      <c r="Y21" s="7">
        <f>'a5'!G21</f>
        <v>6418.1370679539059</v>
      </c>
      <c r="Z21" s="7">
        <f>'a4'!N21</f>
        <v>1466.9843226349508</v>
      </c>
      <c r="AA21" s="9">
        <f>'a3'!D17/'a3'!$B$15</f>
        <v>1.0052910052910053</v>
      </c>
      <c r="AB21" s="7">
        <f t="shared" si="6"/>
        <v>24056.634726283228</v>
      </c>
      <c r="AC21" s="114">
        <f t="shared" si="48"/>
        <v>0.18853152565688744</v>
      </c>
      <c r="AD21" s="11">
        <f t="shared" si="35"/>
        <v>10.088166109682899</v>
      </c>
      <c r="AE21" s="114">
        <f t="shared" si="49"/>
        <v>0.23575921506326397</v>
      </c>
      <c r="AF21" s="7">
        <f>'a1'!Y21</f>
        <v>13181.095234420798</v>
      </c>
      <c r="AG21" s="9">
        <f>'a2'!Q21/'a2'!$E$19</f>
        <v>1.0168004186290058</v>
      </c>
      <c r="AH21" s="7">
        <f>'a6'!AC21</f>
        <v>7222.8343196019796</v>
      </c>
      <c r="AI21" s="7">
        <f>'a5'!I21</f>
        <v>6186.0361315465516</v>
      </c>
      <c r="AJ21" s="7">
        <f>'a4'!P21</f>
        <v>1592.5146984418893</v>
      </c>
      <c r="AK21" s="9">
        <f>'a3'!E17/'a3'!B$15</f>
        <v>0.99338624338624337</v>
      </c>
      <c r="AL21" s="7">
        <f t="shared" si="9"/>
        <v>25052.107245629537</v>
      </c>
      <c r="AM21" s="114">
        <f t="shared" si="50"/>
        <v>0.21913810381994009</v>
      </c>
      <c r="AN21" s="11">
        <f t="shared" si="36"/>
        <v>10.128713224557007</v>
      </c>
      <c r="AO21" s="114">
        <f t="shared" si="51"/>
        <v>0.27604411670912954</v>
      </c>
      <c r="AP21" s="7">
        <f>'a1'!AE21</f>
        <v>11608.159565330521</v>
      </c>
      <c r="AQ21" s="9">
        <f>'a2'!U21/'a2'!$E$19</f>
        <v>1.0339993923717412</v>
      </c>
      <c r="AR21" s="7">
        <f>'a6'!AJ21</f>
        <v>5689.0424701709317</v>
      </c>
      <c r="AS21" s="7">
        <f>'a5'!K21</f>
        <v>5877.2339780226857</v>
      </c>
      <c r="AT21" s="7">
        <f>'a4'!R21</f>
        <v>1402.4756214015765</v>
      </c>
      <c r="AU21" s="9">
        <f>'a3'!F17/'a3'!B$15</f>
        <v>1.0026455026455028</v>
      </c>
      <c r="AV21" s="7">
        <f t="shared" si="12"/>
        <v>22225.272644225792</v>
      </c>
      <c r="AW21" s="114">
        <f t="shared" si="52"/>
        <v>0.1322248716609048</v>
      </c>
      <c r="AX21" s="11">
        <f t="shared" si="37"/>
        <v>10.00898532776359</v>
      </c>
      <c r="AY21" s="114">
        <f t="shared" si="53"/>
        <v>0.15709048556756963</v>
      </c>
      <c r="AZ21" s="7">
        <f>'a1'!AK21</f>
        <v>12798.774370829153</v>
      </c>
      <c r="BA21" s="9">
        <f>'a2'!Y21/'a2'!$E$19</f>
        <v>0.99255853845732445</v>
      </c>
      <c r="BB21" s="7">
        <f>'a6'!AQ21</f>
        <v>5878.1414457293649</v>
      </c>
      <c r="BC21" s="7">
        <f>'a5'!M21</f>
        <v>7005.7966009026122</v>
      </c>
      <c r="BD21" s="7">
        <f>'a4'!T21</f>
        <v>1546.3234234406475</v>
      </c>
      <c r="BE21" s="9">
        <f>'a3'!G17/'a3'!B$15</f>
        <v>0.99867724867724872</v>
      </c>
      <c r="BF21" s="7">
        <f t="shared" si="15"/>
        <v>24009.346947213842</v>
      </c>
      <c r="BG21" s="114">
        <f t="shared" si="54"/>
        <v>0.18707762604829281</v>
      </c>
      <c r="BH21" s="11">
        <f t="shared" si="38"/>
        <v>10.086198489645637</v>
      </c>
      <c r="BI21" s="114">
        <f t="shared" si="55"/>
        <v>0.23380431938391405</v>
      </c>
      <c r="BJ21" s="7">
        <f>'a1'!AQ21</f>
        <v>15599.093053603028</v>
      </c>
      <c r="BK21" s="9">
        <f>'a2'!AC21/'a2'!$E$19</f>
        <v>0.9897754080440212</v>
      </c>
      <c r="BL21" s="7">
        <f>'a6'!AX21</f>
        <v>5736.0500245750591</v>
      </c>
      <c r="BM21" s="7">
        <f>'a5'!O21</f>
        <v>7195.5825242303563</v>
      </c>
      <c r="BN21" s="7">
        <f>'a4'!V21</f>
        <v>1884.6525670609187</v>
      </c>
      <c r="BO21" s="9">
        <f>'a3'!H17/'a3'!B$15</f>
        <v>1.0092592592592593</v>
      </c>
      <c r="BP21" s="7">
        <f t="shared" si="18"/>
        <v>26731.824772824344</v>
      </c>
      <c r="BQ21" s="114">
        <f t="shared" si="56"/>
        <v>0.27078232783297135</v>
      </c>
      <c r="BR21" s="11">
        <f t="shared" si="39"/>
        <v>10.19361007365004</v>
      </c>
      <c r="BS21" s="114">
        <f t="shared" si="57"/>
        <v>0.34052128582354252</v>
      </c>
      <c r="BT21" s="7">
        <f>'a1'!AW21</f>
        <v>14263.714529437077</v>
      </c>
      <c r="BU21" s="9">
        <f>'a2'!AG21/'a2'!$E$19</f>
        <v>0.98979075465161237</v>
      </c>
      <c r="BV21" s="7">
        <f>'a6'!BE21</f>
        <v>6154.119394098293</v>
      </c>
      <c r="BW21" s="7">
        <f>'a5'!Q21</f>
        <v>6992.0118581558863</v>
      </c>
      <c r="BX21" s="7">
        <f>'a4'!X21</f>
        <v>1723.3146896010444</v>
      </c>
      <c r="BY21" s="9">
        <f>'a3'!I17/'a3'!B$15</f>
        <v>1.0052910052910053</v>
      </c>
      <c r="BZ21" s="7">
        <f t="shared" si="21"/>
        <v>25676.046417286598</v>
      </c>
      <c r="CA21" s="114">
        <f t="shared" si="58"/>
        <v>0.23832159975295916</v>
      </c>
      <c r="CB21" s="11">
        <f t="shared" si="40"/>
        <v>10.153313790238361</v>
      </c>
      <c r="CC21" s="114">
        <f t="shared" si="59"/>
        <v>0.30048559354374438</v>
      </c>
      <c r="CD21" s="7">
        <f>'a1'!BC21</f>
        <v>13663.933746750308</v>
      </c>
      <c r="CE21" s="9">
        <f>'a2'!AK21/'a2'!$E$19</f>
        <v>0.99513587780000423</v>
      </c>
      <c r="CF21" s="7">
        <f>'a6'!BL21</f>
        <v>6078.3204584491514</v>
      </c>
      <c r="CG21" s="7">
        <f>'a5'!S21</f>
        <v>6666.2098581577638</v>
      </c>
      <c r="CH21" s="7">
        <f>'a4'!Z21</f>
        <v>1650.8503233792317</v>
      </c>
      <c r="CI21" s="9">
        <f>'a3'!J17/'a3'!B$15</f>
        <v>1.0171957671957674</v>
      </c>
      <c r="CJ21" s="7">
        <f t="shared" si="24"/>
        <v>25115.733975673797</v>
      </c>
      <c r="CK21" s="114">
        <f t="shared" si="60"/>
        <v>0.22109435720565673</v>
      </c>
      <c r="CL21" s="11">
        <f t="shared" si="41"/>
        <v>10.131249780350934</v>
      </c>
      <c r="CM21" s="114">
        <f t="shared" si="61"/>
        <v>0.27856426890725466</v>
      </c>
      <c r="CN21" s="7">
        <f>'a1'!BI21</f>
        <v>16461.068680603628</v>
      </c>
      <c r="CO21" s="9">
        <f>'a2'!AO21/'a2'!$E$19</f>
        <v>0.98375447074088884</v>
      </c>
      <c r="CP21" s="7">
        <f>'a6'!BS21</f>
        <v>7470.735219089468</v>
      </c>
      <c r="CQ21" s="7">
        <f>'a5'!U21</f>
        <v>8158.1983140779321</v>
      </c>
      <c r="CR21" s="7">
        <f>'a4'!AB21</f>
        <v>1988.7948125484149</v>
      </c>
      <c r="CS21" s="9">
        <f>'a3'!K17/'a3'!B$15</f>
        <v>1.0132275132275133</v>
      </c>
      <c r="CT21" s="7">
        <f t="shared" si="27"/>
        <v>30228.415462043777</v>
      </c>
      <c r="CU21" s="114">
        <f t="shared" si="62"/>
        <v>0.37828773270750471</v>
      </c>
      <c r="CV21" s="11">
        <f t="shared" si="42"/>
        <v>10.316537670324436</v>
      </c>
      <c r="CW21" s="114">
        <f t="shared" si="63"/>
        <v>0.46265392477864764</v>
      </c>
      <c r="CX21" s="7">
        <f>'a1'!BO21</f>
        <v>16063.273559227131</v>
      </c>
      <c r="CY21" s="9">
        <f>'a2'!AS21/'a2'!$E$19</f>
        <v>0.9553863052697974</v>
      </c>
      <c r="CZ21" s="7">
        <f>'a6'!BZ21</f>
        <v>6418.5906319092828</v>
      </c>
      <c r="DA21" s="7">
        <f>'a5'!W21</f>
        <v>7590.5254688619807</v>
      </c>
      <c r="DB21" s="7">
        <f>'a4'!AD21</f>
        <v>1940.7339673383558</v>
      </c>
      <c r="DC21" s="9">
        <f>'a3'!L17/'a3'!B$15</f>
        <v>1.0211640211640214</v>
      </c>
      <c r="DD21" s="7">
        <f t="shared" si="30"/>
        <v>27995.225640085417</v>
      </c>
      <c r="DE21" s="114">
        <f t="shared" si="64"/>
        <v>0.30962657179109354</v>
      </c>
      <c r="DF21" s="11">
        <f t="shared" si="43"/>
        <v>10.23978926176428</v>
      </c>
      <c r="DG21" s="44">
        <f t="shared" si="65"/>
        <v>0.38640183878135526</v>
      </c>
    </row>
    <row r="22" spans="1:111">
      <c r="A22" s="1">
        <v>1984</v>
      </c>
      <c r="B22" s="7">
        <f>'a1'!G22</f>
        <v>15082.719592918404</v>
      </c>
      <c r="C22" s="9">
        <f>'a2'!E22/'a2'!E$19</f>
        <v>0.98778852818374396</v>
      </c>
      <c r="D22" s="7">
        <f>'a6'!H22</f>
        <v>6189.0924042896713</v>
      </c>
      <c r="E22" s="7">
        <f>'a5'!C22</f>
        <v>7338.3763223023716</v>
      </c>
      <c r="F22" s="7">
        <f>'a4'!H22</f>
        <v>1869.2449169584877</v>
      </c>
      <c r="G22" s="9">
        <f>'a3'!B18/'a3'!B$15</f>
        <v>1.0105820105820107</v>
      </c>
      <c r="H22" s="7">
        <f t="shared" si="0"/>
        <v>26837.785125344624</v>
      </c>
      <c r="I22" s="114">
        <f t="shared" si="44"/>
        <v>0.27404016142312027</v>
      </c>
      <c r="J22" s="11">
        <f t="shared" si="33"/>
        <v>10.197566066270131</v>
      </c>
      <c r="K22" s="114">
        <f t="shared" si="45"/>
        <v>0.34445169552363886</v>
      </c>
      <c r="L22" s="7">
        <f>'a1'!M22</f>
        <v>10686.73338332773</v>
      </c>
      <c r="M22" s="9">
        <f>'a2'!I22/'a2'!$E$19</f>
        <v>1.1204608247628227</v>
      </c>
      <c r="N22" s="7">
        <f>'a6'!O22</f>
        <v>5526.8214125151535</v>
      </c>
      <c r="O22" s="7">
        <f>'a5'!E22</f>
        <v>6095.4037743439494</v>
      </c>
      <c r="P22" s="7">
        <f>'a4'!L22</f>
        <v>1324.4376740289645</v>
      </c>
      <c r="Q22" s="9">
        <f>'a3'!C18/'a3'!B$15</f>
        <v>0.99735449735449755</v>
      </c>
      <c r="R22" s="7">
        <f t="shared" si="3"/>
        <v>22212.933365879067</v>
      </c>
      <c r="S22" s="114">
        <f t="shared" si="46"/>
        <v>0.13184549093481235</v>
      </c>
      <c r="T22" s="11">
        <f t="shared" si="34"/>
        <v>10.008429982272773</v>
      </c>
      <c r="U22" s="114">
        <f t="shared" si="47"/>
        <v>0.15653873142805841</v>
      </c>
      <c r="V22" s="7">
        <f>'a1'!S22</f>
        <v>12728.838602119104</v>
      </c>
      <c r="W22" s="9">
        <f>'a2'!M22/'a2'!$E$19</f>
        <v>1.0406434594973282</v>
      </c>
      <c r="X22" s="7">
        <f>'a6'!V22</f>
        <v>6762.8488960725108</v>
      </c>
      <c r="Y22" s="7">
        <f>'a5'!G22</f>
        <v>6454.1414418486393</v>
      </c>
      <c r="Z22" s="7">
        <f>'a4'!N22</f>
        <v>1577.5216604151078</v>
      </c>
      <c r="AA22" s="9">
        <f>'a3'!D18/'a3'!$B$15</f>
        <v>1.0105820105820107</v>
      </c>
      <c r="AB22" s="7">
        <f t="shared" si="6"/>
        <v>25148.991541362408</v>
      </c>
      <c r="AC22" s="114">
        <f t="shared" si="48"/>
        <v>0.22211688697315826</v>
      </c>
      <c r="AD22" s="11">
        <f t="shared" si="35"/>
        <v>10.132573076964999</v>
      </c>
      <c r="AE22" s="114">
        <f t="shared" si="49"/>
        <v>0.27987900792410941</v>
      </c>
      <c r="AF22" s="7">
        <f>'a1'!Y22</f>
        <v>13838.633983345318</v>
      </c>
      <c r="AG22" s="9">
        <f>'a2'!Q22/'a2'!$E$19</f>
        <v>1.0156101294816171</v>
      </c>
      <c r="AH22" s="7">
        <f>'a6'!AC22</f>
        <v>7627.9411223854004</v>
      </c>
      <c r="AI22" s="7">
        <f>'a5'!I22</f>
        <v>6343.5675631344138</v>
      </c>
      <c r="AJ22" s="7">
        <f>'a4'!P22</f>
        <v>1715.0618011331726</v>
      </c>
      <c r="AK22" s="9">
        <f>'a3'!E18/'a3'!B$15</f>
        <v>1.0039682539682542</v>
      </c>
      <c r="AL22" s="7">
        <f t="shared" si="9"/>
        <v>26415.51287787046</v>
      </c>
      <c r="AM22" s="114">
        <f t="shared" si="50"/>
        <v>0.26105707218938345</v>
      </c>
      <c r="AN22" s="11">
        <f t="shared" si="36"/>
        <v>10.181706725570079</v>
      </c>
      <c r="AO22" s="114">
        <f t="shared" si="51"/>
        <v>0.32869491523844441</v>
      </c>
      <c r="AP22" s="7">
        <f>'a1'!AE22</f>
        <v>12069.597272959438</v>
      </c>
      <c r="AQ22" s="9">
        <f>'a2'!U22/'a2'!$E$19</f>
        <v>1.0338804948172102</v>
      </c>
      <c r="AR22" s="7">
        <f>'a6'!AJ22</f>
        <v>5662.3124953201241</v>
      </c>
      <c r="AS22" s="7">
        <f>'a5'!K22</f>
        <v>6421.975107776294</v>
      </c>
      <c r="AT22" s="7">
        <f>'a4'!R22</f>
        <v>1495.8199821475332</v>
      </c>
      <c r="AU22" s="9">
        <f>'a3'!F18/'a3'!B$15</f>
        <v>1.0052910052910053</v>
      </c>
      <c r="AV22" s="7">
        <f t="shared" si="12"/>
        <v>23189.036381664137</v>
      </c>
      <c r="AW22" s="114">
        <f t="shared" si="52"/>
        <v>0.1618565386204231</v>
      </c>
      <c r="AX22" s="11">
        <f t="shared" si="37"/>
        <v>10.051434876202267</v>
      </c>
      <c r="AY22" s="114">
        <f t="shared" si="53"/>
        <v>0.19926551797303152</v>
      </c>
      <c r="AZ22" s="7">
        <f>'a1'!AK22</f>
        <v>13427.544252792095</v>
      </c>
      <c r="BA22" s="9">
        <f>'a2'!Y22/'a2'!$E$19</f>
        <v>0.9845503183637534</v>
      </c>
      <c r="BB22" s="7">
        <f>'a6'!AQ22</f>
        <v>5925.9772616800628</v>
      </c>
      <c r="BC22" s="7">
        <f>'a5'!M22</f>
        <v>7374.4764649193921</v>
      </c>
      <c r="BD22" s="7">
        <f>'a4'!T22</f>
        <v>1664.1142658086255</v>
      </c>
      <c r="BE22" s="9">
        <f>'a3'!G18/'a3'!B$15</f>
        <v>1.0026455026455028</v>
      </c>
      <c r="BF22" s="7">
        <f t="shared" si="15"/>
        <v>24922.190187471264</v>
      </c>
      <c r="BG22" s="114">
        <f t="shared" si="54"/>
        <v>0.21514370265068819</v>
      </c>
      <c r="BH22" s="11">
        <f t="shared" si="38"/>
        <v>10.123513857782228</v>
      </c>
      <c r="BI22" s="114">
        <f t="shared" si="55"/>
        <v>0.27087837360279349</v>
      </c>
      <c r="BJ22" s="7">
        <f>'a1'!AQ22</f>
        <v>16145.433141743144</v>
      </c>
      <c r="BK22" s="9">
        <f>'a2'!AC22/'a2'!$E$19</f>
        <v>0.98408168606496138</v>
      </c>
      <c r="BL22" s="7">
        <f>'a6'!AX22</f>
        <v>5852.5277955079928</v>
      </c>
      <c r="BM22" s="7">
        <f>'a5'!O22</f>
        <v>7279.1661484873148</v>
      </c>
      <c r="BN22" s="7">
        <f>'a4'!V22</f>
        <v>2000.9500704678221</v>
      </c>
      <c r="BO22" s="9">
        <f>'a3'!H18/'a3'!B$15</f>
        <v>1.0145502645502646</v>
      </c>
      <c r="BP22" s="7">
        <f t="shared" si="18"/>
        <v>27412.304997936171</v>
      </c>
      <c r="BQ22" s="114">
        <f t="shared" si="56"/>
        <v>0.29170422250463268</v>
      </c>
      <c r="BR22" s="11">
        <f t="shared" si="39"/>
        <v>10.218747279082462</v>
      </c>
      <c r="BS22" s="114">
        <f t="shared" si="57"/>
        <v>0.36549593202564934</v>
      </c>
      <c r="BT22" s="7">
        <f>'a1'!AW22</f>
        <v>15030.649088924343</v>
      </c>
      <c r="BU22" s="9">
        <f>'a2'!AG22/'a2'!$E$19</f>
        <v>0.99167536000437029</v>
      </c>
      <c r="BV22" s="7">
        <f>'a6'!BE22</f>
        <v>6264.320439557926</v>
      </c>
      <c r="BW22" s="7">
        <f>'a5'!Q22</f>
        <v>7529.0821486061177</v>
      </c>
      <c r="BX22" s="7">
        <f>'a4'!X22</f>
        <v>1862.7916692988242</v>
      </c>
      <c r="BY22" s="9">
        <f>'a3'!I18/'a3'!B$15</f>
        <v>1.0158730158730158</v>
      </c>
      <c r="BZ22" s="7">
        <f t="shared" si="21"/>
        <v>27262.105666258922</v>
      </c>
      <c r="CA22" s="114">
        <f t="shared" si="58"/>
        <v>0.28708622703446462</v>
      </c>
      <c r="CB22" s="11">
        <f t="shared" si="40"/>
        <v>10.213252946077313</v>
      </c>
      <c r="CC22" s="114">
        <f t="shared" si="59"/>
        <v>0.36003713019944567</v>
      </c>
      <c r="CD22" s="7">
        <f>'a1'!BC22</f>
        <v>13993.48521360319</v>
      </c>
      <c r="CE22" s="9">
        <f>'a2'!AK22/'a2'!$E$19</f>
        <v>0.99377380712500707</v>
      </c>
      <c r="CF22" s="7">
        <f>'a6'!BL22</f>
        <v>6092.7195120114184</v>
      </c>
      <c r="CG22" s="7">
        <f>'a5'!S22</f>
        <v>6566.1593041848646</v>
      </c>
      <c r="CH22" s="7">
        <f>'a4'!Z22</f>
        <v>1734.252960476889</v>
      </c>
      <c r="CI22" s="9">
        <f>'a3'!J18/'a3'!B$15</f>
        <v>1.0198412698412698</v>
      </c>
      <c r="CJ22" s="7">
        <f t="shared" si="24"/>
        <v>25323.663203837528</v>
      </c>
      <c r="CK22" s="114">
        <f t="shared" si="60"/>
        <v>0.22748730331968453</v>
      </c>
      <c r="CL22" s="11">
        <f t="shared" si="41"/>
        <v>10.139494542090407</v>
      </c>
      <c r="CM22" s="114">
        <f t="shared" si="61"/>
        <v>0.28675571278185558</v>
      </c>
      <c r="CN22" s="7">
        <f>'a1'!BI22</f>
        <v>16672.32686984081</v>
      </c>
      <c r="CO22" s="9">
        <f>'a2'!AO22/'a2'!$E$19</f>
        <v>0.98005799526350001</v>
      </c>
      <c r="CP22" s="7">
        <f>'a6'!BS22</f>
        <v>7052.7173418747443</v>
      </c>
      <c r="CQ22" s="7">
        <f>'a5'!U22</f>
        <v>8365.9490830664745</v>
      </c>
      <c r="CR22" s="7">
        <f>'a4'!AB22</f>
        <v>2066.2495290274237</v>
      </c>
      <c r="CS22" s="9">
        <f>'a3'!K18/'a3'!B$15</f>
        <v>1.0158730158730158</v>
      </c>
      <c r="CT22" s="7">
        <f t="shared" si="27"/>
        <v>30163.569924416774</v>
      </c>
      <c r="CU22" s="114">
        <f t="shared" si="62"/>
        <v>0.37629400613310432</v>
      </c>
      <c r="CV22" s="11">
        <f t="shared" si="42"/>
        <v>10.314390181311357</v>
      </c>
      <c r="CW22" s="114">
        <f t="shared" si="63"/>
        <v>0.46052032331412679</v>
      </c>
      <c r="CX22" s="7">
        <f>'a1'!BO22</f>
        <v>16337.306734808619</v>
      </c>
      <c r="CY22" s="9">
        <f>'a2'!AS22/'a2'!$E$19</f>
        <v>0.95618927093219352</v>
      </c>
      <c r="CZ22" s="7">
        <f>'a6'!BZ22</f>
        <v>6253.5488745115799</v>
      </c>
      <c r="DA22" s="7">
        <f>'a5'!W22</f>
        <v>7434.1400667034886</v>
      </c>
      <c r="DB22" s="7">
        <f>'a4'!AD22</f>
        <v>2024.7295179558332</v>
      </c>
      <c r="DC22" s="9">
        <f>'a3'!L18/'a3'!B$15</f>
        <v>1.0211640211640214</v>
      </c>
      <c r="DD22" s="7">
        <f t="shared" si="30"/>
        <v>27861.966930842438</v>
      </c>
      <c r="DE22" s="114">
        <f t="shared" si="64"/>
        <v>0.30552942895581869</v>
      </c>
      <c r="DF22" s="11">
        <f t="shared" si="43"/>
        <v>10.235017845374447</v>
      </c>
      <c r="DG22" s="44">
        <f t="shared" si="65"/>
        <v>0.3816612785572141</v>
      </c>
    </row>
    <row r="23" spans="1:111">
      <c r="A23" s="1">
        <v>1985</v>
      </c>
      <c r="B23" s="7">
        <f>'a1'!G23</f>
        <v>15723.712408070609</v>
      </c>
      <c r="C23" s="9">
        <f>'a2'!E23/'a2'!E$19</f>
        <v>0.9831403179292636</v>
      </c>
      <c r="D23" s="7">
        <f>'a6'!H23</f>
        <v>6442.3824862931715</v>
      </c>
      <c r="E23" s="7">
        <f>'a5'!C23</f>
        <v>7537.8981386523492</v>
      </c>
      <c r="F23" s="7">
        <f>'a4'!H23</f>
        <v>1952.5226600318153</v>
      </c>
      <c r="G23" s="9">
        <f>'a3'!B19/'a3'!B$15</f>
        <v>1.0105820105820107</v>
      </c>
      <c r="H23" s="7">
        <f t="shared" si="0"/>
        <v>27777.234676905806</v>
      </c>
      <c r="I23" s="114">
        <f t="shared" si="44"/>
        <v>0.30292426979507547</v>
      </c>
      <c r="J23" s="11">
        <f t="shared" si="33"/>
        <v>10.231972067685637</v>
      </c>
      <c r="K23" s="114">
        <f t="shared" si="45"/>
        <v>0.37863519753986374</v>
      </c>
      <c r="L23" s="7">
        <f>'a1'!M23</f>
        <v>11055.198308230116</v>
      </c>
      <c r="M23" s="9">
        <f>'a2'!I23/'a2'!$E$19</f>
        <v>1.1131686733456161</v>
      </c>
      <c r="N23" s="7">
        <f>'a6'!O23</f>
        <v>5728.1993570641553</v>
      </c>
      <c r="O23" s="7">
        <f>'a5'!E23</f>
        <v>6470.8594723496662</v>
      </c>
      <c r="P23" s="7">
        <f>'a4'!L23</f>
        <v>1372.8008149580089</v>
      </c>
      <c r="Q23" s="9">
        <f>'a3'!C19/'a3'!B$15</f>
        <v>1</v>
      </c>
      <c r="R23" s="7">
        <f t="shared" si="3"/>
        <v>23132.558448801032</v>
      </c>
      <c r="S23" s="114">
        <f t="shared" si="46"/>
        <v>0.16012008057354765</v>
      </c>
      <c r="T23" s="11">
        <f t="shared" si="34"/>
        <v>10.048996360816245</v>
      </c>
      <c r="U23" s="114">
        <f t="shared" si="47"/>
        <v>0.1968427721674961</v>
      </c>
      <c r="V23" s="7">
        <f>'a1'!S23</f>
        <v>12850.751063713084</v>
      </c>
      <c r="W23" s="9">
        <f>'a2'!M23/'a2'!$E$19</f>
        <v>1.0449758344843203</v>
      </c>
      <c r="X23" s="7">
        <f>'a6'!V23</f>
        <v>6832.8902633350544</v>
      </c>
      <c r="Y23" s="7">
        <f>'a5'!G23</f>
        <v>6552.6472688381255</v>
      </c>
      <c r="Z23" s="7">
        <f>'a4'!N23</f>
        <v>1595.7670808993516</v>
      </c>
      <c r="AA23" s="9">
        <f>'a3'!D19/'a3'!$B$15</f>
        <v>1.0105820105820107</v>
      </c>
      <c r="AB23" s="7">
        <f t="shared" si="6"/>
        <v>25485.357146323207</v>
      </c>
      <c r="AC23" s="114">
        <f t="shared" si="48"/>
        <v>0.232458709554414</v>
      </c>
      <c r="AD23" s="11">
        <f t="shared" si="35"/>
        <v>10.145859336657631</v>
      </c>
      <c r="AE23" s="114">
        <f t="shared" si="49"/>
        <v>0.29307934700177113</v>
      </c>
      <c r="AF23" s="7">
        <f>'a1'!Y23</f>
        <v>14313.968084818163</v>
      </c>
      <c r="AG23" s="9">
        <f>'a2'!Q23/'a2'!$E$19</f>
        <v>1.0139879170779156</v>
      </c>
      <c r="AH23" s="7">
        <f>'a6'!AC23</f>
        <v>8325.6980686659044</v>
      </c>
      <c r="AI23" s="7">
        <f>'a5'!I23</f>
        <v>6503.0913682895944</v>
      </c>
      <c r="AJ23" s="7">
        <f>'a4'!P23</f>
        <v>1777.4649087472781</v>
      </c>
      <c r="AK23" s="9">
        <f>'a3'!E19/'a3'!B$15</f>
        <v>0.99735449735449755</v>
      </c>
      <c r="AL23" s="7">
        <f t="shared" si="9"/>
        <v>27492.590568235686</v>
      </c>
      <c r="AM23" s="114">
        <f t="shared" si="50"/>
        <v>0.2941726649126169</v>
      </c>
      <c r="AN23" s="11">
        <f t="shared" si="36"/>
        <v>10.221671813468495</v>
      </c>
      <c r="AO23" s="114">
        <f t="shared" si="51"/>
        <v>0.36840155380581946</v>
      </c>
      <c r="AP23" s="7">
        <f>'a1'!AE23</f>
        <v>12522.00025715933</v>
      </c>
      <c r="AQ23" s="9">
        <f>'a2'!U23/'a2'!$E$19</f>
        <v>1.0276325826560062</v>
      </c>
      <c r="AR23" s="7">
        <f>'a6'!AJ23</f>
        <v>5978.0916413432687</v>
      </c>
      <c r="AS23" s="7">
        <f>'a5'!K23</f>
        <v>7072.4655775559104</v>
      </c>
      <c r="AT23" s="7">
        <f>'a4'!R23</f>
        <v>1554.9438082115053</v>
      </c>
      <c r="AU23" s="9">
        <f>'a3'!F19/'a3'!B$15</f>
        <v>1.0092592592592593</v>
      </c>
      <c r="AV23" s="7">
        <f t="shared" si="12"/>
        <v>24589.218031221229</v>
      </c>
      <c r="AW23" s="114">
        <f t="shared" si="52"/>
        <v>0.20490621429382325</v>
      </c>
      <c r="AX23" s="11">
        <f t="shared" si="37"/>
        <v>10.110063334428927</v>
      </c>
      <c r="AY23" s="114">
        <f t="shared" si="53"/>
        <v>0.25751483313744844</v>
      </c>
      <c r="AZ23" s="7">
        <f>'a1'!AK23</f>
        <v>14057.273228337715</v>
      </c>
      <c r="BA23" s="9">
        <f>'a2'!Y23/'a2'!$E$19</f>
        <v>0.97821587846711699</v>
      </c>
      <c r="BB23" s="7">
        <f>'a6'!AQ23</f>
        <v>6173.539596974616</v>
      </c>
      <c r="BC23" s="7">
        <f>'a5'!M23</f>
        <v>7730.851500162802</v>
      </c>
      <c r="BD23" s="7">
        <f>'a4'!T23</f>
        <v>1745.5893242170985</v>
      </c>
      <c r="BE23" s="9">
        <f>'a3'!G19/'a3'!B$15</f>
        <v>1.0026455026455028</v>
      </c>
      <c r="BF23" s="7">
        <f t="shared" si="15"/>
        <v>25978.394228632133</v>
      </c>
      <c r="BG23" s="114">
        <f t="shared" si="54"/>
        <v>0.24761751876682772</v>
      </c>
      <c r="BH23" s="11">
        <f t="shared" si="38"/>
        <v>10.165020480332572</v>
      </c>
      <c r="BI23" s="114">
        <f t="shared" si="55"/>
        <v>0.31211657790621194</v>
      </c>
      <c r="BJ23" s="7">
        <f>'a1'!AQ23</f>
        <v>16875.932054297431</v>
      </c>
      <c r="BK23" s="9">
        <f>'a2'!AC23/'a2'!$E$19</f>
        <v>0.98038468524207478</v>
      </c>
      <c r="BL23" s="7">
        <f>'a6'!AX23</f>
        <v>6060.4127729694137</v>
      </c>
      <c r="BM23" s="7">
        <f>'a5'!O23</f>
        <v>7429.9306439740058</v>
      </c>
      <c r="BN23" s="7">
        <f>'a4'!V23</f>
        <v>2095.6017822012705</v>
      </c>
      <c r="BO23" s="9">
        <f>'a3'!H19/'a3'!B$15</f>
        <v>1.0145502645502646</v>
      </c>
      <c r="BP23" s="7">
        <f t="shared" si="18"/>
        <v>28346.176224815114</v>
      </c>
      <c r="BQ23" s="114">
        <f t="shared" si="56"/>
        <v>0.3204168209382543</v>
      </c>
      <c r="BR23" s="11">
        <f t="shared" si="39"/>
        <v>10.252247422627553</v>
      </c>
      <c r="BS23" s="114">
        <f t="shared" si="57"/>
        <v>0.39877943424341405</v>
      </c>
      <c r="BT23" s="7">
        <f>'a1'!AW23</f>
        <v>15528.940087483083</v>
      </c>
      <c r="BU23" s="9">
        <f>'a2'!AG23/'a2'!$E$19</f>
        <v>0.98681127282051229</v>
      </c>
      <c r="BV23" s="7">
        <f>'a6'!BE23</f>
        <v>6636.9178240429774</v>
      </c>
      <c r="BW23" s="7">
        <f>'a5'!Q23</f>
        <v>8076.0921076378409</v>
      </c>
      <c r="BX23" s="7">
        <f>'a4'!X23</f>
        <v>1928.3364271865155</v>
      </c>
      <c r="BY23" s="9">
        <f>'a3'!I19/'a3'!B$15</f>
        <v>1.0105820105820107</v>
      </c>
      <c r="BZ23" s="7">
        <f t="shared" si="21"/>
        <v>28406.25432706561</v>
      </c>
      <c r="CA23" s="114">
        <f t="shared" si="58"/>
        <v>0.32226396899777598</v>
      </c>
      <c r="CB23" s="11">
        <f t="shared" si="40"/>
        <v>10.25436462268782</v>
      </c>
      <c r="CC23" s="114">
        <f t="shared" si="59"/>
        <v>0.40088294263007235</v>
      </c>
      <c r="CD23" s="7">
        <f>'a1'!BC23</f>
        <v>14240.02466514721</v>
      </c>
      <c r="CE23" s="9">
        <f>'a2'!AK23/'a2'!$E$19</f>
        <v>0.99227054187860564</v>
      </c>
      <c r="CF23" s="7">
        <f>'a6'!BL23</f>
        <v>6257.3396186319042</v>
      </c>
      <c r="CG23" s="7">
        <f>'a5'!S23</f>
        <v>6519.4316854699491</v>
      </c>
      <c r="CH23" s="7">
        <f>'a4'!Z23</f>
        <v>1768.2828403704948</v>
      </c>
      <c r="CI23" s="9">
        <f>'a3'!J19/'a3'!B$15</f>
        <v>1.0145502645502646</v>
      </c>
      <c r="CJ23" s="7">
        <f t="shared" si="24"/>
        <v>25504.216486328249</v>
      </c>
      <c r="CK23" s="114">
        <f t="shared" si="60"/>
        <v>0.23303855465586082</v>
      </c>
      <c r="CL23" s="11">
        <f t="shared" si="41"/>
        <v>10.146599069882345</v>
      </c>
      <c r="CM23" s="114">
        <f t="shared" si="61"/>
        <v>0.2938142964622768</v>
      </c>
      <c r="CN23" s="7">
        <f>'a1'!BI23</f>
        <v>17567.134818610182</v>
      </c>
      <c r="CO23" s="9">
        <f>'a2'!AO23/'a2'!$E$19</f>
        <v>0.97690971164337859</v>
      </c>
      <c r="CP23" s="7">
        <f>'a6'!BS23</f>
        <v>7357.206287973092</v>
      </c>
      <c r="CQ23" s="7">
        <f>'a5'!U23</f>
        <v>8506.1225138349419</v>
      </c>
      <c r="CR23" s="7">
        <f>'a4'!AB23</f>
        <v>2181.4332337676678</v>
      </c>
      <c r="CS23" s="9">
        <f>'a3'!K19/'a3'!B$15</f>
        <v>1.0145502645502646</v>
      </c>
      <c r="CT23" s="7">
        <f t="shared" si="27"/>
        <v>31292.17981031007</v>
      </c>
      <c r="CU23" s="114">
        <f t="shared" si="62"/>
        <v>0.41099399635570755</v>
      </c>
      <c r="CV23" s="11">
        <f t="shared" si="42"/>
        <v>10.351123498995483</v>
      </c>
      <c r="CW23" s="114">
        <f t="shared" si="63"/>
        <v>0.49701609112956463</v>
      </c>
      <c r="CX23" s="7">
        <f>'a1'!BO23</f>
        <v>16868.500916430236</v>
      </c>
      <c r="CY23" s="9">
        <f>'a2'!AS23/'a2'!$E$19</f>
        <v>0.95074441197029758</v>
      </c>
      <c r="CZ23" s="7">
        <f>'a6'!BZ23</f>
        <v>6438.966859443979</v>
      </c>
      <c r="DA23" s="7">
        <f>'a5'!W23</f>
        <v>7366.8950351531357</v>
      </c>
      <c r="DB23" s="7">
        <f>'a4'!AD23</f>
        <v>2094.6790061609204</v>
      </c>
      <c r="DC23" s="9">
        <f>'a3'!L19/'a3'!B$15</f>
        <v>1.0224867724867726</v>
      </c>
      <c r="DD23" s="7">
        <f t="shared" si="30"/>
        <v>28372.797182362658</v>
      </c>
      <c r="DE23" s="114">
        <f t="shared" si="64"/>
        <v>0.32123530301798991</v>
      </c>
      <c r="DF23" s="11">
        <f t="shared" si="43"/>
        <v>10.253186119430516</v>
      </c>
      <c r="DG23" s="44">
        <f t="shared" si="65"/>
        <v>0.399712060609065</v>
      </c>
    </row>
    <row r="24" spans="1:111">
      <c r="A24" s="1">
        <v>1986</v>
      </c>
      <c r="B24" s="7">
        <f>'a1'!G24</f>
        <v>16189.176222567437</v>
      </c>
      <c r="C24" s="9">
        <f>'a2'!E24/'a2'!E$19</f>
        <v>0.97970838842069907</v>
      </c>
      <c r="D24" s="7">
        <f>'a6'!H24</f>
        <v>6500.5180471018202</v>
      </c>
      <c r="E24" s="7">
        <f>'a5'!C24</f>
        <v>7724.2542369406674</v>
      </c>
      <c r="F24" s="7">
        <f>'a4'!H24</f>
        <v>1944.8909747992425</v>
      </c>
      <c r="G24" s="9">
        <f>'a3'!B20/'a3'!B$15</f>
        <v>1.0132275132275133</v>
      </c>
      <c r="H24" s="7">
        <f t="shared" si="0"/>
        <v>28512.782593892767</v>
      </c>
      <c r="I24" s="114">
        <f t="shared" si="44"/>
        <v>0.32553926355574225</v>
      </c>
      <c r="J24" s="11">
        <f t="shared" si="33"/>
        <v>10.258107777771682</v>
      </c>
      <c r="K24" s="114">
        <f t="shared" si="45"/>
        <v>0.40460189118823231</v>
      </c>
      <c r="L24" s="7">
        <f>'a1'!M24</f>
        <v>11492.158679590357</v>
      </c>
      <c r="M24" s="9">
        <f>'a2'!I24/'a2'!$E$19</f>
        <v>1.0914387679559403</v>
      </c>
      <c r="N24" s="7">
        <f>'a6'!O24</f>
        <v>5915.7099714479309</v>
      </c>
      <c r="O24" s="7">
        <f>'a5'!E24</f>
        <v>6975.5106007976501</v>
      </c>
      <c r="P24" s="7">
        <f>'a4'!L24</f>
        <v>1380.6135278050253</v>
      </c>
      <c r="Q24" s="9">
        <f>'a3'!C20/'a3'!B$15</f>
        <v>1.0079365079365081</v>
      </c>
      <c r="R24" s="7">
        <f t="shared" si="3"/>
        <v>24244.496098932912</v>
      </c>
      <c r="S24" s="114">
        <f t="shared" si="46"/>
        <v>0.19430746991861012</v>
      </c>
      <c r="T24" s="11">
        <f t="shared" si="34"/>
        <v>10.09594490561272</v>
      </c>
      <c r="U24" s="114">
        <f t="shared" si="47"/>
        <v>0.24348770647206275</v>
      </c>
      <c r="V24" s="7">
        <f>'a1'!S24</f>
        <v>13290.66616836401</v>
      </c>
      <c r="W24" s="9">
        <f>'a2'!M24/'a2'!$E$19</f>
        <v>1.0363342559862074</v>
      </c>
      <c r="X24" s="7">
        <f>'a6'!V24</f>
        <v>6691.5105002282326</v>
      </c>
      <c r="Y24" s="7">
        <f>'a5'!G24</f>
        <v>6763.3429600572299</v>
      </c>
      <c r="Z24" s="7">
        <f>'a4'!N24</f>
        <v>1596.6777014810591</v>
      </c>
      <c r="AA24" s="9">
        <f>'a3'!D20/'a3'!$B$15</f>
        <v>1.0026455026455028</v>
      </c>
      <c r="AB24" s="7">
        <f t="shared" si="6"/>
        <v>25699.557252142058</v>
      </c>
      <c r="AC24" s="114">
        <f t="shared" si="48"/>
        <v>0.23904445868748284</v>
      </c>
      <c r="AD24" s="11">
        <f t="shared" si="35"/>
        <v>10.154229043191805</v>
      </c>
      <c r="AE24" s="114">
        <f t="shared" si="49"/>
        <v>0.30139492766838077</v>
      </c>
      <c r="AF24" s="7">
        <f>'a1'!Y24</f>
        <v>14754.461599371039</v>
      </c>
      <c r="AG24" s="9">
        <f>'a2'!Q24/'a2'!$E$19</f>
        <v>1.0048064899193445</v>
      </c>
      <c r="AH24" s="7">
        <f>'a6'!AC24</f>
        <v>8417.8771198482445</v>
      </c>
      <c r="AI24" s="7">
        <f>'a5'!I24</f>
        <v>6799.2364998643407</v>
      </c>
      <c r="AJ24" s="7">
        <f>'a4'!P24</f>
        <v>1772.5311534157768</v>
      </c>
      <c r="AK24" s="9">
        <f>'a3'!E20/'a3'!B$15</f>
        <v>1.0039682539682542</v>
      </c>
      <c r="AL24" s="7">
        <f t="shared" si="9"/>
        <v>28382.143622470147</v>
      </c>
      <c r="AM24" s="114">
        <f t="shared" si="50"/>
        <v>0.32152266660074758</v>
      </c>
      <c r="AN24" s="11">
        <f t="shared" si="36"/>
        <v>10.253515480718166</v>
      </c>
      <c r="AO24" s="114">
        <f t="shared" si="51"/>
        <v>0.40003929195758647</v>
      </c>
      <c r="AP24" s="7">
        <f>'a1'!AE24</f>
        <v>13031.382625834633</v>
      </c>
      <c r="AQ24" s="9">
        <f>'a2'!U24/'a2'!$E$19</f>
        <v>1.0207926111016974</v>
      </c>
      <c r="AR24" s="7">
        <f>'a6'!AJ24</f>
        <v>5998.0633937374369</v>
      </c>
      <c r="AS24" s="7">
        <f>'a5'!K24</f>
        <v>7885.3616760899204</v>
      </c>
      <c r="AT24" s="7">
        <f>'a4'!R24</f>
        <v>1565.5286044024563</v>
      </c>
      <c r="AU24" s="9">
        <f>'a3'!F20/'a3'!B$15</f>
        <v>1.0066137566137565</v>
      </c>
      <c r="AV24" s="7">
        <f t="shared" si="12"/>
        <v>25789.681564712195</v>
      </c>
      <c r="AW24" s="114">
        <f t="shared" si="52"/>
        <v>0.24181540089177453</v>
      </c>
      <c r="AX24" s="11">
        <f t="shared" si="37"/>
        <v>10.157729751560396</v>
      </c>
      <c r="AY24" s="114">
        <f t="shared" si="53"/>
        <v>0.30487299738449775</v>
      </c>
      <c r="AZ24" s="7">
        <f>'a1'!AK24</f>
        <v>14502.613976688128</v>
      </c>
      <c r="BA24" s="9">
        <f>'a2'!Y24/'a2'!$E$19</f>
        <v>0.97300331730777945</v>
      </c>
      <c r="BB24" s="7">
        <f>'a6'!AQ24</f>
        <v>6375.5921854996277</v>
      </c>
      <c r="BC24" s="7">
        <f>'a5'!M24</f>
        <v>8061.4036277038431</v>
      </c>
      <c r="BD24" s="7">
        <f>'a4'!T24</f>
        <v>1742.2753725380664</v>
      </c>
      <c r="BE24" s="9">
        <f>'a3'!G20/'a3'!B$15</f>
        <v>1.0039682539682542</v>
      </c>
      <c r="BF24" s="7">
        <f t="shared" si="15"/>
        <v>26912.184219258459</v>
      </c>
      <c r="BG24" s="114">
        <f t="shared" si="54"/>
        <v>0.27632761952857293</v>
      </c>
      <c r="BH24" s="11">
        <f t="shared" si="38"/>
        <v>10.200334407995175</v>
      </c>
      <c r="BI24" s="114">
        <f t="shared" si="55"/>
        <v>0.34720213472163886</v>
      </c>
      <c r="BJ24" s="7">
        <f>'a1'!AQ24</f>
        <v>17530.11621153757</v>
      </c>
      <c r="BK24" s="9">
        <f>'a2'!AC24/'a2'!$E$19</f>
        <v>0.97722846161001498</v>
      </c>
      <c r="BL24" s="7">
        <f>'a6'!AX24</f>
        <v>6075.9205408090893</v>
      </c>
      <c r="BM24" s="7">
        <f>'a5'!O24</f>
        <v>7537.2335573298024</v>
      </c>
      <c r="BN24" s="7">
        <f>'a4'!V24</f>
        <v>2105.9851556544686</v>
      </c>
      <c r="BO24" s="9">
        <f>'a3'!H20/'a3'!B$15</f>
        <v>1.0171957671957674</v>
      </c>
      <c r="BP24" s="7">
        <f t="shared" si="18"/>
        <v>29130.551496233369</v>
      </c>
      <c r="BQ24" s="114">
        <f t="shared" si="56"/>
        <v>0.34453304975147464</v>
      </c>
      <c r="BR24" s="11">
        <f t="shared" si="39"/>
        <v>10.279542782017089</v>
      </c>
      <c r="BS24" s="114">
        <f t="shared" si="57"/>
        <v>0.42589827788518791</v>
      </c>
      <c r="BT24" s="7">
        <f>'a1'!AW24</f>
        <v>15790.360880654334</v>
      </c>
      <c r="BU24" s="9">
        <f>'a2'!AG24/'a2'!$E$19</f>
        <v>0.98851692698049598</v>
      </c>
      <c r="BV24" s="7">
        <f>'a6'!BE24</f>
        <v>6709.1685899472159</v>
      </c>
      <c r="BW24" s="7">
        <f>'a5'!Q24</f>
        <v>8663.9008347118215</v>
      </c>
      <c r="BX24" s="7">
        <f>'a4'!X24</f>
        <v>1896.9791880329076</v>
      </c>
      <c r="BY24" s="9">
        <f>'a3'!I20/'a3'!B$15</f>
        <v>1.0119047619047621</v>
      </c>
      <c r="BZ24" s="7">
        <f t="shared" si="21"/>
        <v>29431.380788977451</v>
      </c>
      <c r="CA24" s="114">
        <f t="shared" si="58"/>
        <v>0.35378228072788942</v>
      </c>
      <c r="CB24" s="11">
        <f t="shared" si="40"/>
        <v>10.289816757863154</v>
      </c>
      <c r="CC24" s="114">
        <f t="shared" si="59"/>
        <v>0.43610581318716368</v>
      </c>
      <c r="CD24" s="7">
        <f>'a1'!BC24</f>
        <v>14696.947751422404</v>
      </c>
      <c r="CE24" s="9">
        <f>'a2'!AK24/'a2'!$E$19</f>
        <v>0.99151753732313175</v>
      </c>
      <c r="CF24" s="7">
        <f>'a6'!BL24</f>
        <v>6428.3972802483349</v>
      </c>
      <c r="CG24" s="7">
        <f>'a5'!S24</f>
        <v>6574.161148673451</v>
      </c>
      <c r="CH24" s="7">
        <f>'a4'!Z24</f>
        <v>1765.6217120542485</v>
      </c>
      <c r="CI24" s="9">
        <f>'a3'!J20/'a3'!B$15</f>
        <v>1.0171957671957674</v>
      </c>
      <c r="CJ24" s="7">
        <f t="shared" si="24"/>
        <v>26253.027464466184</v>
      </c>
      <c r="CK24" s="114">
        <f t="shared" si="60"/>
        <v>0.25606133156464017</v>
      </c>
      <c r="CL24" s="11">
        <f t="shared" si="41"/>
        <v>10.175536593349213</v>
      </c>
      <c r="CM24" s="114">
        <f t="shared" si="61"/>
        <v>0.32256468450732267</v>
      </c>
      <c r="CN24" s="7">
        <f>'a1'!BI24</f>
        <v>17641.691294036409</v>
      </c>
      <c r="CO24" s="9">
        <f>'a2'!AO24/'a2'!$E$19</f>
        <v>0.98055683842518782</v>
      </c>
      <c r="CP24" s="7">
        <f>'a6'!BS24</f>
        <v>7190.3969633636952</v>
      </c>
      <c r="CQ24" s="7">
        <f>'a5'!U24</f>
        <v>8552.2014107828618</v>
      </c>
      <c r="CR24" s="7">
        <f>'a4'!AB24</f>
        <v>2119.3892577521392</v>
      </c>
      <c r="CS24" s="9">
        <f>'a3'!K20/'a3'!B$15</f>
        <v>1.0145502645502646</v>
      </c>
      <c r="CT24" s="7">
        <f t="shared" si="27"/>
        <v>31371.811838314097</v>
      </c>
      <c r="CU24" s="114">
        <f t="shared" si="62"/>
        <v>0.41344234509665334</v>
      </c>
      <c r="CV24" s="11">
        <f t="shared" si="42"/>
        <v>10.353665056555872</v>
      </c>
      <c r="CW24" s="114">
        <f t="shared" si="63"/>
        <v>0.49954121274834068</v>
      </c>
      <c r="CX24" s="7">
        <f>'a1'!BO24</f>
        <v>17161.619258887855</v>
      </c>
      <c r="CY24" s="9">
        <f>'a2'!AS24/'a2'!$E$19</f>
        <v>0.94672497517294263</v>
      </c>
      <c r="CZ24" s="7">
        <f>'a6'!BZ24</f>
        <v>6379.24611888038</v>
      </c>
      <c r="DA24" s="7">
        <f>'a5'!W24</f>
        <v>7317.5046035277501</v>
      </c>
      <c r="DB24" s="7">
        <f>'a4'!AD24</f>
        <v>2061.7156766151084</v>
      </c>
      <c r="DC24" s="9">
        <f>'a3'!L20/'a3'!B$15</f>
        <v>1.0264550264550265</v>
      </c>
      <c r="DD24" s="7">
        <f t="shared" si="30"/>
        <v>28619.997411866018</v>
      </c>
      <c r="DE24" s="114">
        <f t="shared" si="64"/>
        <v>0.32883566666357544</v>
      </c>
      <c r="DF24" s="11">
        <f t="shared" si="43"/>
        <v>10.261860962679481</v>
      </c>
      <c r="DG24" s="44">
        <f t="shared" si="65"/>
        <v>0.40833080470868538</v>
      </c>
    </row>
    <row r="25" spans="1:111">
      <c r="A25" s="1">
        <v>1987</v>
      </c>
      <c r="B25" s="7">
        <f>'a1'!G25</f>
        <v>16642.403309219208</v>
      </c>
      <c r="C25" s="9">
        <f>'a2'!E25/'a2'!E$19</f>
        <v>0.97647523532382352</v>
      </c>
      <c r="D25" s="7">
        <f>'a6'!H25</f>
        <v>6516.0960606087938</v>
      </c>
      <c r="E25" s="7">
        <f>'a5'!C25</f>
        <v>8031.4986192765709</v>
      </c>
      <c r="F25" s="7">
        <f>'a4'!H25</f>
        <v>1930.9503391657672</v>
      </c>
      <c r="G25" s="9">
        <f>'a3'!B21/'a3'!B$15</f>
        <v>1.0171957671957674</v>
      </c>
      <c r="H25" s="7">
        <f t="shared" si="0"/>
        <v>29363.938509091247</v>
      </c>
      <c r="I25" s="114">
        <f t="shared" si="44"/>
        <v>0.35170871528965209</v>
      </c>
      <c r="J25" s="11">
        <f t="shared" si="33"/>
        <v>10.287522619136777</v>
      </c>
      <c r="K25" s="114">
        <f t="shared" si="45"/>
        <v>0.43382651037508896</v>
      </c>
      <c r="L25" s="7">
        <f>'a1'!M25</f>
        <v>11987.99809471492</v>
      </c>
      <c r="M25" s="9">
        <f>'a2'!I25/'a2'!$E$19</f>
        <v>1.0873806107848831</v>
      </c>
      <c r="N25" s="7">
        <f>'a6'!O25</f>
        <v>6005.4242179123567</v>
      </c>
      <c r="O25" s="7">
        <f>'a5'!E25</f>
        <v>7092.180297834645</v>
      </c>
      <c r="P25" s="7">
        <f>'a4'!L25</f>
        <v>1390.91864058391</v>
      </c>
      <c r="Q25" s="9">
        <f>'a3'!C21/'a3'!B$15</f>
        <v>1.0052910052910053</v>
      </c>
      <c r="R25" s="7">
        <f t="shared" si="3"/>
        <v>24873.113690167309</v>
      </c>
      <c r="S25" s="114">
        <f t="shared" si="46"/>
        <v>0.2136348075064117</v>
      </c>
      <c r="T25" s="11">
        <f t="shared" si="34"/>
        <v>10.121542727600373</v>
      </c>
      <c r="U25" s="114">
        <f t="shared" si="47"/>
        <v>0.26891999047852444</v>
      </c>
      <c r="V25" s="7">
        <f>'a1'!S25</f>
        <v>13720.353542027813</v>
      </c>
      <c r="W25" s="9">
        <f>'a2'!M25/'a2'!$E$19</f>
        <v>1.0255722314600182</v>
      </c>
      <c r="X25" s="7">
        <f>'a6'!V25</f>
        <v>6798.7842883571666</v>
      </c>
      <c r="Y25" s="7">
        <f>'a5'!G25</f>
        <v>7424.4490194055707</v>
      </c>
      <c r="Z25" s="7">
        <f>'a4'!N25</f>
        <v>1591.9167942995725</v>
      </c>
      <c r="AA25" s="9">
        <f>'a3'!D21/'a3'!$B$15</f>
        <v>1.0211640211640214</v>
      </c>
      <c r="AB25" s="7">
        <f t="shared" si="6"/>
        <v>27267.663024403875</v>
      </c>
      <c r="AC25" s="114">
        <f t="shared" si="48"/>
        <v>0.28725709234027469</v>
      </c>
      <c r="AD25" s="11">
        <f t="shared" si="35"/>
        <v>10.213456774492419</v>
      </c>
      <c r="AE25" s="114">
        <f t="shared" si="49"/>
        <v>0.36023964048114343</v>
      </c>
      <c r="AF25" s="7">
        <f>'a1'!Y25</f>
        <v>15135.30571638955</v>
      </c>
      <c r="AG25" s="9">
        <f>'a2'!Q25/'a2'!$E$19</f>
        <v>1.0027252892691152</v>
      </c>
      <c r="AH25" s="7">
        <f>'a6'!AC25</f>
        <v>8339.4114947170765</v>
      </c>
      <c r="AI25" s="7">
        <f>'a5'!I25</f>
        <v>7251.3372937679687</v>
      </c>
      <c r="AJ25" s="7">
        <f>'a4'!P25</f>
        <v>1756.0879377469621</v>
      </c>
      <c r="AK25" s="9">
        <f>'a3'!E21/'a3'!B$15</f>
        <v>1.0092592592592593</v>
      </c>
      <c r="AL25" s="7">
        <f t="shared" si="9"/>
        <v>29279.837011282965</v>
      </c>
      <c r="AM25" s="114">
        <f t="shared" si="50"/>
        <v>0.34912294921748643</v>
      </c>
      <c r="AN25" s="11">
        <f t="shared" si="36"/>
        <v>10.284654401505211</v>
      </c>
      <c r="AO25" s="114">
        <f t="shared" si="51"/>
        <v>0.43097684115582874</v>
      </c>
      <c r="AP25" s="7">
        <f>'a1'!AE25</f>
        <v>13421.859713535083</v>
      </c>
      <c r="AQ25" s="9">
        <f>'a2'!U25/'a2'!$E$19</f>
        <v>1.0148283950803496</v>
      </c>
      <c r="AR25" s="7">
        <f>'a6'!AJ25</f>
        <v>6261.7355750572806</v>
      </c>
      <c r="AS25" s="7">
        <f>'a5'!K25</f>
        <v>7906.9006072185011</v>
      </c>
      <c r="AT25" s="7">
        <f>'a4'!R25</f>
        <v>1557.2837699305719</v>
      </c>
      <c r="AU25" s="9">
        <f>'a3'!F21/'a3'!B$15</f>
        <v>1.0132275132275133</v>
      </c>
      <c r="AV25" s="7">
        <f t="shared" si="12"/>
        <v>26579.224023214319</v>
      </c>
      <c r="AW25" s="114">
        <f t="shared" si="52"/>
        <v>0.2660904988975562</v>
      </c>
      <c r="AX25" s="11">
        <f t="shared" si="37"/>
        <v>10.187885137831087</v>
      </c>
      <c r="AY25" s="114">
        <f t="shared" si="53"/>
        <v>0.33483337246370171</v>
      </c>
      <c r="AZ25" s="7">
        <f>'a1'!AK25</f>
        <v>14877.357422252839</v>
      </c>
      <c r="BA25" s="9">
        <f>'a2'!Y25/'a2'!$E$19</f>
        <v>0.96854626031874846</v>
      </c>
      <c r="BB25" s="7">
        <f>'a6'!AQ25</f>
        <v>6220.5369406508134</v>
      </c>
      <c r="BC25" s="7">
        <f>'a5'!M25</f>
        <v>8246.7382916330389</v>
      </c>
      <c r="BD25" s="7">
        <f>'a4'!T25</f>
        <v>1726.1592467522789</v>
      </c>
      <c r="BE25" s="9">
        <f>'a3'!G21/'a3'!B$15</f>
        <v>1.0066137566137565</v>
      </c>
      <c r="BF25" s="7">
        <f t="shared" si="15"/>
        <v>27330.091843773847</v>
      </c>
      <c r="BG25" s="114">
        <f t="shared" si="54"/>
        <v>0.28917651502903846</v>
      </c>
      <c r="BH25" s="11">
        <f t="shared" si="38"/>
        <v>10.215743639464357</v>
      </c>
      <c r="BI25" s="114">
        <f t="shared" si="55"/>
        <v>0.36251171657725806</v>
      </c>
      <c r="BJ25" s="7">
        <f>'a1'!AQ25</f>
        <v>18050.42464965301</v>
      </c>
      <c r="BK25" s="9">
        <f>'a2'!AC25/'a2'!$E$19</f>
        <v>0.97555914188836346</v>
      </c>
      <c r="BL25" s="7">
        <f>'a6'!AX25</f>
        <v>6181.9277444299751</v>
      </c>
      <c r="BM25" s="7">
        <f>'a5'!O25</f>
        <v>7901.4125867832308</v>
      </c>
      <c r="BN25" s="7">
        <f>'a4'!V25</f>
        <v>2094.3173261535885</v>
      </c>
      <c r="BO25" s="9">
        <f>'a3'!H21/'a3'!B$15</f>
        <v>1.0211640211640214</v>
      </c>
      <c r="BP25" s="7">
        <f t="shared" si="18"/>
        <v>30224.698406826272</v>
      </c>
      <c r="BQ25" s="114">
        <f t="shared" si="56"/>
        <v>0.37817344894894789</v>
      </c>
      <c r="BR25" s="11">
        <f t="shared" si="39"/>
        <v>10.316414697164435</v>
      </c>
      <c r="BS25" s="114">
        <f t="shared" si="57"/>
        <v>0.46253174687101772</v>
      </c>
      <c r="BT25" s="7">
        <f>'a1'!AW25</f>
        <v>15945.40288226313</v>
      </c>
      <c r="BU25" s="9">
        <f>'a2'!AG25/'a2'!$E$19</f>
        <v>0.98562353573958483</v>
      </c>
      <c r="BV25" s="7">
        <f>'a6'!BE25</f>
        <v>6719.7243999957227</v>
      </c>
      <c r="BW25" s="7">
        <f>'a5'!Q25</f>
        <v>8764.0679860317396</v>
      </c>
      <c r="BX25" s="7">
        <f>'a4'!X25</f>
        <v>1850.0802156732086</v>
      </c>
      <c r="BY25" s="9">
        <f>'a3'!I21/'a3'!B$15</f>
        <v>1.0158730158730158</v>
      </c>
      <c r="BZ25" s="7">
        <f t="shared" si="21"/>
        <v>29815.747594120741</v>
      </c>
      <c r="CA25" s="114">
        <f t="shared" si="58"/>
        <v>0.36559993760567655</v>
      </c>
      <c r="CB25" s="11">
        <f t="shared" si="40"/>
        <v>10.302791975672523</v>
      </c>
      <c r="CC25" s="114">
        <f t="shared" si="59"/>
        <v>0.44899712185134466</v>
      </c>
      <c r="CD25" s="7">
        <f>'a1'!BC25</f>
        <v>14957.411848772123</v>
      </c>
      <c r="CE25" s="9">
        <f>'a2'!AK25/'a2'!$E$19</f>
        <v>0.98963454804830031</v>
      </c>
      <c r="CF25" s="7">
        <f>'a6'!BL25</f>
        <v>6345.5837372289288</v>
      </c>
      <c r="CG25" s="7">
        <f>'a5'!S25</f>
        <v>6648.7656592299654</v>
      </c>
      <c r="CH25" s="7">
        <f>'a4'!Z25</f>
        <v>1735.4476361253151</v>
      </c>
      <c r="CI25" s="9">
        <f>'a3'!J21/'a3'!B$15</f>
        <v>1.0251322751322751</v>
      </c>
      <c r="CJ25" s="7">
        <f t="shared" si="24"/>
        <v>26716.252365516852</v>
      </c>
      <c r="CK25" s="114">
        <f t="shared" si="60"/>
        <v>0.27030354203810419</v>
      </c>
      <c r="CL25" s="11">
        <f t="shared" si="41"/>
        <v>10.193027362032264</v>
      </c>
      <c r="CM25" s="114">
        <f t="shared" si="61"/>
        <v>0.33994234253046512</v>
      </c>
      <c r="CN25" s="7">
        <f>'a1'!BI25</f>
        <v>17966.493190767091</v>
      </c>
      <c r="CO25" s="9">
        <f>'a2'!AO25/'a2'!$E$19</f>
        <v>0.97640569235214536</v>
      </c>
      <c r="CP25" s="7">
        <f>'a6'!BS25</f>
        <v>7260.8390755265764</v>
      </c>
      <c r="CQ25" s="7">
        <f>'a5'!U25</f>
        <v>8818.9036466930265</v>
      </c>
      <c r="CR25" s="7">
        <f>'a4'!AB25</f>
        <v>2084.5791004904318</v>
      </c>
      <c r="CS25" s="9">
        <f>'a3'!K21/'a3'!B$15</f>
        <v>1.0224867724867726</v>
      </c>
      <c r="CT25" s="7">
        <f t="shared" si="27"/>
        <v>32246.932050304986</v>
      </c>
      <c r="CU25" s="114">
        <f t="shared" si="62"/>
        <v>0.44034859780562285</v>
      </c>
      <c r="CV25" s="11">
        <f t="shared" si="42"/>
        <v>10.381178187475651</v>
      </c>
      <c r="CW25" s="114">
        <f t="shared" si="63"/>
        <v>0.52687641961853071</v>
      </c>
      <c r="CX25" s="7">
        <f>'a1'!BO25</f>
        <v>17832.477380979326</v>
      </c>
      <c r="CY25" s="9">
        <f>'a2'!AS25/'a2'!$E$19</f>
        <v>0.94277267002504528</v>
      </c>
      <c r="CZ25" s="7">
        <f>'a6'!BZ25</f>
        <v>6420.4610819799364</v>
      </c>
      <c r="DA25" s="7">
        <f>'a5'!W25</f>
        <v>7937.3761321790525</v>
      </c>
      <c r="DB25" s="7">
        <f>'a4'!AD25</f>
        <v>2069.0297913819386</v>
      </c>
      <c r="DC25" s="9">
        <f>'a3'!L21/'a3'!B$15</f>
        <v>1.0277777777777779</v>
      </c>
      <c r="DD25" s="7">
        <f t="shared" si="30"/>
        <v>29909.134729082052</v>
      </c>
      <c r="DE25" s="114">
        <f t="shared" si="64"/>
        <v>0.36847119782639448</v>
      </c>
      <c r="DF25" s="11">
        <f t="shared" si="43"/>
        <v>10.305919222054152</v>
      </c>
      <c r="DG25" s="44">
        <f t="shared" si="65"/>
        <v>0.45210414471345112</v>
      </c>
    </row>
    <row r="26" spans="1:111">
      <c r="A26" s="1">
        <v>1988</v>
      </c>
      <c r="B26" s="7">
        <f>'a1'!G26</f>
        <v>17147.444696308903</v>
      </c>
      <c r="C26" s="9">
        <f>'a2'!E26/'a2'!E$19</f>
        <v>0.97105107932999557</v>
      </c>
      <c r="D26" s="7">
        <f>'a6'!H26</f>
        <v>6741.644304547538</v>
      </c>
      <c r="E26" s="7">
        <f>'a5'!C26</f>
        <v>8391.2411996110241</v>
      </c>
      <c r="F26" s="7">
        <f>'a4'!H26</f>
        <v>1980.0418572109122</v>
      </c>
      <c r="G26" s="9">
        <f>'a3'!B22/'a3'!B$15</f>
        <v>1.0185185185185186</v>
      </c>
      <c r="H26" s="7">
        <f t="shared" si="0"/>
        <v>30355.812184958151</v>
      </c>
      <c r="I26" s="114">
        <f t="shared" si="44"/>
        <v>0.38220464420613254</v>
      </c>
      <c r="J26" s="11">
        <f t="shared" si="33"/>
        <v>10.320743283423301</v>
      </c>
      <c r="K26" s="114">
        <f t="shared" si="45"/>
        <v>0.46683234069243978</v>
      </c>
      <c r="L26" s="7">
        <f>'a1'!M26</f>
        <v>12549.958085644421</v>
      </c>
      <c r="M26" s="9">
        <f>'a2'!I26/'a2'!$E$19</f>
        <v>1.0722622575363214</v>
      </c>
      <c r="N26" s="7">
        <f>'a6'!O26</f>
        <v>6626.1116908894937</v>
      </c>
      <c r="O26" s="7">
        <f>'a5'!E26</f>
        <v>7245.5370774213243</v>
      </c>
      <c r="P26" s="7">
        <f>'a4'!L26</f>
        <v>1449.16299518187</v>
      </c>
      <c r="Q26" s="9">
        <f>'a3'!C22/'a3'!B$15</f>
        <v>1.0092592592592593</v>
      </c>
      <c r="R26" s="7">
        <f t="shared" si="3"/>
        <v>26118.955607972952</v>
      </c>
      <c r="S26" s="114">
        <f t="shared" si="46"/>
        <v>0.25193918788364705</v>
      </c>
      <c r="T26" s="11">
        <f t="shared" si="34"/>
        <v>10.170416598210149</v>
      </c>
      <c r="U26" s="114">
        <f t="shared" si="47"/>
        <v>0.3174777997500503</v>
      </c>
      <c r="V26" s="7">
        <f>'a1'!S26</f>
        <v>14069.255698473962</v>
      </c>
      <c r="W26" s="9">
        <f>'a2'!M26/'a2'!$E$19</f>
        <v>1.016915059445535</v>
      </c>
      <c r="X26" s="7">
        <f>'a6'!V26</f>
        <v>7460.4237378097214</v>
      </c>
      <c r="Y26" s="7">
        <f>'a5'!G26</f>
        <v>8120.6868460364458</v>
      </c>
      <c r="Z26" s="7">
        <f>'a4'!N26</f>
        <v>1624.5986312338505</v>
      </c>
      <c r="AA26" s="9">
        <f>'a3'!D22/'a3'!$B$15</f>
        <v>1.0185185185185186</v>
      </c>
      <c r="AB26" s="7">
        <f t="shared" si="6"/>
        <v>28787.152724387444</v>
      </c>
      <c r="AC26" s="114">
        <f t="shared" si="48"/>
        <v>0.33397498697491473</v>
      </c>
      <c r="AD26" s="11">
        <f t="shared" si="35"/>
        <v>10.267684480639328</v>
      </c>
      <c r="AE26" s="114">
        <f t="shared" si="49"/>
        <v>0.4141166626907824</v>
      </c>
      <c r="AF26" s="7">
        <f>'a1'!Y26</f>
        <v>15538.064412582924</v>
      </c>
      <c r="AG26" s="9">
        <f>'a2'!Q26/'a2'!$E$19</f>
        <v>0.99267916753969387</v>
      </c>
      <c r="AH26" s="7">
        <f>'a6'!AC26</f>
        <v>8697.5301581679378</v>
      </c>
      <c r="AI26" s="7">
        <f>'a5'!I26</f>
        <v>7739.308981539346</v>
      </c>
      <c r="AJ26" s="7">
        <f>'a4'!P26</f>
        <v>1794.2042363650869</v>
      </c>
      <c r="AK26" s="9">
        <f>'a3'!E22/'a3'!B$15</f>
        <v>1.0066137566137565</v>
      </c>
      <c r="AL26" s="7">
        <f t="shared" si="9"/>
        <v>30265.803224137566</v>
      </c>
      <c r="AM26" s="114">
        <f t="shared" si="50"/>
        <v>0.37943724858124939</v>
      </c>
      <c r="AN26" s="11">
        <f t="shared" si="36"/>
        <v>10.317773747677483</v>
      </c>
      <c r="AO26" s="114">
        <f t="shared" si="51"/>
        <v>0.46388200857076922</v>
      </c>
      <c r="AP26" s="7">
        <f>'a1'!AE26</f>
        <v>13886.511790938304</v>
      </c>
      <c r="AQ26" s="9">
        <f>'a2'!U26/'a2'!$E$19</f>
        <v>1.0050952201402217</v>
      </c>
      <c r="AR26" s="7">
        <f>'a6'!AJ26</f>
        <v>6573.4398669409838</v>
      </c>
      <c r="AS26" s="7">
        <f>'a5'!K26</f>
        <v>7881.1165429448829</v>
      </c>
      <c r="AT26" s="7">
        <f>'a4'!R26</f>
        <v>1603.4969106871868</v>
      </c>
      <c r="AU26" s="9">
        <f>'a3'!F22/'a3'!B$15</f>
        <v>1.0158730158730158</v>
      </c>
      <c r="AV26" s="7">
        <f t="shared" si="12"/>
        <v>27233.855110797816</v>
      </c>
      <c r="AW26" s="114">
        <f t="shared" si="52"/>
        <v>0.28621764169728453</v>
      </c>
      <c r="AX26" s="11">
        <f t="shared" si="37"/>
        <v>10.212216151511663</v>
      </c>
      <c r="AY26" s="114">
        <f t="shared" si="53"/>
        <v>0.35900704045733089</v>
      </c>
      <c r="AZ26" s="7">
        <f>'a1'!AK26</f>
        <v>15289.721031370569</v>
      </c>
      <c r="BA26" s="9">
        <f>'a2'!Y26/'a2'!$E$19</f>
        <v>0.96080396954848468</v>
      </c>
      <c r="BB26" s="7">
        <f>'a6'!AQ26</f>
        <v>6491.2590709799069</v>
      </c>
      <c r="BC26" s="7">
        <f>'a5'!M26</f>
        <v>8509.8230574224672</v>
      </c>
      <c r="BD26" s="7">
        <f>'a4'!T26</f>
        <v>1765.5276435274614</v>
      </c>
      <c r="BE26" s="9">
        <f>'a3'!G22/'a3'!B$15</f>
        <v>1.0119047619047621</v>
      </c>
      <c r="BF26" s="7">
        <f t="shared" si="15"/>
        <v>28258.431277784533</v>
      </c>
      <c r="BG26" s="114">
        <f t="shared" si="54"/>
        <v>0.31771903418119962</v>
      </c>
      <c r="BH26" s="11">
        <f t="shared" si="38"/>
        <v>10.249147144357513</v>
      </c>
      <c r="BI26" s="114">
        <f t="shared" si="55"/>
        <v>0.39569920509342049</v>
      </c>
      <c r="BJ26" s="7">
        <f>'a1'!AQ26</f>
        <v>18635.133789088308</v>
      </c>
      <c r="BK26" s="9">
        <f>'a2'!AC26/'a2'!$E$19</f>
        <v>0.97066913371721564</v>
      </c>
      <c r="BL26" s="7">
        <f>'a6'!AX26</f>
        <v>6409.2991984423006</v>
      </c>
      <c r="BM26" s="7">
        <f>'a5'!O26</f>
        <v>8305.2029953902183</v>
      </c>
      <c r="BN26" s="7">
        <f>'a4'!V26</f>
        <v>2151.827608755189</v>
      </c>
      <c r="BO26" s="9">
        <f>'a3'!H22/'a3'!B$15</f>
        <v>1.0211640211640214</v>
      </c>
      <c r="BP26" s="7">
        <f t="shared" si="18"/>
        <v>31299.926905128923</v>
      </c>
      <c r="BQ26" s="114">
        <f t="shared" si="56"/>
        <v>0.41123218682154333</v>
      </c>
      <c r="BR26" s="11">
        <f t="shared" si="39"/>
        <v>10.351371041226122</v>
      </c>
      <c r="BS26" s="114">
        <f t="shared" si="57"/>
        <v>0.49726203253490137</v>
      </c>
      <c r="BT26" s="7">
        <f>'a1'!AW26</f>
        <v>16220.993111657921</v>
      </c>
      <c r="BU26" s="9">
        <f>'a2'!AG26/'a2'!$E$19</f>
        <v>0.9814371770000242</v>
      </c>
      <c r="BV26" s="7">
        <f>'a6'!BE26</f>
        <v>6711.723821096437</v>
      </c>
      <c r="BW26" s="7">
        <f>'a5'!Q26</f>
        <v>8891.9586250283537</v>
      </c>
      <c r="BX26" s="7">
        <f>'a4'!X26</f>
        <v>1873.0630653980893</v>
      </c>
      <c r="BY26" s="9">
        <f>'a3'!I22/'a3'!B$15</f>
        <v>1.0145502645502646</v>
      </c>
      <c r="BZ26" s="7">
        <f t="shared" si="21"/>
        <v>30081.927761162824</v>
      </c>
      <c r="CA26" s="114">
        <f t="shared" si="58"/>
        <v>0.37378385421783744</v>
      </c>
      <c r="CB26" s="11">
        <f t="shared" si="40"/>
        <v>10.311679863814856</v>
      </c>
      <c r="CC26" s="114">
        <f t="shared" si="59"/>
        <v>0.45782753310908764</v>
      </c>
      <c r="CD26" s="7">
        <f>'a1'!BC26</f>
        <v>15182.474652921297</v>
      </c>
      <c r="CE26" s="9">
        <f>'a2'!AK26/'a2'!$E$19</f>
        <v>0.98744069845886506</v>
      </c>
      <c r="CF26" s="7">
        <f>'a6'!BL26</f>
        <v>6362.7429499003292</v>
      </c>
      <c r="CG26" s="7">
        <f>'a5'!S26</f>
        <v>6805.3006817541982</v>
      </c>
      <c r="CH26" s="7">
        <f>'a4'!Z26</f>
        <v>1753.1437389793073</v>
      </c>
      <c r="CI26" s="9">
        <f>'a3'!J22/'a3'!B$15</f>
        <v>1.0224867724867726</v>
      </c>
      <c r="CJ26" s="7">
        <f t="shared" si="24"/>
        <v>27000.494571941861</v>
      </c>
      <c r="CK26" s="114">
        <f t="shared" si="60"/>
        <v>0.2790427901229216</v>
      </c>
      <c r="CL26" s="11">
        <f t="shared" si="41"/>
        <v>10.203610462298032</v>
      </c>
      <c r="CM26" s="114">
        <f t="shared" si="61"/>
        <v>0.35045700318236328</v>
      </c>
      <c r="CN26" s="7">
        <f>'a1'!BI26</f>
        <v>18537.303784802985</v>
      </c>
      <c r="CO26" s="9">
        <f>'a2'!AO26/'a2'!$E$19</f>
        <v>0.97082726382165563</v>
      </c>
      <c r="CP26" s="7">
        <f>'a6'!BS26</f>
        <v>7397.759535004232</v>
      </c>
      <c r="CQ26" s="7">
        <f>'a5'!U26</f>
        <v>9185.8011889665286</v>
      </c>
      <c r="CR26" s="7">
        <f>'a4'!AB26</f>
        <v>2140.5310274390376</v>
      </c>
      <c r="CS26" s="9">
        <f>'a3'!K22/'a3'!B$15</f>
        <v>1.0211640211640214</v>
      </c>
      <c r="CT26" s="7">
        <f t="shared" si="27"/>
        <v>33126.100923029771</v>
      </c>
      <c r="CU26" s="114">
        <f t="shared" si="62"/>
        <v>0.46737932974309893</v>
      </c>
      <c r="CV26" s="11">
        <f t="shared" si="42"/>
        <v>10.408076798148459</v>
      </c>
      <c r="CW26" s="114">
        <f t="shared" si="63"/>
        <v>0.55360108026895893</v>
      </c>
      <c r="CX26" s="7">
        <f>'a1'!BO26</f>
        <v>18351.006706453561</v>
      </c>
      <c r="CY26" s="9">
        <f>'a2'!AS26/'a2'!$E$19</f>
        <v>0.94327264295121138</v>
      </c>
      <c r="CZ26" s="7">
        <f>'a6'!BZ26</f>
        <v>6560.6122809038789</v>
      </c>
      <c r="DA26" s="7">
        <f>'a5'!W26</f>
        <v>8500.4932108137164</v>
      </c>
      <c r="DB26" s="7">
        <f>'a4'!AD26</f>
        <v>2119.019016784333</v>
      </c>
      <c r="DC26" s="9">
        <f>'a3'!L22/'a3'!B$15</f>
        <v>1.0277777777777779</v>
      </c>
      <c r="DD26" s="7">
        <f t="shared" si="30"/>
        <v>31092.424879293598</v>
      </c>
      <c r="DE26" s="114">
        <f t="shared" si="64"/>
        <v>0.40485237537592844</v>
      </c>
      <c r="DF26" s="11">
        <f t="shared" si="43"/>
        <v>10.344719495485533</v>
      </c>
      <c r="DG26" s="44">
        <f t="shared" si="65"/>
        <v>0.49065350152635639</v>
      </c>
    </row>
    <row r="27" spans="1:111">
      <c r="A27" s="1">
        <v>1989</v>
      </c>
      <c r="B27" s="7">
        <f>'a1'!G27</f>
        <v>17441.354241909998</v>
      </c>
      <c r="C27" s="9">
        <f>'a2'!E27/'a2'!E$19</f>
        <v>0.97033374239485171</v>
      </c>
      <c r="D27" s="7">
        <f>'a6'!H27</f>
        <v>6856.4027480354835</v>
      </c>
      <c r="E27" s="7">
        <f>'a5'!C27</f>
        <v>8631.0210353719995</v>
      </c>
      <c r="F27" s="7">
        <f>'a4'!H27</f>
        <v>1972.7758788603426</v>
      </c>
      <c r="G27" s="9">
        <f>'a3'!B23/'a3'!B$15</f>
        <v>1.0224867724867726</v>
      </c>
      <c r="H27" s="7">
        <f t="shared" si="0"/>
        <v>31123.047916649171</v>
      </c>
      <c r="I27" s="114">
        <f t="shared" si="44"/>
        <v>0.4057939045173144</v>
      </c>
      <c r="J27" s="11">
        <f t="shared" si="33"/>
        <v>10.345703914262806</v>
      </c>
      <c r="K27" s="114">
        <f t="shared" si="45"/>
        <v>0.49163155418790633</v>
      </c>
      <c r="L27" s="7">
        <f>'a1'!M27</f>
        <v>12845.351061744754</v>
      </c>
      <c r="M27" s="9">
        <f>'a2'!I27/'a2'!$E$19</f>
        <v>1.0679359323004813</v>
      </c>
      <c r="N27" s="7">
        <f>'a6'!O27</f>
        <v>6903.6209724544315</v>
      </c>
      <c r="O27" s="7">
        <f>'a5'!E27</f>
        <v>7275.6600061510017</v>
      </c>
      <c r="P27" s="7">
        <f>'a4'!L27</f>
        <v>1452.9260961405744</v>
      </c>
      <c r="Q27" s="9">
        <f>'a3'!C23/'a3'!B$15</f>
        <v>1.0079365079365081</v>
      </c>
      <c r="R27" s="7">
        <f t="shared" si="3"/>
        <v>26654.242771652072</v>
      </c>
      <c r="S27" s="114">
        <f t="shared" si="46"/>
        <v>0.26839700876410905</v>
      </c>
      <c r="T27" s="11">
        <f t="shared" si="34"/>
        <v>10.190703620361569</v>
      </c>
      <c r="U27" s="114">
        <f t="shared" si="47"/>
        <v>0.33763362821268933</v>
      </c>
      <c r="V27" s="7">
        <f>'a1'!S27</f>
        <v>14183.307338286479</v>
      </c>
      <c r="W27" s="9">
        <f>'a2'!M27/'a2'!$E$19</f>
        <v>1.0203072723001847</v>
      </c>
      <c r="X27" s="7">
        <f>'a6'!V27</f>
        <v>7577.7397383538992</v>
      </c>
      <c r="Y27" s="7">
        <f>'a5'!G27</f>
        <v>8854.6284487556713</v>
      </c>
      <c r="Z27" s="7">
        <f>'a4'!N27</f>
        <v>1604.2611262490086</v>
      </c>
      <c r="AA27" s="9">
        <f>'a3'!D23/'a3'!$B$15</f>
        <v>1.0171957671957674</v>
      </c>
      <c r="AB27" s="7">
        <f t="shared" si="6"/>
        <v>29803.265009948947</v>
      </c>
      <c r="AC27" s="114">
        <f t="shared" si="48"/>
        <v>0.3652161508303452</v>
      </c>
      <c r="AD27" s="11">
        <f t="shared" si="35"/>
        <v>10.302373230584035</v>
      </c>
      <c r="AE27" s="114">
        <f t="shared" si="49"/>
        <v>0.44858108473608199</v>
      </c>
      <c r="AF27" s="7">
        <f>'a1'!Y27</f>
        <v>15707.408714585861</v>
      </c>
      <c r="AG27" s="9">
        <f>'a2'!Q27/'a2'!$E$19</f>
        <v>0.99044183550063758</v>
      </c>
      <c r="AH27" s="7">
        <f>'a6'!AC27</f>
        <v>8669.0521274597068</v>
      </c>
      <c r="AI27" s="7">
        <f>'a5'!I27</f>
        <v>8153.4381953838792</v>
      </c>
      <c r="AJ27" s="7">
        <f>'a4'!P27</f>
        <v>1776.6508610367132</v>
      </c>
      <c r="AK27" s="9">
        <f>'a3'!E23/'a3'!B$15</f>
        <v>1.0092592592592593</v>
      </c>
      <c r="AL27" s="7">
        <f t="shared" si="9"/>
        <v>30886.476348373708</v>
      </c>
      <c r="AM27" s="114">
        <f t="shared" si="50"/>
        <v>0.39852032734179016</v>
      </c>
      <c r="AN27" s="11">
        <f t="shared" si="36"/>
        <v>10.338073708456664</v>
      </c>
      <c r="AO27" s="114">
        <f t="shared" si="51"/>
        <v>0.4840506919886467</v>
      </c>
      <c r="AP27" s="7">
        <f>'a1'!AE27</f>
        <v>14077.801311062412</v>
      </c>
      <c r="AQ27" s="9">
        <f>'a2'!U27/'a2'!$E$19</f>
        <v>1.0008815926610257</v>
      </c>
      <c r="AR27" s="7">
        <f>'a6'!AJ27</f>
        <v>6703.0125969298188</v>
      </c>
      <c r="AS27" s="7">
        <f>'a5'!K27</f>
        <v>7736.511296700668</v>
      </c>
      <c r="AT27" s="7">
        <f>'a4'!R27</f>
        <v>1592.327434478568</v>
      </c>
      <c r="AU27" s="9">
        <f>'a3'!F23/'a3'!B$15</f>
        <v>1.0171957671957674</v>
      </c>
      <c r="AV27" s="7">
        <f t="shared" si="12"/>
        <v>27400.618064648545</v>
      </c>
      <c r="AW27" s="114">
        <f t="shared" si="52"/>
        <v>0.29134489863561314</v>
      </c>
      <c r="AX27" s="11">
        <f t="shared" si="37"/>
        <v>10.218320849225716</v>
      </c>
      <c r="AY27" s="114">
        <f t="shared" si="53"/>
        <v>0.3650722598385841</v>
      </c>
      <c r="AZ27" s="7">
        <f>'a1'!AK27</f>
        <v>15471.194178649117</v>
      </c>
      <c r="BA27" s="9">
        <f>'a2'!Y27/'a2'!$E$19</f>
        <v>0.95753010154709295</v>
      </c>
      <c r="BB27" s="7">
        <f>'a6'!AQ27</f>
        <v>6603.1004059450443</v>
      </c>
      <c r="BC27" s="7">
        <f>'a5'!M27</f>
        <v>8693.5887922277216</v>
      </c>
      <c r="BD27" s="7">
        <f>'a4'!T27</f>
        <v>1749.9328475001012</v>
      </c>
      <c r="BE27" s="9">
        <f>'a3'!G23/'a3'!B$15</f>
        <v>1.0145502645502646</v>
      </c>
      <c r="BF27" s="7">
        <f t="shared" si="15"/>
        <v>28773.548943026944</v>
      </c>
      <c r="BG27" s="114">
        <f t="shared" si="54"/>
        <v>0.33355672811851089</v>
      </c>
      <c r="BH27" s="11">
        <f t="shared" si="38"/>
        <v>10.267211804621846</v>
      </c>
      <c r="BI27" s="114">
        <f t="shared" si="55"/>
        <v>0.41364704341124175</v>
      </c>
      <c r="BJ27" s="7">
        <f>'a1'!AQ27</f>
        <v>18847.594920672</v>
      </c>
      <c r="BK27" s="9">
        <f>'a2'!AC27/'a2'!$E$19</f>
        <v>0.97392812294190945</v>
      </c>
      <c r="BL27" s="7">
        <f>'a6'!AX27</f>
        <v>6524.5859537808456</v>
      </c>
      <c r="BM27" s="7">
        <f>'a5'!O27</f>
        <v>8591.3872943686492</v>
      </c>
      <c r="BN27" s="7">
        <f>'a4'!V27</f>
        <v>2131.8344962392457</v>
      </c>
      <c r="BO27" s="9">
        <f>'a3'!H23/'a3'!B$15</f>
        <v>1.0251322751322751</v>
      </c>
      <c r="BP27" s="7">
        <f t="shared" si="18"/>
        <v>32127.995580160838</v>
      </c>
      <c r="BQ27" s="114">
        <f t="shared" si="56"/>
        <v>0.43669180336965502</v>
      </c>
      <c r="BR27" s="11">
        <f t="shared" si="39"/>
        <v>10.377483065481696</v>
      </c>
      <c r="BS27" s="114">
        <f t="shared" si="57"/>
        <v>0.52320519352616568</v>
      </c>
      <c r="BT27" s="7">
        <f>'a1'!AW27</f>
        <v>16484.989925638165</v>
      </c>
      <c r="BU27" s="9">
        <f>'a2'!AG27/'a2'!$E$19</f>
        <v>0.97868627809220221</v>
      </c>
      <c r="BV27" s="7">
        <f>'a6'!BE27</f>
        <v>6815.4036987677009</v>
      </c>
      <c r="BW27" s="7">
        <f>'a5'!Q27</f>
        <v>8991.8595025276245</v>
      </c>
      <c r="BX27" s="7">
        <f>'a4'!X27</f>
        <v>1864.6023718966296</v>
      </c>
      <c r="BY27" s="9">
        <f>'a3'!I23/'a3'!B$15</f>
        <v>1.0224867724867726</v>
      </c>
      <c r="BZ27" s="7">
        <f t="shared" si="21"/>
        <v>30752.613050471205</v>
      </c>
      <c r="CA27" s="114">
        <f t="shared" si="58"/>
        <v>0.39440459595715349</v>
      </c>
      <c r="CB27" s="11">
        <f t="shared" si="40"/>
        <v>10.333730246875398</v>
      </c>
      <c r="CC27" s="114">
        <f t="shared" si="59"/>
        <v>0.47973531904171401</v>
      </c>
      <c r="CD27" s="7">
        <f>'a1'!BC27</f>
        <v>15408.474661063585</v>
      </c>
      <c r="CE27" s="9">
        <f>'a2'!AK27/'a2'!$E$19</f>
        <v>0.98703616105414094</v>
      </c>
      <c r="CF27" s="7">
        <f>'a6'!BL27</f>
        <v>6652.6648617386754</v>
      </c>
      <c r="CG27" s="7">
        <f>'a5'!S27</f>
        <v>6997.7710704324963</v>
      </c>
      <c r="CH27" s="7">
        <f>'a4'!Z27</f>
        <v>1742.8386993215622</v>
      </c>
      <c r="CI27" s="9">
        <f>'a3'!J23/'a3'!B$15</f>
        <v>1.0317460317460319</v>
      </c>
      <c r="CJ27" s="7">
        <f t="shared" si="24"/>
        <v>27977.154430958384</v>
      </c>
      <c r="CK27" s="114">
        <f t="shared" si="60"/>
        <v>0.30907095838751047</v>
      </c>
      <c r="CL27" s="11">
        <f t="shared" si="41"/>
        <v>10.239143542938958</v>
      </c>
      <c r="CM27" s="114">
        <f t="shared" si="61"/>
        <v>0.38576029574063031</v>
      </c>
      <c r="CN27" s="7">
        <f>'a1'!BI27</f>
        <v>19005.133439404402</v>
      </c>
      <c r="CO27" s="9">
        <f>'a2'!AO27/'a2'!$E$19</f>
        <v>0.96997377290632103</v>
      </c>
      <c r="CP27" s="7">
        <f>'a6'!BS27</f>
        <v>7386.8945184726772</v>
      </c>
      <c r="CQ27" s="7">
        <f>'a5'!U27</f>
        <v>9341.851554781606</v>
      </c>
      <c r="CR27" s="7">
        <f>'a4'!AB27</f>
        <v>2149.6535362883192</v>
      </c>
      <c r="CS27" s="9">
        <f>'a3'!K23/'a3'!B$15</f>
        <v>1.0277777777777779</v>
      </c>
      <c r="CT27" s="7">
        <f t="shared" si="27"/>
        <v>33930.617232766839</v>
      </c>
      <c r="CU27" s="114">
        <f t="shared" si="62"/>
        <v>0.49211481047097233</v>
      </c>
      <c r="CV27" s="11">
        <f t="shared" si="42"/>
        <v>10.432073048970517</v>
      </c>
      <c r="CW27" s="114">
        <f t="shared" si="63"/>
        <v>0.57744215027449541</v>
      </c>
      <c r="CX27" s="7">
        <f>'a1'!BO27</f>
        <v>19012.896010761015</v>
      </c>
      <c r="CY27" s="9">
        <f>'a2'!AS27/'a2'!$E$19</f>
        <v>0.93968724688148186</v>
      </c>
      <c r="CZ27" s="7">
        <f>'a6'!BZ27</f>
        <v>6697.9362906223587</v>
      </c>
      <c r="DA27" s="7">
        <f>'a5'!W27</f>
        <v>8988.3106089732646</v>
      </c>
      <c r="DB27" s="7">
        <f>'a4'!AD27</f>
        <v>2150.531553747162</v>
      </c>
      <c r="DC27" s="9">
        <f>'a3'!L23/'a3'!B$15</f>
        <v>1.0304232804232807</v>
      </c>
      <c r="DD27" s="7">
        <f t="shared" si="30"/>
        <v>32357.239796869293</v>
      </c>
      <c r="DE27" s="114">
        <f t="shared" si="64"/>
        <v>0.44374009541263632</v>
      </c>
      <c r="DF27" s="11">
        <f t="shared" si="43"/>
        <v>10.384593070775161</v>
      </c>
      <c r="DG27" s="44">
        <f t="shared" si="65"/>
        <v>0.53026921928578119</v>
      </c>
    </row>
    <row r="28" spans="1:111">
      <c r="A28" s="1">
        <v>1990</v>
      </c>
      <c r="B28" s="7">
        <f>'a1'!G28</f>
        <v>17404.196245022504</v>
      </c>
      <c r="C28" s="9">
        <f>'a2'!E28/'a2'!E$19</f>
        <v>0.96694046017397839</v>
      </c>
      <c r="D28" s="7">
        <f>'a6'!H28</f>
        <v>7040.9593085880215</v>
      </c>
      <c r="E28" s="7">
        <f>'a5'!C28</f>
        <v>8923.8286049405087</v>
      </c>
      <c r="F28" s="7">
        <f>'a4'!H28</f>
        <v>2036.8407764386661</v>
      </c>
      <c r="G28" s="9">
        <f>'a3'!B24/'a3'!B$15</f>
        <v>1.0264550264550265</v>
      </c>
      <c r="H28" s="7">
        <f t="shared" si="0"/>
        <v>31570.439791866509</v>
      </c>
      <c r="I28" s="114">
        <f t="shared" si="44"/>
        <v>0.41954931627629088</v>
      </c>
      <c r="J28" s="11">
        <f t="shared" si="33"/>
        <v>10.359976512144474</v>
      </c>
      <c r="K28" s="114">
        <f t="shared" si="45"/>
        <v>0.50581185292627906</v>
      </c>
      <c r="L28" s="7">
        <f>'a1'!M28</f>
        <v>12886.062268778318</v>
      </c>
      <c r="M28" s="9">
        <f>'a2'!I28/'a2'!$E$19</f>
        <v>1.0546114393716961</v>
      </c>
      <c r="N28" s="7">
        <f>'a6'!O28</f>
        <v>7049.0483227591985</v>
      </c>
      <c r="O28" s="7">
        <f>'a5'!E28</f>
        <v>7269.3936024746308</v>
      </c>
      <c r="P28" s="7">
        <f>'a4'!L28</f>
        <v>1508.0763688976372</v>
      </c>
      <c r="Q28" s="9">
        <f>'a3'!C24/'a3'!B$15</f>
        <v>1.0066137566137565</v>
      </c>
      <c r="R28" s="7">
        <f t="shared" si="3"/>
        <v>26574.758428111443</v>
      </c>
      <c r="S28" s="114">
        <f t="shared" si="46"/>
        <v>0.26595320069704886</v>
      </c>
      <c r="T28" s="11">
        <f t="shared" si="34"/>
        <v>10.187717112975472</v>
      </c>
      <c r="U28" s="114">
        <f t="shared" si="47"/>
        <v>0.33466643420425901</v>
      </c>
      <c r="V28" s="7">
        <f>'a1'!S28</f>
        <v>14562.436735069476</v>
      </c>
      <c r="W28" s="9">
        <f>'a2'!M28/'a2'!$E$19</f>
        <v>1.0103674209880171</v>
      </c>
      <c r="X28" s="7">
        <f>'a6'!V28</f>
        <v>7597.7285478082504</v>
      </c>
      <c r="Y28" s="7">
        <f>'a5'!G28</f>
        <v>9577.1546356637646</v>
      </c>
      <c r="Z28" s="7">
        <f>'a4'!N28</f>
        <v>1704.2651397809216</v>
      </c>
      <c r="AA28" s="9">
        <f>'a3'!D24/'a3'!$B$15</f>
        <v>1.0132275132275133</v>
      </c>
      <c r="AB28" s="7">
        <f t="shared" si="6"/>
        <v>30583.289343001816</v>
      </c>
      <c r="AC28" s="114">
        <f t="shared" si="48"/>
        <v>0.38919860665377942</v>
      </c>
      <c r="AD28" s="11">
        <f t="shared" si="35"/>
        <v>10.32820903887171</v>
      </c>
      <c r="AE28" s="114">
        <f t="shared" si="49"/>
        <v>0.47424981601429822</v>
      </c>
      <c r="AF28" s="7">
        <f>'a1'!Y28</f>
        <v>15720.780140831303</v>
      </c>
      <c r="AG28" s="9">
        <f>'a2'!Q28/'a2'!$E$19</f>
        <v>0.98253121708538027</v>
      </c>
      <c r="AH28" s="7">
        <f>'a6'!AC28</f>
        <v>8713.5100280795596</v>
      </c>
      <c r="AI28" s="7">
        <f>'a5'!I28</f>
        <v>8540.2187440573634</v>
      </c>
      <c r="AJ28" s="7">
        <f>'a4'!P28</f>
        <v>1839.8279114687718</v>
      </c>
      <c r="AK28" s="9">
        <f>'a3'!E24/'a3'!B$15</f>
        <v>1.0145502645502646</v>
      </c>
      <c r="AL28" s="7">
        <f t="shared" si="9"/>
        <v>31309.080115449215</v>
      </c>
      <c r="AM28" s="114">
        <f t="shared" si="50"/>
        <v>0.41151360940395154</v>
      </c>
      <c r="AN28" s="11">
        <f t="shared" si="36"/>
        <v>10.351663433992629</v>
      </c>
      <c r="AO28" s="114">
        <f t="shared" si="51"/>
        <v>0.49755253443318143</v>
      </c>
      <c r="AP28" s="7">
        <f>'a1'!AE28</f>
        <v>14319.954171823238</v>
      </c>
      <c r="AQ28" s="9">
        <f>'a2'!U28/'a2'!$E$19</f>
        <v>0.99152702082695665</v>
      </c>
      <c r="AR28" s="7">
        <f>'a6'!AJ28</f>
        <v>7114.6568761757899</v>
      </c>
      <c r="AS28" s="7">
        <f>'a5'!K28</f>
        <v>7598.2309673602513</v>
      </c>
      <c r="AT28" s="7">
        <f>'a4'!R28</f>
        <v>1675.8870196171388</v>
      </c>
      <c r="AU28" s="9">
        <f>'a3'!F24/'a3'!B$15</f>
        <v>1.0224867724867726</v>
      </c>
      <c r="AV28" s="7">
        <f t="shared" si="12"/>
        <v>27848.063564982243</v>
      </c>
      <c r="AW28" s="114">
        <f t="shared" si="52"/>
        <v>0.30510195914057053</v>
      </c>
      <c r="AX28" s="11">
        <f t="shared" si="37"/>
        <v>10.234518712057696</v>
      </c>
      <c r="AY28" s="114">
        <f t="shared" si="53"/>
        <v>0.38116537307452025</v>
      </c>
      <c r="AZ28" s="7">
        <f>'a1'!AK28</f>
        <v>15394.628487180051</v>
      </c>
      <c r="BA28" s="9">
        <f>'a2'!Y28/'a2'!$E$19</f>
        <v>0.95326801568930952</v>
      </c>
      <c r="BB28" s="7">
        <f>'a6'!AQ28</f>
        <v>6746.1370170851078</v>
      </c>
      <c r="BC28" s="7">
        <f>'a5'!M28</f>
        <v>8895.6724521297692</v>
      </c>
      <c r="BD28" s="7">
        <f>'a4'!T28</f>
        <v>1801.6578645382931</v>
      </c>
      <c r="BE28" s="9">
        <f>'a3'!G24/'a3'!B$15</f>
        <v>1.0198412698412698</v>
      </c>
      <c r="BF28" s="7">
        <f t="shared" si="15"/>
        <v>29081.13947863365</v>
      </c>
      <c r="BG28" s="114">
        <f t="shared" si="54"/>
        <v>0.34301383877430669</v>
      </c>
      <c r="BH28" s="11">
        <f t="shared" si="38"/>
        <v>10.277845115151905</v>
      </c>
      <c r="BI28" s="114">
        <f t="shared" si="55"/>
        <v>0.42421158962379857</v>
      </c>
      <c r="BJ28" s="7">
        <f>'a1'!AQ28</f>
        <v>18577.420455190022</v>
      </c>
      <c r="BK28" s="9">
        <f>'a2'!AC28/'a2'!$E$19</f>
        <v>0.97049320074670042</v>
      </c>
      <c r="BL28" s="7">
        <f>'a6'!AX28</f>
        <v>6781.3634834297545</v>
      </c>
      <c r="BM28" s="7">
        <f>'a5'!O28</f>
        <v>9039.7085466146327</v>
      </c>
      <c r="BN28" s="7">
        <f>'a4'!V28</f>
        <v>2174.14507234131</v>
      </c>
      <c r="BO28" s="9">
        <f>'a3'!H24/'a3'!B$15</f>
        <v>1.0304232804232807</v>
      </c>
      <c r="BP28" s="7">
        <f t="shared" si="18"/>
        <v>32639.880722708607</v>
      </c>
      <c r="BQ28" s="114">
        <f t="shared" si="56"/>
        <v>0.45243011087831597</v>
      </c>
      <c r="BR28" s="11">
        <f t="shared" si="39"/>
        <v>10.393290154742585</v>
      </c>
      <c r="BS28" s="114">
        <f t="shared" si="57"/>
        <v>0.53891006027585775</v>
      </c>
      <c r="BT28" s="7">
        <f>'a1'!AW28</f>
        <v>16688.664318843228</v>
      </c>
      <c r="BU28" s="9">
        <f>'a2'!AG28/'a2'!$E$19</f>
        <v>0.97596158653327814</v>
      </c>
      <c r="BV28" s="7">
        <f>'a6'!BE28</f>
        <v>6983.4355993204072</v>
      </c>
      <c r="BW28" s="7">
        <f>'a5'!Q28</f>
        <v>9111.6644468741997</v>
      </c>
      <c r="BX28" s="7">
        <f>'a4'!X28</f>
        <v>1953.1009367145271</v>
      </c>
      <c r="BY28" s="9">
        <f>'a3'!I24/'a3'!B$15</f>
        <v>1.0251322751322751</v>
      </c>
      <c r="BZ28" s="7">
        <f t="shared" si="21"/>
        <v>31194.256840998958</v>
      </c>
      <c r="CA28" s="114">
        <f t="shared" si="58"/>
        <v>0.40798327837411341</v>
      </c>
      <c r="CB28" s="11">
        <f t="shared" si="40"/>
        <v>10.347989281244571</v>
      </c>
      <c r="CC28" s="114">
        <f t="shared" si="59"/>
        <v>0.49390214198116716</v>
      </c>
      <c r="CD28" s="7">
        <f>'a1'!BC28</f>
        <v>15710.604161642985</v>
      </c>
      <c r="CE28" s="9">
        <f>'a2'!AK28/'a2'!$E$19</f>
        <v>0.98262688335944548</v>
      </c>
      <c r="CF28" s="7">
        <f>'a6'!BL28</f>
        <v>6942.9012734778735</v>
      </c>
      <c r="CG28" s="7">
        <f>'a5'!S28</f>
        <v>7230.1884784956665</v>
      </c>
      <c r="CH28" s="7">
        <f>'a4'!Z28</f>
        <v>1838.6370004344926</v>
      </c>
      <c r="CI28" s="9">
        <f>'a3'!J24/'a3'!B$15</f>
        <v>1.0317460317460319</v>
      </c>
      <c r="CJ28" s="7">
        <f t="shared" si="24"/>
        <v>28653.769191241823</v>
      </c>
      <c r="CK28" s="114">
        <f t="shared" si="60"/>
        <v>0.32987400633150493</v>
      </c>
      <c r="CL28" s="11">
        <f t="shared" si="41"/>
        <v>10.263040273393369</v>
      </c>
      <c r="CM28" s="114">
        <f t="shared" si="61"/>
        <v>0.40950248896455321</v>
      </c>
      <c r="CN28" s="7">
        <f>'a1'!BI28</f>
        <v>19119.722677083024</v>
      </c>
      <c r="CO28" s="9">
        <f>'a2'!AO28/'a2'!$E$19</f>
        <v>0.96916825342476876</v>
      </c>
      <c r="CP28" s="7">
        <f>'a6'!BS28</f>
        <v>7573.2915393069688</v>
      </c>
      <c r="CQ28" s="7">
        <f>'a5'!U28</f>
        <v>9324.6091005903891</v>
      </c>
      <c r="CR28" s="7">
        <f>'a4'!AB28</f>
        <v>2237.6115641662832</v>
      </c>
      <c r="CS28" s="9">
        <f>'a3'!K24/'a3'!B$15</f>
        <v>1.0304232804232807</v>
      </c>
      <c r="CT28" s="7">
        <f t="shared" si="27"/>
        <v>34200.281724120243</v>
      </c>
      <c r="CU28" s="114">
        <f t="shared" si="62"/>
        <v>0.50040585534866278</v>
      </c>
      <c r="CV28" s="11">
        <f t="shared" si="42"/>
        <v>10.439989160564144</v>
      </c>
      <c r="CW28" s="114">
        <f t="shared" si="63"/>
        <v>0.58530706934351107</v>
      </c>
      <c r="CX28" s="7">
        <f>'a1'!BO28</f>
        <v>19273.347709114303</v>
      </c>
      <c r="CY28" s="9">
        <f>'a2'!AS28/'a2'!$E$19</f>
        <v>0.93994255871296484</v>
      </c>
      <c r="CZ28" s="7">
        <f>'a6'!BZ28</f>
        <v>6731.6118984143332</v>
      </c>
      <c r="DA28" s="7">
        <f>'a5'!W28</f>
        <v>9392.3267005197285</v>
      </c>
      <c r="DB28" s="7">
        <f>'a4'!AD28</f>
        <v>2255.5905460806302</v>
      </c>
      <c r="DC28" s="9">
        <f>'a3'!L24/'a3'!B$15</f>
        <v>1.033068783068783</v>
      </c>
      <c r="DD28" s="7">
        <f t="shared" si="30"/>
        <v>33041.865981959592</v>
      </c>
      <c r="DE28" s="114">
        <f t="shared" si="64"/>
        <v>0.46478946085388284</v>
      </c>
      <c r="DF28" s="11">
        <f t="shared" si="43"/>
        <v>10.405530702491742</v>
      </c>
      <c r="DG28" s="44">
        <f t="shared" si="65"/>
        <v>0.55107144990116919</v>
      </c>
    </row>
    <row r="29" spans="1:111">
      <c r="A29" s="1">
        <v>1991</v>
      </c>
      <c r="B29" s="7">
        <f>'a1'!G29</f>
        <v>16956.874063305397</v>
      </c>
      <c r="C29" s="9">
        <f>'a2'!E29/'a2'!E$19</f>
        <v>0.96568392727468511</v>
      </c>
      <c r="D29" s="7">
        <f>'a6'!H29</f>
        <v>7219.5337472811489</v>
      </c>
      <c r="E29" s="7">
        <f>'a5'!C29</f>
        <v>9181.0100839803472</v>
      </c>
      <c r="F29" s="7">
        <f>'a4'!H29</f>
        <v>1973.6254567523881</v>
      </c>
      <c r="G29" s="9">
        <f>'a3'!B25/'a3'!B$15</f>
        <v>1.0291005291005291</v>
      </c>
      <c r="H29" s="7">
        <f t="shared" si="0"/>
        <v>31698.250675790314</v>
      </c>
      <c r="I29" s="114">
        <f t="shared" si="44"/>
        <v>0.42347896147781944</v>
      </c>
      <c r="J29" s="11">
        <f t="shared" si="33"/>
        <v>10.364016774613681</v>
      </c>
      <c r="K29" s="114">
        <f t="shared" si="45"/>
        <v>0.50982598751269381</v>
      </c>
      <c r="L29" s="7">
        <f>'a1'!M29</f>
        <v>12633.616495642153</v>
      </c>
      <c r="M29" s="9">
        <f>'a2'!I29/'a2'!$E$19</f>
        <v>1.0539326638181472</v>
      </c>
      <c r="N29" s="7">
        <f>'a6'!O29</f>
        <v>6951.7314278500353</v>
      </c>
      <c r="O29" s="7">
        <f>'a5'!E29</f>
        <v>7119.7895604204678</v>
      </c>
      <c r="P29" s="7">
        <f>'a4'!L29</f>
        <v>1470.4377135526042</v>
      </c>
      <c r="Q29" s="9">
        <f>'a3'!C25/'a3'!B$15</f>
        <v>1.0145502645502646</v>
      </c>
      <c r="R29" s="7">
        <f t="shared" si="3"/>
        <v>26293.149954190278</v>
      </c>
      <c r="S29" s="114">
        <f t="shared" si="46"/>
        <v>0.25729492876995846</v>
      </c>
      <c r="T29" s="11">
        <f t="shared" si="34"/>
        <v>10.177063726225198</v>
      </c>
      <c r="U29" s="114">
        <f t="shared" si="47"/>
        <v>0.32408194160194553</v>
      </c>
      <c r="V29" s="7">
        <f>'a1'!S29</f>
        <v>14113.784718759827</v>
      </c>
      <c r="W29" s="9">
        <f>'a2'!M29/'a2'!$E$19</f>
        <v>0.99965318706127959</v>
      </c>
      <c r="X29" s="7">
        <f>'a6'!V29</f>
        <v>7571.7177869467159</v>
      </c>
      <c r="Y29" s="7">
        <f>'a5'!G29</f>
        <v>10146.626854455579</v>
      </c>
      <c r="Z29" s="7">
        <f>'a4'!N29</f>
        <v>1642.715792313752</v>
      </c>
      <c r="AA29" s="9">
        <f>'a3'!D25/'a3'!$B$15</f>
        <v>1.0105820105820107</v>
      </c>
      <c r="AB29" s="7">
        <f t="shared" si="6"/>
        <v>30503.931621251199</v>
      </c>
      <c r="AC29" s="114">
        <f t="shared" si="48"/>
        <v>0.38675869167230209</v>
      </c>
      <c r="AD29" s="11">
        <f t="shared" si="35"/>
        <v>10.325610859902682</v>
      </c>
      <c r="AE29" s="114">
        <f t="shared" si="49"/>
        <v>0.47166843915060136</v>
      </c>
      <c r="AF29" s="7">
        <f>'a1'!Y29</f>
        <v>15186.306858483729</v>
      </c>
      <c r="AG29" s="9">
        <f>'a2'!Q29/'a2'!$E$19</f>
        <v>0.97794552729418349</v>
      </c>
      <c r="AH29" s="7">
        <f>'a6'!AC29</f>
        <v>8662.6049216897136</v>
      </c>
      <c r="AI29" s="7">
        <f>'a5'!I29</f>
        <v>8889.922650970555</v>
      </c>
      <c r="AJ29" s="7">
        <f>'a4'!P29</f>
        <v>1767.5475856022501</v>
      </c>
      <c r="AK29" s="9">
        <f>'a3'!E25/'a3'!B$15</f>
        <v>1.0224867724867726</v>
      </c>
      <c r="AL29" s="7">
        <f t="shared" si="9"/>
        <v>31325.273731807865</v>
      </c>
      <c r="AM29" s="114">
        <f t="shared" si="50"/>
        <v>0.41201149475507004</v>
      </c>
      <c r="AN29" s="11">
        <f t="shared" si="36"/>
        <v>10.352180518171672</v>
      </c>
      <c r="AO29" s="114">
        <f t="shared" si="51"/>
        <v>0.4980662746921381</v>
      </c>
      <c r="AP29" s="7">
        <f>'a1'!AE29</f>
        <v>14262.970329963639</v>
      </c>
      <c r="AQ29" s="9">
        <f>'a2'!U29/'a2'!$E$19</f>
        <v>0.98803649216962286</v>
      </c>
      <c r="AR29" s="7">
        <f>'a6'!AJ29</f>
        <v>7188.2145622089802</v>
      </c>
      <c r="AS29" s="7">
        <f>'a5'!K29</f>
        <v>7331.008425918295</v>
      </c>
      <c r="AT29" s="7">
        <f>'a4'!R29</f>
        <v>1660.0796365549595</v>
      </c>
      <c r="AU29" s="9">
        <f>'a3'!F25/'a3'!B$15</f>
        <v>1.0277777777777779</v>
      </c>
      <c r="AV29" s="7">
        <f t="shared" si="12"/>
        <v>27700.13070553981</v>
      </c>
      <c r="AW29" s="114">
        <f t="shared" si="52"/>
        <v>0.30055364812503199</v>
      </c>
      <c r="AX29" s="11">
        <f t="shared" si="37"/>
        <v>10.229192410775843</v>
      </c>
      <c r="AY29" s="114">
        <f t="shared" si="53"/>
        <v>0.37587351633102828</v>
      </c>
      <c r="AZ29" s="7">
        <f>'a1'!AK29</f>
        <v>14990.528336037771</v>
      </c>
      <c r="BA29" s="9">
        <f>'a2'!Y29/'a2'!$E$19</f>
        <v>0.95235457666219592</v>
      </c>
      <c r="BB29" s="7">
        <f>'a6'!AQ29</f>
        <v>6911.4666900046404</v>
      </c>
      <c r="BC29" s="7">
        <f>'a5'!M29</f>
        <v>8852.8460633705745</v>
      </c>
      <c r="BD29" s="7">
        <f>'a4'!T29</f>
        <v>1744.7607515229156</v>
      </c>
      <c r="BE29" s="9">
        <f>'a3'!G25/'a3'!B$15</f>
        <v>1.0224867724867726</v>
      </c>
      <c r="BF29" s="7">
        <f t="shared" si="15"/>
        <v>28932.132616586881</v>
      </c>
      <c r="BG29" s="114">
        <f t="shared" si="54"/>
        <v>0.33843250671196068</v>
      </c>
      <c r="BH29" s="11">
        <f t="shared" si="38"/>
        <v>10.272708111692486</v>
      </c>
      <c r="BI29" s="114">
        <f t="shared" si="55"/>
        <v>0.41910780653689617</v>
      </c>
      <c r="BJ29" s="7">
        <f>'a1'!AQ29</f>
        <v>18028.501868795844</v>
      </c>
      <c r="BK29" s="9">
        <f>'a2'!AC29/'a2'!$E$19</f>
        <v>0.96941445383450442</v>
      </c>
      <c r="BL29" s="7">
        <f>'a6'!AX29</f>
        <v>7046.2243148408297</v>
      </c>
      <c r="BM29" s="7">
        <f>'a5'!O29</f>
        <v>9575.2077383408123</v>
      </c>
      <c r="BN29" s="7">
        <f>'a4'!V29</f>
        <v>2098.3531576944192</v>
      </c>
      <c r="BO29" s="9">
        <f>'a3'!H25/'a3'!B$15</f>
        <v>1.0317460317460319</v>
      </c>
      <c r="BP29" s="7">
        <f t="shared" si="18"/>
        <v>33016.047575003475</v>
      </c>
      <c r="BQ29" s="114">
        <f t="shared" si="56"/>
        <v>0.46399565381733415</v>
      </c>
      <c r="BR29" s="11">
        <f t="shared" si="39"/>
        <v>10.404749012399501</v>
      </c>
      <c r="BS29" s="114">
        <f t="shared" si="57"/>
        <v>0.55029481490306265</v>
      </c>
      <c r="BT29" s="7">
        <f>'a1'!AW29</f>
        <v>16241.830418780033</v>
      </c>
      <c r="BU29" s="9">
        <f>'a2'!AG29/'a2'!$E$19</f>
        <v>0.97438947790909802</v>
      </c>
      <c r="BV29" s="7">
        <f>'a6'!BE29</f>
        <v>7174.2065237041825</v>
      </c>
      <c r="BW29" s="7">
        <f>'a5'!Q29</f>
        <v>9160.0108267858377</v>
      </c>
      <c r="BX29" s="7">
        <f>'a4'!X29</f>
        <v>1890.4008993100374</v>
      </c>
      <c r="BY29" s="9">
        <f>'a3'!I25/'a3'!B$15</f>
        <v>1.0264550264550265</v>
      </c>
      <c r="BZ29" s="7">
        <f t="shared" si="21"/>
        <v>31070.470433678809</v>
      </c>
      <c r="CA29" s="114">
        <f t="shared" si="58"/>
        <v>0.40417736884116567</v>
      </c>
      <c r="CB29" s="11">
        <f t="shared" si="40"/>
        <v>10.34401314336287</v>
      </c>
      <c r="CC29" s="114">
        <f t="shared" si="59"/>
        <v>0.48995171729640158</v>
      </c>
      <c r="CD29" s="7">
        <f>'a1'!BC29</f>
        <v>15400.219205296033</v>
      </c>
      <c r="CE29" s="9">
        <f>'a2'!AK29/'a2'!$E$19</f>
        <v>0.97890549073233646</v>
      </c>
      <c r="CF29" s="7">
        <f>'a6'!BL29</f>
        <v>6906.2375377667577</v>
      </c>
      <c r="CG29" s="7">
        <f>'a5'!S29</f>
        <v>7350.1647902933746</v>
      </c>
      <c r="CH29" s="7">
        <f>'a4'!Z29</f>
        <v>1792.4450314172195</v>
      </c>
      <c r="CI29" s="9">
        <f>'a3'!J25/'a3'!B$15</f>
        <v>1.033068783068783</v>
      </c>
      <c r="CJ29" s="7">
        <f t="shared" si="24"/>
        <v>28450.008116246605</v>
      </c>
      <c r="CK29" s="114">
        <f t="shared" si="60"/>
        <v>0.32360921333398046</v>
      </c>
      <c r="CL29" s="11">
        <f t="shared" si="41"/>
        <v>10.255903724835512</v>
      </c>
      <c r="CM29" s="114">
        <f t="shared" si="61"/>
        <v>0.4024120915925874</v>
      </c>
      <c r="CN29" s="7">
        <f>'a1'!BI29</f>
        <v>18606.985440762008</v>
      </c>
      <c r="CO29" s="9">
        <f>'a2'!AO29/'a2'!$E$19</f>
        <v>0.96842381876981809</v>
      </c>
      <c r="CP29" s="7">
        <f>'a6'!BS29</f>
        <v>7431.4669501348853</v>
      </c>
      <c r="CQ29" s="7">
        <f>'a5'!U29</f>
        <v>9321.2782704664187</v>
      </c>
      <c r="CR29" s="7">
        <f>'a4'!AB29</f>
        <v>2165.6833684209428</v>
      </c>
      <c r="CS29" s="9">
        <f>'a3'!K25/'a3'!B$15</f>
        <v>1.0317460317460319</v>
      </c>
      <c r="CT29" s="7">
        <f t="shared" si="27"/>
        <v>33641.637042121249</v>
      </c>
      <c r="CU29" s="114">
        <f t="shared" si="62"/>
        <v>0.48322988937001005</v>
      </c>
      <c r="CV29" s="11">
        <f t="shared" si="42"/>
        <v>10.423519776461747</v>
      </c>
      <c r="CW29" s="114">
        <f t="shared" si="63"/>
        <v>0.56894419073197522</v>
      </c>
      <c r="CX29" s="7">
        <f>'a1'!BO29</f>
        <v>18891.826899564199</v>
      </c>
      <c r="CY29" s="9">
        <f>'a2'!AS29/'a2'!$E$19</f>
        <v>0.9399472348252601</v>
      </c>
      <c r="CZ29" s="7">
        <f>'a6'!BZ29</f>
        <v>7131.9778615390915</v>
      </c>
      <c r="DA29" s="7">
        <f>'a5'!W29</f>
        <v>9864.463122149702</v>
      </c>
      <c r="DB29" s="7">
        <f>'a4'!AD29</f>
        <v>2198.8363158410702</v>
      </c>
      <c r="DC29" s="9">
        <f>'a3'!L25/'a3'!B$15</f>
        <v>1.0370370370370372</v>
      </c>
      <c r="DD29" s="7">
        <f t="shared" si="30"/>
        <v>33760.663090405025</v>
      </c>
      <c r="DE29" s="114">
        <f t="shared" si="64"/>
        <v>0.48688943795566952</v>
      </c>
      <c r="DF29" s="11">
        <f t="shared" si="43"/>
        <v>10.427051589820472</v>
      </c>
      <c r="DG29" s="44">
        <f t="shared" si="65"/>
        <v>0.57245316428606252</v>
      </c>
    </row>
    <row r="30" spans="1:111">
      <c r="A30" s="1">
        <v>1992</v>
      </c>
      <c r="B30" s="7">
        <f>'a1'!G30</f>
        <v>17049.575232178588</v>
      </c>
      <c r="C30" s="9">
        <f>'a2'!E30/'a2'!E$19</f>
        <v>0.96296569493235129</v>
      </c>
      <c r="D30" s="7">
        <f>'a6'!H30</f>
        <v>7213.8918331263549</v>
      </c>
      <c r="E30" s="7">
        <f>'a5'!C30</f>
        <v>9839.0130977329063</v>
      </c>
      <c r="F30" s="7">
        <f>'a4'!H30</f>
        <v>2025.6239621583991</v>
      </c>
      <c r="G30" s="9">
        <f>'a3'!B26/'a3'!B$15</f>
        <v>1.0317460317460319</v>
      </c>
      <c r="H30" s="7">
        <f t="shared" si="0"/>
        <v>32443.704872693856</v>
      </c>
      <c r="I30" s="114">
        <f t="shared" si="44"/>
        <v>0.44639853153233605</v>
      </c>
      <c r="J30" s="11">
        <f t="shared" si="33"/>
        <v>10.387261708634679</v>
      </c>
      <c r="K30" s="114">
        <f t="shared" si="45"/>
        <v>0.53292059939094782</v>
      </c>
      <c r="L30" s="7">
        <f>'a1'!M30</f>
        <v>12745.880515558283</v>
      </c>
      <c r="M30" s="9">
        <f>'a2'!I30/'a2'!$E$19</f>
        <v>1.0408891823239534</v>
      </c>
      <c r="N30" s="7">
        <f>'a6'!O30</f>
        <v>7099.9447649662925</v>
      </c>
      <c r="O30" s="7">
        <f>'a5'!E30</f>
        <v>7347.9338867910574</v>
      </c>
      <c r="P30" s="7">
        <f>'a4'!L30</f>
        <v>1514.3110980497809</v>
      </c>
      <c r="Q30" s="9">
        <f>'a3'!C26/'a3'!B$15</f>
        <v>1.0171957671957674</v>
      </c>
      <c r="R30" s="7">
        <f t="shared" si="3"/>
        <v>26651.156406731159</v>
      </c>
      <c r="S30" s="114">
        <f t="shared" si="46"/>
        <v>0.26830211607008103</v>
      </c>
      <c r="T30" s="11">
        <f t="shared" si="34"/>
        <v>10.19058782102522</v>
      </c>
      <c r="U30" s="114">
        <f t="shared" si="47"/>
        <v>0.33751857773647254</v>
      </c>
      <c r="V30" s="7">
        <f>'a1'!S30</f>
        <v>14370.122375350655</v>
      </c>
      <c r="W30" s="9">
        <f>'a2'!M30/'a2'!$E$19</f>
        <v>0.99113647231961843</v>
      </c>
      <c r="X30" s="7">
        <f>'a6'!V30</f>
        <v>7390.2213671302243</v>
      </c>
      <c r="Y30" s="7">
        <f>'a5'!G30</f>
        <v>11420.560335854399</v>
      </c>
      <c r="Z30" s="7">
        <f>'a4'!N30</f>
        <v>1707.2838370612819</v>
      </c>
      <c r="AA30" s="9">
        <f>'a3'!D26/'a3'!$B$15</f>
        <v>1.0251322751322751</v>
      </c>
      <c r="AB30" s="7">
        <f t="shared" si="6"/>
        <v>32134.052849825322</v>
      </c>
      <c r="AC30" s="114">
        <f t="shared" si="48"/>
        <v>0.43687803884460563</v>
      </c>
      <c r="AD30" s="11">
        <f t="shared" si="35"/>
        <v>10.377671583271914</v>
      </c>
      <c r="AE30" s="114">
        <f t="shared" si="49"/>
        <v>0.52339249219491157</v>
      </c>
      <c r="AF30" s="7">
        <f>'a1'!Y30</f>
        <v>15517.955823638236</v>
      </c>
      <c r="AG30" s="9">
        <f>'a2'!Q30/'a2'!$E$19</f>
        <v>0.97894828193049932</v>
      </c>
      <c r="AH30" s="7">
        <f>'a6'!AC30</f>
        <v>8745.1200789486356</v>
      </c>
      <c r="AI30" s="7">
        <f>'a5'!I30</f>
        <v>9740.2565473902268</v>
      </c>
      <c r="AJ30" s="7">
        <f>'a4'!P30</f>
        <v>1843.6555006221417</v>
      </c>
      <c r="AK30" s="9">
        <f>'a3'!E26/'a3'!B$15</f>
        <v>1.0185185185185186</v>
      </c>
      <c r="AL30" s="7">
        <f t="shared" si="9"/>
        <v>32422.497268680407</v>
      </c>
      <c r="AM30" s="114">
        <f t="shared" si="50"/>
        <v>0.44574648722445809</v>
      </c>
      <c r="AN30" s="11">
        <f t="shared" si="36"/>
        <v>10.386607820968406</v>
      </c>
      <c r="AO30" s="114">
        <f t="shared" si="51"/>
        <v>0.53227094033616607</v>
      </c>
      <c r="AP30" s="7">
        <f>'a1'!AE30</f>
        <v>14482.951287291762</v>
      </c>
      <c r="AQ30" s="9">
        <f>'a2'!U30/'a2'!$E$19</f>
        <v>0.98622387416597301</v>
      </c>
      <c r="AR30" s="7">
        <f>'a6'!AJ30</f>
        <v>7271.6799846674649</v>
      </c>
      <c r="AS30" s="7">
        <f>'a5'!K30</f>
        <v>7515.8641459225755</v>
      </c>
      <c r="AT30" s="7">
        <f>'a4'!R30</f>
        <v>1720.6888013809098</v>
      </c>
      <c r="AU30" s="9">
        <f>'a3'!F26/'a3'!B$15</f>
        <v>1.0264550264550265</v>
      </c>
      <c r="AV30" s="7">
        <f t="shared" si="12"/>
        <v>28073.840240640748</v>
      </c>
      <c r="AW30" s="114">
        <f t="shared" si="52"/>
        <v>0.31204363893246867</v>
      </c>
      <c r="AX30" s="11">
        <f t="shared" si="37"/>
        <v>10.242593469426257</v>
      </c>
      <c r="AY30" s="114">
        <f t="shared" si="53"/>
        <v>0.38918791197566505</v>
      </c>
      <c r="AZ30" s="7">
        <f>'a1'!AK30</f>
        <v>15134.437223013751</v>
      </c>
      <c r="BA30" s="9">
        <f>'a2'!Y30/'a2'!$E$19</f>
        <v>0.94618880750428302</v>
      </c>
      <c r="BB30" s="7">
        <f>'a6'!AQ30</f>
        <v>7020.0007043016722</v>
      </c>
      <c r="BC30" s="7">
        <f>'a5'!M30</f>
        <v>9317.9302655278334</v>
      </c>
      <c r="BD30" s="7">
        <f>'a4'!T30</f>
        <v>1798.090467078538</v>
      </c>
      <c r="BE30" s="9">
        <f>'a3'!G26/'a3'!B$15</f>
        <v>1.0277777777777779</v>
      </c>
      <c r="BF30" s="7">
        <f t="shared" si="15"/>
        <v>29661.538822460639</v>
      </c>
      <c r="BG30" s="114">
        <f t="shared" si="54"/>
        <v>0.36085866877954903</v>
      </c>
      <c r="BH30" s="11">
        <f t="shared" si="38"/>
        <v>10.29760649642501</v>
      </c>
      <c r="BI30" s="114">
        <f t="shared" si="55"/>
        <v>0.44384517646333493</v>
      </c>
      <c r="BJ30" s="7">
        <f>'a1'!AQ30</f>
        <v>18071.537583692334</v>
      </c>
      <c r="BK30" s="9">
        <f>'a2'!AC30/'a2'!$E$19</f>
        <v>0.96814753934104325</v>
      </c>
      <c r="BL30" s="7">
        <f>'a6'!AX30</f>
        <v>6998.7459388336083</v>
      </c>
      <c r="BM30" s="7">
        <f>'a5'!O30</f>
        <v>10513.553445822541</v>
      </c>
      <c r="BN30" s="7">
        <f>'a4'!V30</f>
        <v>2147.0411470125387</v>
      </c>
      <c r="BO30" s="9">
        <f>'a3'!H26/'a3'!B$15</f>
        <v>1.0343915343915344</v>
      </c>
      <c r="BP30" s="7">
        <f t="shared" si="18"/>
        <v>33991.319038701498</v>
      </c>
      <c r="BQ30" s="114">
        <f t="shared" si="56"/>
        <v>0.49398113478618055</v>
      </c>
      <c r="BR30" s="11">
        <f t="shared" si="39"/>
        <v>10.433860448606856</v>
      </c>
      <c r="BS30" s="114">
        <f t="shared" si="57"/>
        <v>0.57921799101619342</v>
      </c>
      <c r="BT30" s="7">
        <f>'a1'!AW30</f>
        <v>16381.037288945969</v>
      </c>
      <c r="BU30" s="9">
        <f>'a2'!AG30/'a2'!$E$19</f>
        <v>0.97574307120495885</v>
      </c>
      <c r="BV30" s="7">
        <f>'a6'!BE30</f>
        <v>7046.170711390022</v>
      </c>
      <c r="BW30" s="7">
        <f>'a5'!Q30</f>
        <v>9558.3473731613813</v>
      </c>
      <c r="BX30" s="7">
        <f>'a4'!X30</f>
        <v>1946.1963835247554</v>
      </c>
      <c r="BY30" s="9">
        <f>'a3'!I26/'a3'!B$15</f>
        <v>1.0304232804232807</v>
      </c>
      <c r="BZ30" s="7">
        <f t="shared" si="21"/>
        <v>31574.235655900025</v>
      </c>
      <c r="CA30" s="114">
        <f t="shared" si="58"/>
        <v>0.41966602307329459</v>
      </c>
      <c r="CB30" s="11">
        <f t="shared" si="40"/>
        <v>10.360096739669952</v>
      </c>
      <c r="CC30" s="114">
        <f t="shared" si="59"/>
        <v>0.50593130295506805</v>
      </c>
      <c r="CD30" s="7">
        <f>'a1'!BC30</f>
        <v>15511.033421481183</v>
      </c>
      <c r="CE30" s="9">
        <f>'a2'!AK30/'a2'!$E$19</f>
        <v>0.9757368762183779</v>
      </c>
      <c r="CF30" s="7">
        <f>'a6'!BL30</f>
        <v>6507.5050553748433</v>
      </c>
      <c r="CG30" s="7">
        <f>'a5'!S30</f>
        <v>7738.8851340873398</v>
      </c>
      <c r="CH30" s="7">
        <f>'a4'!Z30</f>
        <v>1842.833064667341</v>
      </c>
      <c r="CI30" s="9">
        <f>'a3'!J26/'a3'!B$15</f>
        <v>1.0436507936507937</v>
      </c>
      <c r="CJ30" s="7">
        <f t="shared" si="24"/>
        <v>28740.310647176608</v>
      </c>
      <c r="CK30" s="114">
        <f t="shared" si="60"/>
        <v>0.33253479081719994</v>
      </c>
      <c r="CL30" s="11">
        <f t="shared" si="41"/>
        <v>10.266055968453397</v>
      </c>
      <c r="CM30" s="114">
        <f t="shared" si="61"/>
        <v>0.4124986818938004</v>
      </c>
      <c r="CN30" s="7">
        <f>'a1'!BI30</f>
        <v>18519.967546279979</v>
      </c>
      <c r="CO30" s="9">
        <f>'a2'!AO30/'a2'!$E$19</f>
        <v>0.96601196802860856</v>
      </c>
      <c r="CP30" s="7">
        <f>'a6'!BS30</f>
        <v>7363.7021206517666</v>
      </c>
      <c r="CQ30" s="7">
        <f>'a5'!U30</f>
        <v>9735.9312696920388</v>
      </c>
      <c r="CR30" s="7">
        <f>'a4'!AB30</f>
        <v>2200.3181621403378</v>
      </c>
      <c r="CS30" s="9">
        <f>'a3'!K26/'a3'!B$15</f>
        <v>1.0357142857142858</v>
      </c>
      <c r="CT30" s="7">
        <f t="shared" si="27"/>
        <v>33960.890722747477</v>
      </c>
      <c r="CU30" s="114">
        <f t="shared" si="62"/>
        <v>0.49304559250598951</v>
      </c>
      <c r="CV30" s="11">
        <f t="shared" si="42"/>
        <v>10.432964868666346</v>
      </c>
      <c r="CW30" s="114">
        <f t="shared" si="63"/>
        <v>0.57832820268152496</v>
      </c>
      <c r="CX30" s="7">
        <f>'a1'!BO30</f>
        <v>19009.156475347972</v>
      </c>
      <c r="CY30" s="9">
        <f>'a2'!AS30/'a2'!$E$19</f>
        <v>0.9388328581021943</v>
      </c>
      <c r="CZ30" s="7">
        <f>'a6'!BZ30</f>
        <v>7188.2128698862543</v>
      </c>
      <c r="DA30" s="7">
        <f>'a5'!W30</f>
        <v>10597.49539107368</v>
      </c>
      <c r="DB30" s="7">
        <f>'a4'!AD30</f>
        <v>2258.4376638433787</v>
      </c>
      <c r="DC30" s="9">
        <f>'a3'!L26/'a3'!B$15</f>
        <v>1.0370370370370372</v>
      </c>
      <c r="DD30" s="7">
        <f t="shared" si="30"/>
        <v>34609.753941756353</v>
      </c>
      <c r="DE30" s="114">
        <f t="shared" si="64"/>
        <v>0.51299539769274249</v>
      </c>
      <c r="DF30" s="11">
        <f t="shared" si="43"/>
        <v>10.451890827148942</v>
      </c>
      <c r="DG30" s="44">
        <f t="shared" si="65"/>
        <v>0.59713176930746903</v>
      </c>
    </row>
    <row r="31" spans="1:111">
      <c r="A31" s="1">
        <v>1993</v>
      </c>
      <c r="B31" s="7">
        <f>'a1'!G31</f>
        <v>17163.571574094178</v>
      </c>
      <c r="C31" s="9">
        <f>'a2'!E31/'a2'!E$19</f>
        <v>0.96239040021550759</v>
      </c>
      <c r="D31" s="7">
        <f>'a6'!H31</f>
        <v>7115.1534329655324</v>
      </c>
      <c r="E31" s="7">
        <f>'a5'!C31</f>
        <v>10173.498712547074</v>
      </c>
      <c r="F31" s="7">
        <f>'a4'!H31</f>
        <v>2077.8856167889467</v>
      </c>
      <c r="G31" s="9">
        <f>'a3'!B27/'a3'!B$15</f>
        <v>1.0304232804232807</v>
      </c>
      <c r="H31" s="7">
        <f t="shared" si="0"/>
        <v>32694.11792604368</v>
      </c>
      <c r="I31" s="114">
        <f t="shared" si="44"/>
        <v>0.45409767595013772</v>
      </c>
      <c r="J31" s="11">
        <f t="shared" si="33"/>
        <v>10.394950460767506</v>
      </c>
      <c r="K31" s="114">
        <f t="shared" si="45"/>
        <v>0.54055962930496426</v>
      </c>
      <c r="L31" s="7">
        <f>'a1'!M31</f>
        <v>12824.646494602372</v>
      </c>
      <c r="M31" s="9">
        <f>'a2'!I31/'a2'!$E$19</f>
        <v>1.0381392160102469</v>
      </c>
      <c r="N31" s="7">
        <f>'a6'!O31</f>
        <v>6987.539920016462</v>
      </c>
      <c r="O31" s="7">
        <f>'a5'!E31</f>
        <v>7481.1644585212134</v>
      </c>
      <c r="P31" s="7">
        <f>'a4'!L31</f>
        <v>1552.5992580564298</v>
      </c>
      <c r="Q31" s="9">
        <f>'a3'!C27/'a3'!B$15</f>
        <v>1.0158730158730158</v>
      </c>
      <c r="R31" s="7">
        <f t="shared" si="3"/>
        <v>26646.220777647042</v>
      </c>
      <c r="S31" s="114">
        <f t="shared" si="46"/>
        <v>0.26815036630862493</v>
      </c>
      <c r="T31" s="11">
        <f t="shared" si="34"/>
        <v>10.190402610068922</v>
      </c>
      <c r="U31" s="114">
        <f t="shared" si="47"/>
        <v>0.33733456451675609</v>
      </c>
      <c r="V31" s="7">
        <f>'a1'!S31</f>
        <v>14518.41091869236</v>
      </c>
      <c r="W31" s="9">
        <f>'a2'!M31/'a2'!$E$19</f>
        <v>0.98622441465564981</v>
      </c>
      <c r="X31" s="7">
        <f>'a6'!V31</f>
        <v>7044.2023557213615</v>
      </c>
      <c r="Y31" s="7">
        <f>'a5'!G31</f>
        <v>7627.8155705609561</v>
      </c>
      <c r="Z31" s="7">
        <f>'a4'!N31</f>
        <v>1757.6526596664698</v>
      </c>
      <c r="AA31" s="9">
        <f>'a3'!D27/'a3'!$B$15</f>
        <v>1.0198412698412698</v>
      </c>
      <c r="AB31" s="7">
        <f t="shared" si="6"/>
        <v>27773.109445217411</v>
      </c>
      <c r="AC31" s="114">
        <f t="shared" si="48"/>
        <v>0.30279743633291778</v>
      </c>
      <c r="AD31" s="11">
        <f t="shared" si="35"/>
        <v>10.231823545412331</v>
      </c>
      <c r="AE31" s="114">
        <f t="shared" si="49"/>
        <v>0.37848763574191696</v>
      </c>
      <c r="AF31" s="7">
        <f>'a1'!Y31</f>
        <v>15639.797602619261</v>
      </c>
      <c r="AG31" s="9">
        <f>'a2'!Q31/'a2'!$E$19</f>
        <v>0.9744502076056889</v>
      </c>
      <c r="AH31" s="7">
        <f>'a6'!AC31</f>
        <v>8962.2092712812428</v>
      </c>
      <c r="AI31" s="7">
        <f>'a5'!I31</f>
        <v>9990.8594981705774</v>
      </c>
      <c r="AJ31" s="7">
        <f>'a4'!P31</f>
        <v>1893.4118896921898</v>
      </c>
      <c r="AK31" s="9">
        <f>'a3'!E27/'a3'!B$15</f>
        <v>1.0238095238095239</v>
      </c>
      <c r="AL31" s="7">
        <f t="shared" si="9"/>
        <v>33068.905207698706</v>
      </c>
      <c r="AM31" s="114">
        <f t="shared" si="50"/>
        <v>0.46562080291503388</v>
      </c>
      <c r="AN31" s="11">
        <f t="shared" si="36"/>
        <v>10.40634870012693</v>
      </c>
      <c r="AO31" s="114">
        <f t="shared" si="51"/>
        <v>0.55188415764578735</v>
      </c>
      <c r="AP31" s="7">
        <f>'a1'!AE31</f>
        <v>14679.251935065144</v>
      </c>
      <c r="AQ31" s="9">
        <f>'a2'!U31/'a2'!$E$19</f>
        <v>0.98494058742389345</v>
      </c>
      <c r="AR31" s="7">
        <f>'a6'!AJ31</f>
        <v>7413.5989751055204</v>
      </c>
      <c r="AS31" s="7">
        <f>'a5'!K31</f>
        <v>7775.5923346449681</v>
      </c>
      <c r="AT31" s="7">
        <f>'a4'!R31</f>
        <v>1777.1246695024158</v>
      </c>
      <c r="AU31" s="9">
        <f>'a3'!F27/'a3'!B$15</f>
        <v>1.0251322751322751</v>
      </c>
      <c r="AV31" s="7">
        <f t="shared" si="12"/>
        <v>28570.700647736383</v>
      </c>
      <c r="AW31" s="114">
        <f t="shared" si="52"/>
        <v>0.32731999924413729</v>
      </c>
      <c r="AX31" s="11">
        <f t="shared" si="37"/>
        <v>10.260137018821082</v>
      </c>
      <c r="AY31" s="114">
        <f t="shared" si="53"/>
        <v>0.40661800938417841</v>
      </c>
      <c r="AZ31" s="7">
        <f>'a1'!AK31</f>
        <v>15282.810666667412</v>
      </c>
      <c r="BA31" s="9">
        <f>'a2'!Y31/'a2'!$E$19</f>
        <v>0.9458867369589179</v>
      </c>
      <c r="BB31" s="7">
        <f>'a6'!AQ31</f>
        <v>6990.7891374690471</v>
      </c>
      <c r="BC31" s="7">
        <f>'a5'!M31</f>
        <v>9607.9406248353989</v>
      </c>
      <c r="BD31" s="7">
        <f>'a4'!T31</f>
        <v>1850.1937275285813</v>
      </c>
      <c r="BE31" s="9">
        <f>'a3'!G27/'a3'!B$15</f>
        <v>1.0238095238095239</v>
      </c>
      <c r="BF31" s="7">
        <f t="shared" si="15"/>
        <v>29899.68547039825</v>
      </c>
      <c r="BG31" s="114">
        <f t="shared" si="54"/>
        <v>0.36818067300640384</v>
      </c>
      <c r="BH31" s="11">
        <f t="shared" si="38"/>
        <v>10.305603239938774</v>
      </c>
      <c r="BI31" s="114">
        <f t="shared" si="55"/>
        <v>0.45179020601573178</v>
      </c>
      <c r="BJ31" s="7">
        <f>'a1'!AQ31</f>
        <v>18103.677461202664</v>
      </c>
      <c r="BK31" s="9">
        <f>'a2'!AC31/'a2'!$E$19</f>
        <v>0.96783092211672472</v>
      </c>
      <c r="BL31" s="7">
        <f>'a6'!AX31</f>
        <v>6860.3761575199096</v>
      </c>
      <c r="BM31" s="7">
        <f>'a5'!O31</f>
        <v>10918.916345258285</v>
      </c>
      <c r="BN31" s="7">
        <f>'a4'!V31</f>
        <v>2191.6983213678554</v>
      </c>
      <c r="BO31" s="9">
        <f>'a3'!H27/'a3'!B$15</f>
        <v>1.033068783068783</v>
      </c>
      <c r="BP31" s="7">
        <f t="shared" si="18"/>
        <v>34203.763833725527</v>
      </c>
      <c r="BQ31" s="114">
        <f t="shared" si="56"/>
        <v>0.5005129155213297</v>
      </c>
      <c r="BR31" s="11">
        <f t="shared" si="39"/>
        <v>10.440090970612946</v>
      </c>
      <c r="BS31" s="114">
        <f t="shared" si="57"/>
        <v>0.58540822099919088</v>
      </c>
      <c r="BT31" s="7">
        <f>'a1'!AW31</f>
        <v>16585.27332236954</v>
      </c>
      <c r="BU31" s="9">
        <f>'a2'!AG31/'a2'!$E$19</f>
        <v>0.97450832196119463</v>
      </c>
      <c r="BV31" s="7">
        <f>'a6'!BE31</f>
        <v>6940.5585425994441</v>
      </c>
      <c r="BW31" s="7">
        <f>'a5'!Q31</f>
        <v>9821.6930763011405</v>
      </c>
      <c r="BX31" s="7">
        <f>'a4'!X31</f>
        <v>2007.8746861218988</v>
      </c>
      <c r="BY31" s="9">
        <f>'a3'!I27/'a3'!B$15</f>
        <v>1.0264550264550265</v>
      </c>
      <c r="BZ31" s="7">
        <f t="shared" si="21"/>
        <v>31734.770257360775</v>
      </c>
      <c r="CA31" s="114">
        <f t="shared" si="58"/>
        <v>0.42460178446498964</v>
      </c>
      <c r="CB31" s="11">
        <f t="shared" si="40"/>
        <v>10.365168212305536</v>
      </c>
      <c r="CC31" s="114">
        <f t="shared" si="59"/>
        <v>0.51096997899795027</v>
      </c>
      <c r="CD31" s="7">
        <f>'a1'!BC31</f>
        <v>15740.391300029794</v>
      </c>
      <c r="CE31" s="9">
        <f>'a2'!AK31/'a2'!$E$19</f>
        <v>0.97463874818504603</v>
      </c>
      <c r="CF31" s="7">
        <f>'a6'!BL31</f>
        <v>6708.8646130643283</v>
      </c>
      <c r="CG31" s="7">
        <f>'a5'!S31</f>
        <v>7958.6673553868941</v>
      </c>
      <c r="CH31" s="7">
        <f>'a4'!Z31</f>
        <v>1905.5901356992422</v>
      </c>
      <c r="CI31" s="9">
        <f>'a3'!J27/'a3'!B$15</f>
        <v>1.0383597883597884</v>
      </c>
      <c r="CJ31" s="7">
        <f t="shared" si="24"/>
        <v>29181.167496963371</v>
      </c>
      <c r="CK31" s="114">
        <f t="shared" si="60"/>
        <v>0.34608927812798596</v>
      </c>
      <c r="CL31" s="11">
        <f t="shared" si="41"/>
        <v>10.28127883145334</v>
      </c>
      <c r="CM31" s="114">
        <f t="shared" si="61"/>
        <v>0.42762310050225699</v>
      </c>
      <c r="CN31" s="7">
        <f>'a1'!BI31</f>
        <v>18803.340616625403</v>
      </c>
      <c r="CO31" s="9">
        <f>'a2'!AO31/'a2'!$E$19</f>
        <v>0.96954470380975766</v>
      </c>
      <c r="CP31" s="7">
        <f>'a6'!BS31</f>
        <v>7083.6479978449988</v>
      </c>
      <c r="CQ31" s="7">
        <f>'a5'!U31</f>
        <v>10120.687771085302</v>
      </c>
      <c r="CR31" s="7">
        <f>'a4'!AB31</f>
        <v>2276.4021372941629</v>
      </c>
      <c r="CS31" s="9">
        <f>'a3'!K27/'a3'!B$15</f>
        <v>1.0343915343915344</v>
      </c>
      <c r="CT31" s="7">
        <f t="shared" si="27"/>
        <v>34298.988517732098</v>
      </c>
      <c r="CU31" s="114">
        <f t="shared" si="62"/>
        <v>0.50344067261904746</v>
      </c>
      <c r="CV31" s="11">
        <f t="shared" si="42"/>
        <v>10.442871143440266</v>
      </c>
      <c r="CW31" s="114">
        <f t="shared" si="63"/>
        <v>0.58817041478917642</v>
      </c>
      <c r="CX31" s="7">
        <f>'a1'!BO31</f>
        <v>19063.157623301042</v>
      </c>
      <c r="CY31" s="9">
        <f>'a2'!AS31/'a2'!$E$19</f>
        <v>0.93641950830795939</v>
      </c>
      <c r="CZ31" s="7">
        <f>'a6'!BZ31</f>
        <v>7087.9491831426149</v>
      </c>
      <c r="DA31" s="7">
        <f>'a5'!W31</f>
        <v>10951.833565404</v>
      </c>
      <c r="DB31" s="7">
        <f>'a4'!AD31</f>
        <v>2307.8565475162941</v>
      </c>
      <c r="DC31" s="9">
        <f>'a3'!L27/'a3'!B$15</f>
        <v>1.0357142857142858</v>
      </c>
      <c r="DD31" s="7">
        <f t="shared" si="30"/>
        <v>34782.433135490399</v>
      </c>
      <c r="DE31" s="114">
        <f t="shared" si="64"/>
        <v>0.51830455403552589</v>
      </c>
      <c r="DF31" s="11">
        <f t="shared" si="43"/>
        <v>10.456867743353525</v>
      </c>
      <c r="DG31" s="44">
        <f t="shared" si="65"/>
        <v>0.60207650040421556</v>
      </c>
    </row>
    <row r="32" spans="1:111">
      <c r="A32" s="1">
        <v>1994</v>
      </c>
      <c r="B32" s="7">
        <f>'a1'!G32</f>
        <v>17511.496202690261</v>
      </c>
      <c r="C32" s="9">
        <f>'a2'!E32/'a2'!E$19</f>
        <v>0.96191002940823911</v>
      </c>
      <c r="D32" s="7">
        <f>'a6'!H32</f>
        <v>6978.9054036775033</v>
      </c>
      <c r="E32" s="7">
        <f>'a5'!C32</f>
        <v>10519.741809214423</v>
      </c>
      <c r="F32" s="7">
        <f>'a4'!H32</f>
        <v>2128.8411536677208</v>
      </c>
      <c r="G32" s="9">
        <f>'a3'!B28/'a3'!B$15</f>
        <v>1.0317460317460319</v>
      </c>
      <c r="H32" s="7">
        <f t="shared" si="0"/>
        <v>33236.965755950114</v>
      </c>
      <c r="I32" s="114">
        <f t="shared" si="44"/>
        <v>0.4707879554041452</v>
      </c>
      <c r="J32" s="11">
        <f t="shared" si="33"/>
        <v>10.411417961889191</v>
      </c>
      <c r="K32" s="114">
        <f t="shared" si="45"/>
        <v>0.55692063711279405</v>
      </c>
      <c r="L32" s="7">
        <f>'a1'!M32</f>
        <v>13100.862366093032</v>
      </c>
      <c r="M32" s="9">
        <f>'a2'!I32/'a2'!$E$19</f>
        <v>1.035814194929056</v>
      </c>
      <c r="N32" s="7">
        <f>'a6'!O32</f>
        <v>6935.3709676262724</v>
      </c>
      <c r="O32" s="7">
        <f>'a5'!E32</f>
        <v>7688.1309689131158</v>
      </c>
      <c r="P32" s="7">
        <f>'a4'!L32</f>
        <v>1592.6483168920129</v>
      </c>
      <c r="Q32" s="9">
        <f>'a3'!C28/'a3'!B$15</f>
        <v>1.0132275132275133</v>
      </c>
      <c r="R32" s="7">
        <f t="shared" si="3"/>
        <v>26952.776750505203</v>
      </c>
      <c r="S32" s="114">
        <f t="shared" si="46"/>
        <v>0.27757566852670645</v>
      </c>
      <c r="T32" s="11">
        <f t="shared" si="34"/>
        <v>10.201841604443487</v>
      </c>
      <c r="U32" s="114">
        <f t="shared" si="47"/>
        <v>0.34869958431502579</v>
      </c>
      <c r="V32" s="7">
        <f>'a1'!S32</f>
        <v>14666.097109497367</v>
      </c>
      <c r="W32" s="9">
        <f>'a2'!M32/'a2'!$E$19</f>
        <v>0.9909139422118155</v>
      </c>
      <c r="X32" s="7">
        <f>'a6'!V32</f>
        <v>6738.9793820105833</v>
      </c>
      <c r="Y32" s="7">
        <f>'a5'!G32</f>
        <v>7880.9373820238634</v>
      </c>
      <c r="Z32" s="7">
        <f>'a4'!N32</f>
        <v>1782.9310944651693</v>
      </c>
      <c r="AA32" s="9">
        <f>'a3'!D28/'a3'!$B$15</f>
        <v>1.0317460317460319</v>
      </c>
      <c r="AB32" s="7">
        <f t="shared" si="6"/>
        <v>28238.709131082072</v>
      </c>
      <c r="AC32" s="114">
        <f t="shared" si="48"/>
        <v>0.31711266141564254</v>
      </c>
      <c r="AD32" s="11">
        <f t="shared" si="35"/>
        <v>10.24844897990668</v>
      </c>
      <c r="AE32" s="114">
        <f t="shared" si="49"/>
        <v>0.3950055555866237</v>
      </c>
      <c r="AF32" s="7">
        <f>'a1'!Y32</f>
        <v>15858.733308087101</v>
      </c>
      <c r="AG32" s="9">
        <f>'a2'!Q32/'a2'!$E$19</f>
        <v>0.96925743488268745</v>
      </c>
      <c r="AH32" s="7">
        <f>'a6'!AC32</f>
        <v>8657.7399400882132</v>
      </c>
      <c r="AI32" s="7">
        <f>'a5'!I32</f>
        <v>10265.045075887159</v>
      </c>
      <c r="AJ32" s="7">
        <f>'a4'!P32</f>
        <v>1927.9177358991321</v>
      </c>
      <c r="AK32" s="9">
        <f>'a3'!E28/'a3'!B$15</f>
        <v>1.0211640211640214</v>
      </c>
      <c r="AL32" s="7">
        <f t="shared" si="9"/>
        <v>33051.058477380677</v>
      </c>
      <c r="AM32" s="114">
        <f t="shared" si="50"/>
        <v>0.4650720912873213</v>
      </c>
      <c r="AN32" s="11">
        <f t="shared" si="36"/>
        <v>10.405808871314063</v>
      </c>
      <c r="AO32" s="114">
        <f t="shared" si="51"/>
        <v>0.55134781983976899</v>
      </c>
      <c r="AP32" s="7">
        <f>'a1'!AE32</f>
        <v>14851.003419156608</v>
      </c>
      <c r="AQ32" s="9">
        <f>'a2'!U32/'a2'!$E$19</f>
        <v>0.97897308232528968</v>
      </c>
      <c r="AR32" s="7">
        <f>'a6'!AJ32</f>
        <v>7304.0365103282265</v>
      </c>
      <c r="AS32" s="7">
        <f>'a5'!K32</f>
        <v>8036.9897370752178</v>
      </c>
      <c r="AT32" s="7">
        <f>'a4'!R32</f>
        <v>1805.4098225543742</v>
      </c>
      <c r="AU32" s="9">
        <f>'a3'!F28/'a3'!B$15</f>
        <v>1.0264550264550265</v>
      </c>
      <c r="AV32" s="7">
        <f t="shared" si="12"/>
        <v>28817.056663695774</v>
      </c>
      <c r="AW32" s="114">
        <f t="shared" si="52"/>
        <v>0.33489440688660105</v>
      </c>
      <c r="AX32" s="11">
        <f t="shared" si="37"/>
        <v>10.268722736083237</v>
      </c>
      <c r="AY32" s="114">
        <f t="shared" si="53"/>
        <v>0.41514820386383555</v>
      </c>
      <c r="AZ32" s="7">
        <f>'a1'!AK32</f>
        <v>15682.658493969262</v>
      </c>
      <c r="BA32" s="9">
        <f>'a2'!Y32/'a2'!$E$19</f>
        <v>0.94345753777934194</v>
      </c>
      <c r="BB32" s="7">
        <f>'a6'!AQ32</f>
        <v>6908.6228260152839</v>
      </c>
      <c r="BC32" s="7">
        <f>'a5'!M32</f>
        <v>9922.0813183898772</v>
      </c>
      <c r="BD32" s="7">
        <f>'a4'!T32</f>
        <v>1906.5126368670537</v>
      </c>
      <c r="BE32" s="9">
        <f>'a3'!G28/'a3'!B$15</f>
        <v>1.0277777777777779</v>
      </c>
      <c r="BF32" s="7">
        <f t="shared" si="15"/>
        <v>30545.672594872987</v>
      </c>
      <c r="BG32" s="114">
        <f t="shared" si="54"/>
        <v>0.38804205042598833</v>
      </c>
      <c r="BH32" s="11">
        <f t="shared" si="38"/>
        <v>10.326978304644118</v>
      </c>
      <c r="BI32" s="114">
        <f t="shared" si="55"/>
        <v>0.47302704079429336</v>
      </c>
      <c r="BJ32" s="7">
        <f>'a1'!AQ32</f>
        <v>18436.482879517476</v>
      </c>
      <c r="BK32" s="9">
        <f>'a2'!AC32/'a2'!$E$19</f>
        <v>0.96916745295932705</v>
      </c>
      <c r="BL32" s="7">
        <f>'a6'!AX32</f>
        <v>6816.6243825315514</v>
      </c>
      <c r="BM32" s="7">
        <f>'a5'!O32</f>
        <v>11329.467329677025</v>
      </c>
      <c r="BN32" s="7">
        <f>'a4'!V32</f>
        <v>2241.2901232721347</v>
      </c>
      <c r="BO32" s="9">
        <f>'a3'!H28/'a3'!B$15</f>
        <v>1.0343915343915344</v>
      </c>
      <c r="BP32" s="7">
        <f t="shared" si="18"/>
        <v>34934.340556712683</v>
      </c>
      <c r="BQ32" s="114">
        <f t="shared" si="56"/>
        <v>0.52297506604949962</v>
      </c>
      <c r="BR32" s="11">
        <f t="shared" si="39"/>
        <v>10.461225594515639</v>
      </c>
      <c r="BS32" s="114">
        <f t="shared" si="57"/>
        <v>0.60640616987633811</v>
      </c>
      <c r="BT32" s="7">
        <f>'a1'!AW32</f>
        <v>16924.405509112115</v>
      </c>
      <c r="BU32" s="9">
        <f>'a2'!AG32/'a2'!$E$19</f>
        <v>0.97470349920867516</v>
      </c>
      <c r="BV32" s="7">
        <f>'a6'!BE32</f>
        <v>6756.8671275604966</v>
      </c>
      <c r="BW32" s="7">
        <f>'a5'!Q32</f>
        <v>10086.353703565914</v>
      </c>
      <c r="BX32" s="7">
        <f>'a4'!X32</f>
        <v>2057.4695920970726</v>
      </c>
      <c r="BY32" s="9">
        <f>'a3'!I28/'a3'!B$15</f>
        <v>1.0304232804232807</v>
      </c>
      <c r="BZ32" s="7">
        <f t="shared" si="21"/>
        <v>32233.73043638024</v>
      </c>
      <c r="CA32" s="114">
        <f t="shared" si="58"/>
        <v>0.43994270390035312</v>
      </c>
      <c r="CB32" s="11">
        <f t="shared" si="40"/>
        <v>10.3807687123369</v>
      </c>
      <c r="CC32" s="114">
        <f t="shared" si="59"/>
        <v>0.52646959250537551</v>
      </c>
      <c r="CD32" s="7">
        <f>'a1'!BC32</f>
        <v>16211.772280415025</v>
      </c>
      <c r="CE32" s="9">
        <f>'a2'!AK32/'a2'!$E$19</f>
        <v>0.97343972824713798</v>
      </c>
      <c r="CF32" s="7">
        <f>'a6'!BL32</f>
        <v>6442.0880181880902</v>
      </c>
      <c r="CG32" s="7">
        <f>'a5'!S32</f>
        <v>8186.624100383714</v>
      </c>
      <c r="CH32" s="7">
        <f>'a4'!Z32</f>
        <v>1970.8360499278776</v>
      </c>
      <c r="CI32" s="9">
        <f>'a3'!J28/'a3'!B$15</f>
        <v>1.0370370370370372</v>
      </c>
      <c r="CJ32" s="7">
        <f t="shared" si="24"/>
        <v>29492.357763239899</v>
      </c>
      <c r="CK32" s="114">
        <f t="shared" si="60"/>
        <v>0.35565706530771451</v>
      </c>
      <c r="CL32" s="11">
        <f t="shared" si="41"/>
        <v>10.291886449893141</v>
      </c>
      <c r="CM32" s="114">
        <f t="shared" si="61"/>
        <v>0.43816212077215844</v>
      </c>
      <c r="CN32" s="7">
        <f>'a1'!BI32</f>
        <v>19283.82000188106</v>
      </c>
      <c r="CO32" s="9">
        <f>'a2'!AO32/'a2'!$E$19</f>
        <v>0.97094161411154989</v>
      </c>
      <c r="CP32" s="7">
        <f>'a6'!BS32</f>
        <v>6492.8243462665159</v>
      </c>
      <c r="CQ32" s="7">
        <f>'a5'!U32</f>
        <v>10527.510818816969</v>
      </c>
      <c r="CR32" s="7">
        <f>'a4'!AB32</f>
        <v>2344.2993759504325</v>
      </c>
      <c r="CS32" s="9">
        <f>'a3'!K28/'a3'!B$15</f>
        <v>1.0357142857142858</v>
      </c>
      <c r="CT32" s="7">
        <f t="shared" si="27"/>
        <v>34592.33836185305</v>
      </c>
      <c r="CU32" s="114">
        <f t="shared" si="62"/>
        <v>0.51245994212043267</v>
      </c>
      <c r="CV32" s="11">
        <f t="shared" si="42"/>
        <v>10.451387501897024</v>
      </c>
      <c r="CW32" s="114">
        <f t="shared" si="63"/>
        <v>0.59663169899833968</v>
      </c>
      <c r="CX32" s="7">
        <f>'a1'!BO32</f>
        <v>19262.664662717707</v>
      </c>
      <c r="CY32" s="9">
        <f>'a2'!AS32/'a2'!$E$19</f>
        <v>0.93625041914598151</v>
      </c>
      <c r="CZ32" s="7">
        <f>'a6'!BZ32</f>
        <v>7041.7536347200812</v>
      </c>
      <c r="DA32" s="7">
        <f>'a5'!W32</f>
        <v>11297.978538478781</v>
      </c>
      <c r="DB32" s="7">
        <f>'a4'!AD32</f>
        <v>2341.7275593500999</v>
      </c>
      <c r="DC32" s="9">
        <f>'a3'!L28/'a3'!B$15</f>
        <v>1.0396825396825398</v>
      </c>
      <c r="DD32" s="7">
        <f t="shared" si="30"/>
        <v>35383.185751130623</v>
      </c>
      <c r="DE32" s="114">
        <f t="shared" si="64"/>
        <v>0.53677516123955482</v>
      </c>
      <c r="DF32" s="11">
        <f t="shared" si="43"/>
        <v>10.473992007502092</v>
      </c>
      <c r="DG32" s="44">
        <f t="shared" si="65"/>
        <v>0.6190900240328312</v>
      </c>
    </row>
    <row r="33" spans="1:111">
      <c r="A33" s="1">
        <v>1995</v>
      </c>
      <c r="B33" s="7">
        <f>'a1'!G33</f>
        <v>17701.777856360884</v>
      </c>
      <c r="C33" s="9">
        <f>'a2'!E33/'a2'!E$19</f>
        <v>0.95964572733594078</v>
      </c>
      <c r="D33" s="7">
        <f>'a6'!H33</f>
        <v>6827.9315038937748</v>
      </c>
      <c r="E33" s="7">
        <f>'a5'!C33</f>
        <v>10884.35068663687</v>
      </c>
      <c r="F33" s="7">
        <f>'a4'!H33</f>
        <v>2171.2186543076709</v>
      </c>
      <c r="G33" s="9">
        <f>'a3'!B29/'a3'!B$15</f>
        <v>1.0343915343915344</v>
      </c>
      <c r="H33" s="7">
        <f t="shared" si="0"/>
        <v>33647.204015161107</v>
      </c>
      <c r="I33" s="114">
        <f t="shared" si="44"/>
        <v>0.48340105029325475</v>
      </c>
      <c r="J33" s="11">
        <f t="shared" si="33"/>
        <v>10.423685241432315</v>
      </c>
      <c r="K33" s="114">
        <f t="shared" si="45"/>
        <v>0.569108585660834</v>
      </c>
      <c r="L33" s="7">
        <f>'a1'!M33</f>
        <v>13420.938073341946</v>
      </c>
      <c r="M33" s="9">
        <f>'a2'!I33/'a2'!$E$19</f>
        <v>1.0268186047144878</v>
      </c>
      <c r="N33" s="7">
        <f>'a6'!O33</f>
        <v>6714.1443572201806</v>
      </c>
      <c r="O33" s="7">
        <f>'a5'!E33</f>
        <v>7923.2470471906654</v>
      </c>
      <c r="P33" s="7">
        <f>'a4'!L33</f>
        <v>1646.1505358162153</v>
      </c>
      <c r="Q33" s="9">
        <f>'a3'!C29/'a3'!B$15</f>
        <v>1.0211640211640214</v>
      </c>
      <c r="R33" s="7">
        <f t="shared" si="3"/>
        <v>27338.715272907248</v>
      </c>
      <c r="S33" s="114">
        <f t="shared" si="46"/>
        <v>0.2894416490761122</v>
      </c>
      <c r="T33" s="11">
        <f t="shared" si="34"/>
        <v>10.216059118424289</v>
      </c>
      <c r="U33" s="114">
        <f t="shared" si="47"/>
        <v>0.36282515537337584</v>
      </c>
      <c r="V33" s="7">
        <f>'a1'!S33</f>
        <v>14849.533162221478</v>
      </c>
      <c r="W33" s="9">
        <f>'a2'!M33/'a2'!$E$19</f>
        <v>0.98474001670271616</v>
      </c>
      <c r="X33" s="7">
        <f>'a6'!V33</f>
        <v>6817.2253795900042</v>
      </c>
      <c r="Y33" s="7">
        <f>'a5'!G33</f>
        <v>8160.2691176705157</v>
      </c>
      <c r="Z33" s="7">
        <f>'a4'!N33</f>
        <v>1821.375438738211</v>
      </c>
      <c r="AA33" s="9">
        <f>'a3'!D29/'a3'!$B$15</f>
        <v>1.0238095238095239</v>
      </c>
      <c r="AB33" s="7">
        <f t="shared" si="6"/>
        <v>28440.454511590015</v>
      </c>
      <c r="AC33" s="114">
        <f t="shared" si="48"/>
        <v>0.32331548031576229</v>
      </c>
      <c r="AD33" s="11">
        <f t="shared" si="35"/>
        <v>10.25556786520966</v>
      </c>
      <c r="AE33" s="114">
        <f t="shared" si="49"/>
        <v>0.40207840392982003</v>
      </c>
      <c r="AF33" s="7">
        <f>'a1'!Y33</f>
        <v>16080.894711890704</v>
      </c>
      <c r="AG33" s="9">
        <f>'a2'!Q33/'a2'!$E$19</f>
        <v>0.96592705259032974</v>
      </c>
      <c r="AH33" s="7">
        <f>'a6'!AC33</f>
        <v>8561.9633363839876</v>
      </c>
      <c r="AI33" s="7">
        <f>'a5'!I33</f>
        <v>10566.146024565731</v>
      </c>
      <c r="AJ33" s="7">
        <f>'a4'!P33</f>
        <v>1972.4085828965713</v>
      </c>
      <c r="AK33" s="9">
        <f>'a3'!E29/'a3'!B$15</f>
        <v>1.0291005291005291</v>
      </c>
      <c r="AL33" s="7">
        <f t="shared" si="9"/>
        <v>33639.929661213449</v>
      </c>
      <c r="AM33" s="114">
        <f t="shared" si="50"/>
        <v>0.48317739461380826</v>
      </c>
      <c r="AN33" s="11">
        <f t="shared" si="36"/>
        <v>10.423469023157631</v>
      </c>
      <c r="AO33" s="114">
        <f t="shared" si="51"/>
        <v>0.56889376564326399</v>
      </c>
      <c r="AP33" s="7">
        <f>'a1'!AE33</f>
        <v>15183.575850630474</v>
      </c>
      <c r="AQ33" s="9">
        <f>'a2'!U33/'a2'!$E$19</f>
        <v>0.9744056615328559</v>
      </c>
      <c r="AR33" s="7">
        <f>'a6'!AJ33</f>
        <v>7184.3581713403946</v>
      </c>
      <c r="AS33" s="7">
        <f>'a5'!K33</f>
        <v>8314.0058931950807</v>
      </c>
      <c r="AT33" s="7">
        <f>'a4'!R33</f>
        <v>1862.3475785025837</v>
      </c>
      <c r="AU33" s="9">
        <f>'a3'!F29/'a3'!B$15</f>
        <v>1.0277777777777779</v>
      </c>
      <c r="AV33" s="7">
        <f t="shared" si="12"/>
        <v>29220.728167123019</v>
      </c>
      <c r="AW33" s="114">
        <f t="shared" si="52"/>
        <v>0.34730560175309128</v>
      </c>
      <c r="AX33" s="11">
        <f t="shared" si="37"/>
        <v>10.282633605155825</v>
      </c>
      <c r="AY33" s="114">
        <f t="shared" si="53"/>
        <v>0.4289691130490545</v>
      </c>
      <c r="AZ33" s="7">
        <f>'a1'!AK33</f>
        <v>15939.39732261897</v>
      </c>
      <c r="BA33" s="9">
        <f>'a2'!Y33/'a2'!$E$19</f>
        <v>0.94142243409230686</v>
      </c>
      <c r="BB33" s="7">
        <f>'a6'!AQ33</f>
        <v>6723.3223377260556</v>
      </c>
      <c r="BC33" s="7">
        <f>'a5'!M33</f>
        <v>10259.593246119643</v>
      </c>
      <c r="BD33" s="7">
        <f>'a4'!T33</f>
        <v>1955.0531639315645</v>
      </c>
      <c r="BE33" s="9">
        <f>'a3'!G29/'a3'!B$15</f>
        <v>1.0277777777777779</v>
      </c>
      <c r="BF33" s="7">
        <f t="shared" si="15"/>
        <v>30867.834441042334</v>
      </c>
      <c r="BG33" s="114">
        <f t="shared" si="54"/>
        <v>0.39794716737729335</v>
      </c>
      <c r="BH33" s="11">
        <f t="shared" si="38"/>
        <v>10.337469964113659</v>
      </c>
      <c r="BI33" s="114">
        <f t="shared" si="55"/>
        <v>0.48345085198639953</v>
      </c>
      <c r="BJ33" s="7">
        <f>'a1'!AQ33</f>
        <v>18593.770533452651</v>
      </c>
      <c r="BK33" s="9">
        <f>'a2'!AC33/'a2'!$E$19</f>
        <v>0.96762382452788498</v>
      </c>
      <c r="BL33" s="7">
        <f>'a6'!AX33</f>
        <v>6763.9363798028744</v>
      </c>
      <c r="BM33" s="7">
        <f>'a5'!O33</f>
        <v>11755.126827877861</v>
      </c>
      <c r="BN33" s="7">
        <f>'a4'!V33</f>
        <v>2280.6263734488052</v>
      </c>
      <c r="BO33" s="9">
        <f>'a3'!H29/'a3'!B$15</f>
        <v>1.0370370370370372</v>
      </c>
      <c r="BP33" s="7">
        <f t="shared" si="18"/>
        <v>35497.99782687956</v>
      </c>
      <c r="BQ33" s="114">
        <f t="shared" si="56"/>
        <v>0.54030514795659623</v>
      </c>
      <c r="BR33" s="11">
        <f t="shared" si="39"/>
        <v>10.477231574630181</v>
      </c>
      <c r="BS33" s="114">
        <f t="shared" si="57"/>
        <v>0.62230864127688046</v>
      </c>
      <c r="BT33" s="7">
        <f>'a1'!AW33</f>
        <v>17199.663463667359</v>
      </c>
      <c r="BU33" s="9">
        <f>'a2'!AG33/'a2'!$E$19</f>
        <v>0.97391615687757815</v>
      </c>
      <c r="BV33" s="7">
        <f>'a6'!BE33</f>
        <v>6716.3365762624144</v>
      </c>
      <c r="BW33" s="7">
        <f>'a5'!Q33</f>
        <v>10355.579117949741</v>
      </c>
      <c r="BX33" s="7">
        <f>'a4'!X33</f>
        <v>2109.6316123247211</v>
      </c>
      <c r="BY33" s="9">
        <f>'a3'!I29/'a3'!B$15</f>
        <v>1.0264550264550265</v>
      </c>
      <c r="BZ33" s="7">
        <f t="shared" si="21"/>
        <v>32552.29078872989</v>
      </c>
      <c r="CA33" s="114">
        <f t="shared" si="58"/>
        <v>0.44973709011830881</v>
      </c>
      <c r="CB33" s="11">
        <f t="shared" si="40"/>
        <v>10.390603022694277</v>
      </c>
      <c r="CC33" s="114">
        <f t="shared" si="59"/>
        <v>0.53624030558155589</v>
      </c>
      <c r="CD33" s="7">
        <f>'a1'!BC33</f>
        <v>16503.85974184248</v>
      </c>
      <c r="CE33" s="9">
        <f>'a2'!AK33/'a2'!$E$19</f>
        <v>0.97441856787188674</v>
      </c>
      <c r="CF33" s="7">
        <f>'a6'!BL33</f>
        <v>6319.0442108415773</v>
      </c>
      <c r="CG33" s="7">
        <f>'a5'!S33</f>
        <v>8405.08560881021</v>
      </c>
      <c r="CH33" s="7">
        <f>'a4'!Z33</f>
        <v>2024.2875280851813</v>
      </c>
      <c r="CI33" s="9">
        <f>'a3'!J29/'a3'!B$15</f>
        <v>1.033068783068783</v>
      </c>
      <c r="CJ33" s="7">
        <f t="shared" si="24"/>
        <v>29733.279165094096</v>
      </c>
      <c r="CK33" s="114">
        <f t="shared" si="60"/>
        <v>0.36306438150549847</v>
      </c>
      <c r="CL33" s="11">
        <f t="shared" si="41"/>
        <v>10.300022208096564</v>
      </c>
      <c r="CM33" s="114">
        <f t="shared" si="61"/>
        <v>0.44624526602323328</v>
      </c>
      <c r="CN33" s="7">
        <f>'a1'!BI33</f>
        <v>19401.21827641351</v>
      </c>
      <c r="CO33" s="9">
        <f>'a2'!AO33/'a2'!$E$19</f>
        <v>0.96697922466667308</v>
      </c>
      <c r="CP33" s="7">
        <f>'a6'!BS33</f>
        <v>6312.5363566049009</v>
      </c>
      <c r="CQ33" s="7">
        <f>'a5'!U33</f>
        <v>10949.954503447116</v>
      </c>
      <c r="CR33" s="7">
        <f>'a4'!AB33</f>
        <v>2379.6641998253958</v>
      </c>
      <c r="CS33" s="9">
        <f>'a3'!K29/'a3'!B$15</f>
        <v>1.0383597883597884</v>
      </c>
      <c r="CT33" s="7">
        <f t="shared" si="27"/>
        <v>34933.955434381409</v>
      </c>
      <c r="CU33" s="114">
        <f t="shared" si="62"/>
        <v>0.52296322516338223</v>
      </c>
      <c r="CV33" s="11">
        <f t="shared" si="42"/>
        <v>10.461214570278514</v>
      </c>
      <c r="CW33" s="114">
        <f t="shared" si="63"/>
        <v>0.60639521693160514</v>
      </c>
      <c r="CX33" s="7">
        <f>'a1'!BO33</f>
        <v>19287.656291778185</v>
      </c>
      <c r="CY33" s="9">
        <f>'a2'!AS33/'a2'!$E$19</f>
        <v>0.93405152043393636</v>
      </c>
      <c r="CZ33" s="7">
        <f>'a6'!BZ33</f>
        <v>6658.6274937083181</v>
      </c>
      <c r="DA33" s="7">
        <f>'a5'!W33</f>
        <v>11686.76909112368</v>
      </c>
      <c r="DB33" s="7">
        <f>'a4'!AD33</f>
        <v>2365.7352091069965</v>
      </c>
      <c r="DC33" s="9">
        <f>'a3'!L29/'a3'!B$15</f>
        <v>1.0436507936507937</v>
      </c>
      <c r="DD33" s="7">
        <f t="shared" si="30"/>
        <v>35479.249023633238</v>
      </c>
      <c r="DE33" s="114">
        <f t="shared" si="64"/>
        <v>0.5397287013939136</v>
      </c>
      <c r="DF33" s="11">
        <f t="shared" si="43"/>
        <v>10.476703270011043</v>
      </c>
      <c r="DG33" s="44">
        <f t="shared" si="65"/>
        <v>0.62178375313904111</v>
      </c>
    </row>
    <row r="34" spans="1:111">
      <c r="A34" s="1">
        <v>1996</v>
      </c>
      <c r="B34" s="7">
        <f>'a1'!G34</f>
        <v>17958.091358868078</v>
      </c>
      <c r="C34" s="9">
        <f>'a2'!E34/'a2'!E$19</f>
        <v>0.95879577105699498</v>
      </c>
      <c r="D34" s="7">
        <f>'a6'!H34</f>
        <v>6643.2055323629611</v>
      </c>
      <c r="E34" s="7">
        <f>'a5'!C34</f>
        <v>11260.409552853433</v>
      </c>
      <c r="F34" s="7">
        <f>'a4'!H34</f>
        <v>2216.0892802828207</v>
      </c>
      <c r="G34" s="9">
        <f>'a3'!B30/'a3'!B$15</f>
        <v>1.0370370370370372</v>
      </c>
      <c r="H34" s="7">
        <f t="shared" si="0"/>
        <v>34124.396295185215</v>
      </c>
      <c r="I34" s="114">
        <f t="shared" si="44"/>
        <v>0.49807269871500515</v>
      </c>
      <c r="J34" s="11">
        <f t="shared" si="33"/>
        <v>10.43776784134719</v>
      </c>
      <c r="K34" s="114">
        <f t="shared" si="45"/>
        <v>0.58310011512600657</v>
      </c>
      <c r="L34" s="7">
        <f>'a1'!M34</f>
        <v>13673.44532229881</v>
      </c>
      <c r="M34" s="9">
        <f>'a2'!I34/'a2'!$E$19</f>
        <v>1.0198283692573666</v>
      </c>
      <c r="N34" s="7">
        <f>'a6'!O34</f>
        <v>6517.2390843355652</v>
      </c>
      <c r="O34" s="7">
        <f>'a5'!E34</f>
        <v>8176.0136418806551</v>
      </c>
      <c r="P34" s="7">
        <f>'a4'!L34</f>
        <v>1687.3494514391211</v>
      </c>
      <c r="Q34" s="9">
        <f>'a3'!C30/'a3'!B$15</f>
        <v>1.0251322751322751</v>
      </c>
      <c r="R34" s="7">
        <f t="shared" si="3"/>
        <v>27627.79736502489</v>
      </c>
      <c r="S34" s="114">
        <f t="shared" si="46"/>
        <v>0.29832970321722241</v>
      </c>
      <c r="T34" s="11">
        <f t="shared" si="34"/>
        <v>10.226577695775743</v>
      </c>
      <c r="U34" s="114">
        <f t="shared" si="47"/>
        <v>0.37327571037274943</v>
      </c>
      <c r="V34" s="7">
        <f>'a1'!S34</f>
        <v>15264.813573307205</v>
      </c>
      <c r="W34" s="9">
        <f>'a2'!M34/'a2'!$E$19</f>
        <v>0.98000943723174627</v>
      </c>
      <c r="X34" s="7">
        <f>'a6'!V34</f>
        <v>7125.1411070700187</v>
      </c>
      <c r="Y34" s="7">
        <f>'a5'!G34</f>
        <v>8428.5340060688522</v>
      </c>
      <c r="Z34" s="7">
        <f>'a4'!N34</f>
        <v>1883.7296820308654</v>
      </c>
      <c r="AA34" s="9">
        <f>'a3'!D30/'a3'!$B$15</f>
        <v>1.0211640211640214</v>
      </c>
      <c r="AB34" s="7">
        <f t="shared" si="6"/>
        <v>29235.524394564753</v>
      </c>
      <c r="AC34" s="114">
        <f t="shared" si="48"/>
        <v>0.34776052329327711</v>
      </c>
      <c r="AD34" s="11">
        <f t="shared" si="35"/>
        <v>10.283139837666782</v>
      </c>
      <c r="AE34" s="114">
        <f t="shared" si="49"/>
        <v>0.42947207181633518</v>
      </c>
      <c r="AF34" s="7">
        <f>'a1'!Y34</f>
        <v>16298.249701769626</v>
      </c>
      <c r="AG34" s="9">
        <f>'a2'!Q34/'a2'!$E$19</f>
        <v>0.96365309429834867</v>
      </c>
      <c r="AH34" s="7">
        <f>'a6'!AC34</f>
        <v>8005.247269730834</v>
      </c>
      <c r="AI34" s="7">
        <f>'a5'!I34</f>
        <v>10853.233103306164</v>
      </c>
      <c r="AJ34" s="7">
        <f>'a4'!P34</f>
        <v>2011.2591995266994</v>
      </c>
      <c r="AK34" s="9">
        <f>'a3'!E30/'a3'!B$15</f>
        <v>1.0277777777777779</v>
      </c>
      <c r="AL34" s="7">
        <f t="shared" si="9"/>
        <v>33457.332150552953</v>
      </c>
      <c r="AM34" s="114">
        <f t="shared" si="50"/>
        <v>0.47756329188992874</v>
      </c>
      <c r="AN34" s="11">
        <f t="shared" si="36"/>
        <v>10.418026238862099</v>
      </c>
      <c r="AO34" s="114">
        <f t="shared" si="51"/>
        <v>0.563486179167483</v>
      </c>
      <c r="AP34" s="7">
        <f>'a1'!AE34</f>
        <v>15439.976178702271</v>
      </c>
      <c r="AQ34" s="9">
        <f>'a2'!U34/'a2'!$E$19</f>
        <v>0.97027632669437813</v>
      </c>
      <c r="AR34" s="7">
        <f>'a6'!AJ34</f>
        <v>6984.5505824388529</v>
      </c>
      <c r="AS34" s="7">
        <f>'a5'!K34</f>
        <v>8594.0964736777078</v>
      </c>
      <c r="AT34" s="7">
        <f>'a4'!R34</f>
        <v>1905.3453406420867</v>
      </c>
      <c r="AU34" s="9">
        <f>'a3'!F30/'a3'!B$15</f>
        <v>1.033068783068783</v>
      </c>
      <c r="AV34" s="7">
        <f t="shared" si="12"/>
        <v>29601.90940803444</v>
      </c>
      <c r="AW34" s="114">
        <f t="shared" si="52"/>
        <v>0.35902531597675047</v>
      </c>
      <c r="AX34" s="11">
        <f t="shared" si="37"/>
        <v>10.295594145259853</v>
      </c>
      <c r="AY34" s="114">
        <f t="shared" si="53"/>
        <v>0.44184583892681822</v>
      </c>
      <c r="AZ34" s="7">
        <f>'a1'!AK34</f>
        <v>16374.042572979855</v>
      </c>
      <c r="BA34" s="9">
        <f>'a2'!Y34/'a2'!$E$19</f>
        <v>0.93730191244584127</v>
      </c>
      <c r="BB34" s="7">
        <f>'a6'!AQ34</f>
        <v>6646.6233058663374</v>
      </c>
      <c r="BC34" s="7">
        <f>'a5'!M34</f>
        <v>10607.470556156593</v>
      </c>
      <c r="BD34" s="7">
        <f>'a4'!T34</f>
        <v>2020.6122964708188</v>
      </c>
      <c r="BE34" s="9">
        <f>'a3'!G30/'a3'!B$15</f>
        <v>1.033068783068783</v>
      </c>
      <c r="BF34" s="7">
        <f t="shared" si="15"/>
        <v>31592.176230490426</v>
      </c>
      <c r="BG34" s="114">
        <f t="shared" si="54"/>
        <v>0.42021762001627372</v>
      </c>
      <c r="BH34" s="11">
        <f t="shared" si="38"/>
        <v>10.360664781277414</v>
      </c>
      <c r="BI34" s="114">
        <f t="shared" si="55"/>
        <v>0.50649567110699223</v>
      </c>
      <c r="BJ34" s="7">
        <f>'a1'!AQ34</f>
        <v>18784.428592400385</v>
      </c>
      <c r="BK34" s="9">
        <f>'a2'!AC34/'a2'!$E$19</f>
        <v>0.96819970083557683</v>
      </c>
      <c r="BL34" s="7">
        <f>'a6'!AX34</f>
        <v>6418.0723887667182</v>
      </c>
      <c r="BM34" s="7">
        <f>'a5'!O34</f>
        <v>12196.530635856865</v>
      </c>
      <c r="BN34" s="7">
        <f>'a4'!V34</f>
        <v>2318.0620929016409</v>
      </c>
      <c r="BO34" s="9">
        <f>'a3'!H30/'a3'!B$15</f>
        <v>1.0396825396825398</v>
      </c>
      <c r="BP34" s="7">
        <f t="shared" si="18"/>
        <v>35852.016657602493</v>
      </c>
      <c r="BQ34" s="114">
        <f t="shared" si="56"/>
        <v>0.55118973271723748</v>
      </c>
      <c r="BR34" s="11">
        <f t="shared" si="39"/>
        <v>10.487155097098434</v>
      </c>
      <c r="BS34" s="114">
        <f t="shared" si="57"/>
        <v>0.63216798954013642</v>
      </c>
      <c r="BT34" s="7">
        <f>'a1'!AW34</f>
        <v>17244.814829182964</v>
      </c>
      <c r="BU34" s="9">
        <f>'a2'!AG34/'a2'!$E$19</f>
        <v>0.97497751934620802</v>
      </c>
      <c r="BV34" s="7">
        <f>'a6'!BE34</f>
        <v>6634.5871408436797</v>
      </c>
      <c r="BW34" s="7">
        <f>'a5'!Q34</f>
        <v>10640.476097614554</v>
      </c>
      <c r="BX34" s="7">
        <f>'a4'!X34</f>
        <v>2128.0685413454426</v>
      </c>
      <c r="BY34" s="9">
        <f>'a3'!I30/'a3'!B$15</f>
        <v>1.0317460317460319</v>
      </c>
      <c r="BZ34" s="7">
        <f t="shared" si="21"/>
        <v>32974.914226278248</v>
      </c>
      <c r="CA34" s="114">
        <f t="shared" si="58"/>
        <v>0.46273097696448295</v>
      </c>
      <c r="CB34" s="11">
        <f t="shared" si="40"/>
        <v>10.403502376407856</v>
      </c>
      <c r="CC34" s="114">
        <f t="shared" si="59"/>
        <v>0.54905624075376624</v>
      </c>
      <c r="CD34" s="7">
        <f>'a1'!BC34</f>
        <v>16723.17936689419</v>
      </c>
      <c r="CE34" s="9">
        <f>'a2'!AK34/'a2'!$E$19</f>
        <v>0.97054715691448723</v>
      </c>
      <c r="CF34" s="7">
        <f>'a6'!BL34</f>
        <v>6373.1431558535314</v>
      </c>
      <c r="CG34" s="7">
        <f>'a5'!S34</f>
        <v>8628.3187672706626</v>
      </c>
      <c r="CH34" s="7">
        <f>'a4'!Z34</f>
        <v>2063.6969590267754</v>
      </c>
      <c r="CI34" s="9">
        <f>'a3'!J30/'a3'!B$15</f>
        <v>1.0357142857142858</v>
      </c>
      <c r="CJ34" s="7">
        <f t="shared" si="24"/>
        <v>30210.127694393577</v>
      </c>
      <c r="CK34" s="114">
        <f t="shared" si="60"/>
        <v>0.37772546104340987</v>
      </c>
      <c r="CL34" s="11">
        <f t="shared" si="41"/>
        <v>10.31593250126333</v>
      </c>
      <c r="CM34" s="114">
        <f t="shared" si="61"/>
        <v>0.46205266927177635</v>
      </c>
      <c r="CN34" s="7">
        <f>'a1'!BI34</f>
        <v>19521.586893312862</v>
      </c>
      <c r="CO34" s="9">
        <f>'a2'!AO34/'a2'!$E$19</f>
        <v>0.9660865734528058</v>
      </c>
      <c r="CP34" s="7">
        <f>'a6'!BS34</f>
        <v>6237.634346342239</v>
      </c>
      <c r="CQ34" s="7">
        <f>'a5'!U34</f>
        <v>11363.596218545526</v>
      </c>
      <c r="CR34" s="7">
        <f>'a4'!AB34</f>
        <v>2409.0299232728194</v>
      </c>
      <c r="CS34" s="9">
        <f>'a3'!K30/'a3'!B$15</f>
        <v>1.0383597883597884</v>
      </c>
      <c r="CT34" s="7">
        <f t="shared" si="27"/>
        <v>35357.96131073196</v>
      </c>
      <c r="CU34" s="114">
        <f t="shared" si="62"/>
        <v>0.53599961616756442</v>
      </c>
      <c r="CV34" s="11">
        <f t="shared" si="42"/>
        <v>10.473278859849971</v>
      </c>
      <c r="CW34" s="114">
        <f t="shared" si="63"/>
        <v>0.6183814882192753</v>
      </c>
      <c r="CX34" s="7">
        <f>'a1'!BO34</f>
        <v>19491.177412689773</v>
      </c>
      <c r="CY34" s="9">
        <f>'a2'!AS34/'a2'!$E$19</f>
        <v>0.93746477379084903</v>
      </c>
      <c r="CZ34" s="7">
        <f>'a6'!BZ34</f>
        <v>6705.9124649881678</v>
      </c>
      <c r="DA34" s="7">
        <f>'a5'!W34</f>
        <v>12111.343399571182</v>
      </c>
      <c r="DB34" s="7">
        <f>'a4'!AD34</f>
        <v>2405.2772903965802</v>
      </c>
      <c r="DC34" s="9">
        <f>'a3'!L30/'a3'!B$15</f>
        <v>1.0436507936507937</v>
      </c>
      <c r="DD34" s="7">
        <f t="shared" si="30"/>
        <v>36198.266745810703</v>
      </c>
      <c r="DE34" s="114">
        <f t="shared" si="64"/>
        <v>0.56183546143676799</v>
      </c>
      <c r="DF34" s="11">
        <f t="shared" si="43"/>
        <v>10.496766516717601</v>
      </c>
      <c r="DG34" s="44">
        <f t="shared" si="65"/>
        <v>0.64171725328522589</v>
      </c>
    </row>
    <row r="35" spans="1:111">
      <c r="A35" s="1">
        <v>1997</v>
      </c>
      <c r="B35" s="7">
        <f>'a1'!G35</f>
        <v>18571.690153410284</v>
      </c>
      <c r="C35" s="9">
        <f>'a2'!E35/'a2'!E$19</f>
        <v>0.95689340812892687</v>
      </c>
      <c r="D35" s="7">
        <f>'a6'!H35</f>
        <v>6474.4653003098256</v>
      </c>
      <c r="E35" s="7">
        <f>'a5'!C35</f>
        <v>11655.465130952318</v>
      </c>
      <c r="F35" s="7">
        <f>'a4'!H35</f>
        <v>2264.9696807186406</v>
      </c>
      <c r="G35" s="9">
        <f>'a3'!B31/'a3'!B$15</f>
        <v>1.0396825396825398</v>
      </c>
      <c r="H35" s="7">
        <f t="shared" si="0"/>
        <v>34970.854058224337</v>
      </c>
      <c r="I35" s="114">
        <f t="shared" si="44"/>
        <v>0.52409770210052486</v>
      </c>
      <c r="J35" s="11">
        <f t="shared" si="33"/>
        <v>10.462270252356403</v>
      </c>
      <c r="K35" s="114">
        <f t="shared" si="45"/>
        <v>0.6074440720427291</v>
      </c>
      <c r="L35" s="7">
        <f>'a1'!M35</f>
        <v>14299.950445716277</v>
      </c>
      <c r="M35" s="9">
        <f>'a2'!I35/'a2'!$E$19</f>
        <v>1.0117912827300024</v>
      </c>
      <c r="N35" s="7">
        <f>'a6'!O35</f>
        <v>6449.7703306573922</v>
      </c>
      <c r="O35" s="7">
        <f>'a5'!E35</f>
        <v>8455.105836263192</v>
      </c>
      <c r="P35" s="7">
        <f>'a4'!L35</f>
        <v>1743.9960460130148</v>
      </c>
      <c r="Q35" s="9">
        <f>'a3'!C31/'a3'!B$15</f>
        <v>1.0171957671957674</v>
      </c>
      <c r="R35" s="7">
        <f t="shared" si="3"/>
        <v>28104.55483491729</v>
      </c>
      <c r="S35" s="114">
        <f t="shared" si="46"/>
        <v>0.31298798306272024</v>
      </c>
      <c r="T35" s="11">
        <f t="shared" si="34"/>
        <v>10.24368693595536</v>
      </c>
      <c r="U35" s="114">
        <f t="shared" si="47"/>
        <v>0.39027430719058248</v>
      </c>
      <c r="V35" s="7">
        <f>'a1'!S35</f>
        <v>15687.571181895</v>
      </c>
      <c r="W35" s="9">
        <f>'a2'!M35/'a2'!$E$19</f>
        <v>0.97199931004327955</v>
      </c>
      <c r="X35" s="7">
        <f>'a6'!V35</f>
        <v>7321.8858670407499</v>
      </c>
      <c r="Y35" s="7">
        <f>'a5'!G35</f>
        <v>8768.1140780187561</v>
      </c>
      <c r="Z35" s="7">
        <f>'a4'!N35</f>
        <v>1913.2277567415163</v>
      </c>
      <c r="AA35" s="9">
        <f>'a3'!D31/'a3'!$B$15</f>
        <v>1.0502645502645505</v>
      </c>
      <c r="AB35" s="7">
        <f t="shared" si="6"/>
        <v>30904.118993888318</v>
      </c>
      <c r="AC35" s="114">
        <f t="shared" si="48"/>
        <v>0.39906276422322268</v>
      </c>
      <c r="AD35" s="11">
        <f t="shared" si="35"/>
        <v>10.338644754775164</v>
      </c>
      <c r="AE35" s="114">
        <f t="shared" si="49"/>
        <v>0.48461804542051062</v>
      </c>
      <c r="AF35" s="7">
        <f>'a1'!Y35</f>
        <v>16811.418250926101</v>
      </c>
      <c r="AG35" s="9">
        <f>'a2'!Q35/'a2'!$E$19</f>
        <v>0.96031328013776263</v>
      </c>
      <c r="AH35" s="7">
        <f>'a6'!AC35</f>
        <v>7807.4874528319306</v>
      </c>
      <c r="AI35" s="7">
        <f>'a5'!I35</f>
        <v>11173.743892301503</v>
      </c>
      <c r="AJ35" s="7">
        <f>'a4'!P35</f>
        <v>2050.2901089611137</v>
      </c>
      <c r="AK35" s="9">
        <f>'a3'!E31/'a3'!B$15</f>
        <v>1.0291005291005291</v>
      </c>
      <c r="AL35" s="7">
        <f t="shared" si="9"/>
        <v>34037.674371294837</v>
      </c>
      <c r="AM35" s="114">
        <f t="shared" si="50"/>
        <v>0.49540636560141593</v>
      </c>
      <c r="AN35" s="11">
        <f t="shared" si="36"/>
        <v>10.435223259886111</v>
      </c>
      <c r="AO35" s="114">
        <f t="shared" si="51"/>
        <v>0.58057198916173713</v>
      </c>
      <c r="AP35" s="7">
        <f>'a1'!AE35</f>
        <v>15827.011166614177</v>
      </c>
      <c r="AQ35" s="9">
        <f>'a2'!U35/'a2'!$E$19</f>
        <v>0.96714897818474366</v>
      </c>
      <c r="AR35" s="7">
        <f>'a6'!AJ35</f>
        <v>6929.4946536361313</v>
      </c>
      <c r="AS35" s="7">
        <f>'a5'!K35</f>
        <v>8896.4239681627132</v>
      </c>
      <c r="AT35" s="7">
        <f>'a4'!R35</f>
        <v>1930.2336046239618</v>
      </c>
      <c r="AU35" s="9">
        <f>'a3'!F31/'a3'!B$15</f>
        <v>1.0343915343915344</v>
      </c>
      <c r="AV35" s="7">
        <f t="shared" si="12"/>
        <v>30207.090512226365</v>
      </c>
      <c r="AW35" s="114">
        <f t="shared" si="52"/>
        <v>0.3776320805114618</v>
      </c>
      <c r="AX35" s="11">
        <f t="shared" si="37"/>
        <v>10.315831960978294</v>
      </c>
      <c r="AY35" s="114">
        <f t="shared" si="53"/>
        <v>0.46195277916845578</v>
      </c>
      <c r="AZ35" s="7">
        <f>'a1'!AK35</f>
        <v>16954.446086533011</v>
      </c>
      <c r="BA35" s="9">
        <f>'a2'!Y35/'a2'!$E$19</f>
        <v>0.93524841472244313</v>
      </c>
      <c r="BB35" s="7">
        <f>'a6'!AQ35</f>
        <v>6373.3175417478151</v>
      </c>
      <c r="BC35" s="7">
        <f>'a5'!M35</f>
        <v>10967.249226924127</v>
      </c>
      <c r="BD35" s="7">
        <f>'a4'!T35</f>
        <v>2067.7335246369335</v>
      </c>
      <c r="BE35" s="9">
        <f>'a3'!G31/'a3'!B$15</f>
        <v>1.0317460317460319</v>
      </c>
      <c r="BF35" s="7">
        <f t="shared" si="15"/>
        <v>32117.688642579993</v>
      </c>
      <c r="BG35" s="114">
        <f t="shared" si="54"/>
        <v>0.43637490854377176</v>
      </c>
      <c r="BH35" s="11">
        <f t="shared" si="38"/>
        <v>10.377162205402332</v>
      </c>
      <c r="BI35" s="114">
        <f t="shared" si="55"/>
        <v>0.52288640840965583</v>
      </c>
      <c r="BJ35" s="7">
        <f>'a1'!AQ35</f>
        <v>19418.487446750882</v>
      </c>
      <c r="BK35" s="9">
        <f>'a2'!AC35/'a2'!$E$19</f>
        <v>0.9676304061783253</v>
      </c>
      <c r="BL35" s="7">
        <f>'a6'!AX35</f>
        <v>6316.5665640815951</v>
      </c>
      <c r="BM35" s="7">
        <f>'a5'!O35</f>
        <v>12642.839476278768</v>
      </c>
      <c r="BN35" s="7">
        <f>'a4'!V35</f>
        <v>2368.2435442866727</v>
      </c>
      <c r="BO35" s="9">
        <f>'a3'!H31/'a3'!B$15</f>
        <v>1.0436507936507937</v>
      </c>
      <c r="BP35" s="7">
        <f t="shared" si="18"/>
        <v>36925.493674506091</v>
      </c>
      <c r="BQ35" s="114">
        <f t="shared" si="56"/>
        <v>0.58419461992966959</v>
      </c>
      <c r="BR35" s="11">
        <f t="shared" si="39"/>
        <v>10.516657476965078</v>
      </c>
      <c r="BS35" s="114">
        <f t="shared" si="57"/>
        <v>0.6614795811277695</v>
      </c>
      <c r="BT35" s="7">
        <f>'a1'!AW35</f>
        <v>17874.746507435782</v>
      </c>
      <c r="BU35" s="9">
        <f>'a2'!AG35/'a2'!$E$19</f>
        <v>0.97469805591897085</v>
      </c>
      <c r="BV35" s="7">
        <f>'a6'!BE35</f>
        <v>6517.6588701643695</v>
      </c>
      <c r="BW35" s="7">
        <f>'a5'!Q35</f>
        <v>10963.39471828274</v>
      </c>
      <c r="BX35" s="7">
        <f>'a4'!X35</f>
        <v>2179.9716964607628</v>
      </c>
      <c r="BY35" s="9">
        <f>'a3'!I31/'a3'!B$15</f>
        <v>1.0317460317460319</v>
      </c>
      <c r="BZ35" s="7">
        <f t="shared" si="21"/>
        <v>33762.405818791231</v>
      </c>
      <c r="CA35" s="114">
        <f t="shared" si="58"/>
        <v>0.48694301949763352</v>
      </c>
      <c r="CB35" s="11">
        <f t="shared" si="40"/>
        <v>10.427103208575803</v>
      </c>
      <c r="CC35" s="114">
        <f t="shared" si="59"/>
        <v>0.57250444922922139</v>
      </c>
      <c r="CD35" s="7">
        <f>'a1'!BC35</f>
        <v>17385.760122290751</v>
      </c>
      <c r="CE35" s="9">
        <f>'a2'!AK35/'a2'!$E$19</f>
        <v>0.97005029993893144</v>
      </c>
      <c r="CF35" s="7">
        <f>'a6'!BL35</f>
        <v>6375.2014194189205</v>
      </c>
      <c r="CG35" s="7">
        <f>'a5'!S35</f>
        <v>8908.1536585544782</v>
      </c>
      <c r="CH35" s="7">
        <f>'a4'!Z35</f>
        <v>2120.3358029320129</v>
      </c>
      <c r="CI35" s="9">
        <f>'a3'!J31/'a3'!B$15</f>
        <v>1.0383597883597884</v>
      </c>
      <c r="CJ35" s="7">
        <f t="shared" si="24"/>
        <v>31179.951932041851</v>
      </c>
      <c r="CK35" s="114">
        <f t="shared" si="60"/>
        <v>0.40754346280351528</v>
      </c>
      <c r="CL35" s="11">
        <f t="shared" si="41"/>
        <v>10.347530600982672</v>
      </c>
      <c r="CM35" s="114">
        <f t="shared" si="61"/>
        <v>0.49344642794837229</v>
      </c>
      <c r="CN35" s="7">
        <f>'a1'!BI35</f>
        <v>20546.686606489111</v>
      </c>
      <c r="CO35" s="9">
        <f>'a2'!AO35/'a2'!$E$19</f>
        <v>0.95904977432008465</v>
      </c>
      <c r="CP35" s="7">
        <f>'a6'!BS35</f>
        <v>6117.5681340535129</v>
      </c>
      <c r="CQ35" s="7">
        <f>'a5'!U35</f>
        <v>11736.614011391057</v>
      </c>
      <c r="CR35" s="7">
        <f>'a4'!AB35</f>
        <v>2505.8366696032776</v>
      </c>
      <c r="CS35" s="9">
        <f>'a3'!K31/'a3'!B$15</f>
        <v>1.0436507936507937</v>
      </c>
      <c r="CT35" s="7">
        <f t="shared" si="27"/>
        <v>36583.759862617895</v>
      </c>
      <c r="CU35" s="114">
        <f t="shared" si="62"/>
        <v>0.57368774764415209</v>
      </c>
      <c r="CV35" s="11">
        <f t="shared" si="42"/>
        <v>10.507359701316181</v>
      </c>
      <c r="CW35" s="114">
        <f t="shared" si="63"/>
        <v>0.6522419330557907</v>
      </c>
      <c r="CX35" s="7">
        <f>'a1'!BO35</f>
        <v>19813.436870897738</v>
      </c>
      <c r="CY35" s="9">
        <f>'a2'!AS35/'a2'!$E$19</f>
        <v>0.93664124054489428</v>
      </c>
      <c r="CZ35" s="7">
        <f>'a6'!BZ35</f>
        <v>6423.9017734546696</v>
      </c>
      <c r="DA35" s="7">
        <f>'a5'!W35</f>
        <v>12631.280503143887</v>
      </c>
      <c r="DB35" s="7">
        <f>'a4'!AD35</f>
        <v>2416.410860439406</v>
      </c>
      <c r="DC35" s="9">
        <f>'a3'!L31/'a3'!B$15</f>
        <v>1.0489417989417991</v>
      </c>
      <c r="DD35" s="7">
        <f t="shared" si="30"/>
        <v>36919.450834067706</v>
      </c>
      <c r="DE35" s="114">
        <f t="shared" si="64"/>
        <v>0.58400882809251697</v>
      </c>
      <c r="DF35" s="11">
        <f t="shared" si="43"/>
        <v>10.516493814022622</v>
      </c>
      <c r="DG35" s="44">
        <f t="shared" si="65"/>
        <v>0.66131697657352795</v>
      </c>
    </row>
    <row r="36" spans="1:111">
      <c r="A36" s="1">
        <v>1998</v>
      </c>
      <c r="B36" s="7">
        <f>'a1'!G36</f>
        <v>18931.909294634126</v>
      </c>
      <c r="C36" s="9">
        <f>'a2'!E36/'a2'!E$19</f>
        <v>0.95622858771236263</v>
      </c>
      <c r="D36" s="7">
        <f>'a6'!H36</f>
        <v>6611.7388380302154</v>
      </c>
      <c r="E36" s="7">
        <f>'a5'!C36</f>
        <v>12084.167900780154</v>
      </c>
      <c r="F36" s="7">
        <f>'a4'!H36</f>
        <v>2320.6808269774415</v>
      </c>
      <c r="G36" s="9">
        <f>'a3'!B32/'a3'!B$15</f>
        <v>1.0423280423280423</v>
      </c>
      <c r="H36" s="7">
        <f t="shared" si="0"/>
        <v>35937.864462803576</v>
      </c>
      <c r="I36" s="114">
        <f t="shared" si="44"/>
        <v>0.55382919037071332</v>
      </c>
      <c r="J36" s="11">
        <f t="shared" si="33"/>
        <v>10.489546739061945</v>
      </c>
      <c r="K36" s="114">
        <f t="shared" si="45"/>
        <v>0.63454416504784661</v>
      </c>
      <c r="L36" s="7">
        <f>'a1'!M36</f>
        <v>14932.119153161197</v>
      </c>
      <c r="M36" s="9">
        <f>'a2'!I36/'a2'!$E$19</f>
        <v>1.00157609042915</v>
      </c>
      <c r="N36" s="7">
        <f>'a6'!O36</f>
        <v>7316.4315121128557</v>
      </c>
      <c r="O36" s="7">
        <f>'a5'!E36</f>
        <v>8782.9042388587768</v>
      </c>
      <c r="P36" s="7">
        <f>'a4'!L36</f>
        <v>1830.3849910534609</v>
      </c>
      <c r="Q36" s="9">
        <f>'a3'!C32/'a3'!B$15</f>
        <v>1.0224867724867726</v>
      </c>
      <c r="R36" s="7">
        <f t="shared" si="3"/>
        <v>29881.77131069505</v>
      </c>
      <c r="S36" s="114">
        <f t="shared" si="46"/>
        <v>0.3676298882097111</v>
      </c>
      <c r="T36" s="11">
        <f t="shared" si="34"/>
        <v>10.305003918302804</v>
      </c>
      <c r="U36" s="114">
        <f t="shared" si="47"/>
        <v>0.45119476011941406</v>
      </c>
      <c r="V36" s="7">
        <f>'a1'!S36</f>
        <v>16185.090277164149</v>
      </c>
      <c r="W36" s="9">
        <f>'a2'!M36/'a2'!$E$19</f>
        <v>0.97095958352729983</v>
      </c>
      <c r="X36" s="7">
        <f>'a6'!V36</f>
        <v>7806.8358711008877</v>
      </c>
      <c r="Y36" s="7">
        <f>'a5'!G36</f>
        <v>9165.0295880170743</v>
      </c>
      <c r="Z36" s="7">
        <f>'a4'!N36</f>
        <v>1983.9746802378565</v>
      </c>
      <c r="AA36" s="9">
        <f>'a3'!D32/'a3'!$B$15</f>
        <v>1.0238095238095239</v>
      </c>
      <c r="AB36" s="7">
        <f t="shared" si="6"/>
        <v>31433.982134074471</v>
      </c>
      <c r="AC36" s="114">
        <f t="shared" si="48"/>
        <v>0.41535381927562864</v>
      </c>
      <c r="AD36" s="11">
        <f t="shared" si="35"/>
        <v>10.355644820273017</v>
      </c>
      <c r="AE36" s="114">
        <f t="shared" si="49"/>
        <v>0.50150817357588329</v>
      </c>
      <c r="AF36" s="7">
        <f>'a1'!Y36</f>
        <v>17300.254551230046</v>
      </c>
      <c r="AG36" s="9">
        <f>'a2'!Q36/'a2'!$E$19</f>
        <v>0.95873400820666643</v>
      </c>
      <c r="AH36" s="7">
        <f>'a6'!AC36</f>
        <v>7933.1472987673633</v>
      </c>
      <c r="AI36" s="7">
        <f>'a5'!I36</f>
        <v>11523.993625746903</v>
      </c>
      <c r="AJ36" s="7">
        <f>'a4'!P36</f>
        <v>2120.6719519963076</v>
      </c>
      <c r="AK36" s="9">
        <f>'a3'!E32/'a3'!B$15</f>
        <v>1.0291005291005291</v>
      </c>
      <c r="AL36" s="7">
        <f t="shared" si="9"/>
        <v>34909.983120608966</v>
      </c>
      <c r="AM36" s="114">
        <f t="shared" si="50"/>
        <v>0.52222617770002555</v>
      </c>
      <c r="AN36" s="11">
        <f t="shared" si="36"/>
        <v>10.460528116587334</v>
      </c>
      <c r="AO36" s="114">
        <f t="shared" si="51"/>
        <v>0.605713202452412</v>
      </c>
      <c r="AP36" s="7">
        <f>'a1'!AE36</f>
        <v>16316.469694749045</v>
      </c>
      <c r="AQ36" s="9">
        <f>'a2'!U36/'a2'!$E$19</f>
        <v>0.96101737686934163</v>
      </c>
      <c r="AR36" s="7">
        <f>'a6'!AJ36</f>
        <v>7414.1464376409949</v>
      </c>
      <c r="AS36" s="7">
        <f>'a5'!K36</f>
        <v>9236.6774733738457</v>
      </c>
      <c r="AT36" s="7">
        <f>'a4'!R36</f>
        <v>2000.0792204986292</v>
      </c>
      <c r="AU36" s="9">
        <f>'a3'!F32/'a3'!B$15</f>
        <v>1.0317460317460319</v>
      </c>
      <c r="AV36" s="7">
        <f t="shared" si="12"/>
        <v>31294.049424787034</v>
      </c>
      <c r="AW36" s="114">
        <f t="shared" si="52"/>
        <v>0.41105147910938672</v>
      </c>
      <c r="AX36" s="11">
        <f t="shared" si="37"/>
        <v>10.351183244230189</v>
      </c>
      <c r="AY36" s="114">
        <f t="shared" si="53"/>
        <v>0.49707544999915182</v>
      </c>
      <c r="AZ36" s="7">
        <f>'a1'!AK36</f>
        <v>17305.664044430221</v>
      </c>
      <c r="BA36" s="9">
        <f>'a2'!Y36/'a2'!$E$19</f>
        <v>0.93296660753118543</v>
      </c>
      <c r="BB36" s="7">
        <f>'a6'!AQ36</f>
        <v>6465.1522137658958</v>
      </c>
      <c r="BC36" s="7">
        <f>'a5'!M36</f>
        <v>11349.326644923982</v>
      </c>
      <c r="BD36" s="7">
        <f>'a4'!T36</f>
        <v>2121.3350497831148</v>
      </c>
      <c r="BE36" s="9">
        <f>'a3'!G32/'a3'!B$15</f>
        <v>1.0370370370370372</v>
      </c>
      <c r="BF36" s="7">
        <f t="shared" si="15"/>
        <v>33017.963464384105</v>
      </c>
      <c r="BG36" s="114">
        <f t="shared" si="54"/>
        <v>0.46405455932897854</v>
      </c>
      <c r="BH36" s="11">
        <f t="shared" si="38"/>
        <v>10.40480703975089</v>
      </c>
      <c r="BI36" s="114">
        <f t="shared" si="55"/>
        <v>0.55035246699867446</v>
      </c>
      <c r="BJ36" s="7">
        <f>'a1'!AQ36</f>
        <v>19860.721996434775</v>
      </c>
      <c r="BK36" s="9">
        <f>'a2'!AC36/'a2'!$E$19</f>
        <v>0.96820791652458293</v>
      </c>
      <c r="BL36" s="7">
        <f>'a6'!AX36</f>
        <v>6374.7271372379237</v>
      </c>
      <c r="BM36" s="7">
        <f>'a5'!O36</f>
        <v>13115.152494956354</v>
      </c>
      <c r="BN36" s="7">
        <f>'a4'!V36</f>
        <v>2434.5350503088839</v>
      </c>
      <c r="BO36" s="9">
        <f>'a3'!H32/'a3'!B$15</f>
        <v>1.0476190476190477</v>
      </c>
      <c r="BP36" s="7">
        <f t="shared" si="18"/>
        <v>38012.493458476391</v>
      </c>
      <c r="BQ36" s="114">
        <f t="shared" si="56"/>
        <v>0.61761527515092574</v>
      </c>
      <c r="BR36" s="11">
        <f t="shared" si="39"/>
        <v>10.545670159896856</v>
      </c>
      <c r="BS36" s="114">
        <f t="shared" si="57"/>
        <v>0.69030464259066793</v>
      </c>
      <c r="BT36" s="7">
        <f>'a1'!AW36</f>
        <v>18042.372277885763</v>
      </c>
      <c r="BU36" s="9">
        <f>'a2'!AG36/'a2'!$E$19</f>
        <v>0.97307266903790368</v>
      </c>
      <c r="BV36" s="7">
        <f>'a6'!BE36</f>
        <v>6539.0572891543588</v>
      </c>
      <c r="BW36" s="7">
        <f>'a5'!Q36</f>
        <v>11301.816454722926</v>
      </c>
      <c r="BX36" s="7">
        <f>'a4'!X36</f>
        <v>2211.6410324417825</v>
      </c>
      <c r="BY36" s="9">
        <f>'a3'!I32/'a3'!B$15</f>
        <v>1.0317460317460319</v>
      </c>
      <c r="BZ36" s="7">
        <f t="shared" si="21"/>
        <v>34239.288632975622</v>
      </c>
      <c r="CA36" s="114">
        <f t="shared" si="58"/>
        <v>0.50160515315104226</v>
      </c>
      <c r="CB36" s="11">
        <f t="shared" si="40"/>
        <v>10.441129054133771</v>
      </c>
      <c r="CC36" s="114">
        <f t="shared" si="59"/>
        <v>0.5864395913609658</v>
      </c>
      <c r="CD36" s="7">
        <f>'a1'!BC36</f>
        <v>17500.678244663493</v>
      </c>
      <c r="CE36" s="9">
        <f>'a2'!AK36/'a2'!$E$19</f>
        <v>0.96856263591508196</v>
      </c>
      <c r="CF36" s="7">
        <f>'a6'!BL36</f>
        <v>6745.4356901702749</v>
      </c>
      <c r="CG36" s="7">
        <f>'a5'!S36</f>
        <v>9192.7977494796123</v>
      </c>
      <c r="CH36" s="7">
        <f>'a4'!Z36</f>
        <v>2145.239966525874</v>
      </c>
      <c r="CI36" s="9">
        <f>'a3'!J32/'a3'!B$15</f>
        <v>1.0383597883597884</v>
      </c>
      <c r="CJ36" s="7">
        <f t="shared" si="24"/>
        <v>31922.810544180498</v>
      </c>
      <c r="CK36" s="114">
        <f t="shared" si="60"/>
        <v>0.43038322958225916</v>
      </c>
      <c r="CL36" s="11">
        <f t="shared" si="41"/>
        <v>10.371076097317319</v>
      </c>
      <c r="CM36" s="114">
        <f t="shared" si="61"/>
        <v>0.51683965844058699</v>
      </c>
      <c r="CN36" s="7">
        <f>'a1'!BI36</f>
        <v>20806.701192728968</v>
      </c>
      <c r="CO36" s="9">
        <f>'a2'!AO36/'a2'!$E$19</f>
        <v>0.95809548540844136</v>
      </c>
      <c r="CP36" s="7">
        <f>'a6'!BS36</f>
        <v>6490.1155231163839</v>
      </c>
      <c r="CQ36" s="7">
        <f>'a5'!U36</f>
        <v>12065.745582006401</v>
      </c>
      <c r="CR36" s="7">
        <f>'a4'!AB36</f>
        <v>2550.4935492322693</v>
      </c>
      <c r="CS36" s="9">
        <f>'a3'!K32/'a3'!B$15</f>
        <v>1.0462962962962963</v>
      </c>
      <c r="CT36" s="7">
        <f t="shared" si="27"/>
        <v>37604.070980946133</v>
      </c>
      <c r="CU36" s="114">
        <f t="shared" si="62"/>
        <v>0.60505800788423514</v>
      </c>
      <c r="CV36" s="11">
        <f t="shared" si="42"/>
        <v>10.534867594286974</v>
      </c>
      <c r="CW36" s="114">
        <f t="shared" si="63"/>
        <v>0.67957193585016906</v>
      </c>
      <c r="CX36" s="7">
        <f>'a1'!BO36</f>
        <v>19973.071313819117</v>
      </c>
      <c r="CY36" s="9">
        <f>'a2'!AS36/'a2'!$E$19</f>
        <v>0.93902814743561047</v>
      </c>
      <c r="CZ36" s="7">
        <f>'a6'!BZ36</f>
        <v>6474.9119562252517</v>
      </c>
      <c r="DA36" s="7">
        <f>'a5'!W36</f>
        <v>13309.667445818086</v>
      </c>
      <c r="DB36" s="7">
        <f>'a4'!AD36</f>
        <v>2448.3068734631256</v>
      </c>
      <c r="DC36" s="9">
        <f>'a3'!L32/'a3'!B$15</f>
        <v>1.0515873015873016</v>
      </c>
      <c r="DD36" s="7">
        <f t="shared" si="30"/>
        <v>37953.414289657558</v>
      </c>
      <c r="DE36" s="114">
        <f t="shared" si="64"/>
        <v>0.61579884007801267</v>
      </c>
      <c r="DF36" s="11">
        <f t="shared" si="43"/>
        <v>10.544114746883807</v>
      </c>
      <c r="DG36" s="44">
        <f t="shared" si="65"/>
        <v>0.68875928824316535</v>
      </c>
    </row>
    <row r="37" spans="1:111">
      <c r="A37" s="1">
        <v>1999</v>
      </c>
      <c r="B37" s="7">
        <f>'a1'!G37</f>
        <v>19503.286801749109</v>
      </c>
      <c r="C37" s="9">
        <f>'a2'!E37/'a2'!E$19</f>
        <v>0.95408744877629981</v>
      </c>
      <c r="D37" s="7">
        <f>'a6'!H37</f>
        <v>6799.3353459303817</v>
      </c>
      <c r="E37" s="7">
        <f>'a5'!C37</f>
        <v>12138.382261164919</v>
      </c>
      <c r="F37" s="7">
        <f>'a4'!H37</f>
        <v>2380.1653432560047</v>
      </c>
      <c r="G37" s="9">
        <f>'a3'!B33/'a3'!B$15</f>
        <v>1.0449735449735451</v>
      </c>
      <c r="H37" s="7">
        <f t="shared" si="0"/>
        <v>36746.905813366851</v>
      </c>
      <c r="I37" s="114">
        <f t="shared" si="44"/>
        <v>0.57870379700417096</v>
      </c>
      <c r="J37" s="11">
        <f t="shared" si="33"/>
        <v>10.511809305541695</v>
      </c>
      <c r="K37" s="114">
        <f t="shared" si="45"/>
        <v>0.65666276223548392</v>
      </c>
      <c r="L37" s="7">
        <f>'a1'!M37</f>
        <v>15722.002741272272</v>
      </c>
      <c r="M37" s="9">
        <f>'a2'!I37/'a2'!$E$19</f>
        <v>0.99301056221520445</v>
      </c>
      <c r="N37" s="7">
        <f>'a6'!O37</f>
        <v>7775.6226470580214</v>
      </c>
      <c r="O37" s="7">
        <f>'a5'!E37</f>
        <v>9050.5939911562728</v>
      </c>
      <c r="P37" s="7">
        <f>'a4'!L37</f>
        <v>1918.7004955490961</v>
      </c>
      <c r="Q37" s="9">
        <f>'a3'!C33/'a3'!B$15</f>
        <v>1.0277777777777779</v>
      </c>
      <c r="R37" s="7">
        <f t="shared" si="3"/>
        <v>31367.398449589549</v>
      </c>
      <c r="S37" s="114">
        <f t="shared" si="46"/>
        <v>0.4133066520219208</v>
      </c>
      <c r="T37" s="11">
        <f t="shared" si="34"/>
        <v>10.353524366588255</v>
      </c>
      <c r="U37" s="114">
        <f t="shared" si="47"/>
        <v>0.49940143260552117</v>
      </c>
      <c r="V37" s="7">
        <f>'a1'!S37</f>
        <v>16752.15180399322</v>
      </c>
      <c r="W37" s="9">
        <f>'a2'!M37/'a2'!$E$19</f>
        <v>0.97266329528199147</v>
      </c>
      <c r="X37" s="7">
        <f>'a6'!V37</f>
        <v>8343.8178283970847</v>
      </c>
      <c r="Y37" s="7">
        <f>'a5'!G37</f>
        <v>9290.3662651585855</v>
      </c>
      <c r="Z37" s="7">
        <f>'a4'!N37</f>
        <v>2044.4190537798124</v>
      </c>
      <c r="AA37" s="9">
        <f>'a3'!D33/'a3'!$B$15</f>
        <v>1.0370370370370372</v>
      </c>
      <c r="AB37" s="7">
        <f t="shared" si="6"/>
        <v>33064.855928234734</v>
      </c>
      <c r="AC37" s="114">
        <f t="shared" si="48"/>
        <v>0.46549630466318914</v>
      </c>
      <c r="AD37" s="11">
        <f t="shared" si="35"/>
        <v>10.406226242870622</v>
      </c>
      <c r="AE37" s="114">
        <f t="shared" si="49"/>
        <v>0.55176249230556451</v>
      </c>
      <c r="AF37" s="7">
        <f>'a1'!Y37</f>
        <v>17998.809146440719</v>
      </c>
      <c r="AG37" s="9">
        <f>'a2'!Q37/'a2'!$E$19</f>
        <v>0.95336701219552267</v>
      </c>
      <c r="AH37" s="7">
        <f>'a6'!AC37</f>
        <v>8106.5336107873654</v>
      </c>
      <c r="AI37" s="7">
        <f>'a5'!I37</f>
        <v>11721.051473131251</v>
      </c>
      <c r="AJ37" s="7">
        <f>'a4'!P37</f>
        <v>2196.5601073145972</v>
      </c>
      <c r="AK37" s="9">
        <f>'a3'!E33/'a3'!B$15</f>
        <v>1.0410052910052912</v>
      </c>
      <c r="AL37" s="7">
        <f t="shared" si="9"/>
        <v>36217.090283221987</v>
      </c>
      <c r="AM37" s="114">
        <f t="shared" si="50"/>
        <v>0.56241420575957657</v>
      </c>
      <c r="AN37" s="11">
        <f t="shared" si="36"/>
        <v>10.497286393677612</v>
      </c>
      <c r="AO37" s="114">
        <f t="shared" si="51"/>
        <v>0.64223376826457823</v>
      </c>
      <c r="AP37" s="7">
        <f>'a1'!AE37</f>
        <v>16978.394646423334</v>
      </c>
      <c r="AQ37" s="9">
        <f>'a2'!U37/'a2'!$E$19</f>
        <v>0.95786461054001482</v>
      </c>
      <c r="AR37" s="7">
        <f>'a6'!AJ37</f>
        <v>7830.1727996010595</v>
      </c>
      <c r="AS37" s="7">
        <f>'a5'!K37</f>
        <v>9429.8220810091443</v>
      </c>
      <c r="AT37" s="7">
        <f>'a4'!R37</f>
        <v>2072.0295472410271</v>
      </c>
      <c r="AU37" s="9">
        <f>'a3'!F33/'a3'!B$15</f>
        <v>1.0370370370370372</v>
      </c>
      <c r="AV37" s="7">
        <f t="shared" si="12"/>
        <v>32615.81940188459</v>
      </c>
      <c r="AW37" s="114">
        <f t="shared" si="52"/>
        <v>0.45169032682381477</v>
      </c>
      <c r="AX37" s="11">
        <f t="shared" si="37"/>
        <v>10.392552707381865</v>
      </c>
      <c r="AY37" s="114">
        <f t="shared" si="53"/>
        <v>0.53817738189694364</v>
      </c>
      <c r="AZ37" s="7">
        <f>'a1'!AK37</f>
        <v>17851.773461236473</v>
      </c>
      <c r="BA37" s="9">
        <f>'a2'!Y37/'a2'!$E$19</f>
        <v>0.92870807995159854</v>
      </c>
      <c r="BB37" s="7">
        <f>'a6'!AQ37</f>
        <v>6633.6886247218754</v>
      </c>
      <c r="BC37" s="7">
        <f>'a5'!M37</f>
        <v>11490.025301229418</v>
      </c>
      <c r="BD37" s="7">
        <f>'a4'!T37</f>
        <v>2178.6159912431635</v>
      </c>
      <c r="BE37" s="9">
        <f>'a3'!G33/'a3'!B$15</f>
        <v>1.0383597883597884</v>
      </c>
      <c r="BF37" s="7">
        <f t="shared" si="15"/>
        <v>33771.805011712706</v>
      </c>
      <c r="BG37" s="114">
        <f t="shared" si="54"/>
        <v>0.48723200500675606</v>
      </c>
      <c r="BH37" s="11">
        <f t="shared" si="38"/>
        <v>10.427381562105564</v>
      </c>
      <c r="BI37" s="114">
        <f t="shared" si="55"/>
        <v>0.57278100268078125</v>
      </c>
      <c r="BJ37" s="7">
        <f>'a1'!AQ37</f>
        <v>20536.631840788668</v>
      </c>
      <c r="BK37" s="9">
        <f>'a2'!AC37/'a2'!$E$19</f>
        <v>0.96826156277200781</v>
      </c>
      <c r="BL37" s="7">
        <f>'a6'!AX37</f>
        <v>6575.1352466599919</v>
      </c>
      <c r="BM37" s="7">
        <f>'a5'!O37</f>
        <v>13108.287726220726</v>
      </c>
      <c r="BN37" s="7">
        <f>'a4'!V37</f>
        <v>2506.2739358511208</v>
      </c>
      <c r="BO37" s="9">
        <f>'a3'!H33/'a3'!B$15</f>
        <v>1.0502645502645505</v>
      </c>
      <c r="BP37" s="7">
        <f t="shared" si="18"/>
        <v>38924.88404781538</v>
      </c>
      <c r="BQ37" s="114">
        <f t="shared" si="56"/>
        <v>0.64566743464818133</v>
      </c>
      <c r="BR37" s="11">
        <f t="shared" si="39"/>
        <v>10.569389017836244</v>
      </c>
      <c r="BS37" s="114">
        <f t="shared" si="57"/>
        <v>0.71387011357934815</v>
      </c>
      <c r="BT37" s="7">
        <f>'a1'!AW37</f>
        <v>18336.93962438553</v>
      </c>
      <c r="BU37" s="9">
        <f>'a2'!AG37/'a2'!$E$19</f>
        <v>0.97080856215551381</v>
      </c>
      <c r="BV37" s="7">
        <f>'a6'!BE37</f>
        <v>7036.2286828927581</v>
      </c>
      <c r="BW37" s="7">
        <f>'a5'!Q37</f>
        <v>11381.865622129828</v>
      </c>
      <c r="BX37" s="7">
        <f>'a4'!X37</f>
        <v>2237.8252772976716</v>
      </c>
      <c r="BY37" s="9">
        <f>'a3'!I33/'a3'!B$15</f>
        <v>1.0317460317460319</v>
      </c>
      <c r="BZ37" s="7">
        <f t="shared" si="21"/>
        <v>35060.71835273748</v>
      </c>
      <c r="CA37" s="114">
        <f t="shared" si="58"/>
        <v>0.5268606498470787</v>
      </c>
      <c r="CB37" s="11">
        <f t="shared" si="40"/>
        <v>10.464836647504841</v>
      </c>
      <c r="CC37" s="114">
        <f t="shared" si="59"/>
        <v>0.60999387062791222</v>
      </c>
      <c r="CD37" s="7">
        <f>'a1'!BC37</f>
        <v>17964.089563184312</v>
      </c>
      <c r="CE37" s="9">
        <f>'a2'!AK37/'a2'!$E$19</f>
        <v>0.9684393624185289</v>
      </c>
      <c r="CF37" s="7">
        <f>'a6'!BL37</f>
        <v>6784.005213314641</v>
      </c>
      <c r="CG37" s="7">
        <f>'a5'!S37</f>
        <v>9234.5735826116634</v>
      </c>
      <c r="CH37" s="7">
        <f>'a4'!Z37</f>
        <v>2192.3229574618977</v>
      </c>
      <c r="CI37" s="9">
        <f>'a3'!J33/'a3'!B$15</f>
        <v>1.0383597883597884</v>
      </c>
      <c r="CJ37" s="7">
        <f t="shared" si="24"/>
        <v>32421.109809456644</v>
      </c>
      <c r="CK37" s="114">
        <f t="shared" si="60"/>
        <v>0.44570382870967756</v>
      </c>
      <c r="CL37" s="11">
        <f t="shared" si="41"/>
        <v>10.386565026951033</v>
      </c>
      <c r="CM37" s="114">
        <f t="shared" si="61"/>
        <v>0.53222842306246443</v>
      </c>
      <c r="CN37" s="7">
        <f>'a1'!BI37</f>
        <v>21213.184443213177</v>
      </c>
      <c r="CO37" s="9">
        <f>'a2'!AO37/'a2'!$E$19</f>
        <v>0.95467104891257426</v>
      </c>
      <c r="CP37" s="7">
        <f>'a6'!BS37</f>
        <v>6641.9984829956402</v>
      </c>
      <c r="CQ37" s="7">
        <f>'a5'!U37</f>
        <v>12100.020958519417</v>
      </c>
      <c r="CR37" s="7">
        <f>'a4'!AB37</f>
        <v>2588.8398681244466</v>
      </c>
      <c r="CS37" s="9">
        <f>'a3'!K33/'a3'!B$15</f>
        <v>1.0476190476190477</v>
      </c>
      <c r="CT37" s="7">
        <f t="shared" si="27"/>
        <v>38138.354169738785</v>
      </c>
      <c r="CU37" s="114">
        <f t="shared" si="62"/>
        <v>0.62148496077463289</v>
      </c>
      <c r="CV37" s="11">
        <f t="shared" si="42"/>
        <v>10.548975725882965</v>
      </c>
      <c r="CW37" s="114">
        <f t="shared" si="63"/>
        <v>0.69358883188620124</v>
      </c>
      <c r="CX37" s="7">
        <f>'a1'!BO37</f>
        <v>20387.273690442802</v>
      </c>
      <c r="CY37" s="9">
        <f>'a2'!AS37/'a2'!$E$19</f>
        <v>0.93701292503327338</v>
      </c>
      <c r="CZ37" s="7">
        <f>'a6'!BZ37</f>
        <v>6527.2189229422693</v>
      </c>
      <c r="DA37" s="7">
        <f>'a5'!W37</f>
        <v>13378.635309793308</v>
      </c>
      <c r="DB37" s="7">
        <f>'a4'!AD37</f>
        <v>2488.0463880126626</v>
      </c>
      <c r="DC37" s="9">
        <f>'a3'!L33/'a3'!B$15</f>
        <v>1.0582010582010584</v>
      </c>
      <c r="DD37" s="7">
        <f t="shared" si="30"/>
        <v>38646.50454905675</v>
      </c>
      <c r="DE37" s="114">
        <f t="shared" si="64"/>
        <v>0.63710844007810286</v>
      </c>
      <c r="DF37" s="11">
        <f t="shared" si="43"/>
        <v>10.562211611350248</v>
      </c>
      <c r="DG37" s="44">
        <f t="shared" si="65"/>
        <v>0.7067391225024624</v>
      </c>
    </row>
    <row r="38" spans="1:111">
      <c r="A38" s="1">
        <v>2000</v>
      </c>
      <c r="B38" s="7">
        <f>'a1'!G38</f>
        <v>20114.756924472709</v>
      </c>
      <c r="C38" s="9">
        <f>'a2'!E38/'a2'!E$19</f>
        <v>0.95171057443084717</v>
      </c>
      <c r="D38" s="7">
        <f>'a6'!H38</f>
        <v>6984.5622702008413</v>
      </c>
      <c r="E38" s="7">
        <f>'a5'!C38</f>
        <v>12198.458775335355</v>
      </c>
      <c r="F38" s="7">
        <f>'a4'!H38</f>
        <v>2440.3232111579568</v>
      </c>
      <c r="G38" s="9">
        <f>'a3'!B34/'a3'!B$15</f>
        <v>1.0502645502645505</v>
      </c>
      <c r="H38" s="7">
        <f t="shared" si="0"/>
        <v>37689.924620363745</v>
      </c>
      <c r="I38" s="114">
        <f t="shared" si="44"/>
        <v>0.60769764491524347</v>
      </c>
      <c r="J38" s="11">
        <f t="shared" si="33"/>
        <v>10.537148086268832</v>
      </c>
      <c r="K38" s="114">
        <f t="shared" si="45"/>
        <v>0.6818376801695516</v>
      </c>
      <c r="L38" s="7">
        <f>'a1'!M38</f>
        <v>16374.160457302174</v>
      </c>
      <c r="M38" s="9">
        <f>'a2'!I38/'a2'!$E$19</f>
        <v>0.98553212756678343</v>
      </c>
      <c r="N38" s="7">
        <f>'a6'!O38</f>
        <v>8059.9343670177213</v>
      </c>
      <c r="O38" s="7">
        <f>'a5'!E38</f>
        <v>9328.8080409905015</v>
      </c>
      <c r="P38" s="7">
        <f>'a4'!L38</f>
        <v>1986.5138801932972</v>
      </c>
      <c r="Q38" s="9">
        <f>'a3'!C34/'a3'!B$15</f>
        <v>1.0224867724867726</v>
      </c>
      <c r="R38" s="7">
        <f t="shared" si="3"/>
        <v>32248.711050111811</v>
      </c>
      <c r="S38" s="114">
        <f t="shared" si="46"/>
        <v>0.44040329454067229</v>
      </c>
      <c r="T38" s="11">
        <f t="shared" si="34"/>
        <v>10.381233353986806</v>
      </c>
      <c r="U38" s="114">
        <f t="shared" si="47"/>
        <v>0.52693122937461123</v>
      </c>
      <c r="V38" s="7">
        <f>'a1'!S38</f>
        <v>17476.368432622556</v>
      </c>
      <c r="W38" s="9">
        <f>'a2'!M38/'a2'!$E$19</f>
        <v>0.96428302662363063</v>
      </c>
      <c r="X38" s="7">
        <f>'a6'!V38</f>
        <v>8217.3889675601804</v>
      </c>
      <c r="Y38" s="7">
        <f>'a5'!G38</f>
        <v>9419.2496210829777</v>
      </c>
      <c r="Z38" s="7">
        <f>'a4'!N38</f>
        <v>2120.2338011347856</v>
      </c>
      <c r="AA38" s="9">
        <f>'a3'!D34/'a3'!$B$15</f>
        <v>1.0343915343915344</v>
      </c>
      <c r="AB38" s="7">
        <f t="shared" si="6"/>
        <v>33481.775030518424</v>
      </c>
      <c r="AC38" s="114">
        <f t="shared" si="48"/>
        <v>0.4783148072775002</v>
      </c>
      <c r="AD38" s="11">
        <f t="shared" si="35"/>
        <v>10.418756540835972</v>
      </c>
      <c r="AE38" s="114">
        <f t="shared" si="49"/>
        <v>0.56421175836789161</v>
      </c>
      <c r="AF38" s="7">
        <f>'a1'!Y38</f>
        <v>18446.790123588995</v>
      </c>
      <c r="AG38" s="9">
        <f>'a2'!Q38/'a2'!$E$19</f>
        <v>0.94714231022887618</v>
      </c>
      <c r="AH38" s="7">
        <f>'a6'!AC38</f>
        <v>8294.8067064738188</v>
      </c>
      <c r="AI38" s="7">
        <f>'a5'!I38</f>
        <v>11947.172067242984</v>
      </c>
      <c r="AJ38" s="7">
        <f>'a4'!P38</f>
        <v>2237.965404154822</v>
      </c>
      <c r="AK38" s="9">
        <f>'a3'!E34/'a3'!B$15</f>
        <v>1.0396825396825398</v>
      </c>
      <c r="AL38" s="7">
        <f t="shared" si="9"/>
        <v>36883.516592395339</v>
      </c>
      <c r="AM38" s="114">
        <f t="shared" si="50"/>
        <v>0.58290400183654201</v>
      </c>
      <c r="AN38" s="11">
        <f t="shared" si="36"/>
        <v>10.515520025413167</v>
      </c>
      <c r="AO38" s="114">
        <f t="shared" si="51"/>
        <v>0.66034948533580207</v>
      </c>
      <c r="AP38" s="7">
        <f>'a1'!AE38</f>
        <v>17489.277391451491</v>
      </c>
      <c r="AQ38" s="9">
        <f>'a2'!U38/'a2'!$E$19</f>
        <v>0.95622391684162411</v>
      </c>
      <c r="AR38" s="7">
        <f>'a6'!AJ38</f>
        <v>7552.746220467282</v>
      </c>
      <c r="AS38" s="7">
        <f>'a5'!K38</f>
        <v>9633.7054806728738</v>
      </c>
      <c r="AT38" s="7">
        <f>'a4'!R38</f>
        <v>2121.7999165981946</v>
      </c>
      <c r="AU38" s="9">
        <f>'a3'!F34/'a3'!B$15</f>
        <v>1.0423280423280423</v>
      </c>
      <c r="AV38" s="7">
        <f t="shared" si="12"/>
        <v>33133.854346886226</v>
      </c>
      <c r="AW38" s="114">
        <f t="shared" si="52"/>
        <v>0.46761771480012659</v>
      </c>
      <c r="AX38" s="11">
        <f t="shared" si="37"/>
        <v>10.408310828608041</v>
      </c>
      <c r="AY38" s="114">
        <f t="shared" si="53"/>
        <v>0.55383359728220838</v>
      </c>
      <c r="AZ38" s="7">
        <f>'a1'!AK38</f>
        <v>18379.896780609251</v>
      </c>
      <c r="BA38" s="9">
        <f>'a2'!Y38/'a2'!$E$19</f>
        <v>0.92493987103114383</v>
      </c>
      <c r="BB38" s="7">
        <f>'a6'!AQ38</f>
        <v>6817.2948551214586</v>
      </c>
      <c r="BC38" s="7">
        <f>'a5'!M38</f>
        <v>11633.105066247155</v>
      </c>
      <c r="BD38" s="7">
        <f>'a4'!T38</f>
        <v>2229.8499007878982</v>
      </c>
      <c r="BE38" s="9">
        <f>'a3'!G34/'a3'!B$15</f>
        <v>1.0476190476190477</v>
      </c>
      <c r="BF38" s="7">
        <f t="shared" si="15"/>
        <v>34802.794586898555</v>
      </c>
      <c r="BG38" s="114">
        <f t="shared" si="54"/>
        <v>0.51893058272233095</v>
      </c>
      <c r="BH38" s="11">
        <f t="shared" si="38"/>
        <v>10.457452966759577</v>
      </c>
      <c r="BI38" s="114">
        <f t="shared" si="55"/>
        <v>0.60265793924214173</v>
      </c>
      <c r="BJ38" s="7">
        <f>'a1'!AQ38</f>
        <v>21236.398309037952</v>
      </c>
      <c r="BK38" s="9">
        <f>'a2'!AC38/'a2'!$E$19</f>
        <v>0.96647823390507148</v>
      </c>
      <c r="BL38" s="7">
        <f>'a6'!AX38</f>
        <v>6739.7756904691714</v>
      </c>
      <c r="BM38" s="7">
        <f>'a5'!O38</f>
        <v>13106.231773520378</v>
      </c>
      <c r="BN38" s="7">
        <f>'a4'!V38</f>
        <v>2576.4007941795899</v>
      </c>
      <c r="BO38" s="9">
        <f>'a3'!H34/'a3'!B$15</f>
        <v>1.0515873015873016</v>
      </c>
      <c r="BP38" s="7">
        <f t="shared" si="18"/>
        <v>39743.820244201997</v>
      </c>
      <c r="BQ38" s="114">
        <f t="shared" si="56"/>
        <v>0.67084626602538422</v>
      </c>
      <c r="BR38" s="11">
        <f t="shared" si="39"/>
        <v>10.590209642441788</v>
      </c>
      <c r="BS38" s="114">
        <f t="shared" si="57"/>
        <v>0.73455609375436293</v>
      </c>
      <c r="BT38" s="7">
        <f>'a1'!AW38</f>
        <v>18681.039960324688</v>
      </c>
      <c r="BU38" s="9">
        <f>'a2'!AG38/'a2'!$E$19</f>
        <v>0.96853987820419085</v>
      </c>
      <c r="BV38" s="7">
        <f>'a6'!BE38</f>
        <v>7108.546446079753</v>
      </c>
      <c r="BW38" s="7">
        <f>'a5'!Q38</f>
        <v>11471.282058009645</v>
      </c>
      <c r="BX38" s="7">
        <f>'a4'!X38</f>
        <v>2266.3846048412884</v>
      </c>
      <c r="BY38" s="9">
        <f>'a3'!I34/'a3'!B$15</f>
        <v>1.033068783068783</v>
      </c>
      <c r="BZ38" s="7">
        <f t="shared" si="21"/>
        <v>35544.566281009334</v>
      </c>
      <c r="CA38" s="114">
        <f t="shared" si="58"/>
        <v>0.54173693135950862</v>
      </c>
      <c r="CB38" s="11">
        <f t="shared" si="40"/>
        <v>10.478542576320066</v>
      </c>
      <c r="CC38" s="114">
        <f t="shared" si="59"/>
        <v>0.62361116487932555</v>
      </c>
      <c r="CD38" s="7">
        <f>'a1'!BC38</f>
        <v>18570.514061127571</v>
      </c>
      <c r="CE38" s="9">
        <f>'a2'!AK38/'a2'!$E$19</f>
        <v>0.96511220293518318</v>
      </c>
      <c r="CF38" s="7">
        <f>'a6'!BL38</f>
        <v>6916.5407758106539</v>
      </c>
      <c r="CG38" s="7">
        <f>'a5'!S38</f>
        <v>9287.463295775884</v>
      </c>
      <c r="CH38" s="7">
        <f>'a4'!Z38</f>
        <v>2252.9755977994646</v>
      </c>
      <c r="CI38" s="9">
        <f>'a3'!J34/'a3'!B$15</f>
        <v>1.0396825396825398</v>
      </c>
      <c r="CJ38" s="7">
        <f t="shared" si="24"/>
        <v>33138.485915665486</v>
      </c>
      <c r="CK38" s="114">
        <f t="shared" si="60"/>
        <v>0.46776011599062156</v>
      </c>
      <c r="CL38" s="11">
        <f t="shared" si="41"/>
        <v>10.40845060241921</v>
      </c>
      <c r="CM38" s="114">
        <f t="shared" si="61"/>
        <v>0.55397246719325099</v>
      </c>
      <c r="CN38" s="7">
        <f>'a1'!BI38</f>
        <v>21924.320567419323</v>
      </c>
      <c r="CO38" s="9">
        <f>'a2'!AO38/'a2'!$E$19</f>
        <v>0.95262821135451459</v>
      </c>
      <c r="CP38" s="7">
        <f>'a6'!BS38</f>
        <v>7055.1189162402197</v>
      </c>
      <c r="CQ38" s="7">
        <f>'a5'!U38</f>
        <v>12133.260650087985</v>
      </c>
      <c r="CR38" s="7">
        <f>'a4'!AB38</f>
        <v>2659.8595533832768</v>
      </c>
      <c r="CS38" s="9">
        <f>'a3'!K34/'a3'!B$15</f>
        <v>1.0515873015873016</v>
      </c>
      <c r="CT38" s="7">
        <f t="shared" si="27"/>
        <v>39344.346307801105</v>
      </c>
      <c r="CU38" s="114">
        <f t="shared" si="62"/>
        <v>0.65856412862737246</v>
      </c>
      <c r="CV38" s="11">
        <f t="shared" si="42"/>
        <v>10.580107566465861</v>
      </c>
      <c r="CW38" s="114">
        <f t="shared" si="63"/>
        <v>0.72451934666710782</v>
      </c>
      <c r="CX38" s="7">
        <f>'a1'!BO38</f>
        <v>20880.712413009409</v>
      </c>
      <c r="CY38" s="9">
        <f>'a2'!AS38/'a2'!$E$19</f>
        <v>0.93636947348356103</v>
      </c>
      <c r="CZ38" s="7">
        <f>'a6'!BZ38</f>
        <v>6752.7774263959127</v>
      </c>
      <c r="DA38" s="7">
        <f>'a5'!W38</f>
        <v>13463.087966196306</v>
      </c>
      <c r="DB38" s="7">
        <f>'a4'!AD38</f>
        <v>2533.2489653397433</v>
      </c>
      <c r="DC38" s="9">
        <f>'a3'!L34/'a3'!B$15</f>
        <v>1.0648148148148149</v>
      </c>
      <c r="DD38" s="7">
        <f t="shared" si="30"/>
        <v>39648.036882121589</v>
      </c>
      <c r="DE38" s="114">
        <f t="shared" si="64"/>
        <v>0.66790133193502976</v>
      </c>
      <c r="DF38" s="11">
        <f t="shared" si="43"/>
        <v>10.587796714667581</v>
      </c>
      <c r="DG38" s="44">
        <f t="shared" si="65"/>
        <v>0.73215877008868846</v>
      </c>
    </row>
    <row r="39" spans="1:111">
      <c r="A39" s="1">
        <v>2001</v>
      </c>
      <c r="B39" s="7">
        <f>'a1'!G39</f>
        <v>20378.883665570349</v>
      </c>
      <c r="C39" s="9">
        <f>'a2'!E39/'a2'!E$19</f>
        <v>0.94980492025435614</v>
      </c>
      <c r="D39" s="7">
        <f>'a6'!H39</f>
        <v>7261.4579443103903</v>
      </c>
      <c r="E39" s="7">
        <f>'a5'!C39</f>
        <v>12259.141913915764</v>
      </c>
      <c r="F39" s="7">
        <f>'a4'!H39</f>
        <v>2500.3542165488661</v>
      </c>
      <c r="G39" s="9">
        <f>'a3'!B35/'a3'!B$15</f>
        <v>1.052910052910053</v>
      </c>
      <c r="H39" s="7">
        <f t="shared" si="0"/>
        <v>38300.876792004761</v>
      </c>
      <c r="I39" s="114">
        <f t="shared" si="44"/>
        <v>0.62648184541481788</v>
      </c>
      <c r="J39" s="11">
        <f t="shared" si="33"/>
        <v>10.553228067648341</v>
      </c>
      <c r="K39" s="114">
        <f t="shared" si="45"/>
        <v>0.69781367427793883</v>
      </c>
      <c r="L39" s="7">
        <f>'a1'!M39</f>
        <v>17014.250056988734</v>
      </c>
      <c r="M39" s="9">
        <f>'a2'!I39/'a2'!$E$19</f>
        <v>0.97753824251082222</v>
      </c>
      <c r="N39" s="7">
        <f>'a6'!O39</f>
        <v>8374.3372782393708</v>
      </c>
      <c r="O39" s="7">
        <f>'a5'!E39</f>
        <v>9624.6257931353048</v>
      </c>
      <c r="P39" s="7">
        <f>'a4'!L39</f>
        <v>2087.5359303062169</v>
      </c>
      <c r="Q39" s="9">
        <f>'a3'!C35/'a3'!B$15</f>
        <v>1.033068783068783</v>
      </c>
      <c r="R39" s="7">
        <f t="shared" si="3"/>
        <v>33619.681420614528</v>
      </c>
      <c r="S39" s="114">
        <f t="shared" si="46"/>
        <v>0.4825548466815337</v>
      </c>
      <c r="T39" s="11">
        <f t="shared" si="34"/>
        <v>10.422866931028791</v>
      </c>
      <c r="U39" s="114">
        <f t="shared" si="47"/>
        <v>0.56829556717051466</v>
      </c>
      <c r="V39" s="7">
        <f>'a1'!S39</f>
        <v>17700.474890789752</v>
      </c>
      <c r="W39" s="9">
        <f>'a2'!M39/'a2'!$E$19</f>
        <v>0.9649646448225806</v>
      </c>
      <c r="X39" s="7">
        <f>'a6'!V39</f>
        <v>8713.7126015319282</v>
      </c>
      <c r="Y39" s="7">
        <f>'a5'!G39</f>
        <v>9576.0082825131467</v>
      </c>
      <c r="Z39" s="7">
        <f>'a4'!N39</f>
        <v>2171.7311779386341</v>
      </c>
      <c r="AA39" s="9">
        <f>'a3'!D35/'a3'!$B$15</f>
        <v>1.0436507936507937</v>
      </c>
      <c r="AB39" s="7">
        <f t="shared" si="6"/>
        <v>34647.455282983508</v>
      </c>
      <c r="AC39" s="114">
        <f t="shared" si="48"/>
        <v>0.51415455480124672</v>
      </c>
      <c r="AD39" s="11">
        <f t="shared" si="35"/>
        <v>10.452979561314619</v>
      </c>
      <c r="AE39" s="114">
        <f t="shared" si="49"/>
        <v>0.59821346276257581</v>
      </c>
      <c r="AF39" s="7">
        <f>'a1'!Y39</f>
        <v>18679.741842493033</v>
      </c>
      <c r="AG39" s="9">
        <f>'a2'!Q39/'a2'!$E$19</f>
        <v>0.94276372197671743</v>
      </c>
      <c r="AH39" s="7">
        <f>'a6'!AC39</f>
        <v>8564.2863978365585</v>
      </c>
      <c r="AI39" s="7">
        <f>'a5'!I39</f>
        <v>12185.752657610388</v>
      </c>
      <c r="AJ39" s="7">
        <f>'a4'!P39</f>
        <v>2291.8807549223311</v>
      </c>
      <c r="AK39" s="9">
        <f>'a3'!E35/'a3'!B$15</f>
        <v>1.0436507936507937</v>
      </c>
      <c r="AL39" s="7">
        <f t="shared" si="9"/>
        <v>37643.170426869539</v>
      </c>
      <c r="AM39" s="114">
        <f t="shared" si="50"/>
        <v>0.60626015081086526</v>
      </c>
      <c r="AN39" s="11">
        <f t="shared" si="36"/>
        <v>10.535906820409043</v>
      </c>
      <c r="AO39" s="114">
        <f t="shared" si="51"/>
        <v>0.68060444142412546</v>
      </c>
      <c r="AP39" s="7">
        <f>'a1'!AE39</f>
        <v>17664.687030292036</v>
      </c>
      <c r="AQ39" s="9">
        <f>'a2'!U39/'a2'!$E$19</f>
        <v>0.9526185241391254</v>
      </c>
      <c r="AR39" s="7">
        <f>'a6'!AJ39</f>
        <v>7487.9351992189886</v>
      </c>
      <c r="AS39" s="7">
        <f>'a5'!K39</f>
        <v>9838.65401934281</v>
      </c>
      <c r="AT39" s="7">
        <f>'a4'!R39</f>
        <v>2167.3402441973562</v>
      </c>
      <c r="AU39" s="9">
        <f>'a3'!F35/'a3'!B$15</f>
        <v>1.0449735449735451</v>
      </c>
      <c r="AV39" s="7">
        <f t="shared" si="12"/>
        <v>33425.523914559824</v>
      </c>
      <c r="AW39" s="114">
        <f t="shared" si="52"/>
        <v>0.47658532289306299</v>
      </c>
      <c r="AX39" s="11">
        <f t="shared" si="37"/>
        <v>10.417075076179684</v>
      </c>
      <c r="AY39" s="114">
        <f t="shared" si="53"/>
        <v>0.56254116753769612</v>
      </c>
      <c r="AZ39" s="7">
        <f>'a1'!AK39</f>
        <v>18685.480679542328</v>
      </c>
      <c r="BA39" s="9">
        <f>'a2'!Y39/'a2'!$E$19</f>
        <v>0.92174864185202166</v>
      </c>
      <c r="BB39" s="7">
        <f>'a6'!AQ39</f>
        <v>7159.8210533820366</v>
      </c>
      <c r="BC39" s="7">
        <f>'a5'!M39</f>
        <v>11781.420752357617</v>
      </c>
      <c r="BD39" s="7">
        <f>'a4'!T39</f>
        <v>2292.5848722650558</v>
      </c>
      <c r="BE39" s="9">
        <f>'a3'!G35/'a3'!B$15</f>
        <v>1.0502645502645505</v>
      </c>
      <c r="BF39" s="7">
        <f t="shared" si="15"/>
        <v>35574.532880321138</v>
      </c>
      <c r="BG39" s="114">
        <f t="shared" si="54"/>
        <v>0.54265827780181919</v>
      </c>
      <c r="BH39" s="11">
        <f t="shared" si="38"/>
        <v>10.479385292311653</v>
      </c>
      <c r="BI39" s="114">
        <f t="shared" si="55"/>
        <v>0.62444843112975701</v>
      </c>
      <c r="BJ39" s="7">
        <f>'a1'!AQ39</f>
        <v>21379.104375739651</v>
      </c>
      <c r="BK39" s="9">
        <f>'a2'!AC39/'a2'!$E$19</f>
        <v>0.96617382976220445</v>
      </c>
      <c r="BL39" s="7">
        <f>'a6'!AX39</f>
        <v>6936.2309471363806</v>
      </c>
      <c r="BM39" s="7">
        <f>'a5'!O39</f>
        <v>13101.702714803294</v>
      </c>
      <c r="BN39" s="7">
        <f>'a4'!V39</f>
        <v>2623.0746810842488</v>
      </c>
      <c r="BO39" s="9">
        <f>'a3'!H35/'a3'!B$15</f>
        <v>1.056878306878307</v>
      </c>
      <c r="BP39" s="7">
        <f t="shared" si="18"/>
        <v>40236.19221670281</v>
      </c>
      <c r="BQ39" s="114">
        <f t="shared" si="56"/>
        <v>0.68598462591857168</v>
      </c>
      <c r="BR39" s="11">
        <f t="shared" si="39"/>
        <v>10.602522173474719</v>
      </c>
      <c r="BS39" s="114">
        <f t="shared" si="57"/>
        <v>0.7467890011563646</v>
      </c>
      <c r="BT39" s="7">
        <f>'a1'!AW39</f>
        <v>18974.517972728037</v>
      </c>
      <c r="BU39" s="9">
        <f>'a2'!AG39/'a2'!$E$19</f>
        <v>0.96813084401734506</v>
      </c>
      <c r="BV39" s="7">
        <f>'a6'!BE39</f>
        <v>7381.9785878838356</v>
      </c>
      <c r="BW39" s="7">
        <f>'a5'!Q39</f>
        <v>11567.191053225242</v>
      </c>
      <c r="BX39" s="7">
        <f>'a4'!X39</f>
        <v>2328.0478361160999</v>
      </c>
      <c r="BY39" s="9">
        <f>'a3'!I35/'a3'!B$15</f>
        <v>1.0396825396825398</v>
      </c>
      <c r="BZ39" s="7">
        <f t="shared" si="21"/>
        <v>36379.467186687078</v>
      </c>
      <c r="CA39" s="114">
        <f t="shared" si="58"/>
        <v>0.56740661016170135</v>
      </c>
      <c r="CB39" s="11">
        <f t="shared" si="40"/>
        <v>10.501759806189357</v>
      </c>
      <c r="CC39" s="114">
        <f t="shared" si="59"/>
        <v>0.64667825176523031</v>
      </c>
      <c r="CD39" s="7">
        <f>'a1'!BC39</f>
        <v>18967.808114406715</v>
      </c>
      <c r="CE39" s="9">
        <f>'a2'!AK39/'a2'!$E$19</f>
        <v>0.96279879340967245</v>
      </c>
      <c r="CF39" s="7">
        <f>'a6'!BL39</f>
        <v>7431.5389770363336</v>
      </c>
      <c r="CG39" s="7">
        <f>'a5'!S39</f>
        <v>9342.1272528627123</v>
      </c>
      <c r="CH39" s="7">
        <f>'a4'!Z39</f>
        <v>2327.2245808867419</v>
      </c>
      <c r="CI39" s="9">
        <f>'a3'!J35/'a3'!B$15</f>
        <v>1.0476190476190477</v>
      </c>
      <c r="CJ39" s="7">
        <f t="shared" si="24"/>
        <v>34266.177958769724</v>
      </c>
      <c r="CK39" s="114">
        <f t="shared" si="60"/>
        <v>0.50243188642159942</v>
      </c>
      <c r="CL39" s="11">
        <f t="shared" si="41"/>
        <v>10.441914081329783</v>
      </c>
      <c r="CM39" s="114">
        <f t="shared" si="61"/>
        <v>0.58721954188220093</v>
      </c>
      <c r="CN39" s="7">
        <f>'a1'!BI39</f>
        <v>22356.317836035574</v>
      </c>
      <c r="CO39" s="9">
        <f>'a2'!AO39/'a2'!$E$19</f>
        <v>0.9495010766136287</v>
      </c>
      <c r="CP39" s="7">
        <f>'a6'!BS39</f>
        <v>7448.9243746911261</v>
      </c>
      <c r="CQ39" s="7">
        <f>'a5'!U39</f>
        <v>12184.079961518953</v>
      </c>
      <c r="CR39" s="7">
        <f>'a4'!AB39</f>
        <v>2742.972308256401</v>
      </c>
      <c r="CS39" s="9">
        <f>'a3'!K35/'a3'!B$15</f>
        <v>1.0542328042328044</v>
      </c>
      <c r="CT39" s="7">
        <f t="shared" si="27"/>
        <v>40184.5922834148</v>
      </c>
      <c r="CU39" s="114">
        <f t="shared" si="62"/>
        <v>0.68439814576899927</v>
      </c>
      <c r="CV39" s="11">
        <f t="shared" si="42"/>
        <v>10.601238924605919</v>
      </c>
      <c r="CW39" s="114">
        <f t="shared" si="63"/>
        <v>0.74551405090090772</v>
      </c>
      <c r="CX39" s="7">
        <f>'a1'!BO39</f>
        <v>21146.56950580237</v>
      </c>
      <c r="CY39" s="9">
        <f>'a2'!AS39/'a2'!$E$19</f>
        <v>0.9348788105929059</v>
      </c>
      <c r="CZ39" s="7">
        <f>'a6'!BZ39</f>
        <v>7020.4496533018983</v>
      </c>
      <c r="DA39" s="7">
        <f>'a5'!W39</f>
        <v>13532.562587178689</v>
      </c>
      <c r="DB39" s="7">
        <f>'a4'!AD39</f>
        <v>2594.5441907942131</v>
      </c>
      <c r="DC39" s="9">
        <f>'a3'!L35/'a3'!B$15</f>
        <v>1.0634920634920637</v>
      </c>
      <c r="DD39" s="7">
        <f t="shared" si="30"/>
        <v>40123.373054368327</v>
      </c>
      <c r="DE39" s="114">
        <f t="shared" si="64"/>
        <v>0.68251591287710278</v>
      </c>
      <c r="DF39" s="11">
        <f t="shared" si="43"/>
        <v>10.599714312678637</v>
      </c>
      <c r="DG39" s="44">
        <f t="shared" si="65"/>
        <v>0.74399929845232138</v>
      </c>
    </row>
    <row r="40" spans="1:111">
      <c r="A40" s="1">
        <v>2002</v>
      </c>
      <c r="B40" s="7">
        <f>'a1'!G40</f>
        <v>20913.733313907636</v>
      </c>
      <c r="C40" s="9">
        <f>'a2'!E40/'a2'!E$19</f>
        <v>0.94715989974932147</v>
      </c>
      <c r="D40" s="7">
        <f>'a6'!H40</f>
        <v>7372.0908336814055</v>
      </c>
      <c r="E40" s="7">
        <f>'a5'!C40</f>
        <v>12317.310836014585</v>
      </c>
      <c r="F40" s="7">
        <f>'a4'!H40</f>
        <v>2564.1671712108046</v>
      </c>
      <c r="G40" s="9">
        <f>'a3'!B36/'a3'!B$15</f>
        <v>1.0542328042328044</v>
      </c>
      <c r="H40" s="7">
        <f t="shared" si="0"/>
        <v>38936.912150573517</v>
      </c>
      <c r="I40" s="114">
        <f t="shared" si="44"/>
        <v>0.64603724803837104</v>
      </c>
      <c r="J40" s="11">
        <f t="shared" si="33"/>
        <v>10.569697978159306</v>
      </c>
      <c r="K40" s="114">
        <f t="shared" si="45"/>
        <v>0.71417707589382318</v>
      </c>
      <c r="L40" s="7">
        <f>'a1'!M40</f>
        <v>17602.414485372385</v>
      </c>
      <c r="M40" s="9">
        <f>'a2'!I40/'a2'!$E$19</f>
        <v>0.96799576241629148</v>
      </c>
      <c r="N40" s="7">
        <f>'a6'!O40</f>
        <v>8800.2448362080413</v>
      </c>
      <c r="O40" s="7">
        <f>'a5'!E40</f>
        <v>9897.7798048023687</v>
      </c>
      <c r="P40" s="7">
        <f>'a4'!L40</f>
        <v>2158.1767673886447</v>
      </c>
      <c r="Q40" s="9">
        <f>'a3'!C36/'a3'!B$15</f>
        <v>1.0357142857142858</v>
      </c>
      <c r="R40" s="7">
        <f t="shared" ref="R40:R45" si="66">(L40*M40+N40+O40-P40)*Q40</f>
        <v>34778.157307463007</v>
      </c>
      <c r="S40" s="114">
        <f t="shared" si="46"/>
        <v>0.51817309037159864</v>
      </c>
      <c r="T40" s="11">
        <f t="shared" si="34"/>
        <v>10.456744805120669</v>
      </c>
      <c r="U40" s="114">
        <f t="shared" si="47"/>
        <v>0.60195435719786172</v>
      </c>
      <c r="V40" s="7">
        <f>'a1'!S40</f>
        <v>18301.23615535229</v>
      </c>
      <c r="W40" s="9">
        <f>'a2'!M40/'a2'!$E$19</f>
        <v>0.95689682654019093</v>
      </c>
      <c r="X40" s="7">
        <f>'a6'!V40</f>
        <v>8927.7886554253491</v>
      </c>
      <c r="Y40" s="7">
        <f>'a5'!G40</f>
        <v>9733.2942022843945</v>
      </c>
      <c r="Z40" s="7">
        <f>'a4'!N40</f>
        <v>2243.8570980019063</v>
      </c>
      <c r="AA40" s="9">
        <f>'a3'!D36/'a3'!$B$15</f>
        <v>1.0423280423280423</v>
      </c>
      <c r="AB40" s="7">
        <f t="shared" ref="AB40:AB45" si="67">(V40*W40+X40+Y40-Z40)*AA40</f>
        <v>35365.794973702796</v>
      </c>
      <c r="AC40" s="114">
        <f t="shared" si="48"/>
        <v>0.53624046823867666</v>
      </c>
      <c r="AD40" s="11">
        <f t="shared" si="35"/>
        <v>10.473500388326807</v>
      </c>
      <c r="AE40" s="114">
        <f t="shared" si="49"/>
        <v>0.6186015840985698</v>
      </c>
      <c r="AF40" s="7">
        <f>'a1'!Y40</f>
        <v>19343.005192430068</v>
      </c>
      <c r="AG40" s="9">
        <f>'a2'!Q40/'a2'!$E$19</f>
        <v>0.93920369396922232</v>
      </c>
      <c r="AH40" s="7">
        <f>'a6'!AC40</f>
        <v>8921.7820034972701</v>
      </c>
      <c r="AI40" s="7">
        <f>'a5'!I40</f>
        <v>12401.494710706647</v>
      </c>
      <c r="AJ40" s="7">
        <f>'a4'!P40</f>
        <v>2371.5851284192368</v>
      </c>
      <c r="AK40" s="9">
        <f>'a3'!E36/'a3'!B$15</f>
        <v>1.0449735449735451</v>
      </c>
      <c r="AL40" s="7">
        <f t="shared" ref="AL40:AL45" si="68">(AF40*AG40+AH40+AI40-AJ40)*AK40</f>
        <v>38788.073646606972</v>
      </c>
      <c r="AM40" s="114">
        <f t="shared" si="50"/>
        <v>0.64146109227636638</v>
      </c>
      <c r="AN40" s="11">
        <f t="shared" si="36"/>
        <v>10.565868098118287</v>
      </c>
      <c r="AO40" s="114">
        <f t="shared" si="51"/>
        <v>0.71037196321818752</v>
      </c>
      <c r="AP40" s="7">
        <f>'a1'!AE40</f>
        <v>18226.925083841452</v>
      </c>
      <c r="AQ40" s="9">
        <f>'a2'!U40/'a2'!$E$19</f>
        <v>0.9461158064288987</v>
      </c>
      <c r="AR40" s="7">
        <f>'a6'!AJ40</f>
        <v>7537.3900185632247</v>
      </c>
      <c r="AS40" s="7">
        <f>'a5'!K40</f>
        <v>10042.922832021362</v>
      </c>
      <c r="AT40" s="7">
        <f>'a4'!R40</f>
        <v>2234.7460508652921</v>
      </c>
      <c r="AU40" s="9">
        <f>'a3'!F36/'a3'!B$15</f>
        <v>1.0489417989417991</v>
      </c>
      <c r="AV40" s="7">
        <f t="shared" ref="AV40:AV45" si="69">(AP40*AQ40+AR40+AS40-AT40)*AU40</f>
        <v>34185.379018836902</v>
      </c>
      <c r="AW40" s="114">
        <f t="shared" si="52"/>
        <v>0.4999476600642816</v>
      </c>
      <c r="AX40" s="11">
        <f t="shared" si="37"/>
        <v>10.439553317571407</v>
      </c>
      <c r="AY40" s="114">
        <f t="shared" si="53"/>
        <v>0.58487404489405415</v>
      </c>
      <c r="AZ40" s="7">
        <f>'a1'!AK40</f>
        <v>19230.148973078623</v>
      </c>
      <c r="BA40" s="9">
        <f>'a2'!Y40/'a2'!$E$19</f>
        <v>0.9172588323780928</v>
      </c>
      <c r="BB40" s="7">
        <f>'a6'!AQ40</f>
        <v>7296.1222274843049</v>
      </c>
      <c r="BC40" s="7">
        <f>'a5'!M40</f>
        <v>11924.704041057441</v>
      </c>
      <c r="BD40" s="7">
        <f>'a4'!T40</f>
        <v>2357.748181740018</v>
      </c>
      <c r="BE40" s="9">
        <f>'a3'!G36/'a3'!B$15</f>
        <v>1.0502645502645505</v>
      </c>
      <c r="BF40" s="7">
        <f t="shared" ref="BF40:BF45" si="70">(AZ40*BA40+BB40+BC40-BD40)*BE40</f>
        <v>36236.334724552726</v>
      </c>
      <c r="BG40" s="114">
        <f t="shared" si="54"/>
        <v>0.56300589110130783</v>
      </c>
      <c r="BH40" s="11">
        <f t="shared" si="38"/>
        <v>10.497817616094807</v>
      </c>
      <c r="BI40" s="114">
        <f t="shared" si="55"/>
        <v>0.6427615553314312</v>
      </c>
      <c r="BJ40" s="7">
        <f>'a1'!AQ40</f>
        <v>21874.730430304982</v>
      </c>
      <c r="BK40" s="9">
        <f>'a2'!AC40/'a2'!$E$19</f>
        <v>0.96552654978704811</v>
      </c>
      <c r="BL40" s="7">
        <f>'a6'!AX40</f>
        <v>7046.2985408437944</v>
      </c>
      <c r="BM40" s="7">
        <f>'a5'!O40</f>
        <v>13110.077677616027</v>
      </c>
      <c r="BN40" s="7">
        <f>'a4'!V40</f>
        <v>2681.9920100622999</v>
      </c>
      <c r="BO40" s="9">
        <f>'a3'!H36/'a3'!B$15</f>
        <v>1.0595238095238095</v>
      </c>
      <c r="BP40" s="7">
        <f t="shared" ref="BP40:BP45" si="71">(BJ40*BK40+BL40+BM40-BN40)*BO40</f>
        <v>40892.339661166145</v>
      </c>
      <c r="BQ40" s="114">
        <f t="shared" si="56"/>
        <v>0.70615839029193861</v>
      </c>
      <c r="BR40" s="11">
        <f t="shared" si="39"/>
        <v>10.6186980301411</v>
      </c>
      <c r="BS40" s="114">
        <f t="shared" si="57"/>
        <v>0.76286025053788065</v>
      </c>
      <c r="BT40" s="7">
        <f>'a1'!AW40</f>
        <v>19454.216751843531</v>
      </c>
      <c r="BU40" s="9">
        <f>'a2'!AG40/'a2'!$E$19</f>
        <v>0.96603846644207392</v>
      </c>
      <c r="BV40" s="7">
        <f>'a6'!BE40</f>
        <v>7510.7231200064325</v>
      </c>
      <c r="BW40" s="7">
        <f>'a5'!Q40</f>
        <v>11661.073178182349</v>
      </c>
      <c r="BX40" s="7">
        <f>'a4'!X40</f>
        <v>2385.2204285077923</v>
      </c>
      <c r="BY40" s="9">
        <f>'a3'!I36/'a3'!B$15</f>
        <v>1.0410052910052912</v>
      </c>
      <c r="BZ40" s="7">
        <f t="shared" ref="BZ40:BZ45" si="72">(BT40*BU40+BV40+BW40-BX40)*BY40</f>
        <v>37039.069841993216</v>
      </c>
      <c r="CA40" s="114">
        <f t="shared" si="58"/>
        <v>0.58768660768432635</v>
      </c>
      <c r="CB40" s="11">
        <f t="shared" si="40"/>
        <v>10.519728576187594</v>
      </c>
      <c r="CC40" s="114">
        <f t="shared" si="59"/>
        <v>0.66453081992756835</v>
      </c>
      <c r="CD40" s="7">
        <f>'a1'!BC40</f>
        <v>19542.516510316502</v>
      </c>
      <c r="CE40" s="9">
        <f>'a2'!AK40/'a2'!$E$19</f>
        <v>0.9623641715669784</v>
      </c>
      <c r="CF40" s="7">
        <f>'a6'!BL40</f>
        <v>7592.2877284432898</v>
      </c>
      <c r="CG40" s="7">
        <f>'a5'!S40</f>
        <v>9383.2427634497744</v>
      </c>
      <c r="CH40" s="7">
        <f>'a4'!Z40</f>
        <v>2396.0465846274974</v>
      </c>
      <c r="CI40" s="9">
        <f>'a3'!J36/'a3'!B$15</f>
        <v>1.0462962962962963</v>
      </c>
      <c r="CJ40" s="7">
        <f t="shared" ref="CJ40:CJ45" si="73">(CD40*CE40+CF40+CG40-CH40)*CI40</f>
        <v>34932.172990302635</v>
      </c>
      <c r="CK40" s="114">
        <f t="shared" si="60"/>
        <v>0.52290842253150849</v>
      </c>
      <c r="CL40" s="11">
        <f t="shared" si="41"/>
        <v>10.461163545722856</v>
      </c>
      <c r="CM40" s="114">
        <f t="shared" si="61"/>
        <v>0.60634452234550229</v>
      </c>
      <c r="CN40" s="7">
        <f>'a1'!BI40</f>
        <v>22772.605745367226</v>
      </c>
      <c r="CO40" s="9">
        <f>'a2'!AO40/'a2'!$E$19</f>
        <v>0.94865035598146086</v>
      </c>
      <c r="CP40" s="7">
        <f>'a6'!BS40</f>
        <v>7562.4192069720784</v>
      </c>
      <c r="CQ40" s="7">
        <f>'a5'!U40</f>
        <v>12194.03560058408</v>
      </c>
      <c r="CR40" s="7">
        <f>'a4'!AB40</f>
        <v>2792.0776830584327</v>
      </c>
      <c r="CS40" s="9">
        <f>'a3'!K36/'a3'!B$15</f>
        <v>1.0542328042328044</v>
      </c>
      <c r="CT40" s="7">
        <f t="shared" ref="CT40:CT45" si="74">(CN40*CO40+CP40+CQ40-CR40)*CS40</f>
        <v>40659.247730368057</v>
      </c>
      <c r="CU40" s="114">
        <f t="shared" si="62"/>
        <v>0.69899179728158278</v>
      </c>
      <c r="CV40" s="11">
        <f t="shared" si="42"/>
        <v>10.612981585544583</v>
      </c>
      <c r="CW40" s="114">
        <f t="shared" si="63"/>
        <v>0.7571807734887801</v>
      </c>
      <c r="CX40" s="7">
        <f>'a1'!BO40</f>
        <v>21775.042470092809</v>
      </c>
      <c r="CY40" s="9">
        <f>'a2'!AS40/'a2'!$E$19</f>
        <v>0.92956657607286819</v>
      </c>
      <c r="CZ40" s="7">
        <f>'a6'!BZ40</f>
        <v>6978.4670163179835</v>
      </c>
      <c r="DA40" s="7">
        <f>'a5'!W40</f>
        <v>13610.84884786357</v>
      </c>
      <c r="DB40" s="7">
        <f>'a4'!AD40</f>
        <v>2669.7695822870046</v>
      </c>
      <c r="DC40" s="9">
        <f>'a3'!L36/'a3'!B$15</f>
        <v>1.0661375661375661</v>
      </c>
      <c r="DD40" s="7">
        <f t="shared" ref="DD40:DD45" si="75">(CX40*CY40+CZ40+DA40-DB40)*DC40</f>
        <v>40684.766867005252</v>
      </c>
      <c r="DE40" s="114">
        <f t="shared" si="64"/>
        <v>0.69977640301901978</v>
      </c>
      <c r="DF40" s="11">
        <f t="shared" si="43"/>
        <v>10.613609022919066</v>
      </c>
      <c r="DG40" s="44">
        <f t="shared" si="65"/>
        <v>0.75780415330257112</v>
      </c>
    </row>
    <row r="41" spans="1:111">
      <c r="A41" s="1">
        <v>2003</v>
      </c>
      <c r="B41" s="7">
        <f>'a1'!G41</f>
        <v>21354.742321901587</v>
      </c>
      <c r="C41" s="9">
        <f>'a2'!E41/'a2'!E$19</f>
        <v>0.94509742837579824</v>
      </c>
      <c r="D41" s="7">
        <f>'a6'!H41</f>
        <v>7591.2102859958577</v>
      </c>
      <c r="E41" s="7">
        <f>'a5'!C41</f>
        <v>12376.843576140358</v>
      </c>
      <c r="F41" s="7">
        <f>'a4'!H41</f>
        <v>2636.1157520263437</v>
      </c>
      <c r="G41" s="9">
        <f>'a3'!B37/'a3'!B$15</f>
        <v>1.056878306878307</v>
      </c>
      <c r="H41" s="7">
        <f t="shared" ref="H41:H46" si="76">(B41*C41+D41+E41-F41)*G41</f>
        <v>39647.997195200187</v>
      </c>
      <c r="I41" s="114">
        <f t="shared" si="44"/>
        <v>0.66790011172971175</v>
      </c>
      <c r="J41" s="11">
        <f t="shared" ref="J41:J46" si="77">LN(H41)</f>
        <v>10.587795713686337</v>
      </c>
      <c r="K41" s="114">
        <f t="shared" si="45"/>
        <v>0.73215777558066708</v>
      </c>
      <c r="L41" s="7">
        <f>'a1'!M41</f>
        <v>18196.019439944459</v>
      </c>
      <c r="M41" s="9">
        <f>'a2'!I41/'a2'!$E$19</f>
        <v>0.96002024136289454</v>
      </c>
      <c r="N41" s="7">
        <f>'a6'!O41</f>
        <v>8645.1431220598733</v>
      </c>
      <c r="O41" s="7">
        <f>'a5'!E41</f>
        <v>10180.598519899548</v>
      </c>
      <c r="P41" s="7">
        <f>'a4'!L41</f>
        <v>2246.1902254198603</v>
      </c>
      <c r="Q41" s="9">
        <f>'a3'!C37/'a3'!B$15</f>
        <v>1.0343915343915344</v>
      </c>
      <c r="R41" s="7">
        <f t="shared" si="66"/>
        <v>35219.064737903478</v>
      </c>
      <c r="S41" s="114">
        <f t="shared" si="46"/>
        <v>0.53172913282398937</v>
      </c>
      <c r="T41" s="11">
        <f t="shared" ref="T41:T46" si="78">LN(R41)</f>
        <v>10.469342826839673</v>
      </c>
      <c r="U41" s="114">
        <f t="shared" si="47"/>
        <v>0.61447090905261836</v>
      </c>
      <c r="V41" s="7">
        <f>'a1'!S41</f>
        <v>18758.061812696309</v>
      </c>
      <c r="W41" s="9">
        <f>'a2'!M41/'a2'!$E$19</f>
        <v>0.95810201094681569</v>
      </c>
      <c r="X41" s="7">
        <f>'a6'!V41</f>
        <v>9159.6156974206842</v>
      </c>
      <c r="Y41" s="7">
        <f>'a5'!G41</f>
        <v>9873.975846105739</v>
      </c>
      <c r="Z41" s="7">
        <f>'a4'!N41</f>
        <v>2315.5710088441524</v>
      </c>
      <c r="AA41" s="9">
        <f>'a3'!D37/'a3'!$B$15</f>
        <v>1.0462962962962963</v>
      </c>
      <c r="AB41" s="7">
        <f t="shared" si="67"/>
        <v>36296.183078839946</v>
      </c>
      <c r="AC41" s="114">
        <f t="shared" si="48"/>
        <v>0.56484597538070591</v>
      </c>
      <c r="AD41" s="11">
        <f t="shared" ref="AD41:AD46" si="79">LN(AB41)</f>
        <v>10.49946786538111</v>
      </c>
      <c r="AE41" s="114">
        <f t="shared" si="49"/>
        <v>0.64440113265761823</v>
      </c>
      <c r="AF41" s="7">
        <f>'a1'!Y41</f>
        <v>19771.923143795513</v>
      </c>
      <c r="AG41" s="9">
        <f>'a2'!Q41/'a2'!$E$19</f>
        <v>0.93566039988788119</v>
      </c>
      <c r="AH41" s="7">
        <f>'a6'!AC41</f>
        <v>9027.8241999207185</v>
      </c>
      <c r="AI41" s="7">
        <f>'a5'!I41</f>
        <v>12628.413926971794</v>
      </c>
      <c r="AJ41" s="7">
        <f>'a4'!P41</f>
        <v>2440.7261516687936</v>
      </c>
      <c r="AK41" s="9">
        <f>'a3'!E37/'a3'!B$15</f>
        <v>1.0462962962962963</v>
      </c>
      <c r="AL41" s="7">
        <f t="shared" si="68"/>
        <v>39461.39700394895</v>
      </c>
      <c r="AM41" s="114">
        <f t="shared" si="50"/>
        <v>0.66216294347264948</v>
      </c>
      <c r="AN41" s="11">
        <f t="shared" ref="AN41:AN46" si="80">LN(AL41)</f>
        <v>10.583078181989695</v>
      </c>
      <c r="AO41" s="114">
        <f t="shared" si="51"/>
        <v>0.72747075158400254</v>
      </c>
      <c r="AP41" s="7">
        <f>'a1'!AE41</f>
        <v>18543.106450721854</v>
      </c>
      <c r="AQ41" s="9">
        <f>'a2'!U41/'a2'!$E$19</f>
        <v>0.94462018987864627</v>
      </c>
      <c r="AR41" s="7">
        <f>'a6'!AJ41</f>
        <v>7719.4277303313065</v>
      </c>
      <c r="AS41" s="7">
        <f>'a5'!K41</f>
        <v>10249.237041490936</v>
      </c>
      <c r="AT41" s="7">
        <f>'a4'!R41</f>
        <v>2289.0360496701319</v>
      </c>
      <c r="AU41" s="9">
        <f>'a3'!F37/'a3'!B$15</f>
        <v>1.0476190476190477</v>
      </c>
      <c r="AV41" s="7">
        <f t="shared" si="69"/>
        <v>34776.574861362125</v>
      </c>
      <c r="AW41" s="114">
        <f t="shared" si="52"/>
        <v>0.51812443683337017</v>
      </c>
      <c r="AX41" s="11">
        <f t="shared" ref="AX41:AX46" si="81">LN(AV41)</f>
        <v>10.45669930293694</v>
      </c>
      <c r="AY41" s="114">
        <f t="shared" si="53"/>
        <v>0.60190914927118433</v>
      </c>
      <c r="AZ41" s="7">
        <f>'a1'!AK41</f>
        <v>19706.678130090444</v>
      </c>
      <c r="BA41" s="9">
        <f>'a2'!Y41/'a2'!$E$19</f>
        <v>0.9145493666438621</v>
      </c>
      <c r="BB41" s="7">
        <f>'a6'!AQ41</f>
        <v>7550.9465579439247</v>
      </c>
      <c r="BC41" s="7">
        <f>'a5'!M41</f>
        <v>12068.457747080309</v>
      </c>
      <c r="BD41" s="7">
        <f>'a4'!T41</f>
        <v>2432.6720433224377</v>
      </c>
      <c r="BE41" s="9">
        <f>'a3'!G37/'a3'!B$15</f>
        <v>1.056878306878307</v>
      </c>
      <c r="BF41" s="7">
        <f t="shared" si="70"/>
        <v>37212.116863915529</v>
      </c>
      <c r="BG41" s="114">
        <f t="shared" si="54"/>
        <v>0.59300707319132673</v>
      </c>
      <c r="BH41" s="11">
        <f t="shared" ref="BH41:BH46" si="82">LN(BF41)</f>
        <v>10.524389709373562</v>
      </c>
      <c r="BI41" s="114">
        <f t="shared" si="55"/>
        <v>0.66916181013582332</v>
      </c>
      <c r="BJ41" s="7">
        <f>'a1'!AQ41</f>
        <v>22270.210768866207</v>
      </c>
      <c r="BK41" s="9">
        <f>'a2'!AC41/'a2'!$E$19</f>
        <v>0.96419959729759108</v>
      </c>
      <c r="BL41" s="7">
        <f>'a6'!AX41</f>
        <v>7373.2252137523838</v>
      </c>
      <c r="BM41" s="7">
        <f>'a5'!O41</f>
        <v>13123.985220561957</v>
      </c>
      <c r="BN41" s="7">
        <f>'a4'!V41</f>
        <v>2749.1248793269083</v>
      </c>
      <c r="BO41" s="9">
        <f>'a3'!H37/'a3'!B$15</f>
        <v>1.0608465608465609</v>
      </c>
      <c r="BP41" s="7">
        <f t="shared" si="71"/>
        <v>41607.47761331837</v>
      </c>
      <c r="BQ41" s="114">
        <f t="shared" si="56"/>
        <v>0.72814586378270407</v>
      </c>
      <c r="BR41" s="11">
        <f t="shared" ref="BR41:BR46" si="83">LN(BP41)</f>
        <v>10.636035180416355</v>
      </c>
      <c r="BS41" s="114">
        <f t="shared" si="57"/>
        <v>0.78008528358466378</v>
      </c>
      <c r="BT41" s="7">
        <f>'a1'!AW41</f>
        <v>19638.792630125474</v>
      </c>
      <c r="BU41" s="9">
        <f>'a2'!AG41/'a2'!$E$19</f>
        <v>0.96273007752238682</v>
      </c>
      <c r="BV41" s="7">
        <f>'a6'!BE41</f>
        <v>7852.9565332986358</v>
      </c>
      <c r="BW41" s="7">
        <f>'a5'!Q41</f>
        <v>11756.339052533218</v>
      </c>
      <c r="BX41" s="7">
        <f>'a4'!X41</f>
        <v>2424.2919826738807</v>
      </c>
      <c r="BY41" s="9">
        <f>'a3'!I37/'a3'!B$15</f>
        <v>1.0410052910052912</v>
      </c>
      <c r="BZ41" s="7">
        <f t="shared" si="72"/>
        <v>37571.817174757329</v>
      </c>
      <c r="CA41" s="114">
        <f t="shared" si="58"/>
        <v>0.60406633948456723</v>
      </c>
      <c r="CB41" s="11">
        <f t="shared" ref="CB41:CB46" si="84">LN(BZ41)</f>
        <v>10.534009505105477</v>
      </c>
      <c r="CC41" s="114">
        <f t="shared" si="59"/>
        <v>0.67871939582636442</v>
      </c>
      <c r="CD41" s="7">
        <f>'a1'!BC41</f>
        <v>19956.185905830807</v>
      </c>
      <c r="CE41" s="9">
        <f>'a2'!AK41/'a2'!$E$19</f>
        <v>0.95978999278595467</v>
      </c>
      <c r="CF41" s="7">
        <f>'a6'!BL41</f>
        <v>7667.7980551165701</v>
      </c>
      <c r="CG41" s="7">
        <f>'a5'!S41</f>
        <v>9423.0920268259342</v>
      </c>
      <c r="CH41" s="7">
        <f>'a4'!Z41</f>
        <v>2463.4722921836778</v>
      </c>
      <c r="CI41" s="9">
        <f>'a3'!J37/'a3'!B$15</f>
        <v>1.0462962962962963</v>
      </c>
      <c r="CJ41" s="7">
        <f t="shared" si="73"/>
        <v>35345.108155071313</v>
      </c>
      <c r="CK41" s="114">
        <f t="shared" si="60"/>
        <v>0.53560443588310236</v>
      </c>
      <c r="CL41" s="11">
        <f t="shared" ref="CL41:CL46" si="85">LN(CJ41)</f>
        <v>10.472915278582585</v>
      </c>
      <c r="CM41" s="114">
        <f t="shared" si="61"/>
        <v>0.61802025818743667</v>
      </c>
      <c r="CN41" s="7">
        <f>'a1'!BI41</f>
        <v>23141.638677688858</v>
      </c>
      <c r="CO41" s="9">
        <f>'a2'!AO41/'a2'!$E$19</f>
        <v>0.94737710221531057</v>
      </c>
      <c r="CP41" s="7">
        <f>'a6'!BS41</f>
        <v>7631.2503467346742</v>
      </c>
      <c r="CQ41" s="7">
        <f>'a5'!U41</f>
        <v>12215.775052437506</v>
      </c>
      <c r="CR41" s="7">
        <f>'a4'!AB41</f>
        <v>2856.697464496749</v>
      </c>
      <c r="CS41" s="9">
        <f>'a3'!K37/'a3'!B$15</f>
        <v>1.056878306878307</v>
      </c>
      <c r="CT41" s="7">
        <f t="shared" si="74"/>
        <v>41127.559568784112</v>
      </c>
      <c r="CU41" s="114">
        <f t="shared" si="62"/>
        <v>0.71339040960749223</v>
      </c>
      <c r="CV41" s="11">
        <f t="shared" ref="CV41:CV46" si="86">LN(CT41)</f>
        <v>10.62443372488555</v>
      </c>
      <c r="CW41" s="114">
        <f t="shared" si="63"/>
        <v>0.7685588532465637</v>
      </c>
      <c r="CX41" s="7">
        <f>'a1'!BO41</f>
        <v>22377.762835011483</v>
      </c>
      <c r="CY41" s="9">
        <f>'a2'!AS41/'a2'!$E$19</f>
        <v>0.92701189243165294</v>
      </c>
      <c r="CZ41" s="7">
        <f>'a6'!BZ41</f>
        <v>7015.2937509248977</v>
      </c>
      <c r="DA41" s="7">
        <f>'a5'!W41</f>
        <v>13676.499056473842</v>
      </c>
      <c r="DB41" s="7">
        <f>'a4'!AD41</f>
        <v>2762.4015413186457</v>
      </c>
      <c r="DC41" s="9">
        <f>'a3'!L37/'a3'!B$15</f>
        <v>1.0687830687830688</v>
      </c>
      <c r="DD41" s="7">
        <f t="shared" si="75"/>
        <v>41333.949180478638</v>
      </c>
      <c r="DE41" s="114">
        <f t="shared" si="64"/>
        <v>0.71973601901368522</v>
      </c>
      <c r="DF41" s="11">
        <f t="shared" ref="DF41:DF46" si="87">LN(DD41)</f>
        <v>10.629439455335776</v>
      </c>
      <c r="DG41" s="44">
        <f t="shared" si="65"/>
        <v>0.77353221225075286</v>
      </c>
    </row>
    <row r="42" spans="1:111">
      <c r="A42" s="1">
        <v>2004</v>
      </c>
      <c r="B42" s="7">
        <f>'a1'!G42</f>
        <v>21868.416310287234</v>
      </c>
      <c r="C42" s="9">
        <f>'a2'!E42/'a2'!E$19</f>
        <v>0.94255730809920635</v>
      </c>
      <c r="D42" s="7">
        <f>'a6'!H42</f>
        <v>7708.82794003856</v>
      </c>
      <c r="E42" s="7">
        <f>'a5'!C42</f>
        <v>12439.648194295429</v>
      </c>
      <c r="F42" s="7">
        <f>'a4'!H42</f>
        <v>2711.2456956861161</v>
      </c>
      <c r="G42" s="162">
        <f>'a3'!B38/'a3'!B$15</f>
        <v>1.0608465608465609</v>
      </c>
      <c r="H42" s="7">
        <f t="shared" si="76"/>
        <v>40364.645199562066</v>
      </c>
      <c r="I42" s="114">
        <f t="shared" si="44"/>
        <v>0.6899340129521192</v>
      </c>
      <c r="J42" s="11">
        <f t="shared" si="77"/>
        <v>10.605709561986499</v>
      </c>
      <c r="K42" s="114">
        <f t="shared" si="45"/>
        <v>0.74995577721682849</v>
      </c>
      <c r="L42" s="7">
        <f>'a1'!M42</f>
        <v>18496.58032610103</v>
      </c>
      <c r="M42" s="9">
        <f>'a2'!I42/'a2'!$E$19</f>
        <v>0.95671828791861313</v>
      </c>
      <c r="N42" s="7">
        <f>'a6'!O42</f>
        <v>8547.2751890761847</v>
      </c>
      <c r="O42" s="7">
        <f>'a5'!E42</f>
        <v>10472.764890453953</v>
      </c>
      <c r="P42" s="7">
        <f>'a4'!L42</f>
        <v>2293.2055564747584</v>
      </c>
      <c r="Q42" s="9">
        <f>'a3'!C38/'a3'!B$15</f>
        <v>1.0383597883597884</v>
      </c>
      <c r="R42" s="7">
        <f t="shared" si="66"/>
        <v>35743.304471188632</v>
      </c>
      <c r="S42" s="114">
        <f t="shared" si="46"/>
        <v>0.54784729185012326</v>
      </c>
      <c r="T42" s="11">
        <f t="shared" si="78"/>
        <v>10.484118243062458</v>
      </c>
      <c r="U42" s="114">
        <f t="shared" si="47"/>
        <v>0.62915077446744916</v>
      </c>
      <c r="V42" s="7">
        <f>'a1'!S42</f>
        <v>19132.152766680709</v>
      </c>
      <c r="W42" s="9">
        <f>'a2'!M42/'a2'!$E$19</f>
        <v>0.95107498328238005</v>
      </c>
      <c r="X42" s="7">
        <f>'a6'!V42</f>
        <v>8884.4622953914022</v>
      </c>
      <c r="Y42" s="7">
        <f>'a5'!G42</f>
        <v>10026.509696470484</v>
      </c>
      <c r="Z42" s="7">
        <f>'a4'!N42</f>
        <v>2372.003811426936</v>
      </c>
      <c r="AA42" s="9">
        <f>'a3'!D38/'a3'!$B$15</f>
        <v>1.0476190476190477</v>
      </c>
      <c r="AB42" s="7">
        <f t="shared" si="67"/>
        <v>36389.13148426469</v>
      </c>
      <c r="AC42" s="114">
        <f t="shared" si="48"/>
        <v>0.56770374652001532</v>
      </c>
      <c r="AD42" s="11">
        <f t="shared" si="79"/>
        <v>10.502025423442154</v>
      </c>
      <c r="AE42" s="114">
        <f t="shared" si="49"/>
        <v>0.64694215130376953</v>
      </c>
      <c r="AF42" s="7">
        <f>'a1'!Y42</f>
        <v>20172.965883735586</v>
      </c>
      <c r="AG42" s="9">
        <f>'a2'!Q42/'a2'!$E$19</f>
        <v>0.93305508323146547</v>
      </c>
      <c r="AH42" s="7">
        <f>'a6'!AC42</f>
        <v>9088.0010220861459</v>
      </c>
      <c r="AI42" s="7">
        <f>'a5'!I42</f>
        <v>12856.805285655873</v>
      </c>
      <c r="AJ42" s="7">
        <f>'a4'!P42</f>
        <v>2501.0437950997007</v>
      </c>
      <c r="AK42" s="9">
        <f>'a3'!E38/'a3'!B$15</f>
        <v>1.0462962962962963</v>
      </c>
      <c r="AL42" s="7">
        <f t="shared" si="68"/>
        <v>40037.83656294251</v>
      </c>
      <c r="AM42" s="114">
        <f t="shared" si="50"/>
        <v>0.67988602680818677</v>
      </c>
      <c r="AN42" s="11">
        <f t="shared" si="80"/>
        <v>10.597580200074839</v>
      </c>
      <c r="AO42" s="114">
        <f t="shared" si="51"/>
        <v>0.74187898689348075</v>
      </c>
      <c r="AP42" s="7">
        <f>'a1'!AE42</f>
        <v>18982.637392259356</v>
      </c>
      <c r="AQ42" s="9">
        <f>'a2'!U42/'a2'!$E$19</f>
        <v>0.94308279330566802</v>
      </c>
      <c r="AR42" s="7">
        <f>'a6'!AJ42</f>
        <v>7980.5520072935469</v>
      </c>
      <c r="AS42" s="7">
        <f>'a5'!K42</f>
        <v>10460.774690245713</v>
      </c>
      <c r="AT42" s="7">
        <f>'a4'!R42</f>
        <v>2353.4668991244162</v>
      </c>
      <c r="AU42" s="9">
        <f>'a3'!F38/'a3'!B$15</f>
        <v>1.0542328042328044</v>
      </c>
      <c r="AV42" s="7">
        <f t="shared" si="69"/>
        <v>35833.434682815467</v>
      </c>
      <c r="AW42" s="114">
        <f t="shared" si="52"/>
        <v>0.55061841542550904</v>
      </c>
      <c r="AX42" s="11">
        <f t="shared" si="81"/>
        <v>10.486636666235386</v>
      </c>
      <c r="AY42" s="114">
        <f t="shared" si="53"/>
        <v>0.6316529113060152</v>
      </c>
      <c r="AZ42" s="7">
        <f>'a1'!AK42</f>
        <v>20133.416862075002</v>
      </c>
      <c r="BA42" s="9">
        <f>'a2'!Y42/'a2'!$E$19</f>
        <v>0.91098865329699463</v>
      </c>
      <c r="BB42" s="7">
        <f>'a6'!AQ42</f>
        <v>7657.3129129737054</v>
      </c>
      <c r="BC42" s="7">
        <f>'a5'!M42</f>
        <v>12219.106911464783</v>
      </c>
      <c r="BD42" s="7">
        <f>'a4'!T42</f>
        <v>2496.1405084042021</v>
      </c>
      <c r="BE42" s="9">
        <f>'a3'!G38/'a3'!B$15</f>
        <v>1.0595238095238095</v>
      </c>
      <c r="BF42" s="7">
        <f t="shared" si="70"/>
        <v>37847.878964571268</v>
      </c>
      <c r="BG42" s="114">
        <f t="shared" si="54"/>
        <v>0.61255407428745345</v>
      </c>
      <c r="BH42" s="11">
        <f t="shared" si="82"/>
        <v>10.541330219371272</v>
      </c>
      <c r="BI42" s="114">
        <f t="shared" si="55"/>
        <v>0.68599276792918085</v>
      </c>
      <c r="BJ42" s="7">
        <f>'a1'!AQ42</f>
        <v>22709.07161146931</v>
      </c>
      <c r="BK42" s="9">
        <f>'a2'!AC42/'a2'!$E$19</f>
        <v>0.96191716889091017</v>
      </c>
      <c r="BL42" s="7">
        <f>'a6'!AX42</f>
        <v>7564.3325706807982</v>
      </c>
      <c r="BM42" s="7">
        <f>'a5'!O42</f>
        <v>13138.739490259219</v>
      </c>
      <c r="BN42" s="7">
        <f>'a4'!V42</f>
        <v>2815.4701184584887</v>
      </c>
      <c r="BO42" s="9">
        <f>'a3'!H38/'a3'!B$15</f>
        <v>1.0661375661375661</v>
      </c>
      <c r="BP42" s="7">
        <f t="shared" si="71"/>
        <v>42359.615527767695</v>
      </c>
      <c r="BQ42" s="114">
        <f t="shared" si="56"/>
        <v>0.75127092994033673</v>
      </c>
      <c r="BR42" s="11">
        <f t="shared" si="83"/>
        <v>10.653950723370274</v>
      </c>
      <c r="BS42" s="114">
        <f t="shared" si="57"/>
        <v>0.79788496891546279</v>
      </c>
      <c r="BT42" s="7">
        <f>'a1'!AW42</f>
        <v>20093.458740283888</v>
      </c>
      <c r="BU42" s="9">
        <f>'a2'!AG42/'a2'!$E$19</f>
        <v>0.96259501344445486</v>
      </c>
      <c r="BV42" s="7">
        <f>'a6'!BE42</f>
        <v>7909.9976534937932</v>
      </c>
      <c r="BW42" s="7">
        <f>'a5'!Q42</f>
        <v>11850.369037529552</v>
      </c>
      <c r="BX42" s="7">
        <f>'a4'!X42</f>
        <v>2491.1865014849682</v>
      </c>
      <c r="BY42" s="9">
        <f>'a3'!I38/'a3'!B$15</f>
        <v>1.0436507936507937</v>
      </c>
      <c r="BZ42" s="7">
        <f t="shared" si="72"/>
        <v>38209.144475524306</v>
      </c>
      <c r="CA42" s="114">
        <f t="shared" si="58"/>
        <v>0.62366146387753496</v>
      </c>
      <c r="CB42" s="11">
        <f t="shared" si="84"/>
        <v>10.550830150122875</v>
      </c>
      <c r="CC42" s="114">
        <f t="shared" si="59"/>
        <v>0.69543126379156506</v>
      </c>
      <c r="CD42" s="7">
        <f>'a1'!BC42</f>
        <v>20298.822894850553</v>
      </c>
      <c r="CE42" s="9">
        <f>'a2'!AK42/'a2'!$E$19</f>
        <v>0.95665541564470435</v>
      </c>
      <c r="CF42" s="7">
        <f>'a6'!BL42</f>
        <v>7876.608982732917</v>
      </c>
      <c r="CG42" s="7">
        <f>'a5'!S42</f>
        <v>9468.5739163364015</v>
      </c>
      <c r="CH42" s="7">
        <f>'a4'!Z42</f>
        <v>2516.6475441236689</v>
      </c>
      <c r="CI42" s="9">
        <f>'a3'!J38/'a3'!B$15</f>
        <v>1.0489417989417991</v>
      </c>
      <c r="CJ42" s="7">
        <f t="shared" si="73"/>
        <v>35923.649163166796</v>
      </c>
      <c r="CK42" s="114">
        <f t="shared" si="60"/>
        <v>0.55339212990848174</v>
      </c>
      <c r="CL42" s="11">
        <f t="shared" si="85"/>
        <v>10.489151108658273</v>
      </c>
      <c r="CM42" s="114">
        <f t="shared" si="61"/>
        <v>0.63415109313756368</v>
      </c>
      <c r="CN42" s="7">
        <f>'a1'!BI42</f>
        <v>23902.359366699067</v>
      </c>
      <c r="CO42" s="9">
        <f>'a2'!AO42/'a2'!$E$19</f>
        <v>0.94666001596849292</v>
      </c>
      <c r="CP42" s="7">
        <f>'a6'!BS42</f>
        <v>7584.1930935346109</v>
      </c>
      <c r="CQ42" s="7">
        <f>'a5'!U42</f>
        <v>12239.612399655925</v>
      </c>
      <c r="CR42" s="7">
        <f>'a4'!AB42</f>
        <v>2963.4139038783637</v>
      </c>
      <c r="CS42" s="9">
        <f>'a3'!K38/'a3'!B$15</f>
        <v>1.0608465608465609</v>
      </c>
      <c r="CT42" s="7">
        <f t="shared" si="74"/>
        <v>41890.496283385037</v>
      </c>
      <c r="CU42" s="114">
        <f t="shared" si="62"/>
        <v>0.73684749328894783</v>
      </c>
      <c r="CV42" s="11">
        <f t="shared" si="86"/>
        <v>10.642814261170617</v>
      </c>
      <c r="CW42" s="114">
        <f t="shared" si="63"/>
        <v>0.78682052485356113</v>
      </c>
      <c r="CX42" s="7">
        <f>'a1'!BO42</f>
        <v>23171.85578448054</v>
      </c>
      <c r="CY42" s="9">
        <f>'a2'!AS42/'a2'!$E$19</f>
        <v>0.92365163254724469</v>
      </c>
      <c r="CZ42" s="7">
        <f>'a6'!BZ42</f>
        <v>7087.6494462355486</v>
      </c>
      <c r="DA42" s="7">
        <f>'a5'!W42</f>
        <v>13748.706820695768</v>
      </c>
      <c r="DB42" s="7">
        <f>'a4'!AD42</f>
        <v>2872.8460884100996</v>
      </c>
      <c r="DC42" s="9">
        <f>'a3'!L38/'a3'!B$15</f>
        <v>1.0701058201058202</v>
      </c>
      <c r="DD42" s="7">
        <f t="shared" si="75"/>
        <v>42126.034624116197</v>
      </c>
      <c r="DE42" s="114">
        <f t="shared" si="64"/>
        <v>0.7440893030786524</v>
      </c>
      <c r="DF42" s="11">
        <f t="shared" si="87"/>
        <v>10.648421228162931</v>
      </c>
      <c r="DG42" s="44">
        <f t="shared" si="65"/>
        <v>0.79239123227672281</v>
      </c>
    </row>
    <row r="43" spans="1:111">
      <c r="A43" s="1">
        <v>2005</v>
      </c>
      <c r="B43" s="7">
        <f>'a1'!G43</f>
        <v>22493.791248182017</v>
      </c>
      <c r="C43" s="9">
        <f>'a2'!E43/'a2'!E$19</f>
        <v>0.93887766562070341</v>
      </c>
      <c r="D43" s="7">
        <f>'a6'!H43</f>
        <v>7845.9787873122978</v>
      </c>
      <c r="E43" s="7">
        <f>'a5'!C43</f>
        <v>12508.285765647737</v>
      </c>
      <c r="F43" s="7">
        <f>'a4'!H43</f>
        <v>2790.7213209071069</v>
      </c>
      <c r="G43" s="9">
        <f>'a3'!B39/'a3'!B$15</f>
        <v>1.0634920634920637</v>
      </c>
      <c r="H43" s="7">
        <f t="shared" si="76"/>
        <v>41138.49074852487</v>
      </c>
      <c r="I43" s="114">
        <f t="shared" si="44"/>
        <v>0.71372649724491843</v>
      </c>
      <c r="J43" s="11">
        <f t="shared" si="77"/>
        <v>10.624699476790813</v>
      </c>
      <c r="K43" s="114">
        <f t="shared" si="45"/>
        <v>0.7688228865667871</v>
      </c>
      <c r="L43" s="7">
        <f>'a1'!M43</f>
        <v>18881.606958509845</v>
      </c>
      <c r="M43" s="9">
        <f>'a2'!I43/'a2'!$E$19</f>
        <v>0.94930992066491393</v>
      </c>
      <c r="N43" s="7">
        <f>'a6'!O43</f>
        <v>8800.7453447813659</v>
      </c>
      <c r="O43" s="7">
        <f>'a5'!E43</f>
        <v>10785.186742964437</v>
      </c>
      <c r="P43" s="7">
        <f>'a4'!L43</f>
        <v>2342.5710024031705</v>
      </c>
      <c r="Q43" s="9">
        <f>'a3'!C39/'a3'!B$15</f>
        <v>1.0343915343915344</v>
      </c>
      <c r="R43" s="7">
        <f t="shared" si="66"/>
        <v>36377.33448322305</v>
      </c>
      <c r="S43" s="114">
        <f t="shared" si="46"/>
        <v>0.56734103853214679</v>
      </c>
      <c r="T43" s="11">
        <f t="shared" si="78"/>
        <v>10.501701180647395</v>
      </c>
      <c r="U43" s="114">
        <f t="shared" si="47"/>
        <v>0.64662000534747111</v>
      </c>
      <c r="V43" s="7">
        <f>'a1'!S43</f>
        <v>19499.474846981277</v>
      </c>
      <c r="W43" s="9">
        <f>'a2'!M43/'a2'!$E$19</f>
        <v>0.94399881427765353</v>
      </c>
      <c r="X43" s="7">
        <f>'a6'!V43</f>
        <v>9410.4442324050033</v>
      </c>
      <c r="Y43" s="7">
        <f>'a5'!G43</f>
        <v>10176.850409715458</v>
      </c>
      <c r="Z43" s="7">
        <f>'a4'!N43</f>
        <v>2419.2275815825669</v>
      </c>
      <c r="AA43" s="9">
        <f>'a3'!D39/'a3'!$B$15</f>
        <v>1.0555555555555556</v>
      </c>
      <c r="AB43" s="7">
        <f t="shared" si="67"/>
        <v>37551.967539298763</v>
      </c>
      <c r="AC43" s="114">
        <f t="shared" si="48"/>
        <v>0.60345604697787936</v>
      </c>
      <c r="AD43" s="11">
        <f t="shared" si="79"/>
        <v>10.533481053670394</v>
      </c>
      <c r="AE43" s="114">
        <f t="shared" si="49"/>
        <v>0.67819436182202142</v>
      </c>
      <c r="AF43" s="7">
        <f>'a1'!Y43</f>
        <v>20612.170701568648</v>
      </c>
      <c r="AG43" s="9">
        <f>'a2'!Q43/'a2'!$E$19</f>
        <v>0.92768039889635356</v>
      </c>
      <c r="AH43" s="7">
        <f>'a6'!AC43</f>
        <v>9522.6941293685632</v>
      </c>
      <c r="AI43" s="7">
        <f>'a5'!I43</f>
        <v>13100.737562005526</v>
      </c>
      <c r="AJ43" s="7">
        <f>'a4'!P43</f>
        <v>2557.2756327457032</v>
      </c>
      <c r="AK43" s="9">
        <f>'a3'!E39/'a3'!B$15</f>
        <v>1.0489417989417991</v>
      </c>
      <c r="AL43" s="7">
        <f t="shared" si="68"/>
        <v>41105.577510797892</v>
      </c>
      <c r="AM43" s="114">
        <f t="shared" si="50"/>
        <v>0.71271455410885742</v>
      </c>
      <c r="AN43" s="11">
        <f t="shared" si="80"/>
        <v>10.623899097135949</v>
      </c>
      <c r="AO43" s="114">
        <f t="shared" si="51"/>
        <v>0.76802768286917122</v>
      </c>
      <c r="AP43" s="7">
        <f>'a1'!AE43</f>
        <v>19431.520402160542</v>
      </c>
      <c r="AQ43" s="9">
        <f>'a2'!U43/'a2'!$E$19</f>
        <v>0.93468810551569259</v>
      </c>
      <c r="AR43" s="7">
        <f>'a6'!AJ43</f>
        <v>8259.2201564839397</v>
      </c>
      <c r="AS43" s="7">
        <f>'a5'!K43</f>
        <v>10682.307339716157</v>
      </c>
      <c r="AT43" s="7">
        <f>'a4'!R43</f>
        <v>2410.7967254445671</v>
      </c>
      <c r="AU43" s="9">
        <f>'a3'!F39/'a3'!B$15</f>
        <v>1.0555555555555556</v>
      </c>
      <c r="AV43" s="7">
        <f t="shared" si="69"/>
        <v>36620.538527337194</v>
      </c>
      <c r="AW43" s="114">
        <f t="shared" si="52"/>
        <v>0.57481853634458058</v>
      </c>
      <c r="AX43" s="11">
        <f t="shared" si="81"/>
        <v>10.508364523946074</v>
      </c>
      <c r="AY43" s="114">
        <f t="shared" si="53"/>
        <v>0.65324025762074345</v>
      </c>
      <c r="AZ43" s="7">
        <f>'a1'!AK43</f>
        <v>20602.985184078261</v>
      </c>
      <c r="BA43" s="9">
        <f>'a2'!Y43/'a2'!$E$19</f>
        <v>0.90620065997295385</v>
      </c>
      <c r="BB43" s="7">
        <f>'a6'!AQ43</f>
        <v>7784.3220577288539</v>
      </c>
      <c r="BC43" s="7">
        <f>'a5'!M43</f>
        <v>12385.613932994849</v>
      </c>
      <c r="BD43" s="7">
        <f>'a4'!T43</f>
        <v>2556.1360196310816</v>
      </c>
      <c r="BE43" s="9">
        <f>'a3'!G39/'a3'!B$15</f>
        <v>1.0634920634920637</v>
      </c>
      <c r="BF43" s="7">
        <f t="shared" si="70"/>
        <v>38587.999932305742</v>
      </c>
      <c r="BG43" s="114">
        <f t="shared" si="54"/>
        <v>0.63530967005613881</v>
      </c>
      <c r="BH43" s="11">
        <f t="shared" si="82"/>
        <v>10.560696624536162</v>
      </c>
      <c r="BI43" s="114">
        <f t="shared" si="55"/>
        <v>0.70523393292264258</v>
      </c>
      <c r="BJ43" s="7">
        <f>'a1'!AQ43</f>
        <v>23253.339591075692</v>
      </c>
      <c r="BK43" s="9">
        <f>'a2'!AC43/'a2'!$E$19</f>
        <v>0.95825289487020426</v>
      </c>
      <c r="BL43" s="7">
        <f>'a6'!AX43</f>
        <v>7611.7073489897602</v>
      </c>
      <c r="BM43" s="7">
        <f>'a5'!O43</f>
        <v>13158.179808365805</v>
      </c>
      <c r="BN43" s="7">
        <f>'a4'!V43</f>
        <v>2884.9556690161371</v>
      </c>
      <c r="BO43" s="9">
        <f>'a3'!H39/'a3'!B$15</f>
        <v>1.0674603174603177</v>
      </c>
      <c r="BP43" s="7">
        <f t="shared" si="71"/>
        <v>42877.224542034826</v>
      </c>
      <c r="BQ43" s="114">
        <f t="shared" si="56"/>
        <v>0.7671852223443808</v>
      </c>
      <c r="BR43" s="11">
        <f t="shared" si="83"/>
        <v>10.666096067484622</v>
      </c>
      <c r="BS43" s="114">
        <f t="shared" si="57"/>
        <v>0.80995177057621737</v>
      </c>
      <c r="BT43" s="7">
        <f>'a1'!AW43</f>
        <v>20633.097994485281</v>
      </c>
      <c r="BU43" s="9">
        <f>'a2'!AG43/'a2'!$E$19</f>
        <v>0.96247177638936399</v>
      </c>
      <c r="BV43" s="7">
        <f>'a6'!BE43</f>
        <v>8024.8893155550941</v>
      </c>
      <c r="BW43" s="7">
        <f>'a5'!Q43</f>
        <v>11959.185380148492</v>
      </c>
      <c r="BX43" s="7">
        <f>'a4'!X43</f>
        <v>2559.8720044238671</v>
      </c>
      <c r="BY43" s="9">
        <f>'a3'!I39/'a3'!B$15</f>
        <v>1.0449735449735451</v>
      </c>
      <c r="BZ43" s="7">
        <f t="shared" si="72"/>
        <v>38959.724820970579</v>
      </c>
      <c r="CA43" s="114">
        <f t="shared" si="58"/>
        <v>0.64673864136269321</v>
      </c>
      <c r="CB43" s="11">
        <f t="shared" si="84"/>
        <v>10.570283694614757</v>
      </c>
      <c r="CC43" s="114">
        <f t="shared" si="59"/>
        <v>0.71475900459265795</v>
      </c>
      <c r="CD43" s="7">
        <f>'a1'!BC43</f>
        <v>20972.665485079695</v>
      </c>
      <c r="CE43" s="9">
        <f>'a2'!AK43/'a2'!$E$19</f>
        <v>0.95479870671138711</v>
      </c>
      <c r="CF43" s="7">
        <f>'a6'!BL43</f>
        <v>8192.7313313681552</v>
      </c>
      <c r="CG43" s="7">
        <f>'a5'!S43</f>
        <v>9528.6196342602398</v>
      </c>
      <c r="CH43" s="7">
        <f>'a4'!Z43</f>
        <v>2602.0008845860916</v>
      </c>
      <c r="CI43" s="9">
        <f>'a3'!J39/'a3'!B$15</f>
        <v>1.0489417989417991</v>
      </c>
      <c r="CJ43" s="7">
        <f t="shared" si="73"/>
        <v>36864.035717264749</v>
      </c>
      <c r="CK43" s="114">
        <f t="shared" si="60"/>
        <v>0.58230504715343268</v>
      </c>
      <c r="CL43" s="11">
        <f t="shared" si="85"/>
        <v>10.514991712947909</v>
      </c>
      <c r="CM43" s="114">
        <f t="shared" si="61"/>
        <v>0.65982458940258237</v>
      </c>
      <c r="CN43" s="7">
        <f>'a1'!BI43</f>
        <v>25102.943832400219</v>
      </c>
      <c r="CO43" s="9">
        <f>'a2'!AO43/'a2'!$E$19</f>
        <v>0.94388402917160119</v>
      </c>
      <c r="CP43" s="7">
        <f>'a6'!BS43</f>
        <v>7848.2513280667499</v>
      </c>
      <c r="CQ43" s="7">
        <f>'a5'!U43</f>
        <v>12250.023024171383</v>
      </c>
      <c r="CR43" s="7">
        <f>'a4'!AB43</f>
        <v>3114.429212828888</v>
      </c>
      <c r="CS43" s="9">
        <f>'a3'!K39/'a3'!B$15</f>
        <v>1.0621693121693123</v>
      </c>
      <c r="CT43" s="7">
        <f t="shared" si="74"/>
        <v>43207.043207839757</v>
      </c>
      <c r="CU43" s="114">
        <f t="shared" si="62"/>
        <v>0.77732575418068017</v>
      </c>
      <c r="CV43" s="11">
        <f t="shared" si="86"/>
        <v>10.673758798161591</v>
      </c>
      <c r="CW43" s="114">
        <f t="shared" si="63"/>
        <v>0.81756494731194584</v>
      </c>
      <c r="CX43" s="7">
        <f>'a1'!BO43</f>
        <v>23922.819070203212</v>
      </c>
      <c r="CY43" s="9">
        <f>'a2'!AS43/'a2'!$E$19</f>
        <v>0.92160406734552303</v>
      </c>
      <c r="CZ43" s="7">
        <f>'a6'!BZ43</f>
        <v>7265.2093595143742</v>
      </c>
      <c r="DA43" s="7">
        <f>'a5'!W43</f>
        <v>13818.75766242934</v>
      </c>
      <c r="DB43" s="7">
        <f>'a4'!AD43</f>
        <v>2968.0155069819557</v>
      </c>
      <c r="DC43" s="9">
        <f>'a3'!L39/'a3'!B$15</f>
        <v>1.0740740740740742</v>
      </c>
      <c r="DD43" s="7">
        <f t="shared" si="75"/>
        <v>43138.379529649275</v>
      </c>
      <c r="DE43" s="114">
        <f t="shared" si="64"/>
        <v>0.77521463590000705</v>
      </c>
      <c r="DF43" s="11">
        <f t="shared" si="87"/>
        <v>10.672168356178975</v>
      </c>
      <c r="DG43" s="44">
        <f t="shared" si="65"/>
        <v>0.81598479052293449</v>
      </c>
    </row>
    <row r="44" spans="1:111">
      <c r="A44" s="1">
        <v>2006</v>
      </c>
      <c r="B44" s="7">
        <f>'a1'!G44</f>
        <v>23260.507082590739</v>
      </c>
      <c r="C44" s="9">
        <f>'a2'!E44/'a2'!E$19</f>
        <v>0.93698801984473601</v>
      </c>
      <c r="D44" s="7">
        <f>'a6'!H44</f>
        <v>8044.4555036858574</v>
      </c>
      <c r="E44" s="7">
        <f>'a5'!C44</f>
        <v>12574.275842635207</v>
      </c>
      <c r="F44" s="7">
        <f>'a4'!H44</f>
        <v>2872.7708573006507</v>
      </c>
      <c r="G44" s="9">
        <f>'a3'!B40/'a3'!B$15</f>
        <v>1.0687830687830688</v>
      </c>
      <c r="H44" s="7">
        <f t="shared" si="76"/>
        <v>42260.512942360619</v>
      </c>
      <c r="I44" s="114">
        <f t="shared" si="44"/>
        <v>0.74822394374285328</v>
      </c>
      <c r="J44" s="11">
        <f t="shared" si="77"/>
        <v>10.651608428871128</v>
      </c>
      <c r="K44" s="114">
        <f t="shared" si="45"/>
        <v>0.79555782174810696</v>
      </c>
      <c r="L44" s="7">
        <f>'a1'!M44</f>
        <v>19489.999274954782</v>
      </c>
      <c r="M44" s="9">
        <f>'a2'!I44/'a2'!$E$19</f>
        <v>0.94556518859131111</v>
      </c>
      <c r="N44" s="7">
        <f>'a6'!O44</f>
        <v>9302.0748382248257</v>
      </c>
      <c r="O44" s="7">
        <f>'a5'!E44</f>
        <v>11094.466225368689</v>
      </c>
      <c r="P44" s="7">
        <f>'a4'!L44</f>
        <v>2407.0972196391494</v>
      </c>
      <c r="Q44" s="9">
        <f>'a3'!C40/'a3'!B$15</f>
        <v>1.0343915343915344</v>
      </c>
      <c r="R44" s="7">
        <f t="shared" si="66"/>
        <v>37670.997077916421</v>
      </c>
      <c r="S44" s="114">
        <f t="shared" si="46"/>
        <v>0.60711570287657335</v>
      </c>
      <c r="T44" s="11">
        <f t="shared" si="78"/>
        <v>10.536645769088555</v>
      </c>
      <c r="U44" s="114">
        <f t="shared" si="47"/>
        <v>0.68133861141298679</v>
      </c>
      <c r="V44" s="7">
        <f>'a1'!S44</f>
        <v>20236.368909512759</v>
      </c>
      <c r="W44" s="9">
        <f>'a2'!M44/'a2'!$E$19</f>
        <v>0.94353714678967826</v>
      </c>
      <c r="X44" s="7">
        <f>'a6'!V44</f>
        <v>9775.4225447524841</v>
      </c>
      <c r="Y44" s="7">
        <f>'a5'!G44</f>
        <v>10339.797276590438</v>
      </c>
      <c r="Z44" s="7">
        <f>'a4'!N44</f>
        <v>2499.2770215376677</v>
      </c>
      <c r="AA44" s="9">
        <f>'a3'!D40/'a3'!$B$15</f>
        <v>1.056878306878307</v>
      </c>
      <c r="AB44" s="7">
        <f t="shared" si="67"/>
        <v>38797.694652214494</v>
      </c>
      <c r="AC44" s="114">
        <f t="shared" si="48"/>
        <v>0.64175689758933185</v>
      </c>
      <c r="AD44" s="11">
        <f t="shared" si="79"/>
        <v>10.566116107666115</v>
      </c>
      <c r="AE44" s="114">
        <f t="shared" si="49"/>
        <v>0.71061836891863062</v>
      </c>
      <c r="AF44" s="7">
        <f>'a1'!Y44</f>
        <v>21271.628234240572</v>
      </c>
      <c r="AG44" s="9">
        <f>'a2'!Q44/'a2'!$E$19</f>
        <v>0.92312184650475304</v>
      </c>
      <c r="AH44" s="7">
        <f>'a6'!AC44</f>
        <v>9533.0443269164589</v>
      </c>
      <c r="AI44" s="7">
        <f>'a5'!I44</f>
        <v>13332.964879850466</v>
      </c>
      <c r="AJ44" s="7">
        <f>'a4'!P44</f>
        <v>2627.1359201965338</v>
      </c>
      <c r="AK44" s="9">
        <f>'a3'!E40/'a3'!B$15</f>
        <v>1.052910052910053</v>
      </c>
      <c r="AL44" s="7">
        <f t="shared" si="68"/>
        <v>41984.975799178377</v>
      </c>
      <c r="AM44" s="114">
        <f t="shared" si="50"/>
        <v>0.7397523396094019</v>
      </c>
      <c r="AN44" s="11">
        <f t="shared" si="80"/>
        <v>10.645067114201597</v>
      </c>
      <c r="AO44" s="114">
        <f t="shared" si="51"/>
        <v>0.78905880895977643</v>
      </c>
      <c r="AP44" s="7">
        <f>'a1'!AE44</f>
        <v>20215.268334419598</v>
      </c>
      <c r="AQ44" s="9">
        <f>'a2'!U44/'a2'!$E$19</f>
        <v>0.93178081748245178</v>
      </c>
      <c r="AR44" s="159">
        <f>'a6'!AJ44</f>
        <v>8529.7463478582813</v>
      </c>
      <c r="AS44" s="7">
        <f>'a5'!K44</f>
        <v>10906.981975494013</v>
      </c>
      <c r="AT44" s="7">
        <f>'a4'!R44</f>
        <v>2496.6710114027774</v>
      </c>
      <c r="AU44" s="9">
        <f>'a3'!F40/'a3'!B$15</f>
        <v>1.0595238095238095</v>
      </c>
      <c r="AV44" s="7">
        <f t="shared" si="69"/>
        <v>37905.795647544881</v>
      </c>
      <c r="AW44" s="114">
        <f t="shared" si="52"/>
        <v>0.61433476782738228</v>
      </c>
      <c r="AX44" s="11">
        <f t="shared" si="81"/>
        <v>10.542859298839815</v>
      </c>
      <c r="AY44" s="114">
        <f t="shared" si="53"/>
        <v>0.68751195902798623</v>
      </c>
      <c r="AZ44" s="7">
        <f>'a1'!AK44</f>
        <v>21123.619415814766</v>
      </c>
      <c r="BA44" s="9">
        <f>'a2'!Y44/'a2'!$E$19</f>
        <v>0.90346226714147115</v>
      </c>
      <c r="BB44" s="7">
        <f>'a6'!AQ44</f>
        <v>7899.8862477860239</v>
      </c>
      <c r="BC44" s="7">
        <f>'a5'!M44</f>
        <v>12556.039311797798</v>
      </c>
      <c r="BD44" s="7">
        <f>'a4'!T44</f>
        <v>2608.8562060575678</v>
      </c>
      <c r="BE44" s="9">
        <f>'a3'!G40/'a3'!B$15</f>
        <v>1.0701058201058202</v>
      </c>
      <c r="BF44" s="7">
        <f t="shared" si="70"/>
        <v>39520.572903317523</v>
      </c>
      <c r="BG44" s="114">
        <f t="shared" si="54"/>
        <v>0.66398235260167537</v>
      </c>
      <c r="BH44" s="11">
        <f t="shared" si="82"/>
        <v>10.584576648298166</v>
      </c>
      <c r="BI44" s="114">
        <f t="shared" si="55"/>
        <v>0.72895952749429382</v>
      </c>
      <c r="BJ44" s="7">
        <f>'a1'!AQ44</f>
        <v>23835.116703483662</v>
      </c>
      <c r="BK44" s="9">
        <f>'a2'!AC44/'a2'!$E$19</f>
        <v>0.95852117919105639</v>
      </c>
      <c r="BL44" s="7">
        <f>'a6'!AX44</f>
        <v>7900.078073052423</v>
      </c>
      <c r="BM44" s="7">
        <f>'a5'!O44</f>
        <v>13170.884202879421</v>
      </c>
      <c r="BN44" s="7">
        <f>'a4'!V44</f>
        <v>2943.7375721433054</v>
      </c>
      <c r="BO44" s="9">
        <f>'a3'!H40/'a3'!B$15</f>
        <v>1.0727513227513228</v>
      </c>
      <c r="BP44" s="7">
        <f t="shared" si="71"/>
        <v>43954.578936048631</v>
      </c>
      <c r="BQ44" s="114">
        <f t="shared" si="56"/>
        <v>0.80030932253686493</v>
      </c>
      <c r="BR44" s="11">
        <f t="shared" si="83"/>
        <v>10.690912082806991</v>
      </c>
      <c r="BS44" s="114">
        <f t="shared" si="57"/>
        <v>0.83460730376539338</v>
      </c>
      <c r="BT44" s="7">
        <f>'a1'!AW44</f>
        <v>21227.484753355275</v>
      </c>
      <c r="BU44" s="9">
        <f>'a2'!AG44/'a2'!$E$19</f>
        <v>0.96275418265636281</v>
      </c>
      <c r="BV44" s="7">
        <f>'a6'!BE44</f>
        <v>8282.445785939457</v>
      </c>
      <c r="BW44" s="7">
        <f>'a5'!Q44</f>
        <v>12058.351887012866</v>
      </c>
      <c r="BX44" s="7">
        <f>'a4'!X44</f>
        <v>2621.6840138826769</v>
      </c>
      <c r="BY44" s="9">
        <f>'a3'!I40/'a3'!B$15</f>
        <v>1.0489417989417991</v>
      </c>
      <c r="BZ44" s="7">
        <f t="shared" si="72"/>
        <v>40023.384881429673</v>
      </c>
      <c r="CA44" s="114">
        <f t="shared" si="58"/>
        <v>0.67944169860101478</v>
      </c>
      <c r="CB44" s="11">
        <f t="shared" si="84"/>
        <v>10.597219184306928</v>
      </c>
      <c r="CC44" s="114">
        <f t="shared" si="59"/>
        <v>0.74152030577034622</v>
      </c>
      <c r="CD44" s="7">
        <f>'a1'!BC44</f>
        <v>21845.095663638142</v>
      </c>
      <c r="CE44" s="9">
        <f>'a2'!AK44/'a2'!$E$19</f>
        <v>0.95529026241535764</v>
      </c>
      <c r="CF44" s="7">
        <f>'a6'!BL44</f>
        <v>8436.5309695109008</v>
      </c>
      <c r="CG44" s="7">
        <f>'a5'!S44</f>
        <v>9564.6038849905126</v>
      </c>
      <c r="CH44" s="7">
        <f>'a4'!Z44</f>
        <v>2697.9615695658667</v>
      </c>
      <c r="CI44" s="9">
        <f>'a3'!J40/'a3'!B$15</f>
        <v>1.0502645502645505</v>
      </c>
      <c r="CJ44" s="7">
        <f t="shared" si="73"/>
        <v>37989.728677816376</v>
      </c>
      <c r="CK44" s="114">
        <f t="shared" si="60"/>
        <v>0.61691535423387922</v>
      </c>
      <c r="CL44" s="11">
        <f t="shared" si="85"/>
        <v>10.545071104219247</v>
      </c>
      <c r="CM44" s="114">
        <f t="shared" si="61"/>
        <v>0.68970946093279106</v>
      </c>
      <c r="CN44" s="7">
        <f>'a1'!BI44</f>
        <v>26520.692857266036</v>
      </c>
      <c r="CO44" s="9">
        <f>'a2'!AO44/'a2'!$E$19</f>
        <v>0.93724321887341655</v>
      </c>
      <c r="CP44" s="7">
        <f>'a6'!BS44</f>
        <v>8080.8661329635661</v>
      </c>
      <c r="CQ44" s="7">
        <f>'a5'!U44</f>
        <v>12266.285942247869</v>
      </c>
      <c r="CR44" s="7">
        <f>'a4'!AB44</f>
        <v>3275.4175687252318</v>
      </c>
      <c r="CS44" s="9">
        <f>'a3'!K40/'a3'!B$15</f>
        <v>1.0648148148148149</v>
      </c>
      <c r="CT44" s="7">
        <f t="shared" si="74"/>
        <v>44645.634401667572</v>
      </c>
      <c r="CU44" s="114">
        <f t="shared" si="62"/>
        <v>0.82155636121690789</v>
      </c>
      <c r="CV44" s="11">
        <f t="shared" si="86"/>
        <v>10.706511807765635</v>
      </c>
      <c r="CW44" s="114">
        <f t="shared" si="63"/>
        <v>0.8501061472123983</v>
      </c>
      <c r="CX44" s="7">
        <f>'a1'!BO44</f>
        <v>25135.8522756729</v>
      </c>
      <c r="CY44" s="9">
        <f>'a2'!AS44/'a2'!$E$19</f>
        <v>0.91917461105505127</v>
      </c>
      <c r="CZ44" s="7">
        <f>'a6'!BZ44</f>
        <v>7308.6943065777596</v>
      </c>
      <c r="DA44" s="7">
        <f>'a5'!W44</f>
        <v>13893.570815446021</v>
      </c>
      <c r="DB44" s="7">
        <f>'a4'!AD44</f>
        <v>3104.3839085095601</v>
      </c>
      <c r="DC44" s="9">
        <f>'a3'!L40/'a3'!B$15</f>
        <v>1.076719576719577</v>
      </c>
      <c r="DD44" s="7">
        <f t="shared" si="75"/>
        <v>44363.127540172056</v>
      </c>
      <c r="DE44" s="114">
        <f t="shared" si="64"/>
        <v>0.81287046766392557</v>
      </c>
      <c r="DF44" s="11">
        <f t="shared" si="87"/>
        <v>10.700163942589771</v>
      </c>
      <c r="DG44" s="44">
        <f t="shared" si="65"/>
        <v>0.84379933290354203</v>
      </c>
    </row>
    <row r="45" spans="1:111">
      <c r="A45" s="1">
        <v>2007</v>
      </c>
      <c r="B45" s="7">
        <f>'a1'!G45</f>
        <v>24127.738903926125</v>
      </c>
      <c r="C45" s="9">
        <f>'a2'!E45/'a2'!E$19</f>
        <v>0.93574160753437496</v>
      </c>
      <c r="D45" s="7">
        <f>'a6'!H45</f>
        <v>8215.981203294692</v>
      </c>
      <c r="E45" s="7">
        <f>'a5'!C45</f>
        <v>12634.454226102946</v>
      </c>
      <c r="F45" s="7">
        <f>'a4'!H45</f>
        <v>2957.8487761096931</v>
      </c>
      <c r="G45" s="9">
        <f>'a3'!B41/'a3'!B$15</f>
        <v>1.0719862723006288</v>
      </c>
      <c r="H45" s="7">
        <f t="shared" si="76"/>
        <v>43383.19422316127</v>
      </c>
      <c r="I45" s="114">
        <f t="shared" si="44"/>
        <v>0.78274165438300747</v>
      </c>
      <c r="J45" s="11">
        <f t="shared" si="77"/>
        <v>10.677827415214569</v>
      </c>
      <c r="K45" s="114">
        <f t="shared" si="45"/>
        <v>0.82160725311650906</v>
      </c>
      <c r="L45" s="7">
        <f>'a1'!M45</f>
        <v>20674.238070694086</v>
      </c>
      <c r="M45" s="9">
        <f>'a2'!I45/'a2'!$E$19</f>
        <v>0.9374599423870984</v>
      </c>
      <c r="N45" s="7">
        <f>'a6'!O45</f>
        <v>9611.9170306054166</v>
      </c>
      <c r="O45" s="7">
        <f>'a5'!E45</f>
        <v>11407.823963681645</v>
      </c>
      <c r="P45" s="7">
        <f>'a4'!L45</f>
        <v>2534.4799203066741</v>
      </c>
      <c r="Q45" s="9">
        <f>'a3'!C41/'a3'!B$15</f>
        <v>1.0367890681851211</v>
      </c>
      <c r="R45" s="7">
        <f t="shared" si="66"/>
        <v>39259.605499372679</v>
      </c>
      <c r="S45" s="114">
        <f t="shared" si="46"/>
        <v>0.6559587064521144</v>
      </c>
      <c r="T45" s="11">
        <f t="shared" si="78"/>
        <v>10.577951419368674</v>
      </c>
      <c r="U45" s="114">
        <f>(T45-$G$61)/$G$62</f>
        <v>0.72237714310924961</v>
      </c>
      <c r="V45" s="7">
        <f>'a1'!S45</f>
        <v>21163.714796505526</v>
      </c>
      <c r="W45" s="9">
        <f>'a2'!M45/'a2'!$E$19</f>
        <v>0.93618470965595357</v>
      </c>
      <c r="X45" s="7">
        <f>'a6'!V45</f>
        <v>9668.1860770442454</v>
      </c>
      <c r="Y45" s="7">
        <f>'a5'!G45</f>
        <v>10495.08090929159</v>
      </c>
      <c r="Z45" s="7">
        <f>'a4'!N45</f>
        <v>2594.4854657968881</v>
      </c>
      <c r="AA45" s="9">
        <f>'a3'!D41/'a3'!$B$15</f>
        <v>1.0611681620221978</v>
      </c>
      <c r="AB45" s="7">
        <f t="shared" si="67"/>
        <v>39668.511523570029</v>
      </c>
      <c r="AC45" s="114">
        <f t="shared" si="48"/>
        <v>0.66853084073780777</v>
      </c>
      <c r="AD45" s="11">
        <f t="shared" si="79"/>
        <v>10.58831299134161</v>
      </c>
      <c r="AE45" s="114">
        <f>(AD45-$G$61)/$G$62</f>
        <v>0.73267170806466719</v>
      </c>
      <c r="AF45" s="7">
        <f>'a1'!Y45</f>
        <v>22076.439900234454</v>
      </c>
      <c r="AG45" s="9">
        <f>'a2'!Q45/'a2'!$E$19</f>
        <v>0.91863471460337254</v>
      </c>
      <c r="AH45" s="7">
        <f>'a6'!AC45</f>
        <v>9797.9123787230328</v>
      </c>
      <c r="AI45" s="7">
        <f>'a5'!I45</f>
        <v>13577.391736785306</v>
      </c>
      <c r="AJ45" s="7">
        <f>'a4'!P45</f>
        <v>2706.3775432824373</v>
      </c>
      <c r="AK45" s="9">
        <f>'a3'!E41/'a3'!B$15</f>
        <v>1.0547788198381256</v>
      </c>
      <c r="AL45" s="7">
        <f t="shared" si="68"/>
        <v>43192.254593685429</v>
      </c>
      <c r="AM45" s="114">
        <f t="shared" si="50"/>
        <v>0.77687106671694695</v>
      </c>
      <c r="AN45" s="11">
        <f t="shared" si="80"/>
        <v>10.673416466344666</v>
      </c>
      <c r="AO45" s="114">
        <f>(AN45-$G$61)/$G$62</f>
        <v>0.81722482931297291</v>
      </c>
      <c r="AP45" s="7">
        <f>'a1'!AE45</f>
        <v>21150.479869620329</v>
      </c>
      <c r="AQ45" s="9">
        <f>'a2'!U45/'a2'!$E$19</f>
        <v>0.92729017431090976</v>
      </c>
      <c r="AR45" s="159">
        <f>'a6'!AJ45</f>
        <v>9054.3029045801941</v>
      </c>
      <c r="AS45" s="7">
        <f>'a5'!K45</f>
        <v>11124.834788731379</v>
      </c>
      <c r="AT45" s="7">
        <f>'a4'!R45</f>
        <v>2592.8629800577496</v>
      </c>
      <c r="AU45" s="9">
        <f>'a3'!F41/'a3'!B$15</f>
        <v>1.0621994087807602</v>
      </c>
      <c r="AV45" s="7">
        <f t="shared" si="69"/>
        <v>39512.656893435102</v>
      </c>
      <c r="AW45" s="114">
        <f t="shared" si="52"/>
        <v>0.66373896871061133</v>
      </c>
      <c r="AX45" s="11">
        <f t="shared" si="81"/>
        <v>10.584376327245129</v>
      </c>
      <c r="AY45" s="114">
        <f>(AX45-$G$61)/$G$62</f>
        <v>0.72876050189298491</v>
      </c>
      <c r="AZ45" s="7">
        <f>'a1'!AK45</f>
        <v>21894.983533493603</v>
      </c>
      <c r="BA45" s="9">
        <f>'a2'!Y45/'a2'!$E$19</f>
        <v>0.90114869607274939</v>
      </c>
      <c r="BB45" s="7">
        <f>'a6'!AQ45</f>
        <v>7981.9959294651344</v>
      </c>
      <c r="BC45" s="7">
        <f>'a5'!M45</f>
        <v>12718.815717799549</v>
      </c>
      <c r="BD45" s="7">
        <f>'a4'!T45</f>
        <v>2684.1325872001912</v>
      </c>
      <c r="BE45" s="9">
        <f>'a3'!G41/'a3'!B$15</f>
        <v>1.073329088806054</v>
      </c>
      <c r="BF45" s="7">
        <f t="shared" si="70"/>
        <v>40515.291129897814</v>
      </c>
      <c r="BG45" s="114">
        <f t="shared" si="54"/>
        <v>0.6945657394459801</v>
      </c>
      <c r="BH45" s="11">
        <f t="shared" si="82"/>
        <v>10.609434740600165</v>
      </c>
      <c r="BI45" s="114">
        <f>(BH45-$G$61)/$G$62</f>
        <v>0.75365686555642375</v>
      </c>
      <c r="BJ45" s="7">
        <f>'a1'!AQ45</f>
        <v>24563.632260520004</v>
      </c>
      <c r="BK45" s="9">
        <f>'a2'!AC45/'a2'!$E$19</f>
        <v>0.95815612098971881</v>
      </c>
      <c r="BL45" s="7">
        <f>'a6'!AX45</f>
        <v>8067.0581078083906</v>
      </c>
      <c r="BM45" s="7">
        <f>'a5'!O45</f>
        <v>13188.059008825887</v>
      </c>
      <c r="BN45" s="7">
        <f>'a4'!V45</f>
        <v>3011.2854713777169</v>
      </c>
      <c r="BO45" s="9">
        <f>'a3'!H41/'a3'!B$15</f>
        <v>1.0759704393713483</v>
      </c>
      <c r="BP45" s="7">
        <f t="shared" si="71"/>
        <v>44953.642812353035</v>
      </c>
      <c r="BQ45" s="114">
        <f t="shared" si="56"/>
        <v>0.83102631976755947</v>
      </c>
      <c r="BR45" s="11">
        <f t="shared" si="83"/>
        <v>10.713387078047745</v>
      </c>
      <c r="BS45" s="114">
        <f>(BR45-$G$61)/$G$62</f>
        <v>0.85693695596324293</v>
      </c>
      <c r="BT45" s="7">
        <f>'a1'!AW45</f>
        <v>22220.95616635304</v>
      </c>
      <c r="BU45" s="9">
        <f>'a2'!AG45/'a2'!$E$19</f>
        <v>0.95950088796860422</v>
      </c>
      <c r="BV45" s="7">
        <f>'a6'!BE45</f>
        <v>8567.3500207029992</v>
      </c>
      <c r="BW45" s="7">
        <f>'a5'!Q45</f>
        <v>12147.370287936117</v>
      </c>
      <c r="BX45" s="7">
        <f>'a4'!X45</f>
        <v>2724.0939676257581</v>
      </c>
      <c r="BY45" s="9">
        <f>'a3'!I41/'a3'!B$15</f>
        <v>1.0513482673212058</v>
      </c>
      <c r="BZ45" s="7">
        <f t="shared" si="72"/>
        <v>41330.238807623238</v>
      </c>
      <c r="CA45" s="114">
        <f t="shared" si="58"/>
        <v>0.71962194070955743</v>
      </c>
      <c r="CB45" s="11">
        <f t="shared" si="84"/>
        <v>10.629349685558847</v>
      </c>
      <c r="CC45" s="114">
        <f>(CB45-$G$61)/$G$62</f>
        <v>0.77344302300398171</v>
      </c>
      <c r="CD45" s="7">
        <f>'a1'!BC45</f>
        <v>23174.044270622449</v>
      </c>
      <c r="CE45" s="9">
        <f>'a2'!AK45/'a2'!$E$19</f>
        <v>0.9497482994468055</v>
      </c>
      <c r="CF45" s="7">
        <f>'a6'!BL45</f>
        <v>8588.9420868025645</v>
      </c>
      <c r="CG45" s="7">
        <f>'a5'!S45</f>
        <v>9587.0970257169683</v>
      </c>
      <c r="CH45" s="7">
        <f>'a4'!Z45</f>
        <v>2840.9341943027489</v>
      </c>
      <c r="CI45" s="9">
        <f>'a3'!J41/'a3'!B$15</f>
        <v>1.0521286217983314</v>
      </c>
      <c r="CJ45" s="7">
        <f t="shared" si="73"/>
        <v>39291.337317851619</v>
      </c>
      <c r="CK45" s="114">
        <f t="shared" si="60"/>
        <v>0.65693432593297085</v>
      </c>
      <c r="CL45" s="11">
        <f t="shared" si="85"/>
        <v>10.578759349078158</v>
      </c>
      <c r="CM45" s="114">
        <f>(CL45-$G$61)/$G$62</f>
        <v>0.72317984803620705</v>
      </c>
      <c r="CN45" s="7">
        <f>'a1'!BI45</f>
        <v>27627.252155114129</v>
      </c>
      <c r="CO45" s="9">
        <f>'a2'!AO45/'a2'!$E$19</f>
        <v>0.93765724386271376</v>
      </c>
      <c r="CP45" s="7">
        <f>'a6'!BS45</f>
        <v>8387.7907768480563</v>
      </c>
      <c r="CQ45" s="7">
        <f>'a5'!U45</f>
        <v>12255.381312953494</v>
      </c>
      <c r="CR45" s="7">
        <f>'a4'!AB45</f>
        <v>3386.8583500371424</v>
      </c>
      <c r="CS45" s="9">
        <f>'a3'!K41/'a3'!B$15</f>
        <v>1.0669492640523073</v>
      </c>
      <c r="CT45" s="7">
        <f t="shared" si="74"/>
        <v>46050.817885314733</v>
      </c>
      <c r="CU45" s="114">
        <f t="shared" si="62"/>
        <v>0.86475982217625125</v>
      </c>
      <c r="CV45" s="11">
        <f t="shared" si="86"/>
        <v>10.73750080233604</v>
      </c>
      <c r="CW45" s="114">
        <f>(CV45-$G$61)/$G$62</f>
        <v>0.88089473974849031</v>
      </c>
      <c r="CX45" s="7">
        <f>'a1'!BO45</f>
        <v>26122.648059045412</v>
      </c>
      <c r="CY45" s="9">
        <f>'a2'!AS45/'a2'!$E$19</f>
        <v>0.91985231747239027</v>
      </c>
      <c r="CZ45" s="7">
        <f>'a6'!BZ45</f>
        <v>7453.0857950280251</v>
      </c>
      <c r="DA45" s="7">
        <f>'a5'!W45</f>
        <v>13959.681063758926</v>
      </c>
      <c r="DB45" s="7">
        <f>'a4'!AD45</f>
        <v>3202.4071090067487</v>
      </c>
      <c r="DC45" s="9">
        <f>'a3'!L41/'a3'!B$15</f>
        <v>1.0785856530442797</v>
      </c>
      <c r="DD45" s="7">
        <f t="shared" si="75"/>
        <v>45558.744074580434</v>
      </c>
      <c r="DE45" s="114">
        <f t="shared" si="64"/>
        <v>0.84963062949886803</v>
      </c>
      <c r="DF45" s="11">
        <f t="shared" si="87"/>
        <v>10.726757850775988</v>
      </c>
      <c r="DG45" s="44">
        <f>(DF45-$G$61)/$G$62</f>
        <v>0.87022126154105894</v>
      </c>
    </row>
    <row r="46" spans="1:111" s="257" customFormat="1">
      <c r="A46" s="257">
        <v>2008</v>
      </c>
      <c r="B46" s="258">
        <f>'a1'!G46</f>
        <v>24612.756354488909</v>
      </c>
      <c r="C46" s="259">
        <f>'a2'!E46/'a2'!E$19</f>
        <v>0.93295669828531014</v>
      </c>
      <c r="D46" s="258">
        <f>'a6'!H46</f>
        <v>8442.3055245689338</v>
      </c>
      <c r="E46" s="258">
        <f>'a5'!C46</f>
        <v>12687.810723656805</v>
      </c>
      <c r="F46" s="258">
        <f>'a4'!H46</f>
        <v>3045.2238853542754</v>
      </c>
      <c r="G46" s="259">
        <f>'a3'!B42/'a3'!B$15</f>
        <v>1.0751990760009338</v>
      </c>
      <c r="H46" s="258">
        <f t="shared" si="76"/>
        <v>44134.264464861059</v>
      </c>
      <c r="I46" s="260">
        <f>(H46-D$61)/D$62</f>
        <v>0.80583389411014994</v>
      </c>
      <c r="J46" s="261">
        <f t="shared" si="77"/>
        <v>10.694991731740771</v>
      </c>
      <c r="K46" s="260">
        <f t="shared" si="45"/>
        <v>0.83866057010893658</v>
      </c>
      <c r="L46" s="258">
        <f>'a1'!M46</f>
        <v>21817.765160719329</v>
      </c>
      <c r="M46" s="259">
        <f>'a2'!I46/'a2'!$E$19</f>
        <v>0.93289762486397809</v>
      </c>
      <c r="N46" s="258">
        <f>'a6'!O46</f>
        <v>10271.93208907615</v>
      </c>
      <c r="O46" s="258">
        <f>'a5'!E46</f>
        <v>11704.350103573061</v>
      </c>
      <c r="P46" s="258">
        <f>'a4'!L46</f>
        <v>2699.4123955708619</v>
      </c>
      <c r="Q46" s="259">
        <f>'a3'!C42/'a3'!B$15</f>
        <v>1.0391921590314293</v>
      </c>
      <c r="R46" s="258">
        <f t="shared" ref="R46" si="88">(L46*M46+N46+O46-P46)*Q46</f>
        <v>41183.820307915274</v>
      </c>
      <c r="S46" s="260">
        <f t="shared" si="46"/>
        <v>0.71512018986386705</v>
      </c>
      <c r="T46" s="261">
        <f t="shared" si="78"/>
        <v>10.625800747233539</v>
      </c>
      <c r="U46" s="260">
        <f>(T46-$G$61)/$G$62</f>
        <v>0.76991703522837418</v>
      </c>
      <c r="V46" s="258">
        <f>'a1'!S46</f>
        <v>21562.936687090187</v>
      </c>
      <c r="W46" s="259">
        <f>'a2'!M46/'a2'!$E$19</f>
        <v>0.93285456401041367</v>
      </c>
      <c r="X46" s="258">
        <f>'a6'!V46</f>
        <v>9662.9295360615197</v>
      </c>
      <c r="Y46" s="258">
        <f>'a5'!G46</f>
        <v>10620.742824298743</v>
      </c>
      <c r="Z46" s="258">
        <f>'a4'!N46</f>
        <v>2667.8836328680081</v>
      </c>
      <c r="AA46" s="259">
        <f>'a3'!D42/'a3'!$B$15</f>
        <v>1.0654754296316826</v>
      </c>
      <c r="AB46" s="258">
        <f t="shared" ref="AB46" si="89">(V46*W46+X46+Y46-Z46)*AA46</f>
        <v>40201.317725307512</v>
      </c>
      <c r="AC46" s="260">
        <f t="shared" si="48"/>
        <v>0.68491238251049869</v>
      </c>
      <c r="AD46" s="261">
        <f t="shared" si="79"/>
        <v>10.60165505330639</v>
      </c>
      <c r="AE46" s="260">
        <f>(AD46-$G$61)/$G$62</f>
        <v>0.74592748854801316</v>
      </c>
      <c r="AF46" s="258">
        <f>'a1'!Y46</f>
        <v>22768.397106124772</v>
      </c>
      <c r="AG46" s="259">
        <f>'a2'!Q46/'a2'!$E$19</f>
        <v>0.91131306270997614</v>
      </c>
      <c r="AH46" s="258">
        <f>'a6'!AC46</f>
        <v>10156.127990182888</v>
      </c>
      <c r="AI46" s="258">
        <f>'a5'!I46</f>
        <v>13804.796176343352</v>
      </c>
      <c r="AJ46" s="258">
        <f>'a4'!P46</f>
        <v>2817.0297426341249</v>
      </c>
      <c r="AK46" s="259">
        <f>'a3'!E42/'a3'!B$15</f>
        <v>1.0566509035640781</v>
      </c>
      <c r="AL46" s="258">
        <f t="shared" ref="AL46" si="90">(AF46*AG46+AH46+AI46-AJ46)*AK46</f>
        <v>44266.310246516587</v>
      </c>
      <c r="AM46" s="260">
        <f t="shared" si="50"/>
        <v>0.80989374454177732</v>
      </c>
      <c r="AN46" s="261">
        <f t="shared" si="80"/>
        <v>10.69797917566393</v>
      </c>
      <c r="AO46" s="260">
        <f>(AN46-$G$61)/$G$62</f>
        <v>0.84162869459795764</v>
      </c>
      <c r="AP46" s="258">
        <f>'a1'!AE46</f>
        <v>21930.587948619766</v>
      </c>
      <c r="AQ46" s="259">
        <f>'a2'!U46/'a2'!$E$19</f>
        <v>0.92381855705371607</v>
      </c>
      <c r="AR46" s="262">
        <f>'a6'!AJ46</f>
        <v>8742.4336982060668</v>
      </c>
      <c r="AS46" s="258">
        <f>'a5'!K46</f>
        <v>11345.78637505691</v>
      </c>
      <c r="AT46" s="258">
        <f>'a4'!R46</f>
        <v>2713.3714436180753</v>
      </c>
      <c r="AU46" s="259">
        <f>'a3'!F42/'a3'!B$15</f>
        <v>1.0648817646875564</v>
      </c>
      <c r="AV46" s="258">
        <f t="shared" ref="AV46" si="91">(AP46*AQ46+AR46+AS46-AT46)*AU46</f>
        <v>40076.540617632847</v>
      </c>
      <c r="AW46" s="260">
        <f t="shared" si="52"/>
        <v>0.68107601312331356</v>
      </c>
      <c r="AX46" s="261">
        <f t="shared" si="81"/>
        <v>10.598546420098348</v>
      </c>
      <c r="AY46" s="260">
        <f>(AX46-$G$61)/$G$62</f>
        <v>0.74283895849037906</v>
      </c>
      <c r="AZ46" s="258">
        <f>'a1'!AK46</f>
        <v>22474.846903732159</v>
      </c>
      <c r="BA46" s="259">
        <f>'a2'!Y46/'a2'!$E$19</f>
        <v>0.89820665138776301</v>
      </c>
      <c r="BB46" s="258">
        <f>'a6'!AQ46</f>
        <v>8281.3791459431995</v>
      </c>
      <c r="BC46" s="258">
        <f>'a5'!M46</f>
        <v>12874.639688721074</v>
      </c>
      <c r="BD46" s="258">
        <f>'a4'!T46</f>
        <v>2780.7101173551978</v>
      </c>
      <c r="BE46" s="259">
        <f>'a3'!G42/'a3'!B$15</f>
        <v>1.0765620663228539</v>
      </c>
      <c r="BF46" s="258">
        <f t="shared" ref="BF46" si="92">(AZ46*BA46+BB46+BC46-BD46)*BE46</f>
        <v>41514.780095082184</v>
      </c>
      <c r="BG46" s="260">
        <f t="shared" si="54"/>
        <v>0.72529580636546875</v>
      </c>
      <c r="BH46" s="261">
        <f t="shared" si="82"/>
        <v>10.633804789682998</v>
      </c>
      <c r="BI46" s="260">
        <f>(BH46-$G$61)/$G$62</f>
        <v>0.77786931651514157</v>
      </c>
      <c r="BJ46" s="258">
        <f>'a1'!AQ46</f>
        <v>25016.128225326098</v>
      </c>
      <c r="BK46" s="259">
        <f>'a2'!AC46/'a2'!$E$19</f>
        <v>0.95437500643415107</v>
      </c>
      <c r="BL46" s="258">
        <f>'a6'!AX46</f>
        <v>8209.561364828136</v>
      </c>
      <c r="BM46" s="258">
        <f>'a5'!O46</f>
        <v>13195.815124885969</v>
      </c>
      <c r="BN46" s="258">
        <f>'a4'!V46</f>
        <v>3095.1312438825867</v>
      </c>
      <c r="BO46" s="259">
        <f>'a3'!H42/'a3'!B$15</f>
        <v>1.0791992159298831</v>
      </c>
      <c r="BP46" s="258">
        <f t="shared" ref="BP46" si="93">(BJ46*BK46+BL46+BM46-BN46)*BO46</f>
        <v>45526.032718148068</v>
      </c>
      <c r="BQ46" s="260">
        <f t="shared" si="56"/>
        <v>0.84862489336049207</v>
      </c>
      <c r="BR46" s="261">
        <f t="shared" si="83"/>
        <v>10.726039588976585</v>
      </c>
      <c r="BS46" s="260">
        <f>(BR46-$G$61)/$G$62</f>
        <v>0.86950764465278574</v>
      </c>
      <c r="BT46" s="258">
        <f>'a1'!AW46</f>
        <v>22903.866142078459</v>
      </c>
      <c r="BU46" s="259">
        <f>'a2'!AG46/'a2'!$E$19</f>
        <v>0.95729721447723892</v>
      </c>
      <c r="BV46" s="258">
        <f>'a6'!BE46</f>
        <v>8623.2334101284068</v>
      </c>
      <c r="BW46" s="258">
        <f>'a5'!Q46</f>
        <v>12222.6259279679</v>
      </c>
      <c r="BX46" s="258">
        <f>'a4'!X46</f>
        <v>2833.7907074797727</v>
      </c>
      <c r="BY46" s="259">
        <f>'a3'!I42/'a3'!B$15</f>
        <v>1.0537602565884894</v>
      </c>
      <c r="BZ46" s="258">
        <f t="shared" ref="BZ46" si="94">(BT46*BU46+BV46+BW46-BX46)*BY46</f>
        <v>42084.946344589771</v>
      </c>
      <c r="CA46" s="260">
        <f t="shared" si="58"/>
        <v>0.74282601191343089</v>
      </c>
      <c r="CB46" s="261">
        <f t="shared" si="84"/>
        <v>10.647445386715312</v>
      </c>
      <c r="CC46" s="260">
        <f>(CB46-$G$61)/$G$62</f>
        <v>0.79142170147628566</v>
      </c>
      <c r="CD46" s="258">
        <f>'a1'!BC46</f>
        <v>24299.85638079606</v>
      </c>
      <c r="CE46" s="259">
        <f>'a2'!AK46/'a2'!$E$19</f>
        <v>0.94351807616306183</v>
      </c>
      <c r="CF46" s="258">
        <f>'a6'!BL46</f>
        <v>9067.3367343823484</v>
      </c>
      <c r="CG46" s="258">
        <f>'a5'!S46</f>
        <v>9599.5395778163966</v>
      </c>
      <c r="CH46" s="258">
        <f>'a4'!Z46</f>
        <v>3006.5102012836001</v>
      </c>
      <c r="CI46" s="259">
        <f>'a3'!J42/'a3'!B$15</f>
        <v>1.0539960017963295</v>
      </c>
      <c r="CJ46" s="258">
        <f t="shared" ref="CJ46" si="95">(CD46*CE46+CF46+CG46-CH46)*CI46</f>
        <v>40671.302444934969</v>
      </c>
      <c r="CK46" s="260">
        <f t="shared" si="60"/>
        <v>0.69936242887256606</v>
      </c>
      <c r="CL46" s="261">
        <f t="shared" si="85"/>
        <v>10.61327802309798</v>
      </c>
      <c r="CM46" s="260">
        <f>(CL46-$G$61)/$G$62</f>
        <v>0.75747529401680791</v>
      </c>
      <c r="CN46" s="258">
        <f>'a1'!BI46</f>
        <v>27821.253659097547</v>
      </c>
      <c r="CO46" s="259">
        <f>'a2'!AO46/'a2'!$E$19</f>
        <v>0.9376368370297925</v>
      </c>
      <c r="CP46" s="258">
        <f>'a6'!BS46</f>
        <v>8913.2360336803977</v>
      </c>
      <c r="CQ46" s="258">
        <f>'a5'!U46</f>
        <v>12256.956724999853</v>
      </c>
      <c r="CR46" s="258">
        <f>'a4'!AB46</f>
        <v>3442.1965968769755</v>
      </c>
      <c r="CS46" s="259">
        <f>'a3'!K42/'a3'!B$15</f>
        <v>1.069087991849305</v>
      </c>
      <c r="CT46" s="258">
        <f t="shared" ref="CT46" si="96">(CN46*CO46+CP46+CQ46-CR46)*CS46</f>
        <v>46841.265502609473</v>
      </c>
      <c r="CU46" s="260">
        <f t="shared" si="62"/>
        <v>0.88906274999430579</v>
      </c>
      <c r="CV46" s="261">
        <f t="shared" si="86"/>
        <v>10.754519834908802</v>
      </c>
      <c r="CW46" s="260">
        <f>(CV46-$G$61)/$G$62</f>
        <v>0.89780371232101941</v>
      </c>
      <c r="CX46" s="258">
        <f>'a1'!BO46</f>
        <v>26328.395523579675</v>
      </c>
      <c r="CY46" s="259">
        <f>'a2'!AS46/'a2'!$E$19</f>
        <v>0.91919611571502724</v>
      </c>
      <c r="CZ46" s="258">
        <f>'a6'!BZ46</f>
        <v>7583.7803747168118</v>
      </c>
      <c r="DA46" s="258">
        <f>'a5'!W46</f>
        <v>14018.289023619371</v>
      </c>
      <c r="DB46" s="258">
        <f>'a4'!AD46</f>
        <v>3257.4920808021088</v>
      </c>
      <c r="DC46" s="259">
        <f>'a3'!L42/'a3'!B$15</f>
        <v>1.0804549634894767</v>
      </c>
      <c r="DD46" s="258">
        <f t="shared" ref="DD46" si="97">(CX46*CY46+CZ46+DA46-DB46)*DC46</f>
        <v>45968.535778701225</v>
      </c>
      <c r="DE46" s="260">
        <f t="shared" si="64"/>
        <v>0.86222999470382578</v>
      </c>
      <c r="DF46" s="261">
        <f t="shared" si="87"/>
        <v>10.73571243662237</v>
      </c>
      <c r="DG46" s="263">
        <f>(DF46-$G$61)/$G$62</f>
        <v>0.87911793917696424</v>
      </c>
    </row>
    <row r="47" spans="1:111" s="257" customFormat="1">
      <c r="A47" s="257">
        <v>2009</v>
      </c>
      <c r="B47" s="258">
        <f>'a1'!G47</f>
        <v>24421.723202933888</v>
      </c>
      <c r="C47" s="259">
        <f>'a2'!E47/'a2'!E$19</f>
        <v>0.93145044737669946</v>
      </c>
      <c r="D47" s="258">
        <f>'a6'!H47</f>
        <v>8752.1765478485304</v>
      </c>
      <c r="E47" s="258">
        <f>'a5'!C47</f>
        <v>12735.214249839199</v>
      </c>
      <c r="F47" s="258">
        <f>'a4'!H47</f>
        <v>3136.3829170689933</v>
      </c>
      <c r="G47" s="259">
        <f>'a3'!B43/'a3'!B$15</f>
        <v>1.0784215086562761</v>
      </c>
      <c r="H47" s="258">
        <f t="shared" ref="H47" si="98">(B47*C47+D47+E47-F47)*G47</f>
        <v>44321.649678151734</v>
      </c>
      <c r="I47" s="260">
        <f>(H47-D$61)/D$62</f>
        <v>0.81159519848141226</v>
      </c>
      <c r="J47" s="261">
        <f t="shared" ref="J47" si="99">LN(H47)</f>
        <v>10.699228542708402</v>
      </c>
      <c r="K47" s="260">
        <f t="shared" ref="K47" si="100">(J47-$G$61)/$G$62</f>
        <v>0.84286998213869713</v>
      </c>
      <c r="L47" s="258">
        <f>'a1'!M47</f>
        <v>22324.424423833447</v>
      </c>
      <c r="M47" s="259">
        <f>'a2'!I47/'a2'!$E$19</f>
        <v>0.92820929522375228</v>
      </c>
      <c r="N47" s="258">
        <f>'a6'!O47</f>
        <v>10623.787457191338</v>
      </c>
      <c r="O47" s="258">
        <f>'a5'!E47</f>
        <v>12003.172730251408</v>
      </c>
      <c r="P47" s="258">
        <f>'a4'!L47</f>
        <v>2867.0353363065497</v>
      </c>
      <c r="Q47" s="259">
        <f>'a3'!C43/'a3'!B$15</f>
        <v>1.0416008198107094</v>
      </c>
      <c r="R47" s="258">
        <f t="shared" ref="R47" si="101">(L47*M47+N47+O47-P47)*Q47</f>
        <v>42165.733484612836</v>
      </c>
      <c r="S47" s="260">
        <f t="shared" ref="S47" si="102">(R47-D$61)/D$62</f>
        <v>0.74530987547333027</v>
      </c>
      <c r="T47" s="261">
        <f t="shared" ref="T47" si="103">LN(R47)</f>
        <v>10.649363167437016</v>
      </c>
      <c r="U47" s="260">
        <f>(T47-$G$61)/$G$62</f>
        <v>0.79332708014483178</v>
      </c>
      <c r="V47" s="258">
        <f>'a1'!S47</f>
        <v>21602.160216021603</v>
      </c>
      <c r="W47" s="259">
        <f>'a2'!M47/'a2'!$E$19</f>
        <v>0.93802775898085966</v>
      </c>
      <c r="X47" s="258">
        <f>'a6'!V47</f>
        <v>10325.185942084165</v>
      </c>
      <c r="Y47" s="258">
        <f>'a5'!G47</f>
        <v>10734.554680085193</v>
      </c>
      <c r="Z47" s="258">
        <f>'a4'!N47</f>
        <v>2774.2778718079226</v>
      </c>
      <c r="AA47" s="259">
        <f>'a3'!D43/'a3'!$B$15</f>
        <v>1.06980018038373</v>
      </c>
      <c r="AB47" s="258">
        <f t="shared" ref="AB47" si="104">(V47*W47+X47+Y47-Z47)*AA47</f>
        <v>41239.608070882525</v>
      </c>
      <c r="AC47" s="260">
        <f t="shared" ref="AC47" si="105">(AB47-D$61)/D$62</f>
        <v>0.71683542809959488</v>
      </c>
      <c r="AD47" s="261">
        <f t="shared" ref="AD47" si="106">LN(AB47)</f>
        <v>10.62715443446989</v>
      </c>
      <c r="AE47" s="260">
        <f>(AD47-$G$61)/$G$62</f>
        <v>0.77126196833508209</v>
      </c>
      <c r="AF47" s="258">
        <f>'a1'!Y47</f>
        <v>23184.371818843945</v>
      </c>
      <c r="AG47" s="259">
        <f>'a2'!Q47/'a2'!$E$19</f>
        <v>0.91028261551387768</v>
      </c>
      <c r="AH47" s="258">
        <f>'a6'!AC47</f>
        <v>10502.609398945251</v>
      </c>
      <c r="AI47" s="258">
        <f>'a5'!I47</f>
        <v>14030.526486022827</v>
      </c>
      <c r="AJ47" s="258">
        <f>'a4'!P47</f>
        <v>2977.474894435883</v>
      </c>
      <c r="AK47" s="259">
        <f>'a3'!E43/'a3'!B$15</f>
        <v>1.0585263099747595</v>
      </c>
      <c r="AL47" s="258">
        <f t="shared" ref="AL47" si="107">(AF47*AG47+AH47+AI47-AJ47)*AK47</f>
        <v>45156.723501255066</v>
      </c>
      <c r="AM47" s="260">
        <f t="shared" ref="AM47" si="108">(AL47-D$61)/D$62</f>
        <v>0.83727019376457168</v>
      </c>
      <c r="AN47" s="261">
        <f t="shared" ref="AN47" si="109">LN(AL47)</f>
        <v>10.717894462514909</v>
      </c>
      <c r="AO47" s="260">
        <f>(AN47-$G$61)/$G$62</f>
        <v>0.86141519172683745</v>
      </c>
      <c r="AP47" s="258">
        <f>'a1'!AE47</f>
        <v>22183.995174317119</v>
      </c>
      <c r="AQ47" s="259">
        <f>'a2'!U47/'a2'!$E$19</f>
        <v>0.92103460419971706</v>
      </c>
      <c r="AR47" s="262">
        <f>'a6'!AJ47</f>
        <v>9050.092059292152</v>
      </c>
      <c r="AS47" s="258">
        <f>'a5'!K47</f>
        <v>11566.278542768081</v>
      </c>
      <c r="AT47" s="258">
        <f>'a4'!R47</f>
        <v>2849.0005770235962</v>
      </c>
      <c r="AU47" s="259">
        <f>'a3'!F43/'a3'!B$15</f>
        <v>1.0675708943066622</v>
      </c>
      <c r="AV47" s="258">
        <f t="shared" ref="AV47" si="110">(AP47*AQ47+AR47+AS47-AT47)*AU47</f>
        <v>40780.778187642136</v>
      </c>
      <c r="AW47" s="260">
        <f t="shared" ref="AW47" si="111">(AV47-D$61)/D$62</f>
        <v>0.70272834587279165</v>
      </c>
      <c r="AX47" s="261">
        <f t="shared" ref="AX47" si="112">LN(AV47)</f>
        <v>10.615966126527105</v>
      </c>
      <c r="AY47" s="260">
        <f>(AX47-$G$61)/$G$62</f>
        <v>0.76014601381012648</v>
      </c>
      <c r="AZ47" s="258">
        <f>'a1'!AK47</f>
        <v>22491.053997665156</v>
      </c>
      <c r="BA47" s="259">
        <f>'a2'!Y47/'a2'!$E$19</f>
        <v>0.89509405056063607</v>
      </c>
      <c r="BB47" s="258">
        <f>'a6'!AQ47</f>
        <v>8696.113979161817</v>
      </c>
      <c r="BC47" s="258">
        <f>'a5'!M47</f>
        <v>13017.372397414068</v>
      </c>
      <c r="BD47" s="258">
        <f>'a4'!T47</f>
        <v>2888.4348970378528</v>
      </c>
      <c r="BE47" s="259">
        <f>'a3'!G43/'a3'!B$15</f>
        <v>1.0798047819001735</v>
      </c>
      <c r="BF47" s="258">
        <f t="shared" ref="BF47" si="113">(AZ47*BA47+BB47+BC47-BD47)*BE47</f>
        <v>42065.58786681998</v>
      </c>
      <c r="BG47" s="260">
        <f t="shared" ref="BG47" si="114">(BF47-D$61)/D$62</f>
        <v>0.74223082043253719</v>
      </c>
      <c r="BH47" s="261">
        <f t="shared" ref="BH47" si="115">LN(BF47)</f>
        <v>10.646985295088022</v>
      </c>
      <c r="BI47" s="260">
        <f>(BH47-$G$61)/$G$62</f>
        <v>0.79096458520522717</v>
      </c>
      <c r="BJ47" s="258">
        <f>'a1'!AQ47</f>
        <v>24803.404541940621</v>
      </c>
      <c r="BK47" s="259">
        <f>'a2'!AC47/'a2'!$E$19</f>
        <v>0.95307248930120736</v>
      </c>
      <c r="BL47" s="258">
        <f>'a6'!AX47</f>
        <v>8499.8329936667451</v>
      </c>
      <c r="BM47" s="258">
        <f>'a5'!O47</f>
        <v>13202.324044670679</v>
      </c>
      <c r="BN47" s="258">
        <f>'a4'!V47</f>
        <v>3185.4007042856188</v>
      </c>
      <c r="BO47" s="259">
        <f>'a3'!H43/'a3'!B$15</f>
        <v>1.0824376814145105</v>
      </c>
      <c r="BP47" s="258">
        <f t="shared" ref="BP47" si="116">(BJ47*BK47+BL47+BM47-BN47)*BO47</f>
        <v>45631.458133931141</v>
      </c>
      <c r="BQ47" s="260">
        <f t="shared" ref="BQ47" si="117">(BP47-D$61)/D$62</f>
        <v>0.85186627990389541</v>
      </c>
      <c r="BR47" s="261">
        <f t="shared" ref="BR47" si="118">LN(BP47)</f>
        <v>10.728352629008755</v>
      </c>
      <c r="BS47" s="260">
        <f>(BR47-$G$61)/$G$62</f>
        <v>0.87180572653822319</v>
      </c>
      <c r="BT47" s="258">
        <f>'a1'!AW47</f>
        <v>22995.140878446524</v>
      </c>
      <c r="BU47" s="259">
        <f>'a2'!AG47/'a2'!$E$19</f>
        <v>0.95694440679573589</v>
      </c>
      <c r="BV47" s="258">
        <f>'a6'!BE47</f>
        <v>8915.2988088826714</v>
      </c>
      <c r="BW47" s="258">
        <f>'a5'!Q47</f>
        <v>12302.320613361446</v>
      </c>
      <c r="BX47" s="258">
        <f>'a4'!X47</f>
        <v>2953.1727318115818</v>
      </c>
      <c r="BY47" s="259">
        <f>'a3'!I43/'a3'!B$15</f>
        <v>1.0561777794095972</v>
      </c>
      <c r="BZ47" s="258">
        <f t="shared" ref="BZ47" si="119">(BT47*BU47+BV47+BW47-BX47)*BY47</f>
        <v>42531.770244403524</v>
      </c>
      <c r="CA47" s="260">
        <f t="shared" ref="CA47" si="120">(BZ47-D$61)/D$62</f>
        <v>0.7565639608261242</v>
      </c>
      <c r="CB47" s="261">
        <f t="shared" ref="CB47" si="121">LN(BZ47)</f>
        <v>10.6580066108097</v>
      </c>
      <c r="CC47" s="260">
        <f>(CB47-$G$61)/$G$62</f>
        <v>0.80191462742732689</v>
      </c>
      <c r="CD47" s="258">
        <f>'a1'!BC47</f>
        <v>24324.571188700294</v>
      </c>
      <c r="CE47" s="259">
        <f>'a2'!AK47/'a2'!$E$19</f>
        <v>0.94389175971883965</v>
      </c>
      <c r="CF47" s="258">
        <f>'a6'!BL47</f>
        <v>8902.9063401931689</v>
      </c>
      <c r="CG47" s="258">
        <f>'a5'!S47</f>
        <v>9607.5610163966448</v>
      </c>
      <c r="CH47" s="258">
        <f>'a4'!Z47</f>
        <v>3123.9060776883684</v>
      </c>
      <c r="CI47" s="259">
        <f>'a3'!J43/'a3'!B$15</f>
        <v>1.0558666961306022</v>
      </c>
      <c r="CJ47" s="258">
        <f t="shared" ref="CJ47" si="122">(CD47*CE47+CF47+CG47-CH47)*CI47</f>
        <v>40488.605989925374</v>
      </c>
      <c r="CK47" s="260">
        <f t="shared" ref="CK47" si="123">(CJ47-D$61)/D$62</f>
        <v>0.69374528402758773</v>
      </c>
      <c r="CL47" s="261">
        <f t="shared" ref="CL47" si="124">LN(CJ47)</f>
        <v>10.608775879930825</v>
      </c>
      <c r="CM47" s="260">
        <f>(CL47-$G$61)/$G$62</f>
        <v>0.75300226565837691</v>
      </c>
      <c r="CN47" s="258">
        <f>'a1'!BI47</f>
        <v>26935.153710067338</v>
      </c>
      <c r="CO47" s="259">
        <f>'a2'!AO47/'a2'!$E$19</f>
        <v>0.9370905735913112</v>
      </c>
      <c r="CP47" s="258">
        <f>'a6'!BS47</f>
        <v>9342.3724833752294</v>
      </c>
      <c r="CQ47" s="258">
        <f>'a5'!U47</f>
        <v>12236.630975114529</v>
      </c>
      <c r="CR47" s="258">
        <f>'a4'!AB47</f>
        <v>3459.17260886545</v>
      </c>
      <c r="CS47" s="259">
        <f>'a3'!K43/'a3'!B$15</f>
        <v>1.071231006782293</v>
      </c>
      <c r="CT47" s="258">
        <f t="shared" ref="CT47" si="125">(CN47*CO47+CP47+CQ47-CR47)*CS47</f>
        <v>46449.122235096074</v>
      </c>
      <c r="CU47" s="260">
        <f t="shared" ref="CU47" si="126">(CT47-D$61)/D$62</f>
        <v>0.87700599972243976</v>
      </c>
      <c r="CV47" s="261">
        <f t="shared" ref="CV47" si="127">LN(CT47)</f>
        <v>10.746112847079496</v>
      </c>
      <c r="CW47" s="260">
        <f>(CV47-$G$61)/$G$62</f>
        <v>0.88945109145284962</v>
      </c>
      <c r="CX47" s="258">
        <f>'a1'!BO47</f>
        <v>25935.073309101736</v>
      </c>
      <c r="CY47" s="259">
        <f>'a2'!AS47/'a2'!$E$19</f>
        <v>0.91926312515794695</v>
      </c>
      <c r="CZ47" s="258">
        <f>'a6'!BZ47</f>
        <v>7687.5079591833373</v>
      </c>
      <c r="DA47" s="258">
        <f>'a5'!W47</f>
        <v>14082.599942599652</v>
      </c>
      <c r="DB47" s="258">
        <f>'a4'!AD47</f>
        <v>3330.7363368129027</v>
      </c>
      <c r="DC47" s="259">
        <f>'a3'!L43/'a3'!B$15</f>
        <v>1.0823275136602633</v>
      </c>
      <c r="DD47" s="258">
        <f t="shared" ref="DD47" si="128">(CX47*CY47+CZ47+DA47-DB47)*DC47</f>
        <v>45761.378861529585</v>
      </c>
      <c r="DE47" s="260">
        <f t="shared" ref="DE47" si="129">(DD47-D$61)/D$62</f>
        <v>0.85586079389294423</v>
      </c>
      <c r="DF47" s="261">
        <f t="shared" ref="DF47" si="130">LN(DD47)</f>
        <v>10.731195758063203</v>
      </c>
      <c r="DG47" s="263">
        <f>(DF47-$G$61)/$G$62</f>
        <v>0.87463046942512224</v>
      </c>
    </row>
    <row r="48" spans="1:111" s="257" customFormat="1">
      <c r="A48" s="257">
        <v>2010</v>
      </c>
      <c r="B48" s="258">
        <f>'a1'!G48</f>
        <v>24951.77076289618</v>
      </c>
      <c r="C48" s="259">
        <f>'a2'!E48/'a2'!E$19</f>
        <v>0.92953022771571014</v>
      </c>
      <c r="D48" s="258">
        <f>'a6'!H48</f>
        <v>8978.2285228480359</v>
      </c>
      <c r="E48" s="258">
        <f>'a5'!C48</f>
        <v>12773.786626708114</v>
      </c>
      <c r="F48" s="258">
        <f>'a4'!H48</f>
        <v>3234.7173666806088</v>
      </c>
      <c r="G48" s="259">
        <f>'a3'!B44/'a3'!B$15</f>
        <v>1.0816535991251803</v>
      </c>
      <c r="H48" s="258">
        <f t="shared" ref="H48" si="131">(B48*C48+D48+E48-F48)*G48</f>
        <v>45116.553592349832</v>
      </c>
      <c r="I48" s="260">
        <f>(H48-D$61)/D$62</f>
        <v>0.83603513861958567</v>
      </c>
      <c r="J48" s="261">
        <f t="shared" ref="J48" si="132">LN(H48)</f>
        <v>10.717004500106324</v>
      </c>
      <c r="K48" s="260">
        <f t="shared" ref="K48" si="133">(J48-$G$61)/$G$62</f>
        <v>0.86053098459620181</v>
      </c>
      <c r="L48" s="258">
        <f>'a1'!M48</f>
        <v>23023.966014894082</v>
      </c>
      <c r="M48" s="259">
        <f>'a2'!I48/'a2'!$E$19</f>
        <v>0.92573616645413381</v>
      </c>
      <c r="N48" s="258">
        <f>'a6'!O48</f>
        <v>11070.114500203861</v>
      </c>
      <c r="O48" s="258">
        <f>'a5'!E48</f>
        <v>12320.987812231391</v>
      </c>
      <c r="P48" s="258">
        <f>'a4'!L48</f>
        <v>2984.7990920543989</v>
      </c>
      <c r="Q48" s="259">
        <f>'a3'!C44/'a3'!B$15</f>
        <v>1.0440150634330654</v>
      </c>
      <c r="R48" s="258">
        <f t="shared" ref="R48" si="134">(L48*M48+N48+O48-P48)*Q48</f>
        <v>43556.748243597693</v>
      </c>
      <c r="S48" s="260">
        <f t="shared" ref="S48" si="135">(R48-D$61)/D$62</f>
        <v>0.78807770795431809</v>
      </c>
      <c r="T48" s="261">
        <f t="shared" ref="T48" si="136">LN(R48)</f>
        <v>10.681819924205293</v>
      </c>
      <c r="U48" s="260">
        <f>(T48-$G$61)/$G$62</f>
        <v>0.82557394304033982</v>
      </c>
      <c r="V48" s="258">
        <f>'a1'!S48</f>
        <v>22059.399207808256</v>
      </c>
      <c r="W48" s="259">
        <f>'a2'!M48/'a2'!$E$19</f>
        <v>0.93700295961989122</v>
      </c>
      <c r="X48" s="258">
        <f>'a6'!V48</f>
        <v>10666.447469132643</v>
      </c>
      <c r="Y48" s="258">
        <f>'a5'!G48</f>
        <v>10878.515346272676</v>
      </c>
      <c r="Z48" s="258">
        <f>'a4'!N48</f>
        <v>2859.7538184402374</v>
      </c>
      <c r="AA48" s="259">
        <f>'a3'!D44/'a3'!$B$15</f>
        <v>1.0741424852421859</v>
      </c>
      <c r="AB48" s="258">
        <f t="shared" ref="AB48" si="137">(V48*W48+X48+Y48-Z48)*AA48</f>
        <v>42272.803758358328</v>
      </c>
      <c r="AC48" s="260">
        <f t="shared" ref="AC48" si="138">(AB48-D$61)/D$62</f>
        <v>0.74860183445626904</v>
      </c>
      <c r="AD48" s="261">
        <f t="shared" ref="AD48" si="139">LN(AB48)</f>
        <v>10.651899221106994</v>
      </c>
      <c r="AE48" s="260">
        <f>(AD48-$G$61)/$G$62</f>
        <v>0.7958467334661814</v>
      </c>
      <c r="AF48" s="258">
        <f>'a1'!Y48</f>
        <v>23751.768987973406</v>
      </c>
      <c r="AG48" s="259">
        <f>'a2'!Q48/'a2'!$E$19</f>
        <v>0.90744912451193005</v>
      </c>
      <c r="AH48" s="258">
        <f>'a6'!AC48</f>
        <v>10773.072408661652</v>
      </c>
      <c r="AI48" s="258">
        <f>'a5'!I48</f>
        <v>14235.424861674122</v>
      </c>
      <c r="AJ48" s="258">
        <f>'a4'!P48</f>
        <v>3079.1505887442559</v>
      </c>
      <c r="AK48" s="259">
        <f>'a3'!E44/'a3'!B$15</f>
        <v>1.0604050449674669</v>
      </c>
      <c r="AL48" s="258">
        <f t="shared" ref="AL48" si="140">(AF48*AG48+AH48+AI48-AJ48)*AK48</f>
        <v>46109.453291777725</v>
      </c>
      <c r="AM48" s="260">
        <f t="shared" ref="AM48" si="141">(AL48-D$61)/D$62</f>
        <v>0.86656261342980634</v>
      </c>
      <c r="AN48" s="261">
        <f t="shared" ref="AN48" si="142">LN(AL48)</f>
        <v>10.738773268521866</v>
      </c>
      <c r="AO48" s="260">
        <f>(AN48-$G$61)/$G$62</f>
        <v>0.88215897705126389</v>
      </c>
      <c r="AP48" s="258">
        <f>'a1'!AE48</f>
        <v>22812.060017436044</v>
      </c>
      <c r="AQ48" s="259">
        <f>'a2'!U48/'a2'!$E$19</f>
        <v>0.91817850591611239</v>
      </c>
      <c r="AR48" s="262">
        <f>'a6'!AJ48</f>
        <v>9257.0935185327962</v>
      </c>
      <c r="AS48" s="258">
        <f>'a5'!K48</f>
        <v>11784.98537259896</v>
      </c>
      <c r="AT48" s="258">
        <f>'a4'!R48</f>
        <v>2957.3278549788893</v>
      </c>
      <c r="AU48" s="259">
        <f>'a3'!F44/'a3'!B$15</f>
        <v>1.0702668147436298</v>
      </c>
      <c r="AV48" s="258">
        <f t="shared" ref="AV48" si="143">(AP48*AQ48+AR48+AS48-AT48)*AU48</f>
        <v>41772.828673165212</v>
      </c>
      <c r="AW48" s="260">
        <f t="shared" ref="AW48" si="144">(AV48-D$61)/D$62</f>
        <v>0.73322971093990053</v>
      </c>
      <c r="AX48" s="261">
        <f t="shared" ref="AX48" si="145">LN(AV48)</f>
        <v>10.640001375408156</v>
      </c>
      <c r="AY48" s="260">
        <f>(AX48-$G$61)/$G$62</f>
        <v>0.78402582967898138</v>
      </c>
      <c r="AZ48" s="258">
        <f>'a1'!AK48</f>
        <v>22938.938928053129</v>
      </c>
      <c r="BA48" s="259">
        <f>'a2'!Y48/'a2'!$E$19</f>
        <v>0.89303254210604177</v>
      </c>
      <c r="BB48" s="258">
        <f>'a6'!AQ48</f>
        <v>8923.3891991240653</v>
      </c>
      <c r="BC48" s="258">
        <f>'a5'!M48</f>
        <v>13157.757440069321</v>
      </c>
      <c r="BD48" s="258">
        <f>'a4'!T48</f>
        <v>2973.7762834106261</v>
      </c>
      <c r="BE48" s="259">
        <f>'a3'!G44/'a3'!B$15</f>
        <v>1.0830572648700516</v>
      </c>
      <c r="BF48" s="258">
        <f t="shared" ref="BF48" si="146">(AZ48*BA48+BB48+BC48-BD48)*BE48</f>
        <v>42881.041476291684</v>
      </c>
      <c r="BG48" s="260">
        <f t="shared" ref="BG48" si="147">(BF48-D$61)/D$62</f>
        <v>0.76730257696181658</v>
      </c>
      <c r="BH48" s="261">
        <f t="shared" ref="BH48" si="148">LN(BF48)</f>
        <v>10.666185083609518</v>
      </c>
      <c r="BI48" s="260">
        <f>(BH48-$G$61)/$G$62</f>
        <v>0.8100402110447309</v>
      </c>
      <c r="BJ48" s="258">
        <f>'a1'!AQ48</f>
        <v>25232.354758062738</v>
      </c>
      <c r="BK48" s="259">
        <f>'a2'!AC48/'a2'!$E$19</f>
        <v>0.95154982592004811</v>
      </c>
      <c r="BL48" s="258">
        <f>'a6'!AX48</f>
        <v>8700.2693599738941</v>
      </c>
      <c r="BM48" s="258">
        <f>'a5'!O48</f>
        <v>13195.729618695748</v>
      </c>
      <c r="BN48" s="258">
        <f>'a4'!V48</f>
        <v>3271.0919362693744</v>
      </c>
      <c r="BO48" s="259">
        <f>'a3'!H44/'a3'!B$15</f>
        <v>1.0856858648998</v>
      </c>
      <c r="BP48" s="258">
        <f t="shared" ref="BP48" si="149">(BJ48*BK48+BL48+BM48-BN48)*BO48</f>
        <v>46287.945233100007</v>
      </c>
      <c r="BQ48" s="260">
        <f t="shared" ref="BQ48" si="150">(BP48-D$61)/D$62</f>
        <v>0.87205048722580303</v>
      </c>
      <c r="BR48" s="261">
        <f t="shared" ref="BR48" si="151">LN(BP48)</f>
        <v>10.742636844038151</v>
      </c>
      <c r="BS48" s="260">
        <f>(BR48-$G$61)/$G$62</f>
        <v>0.885997567297651</v>
      </c>
      <c r="BT48" s="258">
        <f>'a1'!AW48</f>
        <v>23500.85651944426</v>
      </c>
      <c r="BU48" s="259">
        <f>'a2'!AG48/'a2'!$E$19</f>
        <v>0.95831802722359105</v>
      </c>
      <c r="BV48" s="258">
        <f>'a6'!BE48</f>
        <v>9129.7606169584651</v>
      </c>
      <c r="BW48" s="258">
        <f>'a5'!Q48</f>
        <v>12375.990143732282</v>
      </c>
      <c r="BX48" s="258">
        <f>'a4'!X48</f>
        <v>3046.6225999621993</v>
      </c>
      <c r="BY48" s="259">
        <f>'a3'!I44/'a3'!B$15</f>
        <v>1.0586008484795355</v>
      </c>
      <c r="BZ48" s="258">
        <f t="shared" ref="BZ48" si="152">(BT48*BU48+BV48+BW48-BX48)*BY48</f>
        <v>43381.910155001504</v>
      </c>
      <c r="CA48" s="260">
        <f t="shared" ref="CA48" si="153">(BZ48-D$61)/D$62</f>
        <v>0.78270217470703973</v>
      </c>
      <c r="CB48" s="261">
        <f t="shared" ref="CB48" si="154">LN(BZ48)</f>
        <v>10.677797816491232</v>
      </c>
      <c r="CC48" s="260">
        <f>(CB48-$G$61)/$G$62</f>
        <v>0.82157784580449233</v>
      </c>
      <c r="CD48" s="258">
        <f>'a1'!BC48</f>
        <v>24978.630885724386</v>
      </c>
      <c r="CE48" s="259">
        <f>'a2'!AK48/'a2'!$E$19</f>
        <v>0.94591310386672944</v>
      </c>
      <c r="CF48" s="258">
        <f>'a6'!BL48</f>
        <v>9055.2104955707891</v>
      </c>
      <c r="CG48" s="258">
        <f>'a5'!S48</f>
        <v>9609.8747648575627</v>
      </c>
      <c r="CH48" s="258">
        <f>'a4'!Z48</f>
        <v>3238.1994804996716</v>
      </c>
      <c r="CI48" s="259">
        <f>'a3'!J44/'a3'!B$15</f>
        <v>1.0577407106836294</v>
      </c>
      <c r="CJ48" s="258">
        <f t="shared" ref="CJ48" si="155">(CD48*CE48+CF48+CG48-CH48)*CI48</f>
        <v>41309.534639746431</v>
      </c>
      <c r="CK48" s="260">
        <f t="shared" ref="CK48" si="156">(CJ48-D$61)/D$62</f>
        <v>0.71898537493791903</v>
      </c>
      <c r="CL48" s="261">
        <f t="shared" ref="CL48" si="157">LN(CJ48)</f>
        <v>10.628848615252229</v>
      </c>
      <c r="CM48" s="260">
        <f>(CL48-$G$61)/$G$62</f>
        <v>0.77294519305769782</v>
      </c>
      <c r="CN48" s="258">
        <f>'a1'!BI48</f>
        <v>27903.047734929944</v>
      </c>
      <c r="CO48" s="259">
        <f>'a2'!AO48/'a2'!$E$19</f>
        <v>0.92986703782765745</v>
      </c>
      <c r="CP48" s="258">
        <f>'a6'!BS48</f>
        <v>9932.3023928686453</v>
      </c>
      <c r="CQ48" s="258">
        <f>'a5'!U48</f>
        <v>12214.427620095506</v>
      </c>
      <c r="CR48" s="258">
        <f>'a4'!AB48</f>
        <v>3617.3173418903079</v>
      </c>
      <c r="CS48" s="259">
        <f>'a3'!K44/'a3'!B$15</f>
        <v>1.0733783174449476</v>
      </c>
      <c r="CT48" s="258">
        <f t="shared" ref="CT48" si="158">(CN48*CO48+CP48+CQ48-CR48)*CS48</f>
        <v>47739.077088317295</v>
      </c>
      <c r="CU48" s="260">
        <f t="shared" ref="CU48" si="159">(CT48-D$61)/D$62</f>
        <v>0.91666666666666674</v>
      </c>
      <c r="CV48" s="261">
        <f t="shared" ref="CV48" si="160">LN(CT48)</f>
        <v>10.773505567664005</v>
      </c>
      <c r="CW48" s="260">
        <f>(CV48-$G$61)/$G$62</f>
        <v>0.91666666666666707</v>
      </c>
      <c r="CX48" s="258">
        <f>'a1'!BO48</f>
        <v>26485.048630377936</v>
      </c>
      <c r="CY48" s="259">
        <f>'a2'!AS48/'a2'!$E$19</f>
        <v>0.91909877182172794</v>
      </c>
      <c r="CZ48" s="258">
        <f>'a6'!BZ48</f>
        <v>7812.521802188824</v>
      </c>
      <c r="DA48" s="258">
        <f>'a5'!W48</f>
        <v>14132.457871355578</v>
      </c>
      <c r="DB48" s="258">
        <f>'a4'!AD48</f>
        <v>3433.4896539471083</v>
      </c>
      <c r="DC48" s="259">
        <f>'a3'!L44/'a3'!B$15</f>
        <v>1.0842033091714485</v>
      </c>
      <c r="DD48" s="258">
        <f t="shared" ref="DD48" si="161">(CX48*CY48+CZ48+DA48-DB48)*DC48</f>
        <v>46462.302989085641</v>
      </c>
      <c r="DE48" s="260">
        <f t="shared" ref="DE48" si="162">(DD48-D$61)/D$62</f>
        <v>0.87741125227275085</v>
      </c>
      <c r="DF48" s="261">
        <f t="shared" ref="DF48" si="163">LN(DD48)</f>
        <v>10.746396574383134</v>
      </c>
      <c r="DG48" s="263">
        <f>(DF48-$G$61)/$G$62</f>
        <v>0.88973298392674738</v>
      </c>
    </row>
    <row r="49" spans="1:138" s="257" customFormat="1">
      <c r="B49" s="257" t="s">
        <v>967</v>
      </c>
      <c r="C49" s="259"/>
      <c r="D49" s="258"/>
      <c r="E49" s="258"/>
      <c r="F49" s="258"/>
      <c r="G49" s="259"/>
      <c r="H49" s="258"/>
      <c r="I49" s="260"/>
      <c r="J49" s="261"/>
      <c r="K49" s="260"/>
      <c r="L49" s="257" t="s">
        <v>967</v>
      </c>
      <c r="M49" s="259"/>
      <c r="N49" s="258"/>
      <c r="O49" s="258"/>
      <c r="P49" s="258"/>
      <c r="Q49" s="259"/>
      <c r="R49" s="258"/>
      <c r="S49" s="260"/>
      <c r="T49" s="261"/>
      <c r="U49" s="260"/>
      <c r="V49" s="257" t="s">
        <v>967</v>
      </c>
      <c r="W49" s="259"/>
      <c r="X49" s="258"/>
      <c r="Y49" s="258"/>
      <c r="Z49" s="258"/>
      <c r="AA49" s="259"/>
      <c r="AB49" s="258"/>
      <c r="AC49" s="260"/>
      <c r="AD49" s="261"/>
      <c r="AE49" s="260"/>
      <c r="AF49" s="257" t="s">
        <v>967</v>
      </c>
      <c r="AG49" s="259"/>
      <c r="AH49" s="258"/>
      <c r="AI49" s="258"/>
      <c r="AJ49" s="258"/>
      <c r="AK49" s="259"/>
      <c r="AL49" s="258"/>
      <c r="AM49" s="260"/>
      <c r="AN49" s="261"/>
      <c r="AO49" s="260"/>
      <c r="AP49" s="257" t="s">
        <v>967</v>
      </c>
      <c r="AQ49" s="259"/>
      <c r="AR49" s="262"/>
      <c r="AS49" s="258"/>
      <c r="AT49" s="258"/>
      <c r="AU49" s="259"/>
      <c r="AV49" s="258"/>
      <c r="AW49" s="260"/>
      <c r="AX49" s="261"/>
      <c r="AY49" s="260"/>
      <c r="AZ49" s="257" t="s">
        <v>967</v>
      </c>
      <c r="BA49" s="259"/>
      <c r="BB49" s="258"/>
      <c r="BC49" s="258"/>
      <c r="BD49" s="258"/>
      <c r="BE49" s="259"/>
      <c r="BF49" s="258"/>
      <c r="BG49" s="260"/>
      <c r="BH49" s="261"/>
      <c r="BI49" s="260"/>
      <c r="BJ49" s="257" t="s">
        <v>967</v>
      </c>
      <c r="BK49" s="259"/>
      <c r="BL49" s="258"/>
      <c r="BM49" s="258"/>
      <c r="BN49" s="258"/>
      <c r="BO49" s="259"/>
      <c r="BP49" s="258"/>
      <c r="BQ49" s="260"/>
      <c r="BR49" s="261"/>
      <c r="BS49" s="260"/>
      <c r="BT49" s="257" t="s">
        <v>967</v>
      </c>
      <c r="BU49" s="259"/>
      <c r="BV49" s="258"/>
      <c r="BW49" s="258"/>
      <c r="BX49" s="258"/>
      <c r="BY49" s="259"/>
      <c r="BZ49" s="258"/>
      <c r="CA49" s="260"/>
      <c r="CB49" s="261"/>
      <c r="CC49" s="260"/>
      <c r="CD49" s="257" t="s">
        <v>967</v>
      </c>
      <c r="CE49" s="259"/>
      <c r="CF49" s="258"/>
      <c r="CG49" s="258"/>
      <c r="CH49" s="258"/>
      <c r="CI49" s="259"/>
      <c r="CJ49" s="258"/>
      <c r="CK49" s="260"/>
      <c r="CL49" s="261"/>
      <c r="CM49" s="260"/>
      <c r="CN49" s="257" t="s">
        <v>967</v>
      </c>
      <c r="CO49" s="259"/>
      <c r="CP49" s="258"/>
      <c r="CQ49" s="258"/>
      <c r="CR49" s="258"/>
      <c r="CS49" s="259"/>
      <c r="CT49" s="258"/>
      <c r="CU49" s="260"/>
      <c r="CV49" s="261"/>
      <c r="CW49" s="260"/>
      <c r="CX49" s="257" t="s">
        <v>967</v>
      </c>
      <c r="CY49" s="259"/>
      <c r="CZ49" s="258"/>
      <c r="DA49" s="258"/>
      <c r="DB49" s="258"/>
      <c r="DC49" s="259"/>
      <c r="DD49" s="258"/>
      <c r="DE49" s="260"/>
      <c r="DF49" s="261"/>
      <c r="DG49" s="263"/>
    </row>
    <row r="50" spans="1:138" s="257" customFormat="1">
      <c r="A50" s="257" t="s">
        <v>988</v>
      </c>
      <c r="B50" s="264">
        <f>(POWER(B48/B19, 1/29)-1)*100</f>
        <v>1.8057887018580132</v>
      </c>
      <c r="D50" s="264">
        <f>(POWER(D48/D19, 1/29)-1)*100</f>
        <v>1.3726803050924108</v>
      </c>
      <c r="E50" s="264">
        <f>(POWER(E48/E19, 1/29)-1)*100</f>
        <v>1.8976052349159556</v>
      </c>
      <c r="F50" s="264">
        <f>(POWER(F48/F19, 1/29)-1)*100</f>
        <v>2.1277928240907018</v>
      </c>
      <c r="H50" s="264">
        <f>(POWER(H48/H19, 1/29)-1)*100</f>
        <v>1.8458984881885909</v>
      </c>
      <c r="I50" s="264"/>
      <c r="J50" s="264">
        <f>(POWER(J48/J19, 1/29)-1)*100</f>
        <v>0.17519137315906708</v>
      </c>
      <c r="L50" s="264">
        <f>(POWER(L48/L19, 1/29)-1)*100</f>
        <v>2.8575241264321427</v>
      </c>
      <c r="N50" s="264">
        <f>(POWER(N48/N19, 1/29)-1)*100</f>
        <v>3.0704660433843234</v>
      </c>
      <c r="O50" s="264">
        <f>(POWER(O48/O19, 1/29)-1)*100</f>
        <v>2.7516764133796778</v>
      </c>
      <c r="P50" s="264">
        <f>(POWER(P48/P19, 1/29)-1)*100</f>
        <v>3.1828548094285036</v>
      </c>
      <c r="R50" s="264">
        <f>(POWER(R48/R19, 1/29)-1)*100</f>
        <v>2.6095782493324116</v>
      </c>
      <c r="T50" s="264">
        <f>(POWER(T48/T19, 1/29)-1)*100</f>
        <v>0.25032902114758837</v>
      </c>
      <c r="V50" s="264">
        <f>(POWER(V48/V19, 1/29)-1)*100</f>
        <v>2.1588983716563703</v>
      </c>
      <c r="X50" s="264">
        <f>(POWER(X48/X19, 1/29)-1)*100</f>
        <v>1.9019372526469791</v>
      </c>
      <c r="Y50" s="264">
        <f>(POWER(Y48/Y19, 1/29)-1)*100</f>
        <v>1.7115556978681834</v>
      </c>
      <c r="Z50" s="264">
        <f>(POWER(Z48/Z19, 1/29)-1)*100</f>
        <v>2.4820193534578872</v>
      </c>
      <c r="AB50" s="264">
        <f>(POWER(AB48/AB19, 1/29)-1)*100</f>
        <v>1.9315189505360708</v>
      </c>
      <c r="AD50" s="264">
        <f>(POWER(AD48/AD19, 1/29)-1)*100</f>
        <v>0.18461843653374554</v>
      </c>
      <c r="AF50" s="264">
        <f>(POWER(AF48/AF19, 1/29)-1)*100</f>
        <v>2.1087162811165072</v>
      </c>
      <c r="AH50" s="264">
        <f>(POWER(AH48/AH19, 1/29)-1)*100</f>
        <v>1.1999355272630963</v>
      </c>
      <c r="AI50" s="264">
        <f>(POWER(AI48/AI19, 1/29)-1)*100</f>
        <v>2.8820203911758657</v>
      </c>
      <c r="AJ50" s="264">
        <f>(POWER(AJ48/AJ19, 1/29)-1)*100</f>
        <v>2.4316785407056507</v>
      </c>
      <c r="AL50" s="264">
        <f>(POWER(AL48/AL19, 1/29)-1)*100</f>
        <v>2.0765095509714504</v>
      </c>
      <c r="AN50" s="264">
        <f>(POWER(AN48/AN19, 1/29)-1)*100</f>
        <v>0.19709552726574486</v>
      </c>
      <c r="AP50" s="264">
        <f>(POWER(AP48/AP19, 1/29)-1)*100</f>
        <v>2.4429950031342074</v>
      </c>
      <c r="AR50" s="264">
        <f>(POWER(AR48/AR19, 1/29)-1)*100</f>
        <v>1.8509220990523545</v>
      </c>
      <c r="AS50" s="264">
        <f>(POWER(AS48/AS19, 1/29)-1)*100</f>
        <v>2.8781767601843367</v>
      </c>
      <c r="AT50" s="264">
        <f>(POWER(AT48/AT19, 1/29)-1)*100</f>
        <v>2.7670145614078212</v>
      </c>
      <c r="AV50" s="264">
        <f>(POWER(AV48/AV19, 1/29)-1)*100</f>
        <v>2.3874872030866578</v>
      </c>
      <c r="AX50" s="264">
        <f>(POWER(AX48/AX19, 1/29)-1)*100</f>
        <v>0.22946540101302926</v>
      </c>
      <c r="AZ50" s="264">
        <f>(POWER(AZ48/AZ19, 1/29)-1)*100</f>
        <v>1.994538542687474</v>
      </c>
      <c r="BB50" s="264">
        <f>(POWER(BB48/BB19, 1/29)-1)*100</f>
        <v>1.4603944383922318</v>
      </c>
      <c r="BC50" s="264">
        <f>(POWER(BC48/BC19, 1/29)-1)*100</f>
        <v>2.2642150456483767</v>
      </c>
      <c r="BD50" s="264">
        <f>(POWER(BD48/BD19, 1/29)-1)*100</f>
        <v>2.3171396665994548</v>
      </c>
      <c r="BF50" s="264">
        <f>(POWER(BF48/BF19, 1/29)-1)*100</f>
        <v>2.0151618717444642</v>
      </c>
      <c r="BH50" s="264">
        <f>(POWER(BH48/BH19, 1/29)-1)*100</f>
        <v>0.19250114313280609</v>
      </c>
      <c r="BJ50" s="264">
        <f>(POWER(BJ48/BJ19, 1/29)-1)*100</f>
        <v>1.6494947650692149</v>
      </c>
      <c r="BL50" s="264">
        <f>(POWER(BL48/BL19, 1/29)-1)*100</f>
        <v>1.5479933807041935</v>
      </c>
      <c r="BM50" s="264">
        <f>(POWER(BM48/BM19, 1/29)-1)*100</f>
        <v>1.9782240200739265</v>
      </c>
      <c r="BN50" s="264">
        <f>(POWER(BN48/BN19, 1/29)-1)*100</f>
        <v>1.9710045412281829</v>
      </c>
      <c r="BP50" s="264">
        <f>(POWER(BP48/BP19, 1/29)-1)*100</f>
        <v>1.8824650069688476</v>
      </c>
      <c r="BR50" s="264">
        <f>(POWER(BR48/BR19, 1/29)-1)*100</f>
        <v>0.17828536095345626</v>
      </c>
      <c r="BT50" s="264">
        <f>(POWER(BT48/BT19, 1/29)-1)*100</f>
        <v>1.700482816681137</v>
      </c>
      <c r="BV50" s="264">
        <f>(POWER(BV48/BV19, 1/29)-1)*100</f>
        <v>1.5686403817269046</v>
      </c>
      <c r="BW50" s="264">
        <f>(POWER(BW48/BW19, 1/29)-1)*100</f>
        <v>2.2434638233165272</v>
      </c>
      <c r="BX50" s="264">
        <f>(POWER(BX48/BX19, 1/29)-1)*100</f>
        <v>2.0221538642472892</v>
      </c>
      <c r="BZ50" s="264">
        <f>(POWER(BZ48/BZ19, 1/29)-1)*100</f>
        <v>1.9366769665538852</v>
      </c>
      <c r="CB50" s="264">
        <f>(POWER(CB48/CB19, 1/29)-1)*100</f>
        <v>0.18465889106091815</v>
      </c>
      <c r="CD50" s="264">
        <f>(POWER(CD48/CD19, 1/29)-1)*100</f>
        <v>2.1077340092541696</v>
      </c>
      <c r="CF50" s="264">
        <f>(POWER(CF48/CF19, 1/29)-1)*100</f>
        <v>1.3544159680457302</v>
      </c>
      <c r="CG50" s="264">
        <f>(POWER(CG48/CG19, 1/29)-1)*100</f>
        <v>0.93566122828838694</v>
      </c>
      <c r="CH50" s="264">
        <f>(POWER(CH48/CH19, 1/29)-1)*100</f>
        <v>2.4306931619906269</v>
      </c>
      <c r="CJ50" s="264">
        <f>(POWER(CJ48/CJ19, 1/29)-1)*100</f>
        <v>1.6485942013702237</v>
      </c>
      <c r="CL50" s="264">
        <f>(POWER(CL48/CL19, 1/29)-1)*100</f>
        <v>0.15750220996486597</v>
      </c>
      <c r="CN50" s="264">
        <f>(POWER(CN48/CN19, 1/29)-1)*100</f>
        <v>1.6580691077046295</v>
      </c>
      <c r="CP50" s="264">
        <f>(POWER(CP48/CP19, 1/29)-1)*100</f>
        <v>1.1216476284658494</v>
      </c>
      <c r="CQ50" s="264">
        <f>(POWER(CQ48/CQ19, 1/29)-1)*100</f>
        <v>1.0524496218141444</v>
      </c>
      <c r="CR50" s="264">
        <f>(POWER(CR48/CR19, 1/29)-1)*100</f>
        <v>1.9796060038703267</v>
      </c>
      <c r="CT50" s="264">
        <f>(POWER(CT48/CT19, 1/29)-1)*100</f>
        <v>1.502373901474674</v>
      </c>
      <c r="CV50" s="264">
        <f>(POWER(CV48/CV19, 1/29)-1)*100</f>
        <v>0.14136807192537404</v>
      </c>
      <c r="CX50" s="264">
        <f>(POWER(CX48/CX19, 1/29)-1)*100</f>
        <v>1.4649742809594635</v>
      </c>
      <c r="CZ50" s="264">
        <f>(POWER(CZ48/CZ19, 1/29)-1)*100</f>
        <v>0.67228154836778131</v>
      </c>
      <c r="DA50" s="264">
        <f>(POWER(DA48/DA19, 1/29)-1)*100</f>
        <v>1.7501229415313402</v>
      </c>
      <c r="DB50" s="264">
        <f>(POWER(DB48/DB19, 1/29)-1)*100</f>
        <v>1.785900432579246</v>
      </c>
      <c r="DD50" s="264">
        <f>(POWER(DD48/DD19, 1/29)-1)*100</f>
        <v>1.5336152745411669</v>
      </c>
      <c r="DF50" s="264">
        <f>(POWER(DF48/DF19, 1/29)-1)*100</f>
        <v>0.14472168644699135</v>
      </c>
      <c r="DH50" s="266"/>
      <c r="DI50" s="266"/>
      <c r="DJ50" s="266"/>
      <c r="DK50" s="266"/>
      <c r="DL50" s="266"/>
      <c r="DM50" s="266"/>
      <c r="DN50" s="266"/>
      <c r="DO50" s="266"/>
      <c r="DP50" s="266"/>
      <c r="DQ50" s="266"/>
      <c r="DR50" s="266"/>
      <c r="DS50" s="266"/>
      <c r="DT50" s="266"/>
      <c r="DU50" s="266"/>
      <c r="DV50" s="266"/>
      <c r="DW50" s="266"/>
      <c r="DX50" s="266"/>
      <c r="DY50" s="266"/>
      <c r="DZ50" s="266"/>
      <c r="EA50" s="266"/>
      <c r="EB50" s="266"/>
      <c r="EC50" s="266"/>
      <c r="ED50" s="266"/>
      <c r="EE50" s="266"/>
      <c r="EF50" s="266"/>
      <c r="EG50" s="266"/>
      <c r="EH50" s="266"/>
    </row>
    <row r="51" spans="1:138" s="257" customFormat="1">
      <c r="B51" s="267" t="s">
        <v>966</v>
      </c>
      <c r="C51" s="264"/>
      <c r="D51" s="264"/>
      <c r="E51" s="264"/>
      <c r="F51" s="264"/>
      <c r="G51" s="264"/>
      <c r="H51" s="264"/>
      <c r="I51" s="265"/>
      <c r="J51" s="264"/>
      <c r="K51" s="265"/>
      <c r="L51" s="267" t="s">
        <v>966</v>
      </c>
      <c r="M51" s="264"/>
      <c r="N51" s="264"/>
      <c r="O51" s="264"/>
      <c r="P51" s="264"/>
      <c r="Q51" s="264"/>
      <c r="R51" s="264"/>
      <c r="S51" s="265"/>
      <c r="T51" s="264"/>
      <c r="U51" s="265"/>
      <c r="V51" s="267" t="s">
        <v>966</v>
      </c>
      <c r="W51" s="264"/>
      <c r="X51" s="264"/>
      <c r="Y51" s="264"/>
      <c r="Z51" s="264"/>
      <c r="AA51" s="264"/>
      <c r="AB51" s="264"/>
      <c r="AC51" s="265"/>
      <c r="AD51" s="264"/>
      <c r="AE51" s="265"/>
      <c r="AF51" s="267" t="s">
        <v>966</v>
      </c>
      <c r="AG51" s="264"/>
      <c r="AH51" s="264"/>
      <c r="AI51" s="264"/>
      <c r="AJ51" s="264"/>
      <c r="AK51" s="264"/>
      <c r="AL51" s="264"/>
      <c r="AM51" s="265"/>
      <c r="AN51" s="264"/>
      <c r="AO51" s="265"/>
      <c r="AP51" s="267" t="s">
        <v>966</v>
      </c>
      <c r="AQ51" s="264"/>
      <c r="AR51" s="264"/>
      <c r="AS51" s="264"/>
      <c r="AT51" s="264"/>
      <c r="AU51" s="264"/>
      <c r="AV51" s="264"/>
      <c r="AW51" s="265"/>
      <c r="AX51" s="264"/>
      <c r="AY51" s="265"/>
      <c r="AZ51" s="267" t="s">
        <v>966</v>
      </c>
      <c r="BA51" s="264"/>
      <c r="BB51" s="264"/>
      <c r="BC51" s="264"/>
      <c r="BD51" s="264"/>
      <c r="BE51" s="264"/>
      <c r="BF51" s="264"/>
      <c r="BG51" s="265"/>
      <c r="BH51" s="264"/>
      <c r="BI51" s="265"/>
      <c r="BJ51" s="267" t="s">
        <v>966</v>
      </c>
      <c r="BK51" s="264"/>
      <c r="BL51" s="264"/>
      <c r="BM51" s="264"/>
      <c r="BN51" s="264"/>
      <c r="BO51" s="264"/>
      <c r="BP51" s="264"/>
      <c r="BQ51" s="265"/>
      <c r="BR51" s="264"/>
      <c r="BS51" s="265"/>
      <c r="BT51" s="267" t="s">
        <v>966</v>
      </c>
      <c r="BU51" s="264"/>
      <c r="BV51" s="264"/>
      <c r="BW51" s="264"/>
      <c r="BX51" s="264"/>
      <c r="BY51" s="264"/>
      <c r="BZ51" s="264"/>
      <c r="CA51" s="265"/>
      <c r="CB51" s="264"/>
      <c r="CC51" s="265"/>
      <c r="CD51" s="267" t="s">
        <v>966</v>
      </c>
      <c r="CE51" s="264"/>
      <c r="CF51" s="264"/>
      <c r="CG51" s="264"/>
      <c r="CH51" s="264"/>
      <c r="CI51" s="264"/>
      <c r="CJ51" s="264"/>
      <c r="CK51" s="265"/>
      <c r="CL51" s="264"/>
      <c r="CM51" s="265"/>
      <c r="CN51" s="267" t="s">
        <v>966</v>
      </c>
      <c r="CO51" s="264"/>
      <c r="CP51" s="264"/>
      <c r="CQ51" s="264"/>
      <c r="CR51" s="264"/>
      <c r="CS51" s="264"/>
      <c r="CT51" s="264"/>
      <c r="CU51" s="265"/>
      <c r="CV51" s="264"/>
      <c r="CW51" s="265"/>
      <c r="CX51" s="267" t="s">
        <v>966</v>
      </c>
      <c r="CY51" s="264"/>
      <c r="CZ51" s="264"/>
      <c r="DA51" s="264"/>
      <c r="DB51" s="264"/>
      <c r="DC51" s="264"/>
      <c r="DD51" s="264"/>
      <c r="DE51" s="265"/>
      <c r="DF51" s="264"/>
      <c r="DG51" s="265"/>
      <c r="DH51" s="266"/>
      <c r="DI51" s="266"/>
      <c r="DJ51" s="266"/>
      <c r="DK51" s="266"/>
      <c r="DL51" s="266"/>
      <c r="DM51" s="266"/>
      <c r="DN51" s="266"/>
      <c r="DO51" s="266"/>
      <c r="DP51" s="266"/>
      <c r="DQ51" s="266"/>
      <c r="DR51" s="266"/>
      <c r="DS51" s="266"/>
      <c r="DT51" s="266"/>
      <c r="DU51" s="266"/>
      <c r="DV51" s="266"/>
      <c r="DW51" s="266"/>
      <c r="DX51" s="266"/>
      <c r="DY51" s="266"/>
      <c r="DZ51" s="266"/>
      <c r="EA51" s="266"/>
      <c r="EB51" s="266"/>
      <c r="EC51" s="266"/>
      <c r="ED51" s="266"/>
      <c r="EE51" s="266"/>
      <c r="EF51" s="266"/>
      <c r="EG51" s="266"/>
      <c r="EH51" s="266"/>
    </row>
    <row r="52" spans="1:138" s="252" customFormat="1">
      <c r="A52" s="257" t="s">
        <v>988</v>
      </c>
      <c r="B52" s="268"/>
      <c r="C52" s="255">
        <f>C48-C19</f>
        <v>-7.0469772284289856E-2</v>
      </c>
      <c r="D52" s="254"/>
      <c r="E52" s="254"/>
      <c r="F52" s="254"/>
      <c r="G52" s="255">
        <f>G48-G19</f>
        <v>8.1653599125180332E-2</v>
      </c>
      <c r="H52" s="254"/>
      <c r="I52" s="255">
        <f>I48-I19</f>
        <v>0.57101489756468671</v>
      </c>
      <c r="J52" s="254"/>
      <c r="K52" s="255">
        <f>K48-K19</f>
        <v>0.52699966169184953</v>
      </c>
      <c r="L52" s="268"/>
      <c r="M52" s="255">
        <f>M48-M19</f>
        <v>-0.2173349240740815</v>
      </c>
      <c r="N52" s="254"/>
      <c r="O52" s="254"/>
      <c r="P52" s="254"/>
      <c r="Q52" s="255">
        <f>Q48-Q19</f>
        <v>4.4015063433065382E-2</v>
      </c>
      <c r="R52" s="254"/>
      <c r="S52" s="255">
        <f>S48-S19</f>
        <v>0.70474437462098471</v>
      </c>
      <c r="T52" s="254"/>
      <c r="U52" s="255">
        <f>U48-U19</f>
        <v>0.74224060970700689</v>
      </c>
      <c r="V52" s="268"/>
      <c r="W52" s="255">
        <f>W48-W19</f>
        <v>-0.1159622218457097</v>
      </c>
      <c r="X52" s="254"/>
      <c r="Y52" s="254"/>
      <c r="Z52" s="254"/>
      <c r="AA52" s="255">
        <f>AA48-AA19</f>
        <v>5.9592220691921272E-2</v>
      </c>
      <c r="AB52" s="254"/>
      <c r="AC52" s="255">
        <f>AC48-AC19</f>
        <v>0.55343308707350136</v>
      </c>
      <c r="AD52" s="254"/>
      <c r="AE52" s="255">
        <f>AE48-AE19</f>
        <v>0.55121172964171672</v>
      </c>
      <c r="AF52" s="268"/>
      <c r="AG52" s="255">
        <f>AG48-AG19</f>
        <v>-0.12688161936090814</v>
      </c>
      <c r="AH52" s="254"/>
      <c r="AI52" s="254"/>
      <c r="AJ52" s="254"/>
      <c r="AK52" s="255">
        <f>AK48-AK19</f>
        <v>7.3632558194980158E-2</v>
      </c>
      <c r="AL52" s="254"/>
      <c r="AM52" s="255">
        <f>AM48-AM19</f>
        <v>0.63653452906181052</v>
      </c>
      <c r="AN52" s="254"/>
      <c r="AO52" s="255">
        <f>AO48-AO19</f>
        <v>0.59216635960636865</v>
      </c>
      <c r="AP52" s="268"/>
      <c r="AQ52" s="255">
        <f>AQ48-AQ19</f>
        <v>-0.13575182682085896</v>
      </c>
      <c r="AR52" s="254"/>
      <c r="AS52" s="254"/>
      <c r="AT52" s="254"/>
      <c r="AU52" s="255">
        <f>AU48-AU19</f>
        <v>7.6880571357386462E-2</v>
      </c>
      <c r="AV52" s="254"/>
      <c r="AW52" s="255">
        <f>AW48-AW19</f>
        <v>0.63642062963325829</v>
      </c>
      <c r="AX52" s="254"/>
      <c r="AY52" s="255">
        <f>AY48-AY19</f>
        <v>0.67981052566734734</v>
      </c>
      <c r="AZ52" s="268"/>
      <c r="BA52" s="255">
        <f>BA48-BA19</f>
        <v>-0.1117581951421579</v>
      </c>
      <c r="BB52" s="254"/>
      <c r="BC52" s="254"/>
      <c r="BD52" s="254"/>
      <c r="BE52" s="255">
        <f>BE48-BE19</f>
        <v>8.9671021483808233E-2</v>
      </c>
      <c r="BF52" s="254"/>
      <c r="BG52" s="255">
        <f>BG48-BG19</f>
        <v>0.57919077072023861</v>
      </c>
      <c r="BH52" s="254"/>
      <c r="BI52" s="255">
        <f>BI48-BI19</f>
        <v>0.57484495076610687</v>
      </c>
      <c r="BJ52" s="268"/>
      <c r="BK52" s="255">
        <f>BK48-BK19</f>
        <v>-4.5427129464880256E-2</v>
      </c>
      <c r="BL52" s="254"/>
      <c r="BM52" s="254"/>
      <c r="BN52" s="254"/>
      <c r="BO52" s="255">
        <f>BO48-BO19</f>
        <v>8.1717610931545837E-2</v>
      </c>
      <c r="BP52" s="254"/>
      <c r="BQ52" s="255">
        <f>BQ48-BQ19</f>
        <v>0.59451200281631178</v>
      </c>
      <c r="BR52" s="254"/>
      <c r="BS52" s="255">
        <f>BS48-BS19</f>
        <v>0.53734256508584677</v>
      </c>
      <c r="BT52" s="268"/>
      <c r="BU52" s="255">
        <f>BU48-BU19</f>
        <v>-4.038326787764035E-2</v>
      </c>
      <c r="BV52" s="254"/>
      <c r="BW52" s="254"/>
      <c r="BX52" s="254"/>
      <c r="BY52" s="255">
        <f>BY48-BY19</f>
        <v>6.389185377054063E-2</v>
      </c>
      <c r="BZ52" s="254"/>
      <c r="CA52" s="255">
        <f>CA48-CA19</f>
        <v>0.56907647094817926</v>
      </c>
      <c r="CB52" s="254"/>
      <c r="CC52" s="255">
        <f>CC48-CC19</f>
        <v>0.55266968273139438</v>
      </c>
      <c r="CD52" s="268"/>
      <c r="CE52" s="255">
        <f>CE48-CE19</f>
        <v>-5.2712826930334855E-2</v>
      </c>
      <c r="CF52" s="254"/>
      <c r="CG52" s="254"/>
      <c r="CH52" s="254"/>
      <c r="CI52" s="255">
        <f>CI48-CI19</f>
        <v>4.8481451424370103E-2</v>
      </c>
      <c r="CJ52" s="254"/>
      <c r="CK52" s="255">
        <f>CK48-CK19</f>
        <v>0.47960473711327534</v>
      </c>
      <c r="CL52" s="254"/>
      <c r="CM52" s="255">
        <f>CM48-CM19</f>
        <v>0.47112764582949834</v>
      </c>
      <c r="CN52" s="268"/>
      <c r="CO52" s="255">
        <f>CO48-CO19</f>
        <v>-4.3898336872450039E-2</v>
      </c>
      <c r="CP52" s="254"/>
      <c r="CQ52" s="254"/>
      <c r="CR52" s="254"/>
      <c r="CS52" s="255">
        <f>CS48-CS19</f>
        <v>7.4701068767698886E-2</v>
      </c>
      <c r="CT52" s="254"/>
      <c r="CU52" s="255">
        <f>CU48-CU19</f>
        <v>0.51530856045630746</v>
      </c>
      <c r="CV52" s="254"/>
      <c r="CW52" s="255">
        <f>CW48-CW19</f>
        <v>0.42965142359708519</v>
      </c>
      <c r="CX52" s="268"/>
      <c r="CY52" s="255">
        <f>CY48-CY19</f>
        <v>-4.3655221687383783E-2</v>
      </c>
      <c r="CZ52" s="254"/>
      <c r="DA52" s="254"/>
      <c r="DB52" s="254"/>
      <c r="DC52" s="255">
        <f>DC48-DC19</f>
        <v>7.626680123494034E-2</v>
      </c>
      <c r="DD52" s="254"/>
      <c r="DE52" s="255">
        <f>DE48-DE19</f>
        <v>0.50976287916817531</v>
      </c>
      <c r="DF52" s="254"/>
      <c r="DG52" s="255">
        <f>DG48-DG19</f>
        <v>0.43851823425233838</v>
      </c>
      <c r="DH52" s="269"/>
      <c r="DI52" s="269"/>
      <c r="DJ52" s="269"/>
      <c r="DK52" s="269"/>
      <c r="DL52" s="269"/>
      <c r="DM52" s="269"/>
      <c r="DN52" s="269"/>
      <c r="DO52" s="269"/>
      <c r="DP52" s="269"/>
      <c r="DQ52" s="269"/>
      <c r="DR52" s="269"/>
      <c r="DS52" s="269"/>
      <c r="DT52" s="269"/>
      <c r="DU52" s="269"/>
      <c r="DV52" s="269"/>
      <c r="DW52" s="269"/>
      <c r="DX52" s="269"/>
      <c r="DY52" s="269"/>
      <c r="DZ52" s="269"/>
      <c r="EA52" s="269"/>
      <c r="EB52" s="269"/>
      <c r="EC52" s="269"/>
      <c r="ED52" s="269"/>
      <c r="EE52" s="269"/>
      <c r="EF52" s="269"/>
      <c r="EG52" s="269"/>
      <c r="EH52" s="269"/>
    </row>
    <row r="53" spans="1:138" s="257" customFormat="1">
      <c r="B53" s="257" t="s">
        <v>467</v>
      </c>
      <c r="H53" s="257">
        <f>(H48-H19)/H19</f>
        <v>0.69966281426025134</v>
      </c>
      <c r="I53" s="257">
        <f>(I48-I19)/I19</f>
        <v>2.1546086264648783</v>
      </c>
      <c r="L53" s="257" t="s">
        <v>380</v>
      </c>
      <c r="R53" s="257">
        <f>(R48-R19)/R19</f>
        <v>1.1108101513675084</v>
      </c>
      <c r="V53" s="257" t="s">
        <v>380</v>
      </c>
      <c r="AF53" s="257" t="s">
        <v>380</v>
      </c>
      <c r="AP53" s="257" t="s">
        <v>380</v>
      </c>
      <c r="AV53" s="257">
        <f>(AV48-AV19)/AV19</f>
        <v>0.98225560782557753</v>
      </c>
      <c r="AZ53" s="257" t="s">
        <v>380</v>
      </c>
      <c r="BJ53" s="257" t="s">
        <v>380</v>
      </c>
      <c r="BT53" s="257" t="s">
        <v>380</v>
      </c>
      <c r="CD53" s="257" t="s">
        <v>380</v>
      </c>
      <c r="CN53" s="257" t="s">
        <v>380</v>
      </c>
      <c r="CU53" s="257">
        <f>(CU48-CU19)/CU19</f>
        <v>1.283912178383223</v>
      </c>
      <c r="CX53" s="257" t="s">
        <v>380</v>
      </c>
      <c r="DE53" s="257">
        <f>(DE48-DE19)/DE19</f>
        <v>1.3865500746366042</v>
      </c>
    </row>
    <row r="54" spans="1:138">
      <c r="B54" s="1" t="s">
        <v>462</v>
      </c>
    </row>
    <row r="55" spans="1:138">
      <c r="B55" s="1" t="s">
        <v>1052</v>
      </c>
    </row>
    <row r="56" spans="1:138">
      <c r="C56" s="1" t="s">
        <v>572</v>
      </c>
      <c r="D56" s="136">
        <f>MAX(H19:H48,R19:R48,AB19:AB48,AL19:AL48,AV19:AV48,BF19:BF48,BP19:BP48,BZ19:BZ48,CJ19:CJ48,CT19:CT48,DD19:DD48)</f>
        <v>47739.077088317295</v>
      </c>
      <c r="F56" s="1" t="s">
        <v>572</v>
      </c>
      <c r="G56" s="134">
        <f>MAX(J19:J48,T19:T48,AD19:AD48,AN19:AN48,AX19:AX48,BH19:BH48,BR19:BR48,CB19:CB48,CL19:CL48,CV19:CV48,DF19:DF48)</f>
        <v>10.773505567664005</v>
      </c>
      <c r="J56" s="136"/>
      <c r="L56" s="1">
        <f>100*(L48-L19)/L19</f>
        <v>126.38410009059298</v>
      </c>
      <c r="N56" s="1">
        <f>100*(N48-N19)/N19</f>
        <v>140.37702337071772</v>
      </c>
      <c r="X56" s="1">
        <f>100*(X48-X19)/X19</f>
        <v>72.699377695115189</v>
      </c>
      <c r="AH56" s="1">
        <f>100*(AH48-AH19)/AH19</f>
        <v>41.327552794162109</v>
      </c>
      <c r="AP56" s="1">
        <f>100*(AP48-AP19)/AP19</f>
        <v>101.36581350240517</v>
      </c>
      <c r="AR56" s="1">
        <f>100*(AR48-AR19)/AR19</f>
        <v>70.209576408894364</v>
      </c>
      <c r="CX56" s="1">
        <f>100*(CX48-CX19)/CX19</f>
        <v>52.46436139097738</v>
      </c>
      <c r="CZ56" s="1">
        <f>100*(CZ48-CZ19)/CZ19</f>
        <v>21.447177099790537</v>
      </c>
    </row>
    <row r="57" spans="1:138">
      <c r="C57" s="1" t="s">
        <v>573</v>
      </c>
      <c r="D57" s="136">
        <f>MIN(H19:H48,R19:R48,AB19:AB48,AL19:AL48,AV19:AV48,BF19:BF48,BP19:BP48,BZ19:BZ48,CJ19:CJ48,CT19:CT48,DD19:DD48)</f>
        <v>20635.085640164769</v>
      </c>
      <c r="F57" s="1" t="s">
        <v>573</v>
      </c>
      <c r="G57" s="134">
        <f>MIN(J19:J48,T19:T48,AD19:AD48,AN19:AN48,AX19:AX48,BH19:BH48,BR19:BR48,CB19:CB48,CL19:CL48,CV19:CV48,DF19:DF48)</f>
        <v>9.9347480924162461</v>
      </c>
      <c r="J57" s="136"/>
    </row>
    <row r="58" spans="1:138">
      <c r="C58" s="1" t="s">
        <v>574</v>
      </c>
      <c r="D58" s="141">
        <f>D56-D57</f>
        <v>27103.991448152527</v>
      </c>
      <c r="F58" s="1" t="s">
        <v>574</v>
      </c>
      <c r="G58" s="134">
        <f>G56-G57</f>
        <v>0.83875747524775868</v>
      </c>
      <c r="J58" s="136"/>
    </row>
    <row r="59" spans="1:138">
      <c r="C59" s="1" t="s">
        <v>575</v>
      </c>
      <c r="D59" s="141">
        <f>D58/10</f>
        <v>2710.3991448152528</v>
      </c>
      <c r="F59" s="1" t="s">
        <v>575</v>
      </c>
      <c r="G59" s="134">
        <f>G58/10</f>
        <v>8.3875747524775862E-2</v>
      </c>
      <c r="J59" s="124"/>
      <c r="DI59" s="114"/>
      <c r="DJ59" s="114"/>
      <c r="DK59" s="114"/>
      <c r="DL59" s="114"/>
      <c r="DM59" s="114"/>
      <c r="DN59" s="114"/>
      <c r="DO59" s="114"/>
      <c r="DP59" s="114"/>
      <c r="DQ59" s="114"/>
      <c r="DR59" s="114"/>
      <c r="DS59" s="114"/>
    </row>
    <row r="60" spans="1:138">
      <c r="C60" s="1" t="s">
        <v>576</v>
      </c>
      <c r="D60" s="141">
        <f>D56+D59</f>
        <v>50449.476233132547</v>
      </c>
      <c r="F60" s="1" t="s">
        <v>576</v>
      </c>
      <c r="G60" s="134">
        <f>G56+G59</f>
        <v>10.85738131518878</v>
      </c>
      <c r="J60" s="136"/>
    </row>
    <row r="61" spans="1:138">
      <c r="C61" s="1" t="s">
        <v>577</v>
      </c>
      <c r="D61" s="141">
        <f>D57-D59</f>
        <v>17924.686495349517</v>
      </c>
      <c r="F61" s="1" t="s">
        <v>577</v>
      </c>
      <c r="G61" s="134">
        <f>G57-G59</f>
        <v>9.8508723448914708</v>
      </c>
      <c r="J61" s="136"/>
    </row>
    <row r="62" spans="1:138">
      <c r="C62" s="1" t="s">
        <v>578</v>
      </c>
      <c r="D62" s="141">
        <f>D60-D61</f>
        <v>32524.78973778303</v>
      </c>
      <c r="F62" s="1" t="s">
        <v>578</v>
      </c>
      <c r="G62" s="134">
        <f>G60-G61</f>
        <v>1.0065089702973093</v>
      </c>
      <c r="J62" s="136"/>
    </row>
    <row r="64" spans="1:138">
      <c r="D64" s="1">
        <f>100*(D48-D19)/D19</f>
        <v>48.493332489423381</v>
      </c>
    </row>
    <row r="65" spans="1:104" ht="15">
      <c r="A65" s="1" t="s">
        <v>988</v>
      </c>
      <c r="B65" s="606">
        <f>(POWER(B$48/B$19, 1/29)-1)*100</f>
        <v>1.8057887018580132</v>
      </c>
      <c r="C65" s="66"/>
      <c r="D65" s="606">
        <f>(POWER(D$48/D$19, 1/29)-1)*100</f>
        <v>1.3726803050924108</v>
      </c>
      <c r="E65" s="67"/>
      <c r="F65" s="67"/>
      <c r="G65" s="67"/>
      <c r="H65" s="606">
        <f>(POWER(H$48/H$19, 1/29)-1)*100</f>
        <v>1.8458984881885909</v>
      </c>
      <c r="I65" s="606">
        <f>(POWER(I$48/I$19, 1/29)-1)*100</f>
        <v>4.0411195354607798</v>
      </c>
      <c r="J65" s="67"/>
      <c r="K65" s="67"/>
      <c r="L65" s="606">
        <f>(POWER(L$48/L$19, 1/29)-1)*100</f>
        <v>2.8575241264321427</v>
      </c>
      <c r="N65" s="606">
        <f>(POWER(N$48/N$19, 1/29)-1)*100</f>
        <v>3.0704660433843234</v>
      </c>
      <c r="V65" s="606">
        <f>(POWER(V$48/V$19, 1/29)-1)*100</f>
        <v>2.1588983716563703</v>
      </c>
      <c r="X65" s="606">
        <f>(POWER(X$48/X$19, 1/29)-1)*100</f>
        <v>1.9019372526469791</v>
      </c>
      <c r="AF65" s="606">
        <f>(POWER(AF$48/AF$19, 1/29)-1)*100</f>
        <v>2.1087162811165072</v>
      </c>
      <c r="AH65" s="606">
        <f>(POWER(AH$48/AH$19, 1/29)-1)*100</f>
        <v>1.1999355272630963</v>
      </c>
      <c r="AP65" s="606">
        <f>(POWER(AP$48/AP$19, 1/29)-1)*100</f>
        <v>2.4429950031342074</v>
      </c>
      <c r="AR65" s="606">
        <f>(POWER(AR$48/AR$19, 1/29)-1)*100</f>
        <v>1.8509220990523545</v>
      </c>
      <c r="AZ65" s="606">
        <f>(POWER(AZ$48/AZ$19, 1/29)-1)*100</f>
        <v>1.994538542687474</v>
      </c>
      <c r="BB65" s="606">
        <f>(POWER(BB$48/BB$19, 1/29)-1)*100</f>
        <v>1.4603944383922318</v>
      </c>
      <c r="BJ65" s="606">
        <f>(POWER(BJ$48/BJ$19, 1/29)-1)*100</f>
        <v>1.6494947650692149</v>
      </c>
      <c r="BL65" s="606">
        <f>(POWER(BL$48/BL$19, 1/29)-1)*100</f>
        <v>1.5479933807041935</v>
      </c>
      <c r="BT65" s="606">
        <f>(POWER(BT$48/BT$19, 1/29)-1)*100</f>
        <v>1.700482816681137</v>
      </c>
      <c r="BV65" s="606">
        <f>(POWER(BV$48/BV$19, 1/29)-1)*100</f>
        <v>1.5686403817269046</v>
      </c>
      <c r="CD65" s="606">
        <f>(POWER(CD$48/CD$19, 1/29)-1)*100</f>
        <v>2.1077340092541696</v>
      </c>
      <c r="CF65" s="606">
        <f>(POWER(CF$48/CF$19, 1/29)-1)*100</f>
        <v>1.3544159680457302</v>
      </c>
      <c r="CN65" s="606">
        <f>(POWER(CN$48/CN$19, 1/29)-1)*100</f>
        <v>1.6580691077046295</v>
      </c>
      <c r="CP65" s="606">
        <f>(POWER(CP$48/CP$19, 1/29)-1)*100</f>
        <v>1.1216476284658494</v>
      </c>
      <c r="CX65" s="606">
        <f>(POWER(CX$48/CX$19, 1/29)-1)*100</f>
        <v>1.4649742809594635</v>
      </c>
      <c r="CZ65" s="606">
        <f>(POWER(CZ$48/CZ$19, 1/29)-1)*100</f>
        <v>0.67228154836778131</v>
      </c>
    </row>
    <row r="66" spans="1:104">
      <c r="A66" s="1" t="s">
        <v>1186</v>
      </c>
      <c r="B66" s="13">
        <f>(POWER(B$27/B$19, 1/8)-1)*100</f>
        <v>2.0316870909861118</v>
      </c>
      <c r="C66" s="136"/>
      <c r="D66" s="13">
        <f>(POWER(D$27/D$19, 1/8)-1)*100</f>
        <v>1.5842965042108359</v>
      </c>
      <c r="E66" s="136"/>
      <c r="F66" s="136"/>
      <c r="G66" s="136"/>
      <c r="H66" s="13">
        <f>(POWER(H$27/H$19, 1/8)-1)*100</f>
        <v>2.0090310032256253</v>
      </c>
      <c r="I66" s="13">
        <f>(POWER(I$27/I$19, 1/8)-1)*100</f>
        <v>5.4698453753357246</v>
      </c>
      <c r="J66" s="136"/>
      <c r="K66" s="136"/>
      <c r="L66" s="13">
        <f>(POWER(L$27/L$19, 1/8)-1)*100</f>
        <v>2.9618815716402347</v>
      </c>
      <c r="N66" s="13">
        <f>(POWER(N$27/N$19, 1/8)-1)*100</f>
        <v>5.1906702722325671</v>
      </c>
      <c r="V66" s="13">
        <f>(POWER(V$27/V$19, 1/8)-1)*100</f>
        <v>2.2466783378414457</v>
      </c>
      <c r="X66" s="13">
        <f>(POWER(X$27/X$19, 1/8)-1)*100</f>
        <v>2.5891265827569843</v>
      </c>
      <c r="AF66" s="13">
        <f>(POWER(AF$27/AF$19, 1/8)-1)*100</f>
        <v>2.4244833250341324</v>
      </c>
      <c r="AH66" s="13">
        <f>(POWER(AH$27/AH$19, 1/8)-1)*100</f>
        <v>1.6207414480874816</v>
      </c>
      <c r="AP66" s="13">
        <f>(POWER(AP$27/AP$19, 1/8)-1)*100</f>
        <v>2.7529994948813252</v>
      </c>
      <c r="AR66" s="13">
        <f>(POWER(AR$27/AR$19, 1/8)-1)*100</f>
        <v>2.647274377748654</v>
      </c>
      <c r="AZ66" s="13">
        <f>(POWER(AZ$27/AZ$19, 1/8)-1)*100</f>
        <v>2.2610245458024369</v>
      </c>
      <c r="BB66" s="13">
        <f>(POWER(BB$27/BB$19, 1/8)-1)*100</f>
        <v>1.5026167929038658</v>
      </c>
      <c r="BJ66" s="13">
        <f>(POWER(BJ$27/BJ$19, 1/8)-1)*100</f>
        <v>2.3101468465175357</v>
      </c>
      <c r="BL66" s="13">
        <f>(POWER(BL$27/BL$19, 1/8)-1)*100</f>
        <v>1.9908383545963249</v>
      </c>
      <c r="BT66" s="13">
        <f>(POWER(BT$27/BT$19, 1/8)-1)*100</f>
        <v>1.6942862945748205</v>
      </c>
      <c r="BV66" s="13">
        <f>(POWER(BV$27/BV$19, 1/8)-1)*100</f>
        <v>2.0076436390926711</v>
      </c>
      <c r="CD66" s="13">
        <f>(POWER(CD$27/CD$19, 1/8)-1)*100</f>
        <v>1.5339872600024007</v>
      </c>
      <c r="CF66" s="13">
        <f>(POWER(CF$27/CF$19, 1/8)-1)*100</f>
        <v>1.0280185917495688</v>
      </c>
      <c r="CN66" s="13">
        <f>(POWER(CN$27/CN$19, 1/8)-1)*100</f>
        <v>1.1676448354763558</v>
      </c>
      <c r="CP66" s="13">
        <f>(POWER(CP$27/CP$19, 1/8)-1)*100</f>
        <v>0.34286405972876466</v>
      </c>
      <c r="CX66" s="13">
        <f>(POWER(CX$27/CX$19, 1/8)-1)*100</f>
        <v>1.1351166341294849</v>
      </c>
      <c r="CZ66" s="13">
        <f>(POWER(CZ$27/CZ$19, 1/8)-1)*100</f>
        <v>0.50603709918934925</v>
      </c>
    </row>
    <row r="67" spans="1:104">
      <c r="A67" s="1" t="s">
        <v>1187</v>
      </c>
      <c r="B67" s="13">
        <f>(POWER(B$38/B$27, 1/11)-1)*100</f>
        <v>1.3048917675918092</v>
      </c>
      <c r="C67" s="136"/>
      <c r="D67" s="13">
        <f>(POWER(D$38/D$27, 1/11)-1)*100</f>
        <v>0.16849998541923483</v>
      </c>
      <c r="E67" s="136"/>
      <c r="F67" s="136"/>
      <c r="G67" s="136"/>
      <c r="H67" s="13">
        <f>(POWER(H$38/H$27, 1/11)-1)*100</f>
        <v>1.7556347965273389</v>
      </c>
      <c r="I67" s="13">
        <f>(POWER(I$38/I$27, 1/11)-1)*100</f>
        <v>3.7394213687980349</v>
      </c>
      <c r="J67" s="136"/>
      <c r="K67" s="136"/>
      <c r="L67" s="13">
        <f>(POWER(L$38/L$27, 1/11)-1)*100</f>
        <v>2.231093411754359</v>
      </c>
      <c r="M67" s="136"/>
      <c r="N67" s="13">
        <f>(POWER(N$38/N$27, 1/11)-1)*100</f>
        <v>1.417768717213308</v>
      </c>
      <c r="V67" s="13">
        <f>(POWER(V$38/V$27, 1/11)-1)*100</f>
        <v>1.9161622775988096</v>
      </c>
      <c r="X67" s="13">
        <f>(POWER(X$38/X$27, 1/11)-1)*100</f>
        <v>0.73942532115691684</v>
      </c>
      <c r="AF67" s="13">
        <f>(POWER(AF$38/AF$27, 1/11)-1)*100</f>
        <v>1.4721664932402678</v>
      </c>
      <c r="AH67" s="13">
        <f>(POWER(AH$38/AH$27, 1/11)-1)*100</f>
        <v>-0.40037667405424804</v>
      </c>
      <c r="AP67" s="13">
        <f>(POWER(AP$38/AP$27, 1/11)-1)*100</f>
        <v>1.9922101934401804</v>
      </c>
      <c r="AR67" s="13">
        <f>(POWER(AR$38/AR$27, 1/11)-1)*100</f>
        <v>1.0909457777121379</v>
      </c>
      <c r="AZ67" s="13">
        <f>(POWER(AZ$38/AZ$27, 1/11)-1)*100</f>
        <v>1.5784889905211319</v>
      </c>
      <c r="BB67" s="13">
        <f>(POWER(BB$38/BB$27, 1/11)-1)*100</f>
        <v>0.29063468199475029</v>
      </c>
      <c r="BJ67" s="13">
        <f>(POWER(BJ$38/BJ$27, 1/11)-1)*100</f>
        <v>1.0907355754440795</v>
      </c>
      <c r="BL67" s="13">
        <f>(POWER(BL$38/BL$27, 1/11)-1)*100</f>
        <v>0.29542778657001278</v>
      </c>
      <c r="BT67" s="13">
        <f>(POWER(BT$38/BT$27, 1/11)-1)*100</f>
        <v>1.1433857820130067</v>
      </c>
      <c r="BV67" s="13">
        <f>(POWER(BV$38/BV$27, 1/11)-1)*100</f>
        <v>0.38357454192474716</v>
      </c>
      <c r="CD67" s="13">
        <f>(POWER(CD$38/CD$27, 1/11)-1)*100</f>
        <v>1.7113643050822525</v>
      </c>
      <c r="CF67" s="13">
        <f>(POWER(CF$38/CF$27, 1/11)-1)*100</f>
        <v>0.35424644090482627</v>
      </c>
      <c r="CN67" s="13">
        <f>(POWER(CN$38/CN$27, 1/11)-1)*100</f>
        <v>1.3074499423072261</v>
      </c>
      <c r="CP67" s="13">
        <f>(POWER(CP$38/CP$27, 1/11)-1)*100</f>
        <v>-0.41689202189600927</v>
      </c>
      <c r="CX67" s="13">
        <f>(POWER(CX$38/CX$27, 1/11)-1)*100</f>
        <v>0.85553345170190642</v>
      </c>
      <c r="CZ67" s="13">
        <f>(POWER(CZ$38/CZ$27, 1/11)-1)*100</f>
        <v>7.4158649445643654E-2</v>
      </c>
    </row>
    <row r="68" spans="1:104">
      <c r="A68" s="1" t="s">
        <v>1188</v>
      </c>
      <c r="B68" s="13">
        <f>(POWER(B$46/B$38, 1/8)-1)*100</f>
        <v>2.554727026251391</v>
      </c>
      <c r="C68" s="136"/>
      <c r="D68" s="13">
        <f>(POWER(D$46/D$38, 1/8)-1)*100</f>
        <v>2.3977075604343145</v>
      </c>
      <c r="E68" s="136"/>
      <c r="F68" s="136"/>
      <c r="G68" s="136"/>
      <c r="H68" s="13">
        <f>(POWER(H$46/H$38, 1/8)-1)*100</f>
        <v>1.9926387611963303</v>
      </c>
      <c r="I68" s="13">
        <f>(POWER(I$46/I$38, 1/8)-1)*100</f>
        <v>3.5904565502813401</v>
      </c>
      <c r="J68" s="136"/>
      <c r="K68" s="136"/>
      <c r="L68" s="13">
        <f>(POWER(L$46/L$38, 1/8)-1)*100</f>
        <v>3.6528869516663676</v>
      </c>
      <c r="M68" s="136"/>
      <c r="N68" s="13">
        <f>(POWER(N$46/N$38, 1/8)-1)*100</f>
        <v>3.0777853996711624</v>
      </c>
      <c r="V68" s="13">
        <f>(POWER(V$46/V$38, 1/8)-1)*100</f>
        <v>2.6613780210561933</v>
      </c>
      <c r="X68" s="13">
        <f>(POWER(X$46/X$38, 1/8)-1)*100</f>
        <v>2.046207968355751</v>
      </c>
      <c r="AF68" s="13">
        <f>(POWER(AF$46/AF$38, 1/8)-1)*100</f>
        <v>2.665956187062446</v>
      </c>
      <c r="AH68" s="13">
        <f>(POWER(AH$46/AH$38, 1/8)-1)*100</f>
        <v>2.5628869476216121</v>
      </c>
      <c r="AP68" s="13">
        <f>(POWER(AP$46/AP$38, 1/8)-1)*100</f>
        <v>2.8690670559240683</v>
      </c>
      <c r="AR68" s="13">
        <f>(POWER(AR$46/AR$38, 1/8)-1)*100</f>
        <v>1.8452859521306264</v>
      </c>
      <c r="AZ68" s="13">
        <f>(POWER(AZ$46/AZ$38, 1/8)-1)*100</f>
        <v>2.5461144436873084</v>
      </c>
      <c r="BB68" s="13">
        <f>(POWER(BB$46/BB$38, 1/8)-1)*100</f>
        <v>2.4616449252903072</v>
      </c>
      <c r="BJ68" s="13">
        <f>(POWER(BJ$46/BJ$38, 1/8)-1)*100</f>
        <v>2.0686578342444584</v>
      </c>
      <c r="BL68" s="13">
        <f>(POWER(BL$46/BL$38, 1/8)-1)*100</f>
        <v>2.4965656713976214</v>
      </c>
      <c r="BT68" s="13">
        <f>(POWER(BT$46/BT$38, 1/8)-1)*100</f>
        <v>2.580182747021853</v>
      </c>
      <c r="BV68" s="13">
        <f>(POWER(BV$46/BV$38, 1/8)-1)*100</f>
        <v>2.4439149759768686</v>
      </c>
      <c r="CD68" s="13">
        <f>(POWER(CD$46/CD$38, 1/8)-1)*100</f>
        <v>3.4183185971968788</v>
      </c>
      <c r="CE68" s="1" t="s">
        <v>1470</v>
      </c>
      <c r="CF68" s="13">
        <f>(POWER(CF$46/CF$38, 1/8)-1)*100</f>
        <v>3.442462442702432</v>
      </c>
      <c r="CN68" s="13">
        <f>(POWER(CN$46/CN$38, 1/8)-1)*100</f>
        <v>3.0223184227015976</v>
      </c>
      <c r="CO68" s="1" t="s">
        <v>1471</v>
      </c>
      <c r="CP68" s="13">
        <f>(POWER(CP$46/CP$38, 1/8)-1)*100</f>
        <v>2.9654172232716824</v>
      </c>
      <c r="CX68" s="13">
        <f>(POWER(CX$46/CX$38, 1/8)-1)*100</f>
        <v>2.9401709671667886</v>
      </c>
      <c r="CZ68" s="13">
        <f>(POWER(CZ$46/CZ$38, 1/8)-1)*100</f>
        <v>1.4612980047135737</v>
      </c>
    </row>
    <row r="69" spans="1:104">
      <c r="B69" s="13"/>
      <c r="C69" s="136"/>
      <c r="D69" s="136"/>
      <c r="E69" s="136"/>
      <c r="F69" s="136"/>
      <c r="G69" s="136"/>
      <c r="H69" s="136"/>
      <c r="I69" s="136"/>
      <c r="J69" s="136"/>
      <c r="K69" s="136"/>
      <c r="L69" s="136"/>
      <c r="M69" s="136"/>
    </row>
    <row r="70" spans="1:104">
      <c r="B70" s="136"/>
      <c r="C70" s="136"/>
      <c r="D70" s="136"/>
      <c r="E70" s="136"/>
      <c r="F70" s="136"/>
      <c r="G70" s="136"/>
      <c r="H70" s="136"/>
      <c r="I70" s="136"/>
      <c r="J70" s="136"/>
      <c r="K70" s="136"/>
      <c r="L70" s="136"/>
      <c r="M70" s="136"/>
    </row>
    <row r="71" spans="1:104">
      <c r="B71" s="136"/>
      <c r="C71" s="136"/>
      <c r="D71" s="136"/>
      <c r="E71" s="136"/>
      <c r="F71" s="136"/>
      <c r="G71" s="136"/>
      <c r="H71" s="136"/>
      <c r="I71" s="136"/>
      <c r="J71" s="136"/>
      <c r="K71" s="136"/>
      <c r="L71" s="136"/>
      <c r="M71" s="136"/>
    </row>
    <row r="72" spans="1:104">
      <c r="B72" s="136"/>
      <c r="C72" s="136"/>
      <c r="D72" s="136"/>
      <c r="E72" s="136"/>
      <c r="F72" s="136"/>
      <c r="G72" s="136"/>
      <c r="H72" s="136"/>
      <c r="I72" s="136"/>
      <c r="J72" s="136"/>
      <c r="K72" s="136"/>
      <c r="L72" s="136"/>
      <c r="M72" s="136"/>
    </row>
    <row r="73" spans="1:104">
      <c r="B73" s="136"/>
      <c r="C73" s="136"/>
      <c r="D73" s="136"/>
      <c r="E73" s="136"/>
      <c r="F73" s="136"/>
      <c r="G73" s="136"/>
      <c r="H73" s="136"/>
      <c r="I73" s="136"/>
      <c r="J73" s="136"/>
      <c r="K73" s="136"/>
      <c r="L73" s="136"/>
      <c r="M73" s="136"/>
    </row>
    <row r="74" spans="1:104">
      <c r="B74" s="136"/>
      <c r="C74" s="136"/>
      <c r="D74" s="136"/>
      <c r="E74" s="136"/>
      <c r="F74" s="136"/>
      <c r="G74" s="136"/>
      <c r="H74" s="136"/>
      <c r="I74" s="136"/>
      <c r="J74" s="136"/>
      <c r="K74" s="136"/>
      <c r="L74" s="136"/>
      <c r="M74" s="136"/>
    </row>
    <row r="75" spans="1:104">
      <c r="B75" s="136"/>
      <c r="C75" s="136"/>
      <c r="D75" s="136"/>
      <c r="E75" s="136"/>
      <c r="F75" s="136"/>
      <c r="G75" s="136"/>
      <c r="H75" s="136"/>
      <c r="I75" s="136"/>
      <c r="J75" s="136"/>
      <c r="K75" s="136"/>
      <c r="L75" s="136"/>
      <c r="M75" s="136"/>
    </row>
    <row r="76" spans="1:104">
      <c r="B76" s="136"/>
      <c r="C76" s="136"/>
      <c r="D76" s="136"/>
      <c r="E76" s="136"/>
      <c r="F76" s="136"/>
      <c r="G76" s="136"/>
      <c r="H76" s="136"/>
      <c r="I76" s="136"/>
      <c r="J76" s="136"/>
      <c r="K76" s="136"/>
      <c r="L76" s="136"/>
      <c r="M76" s="136"/>
    </row>
    <row r="77" spans="1:104">
      <c r="B77" s="136"/>
      <c r="C77" s="136"/>
      <c r="D77" s="136"/>
      <c r="E77" s="136"/>
      <c r="F77" s="136"/>
      <c r="G77" s="136"/>
      <c r="H77" s="136"/>
      <c r="I77" s="136"/>
      <c r="J77" s="136"/>
      <c r="K77" s="136"/>
      <c r="L77" s="136"/>
      <c r="M77" s="136"/>
    </row>
    <row r="78" spans="1:104">
      <c r="B78" s="136"/>
      <c r="C78" s="136"/>
      <c r="D78" s="136"/>
      <c r="E78" s="136"/>
      <c r="F78" s="136"/>
      <c r="G78" s="136"/>
      <c r="H78" s="136"/>
      <c r="I78" s="136"/>
      <c r="J78" s="136"/>
      <c r="K78" s="136"/>
      <c r="L78" s="136"/>
      <c r="M78" s="136"/>
    </row>
    <row r="79" spans="1:104">
      <c r="B79" s="136"/>
      <c r="C79" s="136"/>
      <c r="D79" s="136"/>
      <c r="E79" s="136"/>
      <c r="F79" s="136"/>
      <c r="G79" s="136"/>
      <c r="H79" s="136"/>
      <c r="I79" s="136"/>
      <c r="J79" s="136"/>
      <c r="K79" s="136"/>
      <c r="L79" s="136"/>
      <c r="M79" s="136"/>
    </row>
    <row r="80" spans="1:104">
      <c r="B80" s="136"/>
      <c r="C80" s="136"/>
      <c r="D80" s="136"/>
      <c r="E80" s="136"/>
      <c r="F80" s="136"/>
      <c r="G80" s="136"/>
      <c r="H80" s="136"/>
      <c r="I80" s="136"/>
      <c r="J80" s="136"/>
      <c r="K80" s="136"/>
      <c r="L80" s="136"/>
      <c r="M80" s="136"/>
    </row>
    <row r="81" spans="2:13">
      <c r="B81" s="136"/>
      <c r="C81" s="136"/>
      <c r="D81" s="136"/>
      <c r="E81" s="136"/>
      <c r="F81" s="136"/>
      <c r="G81" s="136"/>
      <c r="H81" s="136"/>
      <c r="I81" s="136"/>
      <c r="J81" s="136"/>
      <c r="K81" s="136"/>
      <c r="L81" s="136"/>
      <c r="M81" s="136"/>
    </row>
    <row r="82" spans="2:13">
      <c r="B82" s="136"/>
      <c r="C82" s="136"/>
      <c r="D82" s="136"/>
      <c r="E82" s="136"/>
      <c r="F82" s="136"/>
      <c r="G82" s="136"/>
      <c r="H82" s="136"/>
      <c r="I82" s="136"/>
      <c r="J82" s="136"/>
      <c r="K82" s="136"/>
      <c r="L82" s="136"/>
      <c r="M82" s="136"/>
    </row>
    <row r="83" spans="2:13">
      <c r="B83" s="136"/>
      <c r="C83" s="136"/>
      <c r="D83" s="136"/>
      <c r="E83" s="136"/>
      <c r="F83" s="136"/>
      <c r="G83" s="136"/>
      <c r="H83" s="136"/>
      <c r="I83" s="136"/>
      <c r="J83" s="136"/>
      <c r="K83" s="136"/>
      <c r="L83" s="136"/>
      <c r="M83" s="136"/>
    </row>
    <row r="84" spans="2:13">
      <c r="B84" s="136"/>
      <c r="C84" s="136"/>
      <c r="D84" s="136"/>
      <c r="E84" s="136"/>
      <c r="F84" s="136"/>
      <c r="G84" s="136"/>
      <c r="H84" s="136"/>
      <c r="I84" s="136"/>
      <c r="J84" s="136"/>
      <c r="K84" s="136"/>
      <c r="L84" s="136"/>
      <c r="M84" s="136"/>
    </row>
    <row r="85" spans="2:13">
      <c r="B85" s="136"/>
      <c r="C85" s="136"/>
      <c r="D85" s="136"/>
      <c r="E85" s="136"/>
      <c r="F85" s="136"/>
      <c r="G85" s="136"/>
      <c r="H85" s="136"/>
      <c r="I85" s="136"/>
      <c r="J85" s="136"/>
      <c r="K85" s="136"/>
      <c r="L85" s="136"/>
      <c r="M85" s="136"/>
    </row>
    <row r="86" spans="2:13">
      <c r="B86" s="136"/>
      <c r="C86" s="136"/>
      <c r="D86" s="136"/>
      <c r="E86" s="136"/>
      <c r="F86" s="136"/>
      <c r="G86" s="136"/>
      <c r="H86" s="136"/>
      <c r="I86" s="136"/>
      <c r="J86" s="136"/>
      <c r="K86" s="136"/>
      <c r="L86" s="136"/>
      <c r="M86" s="136"/>
    </row>
    <row r="87" spans="2:13">
      <c r="B87" s="136"/>
      <c r="C87" s="136"/>
      <c r="D87" s="136"/>
      <c r="E87" s="136"/>
      <c r="F87" s="136"/>
      <c r="G87" s="136"/>
      <c r="H87" s="136"/>
      <c r="I87" s="136"/>
      <c r="J87" s="136"/>
      <c r="K87" s="136"/>
      <c r="L87" s="136"/>
      <c r="M87" s="136"/>
    </row>
    <row r="88" spans="2:13">
      <c r="B88" s="136"/>
      <c r="C88" s="136"/>
      <c r="D88" s="136"/>
      <c r="E88" s="136"/>
      <c r="F88" s="136"/>
      <c r="G88" s="136"/>
      <c r="H88" s="136"/>
      <c r="I88" s="136"/>
      <c r="J88" s="136"/>
      <c r="K88" s="136"/>
      <c r="L88" s="136"/>
      <c r="M88" s="136"/>
    </row>
    <row r="89" spans="2:13">
      <c r="B89" s="136"/>
      <c r="C89" s="136"/>
      <c r="D89" s="136"/>
      <c r="E89" s="136"/>
      <c r="F89" s="136"/>
      <c r="G89" s="136"/>
      <c r="H89" s="136"/>
      <c r="I89" s="136"/>
      <c r="J89" s="136"/>
      <c r="K89" s="136"/>
      <c r="L89" s="136"/>
      <c r="M89" s="136"/>
    </row>
    <row r="90" spans="2:13">
      <c r="B90" s="136"/>
      <c r="C90" s="136"/>
      <c r="D90" s="136"/>
      <c r="E90" s="136"/>
      <c r="F90" s="136"/>
      <c r="G90" s="136"/>
      <c r="H90" s="136"/>
      <c r="I90" s="136"/>
      <c r="J90" s="136"/>
      <c r="K90" s="136"/>
      <c r="L90" s="136"/>
      <c r="M90" s="136"/>
    </row>
    <row r="91" spans="2:13">
      <c r="B91" s="136"/>
      <c r="C91" s="136"/>
      <c r="D91" s="136"/>
      <c r="E91" s="136"/>
      <c r="F91" s="136"/>
      <c r="G91" s="136"/>
      <c r="H91" s="136"/>
      <c r="I91" s="136"/>
      <c r="J91" s="136"/>
      <c r="K91" s="136"/>
      <c r="L91" s="136"/>
      <c r="M91" s="136"/>
    </row>
    <row r="92" spans="2:13">
      <c r="B92" s="136"/>
      <c r="C92" s="136"/>
      <c r="D92" s="136"/>
      <c r="E92" s="136"/>
      <c r="F92" s="136"/>
      <c r="G92" s="136"/>
      <c r="H92" s="136"/>
      <c r="I92" s="136"/>
      <c r="J92" s="136"/>
      <c r="K92" s="136"/>
      <c r="L92" s="136"/>
      <c r="M92" s="136"/>
    </row>
    <row r="93" spans="2:13">
      <c r="B93" s="136"/>
      <c r="C93" s="136"/>
      <c r="D93" s="136"/>
      <c r="E93" s="136"/>
      <c r="F93" s="136"/>
      <c r="G93" s="136"/>
      <c r="H93" s="136"/>
      <c r="I93" s="136"/>
      <c r="J93" s="136"/>
      <c r="K93" s="136"/>
      <c r="L93" s="136"/>
      <c r="M93" s="136"/>
    </row>
    <row r="94" spans="2:13">
      <c r="B94" s="136"/>
      <c r="C94" s="136"/>
      <c r="D94" s="136"/>
      <c r="E94" s="136"/>
      <c r="F94" s="136"/>
      <c r="G94" s="136"/>
      <c r="H94" s="136"/>
      <c r="I94" s="136"/>
      <c r="J94" s="136"/>
      <c r="K94" s="136"/>
      <c r="L94" s="136"/>
      <c r="M94" s="136"/>
    </row>
    <row r="95" spans="2:13">
      <c r="B95" s="136"/>
      <c r="C95" s="136"/>
      <c r="D95" s="136"/>
      <c r="E95" s="136"/>
      <c r="F95" s="136"/>
      <c r="G95" s="136"/>
      <c r="H95" s="136"/>
      <c r="I95" s="136"/>
      <c r="J95" s="136"/>
      <c r="K95" s="136"/>
      <c r="L95" s="136"/>
      <c r="M95" s="136"/>
    </row>
    <row r="96" spans="2:13">
      <c r="B96" s="136"/>
      <c r="C96" s="136"/>
      <c r="D96" s="136"/>
      <c r="E96" s="136"/>
      <c r="F96" s="136"/>
      <c r="G96" s="136"/>
      <c r="H96" s="136"/>
      <c r="I96" s="136"/>
      <c r="J96" s="136"/>
      <c r="K96" s="136"/>
      <c r="L96" s="136"/>
      <c r="M96" s="136"/>
    </row>
    <row r="97" spans="2:13">
      <c r="B97" s="136"/>
      <c r="C97" s="136"/>
      <c r="D97" s="136"/>
      <c r="E97" s="136"/>
      <c r="F97" s="136"/>
      <c r="G97" s="136"/>
      <c r="H97" s="136"/>
      <c r="I97" s="136"/>
      <c r="J97" s="136"/>
      <c r="K97" s="136"/>
      <c r="L97" s="136"/>
      <c r="M97" s="136"/>
    </row>
    <row r="98" spans="2:13">
      <c r="B98" s="136"/>
      <c r="C98" s="136"/>
      <c r="D98" s="136"/>
      <c r="E98" s="136"/>
      <c r="F98" s="136"/>
      <c r="G98" s="136"/>
      <c r="H98" s="136"/>
      <c r="I98" s="136"/>
      <c r="J98" s="136"/>
      <c r="K98" s="136"/>
      <c r="L98" s="136"/>
      <c r="M98" s="136"/>
    </row>
    <row r="99" spans="2:13">
      <c r="B99" s="136"/>
      <c r="C99" s="136"/>
      <c r="D99" s="136"/>
      <c r="E99" s="136"/>
      <c r="F99" s="136"/>
      <c r="G99" s="136"/>
      <c r="H99" s="136"/>
      <c r="I99" s="136"/>
      <c r="J99" s="136"/>
      <c r="K99" s="136"/>
      <c r="L99" s="136"/>
      <c r="M99" s="136"/>
    </row>
    <row r="100" spans="2:13">
      <c r="B100" s="136"/>
      <c r="C100" s="136"/>
      <c r="D100" s="136"/>
      <c r="E100" s="136"/>
      <c r="F100" s="136"/>
      <c r="G100" s="136"/>
      <c r="H100" s="136"/>
      <c r="I100" s="136"/>
      <c r="J100" s="136"/>
      <c r="K100" s="136"/>
      <c r="L100" s="136"/>
      <c r="M100" s="136"/>
    </row>
    <row r="101" spans="2:13">
      <c r="B101" s="136"/>
      <c r="C101" s="136"/>
      <c r="D101" s="136"/>
      <c r="E101" s="136"/>
      <c r="F101" s="136"/>
      <c r="G101" s="136"/>
      <c r="H101" s="136"/>
      <c r="I101" s="136"/>
      <c r="J101" s="136"/>
      <c r="K101" s="136"/>
      <c r="L101" s="136"/>
    </row>
    <row r="102" spans="2:13">
      <c r="B102" s="136"/>
      <c r="C102" s="136"/>
      <c r="D102" s="136"/>
      <c r="E102" s="136"/>
      <c r="F102" s="136"/>
      <c r="G102" s="136"/>
      <c r="H102" s="136"/>
      <c r="I102" s="136"/>
      <c r="J102" s="136"/>
      <c r="K102" s="136"/>
      <c r="L102" s="136"/>
    </row>
    <row r="104" spans="2:13" ht="15">
      <c r="B104" s="66"/>
      <c r="C104" s="66"/>
      <c r="D104" s="67"/>
      <c r="E104" s="67"/>
      <c r="F104" s="67"/>
      <c r="G104" s="67"/>
      <c r="H104" s="67"/>
      <c r="I104" s="67"/>
      <c r="J104" s="67"/>
      <c r="K104" s="67"/>
      <c r="L104" s="67"/>
    </row>
    <row r="105" spans="2:13">
      <c r="B105" s="134"/>
      <c r="C105" s="134"/>
      <c r="D105" s="134"/>
      <c r="E105" s="134"/>
      <c r="F105" s="134"/>
      <c r="G105" s="134"/>
      <c r="H105" s="134"/>
      <c r="I105" s="134"/>
      <c r="J105" s="134"/>
      <c r="K105" s="134"/>
      <c r="L105" s="134"/>
    </row>
    <row r="106" spans="2:13">
      <c r="B106" s="134"/>
      <c r="C106" s="134"/>
      <c r="D106" s="134"/>
      <c r="E106" s="134"/>
      <c r="F106" s="134"/>
      <c r="G106" s="134"/>
      <c r="H106" s="134"/>
      <c r="I106" s="134"/>
      <c r="J106" s="134"/>
      <c r="K106" s="134"/>
      <c r="L106" s="134"/>
    </row>
    <row r="107" spans="2:13">
      <c r="B107" s="134"/>
      <c r="C107" s="134"/>
      <c r="D107" s="134"/>
      <c r="E107" s="134"/>
      <c r="F107" s="134"/>
      <c r="G107" s="134"/>
      <c r="H107" s="134"/>
      <c r="I107" s="134"/>
      <c r="J107" s="134"/>
      <c r="K107" s="134"/>
      <c r="L107" s="134"/>
    </row>
    <row r="108" spans="2:13">
      <c r="B108" s="134"/>
      <c r="C108" s="134"/>
      <c r="D108" s="134"/>
      <c r="E108" s="134"/>
      <c r="F108" s="134"/>
      <c r="G108" s="134"/>
      <c r="H108" s="134"/>
      <c r="I108" s="134"/>
      <c r="J108" s="134"/>
      <c r="K108" s="134"/>
      <c r="L108" s="134"/>
    </row>
    <row r="109" spans="2:13">
      <c r="B109" s="134"/>
      <c r="C109" s="134"/>
      <c r="D109" s="134"/>
      <c r="E109" s="134"/>
      <c r="F109" s="134"/>
      <c r="G109" s="134"/>
      <c r="H109" s="134"/>
      <c r="I109" s="134"/>
      <c r="J109" s="134"/>
      <c r="K109" s="134"/>
      <c r="L109" s="134"/>
    </row>
    <row r="110" spans="2:13">
      <c r="B110" s="134"/>
      <c r="C110" s="134"/>
      <c r="D110" s="134"/>
      <c r="E110" s="134"/>
      <c r="F110" s="134"/>
      <c r="G110" s="134"/>
      <c r="H110" s="134"/>
      <c r="I110" s="134"/>
      <c r="J110" s="134"/>
      <c r="K110" s="134"/>
      <c r="L110" s="134"/>
    </row>
    <row r="111" spans="2:13">
      <c r="B111" s="134"/>
      <c r="C111" s="134"/>
      <c r="D111" s="134"/>
      <c r="E111" s="134"/>
      <c r="F111" s="134"/>
      <c r="G111" s="134"/>
      <c r="H111" s="134"/>
      <c r="I111" s="134"/>
      <c r="J111" s="134"/>
      <c r="K111" s="134"/>
      <c r="L111" s="134"/>
    </row>
    <row r="112" spans="2:13">
      <c r="B112" s="134"/>
      <c r="C112" s="134"/>
      <c r="D112" s="134"/>
      <c r="E112" s="134"/>
      <c r="F112" s="134"/>
      <c r="G112" s="134"/>
      <c r="H112" s="134"/>
      <c r="I112" s="134"/>
      <c r="J112" s="134"/>
      <c r="K112" s="134"/>
      <c r="L112" s="134"/>
    </row>
    <row r="113" spans="2:12">
      <c r="B113" s="134"/>
      <c r="C113" s="134"/>
      <c r="D113" s="134"/>
      <c r="E113" s="134"/>
      <c r="F113" s="134"/>
      <c r="G113" s="134"/>
      <c r="H113" s="134"/>
      <c r="I113" s="134"/>
      <c r="J113" s="134"/>
      <c r="K113" s="134"/>
      <c r="L113" s="134"/>
    </row>
    <row r="114" spans="2:12">
      <c r="B114" s="134"/>
      <c r="C114" s="134"/>
      <c r="D114" s="134"/>
      <c r="E114" s="134"/>
      <c r="F114" s="134"/>
      <c r="G114" s="134"/>
      <c r="H114" s="134"/>
      <c r="I114" s="134"/>
      <c r="J114" s="134"/>
      <c r="K114" s="134"/>
      <c r="L114" s="134"/>
    </row>
    <row r="115" spans="2:12">
      <c r="B115" s="134"/>
      <c r="C115" s="134"/>
      <c r="D115" s="134"/>
      <c r="E115" s="134"/>
      <c r="F115" s="134"/>
      <c r="G115" s="134"/>
      <c r="H115" s="134"/>
      <c r="I115" s="134"/>
      <c r="J115" s="134"/>
      <c r="K115" s="134"/>
      <c r="L115" s="134"/>
    </row>
    <row r="116" spans="2:12">
      <c r="B116" s="134"/>
      <c r="C116" s="134"/>
      <c r="D116" s="134"/>
      <c r="E116" s="134"/>
      <c r="F116" s="134"/>
      <c r="G116" s="134"/>
      <c r="H116" s="134"/>
      <c r="I116" s="134"/>
      <c r="J116" s="134"/>
      <c r="K116" s="134"/>
      <c r="L116" s="134"/>
    </row>
    <row r="117" spans="2:12">
      <c r="B117" s="134"/>
      <c r="C117" s="134"/>
      <c r="D117" s="134"/>
      <c r="E117" s="134"/>
      <c r="F117" s="134"/>
      <c r="G117" s="134"/>
      <c r="H117" s="134"/>
      <c r="I117" s="134"/>
      <c r="J117" s="134"/>
      <c r="K117" s="134"/>
      <c r="L117" s="134"/>
    </row>
    <row r="118" spans="2:12">
      <c r="B118" s="134"/>
      <c r="C118" s="134"/>
      <c r="D118" s="134"/>
      <c r="E118" s="134"/>
      <c r="F118" s="134"/>
      <c r="G118" s="134"/>
      <c r="H118" s="134"/>
      <c r="I118" s="134"/>
      <c r="J118" s="134"/>
      <c r="K118" s="134"/>
      <c r="L118" s="134"/>
    </row>
    <row r="119" spans="2:12">
      <c r="B119" s="134"/>
      <c r="C119" s="134"/>
      <c r="D119" s="134"/>
      <c r="E119" s="134"/>
      <c r="F119" s="134"/>
      <c r="G119" s="134"/>
      <c r="H119" s="134"/>
      <c r="I119" s="134"/>
      <c r="J119" s="134"/>
      <c r="K119" s="134"/>
      <c r="L119" s="134"/>
    </row>
    <row r="120" spans="2:12">
      <c r="B120" s="134"/>
      <c r="C120" s="134"/>
      <c r="D120" s="134"/>
      <c r="E120" s="134"/>
      <c r="F120" s="134"/>
      <c r="G120" s="134"/>
      <c r="H120" s="134"/>
      <c r="I120" s="134"/>
      <c r="J120" s="134"/>
      <c r="K120" s="134"/>
      <c r="L120" s="134"/>
    </row>
    <row r="121" spans="2:12">
      <c r="B121" s="134"/>
      <c r="C121" s="134"/>
      <c r="D121" s="134"/>
      <c r="E121" s="134"/>
      <c r="F121" s="134"/>
      <c r="G121" s="134"/>
      <c r="H121" s="134"/>
      <c r="I121" s="134"/>
      <c r="J121" s="134"/>
      <c r="K121" s="134"/>
      <c r="L121" s="134"/>
    </row>
    <row r="122" spans="2:12">
      <c r="B122" s="134"/>
      <c r="C122" s="134"/>
      <c r="D122" s="134"/>
      <c r="E122" s="134"/>
      <c r="F122" s="134"/>
      <c r="G122" s="134"/>
      <c r="H122" s="134"/>
      <c r="I122" s="134"/>
      <c r="J122" s="134"/>
      <c r="K122" s="134"/>
      <c r="L122" s="134"/>
    </row>
    <row r="123" spans="2:12">
      <c r="B123" s="134"/>
      <c r="C123" s="134"/>
      <c r="D123" s="134"/>
      <c r="E123" s="134"/>
      <c r="F123" s="134"/>
      <c r="G123" s="134"/>
      <c r="H123" s="134"/>
      <c r="I123" s="134"/>
      <c r="J123" s="134"/>
      <c r="K123" s="134"/>
      <c r="L123" s="134"/>
    </row>
    <row r="124" spans="2:12">
      <c r="B124" s="134"/>
      <c r="C124" s="134"/>
      <c r="D124" s="134"/>
      <c r="E124" s="134"/>
      <c r="F124" s="134"/>
      <c r="G124" s="134"/>
      <c r="H124" s="134"/>
      <c r="I124" s="134"/>
      <c r="J124" s="134"/>
      <c r="K124" s="134"/>
      <c r="L124" s="134"/>
    </row>
    <row r="125" spans="2:12">
      <c r="B125" s="134"/>
      <c r="C125" s="134"/>
      <c r="D125" s="134"/>
      <c r="E125" s="134"/>
      <c r="F125" s="134"/>
      <c r="G125" s="134"/>
      <c r="H125" s="134"/>
      <c r="I125" s="134"/>
      <c r="J125" s="134"/>
      <c r="K125" s="134"/>
      <c r="L125" s="134"/>
    </row>
    <row r="126" spans="2:12">
      <c r="B126" s="134"/>
      <c r="C126" s="134"/>
      <c r="D126" s="134"/>
      <c r="E126" s="134"/>
      <c r="F126" s="134"/>
      <c r="G126" s="134"/>
      <c r="H126" s="134"/>
      <c r="I126" s="134"/>
      <c r="J126" s="134"/>
      <c r="K126" s="134"/>
      <c r="L126" s="134"/>
    </row>
    <row r="127" spans="2:12">
      <c r="B127" s="134"/>
      <c r="C127" s="134"/>
      <c r="D127" s="134"/>
      <c r="E127" s="134"/>
      <c r="F127" s="134"/>
      <c r="G127" s="134"/>
      <c r="H127" s="134"/>
      <c r="I127" s="134"/>
      <c r="J127" s="134"/>
      <c r="K127" s="134"/>
      <c r="L127" s="134"/>
    </row>
    <row r="128" spans="2:12">
      <c r="B128" s="134"/>
      <c r="C128" s="134"/>
      <c r="D128" s="134"/>
      <c r="E128" s="134"/>
      <c r="F128" s="134"/>
      <c r="G128" s="134"/>
      <c r="H128" s="134"/>
      <c r="I128" s="134"/>
      <c r="J128" s="134"/>
      <c r="K128" s="134"/>
      <c r="L128" s="134"/>
    </row>
    <row r="129" spans="2:12">
      <c r="B129" s="134"/>
      <c r="C129" s="134"/>
      <c r="D129" s="134"/>
      <c r="E129" s="134"/>
      <c r="F129" s="134"/>
      <c r="G129" s="134"/>
      <c r="H129" s="134"/>
      <c r="I129" s="134"/>
      <c r="J129" s="134"/>
      <c r="K129" s="134"/>
      <c r="L129" s="134"/>
    </row>
    <row r="130" spans="2:12">
      <c r="B130" s="134"/>
      <c r="C130" s="134"/>
      <c r="D130" s="134"/>
      <c r="E130" s="134"/>
      <c r="F130" s="134"/>
      <c r="G130" s="134"/>
      <c r="H130" s="134"/>
      <c r="I130" s="134"/>
      <c r="J130" s="134"/>
      <c r="K130" s="134"/>
      <c r="L130" s="134"/>
    </row>
    <row r="131" spans="2:12">
      <c r="B131" s="134"/>
      <c r="C131" s="134"/>
      <c r="D131" s="134"/>
      <c r="E131" s="134"/>
      <c r="F131" s="134"/>
      <c r="G131" s="134"/>
      <c r="H131" s="134"/>
      <c r="I131" s="134"/>
      <c r="J131" s="134"/>
      <c r="K131" s="134"/>
      <c r="L131" s="134"/>
    </row>
    <row r="132" spans="2:12">
      <c r="B132" s="134"/>
      <c r="C132" s="134"/>
      <c r="D132" s="134"/>
      <c r="E132" s="134"/>
      <c r="F132" s="134"/>
      <c r="G132" s="134"/>
      <c r="H132" s="134"/>
      <c r="I132" s="134"/>
      <c r="J132" s="134"/>
      <c r="K132" s="134"/>
      <c r="L132" s="134"/>
    </row>
    <row r="133" spans="2:12">
      <c r="B133" s="134"/>
      <c r="C133" s="134"/>
      <c r="D133" s="134"/>
      <c r="E133" s="134"/>
      <c r="F133" s="134"/>
      <c r="G133" s="134"/>
      <c r="H133" s="134"/>
      <c r="I133" s="134"/>
      <c r="J133" s="134"/>
      <c r="K133" s="134"/>
      <c r="L133" s="134"/>
    </row>
    <row r="134" spans="2:12">
      <c r="B134" s="134"/>
      <c r="C134" s="134"/>
      <c r="D134" s="134"/>
      <c r="E134" s="134"/>
      <c r="F134" s="134"/>
      <c r="G134" s="134"/>
      <c r="H134" s="134"/>
      <c r="I134" s="134"/>
      <c r="J134" s="134"/>
      <c r="K134" s="134"/>
      <c r="L134" s="134"/>
    </row>
    <row r="135" spans="2:12">
      <c r="B135" s="134"/>
      <c r="C135" s="134"/>
      <c r="D135" s="134"/>
      <c r="E135" s="134"/>
      <c r="F135" s="134"/>
      <c r="G135" s="134"/>
      <c r="H135" s="134"/>
      <c r="I135" s="134"/>
      <c r="J135" s="134"/>
      <c r="K135" s="134"/>
      <c r="L135" s="134"/>
    </row>
    <row r="136" spans="2:12">
      <c r="B136" s="134"/>
      <c r="C136" s="134"/>
      <c r="D136" s="134"/>
      <c r="E136" s="134"/>
      <c r="F136" s="134"/>
      <c r="G136" s="134"/>
      <c r="H136" s="134"/>
      <c r="I136" s="134"/>
      <c r="J136" s="134"/>
      <c r="K136" s="134"/>
      <c r="L136" s="134"/>
    </row>
    <row r="137" spans="2:12">
      <c r="B137" s="134"/>
      <c r="C137" s="134"/>
      <c r="D137" s="134"/>
      <c r="E137" s="134"/>
      <c r="F137" s="134"/>
      <c r="G137" s="134"/>
      <c r="H137" s="134"/>
      <c r="I137" s="134"/>
      <c r="J137" s="134"/>
      <c r="K137" s="134"/>
      <c r="L137" s="134"/>
    </row>
    <row r="138" spans="2:12">
      <c r="B138" s="134"/>
      <c r="C138" s="134"/>
      <c r="D138" s="134"/>
      <c r="E138" s="134"/>
      <c r="F138" s="134"/>
      <c r="G138" s="134"/>
      <c r="H138" s="134"/>
      <c r="I138" s="134"/>
      <c r="J138" s="134"/>
      <c r="K138" s="134"/>
      <c r="L138" s="134"/>
    </row>
    <row r="139" spans="2:12">
      <c r="B139" s="134"/>
      <c r="C139" s="134"/>
      <c r="D139" s="134"/>
      <c r="E139" s="134"/>
      <c r="F139" s="134"/>
      <c r="G139" s="134"/>
      <c r="H139" s="134"/>
      <c r="I139" s="134"/>
      <c r="J139" s="134"/>
      <c r="K139" s="134"/>
      <c r="L139" s="134"/>
    </row>
    <row r="140" spans="2:12">
      <c r="B140" s="134"/>
      <c r="C140" s="134"/>
      <c r="D140" s="134"/>
      <c r="E140" s="134"/>
      <c r="F140" s="134"/>
      <c r="G140" s="134"/>
      <c r="H140" s="134"/>
      <c r="I140" s="134"/>
      <c r="J140" s="134"/>
      <c r="K140" s="134"/>
      <c r="L140" s="134"/>
    </row>
  </sheetData>
  <phoneticPr fontId="0" type="noConversion"/>
  <pageMargins left="0.15748031496062992" right="0.15748031496062992" top="0.39370078740157483" bottom="0.39370078740157483" header="0.51181102362204722" footer="0.51181102362204722"/>
  <pageSetup scale="80" orientation="landscape" r:id="rId1"/>
  <headerFooter alignWithMargins="0"/>
  <colBreaks count="10" manualBreakCount="10">
    <brk id="11" max="45" man="1"/>
    <brk id="21" max="1048575" man="1"/>
    <brk id="31" max="45" man="1"/>
    <brk id="41" max="1048575" man="1"/>
    <brk id="51" max="45" man="1"/>
    <brk id="61" max="1048575" man="1"/>
    <brk id="71" max="45" man="1"/>
    <brk id="81" max="1048575" man="1"/>
    <brk id="91" max="45" man="1"/>
    <brk id="101" max="1048575" man="1"/>
  </colBreaks>
</worksheet>
</file>

<file path=xl/worksheets/sheet20.xml><?xml version="1.0" encoding="utf-8"?>
<worksheet xmlns="http://schemas.openxmlformats.org/spreadsheetml/2006/main" xmlns:r="http://schemas.openxmlformats.org/officeDocument/2006/relationships">
  <dimension ref="A1:T56"/>
  <sheetViews>
    <sheetView view="pageBreakPreview" zoomScaleSheetLayoutView="100" workbookViewId="0">
      <selection activeCell="E9" sqref="E9"/>
    </sheetView>
  </sheetViews>
  <sheetFormatPr defaultRowHeight="12.75"/>
  <cols>
    <col min="1" max="1" width="9.375" style="172" customWidth="1"/>
    <col min="2" max="12" width="12" style="172" customWidth="1"/>
    <col min="13" max="20" width="9" style="172"/>
    <col min="21" max="21" width="0" style="172" hidden="1" customWidth="1"/>
    <col min="22" max="16384" width="9" style="172"/>
  </cols>
  <sheetData>
    <row r="1" spans="1:20" ht="31.5" customHeight="1">
      <c r="A1" s="172" t="s">
        <v>893</v>
      </c>
      <c r="S1" s="203" t="s">
        <v>914</v>
      </c>
    </row>
    <row r="2" spans="1:20" ht="25.5">
      <c r="B2" s="203" t="s">
        <v>868</v>
      </c>
      <c r="C2" s="203" t="s">
        <v>869</v>
      </c>
      <c r="D2" s="203" t="s">
        <v>890</v>
      </c>
      <c r="E2" s="203" t="s">
        <v>870</v>
      </c>
      <c r="F2" s="203" t="s">
        <v>871</v>
      </c>
      <c r="G2" s="203" t="s">
        <v>872</v>
      </c>
      <c r="H2" s="203" t="s">
        <v>873</v>
      </c>
      <c r="I2" s="203" t="s">
        <v>873</v>
      </c>
      <c r="J2" s="203" t="s">
        <v>473</v>
      </c>
      <c r="K2" s="203" t="s">
        <v>874</v>
      </c>
      <c r="L2" s="203" t="s">
        <v>875</v>
      </c>
      <c r="S2" s="172" t="s">
        <v>915</v>
      </c>
    </row>
    <row r="3" spans="1:20" ht="37.5" customHeight="1">
      <c r="B3" s="203" t="s">
        <v>876</v>
      </c>
      <c r="C3" s="203" t="s">
        <v>876</v>
      </c>
      <c r="D3" s="203" t="s">
        <v>891</v>
      </c>
      <c r="E3" s="203" t="s">
        <v>877</v>
      </c>
      <c r="F3" s="203" t="s">
        <v>878</v>
      </c>
      <c r="G3" s="203" t="s">
        <v>879</v>
      </c>
      <c r="H3" s="203" t="s">
        <v>880</v>
      </c>
      <c r="I3" s="203" t="s">
        <v>881</v>
      </c>
      <c r="J3" s="203" t="s">
        <v>882</v>
      </c>
      <c r="K3" s="203" t="s">
        <v>882</v>
      </c>
      <c r="L3" s="203" t="s">
        <v>883</v>
      </c>
    </row>
    <row r="4" spans="1:20">
      <c r="A4" s="272"/>
      <c r="B4" s="274" t="s">
        <v>105</v>
      </c>
      <c r="C4" s="274" t="s">
        <v>106</v>
      </c>
      <c r="D4" s="274" t="s">
        <v>107</v>
      </c>
      <c r="E4" s="274" t="s">
        <v>108</v>
      </c>
      <c r="F4" s="274" t="s">
        <v>109</v>
      </c>
      <c r="G4" s="274" t="s">
        <v>110</v>
      </c>
      <c r="H4" s="275" t="s">
        <v>892</v>
      </c>
      <c r="I4" s="275" t="s">
        <v>936</v>
      </c>
      <c r="J4" s="276" t="s">
        <v>138</v>
      </c>
      <c r="K4" s="276" t="s">
        <v>138</v>
      </c>
      <c r="L4" s="276" t="s">
        <v>935</v>
      </c>
      <c r="N4" s="172" t="s">
        <v>939</v>
      </c>
      <c r="P4" s="172" t="s">
        <v>940</v>
      </c>
      <c r="R4" s="172" t="s">
        <v>937</v>
      </c>
    </row>
    <row r="5" spans="1:20" hidden="1">
      <c r="A5" s="172">
        <v>1971</v>
      </c>
      <c r="B5" s="175">
        <v>112.59099999999999</v>
      </c>
      <c r="C5" s="176">
        <f>C6*B5/B6</f>
        <v>78.573046321893329</v>
      </c>
      <c r="D5" s="182">
        <f>C5/'a5-1'!C5*100</f>
        <v>0.49182687062468311</v>
      </c>
      <c r="E5" s="177">
        <v>17519</v>
      </c>
      <c r="F5" s="187">
        <f>H5/E5</f>
        <v>1.6931331697014669</v>
      </c>
      <c r="G5" s="179">
        <f>F5/K5*100</f>
        <v>7.6970219900281478</v>
      </c>
      <c r="H5" s="177">
        <v>29662</v>
      </c>
      <c r="I5" s="175">
        <f>H5/J5*100</f>
        <v>110096.69297179114</v>
      </c>
      <c r="J5" s="188">
        <v>26.941772000000004</v>
      </c>
      <c r="K5" s="183">
        <v>21.997250000000001</v>
      </c>
      <c r="L5" s="175">
        <f>I5/B5*1000</f>
        <v>977846.30185175675</v>
      </c>
    </row>
    <row r="6" spans="1:20" hidden="1">
      <c r="A6" s="172">
        <v>1972</v>
      </c>
      <c r="B6" s="175">
        <v>113.46</v>
      </c>
      <c r="C6" s="176">
        <f>C7*B6/B7</f>
        <v>79.179488908367603</v>
      </c>
      <c r="D6" s="182">
        <f>C6/'a5-1'!C6*100</f>
        <v>0.48990273346362095</v>
      </c>
      <c r="E6" s="175">
        <v>17872</v>
      </c>
      <c r="F6" s="182">
        <f>POWER(F$16/F$5,1/10)*F5</f>
        <v>1.8490140416247069</v>
      </c>
      <c r="G6" s="179">
        <f t="shared" ref="G6:G27" si="0">F6/K6*100</f>
        <v>8.0218398968522724</v>
      </c>
      <c r="H6" s="175">
        <v>33180</v>
      </c>
      <c r="I6" s="175">
        <f t="shared" ref="I6:I14" si="1">H6/J6*100</f>
        <v>117163.18376474212</v>
      </c>
      <c r="J6" s="188">
        <v>28.319476249999997</v>
      </c>
      <c r="K6" s="183">
        <v>23.049750000000003</v>
      </c>
      <c r="L6" s="175">
        <f t="shared" ref="L6:L43" si="2">I6/B6*1000</f>
        <v>1032638.6723492166</v>
      </c>
    </row>
    <row r="7" spans="1:20" hidden="1">
      <c r="A7" s="172">
        <v>1973</v>
      </c>
      <c r="B7" s="175">
        <v>114.62</v>
      </c>
      <c r="C7" s="176">
        <f>C8*B7/B8</f>
        <v>79.989009507113479</v>
      </c>
      <c r="D7" s="182">
        <f>C7/'a5-1'!C7*100</f>
        <v>0.48889740397856363</v>
      </c>
      <c r="E7" s="175">
        <v>18232</v>
      </c>
      <c r="F7" s="182">
        <f t="shared" ref="F7:F14" si="3">POWER(F$16/F$5,1/10)*F6</f>
        <v>2.0192463223245136</v>
      </c>
      <c r="G7" s="179">
        <f t="shared" si="0"/>
        <v>8.1293382274830428</v>
      </c>
      <c r="H7" s="175">
        <v>37115</v>
      </c>
      <c r="I7" s="175">
        <f t="shared" si="1"/>
        <v>120028.56301425984</v>
      </c>
      <c r="J7" s="188">
        <v>30.921806500000002</v>
      </c>
      <c r="K7" s="183">
        <v>24.839000000000009</v>
      </c>
      <c r="L7" s="175">
        <f t="shared" si="2"/>
        <v>1047186.9046785887</v>
      </c>
    </row>
    <row r="8" spans="1:20" hidden="1">
      <c r="A8" s="172">
        <v>1974</v>
      </c>
      <c r="B8" s="175">
        <v>115.962</v>
      </c>
      <c r="C8" s="176">
        <f>C9*B8/B9</f>
        <v>80.925541096352248</v>
      </c>
      <c r="D8" s="182">
        <f>C8/'a5-1'!C8*100</f>
        <v>0.48776448910168846</v>
      </c>
      <c r="E8" s="175">
        <v>18599</v>
      </c>
      <c r="F8" s="182">
        <f t="shared" si="3"/>
        <v>2.2051512960054911</v>
      </c>
      <c r="G8" s="179">
        <f t="shared" si="0"/>
        <v>7.9967771971695552</v>
      </c>
      <c r="H8" s="175">
        <v>41518</v>
      </c>
      <c r="I8" s="175">
        <f t="shared" si="1"/>
        <v>119744.26690667724</v>
      </c>
      <c r="J8" s="188">
        <v>34.672223625000001</v>
      </c>
      <c r="K8" s="183">
        <v>27.575500000000005</v>
      </c>
      <c r="L8" s="175">
        <f t="shared" si="2"/>
        <v>1032616.4338893536</v>
      </c>
    </row>
    <row r="9" spans="1:20" hidden="1">
      <c r="A9" s="172">
        <v>1975</v>
      </c>
      <c r="B9" s="175">
        <v>117.724</v>
      </c>
      <c r="C9" s="176">
        <f>C10*B9/B10</f>
        <v>82.155174971343811</v>
      </c>
      <c r="D9" s="182">
        <f>C9/'a5-1'!C9*100</f>
        <v>0.48800164971925136</v>
      </c>
      <c r="E9" s="175">
        <v>18974</v>
      </c>
      <c r="F9" s="182">
        <f t="shared" si="3"/>
        <v>2.4081718929055018</v>
      </c>
      <c r="G9" s="179">
        <f t="shared" si="0"/>
        <v>7.8898251876664798</v>
      </c>
      <c r="H9" s="175">
        <v>46442</v>
      </c>
      <c r="I9" s="175">
        <f t="shared" si="1"/>
        <v>120391.79360467655</v>
      </c>
      <c r="J9" s="188">
        <v>38.575718999999999</v>
      </c>
      <c r="K9" s="183">
        <v>30.522500000000008</v>
      </c>
      <c r="L9" s="175">
        <f t="shared" si="2"/>
        <v>1022661.4250677563</v>
      </c>
    </row>
    <row r="10" spans="1:20" hidden="1">
      <c r="A10" s="172">
        <v>1976</v>
      </c>
      <c r="B10" s="175">
        <v>118.648</v>
      </c>
      <c r="C10" s="175">
        <v>82.8</v>
      </c>
      <c r="D10" s="182">
        <f>C10/'a5-1'!C10*100</f>
        <v>0.48540274358072455</v>
      </c>
      <c r="E10" s="175">
        <v>19356</v>
      </c>
      <c r="F10" s="182">
        <f t="shared" si="3"/>
        <v>2.6298838888221239</v>
      </c>
      <c r="G10" s="179">
        <f t="shared" si="0"/>
        <v>8.034411678890784</v>
      </c>
      <c r="H10" s="175">
        <v>51950</v>
      </c>
      <c r="I10" s="175">
        <f t="shared" si="1"/>
        <v>123182.91017449726</v>
      </c>
      <c r="J10" s="188">
        <v>42.173057875000005</v>
      </c>
      <c r="K10" s="183">
        <v>32.73275000000001</v>
      </c>
      <c r="L10" s="175">
        <f t="shared" si="2"/>
        <v>1038221.547556615</v>
      </c>
    </row>
    <row r="11" spans="1:20" hidden="1">
      <c r="A11" s="172">
        <v>1977</v>
      </c>
      <c r="B11" s="175">
        <v>119.902</v>
      </c>
      <c r="C11" s="175">
        <v>84.6</v>
      </c>
      <c r="D11" s="182">
        <f>C11/'a5-1'!C11*100</f>
        <v>0.48521694244501157</v>
      </c>
      <c r="E11" s="175">
        <v>19746</v>
      </c>
      <c r="F11" s="182">
        <f t="shared" si="3"/>
        <v>2.8720081357404901</v>
      </c>
      <c r="G11" s="179">
        <f t="shared" si="0"/>
        <v>8.12127625760799</v>
      </c>
      <c r="H11" s="175">
        <v>58111</v>
      </c>
      <c r="I11" s="175">
        <f t="shared" si="1"/>
        <v>128248.75248178362</v>
      </c>
      <c r="J11" s="188">
        <v>45.311162000000003</v>
      </c>
      <c r="K11" s="183">
        <v>35.364000000000004</v>
      </c>
      <c r="L11" s="175">
        <f t="shared" si="2"/>
        <v>1069613.1213973381</v>
      </c>
    </row>
    <row r="12" spans="1:20" hidden="1">
      <c r="A12" s="172">
        <v>1978</v>
      </c>
      <c r="B12" s="175">
        <v>121.684</v>
      </c>
      <c r="C12" s="175">
        <v>86.6</v>
      </c>
      <c r="D12" s="182">
        <f>C12/'a5-1'!C12*100</f>
        <v>0.48709699192296441</v>
      </c>
      <c r="E12" s="175">
        <v>20144</v>
      </c>
      <c r="F12" s="182">
        <f t="shared" si="3"/>
        <v>3.1364239184924183</v>
      </c>
      <c r="G12" s="179">
        <f t="shared" si="0"/>
        <v>8.1420087963667509</v>
      </c>
      <c r="H12" s="175">
        <v>65004</v>
      </c>
      <c r="I12" s="175">
        <f t="shared" si="1"/>
        <v>134381.50799313007</v>
      </c>
      <c r="J12" s="188">
        <v>48.372727000000005</v>
      </c>
      <c r="K12" s="183">
        <v>38.521500000000003</v>
      </c>
      <c r="L12" s="175">
        <f t="shared" si="2"/>
        <v>1104348.2133487563</v>
      </c>
    </row>
    <row r="13" spans="1:20" hidden="1">
      <c r="A13" s="172">
        <v>1979</v>
      </c>
      <c r="B13" s="175">
        <v>122.88500000000001</v>
      </c>
      <c r="C13" s="175">
        <v>88.5</v>
      </c>
      <c r="D13" s="182">
        <f>C13/'a5-1'!C13*100</f>
        <v>0.48842676909831451</v>
      </c>
      <c r="E13" s="175">
        <v>20550</v>
      </c>
      <c r="F13" s="182">
        <f t="shared" si="3"/>
        <v>3.4251835411166138</v>
      </c>
      <c r="G13" s="179">
        <f t="shared" si="0"/>
        <v>8.1358278886380386</v>
      </c>
      <c r="H13" s="175">
        <v>72714</v>
      </c>
      <c r="I13" s="175">
        <f t="shared" si="1"/>
        <v>138487.45272186605</v>
      </c>
      <c r="J13" s="188">
        <v>52.50583975</v>
      </c>
      <c r="K13" s="183">
        <v>42.1</v>
      </c>
      <c r="L13" s="175">
        <f t="shared" si="2"/>
        <v>1126967.9189637958</v>
      </c>
    </row>
    <row r="14" spans="1:20" hidden="1">
      <c r="A14" s="172">
        <v>1980</v>
      </c>
      <c r="B14" s="175">
        <v>123.735</v>
      </c>
      <c r="C14" s="175">
        <v>89.8</v>
      </c>
      <c r="D14" s="182">
        <f>C14/'a5-1'!C14*100</f>
        <v>0.48583872102145154</v>
      </c>
      <c r="E14" s="175">
        <v>20964</v>
      </c>
      <c r="F14" s="182">
        <f t="shared" si="3"/>
        <v>3.7405282561342337</v>
      </c>
      <c r="G14" s="179">
        <f t="shared" si="0"/>
        <v>8.0614833106341255</v>
      </c>
      <c r="H14" s="175">
        <v>81338</v>
      </c>
      <c r="I14" s="175">
        <f t="shared" si="1"/>
        <v>140754.7451465193</v>
      </c>
      <c r="J14" s="188">
        <v>57.787039374999992</v>
      </c>
      <c r="K14" s="183">
        <v>46.4</v>
      </c>
      <c r="L14" s="175">
        <f t="shared" si="2"/>
        <v>1137549.9668365403</v>
      </c>
    </row>
    <row r="15" spans="1:20" hidden="1">
      <c r="B15" s="175"/>
      <c r="C15" s="175"/>
      <c r="D15" s="182"/>
      <c r="E15" s="175"/>
      <c r="F15" s="182"/>
      <c r="G15" s="179"/>
      <c r="I15" s="175"/>
      <c r="J15" s="175"/>
      <c r="K15" s="183"/>
      <c r="L15" s="175"/>
    </row>
    <row r="16" spans="1:20">
      <c r="A16" s="172">
        <v>1981</v>
      </c>
      <c r="B16" s="175">
        <f>'a1'!R19/1000</f>
        <v>123.551</v>
      </c>
      <c r="C16" s="175">
        <v>90.5</v>
      </c>
      <c r="D16" s="182">
        <f>C16/'a5-1'!C15*100</f>
        <v>0.48101454205289562</v>
      </c>
      <c r="E16" s="177">
        <v>106</v>
      </c>
      <c r="F16" s="187">
        <f>H16/E16</f>
        <v>4.0849056603773581</v>
      </c>
      <c r="G16" s="179">
        <f t="shared" si="0"/>
        <v>7.7512441373384391</v>
      </c>
      <c r="H16" s="177">
        <v>433</v>
      </c>
      <c r="I16" s="175">
        <f>H16/K16*100</f>
        <v>821.63187855787476</v>
      </c>
      <c r="J16" s="286">
        <f>'a8'!O19</f>
        <v>50.5</v>
      </c>
      <c r="K16" s="6">
        <f>'a1'!N19</f>
        <v>52.7</v>
      </c>
      <c r="L16" s="175">
        <f t="shared" si="2"/>
        <v>6650.1434918201776</v>
      </c>
      <c r="N16" s="172" t="s">
        <v>321</v>
      </c>
      <c r="O16" s="172" t="s">
        <v>450</v>
      </c>
      <c r="P16" s="172" t="s">
        <v>321</v>
      </c>
      <c r="Q16" s="172" t="s">
        <v>450</v>
      </c>
      <c r="R16" s="172" t="s">
        <v>321</v>
      </c>
      <c r="S16" s="172" t="s">
        <v>450</v>
      </c>
      <c r="T16" s="172" t="s">
        <v>625</v>
      </c>
    </row>
    <row r="17" spans="1:20">
      <c r="A17" s="172">
        <v>1982</v>
      </c>
      <c r="B17" s="175">
        <f>'a1'!R20/1000</f>
        <v>123.58799999999999</v>
      </c>
      <c r="C17" s="175">
        <v>91.1</v>
      </c>
      <c r="D17" s="182">
        <f>C17/'a5-1'!C16*100</f>
        <v>0.47687846142571477</v>
      </c>
      <c r="E17" s="175">
        <v>105.7992</v>
      </c>
      <c r="F17" s="182">
        <f>POWER(F$21/F$16,1/5)*F16</f>
        <v>4.3420254232270015</v>
      </c>
      <c r="G17" s="179">
        <f t="shared" si="0"/>
        <v>7.5121547114654001</v>
      </c>
      <c r="H17" s="175">
        <f>POWER(H21/H16,1/5)*H16</f>
        <v>459.38299410466021</v>
      </c>
      <c r="I17" s="175">
        <f t="shared" ref="I17:I42" si="4">H17/K17*100</f>
        <v>794.78026661705928</v>
      </c>
      <c r="J17" s="286">
        <f>'a8'!O20</f>
        <v>54.1</v>
      </c>
      <c r="K17" s="6">
        <f>'a1'!N20</f>
        <v>57.8</v>
      </c>
      <c r="L17" s="175">
        <f t="shared" si="2"/>
        <v>6430.8854145795649</v>
      </c>
      <c r="M17" s="172">
        <v>1961</v>
      </c>
      <c r="N17" s="172">
        <v>13988</v>
      </c>
      <c r="O17" s="172">
        <v>49</v>
      </c>
      <c r="P17" s="172">
        <v>14709</v>
      </c>
      <c r="Q17" s="172">
        <v>81</v>
      </c>
      <c r="R17" s="172">
        <f t="shared" ref="R17:S20" si="5">N17/P17</f>
        <v>0.95098239173295263</v>
      </c>
      <c r="S17" s="172">
        <f t="shared" si="5"/>
        <v>0.60493827160493829</v>
      </c>
      <c r="T17" s="198">
        <f>S17/R17*100</f>
        <v>63.611931920482114</v>
      </c>
    </row>
    <row r="18" spans="1:20">
      <c r="A18" s="172">
        <v>1983</v>
      </c>
      <c r="B18" s="175">
        <f>'a1'!R21/1000</f>
        <v>125.102</v>
      </c>
      <c r="C18" s="175">
        <v>92.6</v>
      </c>
      <c r="D18" s="182">
        <f>C18/'a5-1'!C17*100</f>
        <v>0.47842934642211316</v>
      </c>
      <c r="E18" s="175">
        <v>105.5989</v>
      </c>
      <c r="F18" s="182">
        <f>POWER(F$21/F$16,1/5)*F17</f>
        <v>4.6153292985003693</v>
      </c>
      <c r="G18" s="179">
        <f t="shared" si="0"/>
        <v>7.603507905272437</v>
      </c>
      <c r="H18" s="175">
        <f>POWER(H21/H16,1/5)*H17</f>
        <v>487.37352256942791</v>
      </c>
      <c r="I18" s="175">
        <f t="shared" si="4"/>
        <v>802.92178347516949</v>
      </c>
      <c r="J18" s="286">
        <f>'a8'!O21</f>
        <v>58.1</v>
      </c>
      <c r="K18" s="6">
        <f>'a1'!N21</f>
        <v>60.7</v>
      </c>
      <c r="L18" s="175">
        <f t="shared" si="2"/>
        <v>6418.137067953905</v>
      </c>
      <c r="M18" s="172">
        <v>1971</v>
      </c>
      <c r="N18" s="172">
        <v>29662</v>
      </c>
      <c r="O18" s="172">
        <v>85</v>
      </c>
      <c r="P18" s="172">
        <v>17519</v>
      </c>
      <c r="Q18" s="172">
        <v>86</v>
      </c>
      <c r="R18" s="172">
        <f t="shared" si="5"/>
        <v>1.6931331697014669</v>
      </c>
      <c r="S18" s="172">
        <f t="shared" si="5"/>
        <v>0.98837209302325579</v>
      </c>
      <c r="T18" s="198">
        <f>S18/R18*100</f>
        <v>58.375331055473055</v>
      </c>
    </row>
    <row r="19" spans="1:20">
      <c r="A19" s="172">
        <v>1984</v>
      </c>
      <c r="B19" s="175">
        <f>'a1'!R22/1000</f>
        <v>126.563</v>
      </c>
      <c r="C19" s="175">
        <v>94.1</v>
      </c>
      <c r="D19" s="182">
        <f>C19/'a5-1'!C18*100</f>
        <v>0.48015348583266571</v>
      </c>
      <c r="E19" s="175">
        <v>105.3989</v>
      </c>
      <c r="F19" s="182">
        <f>POWER(F$21/F$16,1/5)*F18</f>
        <v>4.9058359768342328</v>
      </c>
      <c r="G19" s="179">
        <f t="shared" si="0"/>
        <v>7.7501358243826743</v>
      </c>
      <c r="H19" s="175">
        <f>POWER(H21/H16,1/5)*H18</f>
        <v>517.06953359186832</v>
      </c>
      <c r="I19" s="175">
        <f t="shared" si="4"/>
        <v>816.85550330468925</v>
      </c>
      <c r="J19" s="286">
        <f>'a8'!O22</f>
        <v>58.2</v>
      </c>
      <c r="K19" s="6">
        <f>'a1'!N22</f>
        <v>63.3</v>
      </c>
      <c r="L19" s="175">
        <f t="shared" si="2"/>
        <v>6454.1414418486384</v>
      </c>
      <c r="M19" s="172">
        <v>1981</v>
      </c>
      <c r="N19" s="172">
        <v>90985</v>
      </c>
      <c r="O19" s="172">
        <v>433</v>
      </c>
      <c r="P19" s="172">
        <v>21386</v>
      </c>
      <c r="Q19" s="172">
        <v>106</v>
      </c>
      <c r="R19" s="172">
        <f t="shared" si="5"/>
        <v>4.2544187786402317</v>
      </c>
      <c r="S19" s="172">
        <f t="shared" si="5"/>
        <v>4.0849056603773581</v>
      </c>
      <c r="T19" s="198">
        <f>S19/R19*100</f>
        <v>96.015598673221064</v>
      </c>
    </row>
    <row r="20" spans="1:20">
      <c r="A20" s="172">
        <v>1985</v>
      </c>
      <c r="B20" s="175">
        <f>'a1'!R23/1000</f>
        <v>127.619</v>
      </c>
      <c r="C20" s="175">
        <v>95.3</v>
      </c>
      <c r="D20" s="182">
        <f>C20/'a5-1'!C19*100</f>
        <v>0.48027738160633382</v>
      </c>
      <c r="E20" s="175">
        <v>105.1992</v>
      </c>
      <c r="F20" s="182">
        <f>POWER(F$21/F$16,1/5)*F19</f>
        <v>5.2146282691943799</v>
      </c>
      <c r="G20" s="179">
        <f t="shared" si="0"/>
        <v>7.9491284591377749</v>
      </c>
      <c r="H20" s="175">
        <f>POWER(H21/H16,1/5)*H19</f>
        <v>548.57494342201539</v>
      </c>
      <c r="I20" s="175">
        <f t="shared" si="4"/>
        <v>836.24229180185273</v>
      </c>
      <c r="J20" s="286">
        <f>'a8'!O23</f>
        <v>60.8</v>
      </c>
      <c r="K20" s="6">
        <f>'a1'!N23</f>
        <v>65.599999999999994</v>
      </c>
      <c r="L20" s="175">
        <f t="shared" si="2"/>
        <v>6552.6472688381255</v>
      </c>
      <c r="M20" s="172">
        <v>1986</v>
      </c>
      <c r="N20" s="172">
        <v>132253</v>
      </c>
      <c r="O20" s="172">
        <v>582</v>
      </c>
      <c r="P20" s="172">
        <v>21511</v>
      </c>
      <c r="Q20" s="172">
        <v>105</v>
      </c>
      <c r="R20" s="172">
        <f t="shared" si="5"/>
        <v>6.1481567570080422</v>
      </c>
      <c r="S20" s="172">
        <f t="shared" si="5"/>
        <v>5.5428571428571427</v>
      </c>
      <c r="T20" s="198">
        <f>S20/R20*100</f>
        <v>90.15477909763861</v>
      </c>
    </row>
    <row r="21" spans="1:20">
      <c r="A21" s="172">
        <v>1986</v>
      </c>
      <c r="B21" s="175">
        <f>'a1'!R24/1000</f>
        <v>128.43600000000001</v>
      </c>
      <c r="C21" s="175">
        <v>96</v>
      </c>
      <c r="D21" s="182">
        <f>C21/'a5-1'!C20*100</f>
        <v>0.47777357513984825</v>
      </c>
      <c r="E21" s="177">
        <v>105</v>
      </c>
      <c r="F21" s="187">
        <f>H21/E21</f>
        <v>5.5428571428571427</v>
      </c>
      <c r="G21" s="179">
        <f t="shared" si="0"/>
        <v>8.272921108742004</v>
      </c>
      <c r="H21" s="177">
        <v>582</v>
      </c>
      <c r="I21" s="175">
        <f t="shared" si="4"/>
        <v>868.65671641791039</v>
      </c>
      <c r="J21" s="286">
        <f>'a8'!O24</f>
        <v>65.7</v>
      </c>
      <c r="K21" s="6">
        <f>'a1'!N24</f>
        <v>67</v>
      </c>
      <c r="L21" s="175">
        <f t="shared" si="2"/>
        <v>6763.3429600572299</v>
      </c>
      <c r="P21" s="172" t="s">
        <v>938</v>
      </c>
      <c r="S21" s="198">
        <f>AVERAGE(T17:T20)</f>
        <v>77.039410186703705</v>
      </c>
    </row>
    <row r="22" spans="1:20">
      <c r="A22" s="172">
        <v>1987</v>
      </c>
      <c r="B22" s="175">
        <f>'a1'!R25/1000</f>
        <v>128.64099999999999</v>
      </c>
      <c r="C22" s="175">
        <v>96.3</v>
      </c>
      <c r="D22" s="182">
        <f>C22/'a5-1'!C21*100</f>
        <v>0.47326285992303951</v>
      </c>
      <c r="E22" s="175">
        <v>106.4491</v>
      </c>
      <c r="F22" s="182">
        <f>POWER(F$27/F$21,1/6)*F21</f>
        <v>5.7908202464559428</v>
      </c>
      <c r="G22" s="179">
        <f t="shared" si="0"/>
        <v>8.3441213925878142</v>
      </c>
      <c r="H22" s="175">
        <f>POWER(H27/H21,1/6)*H21</f>
        <v>662.83145113591434</v>
      </c>
      <c r="I22" s="175">
        <f t="shared" si="4"/>
        <v>955.088546305352</v>
      </c>
      <c r="J22" s="286">
        <f>'a8'!O25</f>
        <v>69</v>
      </c>
      <c r="K22" s="6">
        <f>'a1'!N25</f>
        <v>69.400000000000006</v>
      </c>
      <c r="L22" s="175">
        <f t="shared" si="2"/>
        <v>7424.4490194055716</v>
      </c>
    </row>
    <row r="23" spans="1:20">
      <c r="A23" s="172">
        <v>1988</v>
      </c>
      <c r="B23" s="175">
        <f>'a1'!R26/1000</f>
        <v>129.28899999999999</v>
      </c>
      <c r="C23" s="175">
        <v>96.9</v>
      </c>
      <c r="D23" s="182">
        <f>C23/'a5-1'!C22*100</f>
        <v>0.47010993489292746</v>
      </c>
      <c r="E23" s="175">
        <v>107.9181</v>
      </c>
      <c r="F23" s="182">
        <f>POWER(F$27/F$21,1/6)*F22</f>
        <v>6.0498761311172284</v>
      </c>
      <c r="G23" s="179">
        <f t="shared" si="0"/>
        <v>8.4142922546832111</v>
      </c>
      <c r="H23" s="175">
        <f>POWER(H27/H21,1/6)*H22</f>
        <v>754.88923129715124</v>
      </c>
      <c r="I23" s="175">
        <f t="shared" si="4"/>
        <v>1049.9154816372061</v>
      </c>
      <c r="J23" s="286">
        <f>'a8'!O26</f>
        <v>73.5</v>
      </c>
      <c r="K23" s="6">
        <f>'a1'!N26</f>
        <v>71.900000000000006</v>
      </c>
      <c r="L23" s="175">
        <f t="shared" si="2"/>
        <v>8120.6868460364476</v>
      </c>
    </row>
    <row r="24" spans="1:20">
      <c r="A24" s="172">
        <v>1989</v>
      </c>
      <c r="B24" s="175">
        <f>'a1'!R27/1000</f>
        <v>130.15299999999999</v>
      </c>
      <c r="C24" s="175">
        <v>97.5</v>
      </c>
      <c r="D24" s="182">
        <f>C24/'a5-1'!C23*100</f>
        <v>0.46654066081297701</v>
      </c>
      <c r="E24" s="175">
        <v>109.4075</v>
      </c>
      <c r="F24" s="182">
        <f>POWER(F$27/F$21,1/6)*F23</f>
        <v>6.3205210391847775</v>
      </c>
      <c r="G24" s="179">
        <f t="shared" si="0"/>
        <v>8.4725483098991674</v>
      </c>
      <c r="H24" s="175">
        <f>POWER(H27/H21,1/6)*H23</f>
        <v>859.73251654220905</v>
      </c>
      <c r="I24" s="175">
        <f t="shared" si="4"/>
        <v>1152.4564564908969</v>
      </c>
      <c r="J24" s="286">
        <f>'a8'!O27</f>
        <v>77.099999999999994</v>
      </c>
      <c r="K24" s="6">
        <f>'a1'!N27</f>
        <v>74.599999999999994</v>
      </c>
      <c r="L24" s="175">
        <f t="shared" si="2"/>
        <v>8854.6284487556732</v>
      </c>
    </row>
    <row r="25" spans="1:20">
      <c r="A25" s="172">
        <v>1990</v>
      </c>
      <c r="B25" s="175">
        <f>'a1'!R28/1000</f>
        <v>130.404</v>
      </c>
      <c r="C25" s="175">
        <v>98.1</v>
      </c>
      <c r="D25" s="182">
        <f>C25/'a5-1'!C24*100</f>
        <v>0.46241521209350112</v>
      </c>
      <c r="E25" s="175">
        <v>110.9174</v>
      </c>
      <c r="F25" s="182">
        <f>POWER(F$27/F$21,1/6)*F24</f>
        <v>6.6032734127070558</v>
      </c>
      <c r="G25" s="179">
        <f t="shared" si="0"/>
        <v>8.4225426182487944</v>
      </c>
      <c r="H25" s="175">
        <f>POWER(H27/H21,1/6)*H24</f>
        <v>979.1370301175325</v>
      </c>
      <c r="I25" s="175">
        <f t="shared" si="4"/>
        <v>1248.8992731090975</v>
      </c>
      <c r="J25" s="286">
        <f>'a8'!O28</f>
        <v>80.7</v>
      </c>
      <c r="K25" s="6">
        <f>'a1'!N28</f>
        <v>78.400000000000006</v>
      </c>
      <c r="L25" s="175">
        <f t="shared" si="2"/>
        <v>9577.1546356637646</v>
      </c>
      <c r="N25" s="210"/>
    </row>
    <row r="26" spans="1:20">
      <c r="A26" s="172">
        <v>1991</v>
      </c>
      <c r="B26" s="175">
        <f>'a1'!R29/1000</f>
        <v>130.369</v>
      </c>
      <c r="C26" s="175">
        <v>98.5</v>
      </c>
      <c r="D26" s="182">
        <f>C26/'a5-1'!C25*100</f>
        <v>0.45743104865487411</v>
      </c>
      <c r="E26" s="175">
        <v>112.4481</v>
      </c>
      <c r="F26" s="182">
        <f>POWER(F$27/F$21,1/6)*F25</f>
        <v>6.8986748865545806</v>
      </c>
      <c r="G26" s="179">
        <f t="shared" si="0"/>
        <v>8.1834814787124337</v>
      </c>
      <c r="H26" s="175">
        <f>POWER(H27/H21,1/6)*H25</f>
        <v>1115.1251177555216</v>
      </c>
      <c r="I26" s="175">
        <f t="shared" si="4"/>
        <v>1322.8055963885192</v>
      </c>
      <c r="J26" s="286">
        <f>'a8'!O29</f>
        <v>84.1</v>
      </c>
      <c r="K26" s="6">
        <f>'a1'!N29</f>
        <v>84.3</v>
      </c>
      <c r="L26" s="175">
        <f t="shared" si="2"/>
        <v>10146.626854455577</v>
      </c>
      <c r="N26" s="210"/>
    </row>
    <row r="27" spans="1:20">
      <c r="A27" s="172">
        <v>1992</v>
      </c>
      <c r="B27" s="175">
        <f>'a1'!R30/1000</f>
        <v>130.827</v>
      </c>
      <c r="C27" s="175">
        <v>99.6</v>
      </c>
      <c r="D27" s="182">
        <f>C27/'a5-1'!C26*100</f>
        <v>0.45645777765556683</v>
      </c>
      <c r="E27" s="177">
        <v>114</v>
      </c>
      <c r="F27" s="187">
        <f>'a5-1'!E26*'a5-3'!S21/100</f>
        <v>7.2072913259649933</v>
      </c>
      <c r="G27" s="179">
        <f t="shared" si="0"/>
        <v>8.4791662658411688</v>
      </c>
      <c r="H27" s="177">
        <v>1270</v>
      </c>
      <c r="I27" s="175">
        <f t="shared" si="4"/>
        <v>1494.1176470588236</v>
      </c>
      <c r="J27" s="286">
        <f>'a8'!O30</f>
        <v>85.2</v>
      </c>
      <c r="K27" s="6">
        <f>'a1'!N30</f>
        <v>85</v>
      </c>
      <c r="L27" s="175">
        <f t="shared" si="2"/>
        <v>11420.560335854399</v>
      </c>
      <c r="N27" s="210"/>
    </row>
    <row r="28" spans="1:20">
      <c r="A28" s="172">
        <v>1993</v>
      </c>
      <c r="B28" s="175">
        <f>'a1'!R31/1000</f>
        <v>132.17699999999999</v>
      </c>
      <c r="C28" s="175">
        <v>100.8</v>
      </c>
      <c r="D28" s="182">
        <f>C28/'a5-1'!C27*100</f>
        <v>0.45625517700256635</v>
      </c>
      <c r="E28" s="175">
        <f>E27*POWER(E$33/E$27, 1/6)</f>
        <v>117.77741377299871</v>
      </c>
      <c r="F28" s="182">
        <f>G28*K28/100</f>
        <v>7.4133064427028499</v>
      </c>
      <c r="G28" s="179">
        <f>G27*(1+'a5-1'!$P$47/100)</f>
        <v>8.5604000493104504</v>
      </c>
      <c r="H28" s="175">
        <f>E28*F28</f>
        <v>873.1200603282507</v>
      </c>
      <c r="I28" s="175">
        <f t="shared" si="4"/>
        <v>1008.2217786700355</v>
      </c>
      <c r="J28" s="286">
        <f>'a8'!O31</f>
        <v>88.7</v>
      </c>
      <c r="K28" s="6">
        <f>'a1'!N31</f>
        <v>86.6</v>
      </c>
      <c r="L28" s="175">
        <f t="shared" si="2"/>
        <v>7627.815570560957</v>
      </c>
      <c r="N28" s="210"/>
    </row>
    <row r="29" spans="1:20">
      <c r="A29" s="172">
        <v>1994</v>
      </c>
      <c r="B29" s="175">
        <f>'a1'!R32/1000</f>
        <v>133.43700000000001</v>
      </c>
      <c r="C29" s="175">
        <v>102.1</v>
      </c>
      <c r="D29" s="182">
        <f>C29/'a5-1'!C28*100</f>
        <v>0.45646177300303559</v>
      </c>
      <c r="E29" s="175">
        <f>E28*POWER(E$33/E$27, 1/6)</f>
        <v>121.679992939089</v>
      </c>
      <c r="F29" s="182">
        <f t="shared" ref="F29:F43" si="6">G29*K29/100</f>
        <v>7.4670440411958872</v>
      </c>
      <c r="G29" s="179">
        <f>G28*(1+'a5-1'!$P$47/100)</f>
        <v>8.6424120847174617</v>
      </c>
      <c r="H29" s="175">
        <f t="shared" ref="H29:H42" si="7">E29*F29</f>
        <v>908.58986620858218</v>
      </c>
      <c r="I29" s="175">
        <f t="shared" si="4"/>
        <v>1051.6086414451183</v>
      </c>
      <c r="J29" s="286">
        <f>'a8'!O32</f>
        <v>86.3</v>
      </c>
      <c r="K29" s="6">
        <f>'a1'!N32</f>
        <v>86.4</v>
      </c>
      <c r="L29" s="175">
        <f t="shared" si="2"/>
        <v>7880.9373820238634</v>
      </c>
      <c r="N29" s="210"/>
    </row>
    <row r="30" spans="1:20">
      <c r="A30" s="172">
        <v>1995</v>
      </c>
      <c r="B30" s="175">
        <f>'a1'!R33/1000</f>
        <v>134.41499999999999</v>
      </c>
      <c r="C30" s="175">
        <v>103.2</v>
      </c>
      <c r="D30" s="182">
        <f>C30/'a5-1'!C29*100</f>
        <v>0.45542806707855255</v>
      </c>
      <c r="E30" s="175">
        <f>E29*POWER(E$33/E$27, 1/6)</f>
        <v>125.71188487967235</v>
      </c>
      <c r="F30" s="182">
        <f t="shared" si="6"/>
        <v>7.6607342290060725</v>
      </c>
      <c r="G30" s="179">
        <f>G29*(1+'a5-1'!$P$47/100)</f>
        <v>8.7252098280251396</v>
      </c>
      <c r="H30" s="175">
        <f t="shared" si="7"/>
        <v>963.04533949057691</v>
      </c>
      <c r="I30" s="175">
        <f t="shared" si="4"/>
        <v>1096.8625734516822</v>
      </c>
      <c r="J30" s="286">
        <f>'a8'!O33</f>
        <v>85.6</v>
      </c>
      <c r="K30" s="6">
        <f>'a1'!N33</f>
        <v>87.8</v>
      </c>
      <c r="L30" s="175">
        <f t="shared" si="2"/>
        <v>8160.2691176705148</v>
      </c>
      <c r="N30" s="210"/>
    </row>
    <row r="31" spans="1:20">
      <c r="A31" s="172">
        <v>1996</v>
      </c>
      <c r="B31" s="175">
        <f>'a1'!R34/1000</f>
        <v>135.73699999999999</v>
      </c>
      <c r="C31" s="175">
        <v>104.4</v>
      </c>
      <c r="D31" s="182">
        <f>C31/'a5-1'!C30*100</f>
        <v>0.45471373505520596</v>
      </c>
      <c r="E31" s="175">
        <f>E30*POWER(E$33/E$27, 1/6)</f>
        <v>129.87737440049781</v>
      </c>
      <c r="F31" s="182">
        <f t="shared" si="6"/>
        <v>7.875067921124991</v>
      </c>
      <c r="G31" s="179">
        <f>G30*(1+'a5-1'!$P$47/100)</f>
        <v>8.8088008066275059</v>
      </c>
      <c r="H31" s="175">
        <f t="shared" si="7"/>
        <v>1022.7931448213004</v>
      </c>
      <c r="I31" s="175">
        <f t="shared" si="4"/>
        <v>1144.0639203817677</v>
      </c>
      <c r="J31" s="286">
        <f>'a8'!O34</f>
        <v>88.2</v>
      </c>
      <c r="K31" s="6">
        <f>'a1'!N34</f>
        <v>89.4</v>
      </c>
      <c r="L31" s="175">
        <f t="shared" si="2"/>
        <v>8428.5340060688522</v>
      </c>
      <c r="N31" s="210"/>
    </row>
    <row r="32" spans="1:20">
      <c r="A32" s="172">
        <v>1997</v>
      </c>
      <c r="B32" s="175">
        <f>'a1'!R35/1000</f>
        <v>136.095</v>
      </c>
      <c r="C32" s="175">
        <v>105.1</v>
      </c>
      <c r="D32" s="182">
        <f>C32/'a5-1'!C31*100</f>
        <v>0.45210718080415707</v>
      </c>
      <c r="E32" s="175">
        <f>E31*POWER(E$33/E$27, 1/6)</f>
        <v>134.18088828524651</v>
      </c>
      <c r="F32" s="182">
        <f t="shared" si="6"/>
        <v>8.048339321130781</v>
      </c>
      <c r="G32" s="179">
        <f>G31*(1+'a5-1'!$P$47/100)</f>
        <v>8.8931926200340126</v>
      </c>
      <c r="H32" s="175">
        <f t="shared" si="7"/>
        <v>1079.933319330406</v>
      </c>
      <c r="I32" s="175">
        <f t="shared" si="4"/>
        <v>1193.2964854479626</v>
      </c>
      <c r="J32" s="286">
        <f>'a8'!O35</f>
        <v>87.1</v>
      </c>
      <c r="K32" s="6">
        <f>'a1'!N35</f>
        <v>90.5</v>
      </c>
      <c r="L32" s="175">
        <f t="shared" si="2"/>
        <v>8768.1140780187561</v>
      </c>
      <c r="N32" s="210"/>
    </row>
    <row r="33" spans="1:19">
      <c r="A33" s="172">
        <v>1998</v>
      </c>
      <c r="B33" s="175">
        <f>'a1'!R36/1000</f>
        <v>135.804</v>
      </c>
      <c r="C33" s="175">
        <v>105.5</v>
      </c>
      <c r="D33" s="182">
        <f>C33/'a5-1'!C32*100</f>
        <v>0.44863644288709248</v>
      </c>
      <c r="E33" s="177">
        <f>C33*S33*365/1000</f>
        <v>138.62700000000001</v>
      </c>
      <c r="F33" s="182">
        <f t="shared" si="6"/>
        <v>8.0895320394449453</v>
      </c>
      <c r="G33" s="179">
        <f>G32*(1+'a5-1'!$P$47/100)</f>
        <v>8.978392940560429</v>
      </c>
      <c r="H33" s="175">
        <f t="shared" si="7"/>
        <v>1121.4275580321346</v>
      </c>
      <c r="I33" s="175">
        <f t="shared" si="4"/>
        <v>1244.6476781710708</v>
      </c>
      <c r="J33" s="286">
        <f>'a8'!O36</f>
        <v>88.7</v>
      </c>
      <c r="K33" s="6">
        <f>'a1'!N36</f>
        <v>90.1</v>
      </c>
      <c r="L33" s="175">
        <f t="shared" si="2"/>
        <v>9165.0295880170743</v>
      </c>
      <c r="N33" s="210"/>
      <c r="S33" s="172">
        <v>3.6</v>
      </c>
    </row>
    <row r="34" spans="1:19">
      <c r="A34" s="172">
        <v>1999</v>
      </c>
      <c r="B34" s="175">
        <f>'a1'!R37/1000</f>
        <v>136.28100000000001</v>
      </c>
      <c r="C34" s="175">
        <v>106.3</v>
      </c>
      <c r="D34" s="182">
        <f>C34/'a5-1'!C33*100</f>
        <v>0.44698798220457997</v>
      </c>
      <c r="E34" s="175">
        <f t="shared" ref="E34:E43" si="8">C34*S34*365/1000</f>
        <v>139.6782</v>
      </c>
      <c r="F34" s="182">
        <f t="shared" si="6"/>
        <v>8.2667414767920437</v>
      </c>
      <c r="G34" s="179">
        <f>G33*(1+'a5-1'!$P$47/100)</f>
        <v>9.0644095140263641</v>
      </c>
      <c r="H34" s="175">
        <f t="shared" si="7"/>
        <v>1154.6835693436544</v>
      </c>
      <c r="I34" s="175">
        <f t="shared" si="4"/>
        <v>1266.1004049820772</v>
      </c>
      <c r="J34" s="286">
        <f>'a8'!O37</f>
        <v>90.2</v>
      </c>
      <c r="K34" s="6">
        <f>'a1'!N37</f>
        <v>91.2</v>
      </c>
      <c r="L34" s="175">
        <f t="shared" si="2"/>
        <v>9290.3662651585855</v>
      </c>
      <c r="N34" s="210"/>
      <c r="S34" s="191">
        <f t="shared" ref="S34:S39" si="9">S33*POWER(S$40/S$33, 1/7)</f>
        <v>3.6</v>
      </c>
    </row>
    <row r="35" spans="1:19">
      <c r="A35" s="172">
        <v>2000</v>
      </c>
      <c r="B35" s="175">
        <f>'a1'!R38/1000</f>
        <v>136.47</v>
      </c>
      <c r="C35" s="175">
        <v>106.9</v>
      </c>
      <c r="D35" s="182">
        <f>C35/'a5-1'!C34*100</f>
        <v>0.44375812069058562</v>
      </c>
      <c r="E35" s="175">
        <f t="shared" si="8"/>
        <v>140.4666</v>
      </c>
      <c r="F35" s="182">
        <f t="shared" si="6"/>
        <v>8.6845364022760219</v>
      </c>
      <c r="G35" s="179">
        <f>G34*(1+'a5-1'!$P$47/100)</f>
        <v>9.1512501604594547</v>
      </c>
      <c r="H35" s="175">
        <f t="shared" si="7"/>
        <v>1219.8873010039451</v>
      </c>
      <c r="I35" s="175">
        <f t="shared" si="4"/>
        <v>1285.4449957891939</v>
      </c>
      <c r="J35" s="286">
        <f>'a8'!O38</f>
        <v>94.3</v>
      </c>
      <c r="K35" s="6">
        <f>'a1'!N38</f>
        <v>94.9</v>
      </c>
      <c r="L35" s="175">
        <f t="shared" si="2"/>
        <v>9419.2496210829777</v>
      </c>
      <c r="N35" s="210"/>
      <c r="S35" s="191">
        <f t="shared" si="9"/>
        <v>3.6</v>
      </c>
    </row>
    <row r="36" spans="1:19">
      <c r="A36" s="172">
        <v>2001</v>
      </c>
      <c r="B36" s="175">
        <f>'a1'!R39/1000</f>
        <v>136.66300000000001</v>
      </c>
      <c r="C36" s="175">
        <v>107.8</v>
      </c>
      <c r="D36" s="182">
        <f>C36/'a5-1'!C35*100</f>
        <v>0.44109824460902652</v>
      </c>
      <c r="E36" s="175">
        <f t="shared" si="8"/>
        <v>141.64919999999998</v>
      </c>
      <c r="F36" s="182">
        <f t="shared" si="6"/>
        <v>8.9987107826613499</v>
      </c>
      <c r="G36" s="179">
        <f>G35*(1+'a5-1'!$P$47/100)</f>
        <v>9.2389227748063139</v>
      </c>
      <c r="H36" s="175">
        <f t="shared" si="7"/>
        <v>1274.6601833953539</v>
      </c>
      <c r="I36" s="175">
        <f t="shared" si="4"/>
        <v>1308.6860199130942</v>
      </c>
      <c r="J36" s="286">
        <f>'a8'!O39</f>
        <v>97.1</v>
      </c>
      <c r="K36" s="6">
        <f>'a1'!N39</f>
        <v>97.4</v>
      </c>
      <c r="L36" s="175">
        <f t="shared" si="2"/>
        <v>9576.0082825131467</v>
      </c>
      <c r="N36" s="210"/>
      <c r="S36" s="191">
        <f t="shared" si="9"/>
        <v>3.6</v>
      </c>
    </row>
    <row r="37" spans="1:19">
      <c r="A37" s="172">
        <v>2002</v>
      </c>
      <c r="B37" s="175">
        <f>'a1'!R40/1000</f>
        <v>136.876</v>
      </c>
      <c r="C37" s="175">
        <v>108.7</v>
      </c>
      <c r="D37" s="182">
        <f>C37/'a5-1'!C36*100</f>
        <v>0.43855579180098359</v>
      </c>
      <c r="E37" s="175">
        <f t="shared" si="8"/>
        <v>142.83179999999999</v>
      </c>
      <c r="F37" s="182">
        <f t="shared" si="6"/>
        <v>9.3274353276502779</v>
      </c>
      <c r="G37" s="179">
        <f>G36*(1+'a5-1'!$P$47/100)</f>
        <v>9.3274353276502779</v>
      </c>
      <c r="H37" s="175">
        <f t="shared" si="7"/>
        <v>1332.2543772318788</v>
      </c>
      <c r="I37" s="175">
        <f t="shared" si="4"/>
        <v>1332.2543772318788</v>
      </c>
      <c r="J37" s="286">
        <f>'a8'!O40</f>
        <v>100</v>
      </c>
      <c r="K37" s="6">
        <f>'a1'!N40</f>
        <v>100</v>
      </c>
      <c r="L37" s="175">
        <f t="shared" si="2"/>
        <v>9733.2942022843945</v>
      </c>
      <c r="N37" s="210"/>
      <c r="S37" s="191">
        <f t="shared" si="9"/>
        <v>3.6</v>
      </c>
    </row>
    <row r="38" spans="1:19">
      <c r="A38" s="172">
        <v>2003</v>
      </c>
      <c r="B38" s="175">
        <f>'a1'!R41/1000</f>
        <v>137.221</v>
      </c>
      <c r="C38" s="175">
        <v>109.5</v>
      </c>
      <c r="D38" s="182">
        <f>C38/'a5-1'!C37*100</f>
        <v>0.43628105265254896</v>
      </c>
      <c r="E38" s="175">
        <f t="shared" si="8"/>
        <v>143.88300000000001</v>
      </c>
      <c r="F38" s="182">
        <f t="shared" si="6"/>
        <v>9.746383721243804</v>
      </c>
      <c r="G38" s="179">
        <f>G37*(1+'a5-1'!$P$47/100)</f>
        <v>9.4167958659360433</v>
      </c>
      <c r="H38" s="175">
        <f t="shared" si="7"/>
        <v>1402.3389289637223</v>
      </c>
      <c r="I38" s="175">
        <f t="shared" si="4"/>
        <v>1354.9168395784757</v>
      </c>
      <c r="J38" s="286">
        <f>'a8'!O41</f>
        <v>100.5</v>
      </c>
      <c r="K38" s="6">
        <f>'a1'!N41</f>
        <v>103.5</v>
      </c>
      <c r="L38" s="175">
        <f t="shared" si="2"/>
        <v>9873.975846105739</v>
      </c>
      <c r="N38" s="210"/>
      <c r="S38" s="191">
        <f t="shared" si="9"/>
        <v>3.6</v>
      </c>
    </row>
    <row r="39" spans="1:19">
      <c r="A39" s="172">
        <v>2004</v>
      </c>
      <c r="B39" s="175">
        <f>'a1'!R42/1000</f>
        <v>137.67400000000001</v>
      </c>
      <c r="C39" s="175">
        <v>110.5</v>
      </c>
      <c r="D39" s="182">
        <f>C39/'a5-1'!C38*100</f>
        <v>0.43450906374110337</v>
      </c>
      <c r="E39" s="175">
        <f t="shared" si="8"/>
        <v>145.197</v>
      </c>
      <c r="F39" s="182">
        <f t="shared" si="6"/>
        <v>10.058419239495903</v>
      </c>
      <c r="G39" s="179">
        <f>G38*(1+'a5-1'!$P$47/100)</f>
        <v>9.5070125137012322</v>
      </c>
      <c r="H39" s="175">
        <f t="shared" si="7"/>
        <v>1460.4522983170866</v>
      </c>
      <c r="I39" s="175">
        <f t="shared" si="4"/>
        <v>1380.3896959518777</v>
      </c>
      <c r="J39" s="286">
        <f>'a8'!O42</f>
        <v>102.7</v>
      </c>
      <c r="K39" s="6">
        <f>'a1'!N42</f>
        <v>105.8</v>
      </c>
      <c r="L39" s="175">
        <f t="shared" si="2"/>
        <v>10026.509696470486</v>
      </c>
      <c r="N39" s="210"/>
      <c r="S39" s="191">
        <f t="shared" si="9"/>
        <v>3.6</v>
      </c>
    </row>
    <row r="40" spans="1:19">
      <c r="A40" s="172">
        <v>2005</v>
      </c>
      <c r="B40" s="175">
        <f>'a1'!R43/1000</f>
        <v>138.05500000000001</v>
      </c>
      <c r="C40" s="175">
        <v>111.4</v>
      </c>
      <c r="D40" s="182">
        <f>C40/'a5-1'!C39*100</f>
        <v>0.43212127324494376</v>
      </c>
      <c r="E40" s="177">
        <f t="shared" si="8"/>
        <v>146.37960000000001</v>
      </c>
      <c r="F40" s="182">
        <f t="shared" si="6"/>
        <v>10.471519978841142</v>
      </c>
      <c r="G40" s="179">
        <f>G39*(1+'a5-1'!$P$47/100)</f>
        <v>9.5980934728149805</v>
      </c>
      <c r="H40" s="175">
        <f t="shared" si="7"/>
        <v>1532.8169058947749</v>
      </c>
      <c r="I40" s="175">
        <f t="shared" si="4"/>
        <v>1404.9650833132675</v>
      </c>
      <c r="J40" s="286">
        <f>'a8'!O43</f>
        <v>104.5</v>
      </c>
      <c r="K40" s="6">
        <f>'a1'!N43</f>
        <v>109.1</v>
      </c>
      <c r="L40" s="175">
        <f t="shared" si="2"/>
        <v>10176.850409715458</v>
      </c>
      <c r="N40" s="210"/>
      <c r="S40" s="172">
        <v>3.6</v>
      </c>
    </row>
    <row r="41" spans="1:19">
      <c r="A41" s="172">
        <v>2006</v>
      </c>
      <c r="B41" s="175">
        <f>'a1'!R44/1000</f>
        <v>137.91999999999999</v>
      </c>
      <c r="C41" s="175">
        <v>112</v>
      </c>
      <c r="D41" s="182">
        <f>C41/'a5-1'!C40*100</f>
        <v>0.42836544161799744</v>
      </c>
      <c r="E41" s="175">
        <f t="shared" si="8"/>
        <v>147.16800000000001</v>
      </c>
      <c r="F41" s="182">
        <f t="shared" si="6"/>
        <v>10.814092478475525</v>
      </c>
      <c r="G41" s="179">
        <f>G40*(1+'a5-1'!$P$47/100)</f>
        <v>9.6900470237235883</v>
      </c>
      <c r="H41" s="175">
        <f t="shared" si="7"/>
        <v>1591.4883618722861</v>
      </c>
      <c r="I41" s="175">
        <f t="shared" si="4"/>
        <v>1426.0648403873531</v>
      </c>
      <c r="J41" s="286">
        <f>'a8'!O44</f>
        <v>105.8</v>
      </c>
      <c r="K41" s="6">
        <f>'a1'!N44</f>
        <v>111.6</v>
      </c>
      <c r="L41" s="175">
        <f t="shared" si="2"/>
        <v>10339.797276590438</v>
      </c>
      <c r="N41" s="210"/>
      <c r="S41" s="191">
        <f>S40*POWER(S$40/S$33,1/7)</f>
        <v>3.6</v>
      </c>
    </row>
    <row r="42" spans="1:19">
      <c r="A42" s="172">
        <v>2007</v>
      </c>
      <c r="B42" s="175">
        <f>'a1'!R45/1000</f>
        <v>138.161</v>
      </c>
      <c r="C42" s="175">
        <v>112.8</v>
      </c>
      <c r="D42" s="182">
        <f>C42/'a5-1'!C41*100</f>
        <v>0.42534097036564988</v>
      </c>
      <c r="E42" s="175">
        <f t="shared" si="8"/>
        <v>148.21919999999997</v>
      </c>
      <c r="F42" s="182">
        <f t="shared" si="6"/>
        <v>11.113353413766974</v>
      </c>
      <c r="G42" s="179">
        <f>G41*(1+'a5-1'!$P$47/100)</f>
        <v>9.7828815262033224</v>
      </c>
      <c r="H42" s="175">
        <f t="shared" si="7"/>
        <v>1647.2123523058096</v>
      </c>
      <c r="I42" s="175">
        <f t="shared" si="4"/>
        <v>1450.0108735086353</v>
      </c>
      <c r="J42" s="286">
        <f>'a8'!O45</f>
        <v>109.5</v>
      </c>
      <c r="K42" s="6">
        <f>'a1'!N45</f>
        <v>113.6</v>
      </c>
      <c r="L42" s="175">
        <f t="shared" si="2"/>
        <v>10495.08090929159</v>
      </c>
      <c r="N42" s="210"/>
      <c r="S42" s="191">
        <f>S41*POWER(S$40/S$33,1/7)</f>
        <v>3.6</v>
      </c>
    </row>
    <row r="43" spans="1:19">
      <c r="A43" s="172">
        <v>2009</v>
      </c>
      <c r="B43" s="175">
        <f>'a1'!R46/1000</f>
        <v>139.54499999999999</v>
      </c>
      <c r="C43" s="309">
        <v>114.2</v>
      </c>
      <c r="D43" s="182">
        <f>C43/'a5-1'!C42*100</f>
        <v>0.42441856143663081</v>
      </c>
      <c r="E43" s="175">
        <f t="shared" si="8"/>
        <v>150.05879999999999</v>
      </c>
      <c r="F43" s="182">
        <f t="shared" si="6"/>
        <v>11.605011368641508</v>
      </c>
      <c r="G43" s="179">
        <f>G42*(1+'a5-1'!$P$47/100)</f>
        <v>9.8766054201204323</v>
      </c>
      <c r="H43" s="175">
        <f t="shared" ref="H43" si="10">E43*F43</f>
        <v>1741.4340799647023</v>
      </c>
      <c r="I43" s="175">
        <f t="shared" ref="I43" si="11">H43/K43*100</f>
        <v>1482.071557416768</v>
      </c>
      <c r="J43" s="286">
        <f>'a8'!O46</f>
        <v>111.6</v>
      </c>
      <c r="K43" s="6">
        <f>'a1'!N46</f>
        <v>117.5</v>
      </c>
      <c r="L43" s="175">
        <f t="shared" si="2"/>
        <v>10620.742824298743</v>
      </c>
      <c r="N43" s="210"/>
      <c r="S43" s="191">
        <f>S42*POWER(S$40/S$33,1/7)</f>
        <v>3.6</v>
      </c>
    </row>
    <row r="44" spans="1:19">
      <c r="A44" s="172">
        <v>2009</v>
      </c>
      <c r="B44" s="175">
        <f>'a1'!R47/1000</f>
        <v>141.09700000000001</v>
      </c>
      <c r="C44" s="304">
        <v>115.6</v>
      </c>
      <c r="D44" s="182">
        <f>C44/'a5-1'!C43*100</f>
        <v>0.42347114461759378</v>
      </c>
      <c r="E44" s="175">
        <f t="shared" ref="E44" si="12">C44*S44*365/1000</f>
        <v>151.89839999999998</v>
      </c>
      <c r="F44" s="182">
        <f t="shared" ref="F44" si="13">G44*K44/100</f>
        <v>11.696249536330768</v>
      </c>
      <c r="G44" s="179">
        <f>G43*(1+'a5-1'!$P$47/100)</f>
        <v>9.9712272261984385</v>
      </c>
      <c r="H44" s="175">
        <f t="shared" ref="H44" si="14">E44*F44</f>
        <v>1776.6415905693852</v>
      </c>
      <c r="I44" s="175">
        <f t="shared" ref="I44" si="15">H44/K44*100</f>
        <v>1514.6134616959805</v>
      </c>
      <c r="J44" s="286">
        <f>'a8'!O47</f>
        <v>114.1</v>
      </c>
      <c r="K44" s="6">
        <f>'a1'!N47</f>
        <v>117.3</v>
      </c>
      <c r="L44" s="175">
        <f t="shared" ref="L44:L45" si="16">I44/B44*1000</f>
        <v>10734.554680085193</v>
      </c>
      <c r="N44" s="210"/>
      <c r="S44" s="191">
        <f>S43*POWER(S$40/S$33,1/7)</f>
        <v>3.6</v>
      </c>
    </row>
    <row r="45" spans="1:19">
      <c r="A45" s="172">
        <v>2010</v>
      </c>
      <c r="B45" s="175">
        <f>'a1'!R48/1000</f>
        <v>142.26599999999999</v>
      </c>
      <c r="C45" s="304">
        <v>117</v>
      </c>
      <c r="D45" s="182">
        <f>C45/'a5-1'!C44*100</f>
        <v>0.42301643256141874</v>
      </c>
      <c r="E45" s="175">
        <f t="shared" ref="E45" si="17">C45*S45*365/1000</f>
        <v>153.738</v>
      </c>
      <c r="F45" s="182">
        <f t="shared" ref="F45" si="18">G45*K45/100</f>
        <v>12.029772878417372</v>
      </c>
      <c r="G45" s="179">
        <f>G44*(1+'a5-1'!$P$47/100)</f>
        <v>10.066755546792781</v>
      </c>
      <c r="H45" s="175">
        <f t="shared" ref="H45" si="19">E45*F45</f>
        <v>1849.4332227821299</v>
      </c>
      <c r="I45" s="175">
        <f t="shared" ref="I45" si="20">H45/K45*100</f>
        <v>1547.6428642528283</v>
      </c>
      <c r="J45" s="286">
        <f>'a8'!O48</f>
        <v>116.52756854179917</v>
      </c>
      <c r="K45" s="6">
        <f>'a1'!N48</f>
        <v>119.5</v>
      </c>
      <c r="L45" s="175">
        <f t="shared" si="16"/>
        <v>10878.515346272674</v>
      </c>
      <c r="N45" s="210"/>
      <c r="S45" s="191">
        <f>S44*POWER(S$40/S$33,1/7)</f>
        <v>3.6</v>
      </c>
    </row>
    <row r="46" spans="1:19">
      <c r="A46" s="172" t="s">
        <v>435</v>
      </c>
    </row>
    <row r="47" spans="1:19">
      <c r="A47" s="172" t="s">
        <v>438</v>
      </c>
      <c r="B47" s="179">
        <f>(POWER(B40/B27, 1/13)-1)*100</f>
        <v>0.41452074533729899</v>
      </c>
      <c r="C47" s="179">
        <f t="shared" ref="C47:L47" si="21">(POWER(C40/C27, 1/13)-1)*100</f>
        <v>0.86499008905009944</v>
      </c>
      <c r="D47" s="179">
        <f t="shared" si="21"/>
        <v>-0.42057410230733616</v>
      </c>
      <c r="E47" s="179">
        <f t="shared" si="21"/>
        <v>1.9417247856895914</v>
      </c>
      <c r="F47" s="179">
        <f t="shared" si="21"/>
        <v>2.9152703228913612</v>
      </c>
      <c r="G47" s="179">
        <f t="shared" si="21"/>
        <v>0.95803975205128733</v>
      </c>
      <c r="H47" s="179">
        <f t="shared" si="21"/>
        <v>1.4573656422140147</v>
      </c>
      <c r="I47" s="179">
        <f t="shared" si="21"/>
        <v>-0.47213866797066739</v>
      </c>
      <c r="J47" s="179">
        <f t="shared" si="21"/>
        <v>1.5830584289062699</v>
      </c>
      <c r="K47" s="179">
        <f t="shared" si="21"/>
        <v>1.9386574617008767</v>
      </c>
      <c r="L47" s="179">
        <f t="shared" si="21"/>
        <v>-0.88299919844923025</v>
      </c>
    </row>
    <row r="48" spans="1:19" ht="16.5" customHeight="1">
      <c r="A48" s="272" t="s">
        <v>1051</v>
      </c>
      <c r="B48" s="273">
        <f t="shared" ref="B48:L48" si="22">(POWER(B45/B27, 1/18)-1)*100</f>
        <v>0.46676767658533347</v>
      </c>
      <c r="C48" s="273">
        <f t="shared" si="22"/>
        <v>0.89852252943065647</v>
      </c>
      <c r="D48" s="273">
        <f t="shared" si="22"/>
        <v>-0.42180333556589567</v>
      </c>
      <c r="E48" s="273">
        <f t="shared" si="22"/>
        <v>1.6752746469829827</v>
      </c>
      <c r="F48" s="273">
        <f t="shared" si="22"/>
        <v>2.8869509872006205</v>
      </c>
      <c r="G48" s="273">
        <f t="shared" si="22"/>
        <v>0.95803975205128733</v>
      </c>
      <c r="H48" s="273">
        <f t="shared" si="22"/>
        <v>2.1100778826620425</v>
      </c>
      <c r="I48" s="273">
        <f t="shared" si="22"/>
        <v>0.19573136388588708</v>
      </c>
      <c r="J48" s="273">
        <f t="shared" si="22"/>
        <v>1.7548104071169357</v>
      </c>
      <c r="K48" s="273">
        <f t="shared" si="22"/>
        <v>1.9106068619068495</v>
      </c>
      <c r="L48" s="273">
        <f t="shared" si="22"/>
        <v>-0.2697770804888755</v>
      </c>
    </row>
    <row r="49" spans="1:12" ht="15.75" customHeight="1">
      <c r="A49" s="642" t="s">
        <v>933</v>
      </c>
      <c r="B49" s="642"/>
      <c r="C49" s="642"/>
      <c r="D49" s="642"/>
      <c r="E49" s="642"/>
      <c r="F49" s="642"/>
      <c r="G49" s="642"/>
      <c r="H49" s="642"/>
      <c r="I49" s="642"/>
      <c r="J49" s="642"/>
      <c r="K49" s="642"/>
      <c r="L49" s="642"/>
    </row>
    <row r="50" spans="1:12" ht="12.75" customHeight="1">
      <c r="A50" s="643" t="s">
        <v>913</v>
      </c>
      <c r="B50" s="642"/>
      <c r="C50" s="642"/>
      <c r="D50" s="642"/>
      <c r="E50" s="642"/>
      <c r="F50" s="642"/>
      <c r="G50" s="642"/>
      <c r="H50" s="642"/>
      <c r="I50" s="642"/>
      <c r="J50" s="642"/>
      <c r="K50" s="642"/>
      <c r="L50" s="642"/>
    </row>
    <row r="51" spans="1:12">
      <c r="A51" s="185" t="s">
        <v>912</v>
      </c>
      <c r="B51" s="203"/>
      <c r="C51" s="203"/>
      <c r="D51" s="203"/>
      <c r="E51" s="203"/>
      <c r="F51" s="203"/>
      <c r="G51" s="203"/>
      <c r="H51" s="203"/>
      <c r="I51" s="203"/>
      <c r="J51" s="203"/>
      <c r="K51" s="203"/>
    </row>
    <row r="52" spans="1:12">
      <c r="A52" s="172" t="s">
        <v>1053</v>
      </c>
    </row>
    <row r="53" spans="1:12">
      <c r="A53" s="189" t="s">
        <v>1054</v>
      </c>
    </row>
    <row r="54" spans="1:12" ht="25.5" customHeight="1">
      <c r="A54" s="644" t="s">
        <v>943</v>
      </c>
      <c r="B54" s="644"/>
      <c r="C54" s="644"/>
      <c r="D54" s="644"/>
      <c r="E54" s="644"/>
      <c r="F54" s="644"/>
      <c r="G54" s="644"/>
      <c r="H54" s="644"/>
      <c r="I54" s="644"/>
      <c r="J54" s="644"/>
      <c r="K54" s="644"/>
      <c r="L54" s="644"/>
    </row>
    <row r="55" spans="1:12" ht="25.5" customHeight="1">
      <c r="A55" s="185" t="s">
        <v>1050</v>
      </c>
      <c r="B55" s="330"/>
      <c r="C55" s="330"/>
      <c r="D55" s="330"/>
      <c r="E55" s="330"/>
      <c r="F55" s="330"/>
      <c r="G55" s="330"/>
      <c r="H55" s="330"/>
      <c r="I55" s="330"/>
      <c r="J55" s="330"/>
      <c r="K55" s="330"/>
      <c r="L55" s="330"/>
    </row>
    <row r="56" spans="1:12">
      <c r="A56" s="1" t="s">
        <v>1052</v>
      </c>
    </row>
  </sheetData>
  <mergeCells count="3">
    <mergeCell ref="A49:L49"/>
    <mergeCell ref="A50:L50"/>
    <mergeCell ref="A54:L54"/>
  </mergeCells>
  <pageMargins left="0.74803149606299213" right="0.74803149606299213" top="0.98425196850393704" bottom="0.98425196850393704" header="0.51181102362204722" footer="0.51181102362204722"/>
  <pageSetup scale="76" orientation="landscape" r:id="rId1"/>
  <headerFooter alignWithMargins="0"/>
</worksheet>
</file>

<file path=xl/worksheets/sheet21.xml><?xml version="1.0" encoding="utf-8"?>
<worksheet xmlns="http://schemas.openxmlformats.org/spreadsheetml/2006/main" xmlns:r="http://schemas.openxmlformats.org/officeDocument/2006/relationships">
  <dimension ref="A1:S56"/>
  <sheetViews>
    <sheetView view="pageBreakPreview" zoomScaleSheetLayoutView="100" workbookViewId="0">
      <selection activeCell="E9" sqref="E9"/>
    </sheetView>
  </sheetViews>
  <sheetFormatPr defaultRowHeight="12.75"/>
  <cols>
    <col min="1" max="1" width="9.375" style="172" customWidth="1"/>
    <col min="2" max="12" width="12" style="172" customWidth="1"/>
    <col min="13" max="16" width="9" style="172"/>
    <col min="17" max="17" width="0" style="172" hidden="1" customWidth="1"/>
    <col min="18" max="16384" width="9" style="172"/>
  </cols>
  <sheetData>
    <row r="1" spans="1:19" ht="31.5" customHeight="1">
      <c r="A1" s="172" t="s">
        <v>894</v>
      </c>
      <c r="S1" s="203" t="s">
        <v>914</v>
      </c>
    </row>
    <row r="2" spans="1:19" ht="72" customHeight="1">
      <c r="B2" s="203" t="s">
        <v>868</v>
      </c>
      <c r="C2" s="203" t="s">
        <v>869</v>
      </c>
      <c r="D2" s="203" t="s">
        <v>890</v>
      </c>
      <c r="E2" s="203" t="s">
        <v>870</v>
      </c>
      <c r="F2" s="203" t="s">
        <v>871</v>
      </c>
      <c r="G2" s="203" t="s">
        <v>872</v>
      </c>
      <c r="H2" s="203" t="s">
        <v>873</v>
      </c>
      <c r="I2" s="203" t="s">
        <v>873</v>
      </c>
      <c r="J2" s="203" t="s">
        <v>473</v>
      </c>
      <c r="K2" s="203" t="s">
        <v>874</v>
      </c>
      <c r="L2" s="203" t="s">
        <v>875</v>
      </c>
      <c r="S2" s="172" t="s">
        <v>915</v>
      </c>
    </row>
    <row r="3" spans="1:19" ht="23.25" customHeight="1">
      <c r="B3" s="203" t="s">
        <v>876</v>
      </c>
      <c r="C3" s="203" t="s">
        <v>876</v>
      </c>
      <c r="D3" s="203" t="s">
        <v>891</v>
      </c>
      <c r="E3" s="203" t="s">
        <v>877</v>
      </c>
      <c r="F3" s="203" t="s">
        <v>878</v>
      </c>
      <c r="G3" s="203" t="s">
        <v>879</v>
      </c>
      <c r="H3" s="203" t="s">
        <v>880</v>
      </c>
      <c r="I3" s="203" t="s">
        <v>881</v>
      </c>
      <c r="J3" s="203" t="s">
        <v>882</v>
      </c>
      <c r="K3" s="203" t="s">
        <v>882</v>
      </c>
      <c r="L3" s="203" t="s">
        <v>883</v>
      </c>
    </row>
    <row r="4" spans="1:19">
      <c r="A4" s="272"/>
      <c r="B4" s="274" t="s">
        <v>105</v>
      </c>
      <c r="C4" s="274" t="s">
        <v>106</v>
      </c>
      <c r="D4" s="274" t="s">
        <v>107</v>
      </c>
      <c r="E4" s="274" t="s">
        <v>108</v>
      </c>
      <c r="F4" s="274" t="s">
        <v>109</v>
      </c>
      <c r="G4" s="274" t="s">
        <v>110</v>
      </c>
      <c r="H4" s="275" t="s">
        <v>892</v>
      </c>
      <c r="I4" s="275" t="s">
        <v>936</v>
      </c>
      <c r="J4" s="276" t="s">
        <v>138</v>
      </c>
      <c r="K4" s="276" t="s">
        <v>138</v>
      </c>
      <c r="L4" s="276" t="s">
        <v>935</v>
      </c>
    </row>
    <row r="5" spans="1:19" hidden="1">
      <c r="A5" s="172">
        <v>1971</v>
      </c>
      <c r="B5" s="175">
        <v>797.29399999999998</v>
      </c>
      <c r="C5" s="176">
        <f>C6*B5/B6</f>
        <v>562.76813591549455</v>
      </c>
      <c r="D5" s="182">
        <f>C5/'a5-1'!C5*100</f>
        <v>3.5226391762983194</v>
      </c>
      <c r="E5" s="177">
        <v>17519</v>
      </c>
      <c r="F5" s="187">
        <f>H5/E5</f>
        <v>1.6931331697014669</v>
      </c>
      <c r="G5" s="179">
        <f>F5/K5*100</f>
        <v>7.9035274580532926</v>
      </c>
      <c r="H5" s="177">
        <v>29662</v>
      </c>
      <c r="I5" s="175">
        <f t="shared" ref="I5:I14" si="0">H5/J5*100</f>
        <v>133230.63059888512</v>
      </c>
      <c r="J5" s="188">
        <v>22.263649032258058</v>
      </c>
      <c r="K5" s="183">
        <v>21.422500000000003</v>
      </c>
      <c r="L5" s="175">
        <f>I5/B5*1000</f>
        <v>167103.51589110808</v>
      </c>
    </row>
    <row r="6" spans="1:19" hidden="1">
      <c r="A6" s="172">
        <v>1972</v>
      </c>
      <c r="B6" s="175">
        <v>802.255</v>
      </c>
      <c r="C6" s="176">
        <f>C7*B6/B7</f>
        <v>566.2698463538984</v>
      </c>
      <c r="D6" s="182">
        <f>C6/'a5-1'!C6*100</f>
        <v>3.503649107003548</v>
      </c>
      <c r="E6" s="175">
        <v>17872</v>
      </c>
      <c r="F6" s="182">
        <f>POWER(F$16/F$5,1/10)*F5</f>
        <v>1.82660586729892</v>
      </c>
      <c r="G6" s="179">
        <f t="shared" ref="G6:G26" si="1">F6/K6*100</f>
        <v>8.1372351811957682</v>
      </c>
      <c r="H6" s="175">
        <v>33180</v>
      </c>
      <c r="I6" s="175">
        <f t="shared" si="0"/>
        <v>141274.33410505104</v>
      </c>
      <c r="J6" s="188">
        <v>23.486219354838706</v>
      </c>
      <c r="K6" s="183">
        <v>22.447500000000002</v>
      </c>
      <c r="L6" s="175">
        <f t="shared" ref="L6:L43" si="2">I6/B6*1000</f>
        <v>176096.54549370342</v>
      </c>
    </row>
    <row r="7" spans="1:19" hidden="1">
      <c r="A7" s="172">
        <v>1973</v>
      </c>
      <c r="B7" s="175">
        <v>812.38599999999997</v>
      </c>
      <c r="C7" s="176">
        <f>C8*B7/B8</f>
        <v>573.42078939995156</v>
      </c>
      <c r="D7" s="182">
        <f>C7/'a5-1'!C7*100</f>
        <v>3.5047806824016723</v>
      </c>
      <c r="E7" s="175">
        <v>18232</v>
      </c>
      <c r="F7" s="182">
        <f t="shared" ref="F7:F14" si="3">POWER(F$16/F$5,1/10)*F6</f>
        <v>1.9706004549182208</v>
      </c>
      <c r="G7" s="179">
        <f t="shared" si="1"/>
        <v>8.1463433440191011</v>
      </c>
      <c r="H7" s="175">
        <v>37115</v>
      </c>
      <c r="I7" s="175">
        <f t="shared" si="0"/>
        <v>146397.27560963991</v>
      </c>
      <c r="J7" s="188">
        <v>25.352247741935482</v>
      </c>
      <c r="K7" s="183">
        <v>24.190000000000005</v>
      </c>
      <c r="L7" s="175">
        <f t="shared" si="2"/>
        <v>180206.54665348725</v>
      </c>
    </row>
    <row r="8" spans="1:19" hidden="1">
      <c r="A8" s="172">
        <v>1974</v>
      </c>
      <c r="B8" s="175">
        <v>818.75099999999998</v>
      </c>
      <c r="C8" s="176">
        <f>C9*B8/B9</f>
        <v>577.91351000878865</v>
      </c>
      <c r="D8" s="182">
        <f>C8/'a5-1'!C8*100</f>
        <v>3.4832722047391589</v>
      </c>
      <c r="E8" s="175">
        <v>18599</v>
      </c>
      <c r="F8" s="182">
        <f t="shared" si="3"/>
        <v>2.1259463918542263</v>
      </c>
      <c r="G8" s="179">
        <f t="shared" si="1"/>
        <v>7.9163894688297374</v>
      </c>
      <c r="H8" s="175">
        <v>41518</v>
      </c>
      <c r="I8" s="175">
        <f t="shared" si="0"/>
        <v>147313.3364319246</v>
      </c>
      <c r="J8" s="188">
        <v>28.183463225806445</v>
      </c>
      <c r="K8" s="183">
        <v>26.855000000000004</v>
      </c>
      <c r="L8" s="175">
        <f t="shared" si="2"/>
        <v>179924.46596330829</v>
      </c>
    </row>
    <row r="9" spans="1:19" hidden="1">
      <c r="A9" s="172">
        <v>1975</v>
      </c>
      <c r="B9" s="175">
        <v>826.54899999999998</v>
      </c>
      <c r="C9" s="176">
        <f>C10*B9/B10</f>
        <v>583.41771037135129</v>
      </c>
      <c r="D9" s="182">
        <f>C9/'a5-1'!C9*100</f>
        <v>3.4655005632445652</v>
      </c>
      <c r="E9" s="175">
        <v>18974</v>
      </c>
      <c r="F9" s="182">
        <f t="shared" si="3"/>
        <v>2.2935385251525111</v>
      </c>
      <c r="G9" s="179">
        <f t="shared" si="1"/>
        <v>7.7158571073255207</v>
      </c>
      <c r="H9" s="175">
        <v>46442</v>
      </c>
      <c r="I9" s="175">
        <f t="shared" si="0"/>
        <v>148204.60718555711</v>
      </c>
      <c r="J9" s="188">
        <v>31.336407741935489</v>
      </c>
      <c r="K9" s="183">
        <v>29.725000000000005</v>
      </c>
      <c r="L9" s="175">
        <f t="shared" si="2"/>
        <v>179305.28884017418</v>
      </c>
    </row>
    <row r="10" spans="1:19" hidden="1">
      <c r="A10" s="172">
        <v>1976</v>
      </c>
      <c r="B10" s="175">
        <v>835.16600000000005</v>
      </c>
      <c r="C10" s="175">
        <v>589.5</v>
      </c>
      <c r="D10" s="182">
        <f>C10/'a5-1'!C10*100</f>
        <v>3.455856489623637</v>
      </c>
      <c r="E10" s="175">
        <v>19356</v>
      </c>
      <c r="F10" s="182">
        <f t="shared" si="3"/>
        <v>2.4743422442419942</v>
      </c>
      <c r="G10" s="179">
        <f t="shared" si="1"/>
        <v>7.7620335479319067</v>
      </c>
      <c r="H10" s="175">
        <v>51950</v>
      </c>
      <c r="I10" s="175">
        <f t="shared" si="0"/>
        <v>154075.65285330371</v>
      </c>
      <c r="J10" s="188">
        <v>33.717202580645164</v>
      </c>
      <c r="K10" s="183">
        <v>31.877500000000008</v>
      </c>
      <c r="L10" s="175">
        <f t="shared" si="2"/>
        <v>184485.06387149822</v>
      </c>
    </row>
    <row r="11" spans="1:19" hidden="1">
      <c r="A11" s="172">
        <v>1977</v>
      </c>
      <c r="B11" s="175">
        <v>840.02800000000002</v>
      </c>
      <c r="C11" s="175">
        <v>598.9</v>
      </c>
      <c r="D11" s="182">
        <f>C11/'a5-1'!C11*100</f>
        <v>3.4349459436207734</v>
      </c>
      <c r="E11" s="175">
        <v>19746</v>
      </c>
      <c r="F11" s="182">
        <f t="shared" si="3"/>
        <v>2.6693990419164182</v>
      </c>
      <c r="G11" s="179">
        <f t="shared" si="1"/>
        <v>7.7508682982474388</v>
      </c>
      <c r="H11" s="175">
        <v>58111</v>
      </c>
      <c r="I11" s="175">
        <f t="shared" si="0"/>
        <v>160981.22930454405</v>
      </c>
      <c r="J11" s="188">
        <v>36.097997419354833</v>
      </c>
      <c r="K11" s="183">
        <v>34.440000000000005</v>
      </c>
      <c r="L11" s="175">
        <f t="shared" si="2"/>
        <v>191637.93266955871</v>
      </c>
    </row>
    <row r="12" spans="1:19" hidden="1">
      <c r="A12" s="172">
        <v>1978</v>
      </c>
      <c r="B12" s="175">
        <v>844.62800000000004</v>
      </c>
      <c r="C12" s="175">
        <v>608.5</v>
      </c>
      <c r="D12" s="182">
        <f>C12/'a5-1'!C12*100</f>
        <v>3.4226156995972734</v>
      </c>
      <c r="E12" s="175">
        <v>20144</v>
      </c>
      <c r="F12" s="182">
        <f t="shared" si="3"/>
        <v>2.8798325136978864</v>
      </c>
      <c r="G12" s="179">
        <f t="shared" si="1"/>
        <v>7.6764827767503307</v>
      </c>
      <c r="H12" s="175">
        <v>65004</v>
      </c>
      <c r="I12" s="175">
        <f t="shared" si="0"/>
        <v>168934.61614917568</v>
      </c>
      <c r="J12" s="188">
        <v>38.478792258064509</v>
      </c>
      <c r="K12" s="183">
        <v>37.515000000000001</v>
      </c>
      <c r="L12" s="175">
        <f t="shared" si="2"/>
        <v>200010.67469841833</v>
      </c>
    </row>
    <row r="13" spans="1:19" hidden="1">
      <c r="A13" s="172">
        <v>1979</v>
      </c>
      <c r="B13" s="175">
        <v>849.39599999999996</v>
      </c>
      <c r="C13" s="175">
        <v>618.20000000000005</v>
      </c>
      <c r="D13" s="182">
        <f>C13/'a5-1'!C13*100</f>
        <v>3.4118127531816729</v>
      </c>
      <c r="E13" s="175">
        <v>20550</v>
      </c>
      <c r="F13" s="182">
        <f t="shared" si="3"/>
        <v>3.1068548301408896</v>
      </c>
      <c r="G13" s="179">
        <f t="shared" si="1"/>
        <v>7.5776947076607062</v>
      </c>
      <c r="H13" s="175">
        <v>72714</v>
      </c>
      <c r="I13" s="175">
        <f t="shared" si="0"/>
        <v>174660.02053768162</v>
      </c>
      <c r="J13" s="188">
        <v>41.631736774193548</v>
      </c>
      <c r="K13" s="183">
        <v>41</v>
      </c>
      <c r="L13" s="175">
        <f t="shared" si="2"/>
        <v>205628.49429204001</v>
      </c>
    </row>
    <row r="14" spans="1:19" hidden="1">
      <c r="A14" s="172">
        <v>1980</v>
      </c>
      <c r="B14" s="175">
        <v>852.65899999999999</v>
      </c>
      <c r="C14" s="175">
        <v>626.6</v>
      </c>
      <c r="D14" s="182">
        <f>C14/'a5-1'!C14*100</f>
        <v>3.3900505856574781</v>
      </c>
      <c r="E14" s="175">
        <v>20964</v>
      </c>
      <c r="F14" s="182">
        <f t="shared" si="3"/>
        <v>3.3517737193595671</v>
      </c>
      <c r="G14" s="179">
        <f t="shared" si="1"/>
        <v>7.3827614963867125</v>
      </c>
      <c r="H14" s="175">
        <v>81338</v>
      </c>
      <c r="I14" s="175">
        <f t="shared" si="0"/>
        <v>180067.82921156869</v>
      </c>
      <c r="J14" s="188">
        <v>45.170756129032256</v>
      </c>
      <c r="K14" s="183">
        <v>45.4</v>
      </c>
      <c r="L14" s="175">
        <f t="shared" si="2"/>
        <v>211183.87211249597</v>
      </c>
    </row>
    <row r="15" spans="1:19" hidden="1">
      <c r="B15" s="175"/>
      <c r="C15" s="175"/>
      <c r="D15" s="182"/>
      <c r="E15" s="175"/>
      <c r="F15" s="182"/>
      <c r="G15" s="179"/>
      <c r="I15" s="175"/>
      <c r="J15" s="175"/>
      <c r="K15" s="183"/>
      <c r="L15" s="175"/>
    </row>
    <row r="16" spans="1:19">
      <c r="A16" s="172">
        <v>1981</v>
      </c>
      <c r="B16" s="175">
        <f>'a1'!X19/1000</f>
        <v>854.87099999999998</v>
      </c>
      <c r="C16" s="175">
        <v>632.70000000000005</v>
      </c>
      <c r="D16" s="182">
        <f>C16/'a5-1'!C15*100</f>
        <v>3.3628497321200781</v>
      </c>
      <c r="E16" s="177">
        <v>750</v>
      </c>
      <c r="F16" s="187">
        <f>H16/E16</f>
        <v>3.6160000000000001</v>
      </c>
      <c r="G16" s="179">
        <f t="shared" si="1"/>
        <v>7.1181102362204731</v>
      </c>
      <c r="H16" s="177">
        <v>2712</v>
      </c>
      <c r="I16" s="175">
        <f>H16/K16*100</f>
        <v>5338.5826771653547</v>
      </c>
      <c r="J16" s="286">
        <f>'a8'!U19</f>
        <v>49.9</v>
      </c>
      <c r="K16" s="6">
        <f>'a1'!T19</f>
        <v>50.8</v>
      </c>
      <c r="L16" s="175">
        <f t="shared" si="2"/>
        <v>6244.8985603270603</v>
      </c>
    </row>
    <row r="17" spans="1:12">
      <c r="A17" s="172">
        <v>1982</v>
      </c>
      <c r="B17" s="175">
        <f>'a1'!X20/1000</f>
        <v>859.03800000000001</v>
      </c>
      <c r="C17" s="175">
        <v>639.79999999999995</v>
      </c>
      <c r="D17" s="182">
        <f>C17/'a5-1'!C16*100</f>
        <v>3.349142037543055</v>
      </c>
      <c r="E17" s="175">
        <v>750.39959999999996</v>
      </c>
      <c r="F17" s="182">
        <f>POWER(F$21/F$16,1/5)*F16</f>
        <v>3.9100686271991778</v>
      </c>
      <c r="G17" s="179">
        <f t="shared" si="1"/>
        <v>7.0324975309337736</v>
      </c>
      <c r="H17" s="175">
        <f>POWER(H21/H16,1/5)*H16</f>
        <v>2934.1138322186162</v>
      </c>
      <c r="I17" s="175">
        <f t="shared" ref="I17:I42" si="4">H17/K17*100</f>
        <v>5277.1831514723308</v>
      </c>
      <c r="J17" s="286">
        <f>'a8'!U20</f>
        <v>55.4</v>
      </c>
      <c r="K17" s="6">
        <f>'a1'!T20</f>
        <v>55.6</v>
      </c>
      <c r="L17" s="175">
        <f t="shared" si="2"/>
        <v>6143.1312136044389</v>
      </c>
    </row>
    <row r="18" spans="1:12">
      <c r="A18" s="172">
        <v>1983</v>
      </c>
      <c r="B18" s="175">
        <f>'a1'!X21/1000</f>
        <v>868.28899999999999</v>
      </c>
      <c r="C18" s="175">
        <v>650.1</v>
      </c>
      <c r="D18" s="182">
        <f>C18/'a5-1'!C17*100</f>
        <v>3.3588220098165853</v>
      </c>
      <c r="E18" s="175">
        <v>750.79939999999999</v>
      </c>
      <c r="F18" s="182">
        <f>POWER(F$21/F$16,1/5)*F17</f>
        <v>4.2280521762741321</v>
      </c>
      <c r="G18" s="179">
        <f t="shared" si="1"/>
        <v>7.1540645960645213</v>
      </c>
      <c r="H18" s="175">
        <f>POWER(H21/H16,1/5)*H17</f>
        <v>3174.4188718350347</v>
      </c>
      <c r="I18" s="175">
        <f t="shared" si="4"/>
        <v>5371.2671266244242</v>
      </c>
      <c r="J18" s="286">
        <f>'a8'!U21</f>
        <v>61</v>
      </c>
      <c r="K18" s="6">
        <f>'a1'!T21</f>
        <v>59.1</v>
      </c>
      <c r="L18" s="175">
        <f t="shared" si="2"/>
        <v>6186.0361315465516</v>
      </c>
    </row>
    <row r="19" spans="1:12">
      <c r="A19" s="172">
        <v>1984</v>
      </c>
      <c r="B19" s="175">
        <f>'a1'!X22/1000</f>
        <v>877.471</v>
      </c>
      <c r="C19" s="175">
        <v>659.8</v>
      </c>
      <c r="D19" s="182">
        <f>C19/'a5-1'!C18*100</f>
        <v>3.3666872471030054</v>
      </c>
      <c r="E19" s="175">
        <v>751.19939999999997</v>
      </c>
      <c r="F19" s="182">
        <f>POWER(F$21/F$16,1/5)*F18</f>
        <v>4.5718955112308324</v>
      </c>
      <c r="G19" s="179">
        <f t="shared" si="1"/>
        <v>7.4098792726593716</v>
      </c>
      <c r="H19" s="175">
        <f>POWER(H21/H16,1/5)*H18</f>
        <v>3434.4049856589195</v>
      </c>
      <c r="I19" s="175">
        <f t="shared" si="4"/>
        <v>5566.2965731911172</v>
      </c>
      <c r="J19" s="286">
        <f>'a8'!U22</f>
        <v>63.4</v>
      </c>
      <c r="K19" s="6">
        <f>'a1'!T22</f>
        <v>61.7</v>
      </c>
      <c r="L19" s="175">
        <f t="shared" si="2"/>
        <v>6343.5675631344138</v>
      </c>
    </row>
    <row r="20" spans="1:12">
      <c r="A20" s="172">
        <v>1985</v>
      </c>
      <c r="B20" s="175">
        <f>'a1'!X23/1000</f>
        <v>885.84799999999996</v>
      </c>
      <c r="C20" s="175">
        <v>668.3</v>
      </c>
      <c r="D20" s="182">
        <f>C20/'a5-1'!C19*100</f>
        <v>3.3679892353359167</v>
      </c>
      <c r="E20" s="175">
        <v>751.59960000000001</v>
      </c>
      <c r="F20" s="182">
        <f>POWER(F$21/F$16,1/5)*F19</f>
        <v>4.9437016607567541</v>
      </c>
      <c r="G20" s="179">
        <f t="shared" si="1"/>
        <v>7.6646537376073702</v>
      </c>
      <c r="H20" s="175">
        <f>POWER(H21/H16,1/5)*H19</f>
        <v>3715.6840611587072</v>
      </c>
      <c r="I20" s="175">
        <f t="shared" si="4"/>
        <v>5760.7504824165999</v>
      </c>
      <c r="J20" s="286">
        <f>'a8'!U23</f>
        <v>65.5</v>
      </c>
      <c r="K20" s="6">
        <f>'a1'!T23</f>
        <v>64.5</v>
      </c>
      <c r="L20" s="175">
        <f t="shared" si="2"/>
        <v>6503.0913682895934</v>
      </c>
    </row>
    <row r="21" spans="1:12">
      <c r="A21" s="172">
        <v>1986</v>
      </c>
      <c r="B21" s="175">
        <f>'a1'!X24/1000</f>
        <v>889.08699999999999</v>
      </c>
      <c r="C21" s="175">
        <v>675</v>
      </c>
      <c r="D21" s="182">
        <f>C21/'a5-1'!C20*100</f>
        <v>3.3593454502020581</v>
      </c>
      <c r="E21" s="177">
        <v>752</v>
      </c>
      <c r="F21" s="187">
        <f>H21/E21</f>
        <v>5.3457446808510642</v>
      </c>
      <c r="G21" s="179">
        <f t="shared" si="1"/>
        <v>8.0387138057910743</v>
      </c>
      <c r="H21" s="177">
        <v>4020</v>
      </c>
      <c r="I21" s="175">
        <f t="shared" si="4"/>
        <v>6045.1127819548874</v>
      </c>
      <c r="J21" s="286">
        <f>'a8'!U24</f>
        <v>69.400000000000006</v>
      </c>
      <c r="K21" s="6">
        <f>'a1'!T24</f>
        <v>66.5</v>
      </c>
      <c r="L21" s="175">
        <f t="shared" si="2"/>
        <v>6799.2364998643416</v>
      </c>
    </row>
    <row r="22" spans="1:12">
      <c r="A22" s="172">
        <v>1987</v>
      </c>
      <c r="B22" s="175">
        <f>'a1'!X25/1000</f>
        <v>893.60599999999999</v>
      </c>
      <c r="C22" s="175">
        <v>680.2</v>
      </c>
      <c r="D22" s="182">
        <f>C22/'a5-1'!C21*100</f>
        <v>3.3428182483868278</v>
      </c>
      <c r="E22" s="175">
        <v>767.20989999999995</v>
      </c>
      <c r="F22" s="182">
        <f>POWER(F$27/F$21,1/6)*F21</f>
        <v>5.8108336813942962</v>
      </c>
      <c r="G22" s="179">
        <f t="shared" si="1"/>
        <v>8.445979188073105</v>
      </c>
      <c r="H22" s="175">
        <f>POWER(H27/H21,1/6)*H21</f>
        <v>4458.1288974495556</v>
      </c>
      <c r="I22" s="175">
        <f t="shared" si="4"/>
        <v>6479.8385137348196</v>
      </c>
      <c r="J22" s="286">
        <f>'a8'!U25</f>
        <v>72.400000000000006</v>
      </c>
      <c r="K22" s="6">
        <f>'a1'!T25</f>
        <v>68.8</v>
      </c>
      <c r="L22" s="175">
        <f t="shared" si="2"/>
        <v>7251.3372937679687</v>
      </c>
    </row>
    <row r="23" spans="1:12">
      <c r="A23" s="172">
        <v>1988</v>
      </c>
      <c r="B23" s="175">
        <f>'a1'!X26/1000</f>
        <v>897.21600000000001</v>
      </c>
      <c r="C23" s="175">
        <v>685.1</v>
      </c>
      <c r="D23" s="182">
        <f>C23/'a5-1'!C22*100</f>
        <v>3.3237597151201719</v>
      </c>
      <c r="E23" s="175">
        <v>782.72739999999999</v>
      </c>
      <c r="F23" s="182">
        <f>POWER(F$27/F$21,1/6)*F22</f>
        <v>6.316386226558568</v>
      </c>
      <c r="G23" s="179">
        <f t="shared" si="1"/>
        <v>8.8713289698856297</v>
      </c>
      <c r="H23" s="175">
        <f>POWER(H27/H21,1/6)*H22</f>
        <v>4944.0082751927339</v>
      </c>
      <c r="I23" s="175">
        <f t="shared" si="4"/>
        <v>6943.8318471808061</v>
      </c>
      <c r="J23" s="286">
        <f>'a8'!U26</f>
        <v>75.8</v>
      </c>
      <c r="K23" s="6">
        <f>'a1'!T26</f>
        <v>71.2</v>
      </c>
      <c r="L23" s="175">
        <f t="shared" si="2"/>
        <v>7739.308981539346</v>
      </c>
    </row>
    <row r="24" spans="1:12">
      <c r="A24" s="172">
        <v>1989</v>
      </c>
      <c r="B24" s="175">
        <f>'a1'!X27/1000</f>
        <v>903.84100000000001</v>
      </c>
      <c r="C24" s="175">
        <v>690.9</v>
      </c>
      <c r="D24" s="182">
        <f>C24/'a5-1'!C23*100</f>
        <v>3.3059788980070337</v>
      </c>
      <c r="E24" s="175">
        <v>798.55870000000004</v>
      </c>
      <c r="F24" s="182">
        <f>POWER(F$27/F$21,1/6)*F23</f>
        <v>6.8659227144642099</v>
      </c>
      <c r="G24" s="179">
        <f t="shared" si="1"/>
        <v>9.2283907452475926</v>
      </c>
      <c r="H24" s="175">
        <f>POWER(H27/H21,1/6)*H23</f>
        <v>5482.8423285737472</v>
      </c>
      <c r="I24" s="175">
        <f t="shared" si="4"/>
        <v>7369.41173195396</v>
      </c>
      <c r="J24" s="286">
        <f>'a8'!U27</f>
        <v>79</v>
      </c>
      <c r="K24" s="6">
        <f>'a1'!T27</f>
        <v>74.400000000000006</v>
      </c>
      <c r="L24" s="175">
        <f t="shared" si="2"/>
        <v>8153.4381953838774</v>
      </c>
    </row>
    <row r="25" spans="1:12">
      <c r="A25" s="172">
        <v>1990</v>
      </c>
      <c r="B25" s="175">
        <f>'a1'!X28/1000</f>
        <v>910.45100000000002</v>
      </c>
      <c r="C25" s="175">
        <v>697</v>
      </c>
      <c r="D25" s="182">
        <f>C25/'a5-1'!C24*100</f>
        <v>3.285457725067995</v>
      </c>
      <c r="E25" s="175">
        <v>814.71029999999996</v>
      </c>
      <c r="F25" s="182">
        <f>POWER(F$27/F$21,1/6)*F24</f>
        <v>7.4632698239353736</v>
      </c>
      <c r="G25" s="179">
        <f t="shared" si="1"/>
        <v>9.5438233042651834</v>
      </c>
      <c r="H25" s="175">
        <f>POWER(H27/H21,1/6)*H24</f>
        <v>6080.4024440731928</v>
      </c>
      <c r="I25" s="175">
        <f t="shared" si="4"/>
        <v>7775.4506957457706</v>
      </c>
      <c r="J25" s="286">
        <f>'a8'!U28</f>
        <v>82.6</v>
      </c>
      <c r="K25" s="6">
        <f>'a1'!T28</f>
        <v>78.2</v>
      </c>
      <c r="L25" s="175">
        <f t="shared" si="2"/>
        <v>8540.2187440573634</v>
      </c>
    </row>
    <row r="26" spans="1:12">
      <c r="A26" s="172">
        <v>1991</v>
      </c>
      <c r="B26" s="175">
        <f>'a1'!X29/1000</f>
        <v>914.96900000000005</v>
      </c>
      <c r="C26" s="175">
        <v>703.4</v>
      </c>
      <c r="D26" s="182">
        <f>C26/'a5-1'!C25*100</f>
        <v>3.2665685240998825</v>
      </c>
      <c r="E26" s="175">
        <v>831.18849999999998</v>
      </c>
      <c r="F26" s="182">
        <f>POWER(F$27/F$21,1/6)*F25</f>
        <v>8.1125871614491345</v>
      </c>
      <c r="G26" s="179">
        <f t="shared" si="1"/>
        <v>9.7859917508433458</v>
      </c>
      <c r="H26" s="175">
        <f>POWER(H27/H21,1/6)*H25</f>
        <v>6743.0890159317432</v>
      </c>
      <c r="I26" s="175">
        <f t="shared" si="4"/>
        <v>8134.0036380358779</v>
      </c>
      <c r="J26" s="286">
        <f>'a8'!U29</f>
        <v>86.5</v>
      </c>
      <c r="K26" s="6">
        <f>'a1'!T29</f>
        <v>82.9</v>
      </c>
      <c r="L26" s="175">
        <f t="shared" si="2"/>
        <v>8889.922650970555</v>
      </c>
    </row>
    <row r="27" spans="1:12">
      <c r="A27" s="172">
        <v>1992</v>
      </c>
      <c r="B27" s="175">
        <f>'a1'!X30/1000</f>
        <v>919.45100000000002</v>
      </c>
      <c r="C27" s="175">
        <v>708</v>
      </c>
      <c r="D27" s="182">
        <f>C27/'a5-1'!C26*100</f>
        <v>3.2446998652624632</v>
      </c>
      <c r="E27" s="177">
        <v>848</v>
      </c>
      <c r="F27" s="187">
        <f>H27/E27</f>
        <v>8.8183962264150946</v>
      </c>
      <c r="G27" s="179">
        <f>F27/K27*100</f>
        <v>10.560953564568976</v>
      </c>
      <c r="H27" s="177">
        <v>7478</v>
      </c>
      <c r="I27" s="175">
        <f t="shared" si="4"/>
        <v>8955.688622754491</v>
      </c>
      <c r="J27" s="286">
        <f>'a8'!U30</f>
        <v>87.5</v>
      </c>
      <c r="K27" s="6">
        <f>'a1'!T30</f>
        <v>83.5</v>
      </c>
      <c r="L27" s="175">
        <f t="shared" si="2"/>
        <v>9740.2565473902268</v>
      </c>
    </row>
    <row r="28" spans="1:12">
      <c r="A28" s="172">
        <v>1993</v>
      </c>
      <c r="B28" s="175">
        <f>'a1'!X31/1000</f>
        <v>923.92499999999995</v>
      </c>
      <c r="C28" s="175">
        <v>712.6</v>
      </c>
      <c r="D28" s="182">
        <f>C28/'a5-1'!C27*100</f>
        <v>3.2254706263098099</v>
      </c>
      <c r="E28" s="175">
        <f>E27*POWER(E$33/E$27, 1/6)</f>
        <v>865.75603485125657</v>
      </c>
      <c r="F28" s="182">
        <f>G28*K28/100</f>
        <v>9.0095012847366753</v>
      </c>
      <c r="G28" s="179">
        <f>G27*(1+'a5-1'!$P$47/100)</f>
        <v>10.662131697913225</v>
      </c>
      <c r="H28" s="175">
        <f>E28*F28</f>
        <v>7800.0301082609258</v>
      </c>
      <c r="I28" s="175">
        <f t="shared" si="4"/>
        <v>9230.8048618472494</v>
      </c>
      <c r="J28" s="286">
        <f>'a8'!U31</f>
        <v>87.8</v>
      </c>
      <c r="K28" s="6">
        <f>'a1'!T31</f>
        <v>84.5</v>
      </c>
      <c r="L28" s="175">
        <f t="shared" si="2"/>
        <v>9990.8594981705774</v>
      </c>
    </row>
    <row r="29" spans="1:12">
      <c r="A29" s="172">
        <v>1994</v>
      </c>
      <c r="B29" s="175">
        <f>'a1'!X32/1000</f>
        <v>926.87099999999998</v>
      </c>
      <c r="C29" s="175">
        <v>716.5</v>
      </c>
      <c r="D29" s="182">
        <f>C29/'a5-1'!C28*100</f>
        <v>3.2032797292524484</v>
      </c>
      <c r="E29" s="175">
        <f>E28*POWER(E$33/E$27, 1/6)</f>
        <v>883.88385835067243</v>
      </c>
      <c r="F29" s="182">
        <f t="shared" ref="F29:F42" si="5">G29*K29/100</f>
        <v>9.2034586800859763</v>
      </c>
      <c r="G29" s="179">
        <f>G28*(1+'a5-1'!$P$47/100)</f>
        <v>10.764279157995293</v>
      </c>
      <c r="H29" s="175">
        <f t="shared" ref="H29:H42" si="6">E29*F29</f>
        <v>8134.7885683253799</v>
      </c>
      <c r="I29" s="175">
        <f t="shared" si="4"/>
        <v>9514.3725945326078</v>
      </c>
      <c r="J29" s="286">
        <f>'a8'!U32</f>
        <v>89</v>
      </c>
      <c r="K29" s="6">
        <f>'a1'!T32</f>
        <v>85.5</v>
      </c>
      <c r="L29" s="175">
        <f t="shared" si="2"/>
        <v>10265.045075887161</v>
      </c>
    </row>
    <row r="30" spans="1:12">
      <c r="A30" s="172">
        <v>1995</v>
      </c>
      <c r="B30" s="175">
        <f>'a1'!X33/1000</f>
        <v>928.12</v>
      </c>
      <c r="C30" s="175">
        <v>720.2</v>
      </c>
      <c r="D30" s="182">
        <f>C30/'a5-1'!C29*100</f>
        <v>3.1782877316857903</v>
      </c>
      <c r="E30" s="175">
        <f>E29*POWER(E$33/E$27, 1/6)</f>
        <v>902.39125527677822</v>
      </c>
      <c r="F30" s="182">
        <f t="shared" si="5"/>
        <v>9.4111729303496698</v>
      </c>
      <c r="G30" s="179">
        <f>G29*(1+'a5-1'!$P$47/100)</f>
        <v>10.867405231350659</v>
      </c>
      <c r="H30" s="175">
        <f t="shared" si="6"/>
        <v>8492.5601542450731</v>
      </c>
      <c r="I30" s="175">
        <f t="shared" si="4"/>
        <v>9806.6514483199462</v>
      </c>
      <c r="J30" s="286">
        <f>'a8'!U33</f>
        <v>90.5</v>
      </c>
      <c r="K30" s="6">
        <f>'a1'!T33</f>
        <v>86.6</v>
      </c>
      <c r="L30" s="175">
        <f t="shared" si="2"/>
        <v>10566.146024565731</v>
      </c>
    </row>
    <row r="31" spans="1:12">
      <c r="A31" s="172">
        <v>1996</v>
      </c>
      <c r="B31" s="175">
        <f>'a1'!X34/1000</f>
        <v>931.327</v>
      </c>
      <c r="C31" s="175">
        <v>724.4</v>
      </c>
      <c r="D31" s="182">
        <f>C31/'a5-1'!C30*100</f>
        <v>3.155120973888804</v>
      </c>
      <c r="E31" s="175">
        <f>E30*POWER(E$33/E$27, 1/6)</f>
        <v>921.28617341140523</v>
      </c>
      <c r="F31" s="182">
        <f t="shared" si="5"/>
        <v>9.6768800168524471</v>
      </c>
      <c r="G31" s="179">
        <f>G30*(1+'a5-1'!$P$47/100)</f>
        <v>10.9715192934835</v>
      </c>
      <c r="H31" s="175">
        <f t="shared" si="6"/>
        <v>8915.1757612872862</v>
      </c>
      <c r="I31" s="175">
        <f t="shared" si="4"/>
        <v>10107.909026402818</v>
      </c>
      <c r="J31" s="286">
        <f>'a8'!U34</f>
        <v>90.9</v>
      </c>
      <c r="K31" s="6">
        <f>'a1'!T34</f>
        <v>88.2</v>
      </c>
      <c r="L31" s="175">
        <f t="shared" si="2"/>
        <v>10853.233103306164</v>
      </c>
    </row>
    <row r="32" spans="1:12">
      <c r="A32" s="172">
        <v>1997</v>
      </c>
      <c r="B32" s="175">
        <f>'a1'!X35/1000</f>
        <v>932.40200000000004</v>
      </c>
      <c r="C32" s="175">
        <v>728.1</v>
      </c>
      <c r="D32" s="182">
        <f>C32/'a5-1'!C31*100</f>
        <v>3.1320574533159546</v>
      </c>
      <c r="E32" s="175">
        <f>E31*POWER(E$33/E$27, 1/6)</f>
        <v>940.57672695276585</v>
      </c>
      <c r="F32" s="182">
        <f t="shared" si="5"/>
        <v>9.9689677287471419</v>
      </c>
      <c r="G32" s="179">
        <f>G31*(1+'a5-1'!$P$47/100)</f>
        <v>11.076630809719047</v>
      </c>
      <c r="H32" s="175">
        <f t="shared" si="6"/>
        <v>9376.5790374027347</v>
      </c>
      <c r="I32" s="175">
        <f t="shared" si="4"/>
        <v>10418.421152669705</v>
      </c>
      <c r="J32" s="286">
        <f>'a8'!U35</f>
        <v>91</v>
      </c>
      <c r="K32" s="6">
        <f>'a1'!T35</f>
        <v>90</v>
      </c>
      <c r="L32" s="175">
        <f t="shared" si="2"/>
        <v>11173.743892301502</v>
      </c>
    </row>
    <row r="33" spans="1:19">
      <c r="A33" s="172">
        <v>1998</v>
      </c>
      <c r="B33" s="175">
        <f>'a1'!X36/1000</f>
        <v>931.83600000000001</v>
      </c>
      <c r="C33" s="175">
        <v>730.8</v>
      </c>
      <c r="D33" s="182">
        <f>C33/'a5-1'!C32*100</f>
        <v>3.1077110185960866</v>
      </c>
      <c r="E33" s="177">
        <f>C33*S33*365/1000</f>
        <v>960.27120000000002</v>
      </c>
      <c r="F33" s="182">
        <f t="shared" si="5"/>
        <v>10.131570898474088</v>
      </c>
      <c r="G33" s="179">
        <f>G32*(1+'a5-1'!$P$47/100)</f>
        <v>11.182749336064116</v>
      </c>
      <c r="H33" s="175">
        <f t="shared" si="6"/>
        <v>9729.055744562791</v>
      </c>
      <c r="I33" s="175">
        <f t="shared" si="4"/>
        <v>10738.472124241491</v>
      </c>
      <c r="J33" s="286">
        <f>'a8'!U36</f>
        <v>92.2</v>
      </c>
      <c r="K33" s="6">
        <f>'a1'!T36</f>
        <v>90.6</v>
      </c>
      <c r="L33" s="175">
        <f t="shared" si="2"/>
        <v>11523.993625746902</v>
      </c>
      <c r="S33" s="172">
        <v>3.6</v>
      </c>
    </row>
    <row r="34" spans="1:19">
      <c r="A34" s="172">
        <v>1999</v>
      </c>
      <c r="B34" s="175">
        <f>'a1'!X37/1000</f>
        <v>933.78399999999999</v>
      </c>
      <c r="C34" s="175">
        <v>734.9</v>
      </c>
      <c r="D34" s="182">
        <f>C34/'a5-1'!C33*100</f>
        <v>3.0902301798884841</v>
      </c>
      <c r="E34" s="175">
        <f t="shared" ref="E34:E42" si="7">C34*S34*365/1000</f>
        <v>969.4457289907557</v>
      </c>
      <c r="F34" s="182">
        <f t="shared" si="5"/>
        <v>10.397983642989868</v>
      </c>
      <c r="G34" s="179">
        <f>G33*(1+'a5-1'!$P$47/100)</f>
        <v>11.289884520075862</v>
      </c>
      <c r="H34" s="175">
        <f t="shared" si="6"/>
        <v>10080.280832812266</v>
      </c>
      <c r="I34" s="175">
        <f t="shared" si="4"/>
        <v>10944.930328786393</v>
      </c>
      <c r="J34" s="286">
        <f>'a8'!U37</f>
        <v>94.2</v>
      </c>
      <c r="K34" s="6">
        <f>'a1'!T37</f>
        <v>92.1</v>
      </c>
      <c r="L34" s="175">
        <f t="shared" si="2"/>
        <v>11721.051473131252</v>
      </c>
      <c r="S34" s="191">
        <f t="shared" ref="S34:S39" si="8">S33*POWER(S$40/S$33, 1/7)</f>
        <v>3.6141185138999647</v>
      </c>
    </row>
    <row r="35" spans="1:19">
      <c r="A35" s="172">
        <v>2000</v>
      </c>
      <c r="B35" s="175">
        <f>'a1'!X38/1000</f>
        <v>933.82100000000003</v>
      </c>
      <c r="C35" s="175">
        <v>739.1</v>
      </c>
      <c r="D35" s="182">
        <f>C35/'a5-1'!C34*100</f>
        <v>3.0681162488532445</v>
      </c>
      <c r="E35" s="175">
        <f t="shared" si="7"/>
        <v>978.80988262566188</v>
      </c>
      <c r="F35" s="182">
        <f t="shared" si="5"/>
        <v>10.862337934957147</v>
      </c>
      <c r="G35" s="179">
        <f>G34*(1+'a5-1'!$P$47/100)</f>
        <v>11.398046101738874</v>
      </c>
      <c r="H35" s="175">
        <f t="shared" si="6"/>
        <v>10632.163719155678</v>
      </c>
      <c r="I35" s="175">
        <f t="shared" si="4"/>
        <v>11156.52016700491</v>
      </c>
      <c r="J35" s="286">
        <f>'a8'!U38</f>
        <v>97.7</v>
      </c>
      <c r="K35" s="6">
        <f>'a1'!T38</f>
        <v>95.3</v>
      </c>
      <c r="L35" s="175">
        <f t="shared" si="2"/>
        <v>11947.172067242984</v>
      </c>
      <c r="S35" s="191">
        <f t="shared" si="8"/>
        <v>3.6282923979206916</v>
      </c>
    </row>
    <row r="36" spans="1:19">
      <c r="A36" s="172">
        <v>2001</v>
      </c>
      <c r="B36" s="175">
        <f>'a1'!X39/1000</f>
        <v>932.45399999999995</v>
      </c>
      <c r="C36" s="175">
        <v>742.7</v>
      </c>
      <c r="D36" s="182">
        <f>C36/'a5-1'!C35*100</f>
        <v>3.0389950488972546</v>
      </c>
      <c r="E36" s="175">
        <f t="shared" si="7"/>
        <v>987.43486217660609</v>
      </c>
      <c r="F36" s="182">
        <f t="shared" si="5"/>
        <v>11.173533840834496</v>
      </c>
      <c r="G36" s="179">
        <f>G35*(1+'a5-1'!$P$47/100)</f>
        <v>11.507243914350665</v>
      </c>
      <c r="H36" s="175">
        <f t="shared" si="6"/>
        <v>11033.136848150054</v>
      </c>
      <c r="I36" s="175">
        <f t="shared" si="4"/>
        <v>11362.653808599438</v>
      </c>
      <c r="J36" s="286">
        <f>'a8'!U39</f>
        <v>99.5</v>
      </c>
      <c r="K36" s="6">
        <f>'a1'!T39</f>
        <v>97.1</v>
      </c>
      <c r="L36" s="175">
        <f t="shared" si="2"/>
        <v>12185.75265761039</v>
      </c>
      <c r="S36" s="191">
        <f t="shared" si="8"/>
        <v>3.6425218692132413</v>
      </c>
    </row>
    <row r="37" spans="1:19">
      <c r="A37" s="172">
        <v>2002</v>
      </c>
      <c r="B37" s="175">
        <f>'a1'!X40/1000</f>
        <v>935.01499999999999</v>
      </c>
      <c r="C37" s="175">
        <v>747.8</v>
      </c>
      <c r="D37" s="182">
        <f>C37/'a5-1'!C36*100</f>
        <v>3.0170379126842275</v>
      </c>
      <c r="E37" s="175">
        <f t="shared" si="7"/>
        <v>998.11454001929553</v>
      </c>
      <c r="F37" s="182">
        <f t="shared" si="5"/>
        <v>11.617487885415647</v>
      </c>
      <c r="G37" s="179">
        <f>G36*(1+'a5-1'!$P$47/100)</f>
        <v>11.617487885415647</v>
      </c>
      <c r="H37" s="175">
        <f t="shared" si="6"/>
        <v>11595.583576931376</v>
      </c>
      <c r="I37" s="175">
        <f t="shared" si="4"/>
        <v>11595.583576931376</v>
      </c>
      <c r="J37" s="286">
        <f>'a8'!U40</f>
        <v>100</v>
      </c>
      <c r="K37" s="6">
        <f>'a1'!T40</f>
        <v>100</v>
      </c>
      <c r="L37" s="175">
        <f t="shared" si="2"/>
        <v>12401.494710706649</v>
      </c>
      <c r="S37" s="191">
        <f t="shared" si="8"/>
        <v>3.6568071457803004</v>
      </c>
    </row>
    <row r="38" spans="1:19">
      <c r="A38" s="172">
        <v>2003</v>
      </c>
      <c r="B38" s="175">
        <f>'a1'!X41/1000</f>
        <v>937.49099999999999</v>
      </c>
      <c r="C38" s="175">
        <v>753.3</v>
      </c>
      <c r="D38" s="182">
        <f>C38/'a5-1'!C37*100</f>
        <v>3.0013745841384942</v>
      </c>
      <c r="E38" s="175">
        <f t="shared" si="7"/>
        <v>1009.3987855275531</v>
      </c>
      <c r="F38" s="182">
        <f t="shared" si="5"/>
        <v>12.127566830824295</v>
      </c>
      <c r="G38" s="179">
        <f>G37*(1+'a5-1'!$P$47/100)</f>
        <v>11.728788037547671</v>
      </c>
      <c r="H38" s="175">
        <f t="shared" si="6"/>
        <v>12241.551230438279</v>
      </c>
      <c r="I38" s="175">
        <f t="shared" si="4"/>
        <v>11839.024400810715</v>
      </c>
      <c r="J38" s="286">
        <f>'a8'!U41</f>
        <v>105.1</v>
      </c>
      <c r="K38" s="6">
        <f>'a1'!T41</f>
        <v>103.4</v>
      </c>
      <c r="L38" s="175">
        <f t="shared" si="2"/>
        <v>12628.413926971796</v>
      </c>
      <c r="S38" s="191">
        <f t="shared" si="8"/>
        <v>3.6711484464795197</v>
      </c>
    </row>
    <row r="39" spans="1:19">
      <c r="A39" s="172">
        <v>2004</v>
      </c>
      <c r="B39" s="175">
        <f>'a1'!X42/1000</f>
        <v>939.37599999999998</v>
      </c>
      <c r="C39" s="175">
        <v>758.2</v>
      </c>
      <c r="D39" s="182">
        <f>C39/'a5-1'!C38*100</f>
        <v>2.9814006527466481</v>
      </c>
      <c r="E39" s="175">
        <f t="shared" si="7"/>
        <v>1019.9490541947487</v>
      </c>
      <c r="F39" s="182">
        <f t="shared" si="5"/>
        <v>12.468735677318419</v>
      </c>
      <c r="G39" s="179">
        <f>G38*(1+'a5-1'!$P$47/100)</f>
        <v>11.841154489381214</v>
      </c>
      <c r="H39" s="175">
        <f t="shared" si="6"/>
        <v>12717.47516108524</v>
      </c>
      <c r="I39" s="175">
        <f t="shared" si="4"/>
        <v>12077.374322018273</v>
      </c>
      <c r="J39" s="286">
        <f>'a8'!U42</f>
        <v>107.7</v>
      </c>
      <c r="K39" s="6">
        <f>'a1'!T42</f>
        <v>105.3</v>
      </c>
      <c r="L39" s="175">
        <f t="shared" si="2"/>
        <v>12856.805285655875</v>
      </c>
      <c r="S39" s="191">
        <f t="shared" si="8"/>
        <v>3.6855459910268684</v>
      </c>
    </row>
    <row r="40" spans="1:19">
      <c r="A40" s="172">
        <v>2005</v>
      </c>
      <c r="B40" s="175">
        <f>'a1'!X43/1000</f>
        <v>937.94100000000003</v>
      </c>
      <c r="C40" s="175">
        <v>761.1</v>
      </c>
      <c r="D40" s="182">
        <f>C40/'a5-1'!C39*100</f>
        <v>2.9523114997013167</v>
      </c>
      <c r="E40" s="177">
        <f t="shared" si="7"/>
        <v>1027.86555</v>
      </c>
      <c r="F40" s="182">
        <f t="shared" si="5"/>
        <v>12.934874447923578</v>
      </c>
      <c r="G40" s="179">
        <f>G39*(1+'a5-1'!$P$47/100)</f>
        <v>11.954597456491292</v>
      </c>
      <c r="H40" s="175">
        <f t="shared" si="6"/>
        <v>13295.311838595915</v>
      </c>
      <c r="I40" s="175">
        <f t="shared" si="4"/>
        <v>12287.718889645024</v>
      </c>
      <c r="J40" s="286">
        <f>'a8'!U43</f>
        <v>111.4</v>
      </c>
      <c r="K40" s="6">
        <f>'a1'!T43</f>
        <v>108.2</v>
      </c>
      <c r="L40" s="175">
        <f t="shared" si="2"/>
        <v>13100.737562005525</v>
      </c>
      <c r="S40" s="172">
        <v>3.7</v>
      </c>
    </row>
    <row r="41" spans="1:19">
      <c r="A41" s="172">
        <v>2006</v>
      </c>
      <c r="B41" s="175">
        <f>'a1'!X44/1000</f>
        <v>938.01</v>
      </c>
      <c r="C41" s="175">
        <v>764.3</v>
      </c>
      <c r="D41" s="182">
        <f>C41/'a5-1'!C40*100</f>
        <v>2.9232116698985307</v>
      </c>
      <c r="E41" s="175">
        <f t="shared" si="7"/>
        <v>1036.2351912846223</v>
      </c>
      <c r="F41" s="182">
        <f t="shared" si="5"/>
        <v>13.324316486563701</v>
      </c>
      <c r="G41" s="179">
        <f>G40*(1+'a5-1'!$P$47/100)</f>
        <v>12.069127252322192</v>
      </c>
      <c r="H41" s="175">
        <f t="shared" si="6"/>
        <v>13807.125643191182</v>
      </c>
      <c r="I41" s="175">
        <f t="shared" si="4"/>
        <v>12506.454386948535</v>
      </c>
      <c r="J41" s="286">
        <f>'a8'!U44</f>
        <v>112.3</v>
      </c>
      <c r="K41" s="6">
        <f>'a1'!T44</f>
        <v>110.4</v>
      </c>
      <c r="L41" s="175">
        <f t="shared" si="2"/>
        <v>13332.964879850464</v>
      </c>
      <c r="S41" s="191">
        <f>S40*POWER(S$40/S$33,1/7)</f>
        <v>3.7145106948416307</v>
      </c>
    </row>
    <row r="42" spans="1:19">
      <c r="A42" s="172">
        <v>2007</v>
      </c>
      <c r="B42" s="175">
        <f>'a1'!X45/1000</f>
        <v>935.79399999999998</v>
      </c>
      <c r="C42" s="175">
        <v>766.1</v>
      </c>
      <c r="D42" s="182">
        <f>C42/'a5-1'!C41*100</f>
        <v>2.8887740904000392</v>
      </c>
      <c r="E42" s="175">
        <f t="shared" si="7"/>
        <v>1042.7491126573696</v>
      </c>
      <c r="F42" s="182">
        <f t="shared" si="5"/>
        <v>13.70784857526573</v>
      </c>
      <c r="G42" s="179">
        <f>G41*(1+'a5-1'!$P$47/100)</f>
        <v>12.184754289125094</v>
      </c>
      <c r="H42" s="175">
        <f t="shared" si="6"/>
        <v>14293.846938299928</v>
      </c>
      <c r="I42" s="175">
        <f t="shared" si="4"/>
        <v>12705.641722933269</v>
      </c>
      <c r="J42" s="286">
        <f>'a8'!U45</f>
        <v>115.4</v>
      </c>
      <c r="K42" s="6">
        <f>'a1'!T45</f>
        <v>112.5</v>
      </c>
      <c r="L42" s="175">
        <f t="shared" si="2"/>
        <v>13577.391736785306</v>
      </c>
      <c r="S42" s="191">
        <f>S41*POWER(S$40/S$33,1/7)</f>
        <v>3.7290782978629333</v>
      </c>
    </row>
    <row r="43" spans="1:19">
      <c r="A43" s="172">
        <v>2009</v>
      </c>
      <c r="B43" s="175">
        <f>'a1'!X46/1000</f>
        <v>936.73699999999997</v>
      </c>
      <c r="C43" s="308">
        <v>769.3</v>
      </c>
      <c r="D43" s="182">
        <f>C43/'a5-1'!C42*100</f>
        <v>2.8590647925849391</v>
      </c>
      <c r="E43" s="175">
        <f t="shared" ref="E43" si="9">C43*S43*365/1000</f>
        <v>1051.2112210882642</v>
      </c>
      <c r="F43" s="182">
        <f t="shared" ref="F43" si="10">G43*K43/100</f>
        <v>14.257425842450532</v>
      </c>
      <c r="G43" s="179">
        <f>G42*(1+'a5-1'!$P$47/100)</f>
        <v>12.301489078904686</v>
      </c>
      <c r="H43" s="175">
        <f t="shared" ref="H43" si="11">E43*F43</f>
        <v>14987.566029417798</v>
      </c>
      <c r="I43" s="175">
        <f t="shared" ref="I43" si="12">H43/K43*100</f>
        <v>12931.463355839342</v>
      </c>
      <c r="J43" s="286">
        <f>'a8'!U46</f>
        <v>117.5</v>
      </c>
      <c r="K43" s="6">
        <f>'a1'!T46</f>
        <v>115.9</v>
      </c>
      <c r="L43" s="175">
        <f t="shared" si="2"/>
        <v>13804.796176343352</v>
      </c>
      <c r="S43" s="191">
        <f>S42*POWER(S$40/S$33,1/7)</f>
        <v>3.7437030322469429</v>
      </c>
    </row>
    <row r="44" spans="1:19">
      <c r="A44" s="172">
        <v>2009</v>
      </c>
      <c r="B44" s="175">
        <f>'a1'!X47/1000</f>
        <v>939.12400000000002</v>
      </c>
      <c r="C44" s="304">
        <v>773.4</v>
      </c>
      <c r="D44" s="182">
        <f>C44/'a5-1'!C43*100</f>
        <v>2.8331538343187459</v>
      </c>
      <c r="E44" s="175">
        <f t="shared" ref="E44" si="13">C44*S44*365/1000</f>
        <v>1060.9582944891742</v>
      </c>
      <c r="F44" s="182">
        <f t="shared" ref="F44" si="14">G44*K44/100</f>
        <v>14.369178965171692</v>
      </c>
      <c r="G44" s="179">
        <f>G43*(1+'a5-1'!$P$47/100)</f>
        <v>12.41934223437484</v>
      </c>
      <c r="H44" s="175">
        <f t="shared" ref="H44" si="15">E44*F44</f>
        <v>15245.099608098275</v>
      </c>
      <c r="I44" s="175">
        <f t="shared" ref="I44" si="16">H44/K44*100</f>
        <v>13176.404155659702</v>
      </c>
      <c r="J44" s="286">
        <f>'a8'!U47</f>
        <v>118.5</v>
      </c>
      <c r="K44" s="6">
        <f>'a1'!T47</f>
        <v>115.7</v>
      </c>
      <c r="L44" s="175">
        <f t="shared" ref="L44:L45" si="17">I44/B44*1000</f>
        <v>14030.526486022827</v>
      </c>
      <c r="S44" s="191">
        <f>S43*POWER(S$40/S$33,1/7)</f>
        <v>3.7583851220519757</v>
      </c>
    </row>
    <row r="45" spans="1:19">
      <c r="A45" s="172">
        <v>2010</v>
      </c>
      <c r="B45" s="175">
        <f>'a1'!X48/1000</f>
        <v>942.50599999999997</v>
      </c>
      <c r="C45" s="304">
        <v>777</v>
      </c>
      <c r="D45" s="182">
        <f>C45/'a5-1'!C44*100</f>
        <v>2.8092629752155753</v>
      </c>
      <c r="E45" s="175">
        <f t="shared" ref="E45" si="18">C45*S45*365/1000</f>
        <v>1070.0770566961528</v>
      </c>
      <c r="F45" s="182">
        <f t="shared" ref="F45" si="19">G45*K45/100</f>
        <v>14.820299523449512</v>
      </c>
      <c r="G45" s="179">
        <f>G44*(1+'a5-1'!$P$47/100)</f>
        <v>12.538324469923445</v>
      </c>
      <c r="H45" s="175">
        <f t="shared" ref="H45" si="20">E45*F45</f>
        <v>15858.862493408249</v>
      </c>
      <c r="I45" s="175">
        <f t="shared" ref="I45" si="21">H45/K45*100</f>
        <v>13416.97334467703</v>
      </c>
      <c r="J45" s="286">
        <f>'a8'!U48</f>
        <v>120.7866342626011</v>
      </c>
      <c r="K45" s="6">
        <f>'a1'!T48</f>
        <v>118.2</v>
      </c>
      <c r="L45" s="175">
        <f t="shared" si="17"/>
        <v>14235.424861674122</v>
      </c>
      <c r="S45" s="191">
        <f>S44*POWER(S$40/S$33,1/7)</f>
        <v>3.7731247922150621</v>
      </c>
    </row>
    <row r="46" spans="1:19">
      <c r="A46" s="172" t="s">
        <v>435</v>
      </c>
    </row>
    <row r="47" spans="1:19">
      <c r="A47" s="172" t="s">
        <v>438</v>
      </c>
      <c r="B47" s="179">
        <f>(POWER(B40/B27, 1/13)-1)*100</f>
        <v>0.15327345501050527</v>
      </c>
      <c r="C47" s="179">
        <f t="shared" ref="C47:L47" si="22">(POWER(C40/C27, 1/13)-1)*100</f>
        <v>0.55786307442826644</v>
      </c>
      <c r="D47" s="179">
        <f t="shared" si="22"/>
        <v>-0.72378666165735517</v>
      </c>
      <c r="E47" s="179">
        <f t="shared" si="22"/>
        <v>1.49068625106068</v>
      </c>
      <c r="F47" s="179">
        <f t="shared" si="22"/>
        <v>2.990672269551653</v>
      </c>
      <c r="G47" s="179">
        <f t="shared" si="22"/>
        <v>0.95803975205128733</v>
      </c>
      <c r="H47" s="179">
        <f t="shared" si="22"/>
        <v>4.5259400609488187</v>
      </c>
      <c r="I47" s="179">
        <f t="shared" si="22"/>
        <v>2.4630073699754895</v>
      </c>
      <c r="J47" s="179">
        <f t="shared" si="22"/>
        <v>1.8749649054905282</v>
      </c>
      <c r="K47" s="179">
        <f t="shared" si="22"/>
        <v>2.0133438827580452</v>
      </c>
      <c r="L47" s="179">
        <f t="shared" si="22"/>
        <v>2.3061991238883639</v>
      </c>
    </row>
    <row r="48" spans="1:19" ht="16.5" customHeight="1">
      <c r="A48" s="272" t="s">
        <v>1051</v>
      </c>
      <c r="B48" s="273">
        <f t="shared" ref="B48:L48" si="23">(POWER(B45/B27, 1/18)-1)*100</f>
        <v>0.13768098534350237</v>
      </c>
      <c r="C48" s="273">
        <f t="shared" si="23"/>
        <v>0.51798278657020358</v>
      </c>
      <c r="D48" s="273">
        <f t="shared" si="23"/>
        <v>-0.7973634567969845</v>
      </c>
      <c r="E48" s="273">
        <f t="shared" si="23"/>
        <v>1.3006373471466492</v>
      </c>
      <c r="F48" s="273">
        <f t="shared" si="23"/>
        <v>2.9262061774565584</v>
      </c>
      <c r="G48" s="273">
        <f t="shared" si="23"/>
        <v>0.95803975205128733</v>
      </c>
      <c r="H48" s="273">
        <f t="shared" si="23"/>
        <v>4.2649028550017176</v>
      </c>
      <c r="I48" s="273">
        <f t="shared" si="23"/>
        <v>2.2711377220136164</v>
      </c>
      <c r="J48" s="273">
        <f t="shared" si="23"/>
        <v>1.8071732853609968</v>
      </c>
      <c r="K48" s="273">
        <f t="shared" si="23"/>
        <v>1.9494895406438228</v>
      </c>
      <c r="L48" s="273">
        <f t="shared" si="23"/>
        <v>2.1305234110448046</v>
      </c>
    </row>
    <row r="49" spans="1:12" ht="15" customHeight="1">
      <c r="A49" s="642" t="s">
        <v>933</v>
      </c>
      <c r="B49" s="642"/>
      <c r="C49" s="642"/>
      <c r="D49" s="642"/>
      <c r="E49" s="642"/>
      <c r="F49" s="642"/>
      <c r="G49" s="642"/>
      <c r="H49" s="642"/>
      <c r="I49" s="642"/>
      <c r="J49" s="642"/>
      <c r="K49" s="642"/>
      <c r="L49" s="642"/>
    </row>
    <row r="50" spans="1:12" ht="12.75" customHeight="1">
      <c r="A50" s="643" t="s">
        <v>913</v>
      </c>
      <c r="B50" s="642"/>
      <c r="C50" s="642"/>
      <c r="D50" s="642"/>
      <c r="E50" s="642"/>
      <c r="F50" s="642"/>
      <c r="G50" s="642"/>
      <c r="H50" s="642"/>
      <c r="I50" s="642"/>
      <c r="J50" s="642"/>
      <c r="K50" s="642"/>
      <c r="L50" s="642"/>
    </row>
    <row r="51" spans="1:12">
      <c r="A51" s="185" t="s">
        <v>912</v>
      </c>
      <c r="B51" s="203"/>
      <c r="C51" s="203"/>
      <c r="D51" s="203"/>
      <c r="E51" s="203"/>
      <c r="F51" s="203"/>
      <c r="G51" s="203"/>
      <c r="H51" s="203"/>
      <c r="I51" s="203"/>
      <c r="J51" s="203"/>
      <c r="K51" s="203"/>
    </row>
    <row r="52" spans="1:12">
      <c r="A52" s="172" t="s">
        <v>1053</v>
      </c>
    </row>
    <row r="53" spans="1:12">
      <c r="A53" s="189" t="s">
        <v>1054</v>
      </c>
    </row>
    <row r="54" spans="1:12">
      <c r="A54" s="189" t="s">
        <v>944</v>
      </c>
    </row>
    <row r="55" spans="1:12">
      <c r="A55" s="185" t="s">
        <v>1050</v>
      </c>
    </row>
    <row r="56" spans="1:12">
      <c r="A56" s="1" t="s">
        <v>1052</v>
      </c>
    </row>
  </sheetData>
  <mergeCells count="2">
    <mergeCell ref="A49:L49"/>
    <mergeCell ref="A50:L50"/>
  </mergeCells>
  <pageMargins left="0.74803149606299213" right="0.74803149606299213" top="0.98425196850393704" bottom="0.98425196850393704" header="0.51181102362204722" footer="0.51181102362204722"/>
  <pageSetup scale="75" orientation="landscape" r:id="rId1"/>
  <headerFooter alignWithMargins="0"/>
</worksheet>
</file>

<file path=xl/worksheets/sheet22.xml><?xml version="1.0" encoding="utf-8"?>
<worksheet xmlns="http://schemas.openxmlformats.org/spreadsheetml/2006/main" xmlns:r="http://schemas.openxmlformats.org/officeDocument/2006/relationships">
  <dimension ref="A1:S56"/>
  <sheetViews>
    <sheetView view="pageBreakPreview" zoomScaleSheetLayoutView="100" workbookViewId="0">
      <selection activeCell="E9" sqref="E9"/>
    </sheetView>
  </sheetViews>
  <sheetFormatPr defaultRowHeight="12.75"/>
  <cols>
    <col min="1" max="1" width="9.375" style="172" customWidth="1"/>
    <col min="2" max="12" width="12" style="172" customWidth="1"/>
    <col min="13" max="20" width="9" style="172"/>
    <col min="21" max="21" width="0" style="172" hidden="1" customWidth="1"/>
    <col min="22" max="16384" width="9" style="172"/>
  </cols>
  <sheetData>
    <row r="1" spans="1:19" ht="31.5" customHeight="1">
      <c r="A1" s="172" t="s">
        <v>895</v>
      </c>
      <c r="S1" s="203" t="s">
        <v>914</v>
      </c>
    </row>
    <row r="2" spans="1:19" ht="45.75" customHeight="1">
      <c r="B2" s="203" t="s">
        <v>868</v>
      </c>
      <c r="C2" s="203" t="s">
        <v>869</v>
      </c>
      <c r="D2" s="203" t="s">
        <v>890</v>
      </c>
      <c r="E2" s="203" t="s">
        <v>870</v>
      </c>
      <c r="F2" s="203" t="s">
        <v>871</v>
      </c>
      <c r="G2" s="203" t="s">
        <v>872</v>
      </c>
      <c r="H2" s="203" t="s">
        <v>873</v>
      </c>
      <c r="I2" s="203" t="s">
        <v>873</v>
      </c>
      <c r="J2" s="203" t="s">
        <v>473</v>
      </c>
      <c r="K2" s="203" t="s">
        <v>874</v>
      </c>
      <c r="L2" s="203" t="s">
        <v>875</v>
      </c>
      <c r="S2" s="172" t="s">
        <v>915</v>
      </c>
    </row>
    <row r="3" spans="1:19" ht="28.5" customHeight="1">
      <c r="B3" s="203" t="s">
        <v>876</v>
      </c>
      <c r="C3" s="203" t="s">
        <v>876</v>
      </c>
      <c r="D3" s="203" t="s">
        <v>891</v>
      </c>
      <c r="E3" s="203" t="s">
        <v>877</v>
      </c>
      <c r="F3" s="203" t="s">
        <v>878</v>
      </c>
      <c r="G3" s="203" t="s">
        <v>879</v>
      </c>
      <c r="H3" s="203" t="s">
        <v>880</v>
      </c>
      <c r="I3" s="203" t="s">
        <v>881</v>
      </c>
      <c r="J3" s="203" t="s">
        <v>882</v>
      </c>
      <c r="K3" s="203" t="s">
        <v>882</v>
      </c>
      <c r="L3" s="203" t="s">
        <v>883</v>
      </c>
    </row>
    <row r="4" spans="1:19">
      <c r="A4" s="272"/>
      <c r="B4" s="274" t="s">
        <v>105</v>
      </c>
      <c r="C4" s="274" t="s">
        <v>106</v>
      </c>
      <c r="D4" s="274" t="s">
        <v>107</v>
      </c>
      <c r="E4" s="274" t="s">
        <v>108</v>
      </c>
      <c r="F4" s="274" t="s">
        <v>109</v>
      </c>
      <c r="G4" s="274" t="s">
        <v>110</v>
      </c>
      <c r="H4" s="275" t="s">
        <v>892</v>
      </c>
      <c r="I4" s="275" t="s">
        <v>936</v>
      </c>
      <c r="J4" s="276" t="s">
        <v>138</v>
      </c>
      <c r="K4" s="276" t="s">
        <v>138</v>
      </c>
      <c r="L4" s="276" t="s">
        <v>935</v>
      </c>
    </row>
    <row r="5" spans="1:19" hidden="1">
      <c r="A5" s="172">
        <v>1971</v>
      </c>
      <c r="B5" s="175">
        <v>642.471</v>
      </c>
      <c r="C5" s="176">
        <f>C6*B5/B6</f>
        <v>449.03476302911969</v>
      </c>
      <c r="D5" s="182">
        <f>C5/'a5-1'!C5*100</f>
        <v>2.8107267395176954</v>
      </c>
      <c r="E5" s="177">
        <v>17519</v>
      </c>
      <c r="F5" s="187">
        <f>H5/E5</f>
        <v>1.6931331697014669</v>
      </c>
      <c r="G5" s="179">
        <f>F5/K5*100</f>
        <v>7.884297464238081</v>
      </c>
      <c r="H5" s="177">
        <v>29662</v>
      </c>
      <c r="I5" s="175">
        <f t="shared" ref="I5:I14" si="0">H5/J5*100</f>
        <v>129103.14186155464</v>
      </c>
      <c r="J5" s="188">
        <v>22.97542846153846</v>
      </c>
      <c r="K5" s="183">
        <v>21.474749999999993</v>
      </c>
      <c r="L5" s="175">
        <f>I5/B5*1000</f>
        <v>200947.81221495545</v>
      </c>
    </row>
    <row r="6" spans="1:19" hidden="1">
      <c r="A6" s="172">
        <v>1972</v>
      </c>
      <c r="B6" s="175">
        <v>648.76900000000001</v>
      </c>
      <c r="C6" s="176">
        <f>C7*B6/B7</f>
        <v>453.43655071690239</v>
      </c>
      <c r="D6" s="182">
        <f>C6/'a5-1'!C6*100</f>
        <v>2.8055220955720364</v>
      </c>
      <c r="E6" s="175">
        <v>17872</v>
      </c>
      <c r="F6" s="182">
        <f>POWER(F$16/F$5,1/10)*F5</f>
        <v>1.7949427283689403</v>
      </c>
      <c r="G6" s="179">
        <f t="shared" ref="G6:G27" si="1">F6/K6*100</f>
        <v>7.9767255646388282</v>
      </c>
      <c r="H6" s="175">
        <v>33180</v>
      </c>
      <c r="I6" s="175">
        <f t="shared" si="0"/>
        <v>136436.4145861516</v>
      </c>
      <c r="J6" s="188">
        <v>24.319020769230768</v>
      </c>
      <c r="K6" s="183">
        <v>22.502249999999993</v>
      </c>
      <c r="L6" s="175">
        <f t="shared" ref="L6:L43" si="2">I6/B6*1000</f>
        <v>210300.45299043509</v>
      </c>
    </row>
    <row r="7" spans="1:19" hidden="1">
      <c r="A7" s="172">
        <v>1973</v>
      </c>
      <c r="B7" s="175">
        <v>656.72</v>
      </c>
      <c r="C7" s="176">
        <f>C8*B7/B8</f>
        <v>458.99365041610213</v>
      </c>
      <c r="D7" s="182">
        <f>C7/'a5-1'!C7*100</f>
        <v>2.8053954601240636</v>
      </c>
      <c r="E7" s="175">
        <v>18232</v>
      </c>
      <c r="F7" s="182">
        <f t="shared" ref="F7:F14" si="3">POWER(F$16/F$5,1/10)*F6</f>
        <v>1.9028741836607019</v>
      </c>
      <c r="G7" s="179">
        <f t="shared" si="1"/>
        <v>7.8472274471553556</v>
      </c>
      <c r="H7" s="175">
        <v>37115</v>
      </c>
      <c r="I7" s="175">
        <f t="shared" si="0"/>
        <v>141297.733120138</v>
      </c>
      <c r="J7" s="188">
        <v>26.267229615384615</v>
      </c>
      <c r="K7" s="183">
        <v>24.248999999999995</v>
      </c>
      <c r="L7" s="175">
        <f t="shared" si="2"/>
        <v>215156.73821436532</v>
      </c>
    </row>
    <row r="8" spans="1:19" hidden="1">
      <c r="A8" s="172">
        <v>1974</v>
      </c>
      <c r="B8" s="175">
        <v>664.74400000000003</v>
      </c>
      <c r="C8" s="176">
        <f>C9*B8/B9</f>
        <v>464.60177115391861</v>
      </c>
      <c r="D8" s="182">
        <f>C8/'a5-1'!C8*100</f>
        <v>2.8003055953968223</v>
      </c>
      <c r="E8" s="175">
        <v>18599</v>
      </c>
      <c r="F8" s="182">
        <f t="shared" si="3"/>
        <v>2.0172956505039648</v>
      </c>
      <c r="G8" s="179">
        <f t="shared" si="1"/>
        <v>7.4935296539958962</v>
      </c>
      <c r="H8" s="175">
        <v>41518</v>
      </c>
      <c r="I8" s="175">
        <f t="shared" si="0"/>
        <v>140457.92070834007</v>
      </c>
      <c r="J8" s="188">
        <v>29.559030769230773</v>
      </c>
      <c r="K8" s="183">
        <v>26.920499999999993</v>
      </c>
      <c r="L8" s="175">
        <f t="shared" si="2"/>
        <v>211296.25947483553</v>
      </c>
    </row>
    <row r="9" spans="1:19" hidden="1">
      <c r="A9" s="172">
        <v>1975</v>
      </c>
      <c r="B9" s="175">
        <v>677.00800000000004</v>
      </c>
      <c r="C9" s="176">
        <f>C10*B9/B10</f>
        <v>473.17330564152837</v>
      </c>
      <c r="D9" s="182">
        <f>C9/'a5-1'!C9*100</f>
        <v>2.8106489193981985</v>
      </c>
      <c r="E9" s="175">
        <v>18974</v>
      </c>
      <c r="F9" s="182">
        <f t="shared" si="3"/>
        <v>2.1385973788941981</v>
      </c>
      <c r="G9" s="179">
        <f t="shared" si="1"/>
        <v>7.1771033774450821</v>
      </c>
      <c r="H9" s="175">
        <v>46442</v>
      </c>
      <c r="I9" s="175">
        <f t="shared" si="0"/>
        <v>140225.33355879469</v>
      </c>
      <c r="J9" s="188">
        <v>33.119550384615387</v>
      </c>
      <c r="K9" s="183">
        <v>29.797499999999996</v>
      </c>
      <c r="L9" s="175">
        <f t="shared" si="2"/>
        <v>207125.07615684703</v>
      </c>
    </row>
    <row r="10" spans="1:19" hidden="1">
      <c r="A10" s="172">
        <v>1976</v>
      </c>
      <c r="B10" s="175">
        <v>689.49400000000003</v>
      </c>
      <c r="C10" s="175">
        <v>481.9</v>
      </c>
      <c r="D10" s="182">
        <f>C10/'a5-1'!C10*100</f>
        <v>2.8250674170477197</v>
      </c>
      <c r="E10" s="175">
        <v>19356</v>
      </c>
      <c r="F10" s="182">
        <f t="shared" si="3"/>
        <v>2.2671930848958848</v>
      </c>
      <c r="G10" s="179">
        <f t="shared" si="1"/>
        <v>7.0949001647487808</v>
      </c>
      <c r="H10" s="175">
        <v>51950</v>
      </c>
      <c r="I10" s="175">
        <f t="shared" si="0"/>
        <v>145905.66999133985</v>
      </c>
      <c r="J10" s="188">
        <v>35.605196153846158</v>
      </c>
      <c r="K10" s="183">
        <v>31.955249999999999</v>
      </c>
      <c r="L10" s="175">
        <f t="shared" si="2"/>
        <v>211612.67536967664</v>
      </c>
    </row>
    <row r="11" spans="1:19" hidden="1">
      <c r="A11" s="172">
        <v>1977</v>
      </c>
      <c r="B11" s="175">
        <v>695.84299999999996</v>
      </c>
      <c r="C11" s="175">
        <v>490.8</v>
      </c>
      <c r="D11" s="182">
        <f>C11/'a5-1'!C11*100</f>
        <v>2.8149465171632588</v>
      </c>
      <c r="E11" s="175">
        <v>19746</v>
      </c>
      <c r="F11" s="182">
        <f t="shared" si="3"/>
        <v>2.4035213616775013</v>
      </c>
      <c r="G11" s="179">
        <f t="shared" si="1"/>
        <v>6.9618855337663694</v>
      </c>
      <c r="H11" s="175">
        <v>58111</v>
      </c>
      <c r="I11" s="175">
        <f t="shared" si="0"/>
        <v>153370.46417038262</v>
      </c>
      <c r="J11" s="188">
        <v>37.889303076923085</v>
      </c>
      <c r="K11" s="183">
        <v>34.524000000000001</v>
      </c>
      <c r="L11" s="175">
        <f t="shared" si="2"/>
        <v>220409.58114169809</v>
      </c>
    </row>
    <row r="12" spans="1:19" hidden="1">
      <c r="A12" s="172">
        <v>1978</v>
      </c>
      <c r="B12" s="175">
        <v>699.51400000000001</v>
      </c>
      <c r="C12" s="175">
        <v>498.6</v>
      </c>
      <c r="D12" s="182">
        <f>C12/'a5-1'!C12*100</f>
        <v>2.8044637433347583</v>
      </c>
      <c r="E12" s="175">
        <v>20144</v>
      </c>
      <c r="F12" s="182">
        <f t="shared" si="3"/>
        <v>2.548047175393251</v>
      </c>
      <c r="G12" s="179">
        <f t="shared" si="1"/>
        <v>6.775549905982345</v>
      </c>
      <c r="H12" s="175">
        <v>65004</v>
      </c>
      <c r="I12" s="175">
        <f t="shared" si="0"/>
        <v>159936.35492557334</v>
      </c>
      <c r="J12" s="188">
        <v>40.643667307692311</v>
      </c>
      <c r="K12" s="183">
        <v>37.606500000000004</v>
      </c>
      <c r="L12" s="175">
        <f t="shared" si="2"/>
        <v>228639.24800014487</v>
      </c>
    </row>
    <row r="13" spans="1:19" hidden="1">
      <c r="A13" s="172">
        <v>1979</v>
      </c>
      <c r="B13" s="175">
        <v>703.15800000000002</v>
      </c>
      <c r="C13" s="175">
        <v>506.3</v>
      </c>
      <c r="D13" s="182">
        <f>C13/'a5-1'!C13*100</f>
        <v>2.7942426349658374</v>
      </c>
      <c r="E13" s="175">
        <v>20550</v>
      </c>
      <c r="F13" s="182">
        <f t="shared" si="3"/>
        <v>2.7012634510134546</v>
      </c>
      <c r="G13" s="179">
        <f t="shared" si="1"/>
        <v>6.5724171557504967</v>
      </c>
      <c r="H13" s="175">
        <v>72714</v>
      </c>
      <c r="I13" s="175">
        <f t="shared" si="0"/>
        <v>166264.50135965104</v>
      </c>
      <c r="J13" s="188">
        <v>43.733929615384625</v>
      </c>
      <c r="K13" s="183">
        <v>41.1</v>
      </c>
      <c r="L13" s="175">
        <f t="shared" si="2"/>
        <v>236453.97102735235</v>
      </c>
    </row>
    <row r="14" spans="1:19" hidden="1">
      <c r="A14" s="172">
        <v>1980</v>
      </c>
      <c r="B14" s="175">
        <v>706.21900000000005</v>
      </c>
      <c r="C14" s="175">
        <v>513.1</v>
      </c>
      <c r="D14" s="182">
        <f>C14/'a5-1'!C14*100</f>
        <v>2.7759893959477373</v>
      </c>
      <c r="E14" s="175">
        <v>20964</v>
      </c>
      <c r="F14" s="182">
        <f t="shared" si="3"/>
        <v>2.8636927535122925</v>
      </c>
      <c r="G14" s="179">
        <f t="shared" si="1"/>
        <v>6.3216175574222797</v>
      </c>
      <c r="H14" s="175">
        <v>81338</v>
      </c>
      <c r="I14" s="175">
        <f t="shared" si="0"/>
        <v>170769.27756700167</v>
      </c>
      <c r="J14" s="188">
        <v>47.630347307692318</v>
      </c>
      <c r="K14" s="183">
        <v>45.3</v>
      </c>
      <c r="L14" s="175">
        <f t="shared" si="2"/>
        <v>241807.8210399347</v>
      </c>
    </row>
    <row r="15" spans="1:19" hidden="1">
      <c r="B15" s="175"/>
      <c r="C15" s="175"/>
      <c r="D15" s="182"/>
      <c r="E15" s="175"/>
      <c r="F15" s="182"/>
      <c r="G15" s="179"/>
      <c r="I15" s="175"/>
      <c r="J15" s="175"/>
      <c r="K15" s="183"/>
      <c r="L15" s="175"/>
    </row>
    <row r="16" spans="1:19">
      <c r="A16" s="172">
        <v>1981</v>
      </c>
      <c r="B16" s="175">
        <f>'a1'!AD19/1000</f>
        <v>706.43799999999999</v>
      </c>
      <c r="C16" s="175">
        <v>517</v>
      </c>
      <c r="D16" s="182">
        <f>C16/'a5-1'!C15*100</f>
        <v>2.7478952291861551</v>
      </c>
      <c r="E16" s="177">
        <v>613</v>
      </c>
      <c r="F16" s="187">
        <f>H16/E16</f>
        <v>3.0358890701468191</v>
      </c>
      <c r="G16" s="179">
        <f t="shared" si="1"/>
        <v>5.9644186053965011</v>
      </c>
      <c r="H16" s="177">
        <v>1861</v>
      </c>
      <c r="I16" s="175">
        <f>H16/K16*100</f>
        <v>3656.1886051080551</v>
      </c>
      <c r="J16" s="188">
        <f>'a8'!AA19</f>
        <v>52.4</v>
      </c>
      <c r="K16" s="6">
        <f>'a1'!Z19</f>
        <v>50.9</v>
      </c>
      <c r="L16" s="175">
        <f t="shared" si="2"/>
        <v>5175.5265219425555</v>
      </c>
    </row>
    <row r="17" spans="1:12">
      <c r="A17" s="172">
        <v>1982</v>
      </c>
      <c r="B17" s="175">
        <f>'a1'!AD20/1000</f>
        <v>707.45699999999999</v>
      </c>
      <c r="C17" s="175">
        <v>522.20000000000005</v>
      </c>
      <c r="D17" s="182">
        <f>C17/'a5-1'!C16*100</f>
        <v>2.7335448140121654</v>
      </c>
      <c r="E17" s="175">
        <v>612.39880000000005</v>
      </c>
      <c r="F17" s="182">
        <f>POWER(F$21/F$16,1/5)*F16</f>
        <v>3.5160715781062688</v>
      </c>
      <c r="G17" s="179">
        <f t="shared" si="1"/>
        <v>6.3238697447954477</v>
      </c>
      <c r="H17" s="175">
        <f>POWER(H21/H16,1/5)*H16</f>
        <v>2153.238092457158</v>
      </c>
      <c r="I17" s="175">
        <f t="shared" ref="I17:I42" si="4">H17/K17*100</f>
        <v>3872.7303821171909</v>
      </c>
      <c r="J17" s="188">
        <f>'a8'!AA20</f>
        <v>57.2</v>
      </c>
      <c r="K17" s="6">
        <f>'a1'!Z20</f>
        <v>55.6</v>
      </c>
      <c r="L17" s="175">
        <f t="shared" si="2"/>
        <v>5474.1565665718072</v>
      </c>
    </row>
    <row r="18" spans="1:12">
      <c r="A18" s="172">
        <v>1983</v>
      </c>
      <c r="B18" s="175">
        <f>'a1'!AD21/1000</f>
        <v>714.84199999999998</v>
      </c>
      <c r="C18" s="175">
        <v>530.20000000000005</v>
      </c>
      <c r="D18" s="182">
        <f>C18/'a5-1'!C17*100</f>
        <v>2.7393438388013438</v>
      </c>
      <c r="E18" s="175">
        <v>611.79819999999995</v>
      </c>
      <c r="F18" s="182">
        <f>POWER(F$21/F$16,1/5)*F17</f>
        <v>4.0722039101938696</v>
      </c>
      <c r="G18" s="179">
        <f t="shared" si="1"/>
        <v>6.8671229514230516</v>
      </c>
      <c r="H18" s="175">
        <f>POWER(H21/H16,1/5)*H17</f>
        <v>2491.367158951392</v>
      </c>
      <c r="I18" s="175">
        <f t="shared" si="4"/>
        <v>4201.2936913176927</v>
      </c>
      <c r="J18" s="188">
        <f>'a8'!AA21</f>
        <v>61</v>
      </c>
      <c r="K18" s="6">
        <f>'a1'!Z21</f>
        <v>59.3</v>
      </c>
      <c r="L18" s="175">
        <f t="shared" si="2"/>
        <v>5877.2339780226857</v>
      </c>
    </row>
    <row r="19" spans="1:12">
      <c r="A19" s="172">
        <v>1984</v>
      </c>
      <c r="B19" s="175">
        <f>'a1'!AD22/1000</f>
        <v>720.48800000000006</v>
      </c>
      <c r="C19" s="175">
        <v>537.5</v>
      </c>
      <c r="D19" s="182">
        <f>C19/'a5-1'!C18*100</f>
        <v>2.7426407931462045</v>
      </c>
      <c r="E19" s="175">
        <v>611.19820000000004</v>
      </c>
      <c r="F19" s="182">
        <f>POWER(F$21/F$16,1/5)*F18</f>
        <v>4.7162989483648809</v>
      </c>
      <c r="G19" s="179">
        <f t="shared" si="1"/>
        <v>7.570303287905106</v>
      </c>
      <c r="H19" s="175">
        <f>POWER(H21/H16,1/5)*H18</f>
        <v>2882.5935889043008</v>
      </c>
      <c r="I19" s="175">
        <f t="shared" si="4"/>
        <v>4626.9560014515264</v>
      </c>
      <c r="J19" s="188">
        <f>'a8'!AA22</f>
        <v>65.5</v>
      </c>
      <c r="K19" s="6">
        <f>'a1'!Z22</f>
        <v>62.3</v>
      </c>
      <c r="L19" s="175">
        <f t="shared" si="2"/>
        <v>6421.975107776293</v>
      </c>
    </row>
    <row r="20" spans="1:12">
      <c r="A20" s="172">
        <v>1985</v>
      </c>
      <c r="B20" s="175">
        <f>'a1'!AD23/1000</f>
        <v>723.28700000000003</v>
      </c>
      <c r="C20" s="175">
        <v>543</v>
      </c>
      <c r="D20" s="182">
        <f>C20/'a5-1'!C19*100</f>
        <v>2.7365227514400758</v>
      </c>
      <c r="E20" s="175">
        <v>610.59879999999998</v>
      </c>
      <c r="F20" s="182">
        <f>POWER(F$21/F$16,1/5)*F19</f>
        <v>5.4622696360233869</v>
      </c>
      <c r="G20" s="179">
        <f t="shared" si="1"/>
        <v>8.3777141656800413</v>
      </c>
      <c r="H20" s="175">
        <f>POWER(H21/H16,1/5)*H19</f>
        <v>3335.255411446281</v>
      </c>
      <c r="I20" s="175">
        <f t="shared" si="4"/>
        <v>5115.4224101936816</v>
      </c>
      <c r="J20" s="188">
        <f>'a8'!AA23</f>
        <v>67.5</v>
      </c>
      <c r="K20" s="6">
        <f>'a1'!Z23</f>
        <v>65.2</v>
      </c>
      <c r="L20" s="175">
        <f t="shared" si="2"/>
        <v>7072.4655775559104</v>
      </c>
    </row>
    <row r="21" spans="1:12">
      <c r="A21" s="172">
        <v>1986</v>
      </c>
      <c r="B21" s="175">
        <f>'a1'!AD24/1000</f>
        <v>725.01900000000001</v>
      </c>
      <c r="C21" s="175">
        <v>547.20000000000005</v>
      </c>
      <c r="D21" s="182">
        <f>C21/'a5-1'!C20*100</f>
        <v>2.7233093782971354</v>
      </c>
      <c r="E21" s="177">
        <v>610</v>
      </c>
      <c r="F21" s="187">
        <f>H21/E21</f>
        <v>6.3262295081967217</v>
      </c>
      <c r="G21" s="179">
        <f t="shared" si="1"/>
        <v>9.3721918639951429</v>
      </c>
      <c r="H21" s="177">
        <v>3859</v>
      </c>
      <c r="I21" s="175">
        <f t="shared" si="4"/>
        <v>5717.0370370370374</v>
      </c>
      <c r="J21" s="188">
        <f>'a8'!AA24</f>
        <v>70.5</v>
      </c>
      <c r="K21" s="6">
        <f>'a1'!Z24</f>
        <v>67.5</v>
      </c>
      <c r="L21" s="175">
        <f t="shared" si="2"/>
        <v>7885.3616760899195</v>
      </c>
    </row>
    <row r="22" spans="1:12">
      <c r="A22" s="172">
        <v>1987</v>
      </c>
      <c r="B22" s="175">
        <f>'a1'!AD25/1000</f>
        <v>727.76800000000003</v>
      </c>
      <c r="C22" s="175">
        <v>551.9</v>
      </c>
      <c r="D22" s="182">
        <f>C22/'a5-1'!C21*100</f>
        <v>2.7122925481986035</v>
      </c>
      <c r="E22" s="175">
        <v>619.61320000000001</v>
      </c>
      <c r="F22" s="182">
        <f>POWER(F$27/F$21,1/6)*F21</f>
        <v>6.4452244035625581</v>
      </c>
      <c r="G22" s="179">
        <f t="shared" si="1"/>
        <v>9.287066863922993</v>
      </c>
      <c r="H22" s="175">
        <f>POWER(H27/H21,1/6)*H21</f>
        <v>3993.546133333251</v>
      </c>
      <c r="I22" s="175">
        <f t="shared" si="4"/>
        <v>5754.3892411141942</v>
      </c>
      <c r="J22" s="188">
        <f>'a8'!AA25</f>
        <v>74.099999999999994</v>
      </c>
      <c r="K22" s="6">
        <f>'a1'!Z25</f>
        <v>69.400000000000006</v>
      </c>
      <c r="L22" s="175">
        <f t="shared" si="2"/>
        <v>7906.9006072185002</v>
      </c>
    </row>
    <row r="23" spans="1:12">
      <c r="A23" s="172">
        <v>1988</v>
      </c>
      <c r="B23" s="175">
        <f>'a1'!AD26/1000</f>
        <v>730.34900000000005</v>
      </c>
      <c r="C23" s="175">
        <v>556.79999999999995</v>
      </c>
      <c r="D23" s="182">
        <f>C23/'a5-1'!C22*100</f>
        <v>2.7013128147407843</v>
      </c>
      <c r="E23" s="175">
        <v>629.37789999999995</v>
      </c>
      <c r="F23" s="182">
        <f>POWER(F$27/F$21,1/6)*F22</f>
        <v>6.5664575650401096</v>
      </c>
      <c r="G23" s="179">
        <f t="shared" si="1"/>
        <v>9.1454840738720193</v>
      </c>
      <c r="H23" s="175">
        <f>POWER(H27/H21,1/6)*H22</f>
        <v>4132.7832907646953</v>
      </c>
      <c r="I23" s="175">
        <f t="shared" si="4"/>
        <v>5755.9655860232524</v>
      </c>
      <c r="J23" s="188">
        <f>'a8'!AA26</f>
        <v>79.099999999999994</v>
      </c>
      <c r="K23" s="6">
        <f>'a1'!Z26</f>
        <v>71.8</v>
      </c>
      <c r="L23" s="175">
        <f t="shared" si="2"/>
        <v>7881.116542944882</v>
      </c>
    </row>
    <row r="24" spans="1:12">
      <c r="A24" s="172">
        <v>1989</v>
      </c>
      <c r="B24" s="175">
        <f>'a1'!AD27/1000</f>
        <v>735.12900000000002</v>
      </c>
      <c r="C24" s="175">
        <v>562.6</v>
      </c>
      <c r="D24" s="182">
        <f>C24/'a5-1'!C23*100</f>
        <v>2.6920592387013422</v>
      </c>
      <c r="E24" s="175">
        <v>639.29650000000004</v>
      </c>
      <c r="F24" s="182">
        <f>POWER(F$27/F$21,1/6)*F23</f>
        <v>6.6899710938907067</v>
      </c>
      <c r="G24" s="179">
        <f t="shared" si="1"/>
        <v>8.8962381567695559</v>
      </c>
      <c r="H24" s="175">
        <f>POWER(H27/H21,1/6)*H23</f>
        <v>4276.8750274002641</v>
      </c>
      <c r="I24" s="175">
        <f t="shared" si="4"/>
        <v>5687.3338130322654</v>
      </c>
      <c r="J24" s="188">
        <f>'a8'!AA27</f>
        <v>82.8</v>
      </c>
      <c r="K24" s="6">
        <f>'a1'!Z27</f>
        <v>75.2</v>
      </c>
      <c r="L24" s="175">
        <f t="shared" si="2"/>
        <v>7736.511296700668</v>
      </c>
    </row>
    <row r="25" spans="1:12">
      <c r="A25" s="172">
        <v>1990</v>
      </c>
      <c r="B25" s="175">
        <f>'a1'!AD28/1000</f>
        <v>740.15599999999995</v>
      </c>
      <c r="C25" s="175">
        <v>569.1</v>
      </c>
      <c r="D25" s="182">
        <f>C25/'a5-1'!C24*100</f>
        <v>2.6825738756616877</v>
      </c>
      <c r="E25" s="175">
        <v>649.37139999999999</v>
      </c>
      <c r="F25" s="182">
        <f>POWER(F$27/F$21,1/6)*F24</f>
        <v>6.8158078832905451</v>
      </c>
      <c r="G25" s="179">
        <f t="shared" si="1"/>
        <v>8.6604928631391935</v>
      </c>
      <c r="H25" s="175">
        <f>POWER(H27/H21,1/6)*H24</f>
        <v>4425.990600783588</v>
      </c>
      <c r="I25" s="175">
        <f t="shared" si="4"/>
        <v>5623.8762398774934</v>
      </c>
      <c r="J25" s="188">
        <f>'a8'!AA28</f>
        <v>85.3</v>
      </c>
      <c r="K25" s="6">
        <f>'a1'!Z28</f>
        <v>78.7</v>
      </c>
      <c r="L25" s="175">
        <f t="shared" si="2"/>
        <v>7598.2309673602504</v>
      </c>
    </row>
    <row r="26" spans="1:12">
      <c r="A26" s="172">
        <v>1991</v>
      </c>
      <c r="B26" s="175">
        <f>'a1'!AD29/1000</f>
        <v>745.56700000000001</v>
      </c>
      <c r="C26" s="175">
        <v>575.5</v>
      </c>
      <c r="D26" s="182">
        <f>C26/'a5-1'!C25*100</f>
        <v>2.672604756354112</v>
      </c>
      <c r="E26" s="175">
        <v>659.60509999999999</v>
      </c>
      <c r="F26" s="182">
        <f>POWER(F$27/F$21,1/6)*F25</f>
        <v>6.9440116332264195</v>
      </c>
      <c r="G26" s="179">
        <f t="shared" si="1"/>
        <v>8.2864100635160138</v>
      </c>
      <c r="H26" s="175">
        <f>POWER(H27/H21,1/6)*H25</f>
        <v>4580.305169714592</v>
      </c>
      <c r="I26" s="175">
        <f t="shared" si="4"/>
        <v>5465.7579590866253</v>
      </c>
      <c r="J26" s="188">
        <f>'a8'!AA29</f>
        <v>86.5</v>
      </c>
      <c r="K26" s="6">
        <f>'a1'!Z29</f>
        <v>83.8</v>
      </c>
      <c r="L26" s="175">
        <f t="shared" si="2"/>
        <v>7331.008425918295</v>
      </c>
    </row>
    <row r="27" spans="1:12">
      <c r="A27" s="172">
        <v>1992</v>
      </c>
      <c r="B27" s="175">
        <f>'a1'!AD30/1000</f>
        <v>748.12099999999998</v>
      </c>
      <c r="C27" s="175">
        <v>579.70000000000005</v>
      </c>
      <c r="D27" s="182">
        <f>C27/'a5-1'!C26*100</f>
        <v>2.6567125874189972</v>
      </c>
      <c r="E27" s="177">
        <v>670</v>
      </c>
      <c r="F27" s="187">
        <f>H27/E27</f>
        <v>7.0746268656716422</v>
      </c>
      <c r="G27" s="179">
        <f t="shared" si="1"/>
        <v>8.3922026876294691</v>
      </c>
      <c r="H27" s="177">
        <v>4740</v>
      </c>
      <c r="I27" s="175">
        <f t="shared" si="4"/>
        <v>5622.7758007117436</v>
      </c>
      <c r="J27" s="188">
        <f>'a8'!AA30</f>
        <v>87.6</v>
      </c>
      <c r="K27" s="6">
        <f>'a1'!Z30</f>
        <v>84.3</v>
      </c>
      <c r="L27" s="175">
        <f t="shared" si="2"/>
        <v>7515.8641459225764</v>
      </c>
    </row>
    <row r="28" spans="1:12">
      <c r="A28" s="172">
        <v>1993</v>
      </c>
      <c r="B28" s="175">
        <f>'a1'!AD31/1000</f>
        <v>748.81200000000001</v>
      </c>
      <c r="C28" s="175">
        <v>582.20000000000005</v>
      </c>
      <c r="D28" s="182">
        <f>C28/'a5-1'!C27*100</f>
        <v>2.6352357544731566</v>
      </c>
      <c r="E28" s="175">
        <f>E27*POWER(E$33/E$27, 1/6)</f>
        <v>687.20989566464164</v>
      </c>
      <c r="F28" s="182">
        <f>G28*K28/100</f>
        <v>7.2356032399340231</v>
      </c>
      <c r="G28" s="179">
        <f>G27*(1+'a5-1'!$P$47/100)</f>
        <v>8.4726033254496755</v>
      </c>
      <c r="H28" s="175">
        <f>E28*F28</f>
        <v>4972.3781475858032</v>
      </c>
      <c r="I28" s="175">
        <f t="shared" si="4"/>
        <v>5822.4568472901674</v>
      </c>
      <c r="J28" s="188">
        <f>'a8'!AA31</f>
        <v>89.1</v>
      </c>
      <c r="K28" s="6">
        <f>'a1'!Z31</f>
        <v>85.4</v>
      </c>
      <c r="L28" s="175">
        <f t="shared" si="2"/>
        <v>7775.5923346449672</v>
      </c>
    </row>
    <row r="29" spans="1:12">
      <c r="A29" s="172">
        <v>1994</v>
      </c>
      <c r="B29" s="175">
        <f>'a1'!AD32/1000</f>
        <v>750.18499999999995</v>
      </c>
      <c r="C29" s="175">
        <v>584.70000000000005</v>
      </c>
      <c r="D29" s="182">
        <f>C29/'a5-1'!C28*100</f>
        <v>2.6140372054346224</v>
      </c>
      <c r="E29" s="175">
        <f>E28*POWER(E$33/E$27, 1/6)</f>
        <v>704.8618517901607</v>
      </c>
      <c r="F29" s="182">
        <f t="shared" ref="F29:F42" si="5">G29*K29/100</f>
        <v>7.3476920664400085</v>
      </c>
      <c r="G29" s="179">
        <f>G28*(1+'a5-1'!$P$47/100)</f>
        <v>8.5537742333411035</v>
      </c>
      <c r="H29" s="175">
        <f t="shared" ref="H29:H42" si="6">E29*F29</f>
        <v>5179.1078363347769</v>
      </c>
      <c r="I29" s="175">
        <f t="shared" si="4"/>
        <v>6029.2291459077724</v>
      </c>
      <c r="J29" s="188">
        <f>'a8'!AA32</f>
        <v>90.8</v>
      </c>
      <c r="K29" s="6">
        <f>'a1'!Z32</f>
        <v>85.9</v>
      </c>
      <c r="L29" s="175">
        <f t="shared" si="2"/>
        <v>8036.9897370752187</v>
      </c>
    </row>
    <row r="30" spans="1:12">
      <c r="A30" s="172">
        <v>1995</v>
      </c>
      <c r="B30" s="175">
        <f>'a1'!AD33/1000</f>
        <v>750.94299999999998</v>
      </c>
      <c r="C30" s="175">
        <v>587.20000000000005</v>
      </c>
      <c r="D30" s="182">
        <f>C30/'a5-1'!C29*100</f>
        <v>2.5913503971756402</v>
      </c>
      <c r="E30" s="175">
        <f>E29*POWER(E$33/E$27, 1/6)</f>
        <v>722.96722332343654</v>
      </c>
      <c r="F30" s="182">
        <f t="shared" si="5"/>
        <v>7.5303502735751859</v>
      </c>
      <c r="G30" s="179">
        <f>G29*(1+'a5-1'!$P$47/100)</f>
        <v>8.6357227907972316</v>
      </c>
      <c r="H30" s="175">
        <f t="shared" si="6"/>
        <v>5444.1964279395334</v>
      </c>
      <c r="I30" s="175">
        <f t="shared" si="4"/>
        <v>6243.3445274535934</v>
      </c>
      <c r="J30" s="188">
        <f>'a8'!AA33</f>
        <v>94.2</v>
      </c>
      <c r="K30" s="6">
        <f>'a1'!Z33</f>
        <v>87.2</v>
      </c>
      <c r="L30" s="175">
        <f t="shared" si="2"/>
        <v>8314.0058931950807</v>
      </c>
    </row>
    <row r="31" spans="1:12">
      <c r="A31" s="172">
        <v>1996</v>
      </c>
      <c r="B31" s="175">
        <f>'a1'!AD34/1000</f>
        <v>752.26800000000003</v>
      </c>
      <c r="C31" s="175">
        <v>589.9</v>
      </c>
      <c r="D31" s="182">
        <f>C31/'a5-1'!C30*100</f>
        <v>2.5693068228837737</v>
      </c>
      <c r="E31" s="175">
        <f>E30*POWER(E$33/E$27, 1/6)</f>
        <v>741.53765687918587</v>
      </c>
      <c r="F31" s="182">
        <f t="shared" si="5"/>
        <v>7.7158339564888694</v>
      </c>
      <c r="G31" s="179">
        <f>G30*(1+'a5-1'!$P$47/100)</f>
        <v>8.7184564480100217</v>
      </c>
      <c r="H31" s="175">
        <f t="shared" si="6"/>
        <v>5721.5814329636141</v>
      </c>
      <c r="I31" s="175">
        <f t="shared" si="4"/>
        <v>6465.0637660605807</v>
      </c>
      <c r="J31" s="188">
        <f>'a8'!AA34</f>
        <v>95</v>
      </c>
      <c r="K31" s="6">
        <f>'a1'!Z34</f>
        <v>88.5</v>
      </c>
      <c r="L31" s="175">
        <f t="shared" si="2"/>
        <v>8594.0964736777059</v>
      </c>
    </row>
    <row r="32" spans="1:12">
      <c r="A32" s="172">
        <v>1997</v>
      </c>
      <c r="B32" s="175">
        <f>'a1'!AD35/1000</f>
        <v>752.51099999999997</v>
      </c>
      <c r="C32" s="175">
        <v>592.6</v>
      </c>
      <c r="D32" s="182">
        <f>C32/'a5-1'!C31*100</f>
        <v>2.5491790232592155</v>
      </c>
      <c r="E32" s="175">
        <f>E31*POWER(E$33/E$27, 1/6)</f>
        <v>760.58509823186296</v>
      </c>
      <c r="F32" s="182">
        <f t="shared" si="5"/>
        <v>7.9305864366190599</v>
      </c>
      <c r="G32" s="179">
        <f>G31*(1+'a5-1'!$P$47/100)</f>
        <v>8.8019827265472372</v>
      </c>
      <c r="H32" s="175">
        <f t="shared" si="6"/>
        <v>6031.8858639321879</v>
      </c>
      <c r="I32" s="175">
        <f t="shared" si="4"/>
        <v>6694.6568967060912</v>
      </c>
      <c r="J32" s="188">
        <f>'a8'!AA35</f>
        <v>95.1</v>
      </c>
      <c r="K32" s="6">
        <f>'a1'!Z35</f>
        <v>90.1</v>
      </c>
      <c r="L32" s="175">
        <f t="shared" si="2"/>
        <v>8896.4239681627132</v>
      </c>
    </row>
    <row r="33" spans="1:19">
      <c r="A33" s="172">
        <v>1998</v>
      </c>
      <c r="B33" s="175">
        <f>'a1'!AD36/1000</f>
        <v>750.53</v>
      </c>
      <c r="C33" s="175">
        <v>593.70000000000005</v>
      </c>
      <c r="D33" s="182">
        <f>C33/'a5-1'!C32*100</f>
        <v>2.5246962667494484</v>
      </c>
      <c r="E33" s="177">
        <f>C33*S33*365/1000</f>
        <v>780.12180000000001</v>
      </c>
      <c r="F33" s="182">
        <f t="shared" si="5"/>
        <v>8.0509961533528394</v>
      </c>
      <c r="G33" s="179">
        <f>G32*(1+'a5-1'!$P$47/100)</f>
        <v>8.8863092200362477</v>
      </c>
      <c r="H33" s="175">
        <f t="shared" si="6"/>
        <v>6280.7576109466927</v>
      </c>
      <c r="I33" s="175">
        <f t="shared" si="4"/>
        <v>6932.4035440912721</v>
      </c>
      <c r="J33" s="188">
        <f>'a8'!AA36</f>
        <v>96</v>
      </c>
      <c r="K33" s="6">
        <f>'a1'!Z36</f>
        <v>90.6</v>
      </c>
      <c r="L33" s="175">
        <f t="shared" si="2"/>
        <v>9236.6774733738457</v>
      </c>
      <c r="S33" s="172">
        <v>3.6</v>
      </c>
    </row>
    <row r="34" spans="1:19">
      <c r="A34" s="172">
        <v>1999</v>
      </c>
      <c r="B34" s="175">
        <f>'a1'!AD37/1000</f>
        <v>750.601</v>
      </c>
      <c r="C34" s="175">
        <v>595.79999999999995</v>
      </c>
      <c r="D34" s="182">
        <f>C34/'a5-1'!C33*100</f>
        <v>2.5053192831372413</v>
      </c>
      <c r="E34" s="175">
        <f t="shared" ref="E34:E42" si="7">C34*S34*365/1000</f>
        <v>788.95150027886007</v>
      </c>
      <c r="F34" s="182">
        <f t="shared" si="5"/>
        <v>8.262699550860896</v>
      </c>
      <c r="G34" s="179">
        <f>G33*(1+'a5-1'!$P$47/100)</f>
        <v>8.971443594854394</v>
      </c>
      <c r="H34" s="175">
        <f t="shared" si="6"/>
        <v>6518.8692070051675</v>
      </c>
      <c r="I34" s="175">
        <f t="shared" si="4"/>
        <v>7078.0338838275438</v>
      </c>
      <c r="J34" s="188">
        <f>'a8'!AA37</f>
        <v>97.6</v>
      </c>
      <c r="K34" s="6">
        <f>'a1'!Z37</f>
        <v>92.1</v>
      </c>
      <c r="L34" s="175">
        <f t="shared" si="2"/>
        <v>9429.8220810091443</v>
      </c>
      <c r="S34" s="191">
        <f t="shared" ref="S34:S39" si="8">S33*POWER(S$40/S$33, 1/7)</f>
        <v>3.6279136617457368</v>
      </c>
    </row>
    <row r="35" spans="1:19">
      <c r="A35" s="172">
        <v>2000</v>
      </c>
      <c r="B35" s="175">
        <f>'a1'!AD38/1000</f>
        <v>750.51700000000005</v>
      </c>
      <c r="C35" s="175">
        <v>598.20000000000005</v>
      </c>
      <c r="D35" s="182">
        <f>C35/'a5-1'!C34*100</f>
        <v>2.4832189691029778</v>
      </c>
      <c r="E35" s="175">
        <f t="shared" si="7"/>
        <v>798.27156275526545</v>
      </c>
      <c r="F35" s="182">
        <f t="shared" si="5"/>
        <v>8.6135813048754866</v>
      </c>
      <c r="G35" s="179">
        <f>G34*(1+'a5-1'!$P$47/100)</f>
        <v>9.0573935908259582</v>
      </c>
      <c r="H35" s="175">
        <f t="shared" si="6"/>
        <v>6875.9770091624932</v>
      </c>
      <c r="I35" s="175">
        <f t="shared" si="4"/>
        <v>7230.259736238163</v>
      </c>
      <c r="J35" s="188">
        <f>'a8'!AA38</f>
        <v>100.8</v>
      </c>
      <c r="K35" s="6">
        <f>'a1'!Z38</f>
        <v>95.1</v>
      </c>
      <c r="L35" s="175">
        <f t="shared" si="2"/>
        <v>9633.7054806728738</v>
      </c>
      <c r="S35" s="191">
        <f t="shared" si="8"/>
        <v>3.6560437603003777</v>
      </c>
    </row>
    <row r="36" spans="1:19">
      <c r="A36" s="172">
        <v>2001</v>
      </c>
      <c r="B36" s="175">
        <f>'a1'!AD39/1000</f>
        <v>749.80100000000004</v>
      </c>
      <c r="C36" s="175">
        <v>599.9</v>
      </c>
      <c r="D36" s="182">
        <f>C36/'a5-1'!C35*100</f>
        <v>2.4546830885060764</v>
      </c>
      <c r="E36" s="175">
        <f t="shared" si="7"/>
        <v>806.7473619706052</v>
      </c>
      <c r="F36" s="182">
        <f t="shared" si="5"/>
        <v>8.8515536772241905</v>
      </c>
      <c r="G36" s="179">
        <f>G35*(1+'a5-1'!$P$47/100)</f>
        <v>9.1441670219258171</v>
      </c>
      <c r="H36" s="175">
        <f t="shared" si="6"/>
        <v>7140.9675784418259</v>
      </c>
      <c r="I36" s="175">
        <f t="shared" si="4"/>
        <v>7377.0326223572583</v>
      </c>
      <c r="J36" s="188">
        <f>'a8'!AA39</f>
        <v>102.2</v>
      </c>
      <c r="K36" s="6">
        <f>'a1'!Z39</f>
        <v>96.8</v>
      </c>
      <c r="L36" s="175">
        <f t="shared" si="2"/>
        <v>9838.65401934281</v>
      </c>
      <c r="S36" s="191">
        <f t="shared" si="8"/>
        <v>3.6843919738705546</v>
      </c>
    </row>
    <row r="37" spans="1:19">
      <c r="A37" s="172">
        <v>2002</v>
      </c>
      <c r="B37" s="175">
        <f>'a1'!AD40/1000</f>
        <v>749.33100000000002</v>
      </c>
      <c r="C37" s="175">
        <v>601.5</v>
      </c>
      <c r="D37" s="182">
        <f>C37/'a5-1'!C36*100</f>
        <v>2.4267829693495089</v>
      </c>
      <c r="E37" s="175">
        <f t="shared" si="7"/>
        <v>815.17108421144292</v>
      </c>
      <c r="F37" s="182">
        <f t="shared" si="5"/>
        <v>9.2317717769898309</v>
      </c>
      <c r="G37" s="179">
        <f>G36*(1+'a5-1'!$P$47/100)</f>
        <v>9.2317717769898309</v>
      </c>
      <c r="H37" s="175">
        <f t="shared" si="6"/>
        <v>7525.4734086413991</v>
      </c>
      <c r="I37" s="175">
        <f t="shared" si="4"/>
        <v>7525.4734086413991</v>
      </c>
      <c r="J37" s="188">
        <f>'a8'!AA40</f>
        <v>100</v>
      </c>
      <c r="K37" s="6">
        <f>'a1'!Z40</f>
        <v>100</v>
      </c>
      <c r="L37" s="175">
        <f t="shared" si="2"/>
        <v>10042.922832021361</v>
      </c>
      <c r="S37" s="191">
        <f t="shared" si="8"/>
        <v>3.7129599936753688</v>
      </c>
    </row>
    <row r="38" spans="1:19">
      <c r="A38" s="172">
        <v>2003</v>
      </c>
      <c r="B38" s="175">
        <f>'a1'!AD41/1000</f>
        <v>749.38900000000001</v>
      </c>
      <c r="C38" s="175">
        <v>603.4</v>
      </c>
      <c r="D38" s="182">
        <f>C38/'a5-1'!C37*100</f>
        <v>2.4041277367173337</v>
      </c>
      <c r="E38" s="175">
        <f t="shared" si="7"/>
        <v>824.08665692569855</v>
      </c>
      <c r="F38" s="182">
        <f t="shared" si="5"/>
        <v>9.6371031583267346</v>
      </c>
      <c r="G38" s="179">
        <f>G37*(1+'a5-1'!$P$47/100)</f>
        <v>9.3202158204320451</v>
      </c>
      <c r="H38" s="175">
        <f t="shared" si="6"/>
        <v>7941.8081241935697</v>
      </c>
      <c r="I38" s="175">
        <f t="shared" si="4"/>
        <v>7680.6654972858514</v>
      </c>
      <c r="J38" s="188">
        <f>'a8'!AA41</f>
        <v>102.8</v>
      </c>
      <c r="K38" s="6">
        <f>'a1'!Z41</f>
        <v>103.4</v>
      </c>
      <c r="L38" s="175">
        <f t="shared" si="2"/>
        <v>10249.237041490936</v>
      </c>
      <c r="S38" s="191">
        <f t="shared" si="8"/>
        <v>3.7417495240472873</v>
      </c>
    </row>
    <row r="39" spans="1:19">
      <c r="A39" s="172">
        <v>2004</v>
      </c>
      <c r="B39" s="175">
        <f>'a1'!AD42/1000</f>
        <v>749.36900000000003</v>
      </c>
      <c r="C39" s="175">
        <v>605.29999999999995</v>
      </c>
      <c r="D39" s="182">
        <f>C39/'a5-1'!C38*100</f>
        <v>2.380165939208053</v>
      </c>
      <c r="E39" s="175">
        <f t="shared" si="7"/>
        <v>833.09147951046873</v>
      </c>
      <c r="F39" s="182">
        <f t="shared" si="5"/>
        <v>9.8705730454242264</v>
      </c>
      <c r="G39" s="179">
        <f>G38*(1+'a5-1'!$P$47/100)</f>
        <v>9.409507192968757</v>
      </c>
      <c r="H39" s="175">
        <f t="shared" si="6"/>
        <v>8223.0903020286223</v>
      </c>
      <c r="I39" s="175">
        <f t="shared" si="4"/>
        <v>7838.9802688547388</v>
      </c>
      <c r="J39" s="188">
        <f>'a8'!AA42</f>
        <v>105.8</v>
      </c>
      <c r="K39" s="6">
        <f>'a1'!Z42</f>
        <v>104.9</v>
      </c>
      <c r="L39" s="175">
        <f t="shared" si="2"/>
        <v>10460.774690245711</v>
      </c>
      <c r="S39" s="191">
        <f t="shared" si="8"/>
        <v>3.770762282533823</v>
      </c>
    </row>
    <row r="40" spans="1:19">
      <c r="A40" s="172">
        <v>2005</v>
      </c>
      <c r="B40" s="175">
        <f>'a1'!AD43/1000</f>
        <v>747.96</v>
      </c>
      <c r="C40" s="175">
        <v>606.4</v>
      </c>
      <c r="D40" s="182">
        <f>C40/'a5-1'!C39*100</f>
        <v>2.3522292647731944</v>
      </c>
      <c r="E40" s="177">
        <f t="shared" si="7"/>
        <v>841.07679999999993</v>
      </c>
      <c r="F40" s="182">
        <f t="shared" si="5"/>
        <v>10.202628409263388</v>
      </c>
      <c r="G40" s="179">
        <f>G39*(1+'a5-1'!$P$47/100)</f>
        <v>9.4996540123495237</v>
      </c>
      <c r="H40" s="175">
        <f t="shared" si="6"/>
        <v>8581.194054052341</v>
      </c>
      <c r="I40" s="175">
        <f t="shared" si="4"/>
        <v>7989.9385978140972</v>
      </c>
      <c r="J40" s="188">
        <f>'a8'!AA43</f>
        <v>109.2</v>
      </c>
      <c r="K40" s="6">
        <f>'a1'!Z43</f>
        <v>107.4</v>
      </c>
      <c r="L40" s="175">
        <f t="shared" si="2"/>
        <v>10682.307339716157</v>
      </c>
      <c r="S40" s="172">
        <v>3.8</v>
      </c>
    </row>
    <row r="41" spans="1:19">
      <c r="A41" s="172">
        <v>2006</v>
      </c>
      <c r="B41" s="175">
        <f>'a1'!AD44/1000</f>
        <v>745.67399999999998</v>
      </c>
      <c r="C41" s="175">
        <v>606.70000000000005</v>
      </c>
      <c r="D41" s="182">
        <f>C41/'a5-1'!C40*100</f>
        <v>2.3204402984789203</v>
      </c>
      <c r="E41" s="175">
        <f t="shared" si="7"/>
        <v>848.01766338112202</v>
      </c>
      <c r="F41" s="182">
        <f t="shared" si="5"/>
        <v>10.473005605711924</v>
      </c>
      <c r="G41" s="179">
        <f>G40*(1+'a5-1'!$P$47/100)</f>
        <v>9.590664474095167</v>
      </c>
      <c r="H41" s="175">
        <f t="shared" si="6"/>
        <v>8881.2937423332187</v>
      </c>
      <c r="I41" s="175">
        <f t="shared" si="4"/>
        <v>8133.0528775945222</v>
      </c>
      <c r="J41" s="188">
        <f>'a8'!AA44</f>
        <v>111.5</v>
      </c>
      <c r="K41" s="6">
        <f>'a1'!Z44</f>
        <v>109.2</v>
      </c>
      <c r="L41" s="175">
        <f t="shared" si="2"/>
        <v>10906.981975494013</v>
      </c>
      <c r="S41" s="191">
        <f>S40*POWER(S$40/S$33,1/7)</f>
        <v>3.8294644207316111</v>
      </c>
    </row>
    <row r="42" spans="1:19">
      <c r="A42" s="172">
        <v>2007</v>
      </c>
      <c r="B42" s="175">
        <f>'a1'!AD45/1000</f>
        <v>745.51499999999999</v>
      </c>
      <c r="C42" s="175">
        <v>608.1</v>
      </c>
      <c r="D42" s="182">
        <f>C42/'a5-1'!C41*100</f>
        <v>2.2929950716254583</v>
      </c>
      <c r="E42" s="175">
        <f t="shared" si="7"/>
        <v>856.56504782106163</v>
      </c>
      <c r="F42" s="182">
        <f t="shared" si="5"/>
        <v>10.776674646546303</v>
      </c>
      <c r="G42" s="179">
        <f>G41*(1+'a5-1'!$P$47/100)</f>
        <v>9.6825468522428597</v>
      </c>
      <c r="H42" s="175">
        <f t="shared" si="6"/>
        <v>9230.9228339709553</v>
      </c>
      <c r="I42" s="175">
        <f t="shared" si="4"/>
        <v>8293.7312075210739</v>
      </c>
      <c r="J42" s="188">
        <f>'a8'!AA45</f>
        <v>115.4</v>
      </c>
      <c r="K42" s="6">
        <f>'a1'!Z45</f>
        <v>111.3</v>
      </c>
      <c r="L42" s="175">
        <f t="shared" si="2"/>
        <v>11124.834788731379</v>
      </c>
      <c r="S42" s="191">
        <f>S41*POWER(S$40/S$33,1/7)</f>
        <v>3.859157302539288</v>
      </c>
    </row>
    <row r="43" spans="1:19">
      <c r="A43" s="172">
        <v>2009</v>
      </c>
      <c r="B43" s="175">
        <f>'a1'!AD46/1000</f>
        <v>746.90200000000004</v>
      </c>
      <c r="C43" s="309">
        <v>610.70000000000005</v>
      </c>
      <c r="D43" s="182">
        <f>C43/'a5-1'!C42*100</f>
        <v>2.2696358622535064</v>
      </c>
      <c r="E43" s="175">
        <f t="shared" ref="E43" si="9">C43*S43*365/1000</f>
        <v>866.89741486113644</v>
      </c>
      <c r="F43" s="182">
        <f t="shared" ref="F43" si="10">G43*K43/100</f>
        <v>11.065650354111318</v>
      </c>
      <c r="G43" s="179">
        <f>G42*(1+'a5-1'!$P$47/100)</f>
        <v>9.7753095000983361</v>
      </c>
      <c r="H43" s="175">
        <f t="shared" ref="H43" si="11">E43*F43</f>
        <v>9592.78368573632</v>
      </c>
      <c r="I43" s="175">
        <f t="shared" ref="I43" si="12">H43/K43*100</f>
        <v>8474.1905351027563</v>
      </c>
      <c r="J43" s="188">
        <f>'a8'!AA46</f>
        <v>117</v>
      </c>
      <c r="K43" s="6">
        <f>'a1'!Z46</f>
        <v>113.2</v>
      </c>
      <c r="L43" s="175">
        <f t="shared" si="2"/>
        <v>11345.786375056909</v>
      </c>
      <c r="S43" s="191">
        <f>S42*POWER(S$40/S$33,1/7)</f>
        <v>3.8890804168633637</v>
      </c>
    </row>
    <row r="44" spans="1:19">
      <c r="A44" s="172">
        <v>2009</v>
      </c>
      <c r="B44" s="175">
        <f>'a1'!AD47/1000</f>
        <v>749.32399999999996</v>
      </c>
      <c r="C44" s="304">
        <v>613.9</v>
      </c>
      <c r="D44" s="182">
        <f>C44/'a5-1'!C43*100</f>
        <v>2.2488662256119447</v>
      </c>
      <c r="E44" s="175">
        <f t="shared" ref="E44" si="13">C44*S44*365/1000</f>
        <v>878.19682676186324</v>
      </c>
      <c r="F44" s="182">
        <f t="shared" ref="F44" si="14">G44*K44/100</f>
        <v>11.201270565879692</v>
      </c>
      <c r="G44" s="179">
        <f>G43*(1+'a5-1'!$P$47/100)</f>
        <v>9.8689608509953235</v>
      </c>
      <c r="H44" s="175">
        <f t="shared" ref="H44" si="15">E44*F44</f>
        <v>9836.9202666566052</v>
      </c>
      <c r="I44" s="175">
        <f t="shared" ref="I44" si="16">H44/K44*100</f>
        <v>8666.8901027811498</v>
      </c>
      <c r="J44" s="188">
        <f>'a8'!AA47</f>
        <v>117.9</v>
      </c>
      <c r="K44" s="6">
        <f>'a1'!Z47</f>
        <v>113.5</v>
      </c>
      <c r="L44" s="175">
        <f t="shared" ref="L44:L45" si="17">I44/B44*1000</f>
        <v>11566.278542768081</v>
      </c>
      <c r="S44" s="191">
        <f>S43*POWER(S$40/S$33,1/7)</f>
        <v>3.9192355488795561</v>
      </c>
    </row>
    <row r="45" spans="1:19">
      <c r="A45" s="172">
        <v>2010</v>
      </c>
      <c r="B45" s="175">
        <f>'a1'!AD48/1000</f>
        <v>751.755</v>
      </c>
      <c r="C45" s="304">
        <v>616.79999999999995</v>
      </c>
      <c r="D45" s="182">
        <f>C45/'a5-1'!C44*100</f>
        <v>2.2300558598622482</v>
      </c>
      <c r="E45" s="175">
        <f t="shared" ref="E45" si="18">C45*S45*365/1000</f>
        <v>889.18686239491478</v>
      </c>
      <c r="F45" s="182">
        <f t="shared" ref="F45" si="19">G45*K45/100</f>
        <v>11.547707416693134</v>
      </c>
      <c r="G45" s="179">
        <f>G44*(1+'a5-1'!$P$47/100)</f>
        <v>9.9635094190622375</v>
      </c>
      <c r="H45" s="175">
        <f t="shared" ref="H45" si="20">E45*F45</f>
        <v>10268.069725703856</v>
      </c>
      <c r="I45" s="175">
        <f t="shared" ref="I45" si="21">H45/K45*100</f>
        <v>8859.4216787781315</v>
      </c>
      <c r="J45" s="188">
        <f>'a8'!AA48</f>
        <v>120.48124108479578</v>
      </c>
      <c r="K45" s="6">
        <f>'a1'!Z48</f>
        <v>115.9</v>
      </c>
      <c r="L45" s="175">
        <f t="shared" si="17"/>
        <v>11784.98537259896</v>
      </c>
      <c r="S45" s="191">
        <f>S44*POWER(S$40/S$33,1/7)</f>
        <v>3.9496244976054702</v>
      </c>
    </row>
    <row r="46" spans="1:19">
      <c r="A46" s="172" t="s">
        <v>435</v>
      </c>
    </row>
    <row r="47" spans="1:19">
      <c r="A47" s="172" t="s">
        <v>438</v>
      </c>
      <c r="B47" s="179">
        <f>(POWER(B40/B27, 1/13)-1)*100</f>
        <v>-1.6555939033602307E-3</v>
      </c>
      <c r="C47" s="179">
        <f t="shared" ref="C47:L47" si="22">(POWER(C40/C27, 1/13)-1)*100</f>
        <v>0.34697831924075384</v>
      </c>
      <c r="D47" s="179">
        <f t="shared" si="22"/>
        <v>-0.93198360723387719</v>
      </c>
      <c r="E47" s="179">
        <f t="shared" si="22"/>
        <v>1.7646606084831484</v>
      </c>
      <c r="F47" s="179">
        <f t="shared" si="22"/>
        <v>2.8564250070368224</v>
      </c>
      <c r="G47" s="179">
        <f t="shared" si="22"/>
        <v>0.95803975205128733</v>
      </c>
      <c r="H47" s="179">
        <f t="shared" si="22"/>
        <v>4.6714918224300295</v>
      </c>
      <c r="I47" s="179">
        <f t="shared" si="22"/>
        <v>2.7396065106525036</v>
      </c>
      <c r="J47" s="179">
        <f t="shared" si="22"/>
        <v>1.709838335417091</v>
      </c>
      <c r="K47" s="179">
        <f t="shared" si="22"/>
        <v>1.8803705575582752</v>
      </c>
      <c r="L47" s="179">
        <f t="shared" si="22"/>
        <v>2.7413074894755196</v>
      </c>
    </row>
    <row r="48" spans="1:19" ht="16.5" customHeight="1">
      <c r="A48" s="272" t="s">
        <v>1051</v>
      </c>
      <c r="B48" s="273">
        <f t="shared" ref="B48:L48" si="23">(POWER(B45/B27, 1/18)-1)*100</f>
        <v>2.692442061600353E-2</v>
      </c>
      <c r="C48" s="273">
        <f t="shared" si="23"/>
        <v>0.34522840029442836</v>
      </c>
      <c r="D48" s="273">
        <f t="shared" si="23"/>
        <v>-0.96785723430691251</v>
      </c>
      <c r="E48" s="273">
        <f t="shared" si="23"/>
        <v>1.5848142500480167</v>
      </c>
      <c r="F48" s="273">
        <f t="shared" si="23"/>
        <v>2.7594546332080361</v>
      </c>
      <c r="G48" s="273">
        <f t="shared" si="23"/>
        <v>0.95803975205128733</v>
      </c>
      <c r="H48" s="273">
        <f t="shared" si="23"/>
        <v>4.3880011135067676</v>
      </c>
      <c r="I48" s="273">
        <f t="shared" si="23"/>
        <v>2.5580371526109369</v>
      </c>
      <c r="J48" s="273">
        <f t="shared" si="23"/>
        <v>1.7863967014769333</v>
      </c>
      <c r="K48" s="273">
        <f t="shared" si="23"/>
        <v>1.7843203825876008</v>
      </c>
      <c r="L48" s="273">
        <f t="shared" si="23"/>
        <v>2.5304314279938733</v>
      </c>
    </row>
    <row r="49" spans="1:12" ht="17.25" customHeight="1">
      <c r="A49" s="642" t="s">
        <v>933</v>
      </c>
      <c r="B49" s="642"/>
      <c r="C49" s="642"/>
      <c r="D49" s="642"/>
      <c r="E49" s="642"/>
      <c r="F49" s="642"/>
      <c r="G49" s="642"/>
      <c r="H49" s="642"/>
      <c r="I49" s="642"/>
      <c r="J49" s="642"/>
      <c r="K49" s="642"/>
      <c r="L49" s="642"/>
    </row>
    <row r="50" spans="1:12" ht="12.75" customHeight="1">
      <c r="A50" s="643" t="s">
        <v>913</v>
      </c>
      <c r="B50" s="642"/>
      <c r="C50" s="642"/>
      <c r="D50" s="642"/>
      <c r="E50" s="642"/>
      <c r="F50" s="642"/>
      <c r="G50" s="642"/>
      <c r="H50" s="642"/>
      <c r="I50" s="642"/>
      <c r="J50" s="642"/>
      <c r="K50" s="642"/>
      <c r="L50" s="642"/>
    </row>
    <row r="51" spans="1:12">
      <c r="A51" s="185" t="s">
        <v>912</v>
      </c>
      <c r="B51" s="203"/>
      <c r="C51" s="203"/>
      <c r="D51" s="203"/>
      <c r="E51" s="203"/>
      <c r="F51" s="203"/>
      <c r="G51" s="203"/>
      <c r="H51" s="203"/>
      <c r="I51" s="203"/>
      <c r="J51" s="203"/>
      <c r="K51" s="203"/>
    </row>
    <row r="52" spans="1:12">
      <c r="A52" s="172" t="s">
        <v>1053</v>
      </c>
    </row>
    <row r="53" spans="1:12">
      <c r="A53" s="189" t="s">
        <v>1054</v>
      </c>
    </row>
    <row r="54" spans="1:12">
      <c r="A54" s="189" t="s">
        <v>944</v>
      </c>
    </row>
    <row r="55" spans="1:12">
      <c r="A55" s="185" t="s">
        <v>1050</v>
      </c>
    </row>
    <row r="56" spans="1:12">
      <c r="A56" s="1" t="s">
        <v>1052</v>
      </c>
    </row>
  </sheetData>
  <mergeCells count="2">
    <mergeCell ref="A49:L49"/>
    <mergeCell ref="A50:L50"/>
  </mergeCells>
  <pageMargins left="0.74803149606299213" right="0.74803149606299213" top="0.98425196850393704" bottom="0.98425196850393704" header="0.51181102362204722" footer="0.51181102362204722"/>
  <pageSetup scale="75" orientation="landscape" r:id="rId1"/>
  <headerFooter alignWithMargins="0"/>
</worksheet>
</file>

<file path=xl/worksheets/sheet23.xml><?xml version="1.0" encoding="utf-8"?>
<worksheet xmlns="http://schemas.openxmlformats.org/spreadsheetml/2006/main" xmlns:r="http://schemas.openxmlformats.org/officeDocument/2006/relationships">
  <dimension ref="A1:S56"/>
  <sheetViews>
    <sheetView view="pageBreakPreview" topLeftCell="B1" zoomScaleSheetLayoutView="100" workbookViewId="0">
      <selection activeCell="E9" sqref="E9"/>
    </sheetView>
  </sheetViews>
  <sheetFormatPr defaultRowHeight="12.75"/>
  <cols>
    <col min="1" max="1" width="9.375" style="172" customWidth="1"/>
    <col min="2" max="12" width="12" style="172" customWidth="1"/>
    <col min="13" max="20" width="9" style="172"/>
    <col min="21" max="21" width="0" style="172" hidden="1" customWidth="1"/>
    <col min="22" max="16384" width="9" style="172"/>
  </cols>
  <sheetData>
    <row r="1" spans="1:19" ht="31.5" customHeight="1">
      <c r="A1" s="172" t="s">
        <v>896</v>
      </c>
      <c r="S1" s="203" t="s">
        <v>914</v>
      </c>
    </row>
    <row r="2" spans="1:19" ht="25.5">
      <c r="B2" s="203" t="s">
        <v>868</v>
      </c>
      <c r="C2" s="203" t="s">
        <v>869</v>
      </c>
      <c r="D2" s="203" t="s">
        <v>890</v>
      </c>
      <c r="E2" s="203" t="s">
        <v>870</v>
      </c>
      <c r="F2" s="203" t="s">
        <v>871</v>
      </c>
      <c r="G2" s="203" t="s">
        <v>872</v>
      </c>
      <c r="H2" s="203" t="s">
        <v>873</v>
      </c>
      <c r="I2" s="203" t="s">
        <v>873</v>
      </c>
      <c r="J2" s="203" t="s">
        <v>473</v>
      </c>
      <c r="K2" s="203" t="s">
        <v>874</v>
      </c>
      <c r="L2" s="203" t="s">
        <v>875</v>
      </c>
      <c r="S2" s="172" t="s">
        <v>915</v>
      </c>
    </row>
    <row r="3" spans="1:19" ht="37.5" customHeight="1">
      <c r="B3" s="203" t="s">
        <v>876</v>
      </c>
      <c r="C3" s="203" t="s">
        <v>876</v>
      </c>
      <c r="D3" s="203" t="s">
        <v>891</v>
      </c>
      <c r="E3" s="203" t="s">
        <v>877</v>
      </c>
      <c r="F3" s="203" t="s">
        <v>878</v>
      </c>
      <c r="G3" s="203" t="s">
        <v>879</v>
      </c>
      <c r="H3" s="203" t="s">
        <v>880</v>
      </c>
      <c r="I3" s="203" t="s">
        <v>881</v>
      </c>
      <c r="J3" s="203" t="s">
        <v>882</v>
      </c>
      <c r="K3" s="203" t="s">
        <v>882</v>
      </c>
      <c r="L3" s="203" t="s">
        <v>883</v>
      </c>
    </row>
    <row r="4" spans="1:19">
      <c r="A4" s="272"/>
      <c r="B4" s="274" t="s">
        <v>105</v>
      </c>
      <c r="C4" s="274" t="s">
        <v>106</v>
      </c>
      <c r="D4" s="274" t="s">
        <v>107</v>
      </c>
      <c r="E4" s="274" t="s">
        <v>108</v>
      </c>
      <c r="F4" s="274" t="s">
        <v>109</v>
      </c>
      <c r="G4" s="274" t="s">
        <v>110</v>
      </c>
      <c r="H4" s="275" t="s">
        <v>892</v>
      </c>
      <c r="I4" s="275" t="s">
        <v>936</v>
      </c>
      <c r="J4" s="276" t="s">
        <v>138</v>
      </c>
      <c r="K4" s="276" t="s">
        <v>138</v>
      </c>
      <c r="L4" s="276" t="s">
        <v>935</v>
      </c>
    </row>
    <row r="5" spans="1:19" hidden="1">
      <c r="A5" s="172">
        <v>1971</v>
      </c>
      <c r="B5" s="175">
        <v>6137.3050000000003</v>
      </c>
      <c r="C5" s="176">
        <f>C6*B5/B6</f>
        <v>4546.8796044591945</v>
      </c>
      <c r="D5" s="182">
        <f>C5/'a5-1'!C5*100</f>
        <v>28.461128486821234</v>
      </c>
      <c r="E5" s="177">
        <v>17519</v>
      </c>
      <c r="F5" s="187">
        <f>H5/E5</f>
        <v>1.6931331697014669</v>
      </c>
      <c r="G5" s="179">
        <f>F5/K5*100</f>
        <v>8.0011018711156812</v>
      </c>
      <c r="H5" s="177">
        <v>29662</v>
      </c>
      <c r="I5" s="175">
        <f t="shared" ref="I5:I14" si="0">H5/J5*100</f>
        <v>132826.80941013232</v>
      </c>
      <c r="J5" s="190">
        <v>22.331335166240407</v>
      </c>
      <c r="K5" s="183">
        <v>21.161249999999995</v>
      </c>
      <c r="L5" s="175">
        <f>I5/B5*1000</f>
        <v>21642.530297929192</v>
      </c>
    </row>
    <row r="6" spans="1:19" hidden="1">
      <c r="A6" s="172">
        <v>1972</v>
      </c>
      <c r="B6" s="175">
        <v>6174.2160000000003</v>
      </c>
      <c r="C6" s="176">
        <f>C7*B6/B7</f>
        <v>4574.2254627928105</v>
      </c>
      <c r="D6" s="182">
        <f>C6/'a5-1'!C6*100</f>
        <v>28.301844184602658</v>
      </c>
      <c r="E6" s="175">
        <v>17872</v>
      </c>
      <c r="F6" s="182">
        <f>POWER(F$16/F$5,1/10)*F5</f>
        <v>1.8408766548699464</v>
      </c>
      <c r="G6" s="179">
        <f t="shared" ref="G6:G27" si="1">F6/K6*100</f>
        <v>8.3020538017698708</v>
      </c>
      <c r="H6" s="175">
        <v>33180</v>
      </c>
      <c r="I6" s="175">
        <f t="shared" si="0"/>
        <v>141046.80068764422</v>
      </c>
      <c r="J6" s="190">
        <v>23.5241067774936</v>
      </c>
      <c r="K6" s="183">
        <v>22.173749999999995</v>
      </c>
      <c r="L6" s="175">
        <f t="shared" ref="L6:L43" si="2">I6/B6*1000</f>
        <v>22844.487573425391</v>
      </c>
    </row>
    <row r="7" spans="1:19" hidden="1">
      <c r="A7" s="172">
        <v>1973</v>
      </c>
      <c r="B7" s="175">
        <v>6213.1490000000003</v>
      </c>
      <c r="C7" s="176">
        <f>C8*B7/B8</f>
        <v>4603.0693386699922</v>
      </c>
      <c r="D7" s="182">
        <f>C7/'a5-1'!C7*100</f>
        <v>28.134223237368015</v>
      </c>
      <c r="E7" s="175">
        <v>18232</v>
      </c>
      <c r="F7" s="182">
        <f t="shared" ref="F7:F14" si="3">POWER(F$16/F$5,1/10)*F6</f>
        <v>2.001512296308436</v>
      </c>
      <c r="G7" s="179">
        <f t="shared" si="1"/>
        <v>8.3762807964362249</v>
      </c>
      <c r="H7" s="175">
        <v>37115</v>
      </c>
      <c r="I7" s="175">
        <f t="shared" si="0"/>
        <v>147007.57046747953</v>
      </c>
      <c r="J7" s="190">
        <v>25.246999104859331</v>
      </c>
      <c r="K7" s="183">
        <v>23.895</v>
      </c>
      <c r="L7" s="175">
        <f t="shared" si="2"/>
        <v>23660.718657717614</v>
      </c>
    </row>
    <row r="8" spans="1:19" hidden="1">
      <c r="A8" s="172">
        <v>1974</v>
      </c>
      <c r="B8" s="175">
        <v>6268.5709999999999</v>
      </c>
      <c r="C8" s="176">
        <f>C9*B8/B9</f>
        <v>4644.129243862636</v>
      </c>
      <c r="D8" s="182">
        <f>C8/'a5-1'!C8*100</f>
        <v>27.991673546647146</v>
      </c>
      <c r="E8" s="175">
        <v>18599</v>
      </c>
      <c r="F8" s="182">
        <f t="shared" si="3"/>
        <v>2.1761650687872329</v>
      </c>
      <c r="G8" s="179">
        <f t="shared" si="1"/>
        <v>8.2034306617179649</v>
      </c>
      <c r="H8" s="175">
        <v>41518</v>
      </c>
      <c r="I8" s="175">
        <f t="shared" si="0"/>
        <v>145369.85773913452</v>
      </c>
      <c r="J8" s="190">
        <v>28.560253580562652</v>
      </c>
      <c r="K8" s="183">
        <v>26.5275</v>
      </c>
      <c r="L8" s="175">
        <f t="shared" si="2"/>
        <v>23190.270595823913</v>
      </c>
    </row>
    <row r="9" spans="1:19" hidden="1">
      <c r="A9" s="172">
        <v>1975</v>
      </c>
      <c r="B9" s="175">
        <v>6330.3029999999999</v>
      </c>
      <c r="C9" s="176">
        <f>C10*B9/B10</f>
        <v>4689.8639713598805</v>
      </c>
      <c r="D9" s="182">
        <f>C9/'a5-1'!C9*100</f>
        <v>27.857786874421475</v>
      </c>
      <c r="E9" s="175">
        <v>18974</v>
      </c>
      <c r="F9" s="182">
        <f t="shared" si="3"/>
        <v>2.3660581128300824</v>
      </c>
      <c r="G9" s="179">
        <f t="shared" si="1"/>
        <v>8.0580948925673308</v>
      </c>
      <c r="H9" s="175">
        <v>46442</v>
      </c>
      <c r="I9" s="175">
        <f t="shared" si="0"/>
        <v>146621.69255090959</v>
      </c>
      <c r="J9" s="190">
        <v>31.674712787723781</v>
      </c>
      <c r="K9" s="183">
        <v>29.362500000000001</v>
      </c>
      <c r="L9" s="175">
        <f t="shared" si="2"/>
        <v>23161.875908769234</v>
      </c>
    </row>
    <row r="10" spans="1:19" hidden="1">
      <c r="A10" s="172">
        <v>1976</v>
      </c>
      <c r="B10" s="175">
        <v>6396.7610000000004</v>
      </c>
      <c r="C10" s="175">
        <v>4739.1000000000004</v>
      </c>
      <c r="D10" s="182">
        <f>C10/'a5-1'!C10*100</f>
        <v>27.782272247625748</v>
      </c>
      <c r="E10" s="175">
        <v>19356</v>
      </c>
      <c r="F10" s="182">
        <f t="shared" si="3"/>
        <v>2.5725213006975247</v>
      </c>
      <c r="G10" s="179">
        <f t="shared" si="1"/>
        <v>8.1696520207932188</v>
      </c>
      <c r="H10" s="175">
        <v>51950</v>
      </c>
      <c r="I10" s="175">
        <f t="shared" si="0"/>
        <v>151346.01948781227</v>
      </c>
      <c r="J10" s="190">
        <v>34.325316368286437</v>
      </c>
      <c r="K10" s="183">
        <v>31.488750000000003</v>
      </c>
      <c r="L10" s="175">
        <f t="shared" si="2"/>
        <v>23659.789616621954</v>
      </c>
    </row>
    <row r="11" spans="1:19" hidden="1">
      <c r="A11" s="172">
        <v>1977</v>
      </c>
      <c r="B11" s="175">
        <v>6433.1329999999998</v>
      </c>
      <c r="C11" s="175">
        <v>4809.2</v>
      </c>
      <c r="D11" s="182">
        <f>C11/'a5-1'!C11*100</f>
        <v>27.582805196294913</v>
      </c>
      <c r="E11" s="175">
        <v>19746</v>
      </c>
      <c r="F11" s="182">
        <f t="shared" si="3"/>
        <v>2.7970005498414161</v>
      </c>
      <c r="G11" s="179">
        <f t="shared" si="1"/>
        <v>8.2216359489753543</v>
      </c>
      <c r="H11" s="175">
        <v>58111</v>
      </c>
      <c r="I11" s="175">
        <f t="shared" si="0"/>
        <v>157441.19044587278</v>
      </c>
      <c r="J11" s="190">
        <v>36.909654859335028</v>
      </c>
      <c r="K11" s="183">
        <v>34.020000000000003</v>
      </c>
      <c r="L11" s="175">
        <f t="shared" si="2"/>
        <v>24473.486005321636</v>
      </c>
    </row>
    <row r="12" spans="1:19" hidden="1">
      <c r="A12" s="172">
        <v>1978</v>
      </c>
      <c r="B12" s="175">
        <v>6440.4589999999998</v>
      </c>
      <c r="C12" s="175">
        <v>4862.3999999999996</v>
      </c>
      <c r="D12" s="182">
        <f>C12/'a5-1'!C12*100</f>
        <v>27.349427407924043</v>
      </c>
      <c r="E12" s="175">
        <v>20144</v>
      </c>
      <c r="F12" s="182">
        <f t="shared" si="3"/>
        <v>3.0410679490552575</v>
      </c>
      <c r="G12" s="179">
        <f t="shared" si="1"/>
        <v>8.206349454375653</v>
      </c>
      <c r="H12" s="175">
        <v>65004</v>
      </c>
      <c r="I12" s="175">
        <f t="shared" si="0"/>
        <v>164592.11765013519</v>
      </c>
      <c r="J12" s="190">
        <v>39.493993350383633</v>
      </c>
      <c r="K12" s="183">
        <v>37.057499999999997</v>
      </c>
      <c r="L12" s="175">
        <f t="shared" si="2"/>
        <v>25555.960786356252</v>
      </c>
    </row>
    <row r="13" spans="1:19" hidden="1">
      <c r="A13" s="172">
        <v>1979</v>
      </c>
      <c r="B13" s="175">
        <v>6465.9960000000001</v>
      </c>
      <c r="C13" s="175">
        <v>4923.5</v>
      </c>
      <c r="D13" s="182">
        <f>C13/'a5-1'!C13*100</f>
        <v>27.172533306842389</v>
      </c>
      <c r="E13" s="175">
        <v>20550</v>
      </c>
      <c r="F13" s="182">
        <f t="shared" si="3"/>
        <v>3.306432768236494</v>
      </c>
      <c r="G13" s="179">
        <f t="shared" si="1"/>
        <v>8.1640315265098611</v>
      </c>
      <c r="H13" s="175">
        <v>72714</v>
      </c>
      <c r="I13" s="175">
        <f t="shared" si="0"/>
        <v>169601.21775685073</v>
      </c>
      <c r="J13" s="190">
        <v>42.873512915601019</v>
      </c>
      <c r="K13" s="183">
        <v>40.5</v>
      </c>
      <c r="L13" s="175">
        <f t="shared" si="2"/>
        <v>26229.712755289478</v>
      </c>
    </row>
    <row r="14" spans="1:19" hidden="1">
      <c r="A14" s="172">
        <v>1980</v>
      </c>
      <c r="B14" s="175">
        <v>6505.9970000000003</v>
      </c>
      <c r="C14" s="175">
        <v>4987.5</v>
      </c>
      <c r="D14" s="182">
        <f>C14/'a5-1'!C14*100</f>
        <v>26.983525847377393</v>
      </c>
      <c r="E14" s="175">
        <v>20964</v>
      </c>
      <c r="F14" s="182">
        <f t="shared" si="3"/>
        <v>3.5949534288651295</v>
      </c>
      <c r="G14" s="179">
        <f t="shared" si="1"/>
        <v>8.0424014068571115</v>
      </c>
      <c r="H14" s="175">
        <v>81338</v>
      </c>
      <c r="I14" s="175">
        <f t="shared" si="0"/>
        <v>174603.67302912258</v>
      </c>
      <c r="J14" s="190">
        <v>46.584357928388734</v>
      </c>
      <c r="K14" s="183">
        <v>44.7</v>
      </c>
      <c r="L14" s="175">
        <f t="shared" si="2"/>
        <v>26837.342997410324</v>
      </c>
    </row>
    <row r="15" spans="1:19" hidden="1">
      <c r="B15" s="175"/>
      <c r="C15" s="175"/>
      <c r="D15" s="182"/>
      <c r="E15" s="175"/>
      <c r="F15" s="182"/>
      <c r="G15" s="179"/>
      <c r="I15" s="175"/>
      <c r="J15" s="182"/>
      <c r="K15" s="183"/>
      <c r="L15" s="175"/>
    </row>
    <row r="16" spans="1:19">
      <c r="A16" s="172">
        <v>1981</v>
      </c>
      <c r="B16" s="175">
        <f>'a1'!AJ19/1000</f>
        <v>6547.2070000000003</v>
      </c>
      <c r="C16" s="175">
        <v>5042.3999999999996</v>
      </c>
      <c r="D16" s="182">
        <f>C16/'a5-1'!C15*100</f>
        <v>26.800748362956028</v>
      </c>
      <c r="E16" s="177">
        <v>5780</v>
      </c>
      <c r="F16" s="187">
        <f>H16/E16</f>
        <v>3.9086505190311418</v>
      </c>
      <c r="G16" s="179">
        <f t="shared" si="1"/>
        <v>7.786156412412633</v>
      </c>
      <c r="H16" s="177">
        <v>22592</v>
      </c>
      <c r="I16" s="175">
        <f>H16/K16*100</f>
        <v>45003.984063745018</v>
      </c>
      <c r="J16" s="182">
        <f>'a8'!AG19</f>
        <v>51.9</v>
      </c>
      <c r="K16" s="6">
        <f>'a1'!AF19</f>
        <v>50.2</v>
      </c>
      <c r="L16" s="175">
        <f t="shared" si="2"/>
        <v>6873.7683204067043</v>
      </c>
    </row>
    <row r="17" spans="1:12">
      <c r="A17" s="172">
        <v>1982</v>
      </c>
      <c r="B17" s="175">
        <f>'a1'!AJ20/1000</f>
        <v>6580.6310000000003</v>
      </c>
      <c r="C17" s="175">
        <v>5085.3</v>
      </c>
      <c r="D17" s="182">
        <f>C17/'a5-1'!C16*100</f>
        <v>26.619868714469675</v>
      </c>
      <c r="E17" s="175">
        <v>5756.0020000000004</v>
      </c>
      <c r="F17" s="182">
        <f>POWER(F$21/F$16,1/5)*F16</f>
        <v>4.3176635760324613</v>
      </c>
      <c r="G17" s="179">
        <f t="shared" si="1"/>
        <v>7.7101135286293951</v>
      </c>
      <c r="H17" s="175">
        <f>POWER(H21/H16,1/5)*H16</f>
        <v>24852.478207416763</v>
      </c>
      <c r="I17" s="175">
        <f t="shared" ref="I17:I42" si="4">H17/K17*100</f>
        <v>44379.425370387078</v>
      </c>
      <c r="J17" s="182">
        <f>'a8'!AG20</f>
        <v>57</v>
      </c>
      <c r="K17" s="6">
        <f>'a1'!AF20</f>
        <v>56</v>
      </c>
      <c r="L17" s="175">
        <f t="shared" si="2"/>
        <v>6743.9467993855105</v>
      </c>
    </row>
    <row r="18" spans="1:12">
      <c r="A18" s="172">
        <v>1983</v>
      </c>
      <c r="B18" s="175">
        <f>'a1'!AJ21/1000</f>
        <v>6602.9759999999997</v>
      </c>
      <c r="C18" s="175">
        <v>5119.3</v>
      </c>
      <c r="D18" s="182">
        <f>C18/'a5-1'!C17*100</f>
        <v>26.449496254197886</v>
      </c>
      <c r="E18" s="175">
        <v>5732.1030000000001</v>
      </c>
      <c r="F18" s="182">
        <f>POWER(F$21/F$16,1/5)*F17</f>
        <v>4.7694770010848577</v>
      </c>
      <c r="G18" s="179">
        <f t="shared" si="1"/>
        <v>8.0701810509050045</v>
      </c>
      <c r="H18" s="175">
        <f>POWER(H21/H16,1/5)*H17</f>
        <v>27339.132128635141</v>
      </c>
      <c r="I18" s="175">
        <f t="shared" si="4"/>
        <v>46259.106816641528</v>
      </c>
      <c r="J18" s="182">
        <f>'a8'!AG21</f>
        <v>60.3</v>
      </c>
      <c r="K18" s="6">
        <f>'a1'!AF21</f>
        <v>59.1</v>
      </c>
      <c r="L18" s="175">
        <f t="shared" si="2"/>
        <v>7005.7966009026131</v>
      </c>
    </row>
    <row r="19" spans="1:12">
      <c r="A19" s="172">
        <v>1984</v>
      </c>
      <c r="B19" s="175">
        <f>'a1'!AJ22/1000</f>
        <v>6631.22</v>
      </c>
      <c r="C19" s="175">
        <v>5155.2</v>
      </c>
      <c r="D19" s="182">
        <f>C19/'a5-1'!C18*100</f>
        <v>26.304859194097325</v>
      </c>
      <c r="E19" s="175">
        <v>5708.3029999999999</v>
      </c>
      <c r="F19" s="182">
        <f>POWER(F$21/F$16,1/5)*F18</f>
        <v>5.2685695546434079</v>
      </c>
      <c r="G19" s="179">
        <f t="shared" si="1"/>
        <v>8.5667797636478173</v>
      </c>
      <c r="H19" s="175">
        <f>POWER(H21/H16,1/5)*H18</f>
        <v>30074.592131577207</v>
      </c>
      <c r="I19" s="175">
        <f t="shared" si="4"/>
        <v>48901.775823702774</v>
      </c>
      <c r="J19" s="182">
        <f>'a8'!AG22</f>
        <v>63.1</v>
      </c>
      <c r="K19" s="6">
        <f>'a1'!AF22</f>
        <v>61.5</v>
      </c>
      <c r="L19" s="175">
        <f t="shared" si="2"/>
        <v>7374.4764649193921</v>
      </c>
    </row>
    <row r="20" spans="1:12">
      <c r="A20" s="172">
        <v>1985</v>
      </c>
      <c r="B20" s="175">
        <f>'a1'!AJ23/1000</f>
        <v>6665.8019999999997</v>
      </c>
      <c r="C20" s="175">
        <v>5196</v>
      </c>
      <c r="D20" s="182">
        <f>C20/'a5-1'!C19*100</f>
        <v>26.185952516542603</v>
      </c>
      <c r="E20" s="175">
        <v>5684.6019999999999</v>
      </c>
      <c r="F20" s="182">
        <f>POWER(F$21/F$16,1/5)*F19</f>
        <v>5.8198886682547553</v>
      </c>
      <c r="G20" s="179">
        <f t="shared" si="1"/>
        <v>9.0652471468142615</v>
      </c>
      <c r="H20" s="175">
        <f>POWER(H21/H16,1/5)*H19</f>
        <v>33083.752901335436</v>
      </c>
      <c r="I20" s="175">
        <f t="shared" si="4"/>
        <v>51532.325391488208</v>
      </c>
      <c r="J20" s="182">
        <f>'a8'!AG23</f>
        <v>65.400000000000006</v>
      </c>
      <c r="K20" s="6">
        <f>'a1'!AF23</f>
        <v>64.2</v>
      </c>
      <c r="L20" s="175">
        <f t="shared" si="2"/>
        <v>7730.8515001628029</v>
      </c>
    </row>
    <row r="21" spans="1:12">
      <c r="A21" s="172">
        <v>1986</v>
      </c>
      <c r="B21" s="175">
        <f>'a1'!AJ24/1000</f>
        <v>6708.17</v>
      </c>
      <c r="C21" s="175">
        <v>5240.5</v>
      </c>
      <c r="D21" s="182">
        <f>C21/'a5-1'!C20*100</f>
        <v>26.080962713753909</v>
      </c>
      <c r="E21" s="177">
        <v>5661</v>
      </c>
      <c r="F21" s="187">
        <f>H21/E21</f>
        <v>6.428899487723017</v>
      </c>
      <c r="G21" s="179">
        <f t="shared" si="1"/>
        <v>9.5525995359925968</v>
      </c>
      <c r="H21" s="177">
        <v>36394</v>
      </c>
      <c r="I21" s="175">
        <f t="shared" si="4"/>
        <v>54077.265973254092</v>
      </c>
      <c r="J21" s="182">
        <f>'a8'!AG24</f>
        <v>70</v>
      </c>
      <c r="K21" s="6">
        <f>'a1'!AF24</f>
        <v>67.3</v>
      </c>
      <c r="L21" s="175">
        <f t="shared" si="2"/>
        <v>8061.4036277038431</v>
      </c>
    </row>
    <row r="22" spans="1:12">
      <c r="A22" s="172">
        <v>1987</v>
      </c>
      <c r="B22" s="175">
        <f>'a1'!AJ25/1000</f>
        <v>6781.9840000000004</v>
      </c>
      <c r="C22" s="175">
        <v>5290.9</v>
      </c>
      <c r="D22" s="182">
        <f>C22/'a5-1'!C21*100</f>
        <v>26.001936298720764</v>
      </c>
      <c r="E22" s="175">
        <v>5787.5469999999996</v>
      </c>
      <c r="F22" s="182">
        <f>POWER(F$27/F$21,1/6)*F21</f>
        <v>6.7839332360578819</v>
      </c>
      <c r="G22" s="179">
        <f t="shared" si="1"/>
        <v>9.6637225584870112</v>
      </c>
      <c r="H22" s="175">
        <f>POWER(H27/H21,1/6)*H21</f>
        <v>39262.331496521903</v>
      </c>
      <c r="I22" s="175">
        <f t="shared" si="4"/>
        <v>55929.247146042602</v>
      </c>
      <c r="J22" s="182">
        <f>'a8'!AG25</f>
        <v>73.599999999999994</v>
      </c>
      <c r="K22" s="6">
        <f>'a1'!AF25</f>
        <v>70.2</v>
      </c>
      <c r="L22" s="175">
        <f t="shared" si="2"/>
        <v>8246.7382916330389</v>
      </c>
    </row>
    <row r="23" spans="1:12">
      <c r="A23" s="172">
        <v>1988</v>
      </c>
      <c r="B23" s="175">
        <f>'a1'!AJ26/1000</f>
        <v>6837.0770000000002</v>
      </c>
      <c r="C23" s="175">
        <v>5338.7</v>
      </c>
      <c r="D23" s="182">
        <f>C23/'a5-1'!C22*100</f>
        <v>25.9006801796994</v>
      </c>
      <c r="E23" s="175">
        <v>5916.9229999999998</v>
      </c>
      <c r="F23" s="182">
        <f>POWER(F$27/F$21,1/6)*F22</f>
        <v>7.1585736002213833</v>
      </c>
      <c r="G23" s="179">
        <f t="shared" si="1"/>
        <v>9.8332054948095919</v>
      </c>
      <c r="H23" s="175">
        <f>POWER(H27/H21,1/6)*H22</f>
        <v>42356.725683980214</v>
      </c>
      <c r="I23" s="175">
        <f t="shared" si="4"/>
        <v>58182.315499972821</v>
      </c>
      <c r="J23" s="182">
        <f>'a8'!AG26</f>
        <v>77.2</v>
      </c>
      <c r="K23" s="6">
        <f>'a1'!AF26</f>
        <v>72.8</v>
      </c>
      <c r="L23" s="175">
        <f t="shared" si="2"/>
        <v>8509.8230574224654</v>
      </c>
    </row>
    <row r="24" spans="1:12">
      <c r="A24" s="172">
        <v>1989</v>
      </c>
      <c r="B24" s="175">
        <f>'a1'!AJ27/1000</f>
        <v>6925.1279999999997</v>
      </c>
      <c r="C24" s="175">
        <v>5393.3</v>
      </c>
      <c r="D24" s="182">
        <f>C24/'a5-1'!C23*100</f>
        <v>25.807115343206448</v>
      </c>
      <c r="E24" s="175">
        <v>6049.19</v>
      </c>
      <c r="F24" s="182">
        <f>POWER(F$27/F$21,1/6)*F23</f>
        <v>7.5539033487842691</v>
      </c>
      <c r="G24" s="179">
        <f t="shared" si="1"/>
        <v>9.9524418297552941</v>
      </c>
      <c r="H24" s="175">
        <f>POWER(H27/H21,1/6)*H23</f>
        <v>45694.999310646665</v>
      </c>
      <c r="I24" s="175">
        <f t="shared" si="4"/>
        <v>60204.215165542373</v>
      </c>
      <c r="J24" s="182">
        <f>'a8'!AG27</f>
        <v>80.8</v>
      </c>
      <c r="K24" s="6">
        <f>'a1'!AF27</f>
        <v>75.900000000000006</v>
      </c>
      <c r="L24" s="175">
        <f t="shared" si="2"/>
        <v>8693.5887922277216</v>
      </c>
    </row>
    <row r="25" spans="1:12">
      <c r="A25" s="172">
        <v>1990</v>
      </c>
      <c r="B25" s="175">
        <f>'a1'!AJ28/1000</f>
        <v>6996.9859999999999</v>
      </c>
      <c r="C25" s="175">
        <v>5457</v>
      </c>
      <c r="D25" s="182">
        <f>C25/'a5-1'!C24*100</f>
        <v>25.722729993825034</v>
      </c>
      <c r="E25" s="175">
        <v>6184.415</v>
      </c>
      <c r="F25" s="182">
        <f>POWER(F$27/F$21,1/6)*F24</f>
        <v>7.9710650458367205</v>
      </c>
      <c r="G25" s="179">
        <f t="shared" si="1"/>
        <v>10.064476067975656</v>
      </c>
      <c r="H25" s="175">
        <f>POWER(H27/H21,1/6)*H24</f>
        <v>49296.373321645035</v>
      </c>
      <c r="I25" s="175">
        <f t="shared" si="4"/>
        <v>62242.895608137667</v>
      </c>
      <c r="J25" s="182">
        <f>'a8'!AG28</f>
        <v>83.2</v>
      </c>
      <c r="K25" s="6">
        <f>'a1'!AF28</f>
        <v>79.2</v>
      </c>
      <c r="L25" s="175">
        <f t="shared" si="2"/>
        <v>8895.6724521297692</v>
      </c>
    </row>
    <row r="26" spans="1:12">
      <c r="A26" s="172">
        <v>1991</v>
      </c>
      <c r="B26" s="175">
        <f>'a1'!AJ29/1000</f>
        <v>7067.3959999999997</v>
      </c>
      <c r="C26" s="175">
        <v>5517</v>
      </c>
      <c r="D26" s="182">
        <f>C26/'a5-1'!C25*100</f>
        <v>25.620782694710055</v>
      </c>
      <c r="E26" s="175">
        <v>6322.6620000000003</v>
      </c>
      <c r="F26" s="182">
        <f>POWER(F$27/F$21,1/6)*F25</f>
        <v>8.4112643531752092</v>
      </c>
      <c r="G26" s="179">
        <f t="shared" si="1"/>
        <v>9.895605121382598</v>
      </c>
      <c r="H26" s="175">
        <f>POWER(H27/H21,1/6)*H25</f>
        <v>53181.583528348798</v>
      </c>
      <c r="I26" s="175">
        <f t="shared" si="4"/>
        <v>62566.568856880942</v>
      </c>
      <c r="J26" s="182">
        <f>'a8'!AG29</f>
        <v>86.5</v>
      </c>
      <c r="K26" s="6">
        <f>'a1'!AF29</f>
        <v>85</v>
      </c>
      <c r="L26" s="175">
        <f t="shared" si="2"/>
        <v>8852.8460633705745</v>
      </c>
    </row>
    <row r="27" spans="1:12">
      <c r="A27" s="172">
        <v>1992</v>
      </c>
      <c r="B27" s="175">
        <f>'a1'!AJ30/1000</f>
        <v>7110.01</v>
      </c>
      <c r="C27" s="175">
        <v>5564.5</v>
      </c>
      <c r="D27" s="182">
        <f>C27/'a5-1'!C26*100</f>
        <v>25.501599435385558</v>
      </c>
      <c r="E27" s="177">
        <v>6464</v>
      </c>
      <c r="F27" s="187">
        <f>H27/E27</f>
        <v>8.8757735148514847</v>
      </c>
      <c r="G27" s="179">
        <f t="shared" si="1"/>
        <v>10.249161102599867</v>
      </c>
      <c r="H27" s="177">
        <v>57373</v>
      </c>
      <c r="I27" s="175">
        <f t="shared" si="4"/>
        <v>66250.577367205551</v>
      </c>
      <c r="J27" s="182">
        <f>'a8'!AG30</f>
        <v>87.9</v>
      </c>
      <c r="K27" s="6">
        <f>'a1'!AF30</f>
        <v>86.6</v>
      </c>
      <c r="L27" s="175">
        <f t="shared" si="2"/>
        <v>9317.9302655278334</v>
      </c>
    </row>
    <row r="28" spans="1:12">
      <c r="A28" s="172">
        <v>1993</v>
      </c>
      <c r="B28" s="175">
        <f>'a1'!AJ31/1000</f>
        <v>7156.5370000000003</v>
      </c>
      <c r="C28" s="175">
        <v>5610.9</v>
      </c>
      <c r="D28" s="182">
        <f>C28/'a5-1'!C27*100</f>
        <v>25.396846950830355</v>
      </c>
      <c r="E28" s="175">
        <f>E27*POWER(E$33/E$27, 1/6)</f>
        <v>6645.137968022409</v>
      </c>
      <c r="F28" s="182">
        <f>G28*K28/100</f>
        <v>9.0746278269681628</v>
      </c>
      <c r="G28" s="179">
        <f>G27*(1+'a5-1'!$P$47/100)</f>
        <v>10.347352140214552</v>
      </c>
      <c r="H28" s="175">
        <f>E28*F28</f>
        <v>60302.153918658827</v>
      </c>
      <c r="I28" s="175">
        <f t="shared" si="4"/>
        <v>68759.582575437656</v>
      </c>
      <c r="J28" s="182">
        <f>'a8'!AG31</f>
        <v>88.3</v>
      </c>
      <c r="K28" s="6">
        <f>'a1'!AF31</f>
        <v>87.7</v>
      </c>
      <c r="L28" s="175">
        <f t="shared" si="2"/>
        <v>9607.9406248353989</v>
      </c>
    </row>
    <row r="29" spans="1:12">
      <c r="A29" s="172">
        <v>1994</v>
      </c>
      <c r="B29" s="175">
        <f>'a1'!AJ32/1000</f>
        <v>7192.4030000000002</v>
      </c>
      <c r="C29" s="175">
        <v>5651.8</v>
      </c>
      <c r="D29" s="182">
        <f>C29/'a5-1'!C28*100</f>
        <v>25.267685099496152</v>
      </c>
      <c r="E29" s="175">
        <f>E28*POWER(E$33/E$27, 1/6)</f>
        <v>6831.3518895502775</v>
      </c>
      <c r="F29" s="182">
        <f t="shared" ref="F29:F42" si="5">G29*K29/100</f>
        <v>9.0466550461441955</v>
      </c>
      <c r="G29" s="179">
        <f>G28*(1+'a5-1'!$P$47/100)</f>
        <v>10.446483887002536</v>
      </c>
      <c r="H29" s="175">
        <f t="shared" ref="H29:H42" si="6">E29*F29</f>
        <v>61800.884043586702</v>
      </c>
      <c r="I29" s="175">
        <f t="shared" si="4"/>
        <v>71363.607440631298</v>
      </c>
      <c r="J29" s="182">
        <f>'a8'!AG32</f>
        <v>88.9</v>
      </c>
      <c r="K29" s="6">
        <f>'a1'!AF32</f>
        <v>86.6</v>
      </c>
      <c r="L29" s="175">
        <f t="shared" si="2"/>
        <v>9922.0813183898754</v>
      </c>
    </row>
    <row r="30" spans="1:12">
      <c r="A30" s="172">
        <v>1995</v>
      </c>
      <c r="B30" s="175">
        <f>'a1'!AJ33/1000</f>
        <v>7219.2190000000001</v>
      </c>
      <c r="C30" s="175">
        <v>5693.8</v>
      </c>
      <c r="D30" s="182">
        <f>C30/'a5-1'!C29*100</f>
        <v>25.127096204766108</v>
      </c>
      <c r="E30" s="175">
        <f>E29*POWER(E$33/E$27, 1/6)</f>
        <v>7022.7840059053487</v>
      </c>
      <c r="F30" s="182">
        <f t="shared" si="5"/>
        <v>9.2915240780471855</v>
      </c>
      <c r="G30" s="179">
        <f>G29*(1+'a5-1'!$P$47/100)</f>
        <v>10.546565355331653</v>
      </c>
      <c r="H30" s="175">
        <f t="shared" si="6"/>
        <v>65252.366685794215</v>
      </c>
      <c r="I30" s="175">
        <f t="shared" si="4"/>
        <v>74066.250494658598</v>
      </c>
      <c r="J30" s="182">
        <f>'a8'!AG33</f>
        <v>90.9</v>
      </c>
      <c r="K30" s="6">
        <f>'a1'!AF33</f>
        <v>88.1</v>
      </c>
      <c r="L30" s="175">
        <f t="shared" si="2"/>
        <v>10259.593246119643</v>
      </c>
    </row>
    <row r="31" spans="1:12">
      <c r="A31" s="172">
        <v>1996</v>
      </c>
      <c r="B31" s="175">
        <f>'a1'!AJ34/1000</f>
        <v>7246.8969999999999</v>
      </c>
      <c r="C31" s="175">
        <v>5737.4</v>
      </c>
      <c r="D31" s="182">
        <f>C31/'a5-1'!C30*100</f>
        <v>24.989220148522396</v>
      </c>
      <c r="E31" s="175">
        <f>E30*POWER(E$33/E$27, 1/6)</f>
        <v>7219.5805443784257</v>
      </c>
      <c r="F31" s="182">
        <f t="shared" si="5"/>
        <v>9.5296070513010598</v>
      </c>
      <c r="G31" s="179">
        <f>G30*(1+'a5-1'!$P$47/100)</f>
        <v>10.647605643911799</v>
      </c>
      <c r="H31" s="175">
        <f t="shared" si="6"/>
        <v>68799.765663144586</v>
      </c>
      <c r="I31" s="175">
        <f t="shared" si="4"/>
        <v>76871.246550999538</v>
      </c>
      <c r="J31" s="182">
        <f>'a8'!AG34</f>
        <v>91.7</v>
      </c>
      <c r="K31" s="6">
        <f>'a1'!AF34</f>
        <v>89.5</v>
      </c>
      <c r="L31" s="175">
        <f t="shared" si="2"/>
        <v>10607.470556156592</v>
      </c>
    </row>
    <row r="32" spans="1:12">
      <c r="A32" s="172">
        <v>1997</v>
      </c>
      <c r="B32" s="175">
        <f>'a1'!AJ35/1000</f>
        <v>7274.6109999999999</v>
      </c>
      <c r="C32" s="175">
        <v>5772.2</v>
      </c>
      <c r="D32" s="182">
        <f>C32/'a5-1'!C31*100</f>
        <v>24.830190951834023</v>
      </c>
      <c r="E32" s="175">
        <f>E31*POWER(E$33/E$27, 1/6)</f>
        <v>7421.8918299265115</v>
      </c>
      <c r="F32" s="182">
        <f t="shared" si="5"/>
        <v>9.7606494562688955</v>
      </c>
      <c r="G32" s="179">
        <f>G31*(1+'a5-1'!$P$47/100)</f>
        <v>10.749613938622131</v>
      </c>
      <c r="H32" s="175">
        <f t="shared" si="6"/>
        <v>72442.484454258767</v>
      </c>
      <c r="I32" s="175">
        <f t="shared" si="4"/>
        <v>79782.471865923755</v>
      </c>
      <c r="J32" s="182">
        <f>'a8'!AG35</f>
        <v>92.7</v>
      </c>
      <c r="K32" s="6">
        <f>'a1'!AF35</f>
        <v>90.8</v>
      </c>
      <c r="L32" s="175">
        <f t="shared" si="2"/>
        <v>10967.249226924128</v>
      </c>
    </row>
    <row r="33" spans="1:19">
      <c r="A33" s="172">
        <v>1998</v>
      </c>
      <c r="B33" s="175">
        <f>'a1'!AJ36/1000</f>
        <v>7295.9350000000004</v>
      </c>
      <c r="C33" s="175">
        <v>5806.6</v>
      </c>
      <c r="D33" s="182">
        <f>C33/'a5-1'!C32*100</f>
        <v>24.692439519129774</v>
      </c>
      <c r="E33" s="177">
        <f>C33*S33*365/1000</f>
        <v>7629.8724000000002</v>
      </c>
      <c r="F33" s="182">
        <f t="shared" si="5"/>
        <v>9.9952441517918302</v>
      </c>
      <c r="G33" s="179">
        <f>G32*(1+'a5-1'!$P$47/100)</f>
        <v>10.852599513346178</v>
      </c>
      <c r="H33" s="175">
        <f t="shared" si="6"/>
        <v>76262.437485017901</v>
      </c>
      <c r="I33" s="175">
        <f t="shared" si="4"/>
        <v>82803.949495133449</v>
      </c>
      <c r="J33" s="182">
        <f>'a8'!AG36</f>
        <v>93.6</v>
      </c>
      <c r="K33" s="6">
        <f>'a1'!AF36</f>
        <v>92.1</v>
      </c>
      <c r="L33" s="175">
        <f t="shared" si="2"/>
        <v>11349.32664492398</v>
      </c>
      <c r="S33" s="172">
        <v>3.6</v>
      </c>
    </row>
    <row r="34" spans="1:19">
      <c r="A34" s="172">
        <v>1999</v>
      </c>
      <c r="B34" s="175">
        <f>'a1'!AJ37/1000</f>
        <v>7323.25</v>
      </c>
      <c r="C34" s="175">
        <v>5844.6</v>
      </c>
      <c r="D34" s="182">
        <f>C34/'a5-1'!C33*100</f>
        <v>24.576349584128774</v>
      </c>
      <c r="E34" s="175">
        <f t="shared" ref="E34:E42" si="7">C34*S34*365/1000</f>
        <v>7679.8044</v>
      </c>
      <c r="F34" s="182">
        <f t="shared" si="5"/>
        <v>10.244394568311986</v>
      </c>
      <c r="G34" s="179">
        <f>G33*(1+'a5-1'!$P$47/100)</f>
        <v>10.956571730814959</v>
      </c>
      <c r="H34" s="175">
        <f t="shared" si="6"/>
        <v>78674.94648105849</v>
      </c>
      <c r="I34" s="175">
        <f t="shared" si="4"/>
        <v>84144.327787228336</v>
      </c>
      <c r="J34" s="182">
        <f>'a8'!AG37</f>
        <v>94.7</v>
      </c>
      <c r="K34" s="6">
        <f>'a1'!AF37</f>
        <v>93.5</v>
      </c>
      <c r="L34" s="175">
        <f t="shared" si="2"/>
        <v>11490.025301229418</v>
      </c>
      <c r="S34" s="191">
        <f t="shared" ref="S34:S39" si="8">S33*POWER(S$40/S$33, 1/7)</f>
        <v>3.6</v>
      </c>
    </row>
    <row r="35" spans="1:19">
      <c r="A35" s="172">
        <v>2000</v>
      </c>
      <c r="B35" s="175">
        <f>'a1'!AJ38/1000</f>
        <v>7356.951</v>
      </c>
      <c r="C35" s="175">
        <v>5888.2</v>
      </c>
      <c r="D35" s="182">
        <f>C35/'a5-1'!C34*100</f>
        <v>24.442811658094538</v>
      </c>
      <c r="E35" s="175">
        <f t="shared" si="7"/>
        <v>7737.0947999999999</v>
      </c>
      <c r="F35" s="182">
        <f t="shared" si="5"/>
        <v>10.596955361632936</v>
      </c>
      <c r="G35" s="179">
        <f>G34*(1+'a5-1'!$P$47/100)</f>
        <v>11.06154004345818</v>
      </c>
      <c r="H35" s="175">
        <f t="shared" si="6"/>
        <v>81989.648224322314</v>
      </c>
      <c r="I35" s="175">
        <f t="shared" si="4"/>
        <v>85584.183950232065</v>
      </c>
      <c r="J35" s="182">
        <f>'a8'!AG38</f>
        <v>96.8</v>
      </c>
      <c r="K35" s="6">
        <f>'a1'!AF38</f>
        <v>95.8</v>
      </c>
      <c r="L35" s="175">
        <f t="shared" si="2"/>
        <v>11633.105066247153</v>
      </c>
      <c r="S35" s="191">
        <f t="shared" si="8"/>
        <v>3.6</v>
      </c>
    </row>
    <row r="36" spans="1:19">
      <c r="A36" s="172">
        <v>2001</v>
      </c>
      <c r="B36" s="175">
        <f>'a1'!AJ39/1000</f>
        <v>7396.3310000000001</v>
      </c>
      <c r="C36" s="175">
        <v>5938.3</v>
      </c>
      <c r="D36" s="182">
        <f>C36/'a5-1'!C35*100</f>
        <v>24.298457383690003</v>
      </c>
      <c r="E36" s="175">
        <f t="shared" si="7"/>
        <v>7802.9261999999999</v>
      </c>
      <c r="F36" s="182">
        <f t="shared" si="5"/>
        <v>10.944163714378311</v>
      </c>
      <c r="G36" s="179">
        <f>G35*(1+'a5-1'!$P$47/100)</f>
        <v>11.167513994263581</v>
      </c>
      <c r="H36" s="175">
        <f t="shared" si="6"/>
        <v>85396.501784011838</v>
      </c>
      <c r="I36" s="175">
        <f t="shared" si="4"/>
        <v>87139.28753470596</v>
      </c>
      <c r="J36" s="182">
        <f>'a8'!AG39</f>
        <v>98.2</v>
      </c>
      <c r="K36" s="6">
        <f>'a1'!AF39</f>
        <v>98</v>
      </c>
      <c r="L36" s="175">
        <f t="shared" si="2"/>
        <v>11781.420752357617</v>
      </c>
      <c r="S36" s="191">
        <f t="shared" si="8"/>
        <v>3.6</v>
      </c>
    </row>
    <row r="37" spans="1:19">
      <c r="A37" s="172">
        <v>2002</v>
      </c>
      <c r="B37" s="175">
        <f>'a1'!AJ40/1000</f>
        <v>7441.076</v>
      </c>
      <c r="C37" s="175">
        <v>5989.5</v>
      </c>
      <c r="D37" s="182">
        <f>C37/'a5-1'!C36*100</f>
        <v>24.164948619981523</v>
      </c>
      <c r="E37" s="175">
        <f t="shared" si="7"/>
        <v>7870.2030000000004</v>
      </c>
      <c r="F37" s="182">
        <f t="shared" si="5"/>
        <v>11.274503217644517</v>
      </c>
      <c r="G37" s="179">
        <f>G36*(1+'a5-1'!$P$47/100)</f>
        <v>11.274503217644517</v>
      </c>
      <c r="H37" s="175">
        <f t="shared" si="6"/>
        <v>88732.629047015536</v>
      </c>
      <c r="I37" s="175">
        <f t="shared" si="4"/>
        <v>88732.629047015536</v>
      </c>
      <c r="J37" s="182">
        <f>'a8'!AG40</f>
        <v>100</v>
      </c>
      <c r="K37" s="6">
        <f>'a1'!AF40</f>
        <v>100</v>
      </c>
      <c r="L37" s="175">
        <f t="shared" si="2"/>
        <v>11924.704041057441</v>
      </c>
      <c r="S37" s="191">
        <f t="shared" si="8"/>
        <v>3.6</v>
      </c>
    </row>
    <row r="38" spans="1:19">
      <c r="A38" s="172">
        <v>2003</v>
      </c>
      <c r="B38" s="175">
        <f>'a1'!AJ41/1000</f>
        <v>7485.8379999999997</v>
      </c>
      <c r="C38" s="175">
        <v>6040.3</v>
      </c>
      <c r="D38" s="182">
        <f>C38/'a5-1'!C37*100</f>
        <v>24.066378468832799</v>
      </c>
      <c r="E38" s="175">
        <f t="shared" si="7"/>
        <v>7936.9542000000001</v>
      </c>
      <c r="F38" s="182">
        <f t="shared" si="5"/>
        <v>11.667080376323749</v>
      </c>
      <c r="G38" s="179">
        <f>G37*(1+'a5-1'!$P$47/100)</f>
        <v>11.382517440315853</v>
      </c>
      <c r="H38" s="175">
        <f t="shared" si="6"/>
        <v>92601.082594600361</v>
      </c>
      <c r="I38" s="175">
        <f t="shared" si="4"/>
        <v>90342.51960448816</v>
      </c>
      <c r="J38" s="182">
        <f>'a8'!AG41</f>
        <v>102.6</v>
      </c>
      <c r="K38" s="6">
        <f>'a1'!AF41</f>
        <v>102.5</v>
      </c>
      <c r="L38" s="175">
        <f t="shared" si="2"/>
        <v>12068.457747080309</v>
      </c>
      <c r="S38" s="191">
        <f t="shared" si="8"/>
        <v>3.6</v>
      </c>
    </row>
    <row r="39" spans="1:19">
      <c r="A39" s="172">
        <v>2004</v>
      </c>
      <c r="B39" s="175">
        <f>'a1'!AJ42/1000</f>
        <v>7535.9290000000001</v>
      </c>
      <c r="C39" s="175">
        <v>6098.2</v>
      </c>
      <c r="D39" s="182">
        <f>C39/'a5-1'!C38*100</f>
        <v>23.97939522629861</v>
      </c>
      <c r="E39" s="175">
        <f t="shared" si="7"/>
        <v>8013.0347999999994</v>
      </c>
      <c r="F39" s="182">
        <f t="shared" si="5"/>
        <v>12.008686973876273</v>
      </c>
      <c r="G39" s="179">
        <f>G38*(1+'a5-1'!$P$47/100)</f>
        <v>11.49156648217825</v>
      </c>
      <c r="H39" s="175">
        <f t="shared" si="6"/>
        <v>96226.026623977261</v>
      </c>
      <c r="I39" s="175">
        <f t="shared" si="4"/>
        <v>92082.322128207903</v>
      </c>
      <c r="J39" s="182">
        <f>'a8'!AG42</f>
        <v>104.7</v>
      </c>
      <c r="K39" s="6">
        <f>'a1'!AF42</f>
        <v>104.5</v>
      </c>
      <c r="L39" s="175">
        <f t="shared" si="2"/>
        <v>12219.106911464785</v>
      </c>
      <c r="S39" s="191">
        <f t="shared" si="8"/>
        <v>3.6</v>
      </c>
    </row>
    <row r="40" spans="1:19">
      <c r="A40" s="172">
        <v>2005</v>
      </c>
      <c r="B40" s="175">
        <f>'a1'!AJ43/1000</f>
        <v>7581.9110000000001</v>
      </c>
      <c r="C40" s="175">
        <v>6160</v>
      </c>
      <c r="D40" s="182">
        <f>C40/'a5-1'!C39*100</f>
        <v>23.89467722790712</v>
      </c>
      <c r="E40" s="177">
        <f t="shared" si="7"/>
        <v>8094.24</v>
      </c>
      <c r="F40" s="182">
        <f t="shared" si="5"/>
        <v>12.402174814958473</v>
      </c>
      <c r="G40" s="179">
        <f>G39*(1+'a5-1'!$P$47/100)</f>
        <v>11.60166025721092</v>
      </c>
      <c r="H40" s="175">
        <f t="shared" si="6"/>
        <v>100386.17947422946</v>
      </c>
      <c r="I40" s="175">
        <f t="shared" si="4"/>
        <v>93906.622520326899</v>
      </c>
      <c r="J40" s="182">
        <f>'a8'!AG43</f>
        <v>106.5</v>
      </c>
      <c r="K40" s="6">
        <f>'a1'!AF43</f>
        <v>106.9</v>
      </c>
      <c r="L40" s="175">
        <f t="shared" si="2"/>
        <v>12385.613932994847</v>
      </c>
      <c r="S40" s="172">
        <v>3.6</v>
      </c>
    </row>
    <row r="41" spans="1:19">
      <c r="A41" s="172">
        <v>2006</v>
      </c>
      <c r="B41" s="175">
        <f>'a1'!AJ44/1000</f>
        <v>7631.5519999999997</v>
      </c>
      <c r="C41" s="175">
        <v>6226</v>
      </c>
      <c r="D41" s="182">
        <f>C41/'a5-1'!C40*100</f>
        <v>23.812528924229039</v>
      </c>
      <c r="E41" s="175">
        <f t="shared" si="7"/>
        <v>8180.9640000000009</v>
      </c>
      <c r="F41" s="182">
        <f t="shared" si="5"/>
        <v>12.731823137743381</v>
      </c>
      <c r="G41" s="179">
        <f>G40*(1+'a5-1'!$P$47/100)</f>
        <v>11.712808774372936</v>
      </c>
      <c r="H41" s="175">
        <f t="shared" si="6"/>
        <v>104158.58674424565</v>
      </c>
      <c r="I41" s="175">
        <f t="shared" si="4"/>
        <v>95822.066922029117</v>
      </c>
      <c r="J41" s="182">
        <f>'a8'!AG44</f>
        <v>108.6</v>
      </c>
      <c r="K41" s="6">
        <f>'a1'!AF44</f>
        <v>108.7</v>
      </c>
      <c r="L41" s="175">
        <f t="shared" si="2"/>
        <v>12556.0393117978</v>
      </c>
      <c r="S41" s="191">
        <f>S40*POWER(S$40/S$33,1/7)</f>
        <v>3.6</v>
      </c>
    </row>
    <row r="42" spans="1:19">
      <c r="A42" s="172">
        <v>2007</v>
      </c>
      <c r="B42" s="175">
        <f>'a1'!AJ45/1000</f>
        <v>7687.4229999999998</v>
      </c>
      <c r="C42" s="175">
        <v>6292.6</v>
      </c>
      <c r="D42" s="182">
        <f>C42/'a5-1'!C41*100</f>
        <v>23.727842111018518</v>
      </c>
      <c r="E42" s="175">
        <f t="shared" si="7"/>
        <v>8268.4763999999996</v>
      </c>
      <c r="F42" s="182">
        <f t="shared" si="5"/>
        <v>13.054824440918551</v>
      </c>
      <c r="G42" s="179">
        <f>G41*(1+'a5-1'!$P$47/100)</f>
        <v>11.82502213851318</v>
      </c>
      <c r="H42" s="175">
        <f t="shared" si="6"/>
        <v>107943.50779587823</v>
      </c>
      <c r="I42" s="175">
        <f t="shared" si="4"/>
        <v>97774.916481773762</v>
      </c>
      <c r="J42" s="182">
        <f>'a8'!AG45</f>
        <v>111.4</v>
      </c>
      <c r="K42" s="6">
        <f>'a1'!AF45</f>
        <v>110.4</v>
      </c>
      <c r="L42" s="175">
        <f t="shared" si="2"/>
        <v>12718.815717799549</v>
      </c>
      <c r="S42" s="191">
        <f>S41*POWER(S$40/S$33,1/7)</f>
        <v>3.6</v>
      </c>
    </row>
    <row r="43" spans="1:19">
      <c r="A43" s="172">
        <v>2009</v>
      </c>
      <c r="B43" s="175">
        <f>'a1'!AJ46/1000</f>
        <v>7751.3320000000003</v>
      </c>
      <c r="C43" s="309">
        <v>6361.7</v>
      </c>
      <c r="D43" s="182">
        <f>C43/'a5-1'!C42*100</f>
        <v>23.642938373830248</v>
      </c>
      <c r="E43" s="175">
        <f t="shared" ref="E43" si="9">C43*S43*365/1000</f>
        <v>8359.273799999999</v>
      </c>
      <c r="F43" s="182">
        <f t="shared" ref="F43" si="10">G43*K43/100</f>
        <v>13.454475991302704</v>
      </c>
      <c r="G43" s="179">
        <f>G42*(1+'a5-1'!$P$47/100)</f>
        <v>11.938310551289002</v>
      </c>
      <c r="H43" s="175">
        <f t="shared" ref="H43" si="11">E43*F43</f>
        <v>112469.64864682571</v>
      </c>
      <c r="I43" s="175">
        <f t="shared" ref="I43" si="12">H43/K43*100</f>
        <v>99795.606607653695</v>
      </c>
      <c r="J43" s="182">
        <f>'a8'!AG46</f>
        <v>112.8</v>
      </c>
      <c r="K43" s="6">
        <f>'a1'!AF46</f>
        <v>112.7</v>
      </c>
      <c r="L43" s="175">
        <f t="shared" si="2"/>
        <v>12874.639688721074</v>
      </c>
      <c r="S43" s="191">
        <f>S42*POWER(S$40/S$33,1/7)</f>
        <v>3.6</v>
      </c>
    </row>
    <row r="44" spans="1:19">
      <c r="A44" s="172">
        <v>2009</v>
      </c>
      <c r="B44" s="175">
        <f>'a1'!AJ47/1000</f>
        <v>7828.357</v>
      </c>
      <c r="C44" s="304">
        <v>6434.5</v>
      </c>
      <c r="D44" s="182">
        <f>C44/'a5-1'!C43*100</f>
        <v>23.571151211435186</v>
      </c>
      <c r="E44" s="175">
        <f t="shared" ref="E44" si="13">C44*S44*365/1000</f>
        <v>8454.9330000000009</v>
      </c>
      <c r="F44" s="182">
        <f t="shared" ref="F44" si="14">G44*K44/100</f>
        <v>13.667744009914237</v>
      </c>
      <c r="G44" s="179">
        <f>G43*(1+'a5-1'!$P$47/100)</f>
        <v>12.052684312093684</v>
      </c>
      <c r="H44" s="175">
        <f t="shared" ref="H44" si="15">E44*F44</f>
        <v>115559.85986497623</v>
      </c>
      <c r="I44" s="175">
        <f t="shared" ref="I44" si="16">H44/K44*100</f>
        <v>101904.63832890319</v>
      </c>
      <c r="J44" s="182">
        <f>'a8'!AG47</f>
        <v>113.6</v>
      </c>
      <c r="K44" s="6">
        <f>'a1'!AF47</f>
        <v>113.4</v>
      </c>
      <c r="L44" s="175">
        <f t="shared" ref="L44:L45" si="17">I44/B44*1000</f>
        <v>13017.372397414068</v>
      </c>
      <c r="S44" s="191">
        <f>S43*POWER(S$40/S$33,1/7)</f>
        <v>3.6</v>
      </c>
    </row>
    <row r="45" spans="1:19">
      <c r="A45" s="172">
        <v>2010</v>
      </c>
      <c r="B45" s="175">
        <f>'a1'!AJ48/1000</f>
        <v>7907.375</v>
      </c>
      <c r="C45" s="304">
        <v>6507.2</v>
      </c>
      <c r="D45" s="182">
        <f>C45/'a5-1'!C44*100</f>
        <v>23.526944700544135</v>
      </c>
      <c r="E45" s="175">
        <f t="shared" ref="E45" si="18">C45*S45*365/1000</f>
        <v>8550.4607999999989</v>
      </c>
      <c r="F45" s="182">
        <f t="shared" ref="F45" si="19">G45*K45/100</f>
        <v>13.969040584203723</v>
      </c>
      <c r="G45" s="179">
        <f>G44*(1+'a5-1'!$P$47/100)</f>
        <v>12.16815381899279</v>
      </c>
      <c r="H45" s="175">
        <f t="shared" ref="H45" si="20">E45*F45</f>
        <v>119441.73392884302</v>
      </c>
      <c r="I45" s="175">
        <f t="shared" ref="I45" si="21">H45/K45*100</f>
        <v>104043.32223766815</v>
      </c>
      <c r="J45" s="182">
        <f>'a8'!AG48</f>
        <v>115.46880235199436</v>
      </c>
      <c r="K45" s="6">
        <f>'a1'!AF48</f>
        <v>114.8</v>
      </c>
      <c r="L45" s="175">
        <f t="shared" si="17"/>
        <v>13157.757440069321</v>
      </c>
      <c r="S45" s="191">
        <f>S44*POWER(S$40/S$33,1/7)</f>
        <v>3.6</v>
      </c>
    </row>
    <row r="46" spans="1:19">
      <c r="A46" s="172" t="s">
        <v>435</v>
      </c>
    </row>
    <row r="47" spans="1:19">
      <c r="A47" s="172" t="s">
        <v>438</v>
      </c>
      <c r="B47" s="179">
        <f>(POWER(B40/B27, 1/13)-1)*100</f>
        <v>0.49554399658922055</v>
      </c>
      <c r="C47" s="179">
        <f t="shared" ref="C47:L47" si="22">(POWER(C40/C27, 1/13)-1)*100</f>
        <v>0.78514037372776624</v>
      </c>
      <c r="D47" s="179">
        <f t="shared" si="22"/>
        <v>-0.49940610142688024</v>
      </c>
      <c r="E47" s="179">
        <f t="shared" si="22"/>
        <v>1.7450854218057588</v>
      </c>
      <c r="F47" s="179">
        <f t="shared" si="22"/>
        <v>2.6068322007615885</v>
      </c>
      <c r="G47" s="179">
        <f t="shared" si="22"/>
        <v>0.95803975205128733</v>
      </c>
      <c r="H47" s="179">
        <f t="shared" si="22"/>
        <v>4.3974090712737945</v>
      </c>
      <c r="I47" s="179">
        <f t="shared" si="22"/>
        <v>2.719843785905196</v>
      </c>
      <c r="J47" s="179">
        <f t="shared" si="22"/>
        <v>1.4874555161039416</v>
      </c>
      <c r="K47" s="179">
        <f t="shared" si="22"/>
        <v>1.6331462583462075</v>
      </c>
      <c r="L47" s="179">
        <f t="shared" si="22"/>
        <v>2.2133317566711996</v>
      </c>
    </row>
    <row r="48" spans="1:19" ht="16.5" customHeight="1">
      <c r="A48" s="272" t="s">
        <v>1051</v>
      </c>
      <c r="B48" s="273">
        <f t="shared" ref="B48:L48" si="23">(POWER(B45/B27, 1/18)-1)*100</f>
        <v>0.5922592832797724</v>
      </c>
      <c r="C48" s="273">
        <f t="shared" si="23"/>
        <v>0.87324698652242461</v>
      </c>
      <c r="D48" s="273">
        <f t="shared" si="23"/>
        <v>-0.44674813078607878</v>
      </c>
      <c r="E48" s="273">
        <f t="shared" si="23"/>
        <v>1.5662324756026136</v>
      </c>
      <c r="F48" s="273">
        <f t="shared" si="23"/>
        <v>2.5515532587555789</v>
      </c>
      <c r="G48" s="273">
        <f t="shared" si="23"/>
        <v>0.95803975205128733</v>
      </c>
      <c r="H48" s="273">
        <f t="shared" si="23"/>
        <v>4.1577489901291287</v>
      </c>
      <c r="I48" s="273">
        <f t="shared" si="23"/>
        <v>2.5392773573797101</v>
      </c>
      <c r="J48" s="273">
        <f t="shared" si="23"/>
        <v>1.5271016048254538</v>
      </c>
      <c r="K48" s="273">
        <f t="shared" si="23"/>
        <v>1.5783918850028167</v>
      </c>
      <c r="L48" s="273">
        <f t="shared" si="23"/>
        <v>1.9355545724615952</v>
      </c>
    </row>
    <row r="49" spans="1:12" ht="13.5" customHeight="1">
      <c r="A49" s="642" t="s">
        <v>933</v>
      </c>
      <c r="B49" s="642"/>
      <c r="C49" s="642"/>
      <c r="D49" s="642"/>
      <c r="E49" s="642"/>
      <c r="F49" s="642"/>
      <c r="G49" s="642"/>
      <c r="H49" s="642"/>
      <c r="I49" s="642"/>
      <c r="J49" s="642"/>
      <c r="K49" s="642"/>
      <c r="L49" s="642"/>
    </row>
    <row r="50" spans="1:12" ht="12.75" customHeight="1">
      <c r="A50" s="643" t="s">
        <v>913</v>
      </c>
      <c r="B50" s="642"/>
      <c r="C50" s="642"/>
      <c r="D50" s="642"/>
      <c r="E50" s="642"/>
      <c r="F50" s="642"/>
      <c r="G50" s="642"/>
      <c r="H50" s="642"/>
      <c r="I50" s="642"/>
      <c r="J50" s="642"/>
      <c r="K50" s="642"/>
      <c r="L50" s="642"/>
    </row>
    <row r="51" spans="1:12">
      <c r="A51" s="185" t="s">
        <v>912</v>
      </c>
      <c r="B51" s="203"/>
      <c r="C51" s="203"/>
      <c r="D51" s="203"/>
      <c r="E51" s="203"/>
      <c r="F51" s="203"/>
      <c r="G51" s="203"/>
      <c r="H51" s="203"/>
      <c r="I51" s="203"/>
      <c r="J51" s="203"/>
      <c r="K51" s="203"/>
    </row>
    <row r="52" spans="1:12">
      <c r="A52" s="172" t="s">
        <v>1053</v>
      </c>
    </row>
    <row r="53" spans="1:12">
      <c r="A53" s="189" t="s">
        <v>1054</v>
      </c>
    </row>
    <row r="54" spans="1:12">
      <c r="A54" s="189" t="s">
        <v>944</v>
      </c>
    </row>
    <row r="55" spans="1:12">
      <c r="A55" s="185" t="s">
        <v>1050</v>
      </c>
    </row>
    <row r="56" spans="1:12">
      <c r="A56" s="1" t="s">
        <v>1052</v>
      </c>
    </row>
  </sheetData>
  <mergeCells count="2">
    <mergeCell ref="A49:L49"/>
    <mergeCell ref="A50:L50"/>
  </mergeCells>
  <pageMargins left="0.74803149606299213" right="0.74803149606299213" top="0.98425196850393704" bottom="0.98425196850393704" header="0.51181102362204722" footer="0.51181102362204722"/>
  <pageSetup scale="63" orientation="landscape" r:id="rId1"/>
  <headerFooter alignWithMargins="0"/>
</worksheet>
</file>

<file path=xl/worksheets/sheet24.xml><?xml version="1.0" encoding="utf-8"?>
<worksheet xmlns="http://schemas.openxmlformats.org/spreadsheetml/2006/main" xmlns:r="http://schemas.openxmlformats.org/officeDocument/2006/relationships">
  <dimension ref="A1:S56"/>
  <sheetViews>
    <sheetView view="pageBreakPreview" zoomScaleSheetLayoutView="100" workbookViewId="0">
      <selection activeCell="E9" sqref="E9"/>
    </sheetView>
  </sheetViews>
  <sheetFormatPr defaultRowHeight="12.75"/>
  <cols>
    <col min="1" max="1" width="9.375" style="172" customWidth="1"/>
    <col min="2" max="12" width="12" style="172" customWidth="1"/>
    <col min="13" max="21" width="9" style="172"/>
    <col min="22" max="22" width="0" style="172" hidden="1" customWidth="1"/>
    <col min="23" max="16384" width="9" style="172"/>
  </cols>
  <sheetData>
    <row r="1" spans="1:19" ht="31.5" customHeight="1">
      <c r="A1" s="172" t="s">
        <v>897</v>
      </c>
      <c r="S1" s="203" t="s">
        <v>914</v>
      </c>
    </row>
    <row r="2" spans="1:19" ht="25.5">
      <c r="B2" s="203" t="s">
        <v>868</v>
      </c>
      <c r="C2" s="203" t="s">
        <v>869</v>
      </c>
      <c r="D2" s="203" t="s">
        <v>890</v>
      </c>
      <c r="E2" s="203" t="s">
        <v>870</v>
      </c>
      <c r="F2" s="203" t="s">
        <v>871</v>
      </c>
      <c r="G2" s="203" t="s">
        <v>872</v>
      </c>
      <c r="H2" s="203" t="s">
        <v>873</v>
      </c>
      <c r="I2" s="203" t="s">
        <v>873</v>
      </c>
      <c r="J2" s="203" t="s">
        <v>473</v>
      </c>
      <c r="K2" s="203" t="s">
        <v>874</v>
      </c>
      <c r="L2" s="203" t="s">
        <v>875</v>
      </c>
      <c r="S2" s="172" t="s">
        <v>915</v>
      </c>
    </row>
    <row r="3" spans="1:19" ht="37.5" customHeight="1">
      <c r="B3" s="203" t="s">
        <v>876</v>
      </c>
      <c r="C3" s="203" t="s">
        <v>876</v>
      </c>
      <c r="D3" s="203" t="s">
        <v>891</v>
      </c>
      <c r="E3" s="203" t="s">
        <v>877</v>
      </c>
      <c r="F3" s="203" t="s">
        <v>878</v>
      </c>
      <c r="G3" s="203" t="s">
        <v>879</v>
      </c>
      <c r="H3" s="203" t="s">
        <v>880</v>
      </c>
      <c r="I3" s="203" t="s">
        <v>881</v>
      </c>
      <c r="J3" s="203" t="s">
        <v>882</v>
      </c>
      <c r="K3" s="203" t="s">
        <v>882</v>
      </c>
      <c r="L3" s="203" t="s">
        <v>883</v>
      </c>
    </row>
    <row r="4" spans="1:19" ht="15" customHeight="1">
      <c r="A4" s="272"/>
      <c r="B4" s="274" t="s">
        <v>105</v>
      </c>
      <c r="C4" s="274" t="s">
        <v>106</v>
      </c>
      <c r="D4" s="274" t="s">
        <v>107</v>
      </c>
      <c r="E4" s="274" t="s">
        <v>108</v>
      </c>
      <c r="F4" s="274" t="s">
        <v>109</v>
      </c>
      <c r="G4" s="274" t="s">
        <v>110</v>
      </c>
      <c r="H4" s="275" t="s">
        <v>892</v>
      </c>
      <c r="I4" s="275" t="s">
        <v>936</v>
      </c>
      <c r="J4" s="276" t="s">
        <v>138</v>
      </c>
      <c r="K4" s="276" t="s">
        <v>138</v>
      </c>
      <c r="L4" s="276" t="s">
        <v>935</v>
      </c>
    </row>
    <row r="5" spans="1:19" hidden="1">
      <c r="A5" s="172">
        <v>1971</v>
      </c>
      <c r="B5" s="175">
        <v>7849.027</v>
      </c>
      <c r="C5" s="176">
        <f>C6*B5/B6</f>
        <v>5787.3868213795486</v>
      </c>
      <c r="D5" s="182">
        <f>C5/'a5-1'!C5*100</f>
        <v>36.226065841875425</v>
      </c>
      <c r="E5" s="177">
        <v>17519</v>
      </c>
      <c r="F5" s="187">
        <f>H5/E5</f>
        <v>1.6931331697014669</v>
      </c>
      <c r="G5" s="179">
        <f>F5/K5*100</f>
        <v>8.308836558466286</v>
      </c>
      <c r="H5" s="177">
        <v>29662</v>
      </c>
      <c r="I5" s="175">
        <f t="shared" ref="I5:I14" si="0">H5/J5*100</f>
        <v>125362.74645778001</v>
      </c>
      <c r="J5" s="183">
        <v>23.660936632390744</v>
      </c>
      <c r="K5" s="183">
        <v>20.377499999999994</v>
      </c>
      <c r="L5" s="175">
        <f>I5/B5*1000</f>
        <v>15971.756302759566</v>
      </c>
    </row>
    <row r="6" spans="1:19" hidden="1">
      <c r="A6" s="172">
        <v>1972</v>
      </c>
      <c r="B6" s="175">
        <v>7963.1170000000002</v>
      </c>
      <c r="C6" s="176">
        <f>C7*B6/B7</f>
        <v>5871.5097276265515</v>
      </c>
      <c r="D6" s="182">
        <f>C6/'a5-1'!C6*100</f>
        <v>36.328457088821978</v>
      </c>
      <c r="E6" s="175">
        <v>17872</v>
      </c>
      <c r="F6" s="182">
        <f>POWER(F$16/F$5,1/10)*F5</f>
        <v>1.8541938703215644</v>
      </c>
      <c r="G6" s="179">
        <f t="shared" ref="G6:G27" si="1">F6/K6*100</f>
        <v>8.6837319766845322</v>
      </c>
      <c r="H6" s="175">
        <v>33180</v>
      </c>
      <c r="I6" s="175">
        <f t="shared" si="0"/>
        <v>133068.79211849623</v>
      </c>
      <c r="J6" s="183">
        <v>24.934471465295626</v>
      </c>
      <c r="K6" s="183">
        <v>21.352499999999996</v>
      </c>
      <c r="L6" s="175">
        <f t="shared" ref="L6:L43" si="2">I6/B6*1000</f>
        <v>16710.641337870111</v>
      </c>
    </row>
    <row r="7" spans="1:19" hidden="1">
      <c r="A7" s="172">
        <v>1973</v>
      </c>
      <c r="B7" s="175">
        <v>8075.5469999999996</v>
      </c>
      <c r="C7" s="176">
        <f>C8*B7/B8</f>
        <v>5954.4086525923722</v>
      </c>
      <c r="D7" s="182">
        <f>C7/'a5-1'!C7*100</f>
        <v>36.393686462901158</v>
      </c>
      <c r="E7" s="175">
        <v>18232</v>
      </c>
      <c r="F7" s="182">
        <f t="shared" ref="F7:F14" si="3">POWER(F$16/F$5,1/10)*F6</f>
        <v>2.0305756040112639</v>
      </c>
      <c r="G7" s="179">
        <f t="shared" si="1"/>
        <v>8.8247527336430434</v>
      </c>
      <c r="H7" s="175">
        <v>37115</v>
      </c>
      <c r="I7" s="175">
        <f t="shared" si="0"/>
        <v>138777.59027207954</v>
      </c>
      <c r="J7" s="183">
        <v>26.744231491002562</v>
      </c>
      <c r="K7" s="183">
        <v>23.009999999999998</v>
      </c>
      <c r="L7" s="175">
        <f t="shared" si="2"/>
        <v>17184.915185569414</v>
      </c>
    </row>
    <row r="8" spans="1:19" hidden="1">
      <c r="A8" s="172">
        <v>1974</v>
      </c>
      <c r="B8" s="175">
        <v>8204.2749999999996</v>
      </c>
      <c r="C8" s="176">
        <f>C9*B8/B9</f>
        <v>6049.3247142574101</v>
      </c>
      <c r="D8" s="182">
        <f>C8/'a5-1'!C8*100</f>
        <v>36.461242503733899</v>
      </c>
      <c r="E8" s="175">
        <v>18599</v>
      </c>
      <c r="F8" s="182">
        <f t="shared" si="3"/>
        <v>2.2237357967808595</v>
      </c>
      <c r="G8" s="179">
        <f t="shared" si="1"/>
        <v>8.7051704708587181</v>
      </c>
      <c r="H8" s="175">
        <v>41518</v>
      </c>
      <c r="I8" s="175">
        <f t="shared" si="0"/>
        <v>138570.78408716142</v>
      </c>
      <c r="J8" s="183">
        <v>29.961582647814897</v>
      </c>
      <c r="K8" s="183">
        <v>25.544999999999998</v>
      </c>
      <c r="L8" s="175">
        <f t="shared" si="2"/>
        <v>16890.070614059307</v>
      </c>
    </row>
    <row r="9" spans="1:19" hidden="1">
      <c r="A9" s="172">
        <v>1975</v>
      </c>
      <c r="B9" s="175">
        <v>8319.7950000000001</v>
      </c>
      <c r="C9" s="176">
        <f>C10*B9/B10</f>
        <v>6134.5020140177203</v>
      </c>
      <c r="D9" s="182">
        <f>C9/'a5-1'!C9*100</f>
        <v>36.438935272074083</v>
      </c>
      <c r="E9" s="175">
        <v>18974</v>
      </c>
      <c r="F9" s="182">
        <f t="shared" si="3"/>
        <v>2.4352705135017341</v>
      </c>
      <c r="G9" s="179">
        <f t="shared" si="1"/>
        <v>8.6128046454526395</v>
      </c>
      <c r="H9" s="175">
        <v>46442</v>
      </c>
      <c r="I9" s="175">
        <f t="shared" si="0"/>
        <v>140257.70815835838</v>
      </c>
      <c r="J9" s="183">
        <v>33.111905655526982</v>
      </c>
      <c r="K9" s="183">
        <v>28.274999999999999</v>
      </c>
      <c r="L9" s="175">
        <f t="shared" si="2"/>
        <v>16858.312994293534</v>
      </c>
    </row>
    <row r="10" spans="1:19" hidden="1">
      <c r="A10" s="172">
        <v>1976</v>
      </c>
      <c r="B10" s="175">
        <v>8413.7790000000005</v>
      </c>
      <c r="C10" s="175">
        <v>6203.8</v>
      </c>
      <c r="D10" s="182">
        <f>C10/'a5-1'!C10*100</f>
        <v>36.368859186305549</v>
      </c>
      <c r="E10" s="175">
        <v>19356</v>
      </c>
      <c r="F10" s="182">
        <f t="shared" si="3"/>
        <v>2.6669276460432996</v>
      </c>
      <c r="G10" s="179">
        <f t="shared" si="1"/>
        <v>8.7952103093191507</v>
      </c>
      <c r="H10" s="175">
        <v>51950</v>
      </c>
      <c r="I10" s="175">
        <f t="shared" si="0"/>
        <v>145685.62201201395</v>
      </c>
      <c r="J10" s="183">
        <v>35.658975321336754</v>
      </c>
      <c r="K10" s="183">
        <v>30.322499999999998</v>
      </c>
      <c r="L10" s="175">
        <f t="shared" si="2"/>
        <v>17315.123443581528</v>
      </c>
    </row>
    <row r="11" spans="1:19" hidden="1">
      <c r="A11" s="172">
        <v>1977</v>
      </c>
      <c r="B11" s="175">
        <v>8504.08</v>
      </c>
      <c r="C11" s="175">
        <v>6336.6</v>
      </c>
      <c r="D11" s="182">
        <f>C11/'a5-1'!C11*100</f>
        <v>36.343093114622462</v>
      </c>
      <c r="E11" s="175">
        <v>19746</v>
      </c>
      <c r="F11" s="182">
        <f t="shared" si="3"/>
        <v>2.9206213559424312</v>
      </c>
      <c r="G11" s="179">
        <f t="shared" si="1"/>
        <v>8.9152056042198762</v>
      </c>
      <c r="H11" s="175">
        <v>58111</v>
      </c>
      <c r="I11" s="175">
        <f t="shared" si="0"/>
        <v>152366.27689371983</v>
      </c>
      <c r="J11" s="183">
        <v>38.139016838046267</v>
      </c>
      <c r="K11" s="183">
        <v>32.76</v>
      </c>
      <c r="L11" s="175">
        <f t="shared" si="2"/>
        <v>17916.844255195134</v>
      </c>
    </row>
    <row r="12" spans="1:19" hidden="1">
      <c r="A12" s="172">
        <v>1978</v>
      </c>
      <c r="B12" s="175">
        <v>8590.1440000000002</v>
      </c>
      <c r="C12" s="175">
        <v>6463.4</v>
      </c>
      <c r="D12" s="182">
        <f>C12/'a5-1'!C12*100</f>
        <v>36.354534614259684</v>
      </c>
      <c r="E12" s="175">
        <v>20144</v>
      </c>
      <c r="F12" s="182">
        <f t="shared" si="3"/>
        <v>3.1984478909438376</v>
      </c>
      <c r="G12" s="179">
        <f t="shared" si="1"/>
        <v>8.9630037577240778</v>
      </c>
      <c r="H12" s="175">
        <v>65004</v>
      </c>
      <c r="I12" s="175">
        <f t="shared" si="0"/>
        <v>160033.25195841026</v>
      </c>
      <c r="J12" s="183">
        <v>40.619058354755772</v>
      </c>
      <c r="K12" s="183">
        <v>35.685000000000002</v>
      </c>
      <c r="L12" s="175">
        <f t="shared" si="2"/>
        <v>18629.868365234652</v>
      </c>
    </row>
    <row r="13" spans="1:19" hidden="1">
      <c r="A13" s="172">
        <v>1979</v>
      </c>
      <c r="B13" s="175">
        <v>8662.0879999999997</v>
      </c>
      <c r="C13" s="175">
        <v>6580</v>
      </c>
      <c r="D13" s="182">
        <f>C13/'a5-1'!C13*100</f>
        <v>36.314668256123269</v>
      </c>
      <c r="E13" s="175">
        <v>20550</v>
      </c>
      <c r="F13" s="182">
        <f t="shared" si="3"/>
        <v>3.5027029061019883</v>
      </c>
      <c r="G13" s="179">
        <f t="shared" si="1"/>
        <v>8.9812895028256108</v>
      </c>
      <c r="H13" s="175">
        <v>72714</v>
      </c>
      <c r="I13" s="175">
        <f t="shared" si="0"/>
        <v>165370.09254026512</v>
      </c>
      <c r="J13" s="183">
        <v>43.970465809768619</v>
      </c>
      <c r="K13" s="183">
        <v>39</v>
      </c>
      <c r="L13" s="175">
        <f t="shared" si="2"/>
        <v>19091.250578413095</v>
      </c>
    </row>
    <row r="14" spans="1:19" hidden="1">
      <c r="A14" s="172">
        <v>1980</v>
      </c>
      <c r="B14" s="175">
        <v>8746.0130000000008</v>
      </c>
      <c r="C14" s="175">
        <v>6692.5</v>
      </c>
      <c r="D14" s="182">
        <f>C14/'a5-1'!C14*100</f>
        <v>36.207969269889361</v>
      </c>
      <c r="E14" s="175">
        <v>20964</v>
      </c>
      <c r="F14" s="182">
        <f t="shared" si="3"/>
        <v>3.8359004325672621</v>
      </c>
      <c r="G14" s="179">
        <f t="shared" si="1"/>
        <v>8.9206986803889823</v>
      </c>
      <c r="H14" s="175">
        <v>81338</v>
      </c>
      <c r="I14" s="175">
        <f t="shared" si="0"/>
        <v>171639.34502219432</v>
      </c>
      <c r="J14" s="183">
        <v>47.38890141388174</v>
      </c>
      <c r="K14" s="183">
        <v>43</v>
      </c>
      <c r="L14" s="175">
        <f t="shared" si="2"/>
        <v>19624.867356382194</v>
      </c>
    </row>
    <row r="15" spans="1:19" hidden="1">
      <c r="B15" s="175"/>
      <c r="C15" s="175"/>
      <c r="D15" s="182"/>
      <c r="E15" s="175"/>
      <c r="F15" s="182"/>
      <c r="G15" s="179"/>
      <c r="I15" s="175"/>
      <c r="J15" s="183"/>
      <c r="K15" s="183"/>
      <c r="L15" s="175"/>
    </row>
    <row r="16" spans="1:19">
      <c r="A16" s="172">
        <v>1981</v>
      </c>
      <c r="B16" s="175">
        <f>'a1'!AP19/1000</f>
        <v>8812.2860000000001</v>
      </c>
      <c r="C16" s="175">
        <v>6786.6</v>
      </c>
      <c r="D16" s="182">
        <f>C16/'a5-1'!C15*100</f>
        <v>36.071307083935707</v>
      </c>
      <c r="E16" s="177">
        <v>7560</v>
      </c>
      <c r="F16" s="187">
        <v>4.200793650793651</v>
      </c>
      <c r="G16" s="179">
        <f t="shared" si="1"/>
        <v>8.7153395244681544</v>
      </c>
      <c r="H16" s="177">
        <v>31758</v>
      </c>
      <c r="I16" s="175">
        <f>H16/K16*100</f>
        <v>65887.966804979253</v>
      </c>
      <c r="J16" s="183">
        <f>'a8'!AM19</f>
        <v>52.1</v>
      </c>
      <c r="K16" s="6">
        <f>'a1'!AL19</f>
        <v>48.2</v>
      </c>
      <c r="L16" s="175">
        <f t="shared" si="2"/>
        <v>7476.8302804719742</v>
      </c>
    </row>
    <row r="17" spans="1:12">
      <c r="A17" s="172">
        <v>1982</v>
      </c>
      <c r="B17" s="175">
        <f>'a1'!AP20/1000</f>
        <v>8920.2880000000005</v>
      </c>
      <c r="C17" s="175">
        <v>6897.6</v>
      </c>
      <c r="D17" s="182">
        <f>C17/'a5-1'!C16*100</f>
        <v>36.106661641383212</v>
      </c>
      <c r="E17" s="175">
        <v>7582.68</v>
      </c>
      <c r="F17" s="182">
        <f>POWER(F$21/F$16,1/5)*F16</f>
        <v>4.508587675122457</v>
      </c>
      <c r="G17" s="179">
        <f t="shared" si="1"/>
        <v>8.4588886962897885</v>
      </c>
      <c r="H17" s="175">
        <v>34193.338758455451</v>
      </c>
      <c r="I17" s="175">
        <f t="shared" ref="I17:I42" si="4">H17/K17*100</f>
        <v>64152.605550573084</v>
      </c>
      <c r="J17" s="183">
        <f>'a8'!AM20</f>
        <v>56.7</v>
      </c>
      <c r="K17" s="6">
        <f>'a1'!AL20</f>
        <v>53.3</v>
      </c>
      <c r="L17" s="175">
        <f t="shared" si="2"/>
        <v>7191.7639375066237</v>
      </c>
    </row>
    <row r="18" spans="1:12">
      <c r="A18" s="172">
        <v>1983</v>
      </c>
      <c r="B18" s="175">
        <f>'a1'!AP21/1000</f>
        <v>9039.5640000000003</v>
      </c>
      <c r="C18" s="175">
        <v>7016.2</v>
      </c>
      <c r="D18" s="182">
        <f>C18/'a5-1'!C17*100</f>
        <v>36.250064582795147</v>
      </c>
      <c r="E18" s="175">
        <v>7605.4280399999989</v>
      </c>
      <c r="F18" s="182">
        <f>POWER(F$21/F$16,1/5)*F17</f>
        <v>4.8389339048885907</v>
      </c>
      <c r="G18" s="179">
        <f t="shared" si="1"/>
        <v>8.5493531888490999</v>
      </c>
      <c r="H18" s="175">
        <v>36815.429669705016</v>
      </c>
      <c r="I18" s="175">
        <f t="shared" si="4"/>
        <v>65044.928745061858</v>
      </c>
      <c r="J18" s="183">
        <f>'a8'!AM21</f>
        <v>60.5</v>
      </c>
      <c r="K18" s="6">
        <f>'a1'!AL21</f>
        <v>56.6</v>
      </c>
      <c r="L18" s="175">
        <f t="shared" si="2"/>
        <v>7195.5825242303563</v>
      </c>
    </row>
    <row r="19" spans="1:12">
      <c r="A19" s="172">
        <v>1984</v>
      </c>
      <c r="B19" s="175">
        <f>'a1'!AP22/1000</f>
        <v>9167.4840000000004</v>
      </c>
      <c r="C19" s="175">
        <v>7142.2</v>
      </c>
      <c r="D19" s="182">
        <f>C19/'a5-1'!C18*100</f>
        <v>36.443700600574545</v>
      </c>
      <c r="E19" s="175">
        <v>7628.2443241199981</v>
      </c>
      <c r="F19" s="182">
        <f>POWER(F$21/F$16,1/5)*F18</f>
        <v>5.1934847502426287</v>
      </c>
      <c r="G19" s="179">
        <f t="shared" si="1"/>
        <v>8.7432403202737863</v>
      </c>
      <c r="H19" s="175">
        <v>39638.593684561856</v>
      </c>
      <c r="I19" s="175">
        <f t="shared" si="4"/>
        <v>66731.639199599085</v>
      </c>
      <c r="J19" s="183">
        <f>'a8'!AM22</f>
        <v>62.6</v>
      </c>
      <c r="K19" s="6">
        <f>'a1'!AL22</f>
        <v>59.4</v>
      </c>
      <c r="L19" s="175">
        <f t="shared" si="2"/>
        <v>7279.1661484873148</v>
      </c>
    </row>
    <row r="20" spans="1:12">
      <c r="A20" s="172">
        <v>1985</v>
      </c>
      <c r="B20" s="175">
        <f>'a1'!AP23/1000</f>
        <v>9294.6569999999992</v>
      </c>
      <c r="C20" s="175">
        <v>7268.4</v>
      </c>
      <c r="D20" s="182">
        <f>C20/'a5-1'!C19*100</f>
        <v>36.630095702701752</v>
      </c>
      <c r="E20" s="175">
        <v>7651.1290570923575</v>
      </c>
      <c r="F20" s="182">
        <f>POWER(F$21/F$16,1/5)*F19</f>
        <v>5.5740136941638463</v>
      </c>
      <c r="G20" s="179">
        <f t="shared" si="1"/>
        <v>9.0194396345693306</v>
      </c>
      <c r="H20" s="175">
        <v>42678.249945367985</v>
      </c>
      <c r="I20" s="175">
        <f t="shared" si="4"/>
        <v>69058.656869527491</v>
      </c>
      <c r="J20" s="183">
        <f>'a8'!AM23</f>
        <v>65.8</v>
      </c>
      <c r="K20" s="6">
        <f>'a1'!AL23</f>
        <v>61.8</v>
      </c>
      <c r="L20" s="175">
        <f t="shared" si="2"/>
        <v>7429.9306439740058</v>
      </c>
    </row>
    <row r="21" spans="1:12">
      <c r="A21" s="172">
        <v>1986</v>
      </c>
      <c r="B21" s="175">
        <f>'a1'!AP24/1000</f>
        <v>9437.3590000000004</v>
      </c>
      <c r="C21" s="175">
        <v>7399.6</v>
      </c>
      <c r="D21" s="182">
        <f>C21/'a5-1'!C20*100</f>
        <v>36.826389027133558</v>
      </c>
      <c r="E21" s="177">
        <v>7681</v>
      </c>
      <c r="F21" s="187">
        <v>5.982424163520375</v>
      </c>
      <c r="G21" s="179">
        <f t="shared" si="1"/>
        <v>9.2607185193813866</v>
      </c>
      <c r="H21" s="177">
        <v>45951</v>
      </c>
      <c r="I21" s="175">
        <f t="shared" si="4"/>
        <v>71131.578947368427</v>
      </c>
      <c r="J21" s="183">
        <f>'a8'!AM24</f>
        <v>69.7</v>
      </c>
      <c r="K21" s="6">
        <f>'a1'!AL24</f>
        <v>64.599999999999994</v>
      </c>
      <c r="L21" s="175">
        <f t="shared" si="2"/>
        <v>7537.2335573298024</v>
      </c>
    </row>
    <row r="22" spans="1:12">
      <c r="A22" s="172">
        <v>1987</v>
      </c>
      <c r="B22" s="175">
        <f>'a1'!AP25/1000</f>
        <v>9637.9449999999997</v>
      </c>
      <c r="C22" s="175">
        <v>7544.8</v>
      </c>
      <c r="D22" s="182">
        <f>C22/'a5-1'!C21*100</f>
        <v>37.078646163523871</v>
      </c>
      <c r="E22" s="175">
        <v>7919.110999999999</v>
      </c>
      <c r="F22" s="182">
        <f>POWER(F$27/F$21,1/6)*F21</f>
        <v>6.5174607577546526</v>
      </c>
      <c r="G22" s="179">
        <f t="shared" si="1"/>
        <v>9.6127739789891642</v>
      </c>
      <c r="H22" s="175">
        <v>51631.991595065207</v>
      </c>
      <c r="I22" s="175">
        <f t="shared" si="4"/>
        <v>76153.3799337245</v>
      </c>
      <c r="J22" s="183">
        <f>'a8'!AM25</f>
        <v>73.5</v>
      </c>
      <c r="K22" s="6">
        <f>'a1'!AL25</f>
        <v>67.8</v>
      </c>
      <c r="L22" s="175">
        <f t="shared" si="2"/>
        <v>7901.4125867832308</v>
      </c>
    </row>
    <row r="23" spans="1:12">
      <c r="A23" s="172">
        <v>1988</v>
      </c>
      <c r="B23" s="175">
        <f>'a1'!AP26/1000</f>
        <v>9838.6200000000008</v>
      </c>
      <c r="C23" s="175">
        <v>7687.2</v>
      </c>
      <c r="D23" s="182">
        <f>C23/'a5-1'!C22*100</f>
        <v>37.294417869029019</v>
      </c>
      <c r="E23" s="175">
        <v>8164.6034409999984</v>
      </c>
      <c r="F23" s="182">
        <f>POWER(F$27/F$21,1/6)*F22</f>
        <v>7.1003482146735584</v>
      </c>
      <c r="G23" s="179">
        <f t="shared" si="1"/>
        <v>10.000490443202196</v>
      </c>
      <c r="H23" s="175">
        <v>58015.332769099346</v>
      </c>
      <c r="I23" s="175">
        <f t="shared" si="4"/>
        <v>81711.736294506118</v>
      </c>
      <c r="J23" s="183">
        <f>'a8'!AM26</f>
        <v>77.5</v>
      </c>
      <c r="K23" s="6">
        <f>'a1'!AL26</f>
        <v>71</v>
      </c>
      <c r="L23" s="175">
        <f t="shared" si="2"/>
        <v>8305.2029953902183</v>
      </c>
    </row>
    <row r="24" spans="1:12">
      <c r="A24" s="172">
        <v>1989</v>
      </c>
      <c r="B24" s="175">
        <f>'a1'!AP27/1000</f>
        <v>10103.305</v>
      </c>
      <c r="C24" s="175">
        <v>7823.8</v>
      </c>
      <c r="D24" s="182">
        <f>C24/'a5-1'!C23*100</f>
        <v>37.437136636600712</v>
      </c>
      <c r="E24" s="175">
        <v>8417.7061476709969</v>
      </c>
      <c r="F24" s="182">
        <f>POWER(F$27/F$21,1/6)*F23</f>
        <v>7.7353660640968052</v>
      </c>
      <c r="G24" s="179">
        <f t="shared" si="1"/>
        <v>10.300087968171512</v>
      </c>
      <c r="H24" s="175">
        <v>65187.856062306557</v>
      </c>
      <c r="I24" s="175">
        <f t="shared" si="4"/>
        <v>86801.406208131244</v>
      </c>
      <c r="J24" s="183">
        <f>'a8'!AM27</f>
        <v>81.5</v>
      </c>
      <c r="K24" s="6">
        <f>'a1'!AL27</f>
        <v>75.099999999999994</v>
      </c>
      <c r="L24" s="175">
        <f t="shared" si="2"/>
        <v>8591.3872943686492</v>
      </c>
    </row>
    <row r="25" spans="1:12">
      <c r="A25" s="172">
        <v>1990</v>
      </c>
      <c r="B25" s="175">
        <f>'a1'!AP28/1000</f>
        <v>10295.832</v>
      </c>
      <c r="C25" s="175">
        <v>7960</v>
      </c>
      <c r="D25" s="182">
        <f>C25/'a5-1'!C24*100</f>
        <v>37.521152785568496</v>
      </c>
      <c r="E25" s="175">
        <v>8678.6550382487967</v>
      </c>
      <c r="F25" s="182">
        <f>POWER(F$27/F$21,1/6)*F24</f>
        <v>8.4271765745127585</v>
      </c>
      <c r="G25" s="179">
        <f t="shared" si="1"/>
        <v>10.707975317042894</v>
      </c>
      <c r="H25" s="175">
        <v>73247.129253102932</v>
      </c>
      <c r="I25" s="175">
        <f t="shared" si="4"/>
        <v>93071.320524908428</v>
      </c>
      <c r="J25" s="183">
        <f>'a8'!AM28</f>
        <v>84.1</v>
      </c>
      <c r="K25" s="6">
        <f>'a1'!AL28</f>
        <v>78.7</v>
      </c>
      <c r="L25" s="175">
        <f t="shared" si="2"/>
        <v>9039.7085466146327</v>
      </c>
    </row>
    <row r="26" spans="1:12">
      <c r="A26" s="172">
        <v>1991</v>
      </c>
      <c r="B26" s="175">
        <f>'a1'!AP29/1000</f>
        <v>10431.316000000001</v>
      </c>
      <c r="C26" s="175">
        <v>8091.5</v>
      </c>
      <c r="D26" s="182">
        <f>C26/'a5-1'!C25*100</f>
        <v>37.576683555237707</v>
      </c>
      <c r="E26" s="175">
        <v>8947.6933444345086</v>
      </c>
      <c r="F26" s="182">
        <f>POWER(F$27/F$21,1/6)*F25</f>
        <v>9.180858983214609</v>
      </c>
      <c r="G26" s="179">
        <f t="shared" si="1"/>
        <v>11.14181915438666</v>
      </c>
      <c r="H26" s="175">
        <v>82302.782571845339</v>
      </c>
      <c r="I26" s="175">
        <f t="shared" si="4"/>
        <v>99882.017684278326</v>
      </c>
      <c r="J26" s="183">
        <f>'a8'!AM29</f>
        <v>87.6</v>
      </c>
      <c r="K26" s="6">
        <f>'a1'!AL29</f>
        <v>82.4</v>
      </c>
      <c r="L26" s="175">
        <f t="shared" si="2"/>
        <v>9575.2077383408123</v>
      </c>
    </row>
    <row r="27" spans="1:12">
      <c r="A27" s="172">
        <v>1992</v>
      </c>
      <c r="B27" s="175">
        <f>'a1'!AP30/1000</f>
        <v>10572.205</v>
      </c>
      <c r="C27" s="175">
        <v>8210.9</v>
      </c>
      <c r="D27" s="182">
        <f>C27/'a5-1'!C26*100</f>
        <v>37.62981090915757</v>
      </c>
      <c r="E27" s="177">
        <v>9246</v>
      </c>
      <c r="F27" s="187">
        <v>10.001946787800129</v>
      </c>
      <c r="G27" s="179">
        <f t="shared" si="1"/>
        <v>12.021570658413616</v>
      </c>
      <c r="H27" s="177">
        <v>92478</v>
      </c>
      <c r="I27" s="175">
        <f t="shared" si="4"/>
        <v>111151.44230769231</v>
      </c>
      <c r="J27" s="183">
        <f>'a8'!AM30</f>
        <v>87.9</v>
      </c>
      <c r="K27" s="6">
        <f>'a1'!AL30</f>
        <v>83.2</v>
      </c>
      <c r="L27" s="175">
        <f t="shared" si="2"/>
        <v>10513.553445822543</v>
      </c>
    </row>
    <row r="28" spans="1:12">
      <c r="A28" s="172">
        <v>1993</v>
      </c>
      <c r="B28" s="175">
        <f>'a1'!AP31/1000</f>
        <v>10690.038</v>
      </c>
      <c r="C28" s="175">
        <v>8312.1</v>
      </c>
      <c r="D28" s="182">
        <f>C28/'a5-1'!C27*100</f>
        <v>37.623399372649132</v>
      </c>
      <c r="E28" s="175">
        <f>E27*POWER(E$33/E$27, 1/6)</f>
        <v>9617.377533476887</v>
      </c>
      <c r="F28" s="182">
        <f>G28*K28/100</f>
        <v>10.279820545268404</v>
      </c>
      <c r="G28" s="179">
        <f>G27*(1+'a5-1'!$P$47/100)</f>
        <v>12.136742084142151</v>
      </c>
      <c r="H28" s="175">
        <f>E28*F28</f>
        <v>98864.915160238466</v>
      </c>
      <c r="I28" s="175">
        <f t="shared" si="4"/>
        <v>116723.63064963219</v>
      </c>
      <c r="J28" s="183">
        <f>'a8'!AM31</f>
        <v>89.2</v>
      </c>
      <c r="K28" s="6">
        <f>'a1'!AL31</f>
        <v>84.7</v>
      </c>
      <c r="L28" s="175">
        <f t="shared" si="2"/>
        <v>10918.916345258285</v>
      </c>
    </row>
    <row r="29" spans="1:12">
      <c r="A29" s="172">
        <v>1994</v>
      </c>
      <c r="B29" s="175">
        <f>'a1'!AP32/1000</f>
        <v>10819.146000000001</v>
      </c>
      <c r="C29" s="175">
        <v>8416.1</v>
      </c>
      <c r="D29" s="182">
        <f>C29/'a5-1'!C28*100</f>
        <v>37.626130536443178</v>
      </c>
      <c r="E29" s="175">
        <f>E28*POWER(E$33/E$27, 1/6)</f>
        <v>10003.67192531105</v>
      </c>
      <c r="F29" s="182">
        <f t="shared" ref="F29:F42" si="5">G29*K29/100</f>
        <v>10.378305312531609</v>
      </c>
      <c r="G29" s="179">
        <f>G28*(1+'a5-1'!$P$47/100)</f>
        <v>12.25301689791217</v>
      </c>
      <c r="H29" s="175">
        <f t="shared" ref="H29:H42" si="6">E29*F29</f>
        <v>103821.16148727897</v>
      </c>
      <c r="I29" s="175">
        <f t="shared" si="4"/>
        <v>122575.16114200586</v>
      </c>
      <c r="J29" s="183">
        <f>'a8'!AM32</f>
        <v>89.3</v>
      </c>
      <c r="K29" s="6">
        <f>'a1'!AL32</f>
        <v>84.7</v>
      </c>
      <c r="L29" s="175">
        <f t="shared" si="2"/>
        <v>11329.467329677025</v>
      </c>
    </row>
    <row r="30" spans="1:12">
      <c r="A30" s="172">
        <v>1995</v>
      </c>
      <c r="B30" s="175">
        <f>'a1'!AP33/1000</f>
        <v>10950.119000000001</v>
      </c>
      <c r="C30" s="175">
        <v>8535.6</v>
      </c>
      <c r="D30" s="182">
        <f>C30/'a5-1'!C29*100</f>
        <v>37.668137687555166</v>
      </c>
      <c r="E30" s="175">
        <f>E29*POWER(E$33/E$27, 1/6)</f>
        <v>10405.482330387189</v>
      </c>
      <c r="F30" s="182">
        <f t="shared" si="5"/>
        <v>10.737512122097925</v>
      </c>
      <c r="G30" s="179">
        <f>G29*(1+'a5-1'!$P$47/100)</f>
        <v>12.37040567061973</v>
      </c>
      <c r="H30" s="175">
        <f t="shared" si="6"/>
        <v>111728.99265880822</v>
      </c>
      <c r="I30" s="175">
        <f t="shared" si="4"/>
        <v>128720.03762535509</v>
      </c>
      <c r="J30" s="183">
        <f>'a8'!AM33</f>
        <v>91.3</v>
      </c>
      <c r="K30" s="6">
        <f>'a1'!AL33</f>
        <v>86.8</v>
      </c>
      <c r="L30" s="175">
        <f t="shared" si="2"/>
        <v>11755.126827877859</v>
      </c>
    </row>
    <row r="31" spans="1:12">
      <c r="A31" s="172">
        <v>1996</v>
      </c>
      <c r="B31" s="175">
        <f>'a1'!AP34/1000</f>
        <v>11082.903</v>
      </c>
      <c r="C31" s="175">
        <v>8661.7000000000007</v>
      </c>
      <c r="D31" s="182">
        <f>C31/'a5-1'!C30*100</f>
        <v>37.725995775169324</v>
      </c>
      <c r="E31" s="175">
        <f>E30*POWER(E$33/E$27, 1/6)</f>
        <v>10823.431969419908</v>
      </c>
      <c r="F31" s="182">
        <f t="shared" si="5"/>
        <v>11.015226623651028</v>
      </c>
      <c r="G31" s="179">
        <f>G30*(1+'a5-1'!$P$47/100)</f>
        <v>12.488919074434273</v>
      </c>
      <c r="H31" s="175">
        <f t="shared" si="6"/>
        <v>119222.55598882984</v>
      </c>
      <c r="I31" s="175">
        <f t="shared" si="4"/>
        <v>135172.96597372997</v>
      </c>
      <c r="J31" s="183">
        <f>'a8'!AM34</f>
        <v>92.7</v>
      </c>
      <c r="K31" s="6">
        <f>'a1'!AL34</f>
        <v>88.2</v>
      </c>
      <c r="L31" s="175">
        <f t="shared" si="2"/>
        <v>12196.530635856865</v>
      </c>
    </row>
    <row r="32" spans="1:12">
      <c r="A32" s="172">
        <v>1997</v>
      </c>
      <c r="B32" s="175">
        <f>'a1'!AP35/1000</f>
        <v>11227.651</v>
      </c>
      <c r="C32" s="175">
        <v>8784.2999999999993</v>
      </c>
      <c r="D32" s="182">
        <f>C32/'a5-1'!C31*100</f>
        <v>37.787298842416341</v>
      </c>
      <c r="E32" s="175">
        <f>E31*POWER(E$33/E$27, 1/6)</f>
        <v>11258.16909558885</v>
      </c>
      <c r="F32" s="182">
        <f t="shared" si="5"/>
        <v>11.322493959624444</v>
      </c>
      <c r="G32" s="179">
        <f>G31*(1+'a5-1'!$P$47/100)</f>
        <v>12.608567883768869</v>
      </c>
      <c r="H32" s="175">
        <f t="shared" si="6"/>
        <v>127470.55158123534</v>
      </c>
      <c r="I32" s="175">
        <f t="shared" si="4"/>
        <v>141949.38928868077</v>
      </c>
      <c r="J32" s="183">
        <f>'a8'!AM35</f>
        <v>94.3</v>
      </c>
      <c r="K32" s="6">
        <f>'a1'!AL35</f>
        <v>89.8</v>
      </c>
      <c r="L32" s="175">
        <f t="shared" si="2"/>
        <v>12642.839476278768</v>
      </c>
    </row>
    <row r="33" spans="1:19">
      <c r="A33" s="172">
        <v>1998</v>
      </c>
      <c r="B33" s="175">
        <f>'a1'!AP36/1000</f>
        <v>11365.901</v>
      </c>
      <c r="C33" s="175">
        <v>8912</v>
      </c>
      <c r="D33" s="182">
        <f>C33/'a5-1'!C32*100</f>
        <v>37.898085109097323</v>
      </c>
      <c r="E33" s="177">
        <f>C33*S33*365/1000</f>
        <v>11710.368</v>
      </c>
      <c r="F33" s="182">
        <f t="shared" si="5"/>
        <v>11.53280285649133</v>
      </c>
      <c r="G33" s="179">
        <f>G32*(1+'a5-1'!$P$47/100)</f>
        <v>12.729362976259747</v>
      </c>
      <c r="H33" s="175">
        <f t="shared" si="6"/>
        <v>135053.36552096467</v>
      </c>
      <c r="I33" s="175">
        <f t="shared" si="4"/>
        <v>149065.52485757691</v>
      </c>
      <c r="J33" s="183">
        <f>'a8'!AM36</f>
        <v>94.6</v>
      </c>
      <c r="K33" s="6">
        <f>'a1'!AL36</f>
        <v>90.6</v>
      </c>
      <c r="L33" s="175">
        <f t="shared" si="2"/>
        <v>13115.152494956354</v>
      </c>
      <c r="S33" s="172">
        <v>3.6</v>
      </c>
    </row>
    <row r="34" spans="1:19">
      <c r="A34" s="172">
        <v>1999</v>
      </c>
      <c r="B34" s="175">
        <f>'a1'!AP37/1000</f>
        <v>11504.759</v>
      </c>
      <c r="C34" s="175">
        <v>9042.2999999999993</v>
      </c>
      <c r="D34" s="182">
        <f>C34/'a5-1'!C33*100</f>
        <v>38.022572262356292</v>
      </c>
      <c r="E34" s="175">
        <f t="shared" ref="E34:E42" si="7">C34*S34*365/1000</f>
        <v>11734.805914902465</v>
      </c>
      <c r="F34" s="182">
        <f t="shared" si="5"/>
        <v>11.874615368389819</v>
      </c>
      <c r="G34" s="179">
        <f>G33*(1+'a5-1'!$P$47/100)</f>
        <v>12.851315333755213</v>
      </c>
      <c r="H34" s="175">
        <f t="shared" si="6"/>
        <v>139346.30666217254</v>
      </c>
      <c r="I34" s="175">
        <f t="shared" si="4"/>
        <v>150807.69119282742</v>
      </c>
      <c r="J34" s="183">
        <f>'a8'!AM37</f>
        <v>95.2</v>
      </c>
      <c r="K34" s="6">
        <f>'a1'!AL37</f>
        <v>92.4</v>
      </c>
      <c r="L34" s="175">
        <f t="shared" si="2"/>
        <v>13108.287726220726</v>
      </c>
      <c r="S34" s="191">
        <f t="shared" ref="S34:S39" si="8">S33*POWER(S$40/S$33, 1/7)</f>
        <v>3.5555282606763332</v>
      </c>
    </row>
    <row r="35" spans="1:19">
      <c r="A35" s="172">
        <v>2000</v>
      </c>
      <c r="B35" s="175">
        <f>'a1'!AP38/1000</f>
        <v>11683.29</v>
      </c>
      <c r="C35" s="175">
        <v>9207.7999999999993</v>
      </c>
      <c r="D35" s="182">
        <f>C35/'a5-1'!C34*100</f>
        <v>38.222974964403875</v>
      </c>
      <c r="E35" s="175">
        <f t="shared" si="7"/>
        <v>11801.970128494357</v>
      </c>
      <c r="F35" s="182">
        <f t="shared" si="5"/>
        <v>12.33868867719166</v>
      </c>
      <c r="G35" s="179">
        <f>G34*(1+'a5-1'!$P$47/100)</f>
        <v>12.97443604331405</v>
      </c>
      <c r="H35" s="175">
        <f t="shared" si="6"/>
        <v>145620.83519300752</v>
      </c>
      <c r="I35" s="175">
        <f t="shared" si="4"/>
        <v>153123.90661725291</v>
      </c>
      <c r="J35" s="183">
        <f>'a8'!AM38</f>
        <v>96.8</v>
      </c>
      <c r="K35" s="6">
        <f>'a1'!AL38</f>
        <v>95.1</v>
      </c>
      <c r="L35" s="175">
        <f t="shared" si="2"/>
        <v>13106.231773520378</v>
      </c>
      <c r="S35" s="191">
        <f t="shared" si="8"/>
        <v>3.5116058923522422</v>
      </c>
    </row>
    <row r="36" spans="1:19">
      <c r="A36" s="172">
        <v>2001</v>
      </c>
      <c r="B36" s="175">
        <f>'a1'!AP39/1000</f>
        <v>11896.663</v>
      </c>
      <c r="C36" s="175">
        <v>9399.9</v>
      </c>
      <c r="D36" s="182">
        <f>C36/'a5-1'!C35*100</f>
        <v>38.462703056589874</v>
      </c>
      <c r="E36" s="175">
        <f t="shared" si="7"/>
        <v>11899.357188025722</v>
      </c>
      <c r="F36" s="182">
        <f t="shared" si="5"/>
        <v>12.8367615722492</v>
      </c>
      <c r="G36" s="179">
        <f>G35*(1+'a5-1'!$P$47/100)</f>
        <v>13.098736298213469</v>
      </c>
      <c r="H36" s="175">
        <f t="shared" si="6"/>
        <v>152749.21108571588</v>
      </c>
      <c r="I36" s="175">
        <f t="shared" si="4"/>
        <v>155866.54192419988</v>
      </c>
      <c r="J36" s="183">
        <f>'a8'!AM39</f>
        <v>97.9</v>
      </c>
      <c r="K36" s="6">
        <f>'a1'!AL39</f>
        <v>98</v>
      </c>
      <c r="L36" s="175">
        <f t="shared" si="2"/>
        <v>13101.702714803292</v>
      </c>
      <c r="S36" s="191">
        <f t="shared" si="8"/>
        <v>3.4682261085044255</v>
      </c>
    </row>
    <row r="37" spans="1:19">
      <c r="A37" s="172">
        <v>2002</v>
      </c>
      <c r="B37" s="175">
        <f>'a1'!AP40/1000</f>
        <v>12091.029</v>
      </c>
      <c r="C37" s="175">
        <v>9587.2999999999993</v>
      </c>
      <c r="D37" s="182">
        <f>C37/'a5-1'!C36*100</f>
        <v>38.680459454770649</v>
      </c>
      <c r="E37" s="175">
        <f t="shared" si="7"/>
        <v>11986.660892166265</v>
      </c>
      <c r="F37" s="182">
        <f t="shared" si="5"/>
        <v>13.224227398966725</v>
      </c>
      <c r="G37" s="179">
        <f>G36*(1+'a5-1'!$P$47/100)</f>
        <v>13.224227398966725</v>
      </c>
      <c r="H37" s="175">
        <f t="shared" si="6"/>
        <v>158514.32939230805</v>
      </c>
      <c r="I37" s="175">
        <f t="shared" si="4"/>
        <v>158514.32939230805</v>
      </c>
      <c r="J37" s="183">
        <f>'a8'!AM40</f>
        <v>100</v>
      </c>
      <c r="K37" s="6">
        <f>'a1'!AL40</f>
        <v>100</v>
      </c>
      <c r="L37" s="175">
        <f t="shared" si="2"/>
        <v>13110.077677616027</v>
      </c>
      <c r="S37" s="191">
        <f t="shared" si="8"/>
        <v>3.4253822064452746</v>
      </c>
    </row>
    <row r="38" spans="1:19">
      <c r="A38" s="172">
        <v>2003</v>
      </c>
      <c r="B38" s="175">
        <f>'a1'!AP41/1000</f>
        <v>12242.272999999999</v>
      </c>
      <c r="C38" s="175">
        <v>9745.7000000000007</v>
      </c>
      <c r="D38" s="182">
        <f>C38/'a5-1'!C37*100</f>
        <v>38.829810546447</v>
      </c>
      <c r="E38" s="175">
        <f t="shared" si="7"/>
        <v>12034.181976979391</v>
      </c>
      <c r="F38" s="182">
        <f t="shared" si="5"/>
        <v>13.711395614717949</v>
      </c>
      <c r="G38" s="179">
        <f>G37*(1+'a5-1'!$P$47/100)</f>
        <v>13.350920754350485</v>
      </c>
      <c r="H38" s="175">
        <f t="shared" si="6"/>
        <v>165005.42998587299</v>
      </c>
      <c r="I38" s="175">
        <f t="shared" si="4"/>
        <v>160667.40991808468</v>
      </c>
      <c r="J38" s="183">
        <f>'a8'!AM41</f>
        <v>101.8</v>
      </c>
      <c r="K38" s="6">
        <f>'a1'!AL41</f>
        <v>102.7</v>
      </c>
      <c r="L38" s="175">
        <f t="shared" si="2"/>
        <v>13123.985220561957</v>
      </c>
      <c r="S38" s="191">
        <f t="shared" si="8"/>
        <v>3.38306756628723</v>
      </c>
    </row>
    <row r="39" spans="1:19">
      <c r="A39" s="172">
        <v>2004</v>
      </c>
      <c r="B39" s="175">
        <f>'a1'!AP42/1000</f>
        <v>12390.599</v>
      </c>
      <c r="C39" s="175">
        <v>9903.5</v>
      </c>
      <c r="D39" s="182">
        <f>C39/'a5-1'!C38*100</f>
        <v>38.942629074751288</v>
      </c>
      <c r="E39" s="175">
        <f t="shared" si="7"/>
        <v>12077.968040628442</v>
      </c>
      <c r="F39" s="182">
        <f t="shared" si="5"/>
        <v>14.098853965034362</v>
      </c>
      <c r="G39" s="179">
        <f>G38*(1+'a5-1'!$P$47/100)</f>
        <v>13.478827882442028</v>
      </c>
      <c r="H39" s="175">
        <f t="shared" si="6"/>
        <v>170285.50759917262</v>
      </c>
      <c r="I39" s="175">
        <f t="shared" si="4"/>
        <v>162796.85238926639</v>
      </c>
      <c r="J39" s="183">
        <f>'a8'!AM42</f>
        <v>103.9</v>
      </c>
      <c r="K39" s="6">
        <f>'a1'!AL42</f>
        <v>104.6</v>
      </c>
      <c r="L39" s="175">
        <f t="shared" si="2"/>
        <v>13138.739490259219</v>
      </c>
      <c r="S39" s="191">
        <f t="shared" si="8"/>
        <v>3.3412756499199308</v>
      </c>
    </row>
    <row r="40" spans="1:19">
      <c r="A40" s="172">
        <v>2005</v>
      </c>
      <c r="B40" s="175">
        <f>'a1'!AP43/1000</f>
        <v>12528.48</v>
      </c>
      <c r="C40" s="175">
        <v>10057.6</v>
      </c>
      <c r="D40" s="182">
        <f>C40/'a5-1'!C39*100</f>
        <v>39.013491183019269</v>
      </c>
      <c r="E40" s="177">
        <f t="shared" si="7"/>
        <v>12114.379200000001</v>
      </c>
      <c r="F40" s="182">
        <f t="shared" si="5"/>
        <v>14.546909680071378</v>
      </c>
      <c r="G40" s="179">
        <f>G39*(1+'a5-1'!$P$47/100)</f>
        <v>13.607960411666395</v>
      </c>
      <c r="H40" s="175">
        <f t="shared" si="6"/>
        <v>176226.78005253538</v>
      </c>
      <c r="I40" s="175">
        <f t="shared" si="4"/>
        <v>164851.99256551484</v>
      </c>
      <c r="J40" s="183">
        <f>'a8'!AM43</f>
        <v>105.3</v>
      </c>
      <c r="K40" s="6">
        <f>'a1'!AL43</f>
        <v>106.9</v>
      </c>
      <c r="L40" s="175">
        <f t="shared" si="2"/>
        <v>13158.179808365807</v>
      </c>
      <c r="S40" s="172">
        <v>3.3</v>
      </c>
    </row>
    <row r="41" spans="1:19">
      <c r="A41" s="172">
        <v>2006</v>
      </c>
      <c r="B41" s="175">
        <f>'a1'!AP44/1000</f>
        <v>12665.346</v>
      </c>
      <c r="C41" s="175">
        <v>10206.799999999999</v>
      </c>
      <c r="D41" s="182">
        <f>C41/'a5-1'!C40*100</f>
        <v>39.037860620594429</v>
      </c>
      <c r="E41" s="175">
        <f t="shared" si="7"/>
        <v>12142.218491004236</v>
      </c>
      <c r="F41" s="182">
        <f t="shared" si="5"/>
        <v>14.947303129056674</v>
      </c>
      <c r="G41" s="179">
        <f>G40*(1+'a5-1'!$P$47/100)</f>
        <v>13.738330081853562</v>
      </c>
      <c r="H41" s="175">
        <f t="shared" si="6"/>
        <v>181493.42044427744</v>
      </c>
      <c r="I41" s="175">
        <f t="shared" si="4"/>
        <v>166813.80555540207</v>
      </c>
      <c r="J41" s="183">
        <f>'a8'!AM44</f>
        <v>107.2</v>
      </c>
      <c r="K41" s="6">
        <f>'a1'!AL44</f>
        <v>108.8</v>
      </c>
      <c r="L41" s="175">
        <f t="shared" si="2"/>
        <v>13170.884202879422</v>
      </c>
      <c r="S41" s="191">
        <f>S40*POWER(S$40/S$33,1/7)</f>
        <v>3.2592342389533053</v>
      </c>
    </row>
    <row r="42" spans="1:19">
      <c r="A42" s="172">
        <v>2007</v>
      </c>
      <c r="B42" s="175">
        <f>'a1'!AP45/1000</f>
        <v>12792.937</v>
      </c>
      <c r="C42" s="175">
        <v>10353</v>
      </c>
      <c r="D42" s="182">
        <f>C42/'a5-1'!C41*100</f>
        <v>39.038608742868561</v>
      </c>
      <c r="E42" s="175">
        <f t="shared" si="7"/>
        <v>12163.996504261992</v>
      </c>
      <c r="F42" s="182">
        <f t="shared" si="5"/>
        <v>15.36790320979876</v>
      </c>
      <c r="G42" s="179">
        <f>G41*(1+'a5-1'!$P$47/100)</f>
        <v>13.86994874530574</v>
      </c>
      <c r="H42" s="175">
        <f t="shared" si="6"/>
        <v>186935.12092182875</v>
      </c>
      <c r="I42" s="175">
        <f t="shared" si="4"/>
        <v>168714.00805219202</v>
      </c>
      <c r="J42" s="183">
        <f>'a8'!AM45</f>
        <v>109.5</v>
      </c>
      <c r="K42" s="6">
        <f>'a1'!AL45</f>
        <v>110.8</v>
      </c>
      <c r="L42" s="175">
        <f t="shared" si="2"/>
        <v>13188.059008825887</v>
      </c>
      <c r="S42" s="191">
        <f>S41*POWER(S$40/S$33,1/7)</f>
        <v>3.2189720679895553</v>
      </c>
    </row>
    <row r="43" spans="1:19">
      <c r="A43" s="172">
        <v>2009</v>
      </c>
      <c r="B43" s="175">
        <f>'a1'!AP46/1000</f>
        <v>12932.297</v>
      </c>
      <c r="C43" s="309">
        <v>10502.3</v>
      </c>
      <c r="D43" s="182">
        <f>C43/'a5-1'!C42*100</f>
        <v>39.031270208195515</v>
      </c>
      <c r="E43" s="175">
        <f t="shared" ref="E43" si="9">C43*S43*365/1000</f>
        <v>12186.980791939524</v>
      </c>
      <c r="F43" s="182">
        <f t="shared" ref="F43" si="10">G43*K43/100</f>
        <v>15.865204540802273</v>
      </c>
      <c r="G43" s="179">
        <f>G42*(1+'a5-1'!$P$47/100)</f>
        <v>14.002828367874908</v>
      </c>
      <c r="H43" s="175">
        <f t="shared" ref="H43" si="11">E43*F43</f>
        <v>193348.94299894903</v>
      </c>
      <c r="I43" s="175">
        <f t="shared" ref="I43" si="12">H43/K43*100</f>
        <v>170652.20035211742</v>
      </c>
      <c r="J43" s="183">
        <f>'a8'!AM46</f>
        <v>110.6</v>
      </c>
      <c r="K43" s="6">
        <f>'a1'!AL46</f>
        <v>113.3</v>
      </c>
      <c r="L43" s="175">
        <f t="shared" si="2"/>
        <v>13195.815124885967</v>
      </c>
      <c r="S43" s="191">
        <f>S42*POWER(S$40/S$33,1/7)</f>
        <v>3.1792072661290565</v>
      </c>
    </row>
    <row r="44" spans="1:19">
      <c r="A44" s="172">
        <v>2009</v>
      </c>
      <c r="B44" s="175">
        <f>'a1'!AP47/1000</f>
        <v>13064.9</v>
      </c>
      <c r="C44" s="304">
        <v>10646</v>
      </c>
      <c r="D44" s="182">
        <f>C44/'a5-1'!C43*100</f>
        <v>38.998908352931693</v>
      </c>
      <c r="E44" s="175">
        <f t="shared" ref="E44" si="13">C44*S44*365/1000</f>
        <v>12201.122930317733</v>
      </c>
      <c r="F44" s="182">
        <f t="shared" ref="F44" si="14">G44*K44/100</f>
        <v>16.073747431167604</v>
      </c>
      <c r="G44" s="179">
        <f>G43*(1+'a5-1'!$P$47/100)</f>
        <v>14.136981030050665</v>
      </c>
      <c r="H44" s="175">
        <f t="shared" ref="H44" si="15">E44*F44</f>
        <v>196117.76835855481</v>
      </c>
      <c r="I44" s="175">
        <f t="shared" ref="I44" si="16">H44/K44*100</f>
        <v>172487.04341121795</v>
      </c>
      <c r="J44" s="183">
        <f>'a8'!AM47</f>
        <v>113.5</v>
      </c>
      <c r="K44" s="6">
        <f>'a1'!AL47</f>
        <v>113.7</v>
      </c>
      <c r="L44" s="175">
        <f t="shared" ref="L44:L45" si="17">I44/B44*1000</f>
        <v>13202.324044670679</v>
      </c>
      <c r="S44" s="191">
        <f>S43*POWER(S$40/S$33,1/7)</f>
        <v>3.1399336892415013</v>
      </c>
    </row>
    <row r="45" spans="1:19">
      <c r="A45" s="172">
        <v>2010</v>
      </c>
      <c r="B45" s="175">
        <f>'a1'!AP48/1000</f>
        <v>13210.666999999999</v>
      </c>
      <c r="C45" s="304">
        <v>10790.6</v>
      </c>
      <c r="D45" s="182">
        <f>C45/'a5-1'!C44*100</f>
        <v>39.013684762369614</v>
      </c>
      <c r="E45" s="175">
        <f t="shared" ref="E45" si="18">C45*S45*365/1000</f>
        <v>12214.074621360634</v>
      </c>
      <c r="F45" s="182">
        <f t="shared" ref="F45" si="19">G45*K45/100</f>
        <v>16.627368051188153</v>
      </c>
      <c r="G45" s="179">
        <f>G44*(1+'a5-1'!$P$47/100)</f>
        <v>14.272418928058499</v>
      </c>
      <c r="H45" s="175">
        <f t="shared" ref="H45" si="20">E45*F45</f>
        <v>203087.91413403986</v>
      </c>
      <c r="I45" s="175">
        <f t="shared" ref="I45" si="21">H45/K45*100</f>
        <v>174324.38981462648</v>
      </c>
      <c r="J45" s="183">
        <f>'a8'!AM48</f>
        <v>115.52392191745675</v>
      </c>
      <c r="K45" s="6">
        <f>'a1'!AL48</f>
        <v>116.5</v>
      </c>
      <c r="L45" s="175">
        <f t="shared" si="17"/>
        <v>13195.729618695746</v>
      </c>
      <c r="S45" s="191">
        <f>S44*POWER(S$40/S$33,1/7)</f>
        <v>3.101145269096627</v>
      </c>
    </row>
    <row r="46" spans="1:19">
      <c r="A46" s="172" t="s">
        <v>435</v>
      </c>
    </row>
    <row r="47" spans="1:19">
      <c r="A47" s="172" t="s">
        <v>438</v>
      </c>
      <c r="B47" s="179">
        <f>(POWER(B40/B27, 1/13)-1)*100</f>
        <v>1.3145347626920545</v>
      </c>
      <c r="C47" s="179">
        <f t="shared" ref="C47:L47" si="22">(POWER(C40/C27, 1/13)-1)*100</f>
        <v>1.5727474136977504</v>
      </c>
      <c r="D47" s="179">
        <f t="shared" si="22"/>
        <v>0.2781625753156769</v>
      </c>
      <c r="E47" s="179">
        <f t="shared" si="22"/>
        <v>2.1002283567619129</v>
      </c>
      <c r="F47" s="179">
        <f t="shared" si="22"/>
        <v>2.9234471381212934</v>
      </c>
      <c r="G47" s="179">
        <f t="shared" si="22"/>
        <v>0.95803975205128733</v>
      </c>
      <c r="H47" s="179">
        <f t="shared" si="22"/>
        <v>5.0850745606729753</v>
      </c>
      <c r="I47" s="179">
        <f t="shared" si="22"/>
        <v>3.0783891313548306</v>
      </c>
      <c r="J47" s="179">
        <f t="shared" si="22"/>
        <v>1.3990316131890612</v>
      </c>
      <c r="K47" s="179">
        <f t="shared" si="22"/>
        <v>1.946756683169526</v>
      </c>
      <c r="L47" s="179">
        <f t="shared" si="22"/>
        <v>1.7409687295058429</v>
      </c>
    </row>
    <row r="48" spans="1:19" ht="16.5" customHeight="1">
      <c r="A48" s="272" t="s">
        <v>1051</v>
      </c>
      <c r="B48" s="273">
        <f t="shared" ref="B48:L48" si="23">(POWER(B45/B27, 1/18)-1)*100</f>
        <v>1.2454487007041326</v>
      </c>
      <c r="C48" s="273">
        <f t="shared" si="23"/>
        <v>1.5294269722136544</v>
      </c>
      <c r="D48" s="273">
        <f t="shared" si="23"/>
        <v>0.20084529302610843</v>
      </c>
      <c r="E48" s="273">
        <f t="shared" si="23"/>
        <v>1.558677716813639</v>
      </c>
      <c r="F48" s="273">
        <f t="shared" si="23"/>
        <v>2.8639686684231114</v>
      </c>
      <c r="G48" s="273">
        <f t="shared" si="23"/>
        <v>0.95803975205128733</v>
      </c>
      <c r="H48" s="273">
        <f t="shared" si="23"/>
        <v>4.4672864266879664</v>
      </c>
      <c r="I48" s="273">
        <f t="shared" si="23"/>
        <v>2.5316502209983494</v>
      </c>
      <c r="J48" s="273">
        <f t="shared" si="23"/>
        <v>1.529793466433671</v>
      </c>
      <c r="K48" s="273">
        <f t="shared" si="23"/>
        <v>1.887842633486847</v>
      </c>
      <c r="L48" s="273">
        <f t="shared" si="23"/>
        <v>1.2703795941449325</v>
      </c>
    </row>
    <row r="49" spans="1:12" ht="16.5" customHeight="1">
      <c r="A49" s="642" t="s">
        <v>933</v>
      </c>
      <c r="B49" s="642"/>
      <c r="C49" s="642"/>
      <c r="D49" s="642"/>
      <c r="E49" s="642"/>
      <c r="F49" s="642"/>
      <c r="G49" s="642"/>
      <c r="H49" s="642"/>
      <c r="I49" s="642"/>
      <c r="J49" s="642"/>
      <c r="K49" s="642"/>
      <c r="L49" s="642"/>
    </row>
    <row r="50" spans="1:12" ht="12.75" customHeight="1">
      <c r="A50" s="643" t="s">
        <v>913</v>
      </c>
      <c r="B50" s="642"/>
      <c r="C50" s="642"/>
      <c r="D50" s="642"/>
      <c r="E50" s="642"/>
      <c r="F50" s="642"/>
      <c r="G50" s="642"/>
      <c r="H50" s="642"/>
      <c r="I50" s="642"/>
      <c r="J50" s="642"/>
      <c r="K50" s="642"/>
      <c r="L50" s="642"/>
    </row>
    <row r="51" spans="1:12">
      <c r="A51" s="185" t="s">
        <v>912</v>
      </c>
      <c r="B51" s="203"/>
      <c r="C51" s="203"/>
      <c r="D51" s="203"/>
      <c r="E51" s="203"/>
      <c r="F51" s="203"/>
      <c r="G51" s="203"/>
      <c r="H51" s="203"/>
      <c r="I51" s="203"/>
      <c r="J51" s="203"/>
      <c r="K51" s="203"/>
    </row>
    <row r="52" spans="1:12">
      <c r="A52" s="172" t="s">
        <v>1053</v>
      </c>
    </row>
    <row r="53" spans="1:12">
      <c r="A53" s="189" t="s">
        <v>1054</v>
      </c>
    </row>
    <row r="54" spans="1:12">
      <c r="A54" s="189" t="s">
        <v>944</v>
      </c>
    </row>
    <row r="55" spans="1:12">
      <c r="A55" s="185" t="s">
        <v>1050</v>
      </c>
    </row>
    <row r="56" spans="1:12">
      <c r="A56" s="1" t="s">
        <v>1052</v>
      </c>
    </row>
  </sheetData>
  <mergeCells count="2">
    <mergeCell ref="A49:L49"/>
    <mergeCell ref="A50:L50"/>
  </mergeCells>
  <pageMargins left="0.74803149606299213" right="0.74803149606299213" top="0.98425196850393704" bottom="0.98425196850393704" header="0.51181102362204722" footer="0.51181102362204722"/>
  <pageSetup scale="75" orientation="landscape" r:id="rId1"/>
  <headerFooter alignWithMargins="0"/>
</worksheet>
</file>

<file path=xl/worksheets/sheet25.xml><?xml version="1.0" encoding="utf-8"?>
<worksheet xmlns="http://schemas.openxmlformats.org/spreadsheetml/2006/main" xmlns:r="http://schemas.openxmlformats.org/officeDocument/2006/relationships">
  <dimension ref="A1:S56"/>
  <sheetViews>
    <sheetView view="pageBreakPreview" topLeftCell="E1" zoomScaleSheetLayoutView="100" workbookViewId="0">
      <selection activeCell="E9" sqref="E9"/>
    </sheetView>
  </sheetViews>
  <sheetFormatPr defaultRowHeight="12.75"/>
  <cols>
    <col min="1" max="1" width="9.375" style="172" customWidth="1"/>
    <col min="2" max="12" width="12" style="172" customWidth="1"/>
    <col min="13" max="20" width="9" style="172"/>
    <col min="21" max="21" width="0" style="172" hidden="1" customWidth="1"/>
    <col min="22" max="16384" width="9" style="172"/>
  </cols>
  <sheetData>
    <row r="1" spans="1:19" ht="31.5" customHeight="1">
      <c r="A1" s="172" t="s">
        <v>898</v>
      </c>
      <c r="S1" s="203" t="s">
        <v>914</v>
      </c>
    </row>
    <row r="2" spans="1:19" ht="25.5">
      <c r="B2" s="203" t="s">
        <v>868</v>
      </c>
      <c r="C2" s="203" t="s">
        <v>869</v>
      </c>
      <c r="D2" s="203" t="s">
        <v>890</v>
      </c>
      <c r="E2" s="203" t="s">
        <v>870</v>
      </c>
      <c r="F2" s="203" t="s">
        <v>871</v>
      </c>
      <c r="G2" s="203" t="s">
        <v>872</v>
      </c>
      <c r="H2" s="203" t="s">
        <v>873</v>
      </c>
      <c r="I2" s="203" t="s">
        <v>873</v>
      </c>
      <c r="J2" s="203" t="s">
        <v>473</v>
      </c>
      <c r="K2" s="203" t="s">
        <v>874</v>
      </c>
      <c r="L2" s="203" t="s">
        <v>875</v>
      </c>
      <c r="S2" s="172" t="s">
        <v>915</v>
      </c>
    </row>
    <row r="3" spans="1:19" ht="37.5" customHeight="1">
      <c r="B3" s="203" t="s">
        <v>876</v>
      </c>
      <c r="C3" s="203" t="s">
        <v>876</v>
      </c>
      <c r="D3" s="203" t="s">
        <v>891</v>
      </c>
      <c r="E3" s="203" t="s">
        <v>877</v>
      </c>
      <c r="F3" s="203" t="s">
        <v>878</v>
      </c>
      <c r="G3" s="203" t="s">
        <v>879</v>
      </c>
      <c r="H3" s="203" t="s">
        <v>880</v>
      </c>
      <c r="I3" s="203" t="s">
        <v>881</v>
      </c>
      <c r="J3" s="203" t="s">
        <v>882</v>
      </c>
      <c r="K3" s="203" t="s">
        <v>882</v>
      </c>
      <c r="L3" s="203" t="s">
        <v>883</v>
      </c>
    </row>
    <row r="4" spans="1:19" ht="37.5" customHeight="1">
      <c r="A4" s="272"/>
      <c r="B4" s="274" t="s">
        <v>105</v>
      </c>
      <c r="C4" s="274" t="s">
        <v>106</v>
      </c>
      <c r="D4" s="274" t="s">
        <v>107</v>
      </c>
      <c r="E4" s="274" t="s">
        <v>108</v>
      </c>
      <c r="F4" s="274" t="s">
        <v>109</v>
      </c>
      <c r="G4" s="274" t="s">
        <v>110</v>
      </c>
      <c r="H4" s="275" t="s">
        <v>892</v>
      </c>
      <c r="I4" s="275" t="s">
        <v>936</v>
      </c>
      <c r="J4" s="276" t="s">
        <v>138</v>
      </c>
      <c r="K4" s="276" t="s">
        <v>138</v>
      </c>
      <c r="L4" s="276" t="s">
        <v>935</v>
      </c>
    </row>
    <row r="5" spans="1:19" hidden="1">
      <c r="A5" s="172">
        <v>1971</v>
      </c>
      <c r="B5" s="175">
        <v>998.87599999999998</v>
      </c>
      <c r="C5" s="176">
        <f>C6*B5/B6</f>
        <v>713.99596610833169</v>
      </c>
      <c r="D5" s="182">
        <f>C5/'a5-1'!C5*100</f>
        <v>4.4692476375561041</v>
      </c>
      <c r="E5" s="177">
        <v>17519</v>
      </c>
      <c r="F5" s="187">
        <f>H5/E5</f>
        <v>1.6931331697014669</v>
      </c>
      <c r="G5" s="179">
        <f>F5/K5*100</f>
        <v>8.1011156445046257</v>
      </c>
      <c r="H5" s="177">
        <v>29662</v>
      </c>
      <c r="I5" s="175">
        <f t="shared" ref="I5:I14" si="0">H5/J5*100</f>
        <v>122619.65047901528</v>
      </c>
      <c r="J5" s="183">
        <v>24.190250000000006</v>
      </c>
      <c r="K5" s="183">
        <v>20.9</v>
      </c>
      <c r="L5" s="172">
        <f>I5/B5*1000</f>
        <v>122757.63005519733</v>
      </c>
    </row>
    <row r="6" spans="1:19" hidden="1">
      <c r="A6" s="172">
        <v>1972</v>
      </c>
      <c r="B6" s="175">
        <v>1001.652</v>
      </c>
      <c r="C6" s="176">
        <f>C7*B6/B7</f>
        <v>715.98024924449351</v>
      </c>
      <c r="D6" s="182">
        <f>C6/'a5-1'!C6*100</f>
        <v>4.4299437398082775</v>
      </c>
      <c r="E6" s="175">
        <v>17872</v>
      </c>
      <c r="F6" s="182">
        <f>POWER(F$16/F$5,1/10)*F5</f>
        <v>1.8320192298583613</v>
      </c>
      <c r="G6" s="179">
        <f t="shared" ref="G6:G27" si="1">F6/K6*100</f>
        <v>8.3653846112253945</v>
      </c>
      <c r="H6" s="175">
        <v>33180</v>
      </c>
      <c r="I6" s="175">
        <f t="shared" si="0"/>
        <v>130685.57235525327</v>
      </c>
      <c r="J6" s="183">
        <v>25.389183673469397</v>
      </c>
      <c r="K6" s="183">
        <v>21.9</v>
      </c>
      <c r="L6" s="172">
        <f t="shared" ref="L6:L43" si="2">I6/B6*1000</f>
        <v>130470.03585601914</v>
      </c>
    </row>
    <row r="7" spans="1:19" hidden="1">
      <c r="A7" s="172">
        <v>1973</v>
      </c>
      <c r="B7" s="175">
        <v>1007.3579999999999</v>
      </c>
      <c r="C7" s="176">
        <f>C8*B7/B8</f>
        <v>720.05889462451466</v>
      </c>
      <c r="D7" s="182">
        <f>C7/'a5-1'!C7*100</f>
        <v>4.4010411738164192</v>
      </c>
      <c r="E7" s="175">
        <v>18232</v>
      </c>
      <c r="F7" s="182">
        <f t="shared" ref="F7:F14" si="3">POWER(F$16/F$5,1/10)*F6</f>
        <v>1.9822979778741237</v>
      </c>
      <c r="G7" s="179">
        <f t="shared" si="1"/>
        <v>8.399567702856455</v>
      </c>
      <c r="H7" s="175">
        <v>37115</v>
      </c>
      <c r="I7" s="175">
        <f t="shared" si="0"/>
        <v>135985.39377784947</v>
      </c>
      <c r="J7" s="183">
        <v>27.293372448979607</v>
      </c>
      <c r="K7" s="183">
        <v>23.6</v>
      </c>
      <c r="L7" s="172">
        <f t="shared" si="2"/>
        <v>134992.1217460421</v>
      </c>
    </row>
    <row r="8" spans="1:19" hidden="1">
      <c r="A8" s="172">
        <v>1974</v>
      </c>
      <c r="B8" s="175">
        <v>1018.206</v>
      </c>
      <c r="C8" s="176">
        <f>C9*B8/B9</f>
        <v>727.8130385225993</v>
      </c>
      <c r="D8" s="182">
        <f>C8/'a5-1'!C8*100</f>
        <v>4.3867652917371096</v>
      </c>
      <c r="E8" s="175">
        <v>18599</v>
      </c>
      <c r="F8" s="182">
        <f t="shared" si="3"/>
        <v>2.1449039448061038</v>
      </c>
      <c r="G8" s="179">
        <f t="shared" si="1"/>
        <v>8.1866562778858931</v>
      </c>
      <c r="H8" s="175">
        <v>41518</v>
      </c>
      <c r="I8" s="175">
        <f t="shared" si="0"/>
        <v>136271.9407536017</v>
      </c>
      <c r="J8" s="183">
        <v>30.467020408163279</v>
      </c>
      <c r="K8" s="183">
        <v>26.2</v>
      </c>
      <c r="L8" s="172">
        <f t="shared" si="2"/>
        <v>133835.33465094655</v>
      </c>
    </row>
    <row r="9" spans="1:19" hidden="1">
      <c r="A9" s="172">
        <v>1975</v>
      </c>
      <c r="B9" s="175">
        <v>1024.9749999999999</v>
      </c>
      <c r="C9" s="176">
        <f>C10*B9/B10</f>
        <v>732.65151566549503</v>
      </c>
      <c r="D9" s="182">
        <f>C9/'a5-1'!C9*100</f>
        <v>4.3519492039154173</v>
      </c>
      <c r="E9" s="175">
        <v>18974</v>
      </c>
      <c r="F9" s="182">
        <f t="shared" si="3"/>
        <v>2.3208483203814909</v>
      </c>
      <c r="G9" s="179">
        <f t="shared" si="1"/>
        <v>8.0029252426947952</v>
      </c>
      <c r="H9" s="175">
        <v>46442</v>
      </c>
      <c r="I9" s="175">
        <f t="shared" si="0"/>
        <v>135775.97773321165</v>
      </c>
      <c r="J9" s="183">
        <v>34.204872448979607</v>
      </c>
      <c r="K9" s="183">
        <v>29</v>
      </c>
      <c r="L9" s="172">
        <f t="shared" si="2"/>
        <v>132467.59943726592</v>
      </c>
    </row>
    <row r="10" spans="1:19" hidden="1">
      <c r="A10" s="172">
        <v>1976</v>
      </c>
      <c r="B10" s="175">
        <v>1031.758</v>
      </c>
      <c r="C10" s="175">
        <v>737.5</v>
      </c>
      <c r="D10" s="182">
        <f>C10/'a5-1'!C10*100</f>
        <v>4.3234845820143049</v>
      </c>
      <c r="E10" s="175">
        <v>19356</v>
      </c>
      <c r="F10" s="182">
        <f t="shared" si="3"/>
        <v>2.5112252412331242</v>
      </c>
      <c r="G10" s="179">
        <f t="shared" si="1"/>
        <v>8.0746792322608485</v>
      </c>
      <c r="H10" s="175">
        <v>51950</v>
      </c>
      <c r="I10" s="175">
        <f t="shared" si="0"/>
        <v>140307.21743953309</v>
      </c>
      <c r="J10" s="183">
        <v>37.025892857142871</v>
      </c>
      <c r="K10" s="183">
        <v>31.1</v>
      </c>
      <c r="L10" s="172">
        <f t="shared" si="2"/>
        <v>135988.49482100751</v>
      </c>
    </row>
    <row r="11" spans="1:19" hidden="1">
      <c r="A11" s="172">
        <v>1977</v>
      </c>
      <c r="B11" s="175">
        <v>1037.3689999999999</v>
      </c>
      <c r="C11" s="175">
        <v>747.3</v>
      </c>
      <c r="D11" s="182">
        <f>C11/'a5-1'!C11*100</f>
        <v>4.2860829915976018</v>
      </c>
      <c r="E11" s="175">
        <v>19746</v>
      </c>
      <c r="F11" s="182">
        <f t="shared" si="3"/>
        <v>2.7172185949531453</v>
      </c>
      <c r="G11" s="179">
        <f t="shared" si="1"/>
        <v>8.0869601040272165</v>
      </c>
      <c r="H11" s="175">
        <v>58111</v>
      </c>
      <c r="I11" s="175">
        <f t="shared" si="0"/>
        <v>145577.97740182601</v>
      </c>
      <c r="J11" s="183">
        <v>39.91743877551022</v>
      </c>
      <c r="K11" s="183">
        <v>33.6</v>
      </c>
      <c r="L11" s="172">
        <f t="shared" si="2"/>
        <v>140333.84205796206</v>
      </c>
    </row>
    <row r="12" spans="1:19" hidden="1">
      <c r="A12" s="172">
        <v>1978</v>
      </c>
      <c r="B12" s="175">
        <v>1040.8810000000001</v>
      </c>
      <c r="C12" s="175">
        <v>754.6</v>
      </c>
      <c r="D12" s="182">
        <f>C12/'a5-1'!C12*100</f>
        <v>4.2443809480954853</v>
      </c>
      <c r="E12" s="175">
        <v>20144</v>
      </c>
      <c r="F12" s="182">
        <f t="shared" si="3"/>
        <v>2.9401093822765278</v>
      </c>
      <c r="G12" s="179">
        <f t="shared" si="1"/>
        <v>8.0330857439249392</v>
      </c>
      <c r="H12" s="175">
        <v>65004</v>
      </c>
      <c r="I12" s="175">
        <f t="shared" si="0"/>
        <v>151846.62861041108</v>
      </c>
      <c r="J12" s="183">
        <v>42.808984693877569</v>
      </c>
      <c r="K12" s="183">
        <v>36.6</v>
      </c>
      <c r="L12" s="172">
        <f t="shared" si="2"/>
        <v>145882.79410462012</v>
      </c>
    </row>
    <row r="13" spans="1:19" hidden="1">
      <c r="A13" s="172">
        <v>1979</v>
      </c>
      <c r="B13" s="175">
        <v>1037.2719999999999</v>
      </c>
      <c r="C13" s="175">
        <v>757.4</v>
      </c>
      <c r="D13" s="182">
        <f>C13/'a5-1'!C13*100</f>
        <v>4.180050112034615</v>
      </c>
      <c r="E13" s="175">
        <v>20550</v>
      </c>
      <c r="F13" s="182">
        <f t="shared" si="3"/>
        <v>3.1812836831773281</v>
      </c>
      <c r="G13" s="179">
        <f t="shared" si="1"/>
        <v>7.9532092079433205</v>
      </c>
      <c r="H13" s="175">
        <v>72714</v>
      </c>
      <c r="I13" s="175">
        <f t="shared" si="0"/>
        <v>157169.3871825501</v>
      </c>
      <c r="J13" s="183">
        <v>46.264734693877557</v>
      </c>
      <c r="K13" s="183">
        <v>40</v>
      </c>
      <c r="L13" s="172">
        <f t="shared" si="2"/>
        <v>151521.8642579286</v>
      </c>
    </row>
    <row r="14" spans="1:19" hidden="1">
      <c r="A14" s="172">
        <v>1980</v>
      </c>
      <c r="B14" s="175">
        <v>1034.4349999999999</v>
      </c>
      <c r="C14" s="175">
        <v>760.4</v>
      </c>
      <c r="D14" s="182">
        <f>C14/'a5-1'!C14*100</f>
        <v>4.1139394595179484</v>
      </c>
      <c r="E14" s="175">
        <v>20964</v>
      </c>
      <c r="F14" s="182">
        <f t="shared" si="3"/>
        <v>3.4422412764160319</v>
      </c>
      <c r="G14" s="179">
        <f t="shared" si="1"/>
        <v>7.8232756282182541</v>
      </c>
      <c r="H14" s="175">
        <v>81338</v>
      </c>
      <c r="I14" s="175">
        <f t="shared" si="0"/>
        <v>162438.47516845266</v>
      </c>
      <c r="J14" s="183">
        <v>50.073112244897963</v>
      </c>
      <c r="K14" s="183">
        <v>44</v>
      </c>
      <c r="L14" s="172">
        <f t="shared" si="2"/>
        <v>157031.10893236659</v>
      </c>
    </row>
    <row r="15" spans="1:19" hidden="1">
      <c r="B15" s="175"/>
      <c r="C15" s="175"/>
      <c r="D15" s="182"/>
      <c r="E15" s="175"/>
      <c r="F15" s="182"/>
      <c r="G15" s="179"/>
      <c r="I15" s="175"/>
      <c r="J15" s="191"/>
      <c r="K15" s="183"/>
    </row>
    <row r="16" spans="1:19">
      <c r="A16" s="172">
        <v>1981</v>
      </c>
      <c r="B16" s="175">
        <f>'a1'!AV19/1000</f>
        <v>1035.5450000000001</v>
      </c>
      <c r="C16" s="175">
        <v>765.5</v>
      </c>
      <c r="D16" s="182">
        <f>C16/'a5-1'!C15*100</f>
        <v>4.0686920656518408</v>
      </c>
      <c r="E16" s="177">
        <v>886</v>
      </c>
      <c r="F16" s="187">
        <v>3.724604966139955</v>
      </c>
      <c r="G16" s="179">
        <f t="shared" si="1"/>
        <v>7.6012346247754188</v>
      </c>
      <c r="H16" s="177">
        <v>3300</v>
      </c>
      <c r="I16" s="175">
        <f>H16/K16*100</f>
        <v>6734.6938775510207</v>
      </c>
      <c r="J16" s="183">
        <f>'a8'!AS19</f>
        <v>55.3</v>
      </c>
      <c r="K16" s="6">
        <f>'a1'!AR19</f>
        <v>49</v>
      </c>
      <c r="L16" s="175">
        <f t="shared" si="2"/>
        <v>6503.5260443061579</v>
      </c>
    </row>
    <row r="17" spans="1:12">
      <c r="A17" s="172">
        <v>1982</v>
      </c>
      <c r="B17" s="175">
        <f>'a1'!AV20/1000</f>
        <v>1045.2239999999999</v>
      </c>
      <c r="C17" s="175">
        <v>774.4</v>
      </c>
      <c r="D17" s="182">
        <f>C17/'a5-1'!C16*100</f>
        <v>4.0537286556319811</v>
      </c>
      <c r="E17" s="175">
        <v>885.11400000000003</v>
      </c>
      <c r="F17" s="182">
        <f>POWER(F$21/F$16,1/5)*F16</f>
        <v>4.2091579208287992</v>
      </c>
      <c r="G17" s="179">
        <f t="shared" si="1"/>
        <v>7.8971067932998116</v>
      </c>
      <c r="H17" s="175">
        <v>3726.7849956014848</v>
      </c>
      <c r="I17" s="175">
        <f t="shared" ref="I17:I42" si="4">H17/K17*100</f>
        <v>6992.0919242054124</v>
      </c>
      <c r="J17" s="183">
        <f>'a8'!AS20</f>
        <v>58.6</v>
      </c>
      <c r="K17" s="6">
        <f>'a1'!AR20</f>
        <v>53.3</v>
      </c>
      <c r="L17" s="175">
        <f t="shared" si="2"/>
        <v>6689.5631215944268</v>
      </c>
    </row>
    <row r="18" spans="1:12">
      <c r="A18" s="172">
        <v>1983</v>
      </c>
      <c r="B18" s="175">
        <f>'a1'!AV21/1000</f>
        <v>1059.752</v>
      </c>
      <c r="C18" s="175">
        <v>785.8</v>
      </c>
      <c r="D18" s="182">
        <f>C18/'a5-1'!C17*100</f>
        <v>4.0599328338930505</v>
      </c>
      <c r="E18" s="175">
        <v>884.22888599999999</v>
      </c>
      <c r="F18" s="182">
        <f>POWER(F$21/F$16,1/5)*F17</f>
        <v>4.756748853513205</v>
      </c>
      <c r="G18" s="179">
        <f t="shared" si="1"/>
        <v>8.3745578406922618</v>
      </c>
      <c r="H18" s="175">
        <v>4208.7655768001086</v>
      </c>
      <c r="I18" s="175">
        <f t="shared" si="4"/>
        <v>7409.7985507044168</v>
      </c>
      <c r="J18" s="183">
        <f>'a8'!AS21</f>
        <v>62.5</v>
      </c>
      <c r="K18" s="6">
        <f>'a1'!AR21</f>
        <v>56.8</v>
      </c>
      <c r="L18" s="175">
        <f t="shared" si="2"/>
        <v>6992.0118581558863</v>
      </c>
    </row>
    <row r="19" spans="1:12">
      <c r="A19" s="172">
        <v>1984</v>
      </c>
      <c r="B19" s="175">
        <f>'a1'!AV22/1000</f>
        <v>1071.81</v>
      </c>
      <c r="C19" s="175">
        <v>795.6</v>
      </c>
      <c r="D19" s="182">
        <f>C19/'a5-1'!C18*100</f>
        <v>4.0596186326085952</v>
      </c>
      <c r="E19" s="175">
        <v>883.34465711400003</v>
      </c>
      <c r="F19" s="182">
        <f>POWER(F$21/F$16,1/5)*F18</f>
        <v>5.3755786979225331</v>
      </c>
      <c r="G19" s="179">
        <f t="shared" si="1"/>
        <v>9.1266191815323143</v>
      </c>
      <c r="H19" s="175">
        <v>4753.0801217038406</v>
      </c>
      <c r="I19" s="175">
        <f t="shared" si="4"/>
        <v>8069.7455376975231</v>
      </c>
      <c r="J19" s="183">
        <f>'a8'!AS22</f>
        <v>65</v>
      </c>
      <c r="K19" s="6">
        <f>'a1'!AR22</f>
        <v>58.9</v>
      </c>
      <c r="L19" s="175">
        <f t="shared" si="2"/>
        <v>7529.0821486061186</v>
      </c>
    </row>
    <row r="20" spans="1:12">
      <c r="A20" s="172">
        <v>1985</v>
      </c>
      <c r="B20" s="175">
        <f>'a1'!AV23/1000</f>
        <v>1082.4949999999999</v>
      </c>
      <c r="C20" s="175">
        <v>805.1</v>
      </c>
      <c r="D20" s="182">
        <f>C20/'a5-1'!C19*100</f>
        <v>4.0574115417760686</v>
      </c>
      <c r="E20" s="175">
        <v>882.46131245688605</v>
      </c>
      <c r="F20" s="182">
        <f>POWER(F$21/F$16,1/5)*F19</f>
        <v>6.0749152892980867</v>
      </c>
      <c r="G20" s="179">
        <f t="shared" si="1"/>
        <v>9.8939988425050274</v>
      </c>
      <c r="H20" s="175">
        <v>5367.7902061992581</v>
      </c>
      <c r="I20" s="175">
        <f t="shared" si="4"/>
        <v>8742.3293260574246</v>
      </c>
      <c r="J20" s="183">
        <f>'a8'!AS23</f>
        <v>66.599999999999994</v>
      </c>
      <c r="K20" s="6">
        <f>'a1'!AR23</f>
        <v>61.4</v>
      </c>
      <c r="L20" s="175">
        <f t="shared" si="2"/>
        <v>8076.0921076378409</v>
      </c>
    </row>
    <row r="21" spans="1:12">
      <c r="A21" s="172">
        <v>1986</v>
      </c>
      <c r="B21" s="175">
        <f>'a1'!AV24/1000</f>
        <v>1091.5519999999999</v>
      </c>
      <c r="C21" s="175">
        <v>813.2</v>
      </c>
      <c r="D21" s="182">
        <f>C21/'a5-1'!C20*100</f>
        <v>4.0471403260804655</v>
      </c>
      <c r="E21" s="177">
        <v>883</v>
      </c>
      <c r="F21" s="187">
        <v>6.8652321630804076</v>
      </c>
      <c r="G21" s="179">
        <f t="shared" si="1"/>
        <v>10.710190582028718</v>
      </c>
      <c r="H21" s="177">
        <v>6062</v>
      </c>
      <c r="I21" s="175">
        <f t="shared" si="4"/>
        <v>9457.0982839313583</v>
      </c>
      <c r="J21" s="183">
        <f>'a8'!AS24</f>
        <v>69</v>
      </c>
      <c r="K21" s="6">
        <f>'a1'!AR24</f>
        <v>64.099999999999994</v>
      </c>
      <c r="L21" s="175">
        <f t="shared" si="2"/>
        <v>8663.9008347118233</v>
      </c>
    </row>
    <row r="22" spans="1:12">
      <c r="A22" s="172">
        <v>1987</v>
      </c>
      <c r="B22" s="175">
        <f>'a1'!AV25/1000</f>
        <v>1098.373</v>
      </c>
      <c r="C22" s="175">
        <v>818.4</v>
      </c>
      <c r="D22" s="182">
        <f>C22/'a5-1'!C21*100</f>
        <v>4.0219971397820933</v>
      </c>
      <c r="E22" s="175">
        <v>897.12800000000004</v>
      </c>
      <c r="F22" s="182">
        <f>POWER(F$27/F$21,1/6)*F21</f>
        <v>7.1654915679093261</v>
      </c>
      <c r="G22" s="179">
        <f t="shared" si="1"/>
        <v>10.726783784295399</v>
      </c>
      <c r="H22" s="175">
        <v>6430.3120515424553</v>
      </c>
      <c r="I22" s="175">
        <f t="shared" si="4"/>
        <v>9626.2156460216411</v>
      </c>
      <c r="J22" s="183">
        <f>'a8'!AS25</f>
        <v>72</v>
      </c>
      <c r="K22" s="6">
        <f>'a1'!AR25</f>
        <v>66.8</v>
      </c>
      <c r="L22" s="175">
        <f t="shared" si="2"/>
        <v>8764.0679860317414</v>
      </c>
    </row>
    <row r="23" spans="1:12">
      <c r="A23" s="172">
        <v>1988</v>
      </c>
      <c r="B23" s="175">
        <f>'a1'!AV26/1000</f>
        <v>1102.152</v>
      </c>
      <c r="C23" s="175">
        <v>821.4</v>
      </c>
      <c r="D23" s="182">
        <f>C23/'a5-1'!C22*100</f>
        <v>3.9850185812285921</v>
      </c>
      <c r="E23" s="175">
        <v>911.48204800000008</v>
      </c>
      <c r="F23" s="182">
        <f>POWER(F$27/F$21,1/6)*F22</f>
        <v>7.4788831885244855</v>
      </c>
      <c r="G23" s="179">
        <f t="shared" si="1"/>
        <v>10.745521822592652</v>
      </c>
      <c r="H23" s="175">
        <v>6821.0018278146053</v>
      </c>
      <c r="I23" s="175">
        <f t="shared" si="4"/>
        <v>9800.2899824922497</v>
      </c>
      <c r="J23" s="183">
        <f>'a8'!AS26</f>
        <v>78.2</v>
      </c>
      <c r="K23" s="6">
        <f>'a1'!AR26</f>
        <v>69.599999999999994</v>
      </c>
      <c r="L23" s="175">
        <f t="shared" si="2"/>
        <v>8891.9586250283537</v>
      </c>
    </row>
    <row r="24" spans="1:12">
      <c r="A24" s="172">
        <v>1989</v>
      </c>
      <c r="B24" s="175">
        <f>'a1'!AV27/1000</f>
        <v>1103.7919999999999</v>
      </c>
      <c r="C24" s="175">
        <v>822.5</v>
      </c>
      <c r="D24" s="182">
        <f>C24/'a5-1'!C23*100</f>
        <v>3.9356891642940881</v>
      </c>
      <c r="E24" s="175">
        <v>926.06576076800013</v>
      </c>
      <c r="F24" s="182">
        <f>POWER(F$27/F$21,1/6)*F23</f>
        <v>7.8059813785970213</v>
      </c>
      <c r="G24" s="179">
        <f t="shared" si="1"/>
        <v>10.707793386278492</v>
      </c>
      <c r="H24" s="175">
        <v>7235.4289437461848</v>
      </c>
      <c r="I24" s="175">
        <f t="shared" si="4"/>
        <v>9925.1425840139709</v>
      </c>
      <c r="J24" s="183">
        <f>'a8'!AS27</f>
        <v>80.8</v>
      </c>
      <c r="K24" s="6">
        <f>'a1'!AR27</f>
        <v>72.900000000000006</v>
      </c>
      <c r="L24" s="175">
        <f t="shared" si="2"/>
        <v>8991.8595025276245</v>
      </c>
    </row>
    <row r="25" spans="1:12">
      <c r="A25" s="172">
        <v>1990</v>
      </c>
      <c r="B25" s="175">
        <f>'a1'!AV28/1000</f>
        <v>1105.421</v>
      </c>
      <c r="C25" s="175">
        <v>824.2</v>
      </c>
      <c r="D25" s="182">
        <f>C25/'a5-1'!C24*100</f>
        <v>3.8850419756112511</v>
      </c>
      <c r="E25" s="175">
        <v>940.8828129402882</v>
      </c>
      <c r="F25" s="182">
        <f>POWER(F$27/F$21,1/6)*F24</f>
        <v>8.1473856118650048</v>
      </c>
      <c r="G25" s="179">
        <f t="shared" si="1"/>
        <v>10.692107102185046</v>
      </c>
      <c r="H25" s="175">
        <v>7675.0356210904301</v>
      </c>
      <c r="I25" s="175">
        <f t="shared" si="4"/>
        <v>10072.225224528123</v>
      </c>
      <c r="J25" s="183">
        <f>'a8'!AS28</f>
        <v>81.7</v>
      </c>
      <c r="K25" s="6">
        <f>'a1'!AR28</f>
        <v>76.2</v>
      </c>
      <c r="L25" s="175">
        <f t="shared" si="2"/>
        <v>9111.6644468741979</v>
      </c>
    </row>
    <row r="26" spans="1:12">
      <c r="A26" s="172">
        <v>1991</v>
      </c>
      <c r="B26" s="175">
        <f>'a1'!AV29/1000</f>
        <v>1109.604</v>
      </c>
      <c r="C26" s="175">
        <v>827.3</v>
      </c>
      <c r="D26" s="182">
        <f>C26/'a5-1'!C25*100</f>
        <v>3.8419564116972316</v>
      </c>
      <c r="E26" s="175">
        <v>955.93693794733281</v>
      </c>
      <c r="F26" s="182">
        <f>POWER(F$27/F$21,1/6)*F25</f>
        <v>8.5037215807905788</v>
      </c>
      <c r="G26" s="179">
        <f t="shared" si="1"/>
        <v>10.616381499114331</v>
      </c>
      <c r="H26" s="175">
        <v>8141.3517074093406</v>
      </c>
      <c r="I26" s="175">
        <f t="shared" si="4"/>
        <v>10163.984653444872</v>
      </c>
      <c r="J26" s="183">
        <f>'a8'!AS29</f>
        <v>83.9</v>
      </c>
      <c r="K26" s="6">
        <f>'a1'!AR29</f>
        <v>80.099999999999994</v>
      </c>
      <c r="L26" s="175">
        <f t="shared" si="2"/>
        <v>9160.0108267858359</v>
      </c>
    </row>
    <row r="27" spans="1:12">
      <c r="A27" s="172">
        <v>1992</v>
      </c>
      <c r="B27" s="175">
        <f>'a1'!AV30/1000</f>
        <v>1112.6890000000001</v>
      </c>
      <c r="C27" s="175">
        <v>828.6</v>
      </c>
      <c r="D27" s="182">
        <f>C27/'a5-1'!C26*100</f>
        <v>3.7973987406164929</v>
      </c>
      <c r="E27" s="177">
        <v>973</v>
      </c>
      <c r="F27" s="187">
        <v>8.8756423432682432</v>
      </c>
      <c r="G27" s="179">
        <f t="shared" si="1"/>
        <v>10.930594018803255</v>
      </c>
      <c r="H27" s="177">
        <v>8636</v>
      </c>
      <c r="I27" s="175">
        <f t="shared" si="4"/>
        <v>10635.467980295565</v>
      </c>
      <c r="J27" s="183">
        <f>'a8'!AS30</f>
        <v>84.5</v>
      </c>
      <c r="K27" s="6">
        <f>'a1'!AR30</f>
        <v>81.2</v>
      </c>
      <c r="L27" s="175">
        <f t="shared" si="2"/>
        <v>9558.3473731613813</v>
      </c>
    </row>
    <row r="28" spans="1:12">
      <c r="A28" s="172">
        <v>1993</v>
      </c>
      <c r="B28" s="175">
        <f>'a1'!AV31/1000</f>
        <v>1117.6179999999999</v>
      </c>
      <c r="C28" s="175">
        <v>831</v>
      </c>
      <c r="D28" s="182">
        <f>C28/'a5-1'!C27*100</f>
        <v>3.7613894056461574</v>
      </c>
      <c r="E28" s="175">
        <f>E27*POWER(E$33/E$27, 1/6)</f>
        <v>994.7067672948931</v>
      </c>
      <c r="F28" s="182">
        <f>G28*K28/100</f>
        <v>9.2034514211687011</v>
      </c>
      <c r="G28" s="179">
        <f>G27*(1+'a5-1'!$P$47/100)</f>
        <v>11.035313454638731</v>
      </c>
      <c r="H28" s="175">
        <f>E28*F28</f>
        <v>9154.7354111063087</v>
      </c>
      <c r="I28" s="175">
        <f t="shared" si="4"/>
        <v>10976.900972549529</v>
      </c>
      <c r="J28" s="183">
        <f>'a8'!AS31</f>
        <v>84.7</v>
      </c>
      <c r="K28" s="6">
        <f>'a1'!AR31</f>
        <v>83.4</v>
      </c>
      <c r="L28" s="175">
        <f t="shared" si="2"/>
        <v>9821.6930763011405</v>
      </c>
    </row>
    <row r="29" spans="1:12">
      <c r="A29" s="172">
        <v>1994</v>
      </c>
      <c r="B29" s="175">
        <f>'a1'!AV32/1000</f>
        <v>1123.23</v>
      </c>
      <c r="C29" s="175">
        <v>833.5</v>
      </c>
      <c r="D29" s="182">
        <f>C29/'a5-1'!C28*100</f>
        <v>3.7263554142804134</v>
      </c>
      <c r="E29" s="175">
        <f>E28*POWER(E$33/E$27, 1/6)</f>
        <v>1016.8977933219493</v>
      </c>
      <c r="F29" s="182">
        <f t="shared" ref="F29:F42" si="5">G29*K29/100</f>
        <v>9.4253165780757975</v>
      </c>
      <c r="G29" s="179">
        <f>G28*(1+'a5-1'!$P$47/100)</f>
        <v>11.141036144297633</v>
      </c>
      <c r="H29" s="175">
        <f t="shared" ref="H29:H42" si="6">E29*F29</f>
        <v>9584.5836296060643</v>
      </c>
      <c r="I29" s="175">
        <f t="shared" si="4"/>
        <v>11329.295070456341</v>
      </c>
      <c r="J29" s="183">
        <f>'a8'!AS32</f>
        <v>86</v>
      </c>
      <c r="K29" s="6">
        <f>'a1'!AR32</f>
        <v>84.6</v>
      </c>
      <c r="L29" s="175">
        <f t="shared" si="2"/>
        <v>10086.353703565914</v>
      </c>
    </row>
    <row r="30" spans="1:12">
      <c r="A30" s="172">
        <v>1995</v>
      </c>
      <c r="B30" s="175">
        <f>'a1'!AV33/1000</f>
        <v>1129.1500000000001</v>
      </c>
      <c r="C30" s="175">
        <v>836.4</v>
      </c>
      <c r="D30" s="182">
        <f>C30/'a5-1'!C29*100</f>
        <v>3.69108561341571</v>
      </c>
      <c r="E30" s="175">
        <f>E29*POWER(E$33/E$27, 1/6)</f>
        <v>1039.5838814641177</v>
      </c>
      <c r="F30" s="182">
        <f t="shared" si="5"/>
        <v>9.7743136067355039</v>
      </c>
      <c r="G30" s="179">
        <f>G29*(1+'a5-1'!$P$47/100)</f>
        <v>11.247771699350407</v>
      </c>
      <c r="H30" s="175">
        <f t="shared" si="6"/>
        <v>10161.218877937634</v>
      </c>
      <c r="I30" s="175">
        <f t="shared" si="4"/>
        <v>11693.00216103295</v>
      </c>
      <c r="J30" s="183">
        <f>'a8'!AS33</f>
        <v>89.1</v>
      </c>
      <c r="K30" s="6">
        <f>'a1'!AR33</f>
        <v>86.9</v>
      </c>
      <c r="L30" s="175">
        <f t="shared" si="2"/>
        <v>10355.579117949739</v>
      </c>
    </row>
    <row r="31" spans="1:12">
      <c r="A31" s="172">
        <v>1996</v>
      </c>
      <c r="B31" s="175">
        <f>'a1'!AV34/1000</f>
        <v>1134.1959999999999</v>
      </c>
      <c r="C31" s="175">
        <v>840</v>
      </c>
      <c r="D31" s="182">
        <f>C31/'a5-1'!C30*100</f>
        <v>3.6586162590648752</v>
      </c>
      <c r="E31" s="175">
        <f>E30*POWER(E$33/E$27, 1/6)</f>
        <v>1062.7760761182424</v>
      </c>
      <c r="F31" s="182">
        <f t="shared" si="5"/>
        <v>10.08371048322374</v>
      </c>
      <c r="G31" s="179">
        <f>G30*(1+'a5-1'!$P$47/100)</f>
        <v>11.355529823450158</v>
      </c>
      <c r="H31" s="175">
        <f t="shared" si="6"/>
        <v>10716.726260072912</v>
      </c>
      <c r="I31" s="175">
        <f t="shared" si="4"/>
        <v>12068.385428010037</v>
      </c>
      <c r="J31" s="183">
        <f>'a8'!AS34</f>
        <v>91.2</v>
      </c>
      <c r="K31" s="6">
        <f>'a1'!AR34</f>
        <v>88.8</v>
      </c>
      <c r="L31" s="175">
        <f t="shared" si="2"/>
        <v>10640.476097614554</v>
      </c>
    </row>
    <row r="32" spans="1:12">
      <c r="A32" s="172">
        <v>1997</v>
      </c>
      <c r="B32" s="175">
        <f>'a1'!AV35/1000</f>
        <v>1136.1279999999999</v>
      </c>
      <c r="C32" s="175">
        <v>842.8</v>
      </c>
      <c r="D32" s="182">
        <f>C32/'a5-1'!C31*100</f>
        <v>3.6254608180946111</v>
      </c>
      <c r="E32" s="175">
        <f>E31*POWER(E$33/E$27, 1/6)</f>
        <v>1086.4856680718685</v>
      </c>
      <c r="F32" s="182">
        <f t="shared" si="5"/>
        <v>10.386674203772655</v>
      </c>
      <c r="G32" s="179">
        <f>G31*(1+'a5-1'!$P$47/100)</f>
        <v>11.46432031321485</v>
      </c>
      <c r="H32" s="175">
        <f t="shared" si="6"/>
        <v>11284.972661330776</v>
      </c>
      <c r="I32" s="175">
        <f t="shared" si="4"/>
        <v>12455.819714493131</v>
      </c>
      <c r="J32" s="183">
        <f>'a8'!AS35</f>
        <v>92</v>
      </c>
      <c r="K32" s="6">
        <f>'a1'!AR35</f>
        <v>90.6</v>
      </c>
      <c r="L32" s="175">
        <f t="shared" si="2"/>
        <v>10963.39471828274</v>
      </c>
    </row>
    <row r="33" spans="1:19">
      <c r="A33" s="172">
        <v>1998</v>
      </c>
      <c r="B33" s="175">
        <f>'a1'!AV36/1000</f>
        <v>1137.489</v>
      </c>
      <c r="C33" s="175">
        <v>845.3</v>
      </c>
      <c r="D33" s="182">
        <f>C33/'a5-1'!C32*100</f>
        <v>3.5946197646678599</v>
      </c>
      <c r="E33" s="177">
        <f>C33*S33*365/1000</f>
        <v>1110.7241999999999</v>
      </c>
      <c r="F33" s="182">
        <f t="shared" si="5"/>
        <v>10.625072508270268</v>
      </c>
      <c r="G33" s="179">
        <f>G32*(1+'a5-1'!$P$47/100)</f>
        <v>11.57415305911794</v>
      </c>
      <c r="H33" s="175">
        <f t="shared" si="6"/>
        <v>11801.525161690486</v>
      </c>
      <c r="I33" s="175">
        <f t="shared" si="4"/>
        <v>12855.691897266326</v>
      </c>
      <c r="J33" s="183">
        <f>'a8'!AS36</f>
        <v>91.9</v>
      </c>
      <c r="K33" s="6">
        <f>'a1'!AR36</f>
        <v>91.8</v>
      </c>
      <c r="L33" s="175">
        <f t="shared" si="2"/>
        <v>11301.816454722924</v>
      </c>
      <c r="S33" s="172">
        <v>3.6</v>
      </c>
    </row>
    <row r="34" spans="1:19">
      <c r="A34" s="172">
        <v>1999</v>
      </c>
      <c r="B34" s="175">
        <f>'a1'!AV37/1000</f>
        <v>1142.4480000000001</v>
      </c>
      <c r="C34" s="175">
        <v>850.3</v>
      </c>
      <c r="D34" s="182">
        <f>C34/'a5-1'!C33*100</f>
        <v>3.5754833609459489</v>
      </c>
      <c r="E34" s="175">
        <f t="shared" ref="E34:E42" si="7">C34*S34*365/1000</f>
        <v>1112.8067845950175</v>
      </c>
      <c r="F34" s="182">
        <f t="shared" si="5"/>
        <v>10.937195611418748</v>
      </c>
      <c r="G34" s="179">
        <f>G33*(1+'a5-1'!$P$47/100)</f>
        <v>11.68503804638755</v>
      </c>
      <c r="H34" s="175">
        <f t="shared" si="6"/>
        <v>12170.985480829633</v>
      </c>
      <c r="I34" s="175">
        <f t="shared" si="4"/>
        <v>13003.189616270976</v>
      </c>
      <c r="J34" s="183">
        <f>'a8'!AS37</f>
        <v>93.3</v>
      </c>
      <c r="K34" s="6">
        <f>'a1'!AR37</f>
        <v>93.6</v>
      </c>
      <c r="L34" s="175">
        <f t="shared" si="2"/>
        <v>11381.865622129826</v>
      </c>
      <c r="S34" s="191">
        <f t="shared" ref="S34:S39" si="8">S33*POWER(S$40/S$33, 1/7)</f>
        <v>3.5855412339400519</v>
      </c>
    </row>
    <row r="35" spans="1:19">
      <c r="A35" s="172">
        <v>2000</v>
      </c>
      <c r="B35" s="175">
        <f>'a1'!AV38/1000</f>
        <v>1147.3130000000001</v>
      </c>
      <c r="C35" s="175">
        <v>855.9</v>
      </c>
      <c r="D35" s="182">
        <f>C35/'a5-1'!C34*100</f>
        <v>3.5529707717406191</v>
      </c>
      <c r="E35" s="175">
        <f t="shared" si="7"/>
        <v>1115.6368033654505</v>
      </c>
      <c r="F35" s="182">
        <f t="shared" si="5"/>
        <v>11.313308956321778</v>
      </c>
      <c r="G35" s="179">
        <f>G34*(1+'a5-1'!$P$47/100)</f>
        <v>11.796985355914261</v>
      </c>
      <c r="H35" s="175">
        <f t="shared" si="6"/>
        <v>12621.543839516551</v>
      </c>
      <c r="I35" s="175">
        <f t="shared" si="4"/>
        <v>13161.15103182122</v>
      </c>
      <c r="J35" s="183">
        <f>'a8'!AS38</f>
        <v>95.4</v>
      </c>
      <c r="K35" s="6">
        <f>'a1'!AR38</f>
        <v>95.9</v>
      </c>
      <c r="L35" s="175">
        <f t="shared" si="2"/>
        <v>11471.282058009643</v>
      </c>
      <c r="S35" s="191">
        <f t="shared" si="8"/>
        <v>3.571140538967875</v>
      </c>
    </row>
    <row r="36" spans="1:19">
      <c r="A36" s="172">
        <v>2001</v>
      </c>
      <c r="B36" s="175">
        <f>'a1'!AV39/1000</f>
        <v>1151.4390000000001</v>
      </c>
      <c r="C36" s="175">
        <v>861.4</v>
      </c>
      <c r="D36" s="182">
        <f>C36/'a5-1'!C35*100</f>
        <v>3.5246941364212936</v>
      </c>
      <c r="E36" s="175">
        <f t="shared" si="7"/>
        <v>1118.2963159485084</v>
      </c>
      <c r="F36" s="182">
        <f t="shared" si="5"/>
        <v>11.731355087690075</v>
      </c>
      <c r="G36" s="179">
        <f>G35*(1+'a5-1'!$P$47/100)</f>
        <v>11.910005165167588</v>
      </c>
      <c r="H36" s="175">
        <f t="shared" si="6"/>
        <v>13119.131175647601</v>
      </c>
      <c r="I36" s="175">
        <f t="shared" si="4"/>
        <v>13318.914899134619</v>
      </c>
      <c r="J36" s="183">
        <f>'a8'!AS39</f>
        <v>97.7</v>
      </c>
      <c r="K36" s="6">
        <f>'a1'!AR39</f>
        <v>98.5</v>
      </c>
      <c r="L36" s="175">
        <f t="shared" si="2"/>
        <v>11567.19105322524</v>
      </c>
      <c r="S36" s="191">
        <f t="shared" si="8"/>
        <v>3.5567976818511711</v>
      </c>
    </row>
    <row r="37" spans="1:19">
      <c r="A37" s="172">
        <v>2002</v>
      </c>
      <c r="B37" s="175">
        <f>'a1'!AV40/1000</f>
        <v>1156.6130000000001</v>
      </c>
      <c r="C37" s="175">
        <v>867.5</v>
      </c>
      <c r="D37" s="182">
        <f>C37/'a5-1'!C36*100</f>
        <v>3.4999737754126334</v>
      </c>
      <c r="E37" s="175">
        <f t="shared" si="7"/>
        <v>1121.6922796473364</v>
      </c>
      <c r="F37" s="182">
        <f t="shared" si="5"/>
        <v>12.024107749121253</v>
      </c>
      <c r="G37" s="179">
        <f>G36*(1+'a5-1'!$P$47/100)</f>
        <v>12.024107749121255</v>
      </c>
      <c r="H37" s="175">
        <f t="shared" si="6"/>
        <v>13487.34883183702</v>
      </c>
      <c r="I37" s="175">
        <f t="shared" si="4"/>
        <v>13487.34883183702</v>
      </c>
      <c r="J37" s="183">
        <f>'a8'!AS40</f>
        <v>100</v>
      </c>
      <c r="K37" s="6">
        <f>'a1'!AR40</f>
        <v>100</v>
      </c>
      <c r="L37" s="175">
        <f t="shared" si="2"/>
        <v>11661.073178182347</v>
      </c>
      <c r="S37" s="191">
        <f t="shared" si="8"/>
        <v>3.5425124302943787</v>
      </c>
    </row>
    <row r="38" spans="1:19">
      <c r="A38" s="172">
        <v>2003</v>
      </c>
      <c r="B38" s="175">
        <f>'a1'!AV41/1000</f>
        <v>1163.819</v>
      </c>
      <c r="C38" s="175">
        <v>875.2</v>
      </c>
      <c r="D38" s="182">
        <f>C38/'a5-1'!C37*100</f>
        <v>3.4870609797398258</v>
      </c>
      <c r="E38" s="175">
        <f t="shared" si="7"/>
        <v>1127.1034438659515</v>
      </c>
      <c r="F38" s="182">
        <f t="shared" si="5"/>
        <v>12.357810943848687</v>
      </c>
      <c r="G38" s="179">
        <f>G37*(1+'a5-1'!$P$47/100)</f>
        <v>12.139303481187316</v>
      </c>
      <c r="H38" s="175">
        <f t="shared" si="6"/>
        <v>13928.531273456199</v>
      </c>
      <c r="I38" s="175">
        <f t="shared" si="4"/>
        <v>13682.250759780158</v>
      </c>
      <c r="J38" s="183">
        <f>'a8'!AS41</f>
        <v>101.1</v>
      </c>
      <c r="K38" s="6">
        <f>'a1'!AR41</f>
        <v>101.8</v>
      </c>
      <c r="L38" s="175">
        <f t="shared" si="2"/>
        <v>11756.33905253322</v>
      </c>
      <c r="S38" s="191">
        <f t="shared" si="8"/>
        <v>3.5282845529349105</v>
      </c>
    </row>
    <row r="39" spans="1:19">
      <c r="A39" s="172">
        <v>2004</v>
      </c>
      <c r="B39" s="175">
        <f>'a1'!AV42/1000</f>
        <v>1173.566</v>
      </c>
      <c r="C39" s="175">
        <v>884.7</v>
      </c>
      <c r="D39" s="182">
        <f>C39/'a5-1'!C38*100</f>
        <v>3.4788250560339748</v>
      </c>
      <c r="E39" s="175">
        <f t="shared" si="7"/>
        <v>1134.761821028894</v>
      </c>
      <c r="F39" s="182">
        <f t="shared" si="5"/>
        <v>12.721315741857286</v>
      </c>
      <c r="G39" s="179">
        <f>G38*(1+'a5-1'!$P$47/100)</f>
        <v>12.255602834159236</v>
      </c>
      <c r="H39" s="175">
        <f t="shared" si="6"/>
        <v>14435.663417113508</v>
      </c>
      <c r="I39" s="175">
        <f t="shared" si="4"/>
        <v>13907.190189897407</v>
      </c>
      <c r="J39" s="183">
        <f>'a8'!AS42</f>
        <v>105</v>
      </c>
      <c r="K39" s="6">
        <f>'a1'!AR42</f>
        <v>103.8</v>
      </c>
      <c r="L39" s="175">
        <f t="shared" si="2"/>
        <v>11850.369037529552</v>
      </c>
      <c r="S39" s="191">
        <f t="shared" si="8"/>
        <v>3.5141138193394061</v>
      </c>
    </row>
    <row r="40" spans="1:19">
      <c r="A40" s="172">
        <v>2005</v>
      </c>
      <c r="B40" s="175">
        <f>'a1'!AV43/1000</f>
        <v>1178.3009999999999</v>
      </c>
      <c r="C40" s="175">
        <v>891.5</v>
      </c>
      <c r="D40" s="182">
        <f>C40/'a5-1'!C39*100</f>
        <v>3.4581338877725973</v>
      </c>
      <c r="E40" s="177">
        <f t="shared" si="7"/>
        <v>1138.8912499999999</v>
      </c>
      <c r="F40" s="182">
        <f t="shared" si="5"/>
        <v>13.189635462320828</v>
      </c>
      <c r="G40" s="179">
        <f>G39*(1+'a5-1'!$P$47/100)</f>
        <v>12.373016381164005</v>
      </c>
      <c r="H40" s="175">
        <f t="shared" si="6"/>
        <v>15021.560418726895</v>
      </c>
      <c r="I40" s="175">
        <f t="shared" si="4"/>
        <v>14091.520092614348</v>
      </c>
      <c r="J40" s="183">
        <f>'a8'!AS43</f>
        <v>107.3</v>
      </c>
      <c r="K40" s="6">
        <f>'a1'!AR43</f>
        <v>106.6</v>
      </c>
      <c r="L40" s="175">
        <f t="shared" si="2"/>
        <v>11959.185380148492</v>
      </c>
      <c r="S40" s="172">
        <v>3.5</v>
      </c>
    </row>
    <row r="41" spans="1:19">
      <c r="A41" s="172">
        <v>2006</v>
      </c>
      <c r="B41" s="175">
        <f>'a1'!AV44/1000</f>
        <v>1184.0309999999999</v>
      </c>
      <c r="C41" s="175">
        <v>898.3</v>
      </c>
      <c r="D41" s="182">
        <f>C41/'a5-1'!C40*100</f>
        <v>3.4357203232629203</v>
      </c>
      <c r="E41" s="175">
        <f t="shared" si="7"/>
        <v>1142.9692040410459</v>
      </c>
      <c r="F41" s="182">
        <f t="shared" si="5"/>
        <v>13.57832006392961</v>
      </c>
      <c r="G41" s="179">
        <f>G40*(1+'a5-1'!$P$47/100)</f>
        <v>12.491554796623374</v>
      </c>
      <c r="H41" s="175">
        <f t="shared" si="6"/>
        <v>15519.601675684191</v>
      </c>
      <c r="I41" s="175">
        <f t="shared" si="4"/>
        <v>14277.462443131732</v>
      </c>
      <c r="J41" s="183">
        <f>'a8'!AS44</f>
        <v>112.4</v>
      </c>
      <c r="K41" s="6">
        <f>'a1'!AR44</f>
        <v>108.7</v>
      </c>
      <c r="L41" s="175">
        <f t="shared" si="2"/>
        <v>12058.351887012866</v>
      </c>
      <c r="S41" s="191">
        <f>S40*POWER(S$40/S$33,1/7)</f>
        <v>3.485942866330606</v>
      </c>
    </row>
    <row r="42" spans="1:19">
      <c r="A42" s="172">
        <v>2007</v>
      </c>
      <c r="B42" s="175">
        <f>'a1'!AV45/1000</f>
        <v>1193.558</v>
      </c>
      <c r="C42" s="175">
        <v>907.2</v>
      </c>
      <c r="D42" s="182">
        <f>C42/'a5-1'!C41*100</f>
        <v>3.42082737868544</v>
      </c>
      <c r="E42" s="175">
        <f t="shared" si="7"/>
        <v>1149.6572737099279</v>
      </c>
      <c r="F42" s="182">
        <f t="shared" si="5"/>
        <v>13.985852802661746</v>
      </c>
      <c r="G42" s="179">
        <f>G41*(1+'a5-1'!$P$47/100)</f>
        <v>12.611228857224296</v>
      </c>
      <c r="H42" s="175">
        <f t="shared" si="6"/>
        <v>16078.937403616459</v>
      </c>
      <c r="I42" s="175">
        <f t="shared" si="4"/>
        <v>14498.590986128456</v>
      </c>
      <c r="J42" s="183">
        <f>'a8'!AS45</f>
        <v>118.6</v>
      </c>
      <c r="K42" s="6">
        <f>'a1'!AR45</f>
        <v>110.9</v>
      </c>
      <c r="L42" s="175">
        <f t="shared" si="2"/>
        <v>12147.370287936117</v>
      </c>
      <c r="S42" s="191">
        <f>S41*POWER(S$40/S$33,1/7)</f>
        <v>3.4719421906632117</v>
      </c>
    </row>
    <row r="43" spans="1:19">
      <c r="A43" s="172">
        <v>2009</v>
      </c>
      <c r="B43" s="175">
        <f>'a1'!AV46/1000</f>
        <v>1205.5170000000001</v>
      </c>
      <c r="C43" s="309">
        <v>916.9</v>
      </c>
      <c r="D43" s="182">
        <f>C43/'a5-1'!C42*100</f>
        <v>3.4076127756676602</v>
      </c>
      <c r="E43" s="175">
        <f t="shared" ref="E43" si="9">C43*S43*365/1000</f>
        <v>1157.2829187389252</v>
      </c>
      <c r="F43" s="182">
        <f t="shared" ref="F43" si="10">G43*K43/100</f>
        <v>14.438144068247089</v>
      </c>
      <c r="G43" s="179">
        <f>G42*(1+'a5-1'!$P$47/100)</f>
        <v>12.732049442898667</v>
      </c>
      <c r="H43" s="175">
        <f t="shared" ref="H43" si="11">E43*F43</f>
        <v>16709.017508474091</v>
      </c>
      <c r="I43" s="175">
        <f t="shared" ref="I43" si="12">H43/K43*100</f>
        <v>14734.583340806077</v>
      </c>
      <c r="J43" s="183">
        <f>'a8'!AS46</f>
        <v>121.4</v>
      </c>
      <c r="K43" s="6">
        <f>'a1'!AR46</f>
        <v>113.4</v>
      </c>
      <c r="L43" s="175">
        <f t="shared" si="2"/>
        <v>12222.625927967898</v>
      </c>
      <c r="S43" s="191">
        <f>S42*POWER(S$40/S$33,1/7)</f>
        <v>3.4579977462441942</v>
      </c>
    </row>
    <row r="44" spans="1:19">
      <c r="A44" s="172">
        <v>2009</v>
      </c>
      <c r="B44" s="175">
        <f>'a1'!AV47/1000</f>
        <v>1219.5619999999999</v>
      </c>
      <c r="C44" s="304">
        <v>928.5</v>
      </c>
      <c r="D44" s="182">
        <f>C44/'a5-1'!C43*100</f>
        <v>3.40132316416467</v>
      </c>
      <c r="E44" s="175">
        <f t="shared" ref="E44" si="13">C44*S44*365/1000</f>
        <v>1167.2172544937341</v>
      </c>
      <c r="F44" s="182">
        <f t="shared" ref="F44" si="14">G44*K44/100</f>
        <v>14.666445420644017</v>
      </c>
      <c r="G44" s="179">
        <f>G43*(1+'a5-1'!$P$47/100)</f>
        <v>12.854027537812462</v>
      </c>
      <c r="H44" s="175">
        <f t="shared" ref="H44" si="15">E44*F44</f>
        <v>17118.928157066308</v>
      </c>
      <c r="I44" s="175">
        <f t="shared" ref="I44" si="16">H44/K44*100</f>
        <v>15003.442731872312</v>
      </c>
      <c r="J44" s="183">
        <f>'a8'!AS47</f>
        <v>121.1</v>
      </c>
      <c r="K44" s="6">
        <f>'a1'!AR47</f>
        <v>114.1</v>
      </c>
      <c r="L44" s="175">
        <f t="shared" ref="L44:L45" si="17">I44/B44*1000</f>
        <v>12302.320613361448</v>
      </c>
      <c r="S44" s="191">
        <f>S43*POWER(S$40/S$33,1/7)</f>
        <v>3.4441093072306459</v>
      </c>
    </row>
    <row r="45" spans="1:19">
      <c r="A45" s="172">
        <v>2010</v>
      </c>
      <c r="B45" s="175">
        <f>'a1'!AV48/1000</f>
        <v>1235.412</v>
      </c>
      <c r="C45" s="304">
        <v>941</v>
      </c>
      <c r="D45" s="182">
        <f>C45/'a5-1'!C44*100</f>
        <v>3.4022090858144871</v>
      </c>
      <c r="E45" s="175">
        <f t="shared" ref="E45" si="18">C45*S45*365/1000</f>
        <v>1178.1799691411838</v>
      </c>
      <c r="F45" s="182">
        <f t="shared" ref="F45" si="19">G45*K45/100</f>
        <v>14.923750366068973</v>
      </c>
      <c r="G45" s="179">
        <f>G44*(1+'a5-1'!$P$47/100)</f>
        <v>12.977174231364325</v>
      </c>
      <c r="H45" s="175">
        <f t="shared" ref="H45" si="20">E45*F45</f>
        <v>17582.863745765873</v>
      </c>
      <c r="I45" s="175">
        <f t="shared" ref="I45" si="21">H45/K45*100</f>
        <v>15289.446735448586</v>
      </c>
      <c r="J45" s="183">
        <f>'a8'!AS48</f>
        <v>124.60489741027938</v>
      </c>
      <c r="K45" s="6">
        <f>'a1'!AR48</f>
        <v>115</v>
      </c>
      <c r="L45" s="175">
        <f t="shared" si="17"/>
        <v>12375.990143732281</v>
      </c>
      <c r="S45" s="191">
        <f>S44*POWER(S$40/S$33,1/7)</f>
        <v>3.4302766486867187</v>
      </c>
    </row>
    <row r="46" spans="1:19">
      <c r="A46" s="172" t="s">
        <v>435</v>
      </c>
    </row>
    <row r="47" spans="1:19">
      <c r="A47" s="172" t="s">
        <v>438</v>
      </c>
      <c r="B47" s="179">
        <f>(POWER(B40/B27, 1/13)-1)*100</f>
        <v>0.44169539693543758</v>
      </c>
      <c r="C47" s="179">
        <f t="shared" ref="C47:L47" si="22">(POWER(C40/C27, 1/13)-1)*100</f>
        <v>0.5644169230175633</v>
      </c>
      <c r="D47" s="179">
        <f t="shared" si="22"/>
        <v>-0.71731634446040582</v>
      </c>
      <c r="E47" s="179">
        <f t="shared" si="22"/>
        <v>1.21833425050073</v>
      </c>
      <c r="F47" s="179">
        <f t="shared" si="22"/>
        <v>3.0939803572178182</v>
      </c>
      <c r="G47" s="179">
        <f t="shared" si="22"/>
        <v>0.95803975205128733</v>
      </c>
      <c r="H47" s="179">
        <f t="shared" si="22"/>
        <v>4.3500096301143154</v>
      </c>
      <c r="I47" s="179">
        <f t="shared" si="22"/>
        <v>2.1880461289846664</v>
      </c>
      <c r="J47" s="179">
        <f t="shared" si="22"/>
        <v>1.8545024835331381</v>
      </c>
      <c r="K47" s="179">
        <f t="shared" si="22"/>
        <v>2.1156716299289391</v>
      </c>
      <c r="L47" s="179">
        <f t="shared" si="22"/>
        <v>1.7386711018246404</v>
      </c>
    </row>
    <row r="48" spans="1:19" ht="16.5" customHeight="1">
      <c r="A48" s="272" t="s">
        <v>1051</v>
      </c>
      <c r="B48" s="273">
        <f t="shared" ref="B48:L48" si="23">(POWER(B45/B27, 1/18)-1)*100</f>
        <v>0.5829420293339771</v>
      </c>
      <c r="C48" s="273">
        <f t="shared" si="23"/>
        <v>0.7092008348934753</v>
      </c>
      <c r="D48" s="273">
        <f t="shared" si="23"/>
        <v>-0.60864762682861784</v>
      </c>
      <c r="E48" s="273">
        <f t="shared" si="23"/>
        <v>1.0686814030367087</v>
      </c>
      <c r="F48" s="273">
        <f t="shared" si="23"/>
        <v>2.9289818377802979</v>
      </c>
      <c r="G48" s="273">
        <f t="shared" si="23"/>
        <v>0.95803975205128733</v>
      </c>
      <c r="H48" s="273">
        <f t="shared" si="23"/>
        <v>4.0289647250157046</v>
      </c>
      <c r="I48" s="273">
        <f t="shared" si="23"/>
        <v>2.0369595477518709</v>
      </c>
      <c r="J48" s="273">
        <f t="shared" si="23"/>
        <v>2.181205582463619</v>
      </c>
      <c r="K48" s="273">
        <f t="shared" si="23"/>
        <v>1.952238861381983</v>
      </c>
      <c r="L48" s="273">
        <f t="shared" si="23"/>
        <v>1.4455905634514377</v>
      </c>
    </row>
    <row r="49" spans="1:12" ht="15" customHeight="1">
      <c r="A49" s="642" t="s">
        <v>933</v>
      </c>
      <c r="B49" s="642"/>
      <c r="C49" s="642"/>
      <c r="D49" s="642"/>
      <c r="E49" s="642"/>
      <c r="F49" s="642"/>
      <c r="G49" s="642"/>
      <c r="H49" s="642"/>
      <c r="I49" s="642"/>
      <c r="J49" s="642"/>
      <c r="K49" s="642"/>
      <c r="L49" s="642"/>
    </row>
    <row r="50" spans="1:12" ht="12.75" customHeight="1">
      <c r="A50" s="643" t="s">
        <v>913</v>
      </c>
      <c r="B50" s="642"/>
      <c r="C50" s="642"/>
      <c r="D50" s="642"/>
      <c r="E50" s="642"/>
      <c r="F50" s="642"/>
      <c r="G50" s="642"/>
      <c r="H50" s="642"/>
      <c r="I50" s="642"/>
      <c r="J50" s="642"/>
      <c r="K50" s="642"/>
      <c r="L50" s="642"/>
    </row>
    <row r="51" spans="1:12">
      <c r="A51" s="185" t="s">
        <v>912</v>
      </c>
      <c r="B51" s="203"/>
      <c r="C51" s="203"/>
      <c r="D51" s="203"/>
      <c r="E51" s="203"/>
      <c r="F51" s="203"/>
      <c r="G51" s="203"/>
      <c r="H51" s="203"/>
      <c r="I51" s="203"/>
      <c r="J51" s="203"/>
      <c r="K51" s="203"/>
    </row>
    <row r="52" spans="1:12">
      <c r="A52" s="172" t="s">
        <v>1053</v>
      </c>
    </row>
    <row r="53" spans="1:12">
      <c r="A53" s="189" t="s">
        <v>1054</v>
      </c>
    </row>
    <row r="54" spans="1:12">
      <c r="A54" s="189" t="s">
        <v>944</v>
      </c>
    </row>
    <row r="55" spans="1:12">
      <c r="A55" s="185" t="s">
        <v>1050</v>
      </c>
    </row>
    <row r="56" spans="1:12">
      <c r="A56" s="1" t="s">
        <v>1052</v>
      </c>
    </row>
  </sheetData>
  <mergeCells count="2">
    <mergeCell ref="A49:L49"/>
    <mergeCell ref="A50:L50"/>
  </mergeCells>
  <pageMargins left="0.74803149606299213" right="0.74803149606299213" top="0.98425196850393704" bottom="0.98425196850393704" header="0.51181102362204722" footer="0.51181102362204722"/>
  <pageSetup scale="63" orientation="landscape" r:id="rId1"/>
  <headerFooter alignWithMargins="0"/>
</worksheet>
</file>

<file path=xl/worksheets/sheet26.xml><?xml version="1.0" encoding="utf-8"?>
<worksheet xmlns="http://schemas.openxmlformats.org/spreadsheetml/2006/main" xmlns:r="http://schemas.openxmlformats.org/officeDocument/2006/relationships">
  <dimension ref="A1:S56"/>
  <sheetViews>
    <sheetView view="pageBreakPreview" topLeftCell="B1" zoomScaleSheetLayoutView="100" workbookViewId="0">
      <selection activeCell="E9" sqref="E9"/>
    </sheetView>
  </sheetViews>
  <sheetFormatPr defaultRowHeight="12.75"/>
  <cols>
    <col min="1" max="1" width="9.375" style="172" customWidth="1"/>
    <col min="2" max="12" width="12" style="172" customWidth="1"/>
    <col min="13" max="17" width="9" style="172"/>
    <col min="18" max="18" width="0" style="172" hidden="1" customWidth="1"/>
    <col min="19" max="16384" width="9" style="172"/>
  </cols>
  <sheetData>
    <row r="1" spans="1:19" ht="24" customHeight="1">
      <c r="A1" s="172" t="s">
        <v>899</v>
      </c>
      <c r="S1" s="203" t="s">
        <v>914</v>
      </c>
    </row>
    <row r="2" spans="1:19" ht="25.5">
      <c r="B2" s="203" t="s">
        <v>868</v>
      </c>
      <c r="C2" s="203" t="s">
        <v>869</v>
      </c>
      <c r="D2" s="203" t="s">
        <v>890</v>
      </c>
      <c r="E2" s="203" t="s">
        <v>870</v>
      </c>
      <c r="F2" s="203" t="s">
        <v>871</v>
      </c>
      <c r="G2" s="203" t="s">
        <v>872</v>
      </c>
      <c r="H2" s="203" t="s">
        <v>873</v>
      </c>
      <c r="I2" s="203" t="s">
        <v>873</v>
      </c>
      <c r="J2" s="203" t="s">
        <v>473</v>
      </c>
      <c r="K2" s="203" t="s">
        <v>874</v>
      </c>
      <c r="L2" s="203" t="s">
        <v>875</v>
      </c>
      <c r="S2" s="172" t="s">
        <v>915</v>
      </c>
    </row>
    <row r="3" spans="1:19" ht="37.5" customHeight="1">
      <c r="B3" s="203" t="s">
        <v>876</v>
      </c>
      <c r="C3" s="203" t="s">
        <v>876</v>
      </c>
      <c r="D3" s="203" t="s">
        <v>891</v>
      </c>
      <c r="E3" s="203" t="s">
        <v>877</v>
      </c>
      <c r="F3" s="203" t="s">
        <v>878</v>
      </c>
      <c r="G3" s="203" t="s">
        <v>879</v>
      </c>
      <c r="H3" s="203" t="s">
        <v>880</v>
      </c>
      <c r="I3" s="203" t="s">
        <v>881</v>
      </c>
      <c r="J3" s="203" t="s">
        <v>882</v>
      </c>
      <c r="K3" s="203" t="s">
        <v>882</v>
      </c>
      <c r="L3" s="203" t="s">
        <v>883</v>
      </c>
    </row>
    <row r="4" spans="1:19" ht="13.5" customHeight="1">
      <c r="A4" s="272"/>
      <c r="B4" s="274" t="s">
        <v>105</v>
      </c>
      <c r="C4" s="274" t="s">
        <v>106</v>
      </c>
      <c r="D4" s="274" t="s">
        <v>107</v>
      </c>
      <c r="E4" s="274" t="s">
        <v>108</v>
      </c>
      <c r="F4" s="274" t="s">
        <v>109</v>
      </c>
      <c r="G4" s="274" t="s">
        <v>110</v>
      </c>
      <c r="H4" s="275" t="s">
        <v>892</v>
      </c>
      <c r="I4" s="275" t="s">
        <v>936</v>
      </c>
      <c r="J4" s="276" t="s">
        <v>138</v>
      </c>
      <c r="K4" s="276" t="s">
        <v>138</v>
      </c>
      <c r="L4" s="276" t="s">
        <v>935</v>
      </c>
    </row>
    <row r="5" spans="1:19" hidden="1">
      <c r="A5" s="172">
        <v>1971</v>
      </c>
      <c r="B5" s="175">
        <v>932.03800000000001</v>
      </c>
      <c r="C5" s="176">
        <f>C6*B5/B6</f>
        <v>656.90024473707945</v>
      </c>
      <c r="D5" s="182">
        <f>C5/'a5-1'!C5*100</f>
        <v>4.1118577782773835</v>
      </c>
      <c r="E5" s="177">
        <v>17519</v>
      </c>
      <c r="F5" s="187">
        <f>H5/E5</f>
        <v>1.6931331697014669</v>
      </c>
      <c r="G5" s="179">
        <f>F5/K5*100</f>
        <v>8.06081158657177</v>
      </c>
      <c r="H5" s="177">
        <v>29662</v>
      </c>
      <c r="I5" s="175">
        <f t="shared" ref="I5:I14" si="0">H5/J5*100</f>
        <v>107534.6741079318</v>
      </c>
      <c r="J5" s="183">
        <v>27.583661034047918</v>
      </c>
      <c r="K5" s="183">
        <v>21.004499999999993</v>
      </c>
      <c r="L5" s="175">
        <f>I5/B5*1000</f>
        <v>115375.84745249851</v>
      </c>
    </row>
    <row r="6" spans="1:19" hidden="1">
      <c r="A6" s="172">
        <v>1972</v>
      </c>
      <c r="B6" s="175">
        <v>920.78</v>
      </c>
      <c r="C6" s="176">
        <f>C7*B6/B7</f>
        <v>648.96560799989697</v>
      </c>
      <c r="D6" s="182">
        <f>C6/'a5-1'!C6*100</f>
        <v>4.0153078741258676</v>
      </c>
      <c r="E6" s="175">
        <v>17872</v>
      </c>
      <c r="F6" s="182">
        <f>POWER(F$16/F$5,1/10)*F5</f>
        <v>1.8564985793962403</v>
      </c>
      <c r="G6" s="179">
        <f t="shared" ref="G6:G27" si="1">F6/K6*100</f>
        <v>8.4349875253696851</v>
      </c>
      <c r="H6" s="175">
        <v>33180</v>
      </c>
      <c r="I6" s="175">
        <f t="shared" si="0"/>
        <v>114027.00272086578</v>
      </c>
      <c r="J6" s="183">
        <v>29.09837074401009</v>
      </c>
      <c r="K6" s="183">
        <v>22.009499999999996</v>
      </c>
      <c r="L6" s="175">
        <f t="shared" ref="L6:L43" si="2">I6/B6*1000</f>
        <v>123837.40168212363</v>
      </c>
    </row>
    <row r="7" spans="1:19" hidden="1">
      <c r="A7" s="172">
        <v>1973</v>
      </c>
      <c r="B7" s="175">
        <v>911.93700000000001</v>
      </c>
      <c r="C7" s="176">
        <f>C8*B7/B8</f>
        <v>642.7330629060167</v>
      </c>
      <c r="D7" s="182">
        <f>C7/'a5-1'!C7*100</f>
        <v>3.9284212648988697</v>
      </c>
      <c r="E7" s="175">
        <v>18232</v>
      </c>
      <c r="F7" s="182">
        <f t="shared" ref="F7:F14" si="3">POWER(F$16/F$5,1/10)*F6</f>
        <v>2.0356266340868867</v>
      </c>
      <c r="G7" s="179">
        <f t="shared" si="1"/>
        <v>8.5826234677750524</v>
      </c>
      <c r="H7" s="175">
        <v>37115</v>
      </c>
      <c r="I7" s="175">
        <f t="shared" si="0"/>
        <v>119373.80837888911</v>
      </c>
      <c r="J7" s="183">
        <v>31.091409836065576</v>
      </c>
      <c r="K7" s="183">
        <v>23.717999999999996</v>
      </c>
      <c r="L7" s="175">
        <f t="shared" si="2"/>
        <v>130901.37627806427</v>
      </c>
    </row>
    <row r="8" spans="1:19" hidden="1">
      <c r="A8" s="172">
        <v>1974</v>
      </c>
      <c r="B8" s="175">
        <v>908.45699999999999</v>
      </c>
      <c r="C8" s="176">
        <f>C9*B8/B9</f>
        <v>640.28035942001611</v>
      </c>
      <c r="D8" s="182">
        <f>C8/'a5-1'!C8*100</f>
        <v>3.8591774384617237</v>
      </c>
      <c r="E8" s="175">
        <v>18599</v>
      </c>
      <c r="F8" s="182">
        <f t="shared" si="3"/>
        <v>2.2320382247486137</v>
      </c>
      <c r="G8" s="179">
        <f t="shared" si="1"/>
        <v>8.4768456372663934</v>
      </c>
      <c r="H8" s="175">
        <v>41518</v>
      </c>
      <c r="I8" s="175">
        <f t="shared" si="0"/>
        <v>118630.4276063187</v>
      </c>
      <c r="J8" s="183">
        <v>34.997766456494332</v>
      </c>
      <c r="K8" s="183">
        <v>26.330999999999996</v>
      </c>
      <c r="L8" s="175">
        <f t="shared" si="2"/>
        <v>130584.52695759812</v>
      </c>
    </row>
    <row r="9" spans="1:19" hidden="1">
      <c r="A9" s="172">
        <v>1975</v>
      </c>
      <c r="B9" s="175">
        <v>917.41499999999996</v>
      </c>
      <c r="C9" s="176">
        <f>C10*B9/B10</f>
        <v>646.59395649691078</v>
      </c>
      <c r="D9" s="182">
        <f>C9/'a5-1'!C9*100</f>
        <v>3.8407673963210724</v>
      </c>
      <c r="E9" s="175">
        <v>18974</v>
      </c>
      <c r="F9" s="182">
        <f t="shared" si="3"/>
        <v>2.4474009886266286</v>
      </c>
      <c r="G9" s="179">
        <f t="shared" si="1"/>
        <v>8.3973271182934592</v>
      </c>
      <c r="H9" s="175">
        <v>46442</v>
      </c>
      <c r="I9" s="175">
        <f t="shared" si="0"/>
        <v>118646.13998521261</v>
      </c>
      <c r="J9" s="183">
        <v>39.143287767969753</v>
      </c>
      <c r="K9" s="183">
        <v>29.145</v>
      </c>
      <c r="L9" s="175">
        <f t="shared" si="2"/>
        <v>129326.57519793398</v>
      </c>
    </row>
    <row r="10" spans="1:19" hidden="1">
      <c r="A10" s="172">
        <v>1976</v>
      </c>
      <c r="B10" s="175">
        <v>931.61199999999997</v>
      </c>
      <c r="C10" s="175">
        <v>656.6</v>
      </c>
      <c r="D10" s="182">
        <f>C10/'a5-1'!C10*100</f>
        <v>3.8492203071872435</v>
      </c>
      <c r="E10" s="175">
        <v>19356</v>
      </c>
      <c r="F10" s="182">
        <f t="shared" si="3"/>
        <v>2.6835434683495194</v>
      </c>
      <c r="G10" s="179">
        <f t="shared" si="1"/>
        <v>8.5858279929916961</v>
      </c>
      <c r="H10" s="175">
        <v>51950</v>
      </c>
      <c r="I10" s="175">
        <f t="shared" si="0"/>
        <v>121575.18908859727</v>
      </c>
      <c r="J10" s="183">
        <v>42.730758133669624</v>
      </c>
      <c r="K10" s="183">
        <v>31.255499999999998</v>
      </c>
      <c r="L10" s="175">
        <f t="shared" si="2"/>
        <v>130499.81010184206</v>
      </c>
    </row>
    <row r="11" spans="1:19" hidden="1">
      <c r="A11" s="172">
        <v>1977</v>
      </c>
      <c r="B11" s="175">
        <v>944.62099999999998</v>
      </c>
      <c r="C11" s="175">
        <v>671</v>
      </c>
      <c r="D11" s="182">
        <f>C11/'a5-1'!C11*100</f>
        <v>3.8484700754208365</v>
      </c>
      <c r="E11" s="175">
        <v>19746</v>
      </c>
      <c r="F11" s="182">
        <f t="shared" si="3"/>
        <v>2.9424706372135909</v>
      </c>
      <c r="G11" s="179">
        <f t="shared" si="1"/>
        <v>8.7137841661146389</v>
      </c>
      <c r="H11" s="175">
        <v>58111</v>
      </c>
      <c r="I11" s="175">
        <f t="shared" si="0"/>
        <v>126111.50313671076</v>
      </c>
      <c r="J11" s="183">
        <v>46.079063808322829</v>
      </c>
      <c r="K11" s="183">
        <v>33.768000000000001</v>
      </c>
      <c r="L11" s="175">
        <f t="shared" si="2"/>
        <v>133504.86929330468</v>
      </c>
    </row>
    <row r="12" spans="1:19" hidden="1">
      <c r="A12" s="172">
        <v>1978</v>
      </c>
      <c r="B12" s="175">
        <v>952.43</v>
      </c>
      <c r="C12" s="175">
        <v>681.2</v>
      </c>
      <c r="D12" s="182">
        <f>C12/'a5-1'!C12*100</f>
        <v>3.8315296870429956</v>
      </c>
      <c r="E12" s="175">
        <v>20144</v>
      </c>
      <c r="F12" s="182">
        <f t="shared" si="3"/>
        <v>3.2263809224559479</v>
      </c>
      <c r="G12" s="179">
        <f t="shared" si="1"/>
        <v>8.7713914646873494</v>
      </c>
      <c r="H12" s="175">
        <v>65004</v>
      </c>
      <c r="I12" s="175">
        <f t="shared" si="0"/>
        <v>131091.30548641982</v>
      </c>
      <c r="J12" s="183">
        <v>49.586812610340495</v>
      </c>
      <c r="K12" s="183">
        <v>36.783000000000001</v>
      </c>
      <c r="L12" s="175">
        <f t="shared" si="2"/>
        <v>137638.78236344911</v>
      </c>
    </row>
    <row r="13" spans="1:19" hidden="1">
      <c r="A13" s="172">
        <v>1979</v>
      </c>
      <c r="B13" s="175">
        <v>959.73500000000001</v>
      </c>
      <c r="C13" s="175">
        <v>691</v>
      </c>
      <c r="D13" s="182">
        <f>C13/'a5-1'!C13*100</f>
        <v>3.8135920615472911</v>
      </c>
      <c r="E13" s="175">
        <v>20550</v>
      </c>
      <c r="F13" s="182">
        <f t="shared" si="3"/>
        <v>3.5376848710528273</v>
      </c>
      <c r="G13" s="179">
        <f t="shared" si="1"/>
        <v>8.8002111220219579</v>
      </c>
      <c r="H13" s="175">
        <v>72714</v>
      </c>
      <c r="I13" s="175">
        <f t="shared" si="0"/>
        <v>135326.33833811065</v>
      </c>
      <c r="J13" s="183">
        <v>53.732333921815915</v>
      </c>
      <c r="K13" s="183">
        <v>40.200000000000003</v>
      </c>
      <c r="L13" s="175">
        <f t="shared" si="2"/>
        <v>141003.85870902974</v>
      </c>
    </row>
    <row r="14" spans="1:19" hidden="1">
      <c r="A14" s="172">
        <v>1980</v>
      </c>
      <c r="B14" s="175">
        <v>967.548</v>
      </c>
      <c r="C14" s="175">
        <v>700.5</v>
      </c>
      <c r="D14" s="182">
        <f>C14/'a5-1'!C14*100</f>
        <v>3.7898666378121026</v>
      </c>
      <c r="E14" s="175">
        <v>20964</v>
      </c>
      <c r="F14" s="182">
        <f t="shared" si="3"/>
        <v>3.8790256165255821</v>
      </c>
      <c r="G14" s="179">
        <f t="shared" si="1"/>
        <v>8.756265500057749</v>
      </c>
      <c r="H14" s="175">
        <v>81338</v>
      </c>
      <c r="I14" s="175">
        <f t="shared" si="0"/>
        <v>139381.97045623267</v>
      </c>
      <c r="J14" s="183">
        <v>58.356184615384635</v>
      </c>
      <c r="K14" s="183">
        <v>44.3</v>
      </c>
      <c r="L14" s="175">
        <f t="shared" si="2"/>
        <v>144056.90514189753</v>
      </c>
    </row>
    <row r="15" spans="1:19" hidden="1">
      <c r="B15" s="175"/>
      <c r="C15" s="175"/>
      <c r="D15" s="182"/>
      <c r="E15" s="175"/>
      <c r="F15" s="182"/>
      <c r="G15" s="179"/>
      <c r="I15" s="175"/>
      <c r="J15" s="183"/>
      <c r="K15" s="183"/>
    </row>
    <row r="16" spans="1:19">
      <c r="A16" s="172">
        <v>1981</v>
      </c>
      <c r="B16" s="175">
        <f>'a1'!BB19/1000</f>
        <v>975.75900000000001</v>
      </c>
      <c r="C16" s="175">
        <v>709.1</v>
      </c>
      <c r="D16" s="182">
        <f>C16/'a5-1'!C15*100</f>
        <v>3.7689216770133509</v>
      </c>
      <c r="E16" s="177">
        <v>833</v>
      </c>
      <c r="F16" s="187">
        <v>4.2533013205282115</v>
      </c>
      <c r="G16" s="179">
        <f t="shared" si="1"/>
        <v>8.5925279202590126</v>
      </c>
      <c r="H16" s="177">
        <v>3543</v>
      </c>
      <c r="I16" s="175">
        <f>H16/K16*100</f>
        <v>7157.575757575758</v>
      </c>
      <c r="J16" s="183">
        <f>'a8'!AY19</f>
        <v>63.2</v>
      </c>
      <c r="K16" s="6">
        <f>'a1'!AX19</f>
        <v>49.5</v>
      </c>
      <c r="L16" s="175">
        <f t="shared" si="2"/>
        <v>7335.3930197679529</v>
      </c>
    </row>
    <row r="17" spans="1:12">
      <c r="A17" s="172">
        <v>1982</v>
      </c>
      <c r="B17" s="175">
        <f>'a1'!BB20/1000</f>
        <v>986.58199999999999</v>
      </c>
      <c r="C17" s="175">
        <v>718.6</v>
      </c>
      <c r="D17" s="182">
        <f>C17/'a5-1'!C16*100</f>
        <v>3.7616340546708962</v>
      </c>
      <c r="E17" s="175">
        <v>832.16700000000003</v>
      </c>
      <c r="F17" s="182">
        <f>POWER(F$21/F$16,1/5)*F16</f>
        <v>4.4260920441733393</v>
      </c>
      <c r="G17" s="179">
        <f t="shared" si="1"/>
        <v>8.1964667484691471</v>
      </c>
      <c r="H17" s="175">
        <v>3684.2751836084321</v>
      </c>
      <c r="I17" s="175">
        <f t="shared" ref="I17:I42" si="4">H17/K17*100</f>
        <v>6822.7318214970965</v>
      </c>
      <c r="J17" s="183">
        <f>'a8'!AY20</f>
        <v>65.400000000000006</v>
      </c>
      <c r="K17" s="6">
        <f>'a1'!AX20</f>
        <v>54</v>
      </c>
      <c r="L17" s="175">
        <f t="shared" si="2"/>
        <v>6915.5243269156508</v>
      </c>
    </row>
    <row r="18" spans="1:12">
      <c r="A18" s="172">
        <v>1983</v>
      </c>
      <c r="B18" s="175">
        <f>'a1'!BB21/1000</f>
        <v>1001.249</v>
      </c>
      <c r="C18" s="175">
        <v>729.2</v>
      </c>
      <c r="D18" s="182">
        <f>C18/'a5-1'!C17*100</f>
        <v>3.7675019374838548</v>
      </c>
      <c r="E18" s="175">
        <v>831.334833</v>
      </c>
      <c r="F18" s="182">
        <f>POWER(F$21/F$16,1/5)*F17</f>
        <v>4.6059024054899638</v>
      </c>
      <c r="G18" s="179">
        <f t="shared" si="1"/>
        <v>8.0242202186236309</v>
      </c>
      <c r="H18" s="175">
        <v>3831.1836377513259</v>
      </c>
      <c r="I18" s="175">
        <f t="shared" si="4"/>
        <v>6674.5359542706028</v>
      </c>
      <c r="J18" s="183">
        <f>'a8'!AY21</f>
        <v>67.599999999999994</v>
      </c>
      <c r="K18" s="6">
        <f>'a1'!AX21</f>
        <v>57.4</v>
      </c>
      <c r="L18" s="175">
        <f t="shared" si="2"/>
        <v>6666.2098581577638</v>
      </c>
    </row>
    <row r="19" spans="1:12">
      <c r="A19" s="172">
        <v>1984</v>
      </c>
      <c r="B19" s="175">
        <f>'a1'!BB22/1000</f>
        <v>1014.615</v>
      </c>
      <c r="C19" s="175">
        <v>739.8</v>
      </c>
      <c r="D19" s="182">
        <f>C19/'a5-1'!C18*100</f>
        <v>3.7748942488736033</v>
      </c>
      <c r="E19" s="175">
        <v>830.50349816699998</v>
      </c>
      <c r="F19" s="182">
        <f>POWER(F$21/F$16,1/5)*F18</f>
        <v>4.7930175778485049</v>
      </c>
      <c r="G19" s="179">
        <f t="shared" si="1"/>
        <v>8.015079561619574</v>
      </c>
      <c r="H19" s="175">
        <v>3983.9499860044843</v>
      </c>
      <c r="I19" s="175">
        <f t="shared" si="4"/>
        <v>6662.1237224155266</v>
      </c>
      <c r="J19" s="183">
        <f>'a8'!AY22</f>
        <v>70.7</v>
      </c>
      <c r="K19" s="6">
        <f>'a1'!AX22</f>
        <v>59.8</v>
      </c>
      <c r="L19" s="175">
        <f t="shared" si="2"/>
        <v>6566.1593041848646</v>
      </c>
    </row>
    <row r="20" spans="1:12">
      <c r="A20" s="172">
        <v>1985</v>
      </c>
      <c r="B20" s="175">
        <f>'a1'!BB23/1000</f>
        <v>1024.9280000000001</v>
      </c>
      <c r="C20" s="175">
        <v>747.2</v>
      </c>
      <c r="D20" s="182">
        <f>C20/'a5-1'!C19*100</f>
        <v>3.76561657435732</v>
      </c>
      <c r="E20" s="175">
        <v>829.67299466883298</v>
      </c>
      <c r="F20" s="182">
        <f>POWER(F$21/F$16,1/5)*F19</f>
        <v>4.9877343198115245</v>
      </c>
      <c r="G20" s="179">
        <f t="shared" si="1"/>
        <v>8.0447327738895549</v>
      </c>
      <c r="H20" s="175">
        <v>4142.8078086857131</v>
      </c>
      <c r="I20" s="175">
        <f t="shared" si="4"/>
        <v>6681.9480785253436</v>
      </c>
      <c r="J20" s="183">
        <f>'a8'!AY23</f>
        <v>72.5</v>
      </c>
      <c r="K20" s="6">
        <f>'a1'!AX23</f>
        <v>62</v>
      </c>
      <c r="L20" s="175">
        <f t="shared" si="2"/>
        <v>6519.4316854699482</v>
      </c>
    </row>
    <row r="21" spans="1:12">
      <c r="A21" s="172">
        <v>1986</v>
      </c>
      <c r="B21" s="175">
        <f>'a1'!BB24/1000</f>
        <v>1028.7170000000001</v>
      </c>
      <c r="C21" s="175">
        <v>750.5</v>
      </c>
      <c r="D21" s="182">
        <f>C21/'a5-1'!C20*100</f>
        <v>3.7350944598172515</v>
      </c>
      <c r="E21" s="177">
        <v>830</v>
      </c>
      <c r="F21" s="187">
        <v>5.1903614457831324</v>
      </c>
      <c r="G21" s="179">
        <f t="shared" si="1"/>
        <v>8.1481341378071139</v>
      </c>
      <c r="H21" s="177">
        <v>4308</v>
      </c>
      <c r="I21" s="175">
        <f t="shared" si="4"/>
        <v>6762.9513343799063</v>
      </c>
      <c r="J21" s="183">
        <f>'a8'!AY24</f>
        <v>68</v>
      </c>
      <c r="K21" s="6">
        <f>'a1'!AX24</f>
        <v>63.7</v>
      </c>
      <c r="L21" s="175">
        <f t="shared" si="2"/>
        <v>6574.161148673451</v>
      </c>
    </row>
    <row r="22" spans="1:12">
      <c r="A22" s="172">
        <v>1987</v>
      </c>
      <c r="B22" s="175">
        <f>'a1'!BB25/1000</f>
        <v>1032.799</v>
      </c>
      <c r="C22" s="175">
        <v>752.3</v>
      </c>
      <c r="D22" s="182">
        <f>C22/'a5-1'!C21*100</f>
        <v>3.6971510853593208</v>
      </c>
      <c r="E22" s="175">
        <v>835.81</v>
      </c>
      <c r="F22" s="182">
        <f>POWER(F$27/F$21,1/6)*F21</f>
        <v>5.488649978080363</v>
      </c>
      <c r="G22" s="179">
        <f t="shared" si="1"/>
        <v>8.2165418833538375</v>
      </c>
      <c r="H22" s="175">
        <v>4587.0481340901488</v>
      </c>
      <c r="I22" s="175">
        <f t="shared" si="4"/>
        <v>6866.8385240870493</v>
      </c>
      <c r="J22" s="183">
        <f>'a8'!AY25</f>
        <v>69.3</v>
      </c>
      <c r="K22" s="6">
        <f>'a1'!AX25</f>
        <v>66.8</v>
      </c>
      <c r="L22" s="175">
        <f t="shared" si="2"/>
        <v>6648.7656592299654</v>
      </c>
    </row>
    <row r="23" spans="1:12">
      <c r="A23" s="172">
        <v>1988</v>
      </c>
      <c r="B23" s="175">
        <f>'a1'!BB26/1000</f>
        <v>1028.2249999999999</v>
      </c>
      <c r="C23" s="175">
        <v>748.9</v>
      </c>
      <c r="D23" s="182">
        <f>C23/'a5-1'!C22*100</f>
        <v>3.6332851418092194</v>
      </c>
      <c r="E23" s="175">
        <v>841.66066999999987</v>
      </c>
      <c r="F23" s="182">
        <f>POWER(F$27/F$21,1/6)*F22</f>
        <v>5.8040810638258362</v>
      </c>
      <c r="G23" s="179">
        <f t="shared" si="1"/>
        <v>8.3153023837046369</v>
      </c>
      <c r="H23" s="175">
        <v>4884.1714448607045</v>
      </c>
      <c r="I23" s="175">
        <f t="shared" si="4"/>
        <v>6997.3802934967107</v>
      </c>
      <c r="J23" s="183">
        <f>'a8'!AY26</f>
        <v>74.3</v>
      </c>
      <c r="K23" s="6">
        <f>'a1'!AX26</f>
        <v>69.8</v>
      </c>
      <c r="L23" s="175">
        <f t="shared" si="2"/>
        <v>6805.3006817541991</v>
      </c>
    </row>
    <row r="24" spans="1:12">
      <c r="A24" s="172">
        <v>1989</v>
      </c>
      <c r="B24" s="175">
        <f>'a1'!BB27/1000</f>
        <v>1019.439</v>
      </c>
      <c r="C24" s="175">
        <v>741.9</v>
      </c>
      <c r="D24" s="182">
        <f>C24/'a5-1'!C23*100</f>
        <v>3.5500155513553602</v>
      </c>
      <c r="E24" s="175">
        <v>847.55229468999983</v>
      </c>
      <c r="F24" s="182">
        <f>POWER(F$27/F$21,1/6)*F23</f>
        <v>6.1376398804799885</v>
      </c>
      <c r="G24" s="179">
        <f t="shared" si="1"/>
        <v>8.4192590953086253</v>
      </c>
      <c r="H24" s="175">
        <v>5200.5407411152928</v>
      </c>
      <c r="I24" s="175">
        <f t="shared" si="4"/>
        <v>7133.8007422706341</v>
      </c>
      <c r="J24" s="183">
        <f>'a8'!AY27</f>
        <v>76.900000000000006</v>
      </c>
      <c r="K24" s="6">
        <f>'a1'!AX27</f>
        <v>72.900000000000006</v>
      </c>
      <c r="L24" s="175">
        <f t="shared" si="2"/>
        <v>6997.7710704324973</v>
      </c>
    </row>
    <row r="25" spans="1:12">
      <c r="A25" s="172">
        <v>1990</v>
      </c>
      <c r="B25" s="175">
        <f>'a1'!BB28/1000</f>
        <v>1007.727</v>
      </c>
      <c r="C25" s="175">
        <v>733.8</v>
      </c>
      <c r="D25" s="182">
        <f>C25/'a5-1'!C24*100</f>
        <v>3.4589223510113265</v>
      </c>
      <c r="E25" s="175">
        <v>853.48516075282976</v>
      </c>
      <c r="F25" s="182">
        <f>POWER(F$27/F$21,1/6)*F24</f>
        <v>6.490368223359603</v>
      </c>
      <c r="G25" s="179">
        <f t="shared" si="1"/>
        <v>8.539958188631056</v>
      </c>
      <c r="H25" s="175">
        <v>5537.4026701004414</v>
      </c>
      <c r="I25" s="175">
        <f t="shared" si="4"/>
        <v>7286.0561448690023</v>
      </c>
      <c r="J25" s="183">
        <f>'a8'!AY28</f>
        <v>76.400000000000006</v>
      </c>
      <c r="K25" s="6">
        <f>'a1'!AX28</f>
        <v>76</v>
      </c>
      <c r="L25" s="175">
        <f t="shared" si="2"/>
        <v>7230.1884784956665</v>
      </c>
    </row>
    <row r="26" spans="1:12">
      <c r="A26" s="172">
        <v>1991</v>
      </c>
      <c r="B26" s="175">
        <f>'a1'!BB29/1000</f>
        <v>1002.713</v>
      </c>
      <c r="C26" s="175">
        <v>731.5</v>
      </c>
      <c r="D26" s="182">
        <f>C26/'a5-1'!C25*100</f>
        <v>3.3970640821425424</v>
      </c>
      <c r="E26" s="175">
        <v>859.45955687809942</v>
      </c>
      <c r="F26" s="182">
        <f>POWER(F$27/F$21,1/6)*F25</f>
        <v>6.8633677594492157</v>
      </c>
      <c r="G26" s="179">
        <f t="shared" si="1"/>
        <v>8.5792096993115194</v>
      </c>
      <c r="H26" s="175">
        <v>5896.0846298955521</v>
      </c>
      <c r="I26" s="175">
        <f t="shared" si="4"/>
        <v>7370.1057873694399</v>
      </c>
      <c r="J26" s="183">
        <f>'a8'!AY29</f>
        <v>76.099999999999994</v>
      </c>
      <c r="K26" s="6">
        <f>'a1'!AX29</f>
        <v>80</v>
      </c>
      <c r="L26" s="175">
        <f t="shared" si="2"/>
        <v>7350.1647902933746</v>
      </c>
    </row>
    <row r="27" spans="1:12">
      <c r="A27" s="172">
        <v>1992</v>
      </c>
      <c r="B27" s="175">
        <f>'a1'!BB30/1000</f>
        <v>1003.995</v>
      </c>
      <c r="C27" s="175">
        <v>732.5</v>
      </c>
      <c r="D27" s="182">
        <f>C27/'a5-1'!C26*100</f>
        <v>3.3569811459106695</v>
      </c>
      <c r="E27" s="177">
        <v>865</v>
      </c>
      <c r="F27" s="187">
        <v>7.2578034682080927</v>
      </c>
      <c r="G27" s="179">
        <f t="shared" si="1"/>
        <v>8.9824300349110064</v>
      </c>
      <c r="H27" s="177">
        <v>6278</v>
      </c>
      <c r="I27" s="175">
        <f t="shared" si="4"/>
        <v>7769.801980198019</v>
      </c>
      <c r="J27" s="183">
        <f>'a8'!AY30</f>
        <v>78.5</v>
      </c>
      <c r="K27" s="6">
        <f>'a1'!AX30</f>
        <v>80.8</v>
      </c>
      <c r="L27" s="175">
        <f t="shared" si="2"/>
        <v>7738.8851340873398</v>
      </c>
    </row>
    <row r="28" spans="1:12">
      <c r="A28" s="172">
        <v>1993</v>
      </c>
      <c r="B28" s="175">
        <f>'a1'!BB31/1000</f>
        <v>1006.9</v>
      </c>
      <c r="C28" s="175">
        <v>735.2</v>
      </c>
      <c r="D28" s="182">
        <f>C28/'a5-1'!C27*100</f>
        <v>3.327765933852052</v>
      </c>
      <c r="E28" s="175">
        <f>E27*POWER(E$33/E$27, 1/6)</f>
        <v>883.67372366901532</v>
      </c>
      <c r="F28" s="182">
        <f>G28*K28/100</f>
        <v>7.5540482426929252</v>
      </c>
      <c r="G28" s="179">
        <f>G27*(1+'a5-1'!$P$47/100)</f>
        <v>9.0684852853456484</v>
      </c>
      <c r="H28" s="175">
        <f>E28*F28</f>
        <v>6675.313939395839</v>
      </c>
      <c r="I28" s="175">
        <f t="shared" si="4"/>
        <v>8013.5821601390635</v>
      </c>
      <c r="J28" s="183">
        <f>'a8'!AY31</f>
        <v>79.599999999999994</v>
      </c>
      <c r="K28" s="6">
        <f>'a1'!AX31</f>
        <v>83.3</v>
      </c>
      <c r="L28" s="175">
        <f t="shared" si="2"/>
        <v>7958.6673553868941</v>
      </c>
    </row>
    <row r="29" spans="1:12">
      <c r="A29" s="172">
        <v>1994</v>
      </c>
      <c r="B29" s="175">
        <f>'a1'!BB32/1000</f>
        <v>1009.575</v>
      </c>
      <c r="C29" s="175">
        <v>738.7</v>
      </c>
      <c r="D29" s="182">
        <f>C29/'a5-1'!C28*100</f>
        <v>3.3025299874372425</v>
      </c>
      <c r="E29" s="175">
        <f>E28*POWER(E$33/E$27, 1/6)</f>
        <v>902.75057792261646</v>
      </c>
      <c r="F29" s="182">
        <f t="shared" ref="F29:F42" si="5">G29*K29/100</f>
        <v>7.7637495024363776</v>
      </c>
      <c r="G29" s="179">
        <f>G28*(1+'a5-1'!$P$47/100)</f>
        <v>9.1553649792881817</v>
      </c>
      <c r="H29" s="175">
        <f t="shared" ref="H29:H42" si="6">E29*F29</f>
        <v>7008.7293501708655</v>
      </c>
      <c r="I29" s="175">
        <f t="shared" si="4"/>
        <v>8265.0110261448881</v>
      </c>
      <c r="J29" s="183">
        <f>'a8'!AY32</f>
        <v>81.5</v>
      </c>
      <c r="K29" s="6">
        <f>'a1'!AX32</f>
        <v>84.8</v>
      </c>
      <c r="L29" s="175">
        <f t="shared" si="2"/>
        <v>8186.624100383714</v>
      </c>
    </row>
    <row r="30" spans="1:12">
      <c r="A30" s="172">
        <v>1995</v>
      </c>
      <c r="B30" s="175">
        <f>'a1'!BB33/1000</f>
        <v>1014.187</v>
      </c>
      <c r="C30" s="175">
        <v>743.6</v>
      </c>
      <c r="D30" s="182">
        <f>C30/'a5-1'!C29*100</f>
        <v>3.2815533980582527</v>
      </c>
      <c r="E30" s="175">
        <f>E29*POWER(E$33/E$27, 1/6)</f>
        <v>922.23926559217807</v>
      </c>
      <c r="F30" s="182">
        <f t="shared" si="5"/>
        <v>7.9860185411631655</v>
      </c>
      <c r="G30" s="179">
        <f>G29*(1+'a5-1'!$P$47/100)</f>
        <v>9.2430770152351442</v>
      </c>
      <c r="H30" s="175">
        <f t="shared" si="6"/>
        <v>7365.0198744078352</v>
      </c>
      <c r="I30" s="175">
        <f t="shared" si="4"/>
        <v>8524.3285583424004</v>
      </c>
      <c r="J30" s="183">
        <f>'a8'!AY33</f>
        <v>87</v>
      </c>
      <c r="K30" s="6">
        <f>'a1'!AX33</f>
        <v>86.4</v>
      </c>
      <c r="L30" s="175">
        <f t="shared" si="2"/>
        <v>8405.0856088102082</v>
      </c>
    </row>
    <row r="31" spans="1:12">
      <c r="A31" s="172">
        <v>1996</v>
      </c>
      <c r="B31" s="175">
        <f>'a1'!BB34/1000</f>
        <v>1018.9450000000001</v>
      </c>
      <c r="C31" s="175">
        <v>744.9</v>
      </c>
      <c r="D31" s="182">
        <f>C31/'a5-1'!C30*100</f>
        <v>3.2444086325921733</v>
      </c>
      <c r="E31" s="175">
        <f>E30*POWER(E$33/E$27, 1/6)</f>
        <v>942.14867738684154</v>
      </c>
      <c r="F31" s="182">
        <f t="shared" si="5"/>
        <v>8.2211654726387096</v>
      </c>
      <c r="G31" s="179">
        <f>G30*(1+'a5-1'!$P$47/100)</f>
        <v>9.3316293673538127</v>
      </c>
      <c r="H31" s="175">
        <f t="shared" si="6"/>
        <v>7745.5601766249283</v>
      </c>
      <c r="I31" s="175">
        <f t="shared" si="4"/>
        <v>8791.7822663166044</v>
      </c>
      <c r="J31" s="183">
        <f>'a8'!AY34</f>
        <v>92.6</v>
      </c>
      <c r="K31" s="6">
        <f>'a1'!AX34</f>
        <v>88.1</v>
      </c>
      <c r="L31" s="175">
        <f t="shared" si="2"/>
        <v>8628.3187672706608</v>
      </c>
    </row>
    <row r="32" spans="1:12">
      <c r="A32" s="172">
        <v>1997</v>
      </c>
      <c r="B32" s="175">
        <f>'a1'!BB35/1000</f>
        <v>1017.902</v>
      </c>
      <c r="C32" s="175">
        <v>746.3</v>
      </c>
      <c r="D32" s="182">
        <f>C32/'a5-1'!C31*100</f>
        <v>3.2103481354342769</v>
      </c>
      <c r="E32" s="175">
        <f>E31*POWER(E$33/E$27, 1/6)</f>
        <v>962.48789594944276</v>
      </c>
      <c r="F32" s="182">
        <f t="shared" si="5"/>
        <v>8.4035588368967815</v>
      </c>
      <c r="G32" s="179">
        <f>G31*(1+'a5-1'!$P$47/100)</f>
        <v>9.4210300862071534</v>
      </c>
      <c r="H32" s="175">
        <f t="shared" si="6"/>
        <v>8088.3236634121295</v>
      </c>
      <c r="I32" s="175">
        <f t="shared" si="4"/>
        <v>9067.6274253499196</v>
      </c>
      <c r="J32" s="183">
        <f>'a8'!AY35</f>
        <v>89.8</v>
      </c>
      <c r="K32" s="6">
        <f>'a1'!AX35</f>
        <v>89.2</v>
      </c>
      <c r="L32" s="175">
        <f t="shared" si="2"/>
        <v>8908.1536585544764</v>
      </c>
    </row>
    <row r="33" spans="1:19">
      <c r="A33" s="172">
        <v>1998</v>
      </c>
      <c r="B33" s="175">
        <f>'a1'!BB36/1000</f>
        <v>1017.332</v>
      </c>
      <c r="C33" s="175">
        <v>748.3</v>
      </c>
      <c r="D33" s="182">
        <f>C33/'a5-1'!C32*100</f>
        <v>3.1821293858996325</v>
      </c>
      <c r="E33" s="177">
        <f>C33*S33*365/1000</f>
        <v>983.26620000000003</v>
      </c>
      <c r="F33" s="182">
        <f t="shared" si="5"/>
        <v>8.5982037187350997</v>
      </c>
      <c r="G33" s="179">
        <f>G32*(1+'a5-1'!$P$47/100)</f>
        <v>9.5112872994857298</v>
      </c>
      <c r="H33" s="175">
        <f t="shared" si="6"/>
        <v>8454.3230973465306</v>
      </c>
      <c r="I33" s="175">
        <f t="shared" si="4"/>
        <v>9352.1273200735941</v>
      </c>
      <c r="J33" s="183">
        <f>'a8'!AY36</f>
        <v>87.3</v>
      </c>
      <c r="K33" s="6">
        <f>'a1'!AX36</f>
        <v>90.4</v>
      </c>
      <c r="L33" s="175">
        <f t="shared" si="2"/>
        <v>9192.7977494796123</v>
      </c>
      <c r="S33" s="172">
        <v>3.6</v>
      </c>
    </row>
    <row r="34" spans="1:19">
      <c r="A34" s="172">
        <v>1999</v>
      </c>
      <c r="B34" s="175">
        <f>'a1'!BB37/1000</f>
        <v>1014.524</v>
      </c>
      <c r="C34" s="175">
        <v>748.6</v>
      </c>
      <c r="D34" s="182">
        <f>C34/'a5-1'!C33*100</f>
        <v>3.1478382265131577</v>
      </c>
      <c r="E34" s="175">
        <f t="shared" ref="E34:E42" si="7">C34*S34*365/1000</f>
        <v>975.66103690823206</v>
      </c>
      <c r="F34" s="182">
        <f t="shared" si="5"/>
        <v>8.8342164757268797</v>
      </c>
      <c r="G34" s="179">
        <f>G33*(1+'a5-1'!$P$47/100)</f>
        <v>9.6024092127466076</v>
      </c>
      <c r="H34" s="175">
        <f t="shared" si="6"/>
        <v>8619.2008069794756</v>
      </c>
      <c r="I34" s="175">
        <f t="shared" si="4"/>
        <v>9368.6965293255162</v>
      </c>
      <c r="J34" s="183">
        <f>'a8'!AY37</f>
        <v>90.7</v>
      </c>
      <c r="K34" s="6">
        <f>'a1'!AX37</f>
        <v>92</v>
      </c>
      <c r="L34" s="175">
        <f t="shared" si="2"/>
        <v>9234.5735826116652</v>
      </c>
      <c r="S34" s="191">
        <f t="shared" ref="S34:S39" si="8">S33*POWER(S$40/S$33, 1/7)</f>
        <v>3.5707239336560006</v>
      </c>
    </row>
    <row r="35" spans="1:19">
      <c r="A35" s="172">
        <v>2000</v>
      </c>
      <c r="B35" s="175">
        <f>'a1'!BB38/1000</f>
        <v>1007.5650000000001</v>
      </c>
      <c r="C35" s="175">
        <v>746.7</v>
      </c>
      <c r="D35" s="182">
        <f>C35/'a5-1'!C34*100</f>
        <v>3.0996650020548202</v>
      </c>
      <c r="E35" s="175">
        <f t="shared" si="7"/>
        <v>965.2705673577093</v>
      </c>
      <c r="F35" s="182">
        <f t="shared" si="5"/>
        <v>9.1515174799904315</v>
      </c>
      <c r="G35" s="179">
        <f>G34*(1+'a5-1'!$P$47/100)</f>
        <v>9.6944041101593559</v>
      </c>
      <c r="H35" s="175">
        <f t="shared" si="6"/>
        <v>8833.6904700943578</v>
      </c>
      <c r="I35" s="175">
        <f t="shared" si="4"/>
        <v>9357.7229556084294</v>
      </c>
      <c r="J35" s="183">
        <f>'a8'!AY38</f>
        <v>97.2</v>
      </c>
      <c r="K35" s="6">
        <f>'a1'!AX38</f>
        <v>94.4</v>
      </c>
      <c r="L35" s="175">
        <f t="shared" si="2"/>
        <v>9287.463295775884</v>
      </c>
      <c r="S35" s="191">
        <f t="shared" si="8"/>
        <v>3.5416859473288285</v>
      </c>
    </row>
    <row r="36" spans="1:19">
      <c r="A36" s="172">
        <v>2001</v>
      </c>
      <c r="B36" s="175">
        <f>'a1'!BB39/1000</f>
        <v>1000.221</v>
      </c>
      <c r="C36" s="175">
        <v>744.6</v>
      </c>
      <c r="D36" s="182">
        <f>C36/'a5-1'!C35*100</f>
        <v>3.046769507754</v>
      </c>
      <c r="E36" s="175">
        <f t="shared" si="7"/>
        <v>954.72812914412043</v>
      </c>
      <c r="F36" s="182">
        <f t="shared" si="5"/>
        <v>9.5132365053119194</v>
      </c>
      <c r="G36" s="179">
        <f>G35*(1+'a5-1'!$P$47/100)</f>
        <v>9.7872803552591758</v>
      </c>
      <c r="H36" s="175">
        <f t="shared" si="6"/>
        <v>9082.5544908219999</v>
      </c>
      <c r="I36" s="175">
        <f t="shared" si="4"/>
        <v>9344.1918629855954</v>
      </c>
      <c r="J36" s="183">
        <f>'a8'!AY39</f>
        <v>96.1</v>
      </c>
      <c r="K36" s="6">
        <f>'a1'!AX39</f>
        <v>97.2</v>
      </c>
      <c r="L36" s="175">
        <f t="shared" si="2"/>
        <v>9342.1272528627142</v>
      </c>
      <c r="S36" s="191">
        <f t="shared" si="8"/>
        <v>3.5128841048944928</v>
      </c>
    </row>
    <row r="37" spans="1:19">
      <c r="A37" s="172">
        <v>2002</v>
      </c>
      <c r="B37" s="175">
        <f>'a1'!BB40/1000</f>
        <v>996.80100000000004</v>
      </c>
      <c r="C37" s="175">
        <v>744.3</v>
      </c>
      <c r="D37" s="182">
        <f>C37/'a5-1'!C36*100</f>
        <v>3.0029169810255021</v>
      </c>
      <c r="E37" s="175">
        <f t="shared" si="7"/>
        <v>946.58251758632127</v>
      </c>
      <c r="F37" s="182">
        <f t="shared" si="5"/>
        <v>9.8810463917072653</v>
      </c>
      <c r="G37" s="179">
        <f>G36*(1+'a5-1'!$P$47/100)</f>
        <v>9.8810463917072653</v>
      </c>
      <c r="H37" s="175">
        <f t="shared" si="6"/>
        <v>9353.2257698494996</v>
      </c>
      <c r="I37" s="175">
        <f t="shared" si="4"/>
        <v>9353.2257698494996</v>
      </c>
      <c r="J37" s="183">
        <f>'a8'!AY40</f>
        <v>100</v>
      </c>
      <c r="K37" s="6">
        <f>'a1'!AX40</f>
        <v>100</v>
      </c>
      <c r="L37" s="175">
        <f t="shared" si="2"/>
        <v>9383.2427634497762</v>
      </c>
      <c r="S37" s="191">
        <f t="shared" si="8"/>
        <v>3.4843164859740283</v>
      </c>
    </row>
    <row r="38" spans="1:19">
      <c r="A38" s="172">
        <v>2003</v>
      </c>
      <c r="B38" s="175">
        <f>'a1'!BB41/1000</f>
        <v>996.48299999999995</v>
      </c>
      <c r="C38" s="175">
        <v>746.2</v>
      </c>
      <c r="D38" s="182">
        <f>C38/'a5-1'!C37*100</f>
        <v>2.9730860409984663</v>
      </c>
      <c r="E38" s="175">
        <f t="shared" si="7"/>
        <v>941.28140370953088</v>
      </c>
      <c r="F38" s="182">
        <f t="shared" si="5"/>
        <v>10.205152091171794</v>
      </c>
      <c r="G38" s="179">
        <f>G37*(1+'a5-1'!$P$47/100)</f>
        <v>9.9757107440584498</v>
      </c>
      <c r="H38" s="175">
        <f t="shared" si="6"/>
        <v>9605.9198854474398</v>
      </c>
      <c r="I38" s="175">
        <f t="shared" si="4"/>
        <v>9389.9510121675867</v>
      </c>
      <c r="J38" s="183">
        <f>'a8'!AY41</f>
        <v>102</v>
      </c>
      <c r="K38" s="6">
        <f>'a1'!AX41</f>
        <v>102.3</v>
      </c>
      <c r="L38" s="175">
        <f t="shared" si="2"/>
        <v>9423.0920268259342</v>
      </c>
      <c r="S38" s="191">
        <f t="shared" si="8"/>
        <v>3.4559811858054541</v>
      </c>
    </row>
    <row r="39" spans="1:19">
      <c r="A39" s="172">
        <v>2004</v>
      </c>
      <c r="B39" s="175">
        <f>'a1'!BB42/1000</f>
        <v>997.447</v>
      </c>
      <c r="C39" s="175">
        <v>749.5</v>
      </c>
      <c r="D39" s="182">
        <f>C39/'a5-1'!C38*100</f>
        <v>2.947190436868389</v>
      </c>
      <c r="E39" s="175">
        <f t="shared" si="7"/>
        <v>937.75555383570747</v>
      </c>
      <c r="F39" s="182">
        <f t="shared" si="5"/>
        <v>10.534560991388844</v>
      </c>
      <c r="G39" s="179">
        <f>G38*(1+'a5-1'!$P$47/100)</f>
        <v>10.071282018536181</v>
      </c>
      <c r="H39" s="175">
        <f t="shared" si="6"/>
        <v>9878.8430768958842</v>
      </c>
      <c r="I39" s="175">
        <f t="shared" si="4"/>
        <v>9444.4006471279954</v>
      </c>
      <c r="J39" s="183">
        <f>'a8'!AY42</f>
        <v>108.1</v>
      </c>
      <c r="K39" s="6">
        <f>'a1'!AX42</f>
        <v>104.6</v>
      </c>
      <c r="L39" s="175">
        <f t="shared" si="2"/>
        <v>9468.5739163364015</v>
      </c>
      <c r="S39" s="191">
        <f t="shared" si="8"/>
        <v>3.4278763151167722</v>
      </c>
    </row>
    <row r="40" spans="1:19">
      <c r="A40" s="172">
        <v>2005</v>
      </c>
      <c r="B40" s="175">
        <f>'a1'!BB43/1000</f>
        <v>993.57899999999995</v>
      </c>
      <c r="C40" s="175">
        <v>750.3</v>
      </c>
      <c r="D40" s="182">
        <f>C40/'a5-1'!C39*100</f>
        <v>2.9104182344316092</v>
      </c>
      <c r="E40" s="177">
        <f t="shared" si="7"/>
        <v>931.1223</v>
      </c>
      <c r="F40" s="182">
        <f t="shared" si="5"/>
        <v>10.869344958178182</v>
      </c>
      <c r="G40" s="179">
        <f>G39*(1+'a5-1'!$P$47/100)</f>
        <v>10.167768903814951</v>
      </c>
      <c r="H40" s="175">
        <f t="shared" si="6"/>
        <v>10120.689476952273</v>
      </c>
      <c r="I40" s="175">
        <f t="shared" si="4"/>
        <v>9467.4363675886561</v>
      </c>
      <c r="J40" s="183">
        <f>'a8'!AY43</f>
        <v>113.1</v>
      </c>
      <c r="K40" s="6">
        <f>'a1'!AX43</f>
        <v>106.9</v>
      </c>
      <c r="L40" s="175">
        <f t="shared" si="2"/>
        <v>9528.6196342602416</v>
      </c>
      <c r="S40" s="172">
        <v>3.4</v>
      </c>
    </row>
    <row r="41" spans="1:19">
      <c r="A41" s="172">
        <v>2006</v>
      </c>
      <c r="B41" s="175">
        <f>'a1'!BB44/1000</f>
        <v>992.12199999999996</v>
      </c>
      <c r="C41" s="175">
        <v>751</v>
      </c>
      <c r="D41" s="182">
        <f>C41/'a5-1'!C40*100</f>
        <v>2.8723432737063934</v>
      </c>
      <c r="E41" s="175">
        <f t="shared" si="7"/>
        <v>924.41182490333051</v>
      </c>
      <c r="F41" s="182">
        <f t="shared" si="5"/>
        <v>11.199311567444935</v>
      </c>
      <c r="G41" s="179">
        <f>G40*(1+'a5-1'!$P$47/100)</f>
        <v>10.265180171810208</v>
      </c>
      <c r="H41" s="175">
        <f t="shared" si="6"/>
        <v>10352.776043722752</v>
      </c>
      <c r="I41" s="175">
        <f t="shared" si="4"/>
        <v>9489.2539355845565</v>
      </c>
      <c r="J41" s="183">
        <f>'a8'!AY44</f>
        <v>119.2</v>
      </c>
      <c r="K41" s="6">
        <f>'a1'!AX44</f>
        <v>109.1</v>
      </c>
      <c r="L41" s="175">
        <f t="shared" si="2"/>
        <v>9564.6038849905126</v>
      </c>
      <c r="S41" s="191">
        <f>S40*POWER(S$40/S$33,1/7)</f>
        <v>3.3723503817862226</v>
      </c>
    </row>
    <row r="42" spans="1:19">
      <c r="A42" s="172">
        <v>2007</v>
      </c>
      <c r="B42" s="175">
        <f>'a1'!BB45/1000</f>
        <v>1000.2569999999999</v>
      </c>
      <c r="C42" s="175">
        <v>757.9</v>
      </c>
      <c r="D42" s="182">
        <f>C42/'a5-1'!C41*100</f>
        <v>2.857853913476295</v>
      </c>
      <c r="E42" s="175">
        <f t="shared" si="7"/>
        <v>925.3184806487011</v>
      </c>
      <c r="F42" s="182">
        <f t="shared" si="5"/>
        <v>11.627874689249888</v>
      </c>
      <c r="G42" s="179">
        <f>G41*(1+'a5-1'!$P$47/100)</f>
        <v>10.363524678475835</v>
      </c>
      <c r="H42" s="175">
        <f t="shared" si="6"/>
        <v>10759.487340630194</v>
      </c>
      <c r="I42" s="175">
        <f t="shared" si="4"/>
        <v>9589.5609096525786</v>
      </c>
      <c r="J42" s="183">
        <f>'a8'!AY45</f>
        <v>128.4</v>
      </c>
      <c r="K42" s="6">
        <f>'a1'!AX45</f>
        <v>112.2</v>
      </c>
      <c r="L42" s="175">
        <f t="shared" si="2"/>
        <v>9587.0970257169702</v>
      </c>
      <c r="S42" s="191">
        <f>S41*POWER(S$40/S$33,1/7)</f>
        <v>3.344925616921671</v>
      </c>
    </row>
    <row r="43" spans="1:19">
      <c r="A43" s="172">
        <v>2009</v>
      </c>
      <c r="B43" s="175">
        <f>'a1'!BB46/1000</f>
        <v>1013.792</v>
      </c>
      <c r="C43" s="309">
        <v>768.1</v>
      </c>
      <c r="D43" s="182">
        <f>C43/'a5-1'!C42*100</f>
        <v>2.8546050528850802</v>
      </c>
      <c r="E43" s="175">
        <f t="shared" ref="E43" si="9">C43*S43*365/1000</f>
        <v>930.14545407863875</v>
      </c>
      <c r="F43" s="182">
        <f t="shared" ref="F43" si="10">G43*K43/100</f>
        <v>12.126398371582157</v>
      </c>
      <c r="G43" s="179">
        <f>G42*(1+'a5-1'!$P$47/100)</f>
        <v>10.46281136460928</v>
      </c>
      <c r="H43" s="175">
        <f t="shared" ref="H43" si="11">E43*F43</f>
        <v>11279.314319673751</v>
      </c>
      <c r="I43" s="175">
        <f t="shared" ref="I43" si="12">H43/K43*100</f>
        <v>9731.9364276736414</v>
      </c>
      <c r="J43" s="183">
        <f>'a8'!AY46</f>
        <v>157.9</v>
      </c>
      <c r="K43" s="6">
        <f>'a1'!AX46</f>
        <v>115.9</v>
      </c>
      <c r="L43" s="175">
        <f t="shared" si="2"/>
        <v>9599.5395778163966</v>
      </c>
      <c r="S43" s="191">
        <f>S42*POWER(S$40/S$33,1/7)</f>
        <v>3.3177238768447981</v>
      </c>
    </row>
    <row r="44" spans="1:19">
      <c r="A44" s="172">
        <v>2009</v>
      </c>
      <c r="B44" s="175">
        <f>'a1'!BB47/1000</f>
        <v>1029.124</v>
      </c>
      <c r="C44" s="304">
        <v>779.3</v>
      </c>
      <c r="D44" s="182">
        <f>C44/'a5-1'!C43*100</f>
        <v>2.8547669809731042</v>
      </c>
      <c r="E44" s="175">
        <f t="shared" ref="E44" si="13">C44*S44*365/1000</f>
        <v>936.03384621160387</v>
      </c>
      <c r="F44" s="182">
        <f t="shared" ref="F44" si="14">G44*K44/100</f>
        <v>12.369330679553984</v>
      </c>
      <c r="G44" s="179">
        <f>G43*(1+'a5-1'!$P$47/100)</f>
        <v>10.563049256664376</v>
      </c>
      <c r="H44" s="175">
        <f t="shared" ref="H44" si="15">E44*F44</f>
        <v>11578.112171046108</v>
      </c>
      <c r="I44" s="175">
        <f t="shared" ref="I44" si="16">H44/K44*100</f>
        <v>9887.3716234381809</v>
      </c>
      <c r="J44" s="183">
        <f>'a8'!AY47</f>
        <v>142.1</v>
      </c>
      <c r="K44" s="6">
        <f>'a1'!AX47</f>
        <v>117.1</v>
      </c>
      <c r="L44" s="175">
        <f t="shared" ref="L44:L45" si="17">I44/B44*1000</f>
        <v>9607.5610163966448</v>
      </c>
      <c r="S44" s="191">
        <f>S43*POWER(S$40/S$33,1/7)</f>
        <v>3.2907433478643595</v>
      </c>
    </row>
    <row r="45" spans="1:19">
      <c r="A45" s="172">
        <v>2010</v>
      </c>
      <c r="B45" s="175">
        <f>'a1'!BB48/1000</f>
        <v>1045.6220000000001</v>
      </c>
      <c r="C45" s="304">
        <v>790.9</v>
      </c>
      <c r="D45" s="182">
        <f>C45/'a5-1'!C44*100</f>
        <v>2.8595187736138983</v>
      </c>
      <c r="E45" s="175">
        <f t="shared" ref="E45" si="18">C45*S45*365/1000</f>
        <v>942.241494482843</v>
      </c>
      <c r="F45" s="182">
        <f t="shared" ref="F45" si="19">G45*K45/100</f>
        <v>12.658461744007939</v>
      </c>
      <c r="G45" s="179">
        <f>G44*(1+'a5-1'!$P$47/100)</f>
        <v>10.664247467571979</v>
      </c>
      <c r="H45" s="175">
        <f t="shared" ref="H45" si="20">E45*F45</f>
        <v>11927.327911527935</v>
      </c>
      <c r="I45" s="175">
        <f t="shared" ref="I45" si="21">H45/K45*100</f>
        <v>10048.296471379894</v>
      </c>
      <c r="J45" s="183">
        <f>'a8'!AY48</f>
        <v>150.08861663080913</v>
      </c>
      <c r="K45" s="6">
        <f>'a1'!AX48</f>
        <v>118.7</v>
      </c>
      <c r="L45" s="175">
        <f t="shared" si="17"/>
        <v>9609.8747648575609</v>
      </c>
      <c r="S45" s="191">
        <f>S44*POWER(S$40/S$33,1/7)</f>
        <v>3.2639822310384838</v>
      </c>
    </row>
    <row r="46" spans="1:19">
      <c r="A46" s="172" t="s">
        <v>435</v>
      </c>
    </row>
    <row r="47" spans="1:19">
      <c r="A47" s="172" t="s">
        <v>438</v>
      </c>
      <c r="B47" s="179">
        <f>(POWER(B40/B27, 1/13)-1)*100</f>
        <v>-8.0188942772385641E-2</v>
      </c>
      <c r="C47" s="179">
        <f t="shared" ref="C47:L47" si="22">(POWER(C40/C27, 1/13)-1)*100</f>
        <v>0.18486131717119214</v>
      </c>
      <c r="D47" s="179">
        <f t="shared" si="22"/>
        <v>-1.0920343639938768</v>
      </c>
      <c r="E47" s="179">
        <f t="shared" si="22"/>
        <v>0.56823239531380576</v>
      </c>
      <c r="F47" s="179">
        <f t="shared" si="22"/>
        <v>3.1554473487873214</v>
      </c>
      <c r="G47" s="179">
        <f t="shared" si="22"/>
        <v>0.95803975205128733</v>
      </c>
      <c r="H47" s="179">
        <f t="shared" si="22"/>
        <v>3.7416100181540068</v>
      </c>
      <c r="I47" s="179">
        <f t="shared" si="22"/>
        <v>1.5317160395962315</v>
      </c>
      <c r="J47" s="179">
        <f t="shared" si="22"/>
        <v>2.8488541536811907</v>
      </c>
      <c r="K47" s="179">
        <f t="shared" si="22"/>
        <v>2.1765553314354813</v>
      </c>
      <c r="L47" s="179">
        <f t="shared" si="22"/>
        <v>1.6131985892621659</v>
      </c>
    </row>
    <row r="48" spans="1:19" ht="16.5" customHeight="1">
      <c r="A48" s="272" t="s">
        <v>1051</v>
      </c>
      <c r="B48" s="273">
        <f t="shared" ref="B48:L48" si="23">(POWER(B45/B27, 1/18)-1)*100</f>
        <v>0.22594867170651067</v>
      </c>
      <c r="C48" s="273">
        <f t="shared" si="23"/>
        <v>0.42706598668746931</v>
      </c>
      <c r="D48" s="273">
        <f t="shared" si="23"/>
        <v>-0.88709054845170776</v>
      </c>
      <c r="E48" s="273">
        <f t="shared" si="23"/>
        <v>0.47630908675160288</v>
      </c>
      <c r="F48" s="273">
        <f t="shared" si="23"/>
        <v>3.138514944966464</v>
      </c>
      <c r="G48" s="273">
        <f t="shared" si="23"/>
        <v>0.95803975205128733</v>
      </c>
      <c r="H48" s="273">
        <f t="shared" si="23"/>
        <v>3.6297730635899805</v>
      </c>
      <c r="I48" s="273">
        <f t="shared" si="23"/>
        <v>1.4389120691965962</v>
      </c>
      <c r="J48" s="273">
        <f t="shared" si="23"/>
        <v>3.6663176388173957</v>
      </c>
      <c r="K48" s="273">
        <f t="shared" si="23"/>
        <v>2.1597836073980137</v>
      </c>
      <c r="L48" s="273">
        <f t="shared" si="23"/>
        <v>1.2102289013628642</v>
      </c>
    </row>
    <row r="49" spans="1:12" ht="17.25" customHeight="1">
      <c r="A49" s="642" t="s">
        <v>933</v>
      </c>
      <c r="B49" s="642"/>
      <c r="C49" s="642"/>
      <c r="D49" s="642"/>
      <c r="E49" s="642"/>
      <c r="F49" s="642"/>
      <c r="G49" s="642"/>
      <c r="H49" s="642"/>
      <c r="I49" s="642"/>
      <c r="J49" s="642"/>
      <c r="K49" s="642"/>
      <c r="L49" s="642"/>
    </row>
    <row r="50" spans="1:12" ht="12.75" customHeight="1">
      <c r="A50" s="643" t="s">
        <v>913</v>
      </c>
      <c r="B50" s="642"/>
      <c r="C50" s="642"/>
      <c r="D50" s="642"/>
      <c r="E50" s="642"/>
      <c r="F50" s="642"/>
      <c r="G50" s="642"/>
      <c r="H50" s="642"/>
      <c r="I50" s="642"/>
      <c r="J50" s="642"/>
      <c r="K50" s="642"/>
      <c r="L50" s="642"/>
    </row>
    <row r="51" spans="1:12">
      <c r="A51" s="185" t="s">
        <v>912</v>
      </c>
      <c r="B51" s="203"/>
      <c r="C51" s="203"/>
      <c r="D51" s="203"/>
      <c r="E51" s="203"/>
      <c r="F51" s="203"/>
      <c r="G51" s="203"/>
      <c r="H51" s="203"/>
      <c r="I51" s="203"/>
      <c r="J51" s="203"/>
      <c r="K51" s="203"/>
    </row>
    <row r="52" spans="1:12">
      <c r="A52" s="172" t="s">
        <v>1053</v>
      </c>
    </row>
    <row r="53" spans="1:12">
      <c r="A53" s="189" t="s">
        <v>1054</v>
      </c>
    </row>
    <row r="54" spans="1:12">
      <c r="A54" s="189" t="s">
        <v>944</v>
      </c>
    </row>
    <row r="55" spans="1:12">
      <c r="A55" s="185" t="s">
        <v>1050</v>
      </c>
    </row>
    <row r="56" spans="1:12">
      <c r="A56" s="1" t="s">
        <v>1052</v>
      </c>
    </row>
  </sheetData>
  <mergeCells count="2">
    <mergeCell ref="A49:L49"/>
    <mergeCell ref="A50:L50"/>
  </mergeCells>
  <pageMargins left="0.74803149606299213" right="0.74803149606299213" top="0.98425196850393704" bottom="0.98425196850393704" header="0.51181102362204722" footer="0.51181102362204722"/>
  <pageSetup scale="63" orientation="landscape" r:id="rId1"/>
  <headerFooter alignWithMargins="0"/>
</worksheet>
</file>

<file path=xl/worksheets/sheet27.xml><?xml version="1.0" encoding="utf-8"?>
<worksheet xmlns="http://schemas.openxmlformats.org/spreadsheetml/2006/main" xmlns:r="http://schemas.openxmlformats.org/officeDocument/2006/relationships">
  <dimension ref="A1:S56"/>
  <sheetViews>
    <sheetView view="pageBreakPreview" topLeftCell="E1" zoomScaleSheetLayoutView="100" workbookViewId="0">
      <selection activeCell="E9" sqref="E9"/>
    </sheetView>
  </sheetViews>
  <sheetFormatPr defaultRowHeight="12.75"/>
  <cols>
    <col min="1" max="1" width="9.375" style="172" customWidth="1"/>
    <col min="2" max="12" width="12" style="172" customWidth="1"/>
    <col min="13" max="17" width="9" style="172"/>
    <col min="18" max="18" width="0" style="172" hidden="1" customWidth="1"/>
    <col min="19" max="16384" width="9" style="172"/>
  </cols>
  <sheetData>
    <row r="1" spans="1:19" ht="31.5" customHeight="1">
      <c r="A1" s="172" t="s">
        <v>900</v>
      </c>
      <c r="S1" s="203" t="s">
        <v>914</v>
      </c>
    </row>
    <row r="2" spans="1:19" ht="25.5">
      <c r="B2" s="203" t="s">
        <v>868</v>
      </c>
      <c r="C2" s="203" t="s">
        <v>869</v>
      </c>
      <c r="D2" s="203" t="s">
        <v>890</v>
      </c>
      <c r="E2" s="203" t="s">
        <v>870</v>
      </c>
      <c r="F2" s="203" t="s">
        <v>871</v>
      </c>
      <c r="G2" s="203" t="s">
        <v>872</v>
      </c>
      <c r="H2" s="203" t="s">
        <v>873</v>
      </c>
      <c r="I2" s="203" t="s">
        <v>873</v>
      </c>
      <c r="J2" s="203" t="s">
        <v>473</v>
      </c>
      <c r="K2" s="203" t="s">
        <v>874</v>
      </c>
      <c r="L2" s="203" t="s">
        <v>875</v>
      </c>
      <c r="S2" s="172" t="s">
        <v>915</v>
      </c>
    </row>
    <row r="3" spans="1:19" ht="37.5" customHeight="1">
      <c r="A3" s="277"/>
      <c r="B3" s="278" t="s">
        <v>876</v>
      </c>
      <c r="C3" s="278" t="s">
        <v>876</v>
      </c>
      <c r="D3" s="278" t="s">
        <v>891</v>
      </c>
      <c r="E3" s="278" t="s">
        <v>877</v>
      </c>
      <c r="F3" s="278" t="s">
        <v>878</v>
      </c>
      <c r="G3" s="278" t="s">
        <v>879</v>
      </c>
      <c r="H3" s="278" t="s">
        <v>880</v>
      </c>
      <c r="I3" s="278" t="s">
        <v>881</v>
      </c>
      <c r="J3" s="278" t="s">
        <v>882</v>
      </c>
      <c r="K3" s="278" t="s">
        <v>882</v>
      </c>
      <c r="L3" s="278" t="s">
        <v>883</v>
      </c>
    </row>
    <row r="4" spans="1:19" ht="17.25" customHeight="1">
      <c r="A4" s="272"/>
      <c r="B4" s="274" t="s">
        <v>105</v>
      </c>
      <c r="C4" s="274" t="s">
        <v>106</v>
      </c>
      <c r="D4" s="274" t="s">
        <v>107</v>
      </c>
      <c r="E4" s="274" t="s">
        <v>108</v>
      </c>
      <c r="F4" s="274" t="s">
        <v>109</v>
      </c>
      <c r="G4" s="274" t="s">
        <v>110</v>
      </c>
      <c r="H4" s="275" t="s">
        <v>892</v>
      </c>
      <c r="I4" s="275" t="s">
        <v>936</v>
      </c>
      <c r="J4" s="276" t="s">
        <v>138</v>
      </c>
      <c r="K4" s="276" t="s">
        <v>138</v>
      </c>
      <c r="L4" s="276" t="s">
        <v>935</v>
      </c>
    </row>
    <row r="5" spans="1:19" hidden="1">
      <c r="A5" s="172">
        <v>1971</v>
      </c>
      <c r="B5" s="175">
        <v>1665.7170000000001</v>
      </c>
      <c r="C5" s="176">
        <f>C6*B5/B6</f>
        <v>1176.8724876918313</v>
      </c>
      <c r="D5" s="182">
        <f>C5/'a5-1'!C5*100</f>
        <v>7.3666166687046157</v>
      </c>
      <c r="E5" s="177">
        <v>17519</v>
      </c>
      <c r="F5" s="187">
        <f>H5/E5</f>
        <v>1.6931331697014669</v>
      </c>
      <c r="G5" s="179">
        <f>F5/K5*100</f>
        <v>8.1011156445046257</v>
      </c>
      <c r="H5" s="177">
        <v>29662</v>
      </c>
      <c r="I5" s="175">
        <f t="shared" ref="I5:I14" si="0">H5/J5*100</f>
        <v>105971.06469665232</v>
      </c>
      <c r="J5" s="183">
        <v>27.990659605911311</v>
      </c>
      <c r="K5" s="183">
        <v>20.9</v>
      </c>
      <c r="L5" s="209">
        <f>I5/B5*1000</f>
        <v>63618.88886086431</v>
      </c>
    </row>
    <row r="6" spans="1:19" hidden="1">
      <c r="A6" s="172">
        <v>1972</v>
      </c>
      <c r="B6" s="175">
        <v>1694.09</v>
      </c>
      <c r="C6" s="176">
        <f>C7*B6/B7</f>
        <v>1196.9187519091504</v>
      </c>
      <c r="D6" s="182">
        <f>C6/'a5-1'!C6*100</f>
        <v>7.4056270933088957</v>
      </c>
      <c r="E6" s="175">
        <v>17872</v>
      </c>
      <c r="F6" s="182">
        <f>POWER(F$16/F$5,1/10)*F5</f>
        <v>1.9039616746974894</v>
      </c>
      <c r="G6" s="179">
        <f t="shared" ref="G6:G27" si="1">F6/K6*100</f>
        <v>8.6938889255593139</v>
      </c>
      <c r="H6" s="175">
        <v>33180</v>
      </c>
      <c r="I6" s="175">
        <f t="shared" si="0"/>
        <v>112419.29492532427</v>
      </c>
      <c r="J6" s="183">
        <v>29.514506403940867</v>
      </c>
      <c r="K6" s="183">
        <v>21.9</v>
      </c>
      <c r="L6" s="209">
        <f t="shared" ref="L6:L43" si="2">I6/B6*1000</f>
        <v>66359.694541213437</v>
      </c>
    </row>
    <row r="7" spans="1:19" hidden="1">
      <c r="A7" s="172">
        <v>1973</v>
      </c>
      <c r="B7" s="175">
        <v>1725.327</v>
      </c>
      <c r="C7" s="176">
        <f>C8*B7/B8</f>
        <v>1218.9885067943019</v>
      </c>
      <c r="D7" s="182">
        <f>C7/'a5-1'!C7*100</f>
        <v>7.4505275177640593</v>
      </c>
      <c r="E7" s="175">
        <v>18232</v>
      </c>
      <c r="F7" s="182">
        <f t="shared" ref="F7:F14" si="3">POWER(F$16/F$5,1/10)*F6</f>
        <v>2.1410424906837306</v>
      </c>
      <c r="G7" s="179">
        <f t="shared" si="1"/>
        <v>9.0722139435751288</v>
      </c>
      <c r="H7" s="175">
        <v>37115</v>
      </c>
      <c r="I7" s="175">
        <f t="shared" si="0"/>
        <v>117156.03453845576</v>
      </c>
      <c r="J7" s="183">
        <v>31.679972906403918</v>
      </c>
      <c r="K7" s="183">
        <v>23.6</v>
      </c>
      <c r="L7" s="209">
        <f t="shared" si="2"/>
        <v>67903.669587536599</v>
      </c>
    </row>
    <row r="8" spans="1:19" hidden="1">
      <c r="A8" s="172">
        <v>1974</v>
      </c>
      <c r="B8" s="175">
        <v>1754.6210000000001</v>
      </c>
      <c r="C8" s="176">
        <f>C9*B8/B9</f>
        <v>1239.6854815231691</v>
      </c>
      <c r="D8" s="182">
        <f>C8/'a5-1'!C8*100</f>
        <v>7.4719865613501</v>
      </c>
      <c r="E8" s="175">
        <v>18599</v>
      </c>
      <c r="F8" s="182">
        <f t="shared" si="3"/>
        <v>2.4076445486443583</v>
      </c>
      <c r="G8" s="179">
        <f t="shared" si="1"/>
        <v>9.189483010092971</v>
      </c>
      <c r="H8" s="175">
        <v>41518</v>
      </c>
      <c r="I8" s="175">
        <f t="shared" si="0"/>
        <v>116854.37918550418</v>
      </c>
      <c r="J8" s="183">
        <v>35.529691133004903</v>
      </c>
      <c r="K8" s="183">
        <v>26.2</v>
      </c>
      <c r="L8" s="209">
        <f t="shared" si="2"/>
        <v>66598.073991764701</v>
      </c>
    </row>
    <row r="9" spans="1:19" hidden="1">
      <c r="A9" s="172">
        <v>1975</v>
      </c>
      <c r="B9" s="175">
        <v>1808.6890000000001</v>
      </c>
      <c r="C9" s="176">
        <f>C10*B9/B10</f>
        <v>1277.8859331392132</v>
      </c>
      <c r="D9" s="182">
        <f>C9/'a5-1'!C9*100</f>
        <v>7.5906410489963632</v>
      </c>
      <c r="E9" s="175">
        <v>18974</v>
      </c>
      <c r="F9" s="182">
        <f t="shared" si="3"/>
        <v>2.7074438260054019</v>
      </c>
      <c r="G9" s="179">
        <f t="shared" si="1"/>
        <v>9.336013193122076</v>
      </c>
      <c r="H9" s="175">
        <v>46442</v>
      </c>
      <c r="I9" s="175">
        <f t="shared" si="0"/>
        <v>115811.90460104053</v>
      </c>
      <c r="J9" s="183">
        <v>40.101231527093574</v>
      </c>
      <c r="K9" s="183">
        <v>29</v>
      </c>
      <c r="L9" s="209">
        <f t="shared" si="2"/>
        <v>64030.855830405628</v>
      </c>
    </row>
    <row r="10" spans="1:19" hidden="1">
      <c r="A10" s="172">
        <v>1976</v>
      </c>
      <c r="B10" s="175">
        <v>1869.287</v>
      </c>
      <c r="C10" s="175">
        <v>1320.7</v>
      </c>
      <c r="D10" s="182">
        <f>C10/'a5-1'!C10*100</f>
        <v>7.7424082541915826</v>
      </c>
      <c r="E10" s="175">
        <v>19356</v>
      </c>
      <c r="F10" s="182">
        <f t="shared" si="3"/>
        <v>3.0445740319525658</v>
      </c>
      <c r="G10" s="179">
        <f t="shared" si="1"/>
        <v>9.7896271123876701</v>
      </c>
      <c r="H10" s="175">
        <v>51950</v>
      </c>
      <c r="I10" s="175">
        <f t="shared" si="0"/>
        <v>118850.59047753862</v>
      </c>
      <c r="J10" s="183">
        <v>43.710342364532004</v>
      </c>
      <c r="K10" s="183">
        <v>31.1</v>
      </c>
      <c r="L10" s="209">
        <f t="shared" si="2"/>
        <v>63580.707765869345</v>
      </c>
    </row>
    <row r="11" spans="1:19" hidden="1">
      <c r="A11" s="172">
        <v>1977</v>
      </c>
      <c r="B11" s="175">
        <v>1948.2629999999999</v>
      </c>
      <c r="C11" s="175">
        <v>1399.3</v>
      </c>
      <c r="D11" s="182">
        <f>C11/'a5-1'!C11*100</f>
        <v>8.0255799948381163</v>
      </c>
      <c r="E11" s="175">
        <v>19746</v>
      </c>
      <c r="F11" s="182">
        <f t="shared" si="3"/>
        <v>3.4236836040717207</v>
      </c>
      <c r="G11" s="179">
        <f t="shared" si="1"/>
        <v>10.18953453592774</v>
      </c>
      <c r="H11" s="175">
        <v>58111</v>
      </c>
      <c r="I11" s="175">
        <f t="shared" si="0"/>
        <v>123855.35175887182</v>
      </c>
      <c r="J11" s="183">
        <v>46.918440886699493</v>
      </c>
      <c r="K11" s="183">
        <v>33.6</v>
      </c>
      <c r="L11" s="209">
        <f t="shared" si="2"/>
        <v>63572.193158147449</v>
      </c>
    </row>
    <row r="12" spans="1:19" hidden="1">
      <c r="A12" s="172">
        <v>1978</v>
      </c>
      <c r="B12" s="175">
        <v>2022.241</v>
      </c>
      <c r="C12" s="175">
        <v>1469.4</v>
      </c>
      <c r="D12" s="182">
        <f>C12/'a5-1'!C12*100</f>
        <v>8.2648997682633265</v>
      </c>
      <c r="E12" s="175">
        <v>20144</v>
      </c>
      <c r="F12" s="182">
        <f t="shared" si="3"/>
        <v>3.8499998021963515</v>
      </c>
      <c r="G12" s="179">
        <f t="shared" si="1"/>
        <v>10.519125142612982</v>
      </c>
      <c r="H12" s="175">
        <v>65004</v>
      </c>
      <c r="I12" s="175">
        <f t="shared" si="0"/>
        <v>128446.71936944264</v>
      </c>
      <c r="J12" s="183">
        <v>50.607754187192107</v>
      </c>
      <c r="K12" s="183">
        <v>36.6</v>
      </c>
      <c r="L12" s="209">
        <f t="shared" si="2"/>
        <v>63517.018678506989</v>
      </c>
    </row>
    <row r="13" spans="1:19" hidden="1">
      <c r="A13" s="172">
        <v>1979</v>
      </c>
      <c r="B13" s="175">
        <v>2096.9659999999999</v>
      </c>
      <c r="C13" s="175">
        <v>1538.9</v>
      </c>
      <c r="D13" s="182">
        <f>C13/'a5-1'!C13*100</f>
        <v>8.4931068357671897</v>
      </c>
      <c r="E13" s="175">
        <v>20550</v>
      </c>
      <c r="F13" s="182">
        <f t="shared" si="3"/>
        <v>4.3294007832043349</v>
      </c>
      <c r="G13" s="179">
        <f t="shared" si="1"/>
        <v>10.823501958010837</v>
      </c>
      <c r="H13" s="175">
        <v>72714</v>
      </c>
      <c r="I13" s="175">
        <f t="shared" si="0"/>
        <v>133132.23351299722</v>
      </c>
      <c r="J13" s="183">
        <v>54.617877339901462</v>
      </c>
      <c r="K13" s="183">
        <v>40</v>
      </c>
      <c r="L13" s="209">
        <f t="shared" si="2"/>
        <v>63488.02675532041</v>
      </c>
    </row>
    <row r="14" spans="1:19" hidden="1">
      <c r="A14" s="172">
        <v>1980</v>
      </c>
      <c r="B14" s="175">
        <v>2191.029</v>
      </c>
      <c r="C14" s="175">
        <v>1619.4</v>
      </c>
      <c r="D14" s="182">
        <f>C14/'a5-1'!C14*100</f>
        <v>8.7613276706251533</v>
      </c>
      <c r="E14" s="175">
        <v>20964</v>
      </c>
      <c r="F14" s="182">
        <f t="shared" si="3"/>
        <v>4.868496650549794</v>
      </c>
      <c r="G14" s="179">
        <f t="shared" si="1"/>
        <v>11.039674944557355</v>
      </c>
      <c r="H14" s="175">
        <v>81338</v>
      </c>
      <c r="I14" s="175">
        <f t="shared" si="0"/>
        <v>137419.83468320355</v>
      </c>
      <c r="J14" s="183">
        <v>59.189417733990133</v>
      </c>
      <c r="K14" s="183">
        <v>44.1</v>
      </c>
      <c r="L14" s="209">
        <f t="shared" si="2"/>
        <v>62719.31347472057</v>
      </c>
    </row>
    <row r="15" spans="1:19" hidden="1">
      <c r="B15" s="175"/>
      <c r="C15" s="175"/>
      <c r="D15" s="182"/>
      <c r="E15" s="175"/>
      <c r="F15" s="182"/>
      <c r="G15" s="179"/>
      <c r="I15" s="175"/>
      <c r="J15" s="183"/>
      <c r="K15" s="183"/>
    </row>
    <row r="16" spans="1:19">
      <c r="A16" s="172">
        <v>1981</v>
      </c>
      <c r="B16" s="192">
        <f>'a1'!BH19/1000</f>
        <v>2291.1039999999998</v>
      </c>
      <c r="C16" s="192">
        <v>1702.3</v>
      </c>
      <c r="D16" s="182">
        <f>C16/'a5-1'!C15*100</f>
        <v>9.0478569606259018</v>
      </c>
      <c r="E16" s="193">
        <v>1879</v>
      </c>
      <c r="F16" s="194">
        <v>5.4747205960617347</v>
      </c>
      <c r="G16" s="179">
        <f t="shared" si="1"/>
        <v>10.993414851529588</v>
      </c>
      <c r="H16" s="193">
        <v>10287</v>
      </c>
      <c r="I16" s="175">
        <f>H16/K16*100</f>
        <v>20656.626506024095</v>
      </c>
      <c r="J16" s="183">
        <f>'a8'!BE19</f>
        <v>65.099999999999994</v>
      </c>
      <c r="K16" s="6">
        <f>'a1'!BD19</f>
        <v>49.8</v>
      </c>
      <c r="L16" s="175">
        <f t="shared" si="2"/>
        <v>9016.0143345845918</v>
      </c>
    </row>
    <row r="17" spans="1:12">
      <c r="A17" s="172">
        <v>1982</v>
      </c>
      <c r="B17" s="192">
        <f>'a1'!BH20/1000</f>
        <v>2369.8270000000002</v>
      </c>
      <c r="C17" s="192">
        <v>1759.2</v>
      </c>
      <c r="D17" s="182">
        <f>C17/'a5-1'!C16*100</f>
        <v>9.2088319356763719</v>
      </c>
      <c r="E17" s="192">
        <v>1890.2740000000001</v>
      </c>
      <c r="F17" s="182">
        <f>POWER(F$21/F$16,1/5)*F16</f>
        <v>5.7262152216244457</v>
      </c>
      <c r="G17" s="179">
        <f t="shared" si="1"/>
        <v>10.336128558888893</v>
      </c>
      <c r="H17" s="192">
        <v>10821.82197125066</v>
      </c>
      <c r="I17" s="175">
        <f t="shared" ref="I17:I42" si="4">H17/K17*100</f>
        <v>19533.974677347764</v>
      </c>
      <c r="J17" s="183">
        <f>'a8'!BE20</f>
        <v>71.599999999999994</v>
      </c>
      <c r="K17" s="6">
        <f>'a1'!BD20</f>
        <v>55.4</v>
      </c>
      <c r="L17" s="175">
        <f t="shared" si="2"/>
        <v>8242.7850966959868</v>
      </c>
    </row>
    <row r="18" spans="1:12">
      <c r="A18" s="172">
        <v>1983</v>
      </c>
      <c r="B18" s="192">
        <f>'a1'!BH21/1000</f>
        <v>2393.587</v>
      </c>
      <c r="C18" s="192">
        <v>1777.4</v>
      </c>
      <c r="D18" s="182">
        <f>C18/'a5-1'!C17*100</f>
        <v>9.1831568070266094</v>
      </c>
      <c r="E18" s="192">
        <v>1901.6156440000002</v>
      </c>
      <c r="F18" s="182">
        <f>POWER(F$21/F$16,1/5)*F17</f>
        <v>5.9892628653872864</v>
      </c>
      <c r="G18" s="179">
        <f t="shared" si="1"/>
        <v>10.273178156753493</v>
      </c>
      <c r="H18" s="192">
        <v>11384.449380523332</v>
      </c>
      <c r="I18" s="175">
        <f t="shared" si="4"/>
        <v>19527.357427998857</v>
      </c>
      <c r="J18" s="183">
        <f>'a8'!BE21</f>
        <v>74.400000000000006</v>
      </c>
      <c r="K18" s="6">
        <f>'a1'!BD21</f>
        <v>58.3</v>
      </c>
      <c r="L18" s="175">
        <f t="shared" si="2"/>
        <v>8158.1983140779321</v>
      </c>
    </row>
    <row r="19" spans="1:12">
      <c r="A19" s="172">
        <v>1984</v>
      </c>
      <c r="B19" s="192">
        <f>'a1'!BH22/1000</f>
        <v>2393.9070000000002</v>
      </c>
      <c r="C19" s="192">
        <v>1778.8</v>
      </c>
      <c r="D19" s="182">
        <f>C19/'a5-1'!C18*100</f>
        <v>9.0764826843692425</v>
      </c>
      <c r="E19" s="192">
        <v>1913.0253378640002</v>
      </c>
      <c r="F19" s="182">
        <f>POWER(F$21/F$16,1/5)*F18</f>
        <v>6.2643942433814006</v>
      </c>
      <c r="G19" s="179">
        <f t="shared" si="1"/>
        <v>10.475575657828431</v>
      </c>
      <c r="H19" s="192">
        <v>11976.327834814656</v>
      </c>
      <c r="I19" s="175">
        <f t="shared" si="4"/>
        <v>20027.304071596416</v>
      </c>
      <c r="J19" s="183">
        <f>'a8'!BE22</f>
        <v>76.2</v>
      </c>
      <c r="K19" s="6">
        <f>'a1'!BD22</f>
        <v>59.8</v>
      </c>
      <c r="L19" s="175">
        <f t="shared" si="2"/>
        <v>8365.9490830664745</v>
      </c>
    </row>
    <row r="20" spans="1:12">
      <c r="A20" s="172">
        <v>1985</v>
      </c>
      <c r="B20" s="192">
        <f>'a1'!BH23/1000</f>
        <v>2404.4899999999998</v>
      </c>
      <c r="C20" s="192">
        <v>1791.1</v>
      </c>
      <c r="D20" s="182">
        <f>C20/'a5-1'!C19*100</f>
        <v>9.0264933703578638</v>
      </c>
      <c r="E20" s="192">
        <v>1924.5034898911842</v>
      </c>
      <c r="F20" s="182">
        <f>POWER(F$21/F$16,1/5)*F19</f>
        <v>6.5521644513715076</v>
      </c>
      <c r="G20" s="179">
        <f t="shared" si="1"/>
        <v>10.636630602875824</v>
      </c>
      <c r="H20" s="192">
        <v>12598.978098347243</v>
      </c>
      <c r="I20" s="175">
        <f t="shared" si="4"/>
        <v>20452.886523290981</v>
      </c>
      <c r="J20" s="183">
        <f>'a8'!BE23</f>
        <v>75.599999999999994</v>
      </c>
      <c r="K20" s="6">
        <f>'a1'!BD23</f>
        <v>61.6</v>
      </c>
      <c r="L20" s="175">
        <f t="shared" si="2"/>
        <v>8506.1225138349437</v>
      </c>
    </row>
    <row r="21" spans="1:12">
      <c r="A21" s="172">
        <v>1986</v>
      </c>
      <c r="B21" s="192">
        <f>'a1'!BH24/1000</f>
        <v>2432.9299999999998</v>
      </c>
      <c r="C21" s="192">
        <v>1811.9</v>
      </c>
      <c r="D21" s="182">
        <f>C21/'a5-1'!C20*100</f>
        <v>9.0174785499572003</v>
      </c>
      <c r="E21" s="193">
        <v>1934</v>
      </c>
      <c r="F21" s="194">
        <v>6.8531540847983452</v>
      </c>
      <c r="G21" s="179">
        <f t="shared" si="1"/>
        <v>10.758483649604937</v>
      </c>
      <c r="H21" s="193">
        <v>13254</v>
      </c>
      <c r="I21" s="175">
        <f t="shared" si="4"/>
        <v>20806.907378335949</v>
      </c>
      <c r="J21" s="183">
        <f>'a8'!BE24</f>
        <v>67.099999999999994</v>
      </c>
      <c r="K21" s="6">
        <f>'a1'!BD24</f>
        <v>63.7</v>
      </c>
      <c r="L21" s="175">
        <f t="shared" si="2"/>
        <v>8552.2014107828618</v>
      </c>
    </row>
    <row r="22" spans="1:12">
      <c r="A22" s="172">
        <v>1987</v>
      </c>
      <c r="B22" s="192">
        <f>'a1'!BH25/1000</f>
        <v>2440.877</v>
      </c>
      <c r="C22" s="192">
        <v>1815</v>
      </c>
      <c r="D22" s="182">
        <f>C22/'a5-1'!C21*100</f>
        <v>8.9197517212909325</v>
      </c>
      <c r="E22" s="192">
        <v>1982.35</v>
      </c>
      <c r="F22" s="182">
        <f>POWER(F$27/F$21,1/6)*F21</f>
        <v>7.1987399892947135</v>
      </c>
      <c r="G22" s="179">
        <f t="shared" si="1"/>
        <v>10.857828038151906</v>
      </c>
      <c r="H22" s="192">
        <v>14271.644567672512</v>
      </c>
      <c r="I22" s="175">
        <f t="shared" si="4"/>
        <v>21525.859076429133</v>
      </c>
      <c r="J22" s="183">
        <f>'a8'!BE25</f>
        <v>68.2</v>
      </c>
      <c r="K22" s="6">
        <f>'a1'!BD25</f>
        <v>66.3</v>
      </c>
      <c r="L22" s="175">
        <f t="shared" si="2"/>
        <v>8818.9036466930265</v>
      </c>
    </row>
    <row r="23" spans="1:12">
      <c r="A23" s="172">
        <v>1988</v>
      </c>
      <c r="B23" s="192">
        <f>'a1'!BH26/1000</f>
        <v>2456.614</v>
      </c>
      <c r="C23" s="192">
        <v>1827.1</v>
      </c>
      <c r="D23" s="182">
        <f>C23/'a5-1'!C22*100</f>
        <v>8.8641678229398106</v>
      </c>
      <c r="E23" s="192">
        <v>2031.9087499999998</v>
      </c>
      <c r="F23" s="182">
        <f>POWER(F$27/F$21,1/6)*F22</f>
        <v>7.5617528501835389</v>
      </c>
      <c r="G23" s="179">
        <f t="shared" si="1"/>
        <v>11.103895521561732</v>
      </c>
      <c r="H23" s="192">
        <v>15367.424073183667</v>
      </c>
      <c r="I23" s="175">
        <f t="shared" si="4"/>
        <v>22565.967802031817</v>
      </c>
      <c r="J23" s="183">
        <f>'a8'!BE26</f>
        <v>67.2</v>
      </c>
      <c r="K23" s="6">
        <f>'a1'!BD26</f>
        <v>68.099999999999994</v>
      </c>
      <c r="L23" s="175">
        <f t="shared" si="2"/>
        <v>9185.8011889665268</v>
      </c>
    </row>
    <row r="24" spans="1:12">
      <c r="A24" s="172">
        <v>1989</v>
      </c>
      <c r="B24" s="192">
        <f>'a1'!BH27/1000</f>
        <v>2498.3249999999998</v>
      </c>
      <c r="C24" s="192">
        <v>1853.1</v>
      </c>
      <c r="D24" s="182">
        <f>C24/'a5-1'!C23*100</f>
        <v>8.8671435748977192</v>
      </c>
      <c r="E24" s="192">
        <v>2082.7064687499997</v>
      </c>
      <c r="F24" s="182">
        <f>POWER(F$27/F$21,1/6)*F23</f>
        <v>7.9430714614351583</v>
      </c>
      <c r="G24" s="179">
        <f t="shared" si="1"/>
        <v>11.203203753787246</v>
      </c>
      <c r="H24" s="192">
        <v>16547.337731490228</v>
      </c>
      <c r="I24" s="175">
        <f t="shared" si="4"/>
        <v>23338.981285599755</v>
      </c>
      <c r="J24" s="183">
        <f>'a8'!BE27</f>
        <v>69.8</v>
      </c>
      <c r="K24" s="6">
        <f>'a1'!BD27</f>
        <v>70.900000000000006</v>
      </c>
      <c r="L24" s="175">
        <f t="shared" si="2"/>
        <v>9341.851554781606</v>
      </c>
    </row>
    <row r="25" spans="1:12">
      <c r="A25" s="172">
        <v>1990</v>
      </c>
      <c r="B25" s="192">
        <f>'a1'!BH28/1000</f>
        <v>2547.788</v>
      </c>
      <c r="C25" s="192">
        <v>1889.8</v>
      </c>
      <c r="D25" s="182">
        <f>C25/'a5-1'!C24*100</f>
        <v>8.9079741877094651</v>
      </c>
      <c r="E25" s="192">
        <v>2134.7741304687493</v>
      </c>
      <c r="F25" s="182">
        <f>POWER(F$27/F$21,1/6)*F24</f>
        <v>8.3436189322075354</v>
      </c>
      <c r="G25" s="179">
        <f t="shared" si="1"/>
        <v>11.12482524294338</v>
      </c>
      <c r="H25" s="192">
        <v>17817.845378381237</v>
      </c>
      <c r="I25" s="175">
        <f t="shared" si="4"/>
        <v>23757.127171174983</v>
      </c>
      <c r="J25" s="183">
        <f>'a8'!BE28</f>
        <v>74.2</v>
      </c>
      <c r="K25" s="6">
        <f>'a1'!BD28</f>
        <v>75</v>
      </c>
      <c r="L25" s="175">
        <f t="shared" si="2"/>
        <v>9324.6091005903891</v>
      </c>
    </row>
    <row r="26" spans="1:12">
      <c r="A26" s="172">
        <v>1991</v>
      </c>
      <c r="B26" s="192">
        <f>'a1'!BH29/1000</f>
        <v>2592.306</v>
      </c>
      <c r="C26" s="192">
        <v>1927.8</v>
      </c>
      <c r="D26" s="182">
        <f>C26/'a5-1'!C25*100</f>
        <v>8.9526454375316362</v>
      </c>
      <c r="E26" s="192">
        <v>2188.1434837304678</v>
      </c>
      <c r="F26" s="182">
        <f>POWER(F$27/F$21,1/6)*F25</f>
        <v>8.764364921540535</v>
      </c>
      <c r="G26" s="179">
        <f t="shared" si="1"/>
        <v>11.038242974232411</v>
      </c>
      <c r="H26" s="192">
        <v>19185.902837030582</v>
      </c>
      <c r="I26" s="175">
        <f t="shared" si="4"/>
        <v>24163.605588199724</v>
      </c>
      <c r="J26" s="183">
        <f>'a8'!BE29</f>
        <v>73.5</v>
      </c>
      <c r="K26" s="6">
        <f>'a1'!BD29</f>
        <v>79.400000000000006</v>
      </c>
      <c r="L26" s="175">
        <f t="shared" si="2"/>
        <v>9321.2782704664205</v>
      </c>
    </row>
    <row r="27" spans="1:12">
      <c r="A27" s="172">
        <v>1992</v>
      </c>
      <c r="B27" s="192">
        <f>'a1'!BH30/1000</f>
        <v>2632.672</v>
      </c>
      <c r="C27" s="192">
        <v>1958.1</v>
      </c>
      <c r="D27" s="182">
        <f>C27/'a5-1'!C26*100</f>
        <v>8.9737949239695318</v>
      </c>
      <c r="E27" s="193">
        <v>2244</v>
      </c>
      <c r="F27" s="194">
        <v>9.2063279857397511</v>
      </c>
      <c r="G27" s="179">
        <f t="shared" si="1"/>
        <v>11.422243158486044</v>
      </c>
      <c r="H27" s="193">
        <v>20659</v>
      </c>
      <c r="I27" s="175">
        <f t="shared" si="4"/>
        <v>25631.513647642681</v>
      </c>
      <c r="J27" s="183">
        <f>'a8'!BE30</f>
        <v>74.900000000000006</v>
      </c>
      <c r="K27" s="6">
        <f>'a1'!BD30</f>
        <v>80.599999999999994</v>
      </c>
      <c r="L27" s="175">
        <f t="shared" si="2"/>
        <v>9735.9312696920406</v>
      </c>
    </row>
    <row r="28" spans="1:12">
      <c r="A28" s="172">
        <v>1993</v>
      </c>
      <c r="B28" s="192">
        <f>'a1'!BH31/1000</f>
        <v>2667.2919999999999</v>
      </c>
      <c r="C28" s="192">
        <v>1987.2</v>
      </c>
      <c r="D28" s="182">
        <f>C28/'a5-1'!C27*100</f>
        <v>8.9947449180505963</v>
      </c>
      <c r="E28" s="175">
        <f>E27*POWER(E$33/E$27, 1/6)</f>
        <v>2340.9291974696703</v>
      </c>
      <c r="F28" s="195">
        <f>G28*K28/100</f>
        <v>9.3867816498555232</v>
      </c>
      <c r="G28" s="179">
        <f>G27*(1+'a5-1'!$P$47/100)</f>
        <v>11.531672788520298</v>
      </c>
      <c r="H28" s="192">
        <f>E28*F28</f>
        <v>21973.791234419317</v>
      </c>
      <c r="I28" s="175">
        <f t="shared" si="4"/>
        <v>26994.829526313657</v>
      </c>
      <c r="J28" s="183">
        <f>'a8'!BE31</f>
        <v>75.7</v>
      </c>
      <c r="K28" s="6">
        <f>'a1'!BD31</f>
        <v>81.400000000000006</v>
      </c>
      <c r="L28" s="175">
        <f t="shared" si="2"/>
        <v>10120.687771085302</v>
      </c>
    </row>
    <row r="29" spans="1:12">
      <c r="A29" s="172">
        <v>1994</v>
      </c>
      <c r="B29" s="192">
        <f>'a1'!BH32/1000</f>
        <v>2700.6060000000002</v>
      </c>
      <c r="C29" s="192">
        <v>2016.3</v>
      </c>
      <c r="D29" s="182">
        <f>C29/'a5-1'!C28*100</f>
        <v>9.0143376386485876</v>
      </c>
      <c r="E29" s="175">
        <f>E28*POWER(E$33/E$27, 1/6)</f>
        <v>2442.0452351007107</v>
      </c>
      <c r="F29" s="195">
        <f t="shared" ref="F29:F42" si="5">G29*K29/100</f>
        <v>9.6164165590743238</v>
      </c>
      <c r="G29" s="179">
        <f>G28*(1+'a5-1'!$P$47/100)</f>
        <v>11.642150797910803</v>
      </c>
      <c r="H29" s="192">
        <f t="shared" ref="H29:H42" si="6">E29*F29</f>
        <v>23483.724236831025</v>
      </c>
      <c r="I29" s="175">
        <f t="shared" si="4"/>
        <v>28430.658882362019</v>
      </c>
      <c r="J29" s="183">
        <f>'a8'!BE32</f>
        <v>77.3</v>
      </c>
      <c r="K29" s="6">
        <f>'a1'!BD32</f>
        <v>82.6</v>
      </c>
      <c r="L29" s="175">
        <f t="shared" si="2"/>
        <v>10527.510818816967</v>
      </c>
    </row>
    <row r="30" spans="1:12">
      <c r="A30" s="172">
        <v>1995</v>
      </c>
      <c r="B30" s="192">
        <f>'a1'!BH33/1000</f>
        <v>2734.5189999999998</v>
      </c>
      <c r="C30" s="192">
        <v>2048.9</v>
      </c>
      <c r="D30" s="182">
        <f>C30/'a5-1'!C29*100</f>
        <v>9.0419240953221536</v>
      </c>
      <c r="E30" s="175">
        <f>E29*POWER(E$33/E$27, 1/6)</f>
        <v>2547.5289627401689</v>
      </c>
      <c r="F30" s="195">
        <f t="shared" si="5"/>
        <v>9.9318657098135201</v>
      </c>
      <c r="G30" s="179">
        <f>G29*(1+'a5-1'!$P$47/100)</f>
        <v>11.753687230548545</v>
      </c>
      <c r="H30" s="192">
        <f t="shared" si="6"/>
        <v>25301.715549795888</v>
      </c>
      <c r="I30" s="175">
        <f t="shared" si="4"/>
        <v>29942.858638811704</v>
      </c>
      <c r="J30" s="183">
        <f>'a8'!BE33</f>
        <v>78.3</v>
      </c>
      <c r="K30" s="6">
        <f>'a1'!BD33</f>
        <v>84.5</v>
      </c>
      <c r="L30" s="175">
        <f t="shared" si="2"/>
        <v>10949.954503447118</v>
      </c>
    </row>
    <row r="31" spans="1:12">
      <c r="A31" s="172">
        <v>1996</v>
      </c>
      <c r="B31" s="192">
        <f>'a1'!BH34/1000</f>
        <v>2775.1329999999998</v>
      </c>
      <c r="C31" s="192">
        <v>2086.9</v>
      </c>
      <c r="D31" s="182">
        <f>C31/'a5-1'!C30*100</f>
        <v>9.0894836560029635</v>
      </c>
      <c r="E31" s="175">
        <f>E30*POWER(E$33/E$27, 1/6)</f>
        <v>2657.5690420134069</v>
      </c>
      <c r="F31" s="195">
        <f t="shared" si="5"/>
        <v>10.252476483738317</v>
      </c>
      <c r="G31" s="179">
        <f>G30*(1+'a5-1'!$P$47/100)</f>
        <v>11.866292226548977</v>
      </c>
      <c r="H31" s="192">
        <f t="shared" si="6"/>
        <v>27246.664107153421</v>
      </c>
      <c r="I31" s="175">
        <f t="shared" si="4"/>
        <v>31535.490864760901</v>
      </c>
      <c r="J31" s="183">
        <f>'a8'!BE34</f>
        <v>82.3</v>
      </c>
      <c r="K31" s="6">
        <f>'a1'!BD34</f>
        <v>86.4</v>
      </c>
      <c r="L31" s="175">
        <f t="shared" si="2"/>
        <v>11363.596218545526</v>
      </c>
    </row>
    <row r="32" spans="1:12">
      <c r="A32" s="172">
        <v>1997</v>
      </c>
      <c r="B32" s="192">
        <f>'a1'!BH35/1000</f>
        <v>2829.848</v>
      </c>
      <c r="C32" s="192">
        <v>2139</v>
      </c>
      <c r="D32" s="182">
        <f>C32/'a5-1'!C31*100</f>
        <v>9.2013059918181934</v>
      </c>
      <c r="E32" s="175">
        <f>E31*POWER(E$33/E$27, 1/6)</f>
        <v>2772.3622837525336</v>
      </c>
      <c r="F32" s="195">
        <f t="shared" si="5"/>
        <v>10.554358876416195</v>
      </c>
      <c r="G32" s="179">
        <f>G31*(1+'a5-1'!$P$47/100)</f>
        <v>11.979976023173888</v>
      </c>
      <c r="H32" s="192">
        <f t="shared" si="6"/>
        <v>29260.506478165029</v>
      </c>
      <c r="I32" s="175">
        <f t="shared" si="4"/>
        <v>33212.833686906961</v>
      </c>
      <c r="J32" s="183">
        <f>'a8'!BE35</f>
        <v>83.6</v>
      </c>
      <c r="K32" s="6">
        <f>'a1'!BD35</f>
        <v>88.1</v>
      </c>
      <c r="L32" s="175">
        <f t="shared" si="2"/>
        <v>11736.614011391059</v>
      </c>
    </row>
    <row r="33" spans="1:19">
      <c r="A33" s="172">
        <v>1998</v>
      </c>
      <c r="B33" s="192">
        <f>'a1'!BH36/1000</f>
        <v>2899.0659999999998</v>
      </c>
      <c r="C33" s="192">
        <v>2201</v>
      </c>
      <c r="D33" s="182">
        <f>C33/'a5-1'!C32*100</f>
        <v>9.3597043677202887</v>
      </c>
      <c r="E33" s="177">
        <f>C33*S33*365/1000</f>
        <v>2892.114</v>
      </c>
      <c r="F33" s="195">
        <f t="shared" si="5"/>
        <v>10.788516068539799</v>
      </c>
      <c r="G33" s="179">
        <f>G32*(1+'a5-1'!$P$47/100)</f>
        <v>12.094748955762107</v>
      </c>
      <c r="H33" s="192">
        <f t="shared" si="6"/>
        <v>31201.618361048913</v>
      </c>
      <c r="I33" s="175">
        <f t="shared" si="4"/>
        <v>34979.392781444971</v>
      </c>
      <c r="J33" s="183">
        <f>'a8'!BE36</f>
        <v>79.7</v>
      </c>
      <c r="K33" s="6">
        <f>'a1'!BD36</f>
        <v>89.2</v>
      </c>
      <c r="L33" s="175">
        <f t="shared" si="2"/>
        <v>12065.745582006402</v>
      </c>
      <c r="S33" s="172">
        <v>3.6</v>
      </c>
    </row>
    <row r="34" spans="1:19">
      <c r="A34" s="172">
        <v>1999</v>
      </c>
      <c r="B34" s="192">
        <f>'a1'!BH37/1000</f>
        <v>2952.692</v>
      </c>
      <c r="C34" s="192">
        <v>2254.6</v>
      </c>
      <c r="D34" s="182">
        <f>C34/'a5-1'!C33*100</f>
        <v>9.4805183883202826</v>
      </c>
      <c r="E34" s="175">
        <f t="shared" ref="E34:E42" si="7">C34*S34*365/1000</f>
        <v>2925.9473160301141</v>
      </c>
      <c r="F34" s="195">
        <f t="shared" si="5"/>
        <v>11.160508013223573</v>
      </c>
      <c r="G34" s="179">
        <f>G33*(1+'a5-1'!$P$47/100)</f>
        <v>12.210621458669117</v>
      </c>
      <c r="H34" s="192">
        <f t="shared" si="6"/>
        <v>32655.058466824095</v>
      </c>
      <c r="I34" s="175">
        <f t="shared" si="4"/>
        <v>35727.635084052614</v>
      </c>
      <c r="J34" s="183">
        <f>'a8'!BE37</f>
        <v>85.7</v>
      </c>
      <c r="K34" s="6">
        <f>'a1'!BD37</f>
        <v>91.4</v>
      </c>
      <c r="L34" s="175">
        <f t="shared" si="2"/>
        <v>12100.020958519417</v>
      </c>
      <c r="S34" s="191">
        <f t="shared" ref="S34:S39" si="8">S33*POWER(S$40/S$33, 1/7)</f>
        <v>3.5555282606763332</v>
      </c>
    </row>
    <row r="35" spans="1:19">
      <c r="A35" s="172">
        <v>2000</v>
      </c>
      <c r="B35" s="192">
        <f>'a1'!BH38/1000</f>
        <v>3004.1979999999999</v>
      </c>
      <c r="C35" s="192">
        <v>2306.9</v>
      </c>
      <c r="D35" s="182">
        <f>C35/'a5-1'!C34*100</f>
        <v>9.5762919421993633</v>
      </c>
      <c r="E35" s="175">
        <f t="shared" si="7"/>
        <v>2956.8371260695967</v>
      </c>
      <c r="F35" s="195">
        <f t="shared" si="5"/>
        <v>11.64958584257381</v>
      </c>
      <c r="G35" s="179">
        <f>G34*(1+'a5-1'!$P$47/100)</f>
        <v>12.327604066215672</v>
      </c>
      <c r="H35" s="192">
        <f t="shared" si="6"/>
        <v>34445.927922657007</v>
      </c>
      <c r="I35" s="175">
        <f t="shared" si="4"/>
        <v>36450.717378473026</v>
      </c>
      <c r="J35" s="183">
        <f>'a8'!BE38</f>
        <v>99.9</v>
      </c>
      <c r="K35" s="6">
        <f>'a1'!BD38</f>
        <v>94.5</v>
      </c>
      <c r="L35" s="175">
        <f t="shared" si="2"/>
        <v>12133.260650087985</v>
      </c>
      <c r="S35" s="191">
        <f t="shared" si="8"/>
        <v>3.5116058923522422</v>
      </c>
    </row>
    <row r="36" spans="1:19">
      <c r="A36" s="172">
        <v>2001</v>
      </c>
      <c r="B36" s="192">
        <f>'a1'!BH39/1000</f>
        <v>3058.0169999999998</v>
      </c>
      <c r="C36" s="192">
        <v>2364.9</v>
      </c>
      <c r="D36" s="182">
        <f>C36/'a5-1'!C35*100</f>
        <v>9.6767461843774303</v>
      </c>
      <c r="E36" s="175">
        <f t="shared" si="7"/>
        <v>2993.7328922607726</v>
      </c>
      <c r="F36" s="195">
        <f t="shared" si="5"/>
        <v>12.034999068995207</v>
      </c>
      <c r="G36" s="179">
        <f>G35*(1+'a5-1'!$P$47/100)</f>
        <v>12.445707413645509</v>
      </c>
      <c r="H36" s="192">
        <f t="shared" si="6"/>
        <v>36029.572571178724</v>
      </c>
      <c r="I36" s="175">
        <f t="shared" si="4"/>
        <v>37259.123651684306</v>
      </c>
      <c r="J36" s="183">
        <f>'a8'!BE39</f>
        <v>102.6</v>
      </c>
      <c r="K36" s="6">
        <f>'a1'!BD39</f>
        <v>96.7</v>
      </c>
      <c r="L36" s="175">
        <f t="shared" si="2"/>
        <v>12184.079961518953</v>
      </c>
      <c r="S36" s="191">
        <f t="shared" si="8"/>
        <v>3.4682261085044255</v>
      </c>
    </row>
    <row r="37" spans="1:19">
      <c r="A37" s="172">
        <v>2002</v>
      </c>
      <c r="B37" s="192">
        <f>'a1'!BH40/1000</f>
        <v>3128.364</v>
      </c>
      <c r="C37" s="192">
        <v>2428.3000000000002</v>
      </c>
      <c r="D37" s="182">
        <f>C37/'a5-1'!C36*100</f>
        <v>9.7971023848236296</v>
      </c>
      <c r="E37" s="175">
        <f t="shared" si="7"/>
        <v>3036.0172983475372</v>
      </c>
      <c r="F37" s="195">
        <f t="shared" si="5"/>
        <v>12.564942238092225</v>
      </c>
      <c r="G37" s="179">
        <f>G36*(1+'a5-1'!$P$47/100)</f>
        <v>12.564942238092227</v>
      </c>
      <c r="H37" s="192">
        <f t="shared" si="6"/>
        <v>38147.381987585613</v>
      </c>
      <c r="I37" s="175">
        <f t="shared" si="4"/>
        <v>38147.381987585613</v>
      </c>
      <c r="J37" s="183">
        <f>'a8'!BE40</f>
        <v>100</v>
      </c>
      <c r="K37" s="6">
        <f>'a1'!BD40</f>
        <v>100</v>
      </c>
      <c r="L37" s="175">
        <f t="shared" si="2"/>
        <v>12194.03560058408</v>
      </c>
      <c r="S37" s="191">
        <f t="shared" si="8"/>
        <v>3.4253822064452746</v>
      </c>
    </row>
    <row r="38" spans="1:19">
      <c r="A38" s="172">
        <v>2003</v>
      </c>
      <c r="B38" s="192">
        <f>'a1'!BH41/1000</f>
        <v>3183.3960000000002</v>
      </c>
      <c r="C38" s="192">
        <v>2482.6</v>
      </c>
      <c r="D38" s="182">
        <f>C38/'a5-1'!C37*100</f>
        <v>9.8914277745682018</v>
      </c>
      <c r="E38" s="175">
        <f t="shared" si="7"/>
        <v>3065.563292123607</v>
      </c>
      <c r="F38" s="195">
        <f t="shared" si="5"/>
        <v>13.243473432255874</v>
      </c>
      <c r="G38" s="179">
        <f>G37*(1+'a5-1'!$P$47/100)</f>
        <v>12.685319379555434</v>
      </c>
      <c r="H38" s="192">
        <f t="shared" si="6"/>
        <v>40598.706014137839</v>
      </c>
      <c r="I38" s="175">
        <f t="shared" si="4"/>
        <v>38887.649438829343</v>
      </c>
      <c r="J38" s="183">
        <f>'a8'!BE41</f>
        <v>109.5</v>
      </c>
      <c r="K38" s="6">
        <f>'a1'!BD41</f>
        <v>104.4</v>
      </c>
      <c r="L38" s="175">
        <f t="shared" si="2"/>
        <v>12215.775052437504</v>
      </c>
      <c r="S38" s="191">
        <f t="shared" si="8"/>
        <v>3.38306756628723</v>
      </c>
    </row>
    <row r="39" spans="1:19">
      <c r="A39" s="172">
        <v>2004</v>
      </c>
      <c r="B39" s="192">
        <f>'a1'!BH42/1000</f>
        <v>3239.471</v>
      </c>
      <c r="C39" s="192">
        <v>2538.6</v>
      </c>
      <c r="D39" s="182">
        <f>C39/'a5-1'!C38*100</f>
        <v>9.9823050607526245</v>
      </c>
      <c r="E39" s="175">
        <f t="shared" si="7"/>
        <v>3095.9892631836583</v>
      </c>
      <c r="F39" s="195">
        <f t="shared" si="5"/>
        <v>13.56245391901753</v>
      </c>
      <c r="G39" s="179">
        <f>G38*(1+'a5-1'!$P$47/100)</f>
        <v>12.806849781886241</v>
      </c>
      <c r="H39" s="192">
        <f t="shared" si="6"/>
        <v>41989.2117157014</v>
      </c>
      <c r="I39" s="175">
        <f t="shared" si="4"/>
        <v>39649.869419925781</v>
      </c>
      <c r="J39" s="183">
        <f>'a8'!BE42</f>
        <v>116</v>
      </c>
      <c r="K39" s="6">
        <f>'a1'!BD42</f>
        <v>105.9</v>
      </c>
      <c r="L39" s="175">
        <f t="shared" si="2"/>
        <v>12239.612399655925</v>
      </c>
      <c r="S39" s="191">
        <f t="shared" si="8"/>
        <v>3.3412756499199308</v>
      </c>
    </row>
    <row r="40" spans="1:19">
      <c r="A40" s="172">
        <v>2005</v>
      </c>
      <c r="B40" s="192">
        <f>'a1'!BH43/1000</f>
        <v>3322.2</v>
      </c>
      <c r="C40" s="192">
        <v>2613.1999999999998</v>
      </c>
      <c r="D40" s="182">
        <f>C40/'a5-1'!C39*100</f>
        <v>10.136618592851768</v>
      </c>
      <c r="E40" s="177">
        <f t="shared" si="7"/>
        <v>3147.5994000000001</v>
      </c>
      <c r="F40" s="195">
        <f t="shared" si="5"/>
        <v>13.976837597778562</v>
      </c>
      <c r="G40" s="179">
        <f>G39*(1+'a5-1'!$P$47/100)</f>
        <v>12.929544493782204</v>
      </c>
      <c r="H40" s="192">
        <f t="shared" si="6"/>
        <v>43993.485636665246</v>
      </c>
      <c r="I40" s="175">
        <f t="shared" si="4"/>
        <v>40697.026490902172</v>
      </c>
      <c r="J40" s="183">
        <f>'a8'!BE43</f>
        <v>128.6</v>
      </c>
      <c r="K40" s="6">
        <f>'a1'!BD43</f>
        <v>108.1</v>
      </c>
      <c r="L40" s="175">
        <f t="shared" si="2"/>
        <v>12250.023024171385</v>
      </c>
      <c r="S40" s="172">
        <v>3.3</v>
      </c>
    </row>
    <row r="41" spans="1:19">
      <c r="A41" s="172">
        <v>2006</v>
      </c>
      <c r="B41" s="192">
        <f>'a1'!BH44/1000</f>
        <v>3421.2530000000002</v>
      </c>
      <c r="C41" s="192">
        <v>2702.5</v>
      </c>
      <c r="D41" s="182">
        <f>C41/'a5-1'!C40*100</f>
        <v>10.336228624755698</v>
      </c>
      <c r="E41" s="175">
        <f t="shared" si="7"/>
        <v>3214.9493937315269</v>
      </c>
      <c r="F41" s="195">
        <f t="shared" si="5"/>
        <v>14.658984674176185</v>
      </c>
      <c r="G41" s="179">
        <f>G40*(1+'a5-1'!$P$47/100)</f>
        <v>13.053414669791795</v>
      </c>
      <c r="H41" s="192">
        <f t="shared" si="6"/>
        <v>47127.89389096247</v>
      </c>
      <c r="I41" s="175">
        <f t="shared" si="4"/>
        <v>41966.067578773349</v>
      </c>
      <c r="J41" s="183">
        <f>'a8'!BE44</f>
        <v>132.1</v>
      </c>
      <c r="K41" s="6">
        <f>'a1'!BD44</f>
        <v>112.3</v>
      </c>
      <c r="L41" s="175">
        <f t="shared" si="2"/>
        <v>12266.285942247869</v>
      </c>
      <c r="S41" s="191">
        <f>S40*POWER(S$40/S$33,1/7)</f>
        <v>3.2592342389533053</v>
      </c>
    </row>
    <row r="42" spans="1:19">
      <c r="A42" s="172">
        <v>2007</v>
      </c>
      <c r="B42" s="192">
        <f>'a1'!BH45/1000</f>
        <v>3512.6909999999998</v>
      </c>
      <c r="C42" s="192">
        <v>2780.3</v>
      </c>
      <c r="D42" s="182">
        <f>C42/'a5-1'!C41*100</f>
        <v>10.483825353790927</v>
      </c>
      <c r="E42" s="175">
        <f t="shared" si="7"/>
        <v>3266.6434348304474</v>
      </c>
      <c r="F42" s="195">
        <f t="shared" si="5"/>
        <v>15.537417982596295</v>
      </c>
      <c r="G42" s="179">
        <f>G41*(1+'a5-1'!$P$47/100)</f>
        <v>13.178471571328496</v>
      </c>
      <c r="H42" s="192">
        <f t="shared" si="6"/>
        <v>50755.204447064723</v>
      </c>
      <c r="I42" s="175">
        <f t="shared" si="4"/>
        <v>43049.367639579919</v>
      </c>
      <c r="J42" s="183">
        <f>'a8'!BE45</f>
        <v>139</v>
      </c>
      <c r="K42" s="6">
        <f>'a1'!BD45</f>
        <v>117.9</v>
      </c>
      <c r="L42" s="175">
        <f t="shared" si="2"/>
        <v>12255.381312953494</v>
      </c>
      <c r="S42" s="191">
        <f>S41*POWER(S$40/S$33,1/7)</f>
        <v>3.2189720679895553</v>
      </c>
    </row>
    <row r="43" spans="1:19">
      <c r="A43" s="172">
        <v>2009</v>
      </c>
      <c r="B43" s="192">
        <f>'a1'!BH46/1000</f>
        <v>3591.3910000000001</v>
      </c>
      <c r="C43" s="309">
        <v>2851.2</v>
      </c>
      <c r="D43" s="182">
        <f>C43/'a5-1'!C42*100</f>
        <v>10.596341526866214</v>
      </c>
      <c r="E43" s="175">
        <f t="shared" ref="E43" si="9">C43*S43*365/1000</f>
        <v>3308.5628513733154</v>
      </c>
      <c r="F43" s="195">
        <f t="shared" ref="F43" si="10">G43*K43/100</f>
        <v>16.178547506316633</v>
      </c>
      <c r="G43" s="179">
        <f>G42*(1+'a5-1'!$P$47/100)</f>
        <v>13.304726567694601</v>
      </c>
      <c r="H43" s="192">
        <f t="shared" ref="H43" si="11">E43*F43</f>
        <v>53527.7412685776</v>
      </c>
      <c r="I43" s="175">
        <f t="shared" ref="I43" si="12">H43/K43*100</f>
        <v>44019.524069553947</v>
      </c>
      <c r="J43" s="183">
        <f>'a8'!BE46</f>
        <v>156.30000000000001</v>
      </c>
      <c r="K43" s="6">
        <f>'a1'!BD46</f>
        <v>121.6</v>
      </c>
      <c r="L43" s="175">
        <f t="shared" si="2"/>
        <v>12256.956724999853</v>
      </c>
      <c r="S43" s="191">
        <f>S42*POWER(S$40/S$33,1/7)</f>
        <v>3.1792072661290565</v>
      </c>
    </row>
    <row r="44" spans="1:19">
      <c r="A44" s="172">
        <v>2009</v>
      </c>
      <c r="B44" s="192">
        <f>'a1'!BH47/1000</f>
        <v>3670.7420000000002</v>
      </c>
      <c r="C44" s="304">
        <v>2917.8</v>
      </c>
      <c r="D44" s="182">
        <f>C44/'a5-1'!C43*100</f>
        <v>10.688616831879024</v>
      </c>
      <c r="E44" s="175">
        <f t="shared" ref="E44" si="13">C44*S44*365/1000</f>
        <v>3344.0199592411313</v>
      </c>
      <c r="F44" s="195">
        <f t="shared" ref="F44" si="14">G44*K44/100</f>
        <v>16.320112231594536</v>
      </c>
      <c r="G44" s="179">
        <f>G43*(1+'a5-1'!$P$47/100)</f>
        <v>13.432191137114843</v>
      </c>
      <c r="H44" s="192">
        <f t="shared" ref="H44" si="15">E44*F44</f>
        <v>54574.781039507448</v>
      </c>
      <c r="I44" s="175">
        <f t="shared" ref="I44" si="16">H44/K44*100</f>
        <v>44917.515258853862</v>
      </c>
      <c r="J44" s="183">
        <f>'a8'!BE47</f>
        <v>138.69999999999999</v>
      </c>
      <c r="K44" s="6">
        <f>'a1'!BD47</f>
        <v>121.5</v>
      </c>
      <c r="L44" s="175">
        <f t="shared" ref="L44:L45" si="17">I44/B44*1000</f>
        <v>12236.630975114529</v>
      </c>
      <c r="S44" s="191">
        <f>S43*POWER(S$40/S$33,1/7)</f>
        <v>3.1399336892415013</v>
      </c>
    </row>
    <row r="45" spans="1:19">
      <c r="A45" s="172">
        <v>2010</v>
      </c>
      <c r="B45" s="192">
        <f>'a1'!BH48/1000</f>
        <v>3720.9459999999999</v>
      </c>
      <c r="C45" s="304">
        <v>2960.9</v>
      </c>
      <c r="D45" s="182">
        <f>C45/'a5-1'!C44*100</f>
        <v>10.705208163855596</v>
      </c>
      <c r="E45" s="175">
        <f t="shared" ref="E45" si="18">C45*S45*365/1000</f>
        <v>3351.4960749528946</v>
      </c>
      <c r="F45" s="195">
        <f t="shared" ref="F45" si="19">G45*K45/100</f>
        <v>16.639195916765956</v>
      </c>
      <c r="G45" s="179">
        <f>G44*(1+'a5-1'!$P$47/100)</f>
        <v>13.560876867779914</v>
      </c>
      <c r="H45" s="192">
        <f t="shared" ref="H45" si="20">E45*F45</f>
        <v>55766.199805413336</v>
      </c>
      <c r="I45" s="175">
        <f t="shared" ref="I45" si="21">H45/K45*100</f>
        <v>45449.225595283897</v>
      </c>
      <c r="J45" s="183">
        <f>'a8'!BE48</f>
        <v>143.74745203747423</v>
      </c>
      <c r="K45" s="6">
        <f>'a1'!BD48</f>
        <v>122.7</v>
      </c>
      <c r="L45" s="175">
        <f t="shared" si="17"/>
        <v>12214.427620095508</v>
      </c>
      <c r="S45" s="191">
        <f>S44*POWER(S$40/S$33,1/7)</f>
        <v>3.101145269096627</v>
      </c>
    </row>
    <row r="46" spans="1:19">
      <c r="A46" s="172" t="s">
        <v>435</v>
      </c>
    </row>
    <row r="47" spans="1:19">
      <c r="A47" s="172" t="s">
        <v>438</v>
      </c>
      <c r="B47" s="179">
        <f>(POWER(B40/B27, 1/13)-1)*100</f>
        <v>1.805551997498922</v>
      </c>
      <c r="C47" s="179">
        <f t="shared" ref="C47:L47" si="22">(POWER(C40/C27, 1/13)-1)*100</f>
        <v>2.2448325139349246</v>
      </c>
      <c r="D47" s="179">
        <f t="shared" si="22"/>
        <v>0.94168168513686368</v>
      </c>
      <c r="E47" s="179">
        <f t="shared" si="22"/>
        <v>2.637095591584071</v>
      </c>
      <c r="F47" s="179">
        <f t="shared" si="22"/>
        <v>3.2637477309617635</v>
      </c>
      <c r="G47" s="179">
        <f t="shared" si="22"/>
        <v>0.95803975205128733</v>
      </c>
      <c r="H47" s="179">
        <f t="shared" si="22"/>
        <v>5.986911470079459</v>
      </c>
      <c r="I47" s="179">
        <f t="shared" si="22"/>
        <v>3.6203997677023203</v>
      </c>
      <c r="J47" s="179">
        <f t="shared" si="22"/>
        <v>4.2457591184726917</v>
      </c>
      <c r="K47" s="179">
        <f t="shared" si="22"/>
        <v>2.2838279988133703</v>
      </c>
      <c r="L47" s="179">
        <f t="shared" si="22"/>
        <v>1.7826609007021377</v>
      </c>
    </row>
    <row r="48" spans="1:19" ht="16.5" customHeight="1">
      <c r="A48" s="272" t="s">
        <v>1051</v>
      </c>
      <c r="B48" s="273">
        <f t="shared" ref="B48:L48" si="23">(POWER(B45/B27, 1/18)-1)*100</f>
        <v>1.9406948728624362</v>
      </c>
      <c r="C48" s="273">
        <f t="shared" si="23"/>
        <v>2.3239176677041451</v>
      </c>
      <c r="D48" s="273">
        <f t="shared" si="23"/>
        <v>0.98493953682974311</v>
      </c>
      <c r="E48" s="273">
        <f t="shared" si="23"/>
        <v>2.2536122563517225</v>
      </c>
      <c r="F48" s="273">
        <f t="shared" si="23"/>
        <v>3.3428245279946589</v>
      </c>
      <c r="G48" s="273">
        <f t="shared" si="23"/>
        <v>0.95803975205128733</v>
      </c>
      <c r="H48" s="273">
        <f t="shared" si="23"/>
        <v>5.6717710876176053</v>
      </c>
      <c r="I48" s="273">
        <f t="shared" si="23"/>
        <v>3.2332425096759598</v>
      </c>
      <c r="J48" s="273">
        <f t="shared" si="23"/>
        <v>3.688071369896706</v>
      </c>
      <c r="K48" s="273">
        <f t="shared" si="23"/>
        <v>2.3621543978075366</v>
      </c>
      <c r="L48" s="273">
        <f t="shared" si="23"/>
        <v>1.2679407751983396</v>
      </c>
    </row>
    <row r="49" spans="1:12" ht="12" customHeight="1">
      <c r="A49" s="642" t="s">
        <v>933</v>
      </c>
      <c r="B49" s="642"/>
      <c r="C49" s="642"/>
      <c r="D49" s="642"/>
      <c r="E49" s="642"/>
      <c r="F49" s="642"/>
      <c r="G49" s="642"/>
      <c r="H49" s="642"/>
      <c r="I49" s="642"/>
      <c r="J49" s="642"/>
      <c r="K49" s="642"/>
      <c r="L49" s="642"/>
    </row>
    <row r="50" spans="1:12" ht="12.75" customHeight="1">
      <c r="A50" s="643" t="s">
        <v>913</v>
      </c>
      <c r="B50" s="642"/>
      <c r="C50" s="642"/>
      <c r="D50" s="642"/>
      <c r="E50" s="642"/>
      <c r="F50" s="642"/>
      <c r="G50" s="642"/>
      <c r="H50" s="642"/>
      <c r="I50" s="642"/>
      <c r="J50" s="642"/>
      <c r="K50" s="642"/>
      <c r="L50" s="642"/>
    </row>
    <row r="51" spans="1:12">
      <c r="A51" s="185" t="s">
        <v>912</v>
      </c>
      <c r="B51" s="203"/>
      <c r="C51" s="203"/>
      <c r="D51" s="203"/>
      <c r="E51" s="203"/>
      <c r="F51" s="203"/>
      <c r="G51" s="203"/>
      <c r="H51" s="203"/>
      <c r="I51" s="203"/>
      <c r="J51" s="203"/>
      <c r="K51" s="203"/>
    </row>
    <row r="52" spans="1:12">
      <c r="A52" s="172" t="s">
        <v>1053</v>
      </c>
    </row>
    <row r="53" spans="1:12">
      <c r="A53" s="189" t="s">
        <v>1054</v>
      </c>
    </row>
    <row r="54" spans="1:12">
      <c r="A54" s="189" t="s">
        <v>944</v>
      </c>
    </row>
    <row r="55" spans="1:12">
      <c r="A55" s="185" t="s">
        <v>1050</v>
      </c>
    </row>
    <row r="56" spans="1:12">
      <c r="A56" s="1" t="s">
        <v>1052</v>
      </c>
    </row>
  </sheetData>
  <mergeCells count="2">
    <mergeCell ref="A49:L49"/>
    <mergeCell ref="A50:L50"/>
  </mergeCells>
  <pageMargins left="0.74803149606299213" right="0.74803149606299213" top="0.98425196850393704" bottom="0.98425196850393704" header="0.51181102362204722" footer="0.51181102362204722"/>
  <pageSetup scale="75" orientation="landscape" r:id="rId1"/>
  <headerFooter alignWithMargins="0"/>
</worksheet>
</file>

<file path=xl/worksheets/sheet28.xml><?xml version="1.0" encoding="utf-8"?>
<worksheet xmlns="http://schemas.openxmlformats.org/spreadsheetml/2006/main" xmlns:r="http://schemas.openxmlformats.org/officeDocument/2006/relationships">
  <dimension ref="A1:S56"/>
  <sheetViews>
    <sheetView view="pageBreakPreview" zoomScaleSheetLayoutView="100" workbookViewId="0">
      <selection activeCell="E9" sqref="E9"/>
    </sheetView>
  </sheetViews>
  <sheetFormatPr defaultRowHeight="12.75"/>
  <cols>
    <col min="1" max="1" width="9.375" style="172" customWidth="1"/>
    <col min="2" max="12" width="12" style="172" customWidth="1"/>
    <col min="13" max="17" width="9" style="172"/>
    <col min="18" max="18" width="0" style="172" hidden="1" customWidth="1"/>
    <col min="19" max="16384" width="9" style="172"/>
  </cols>
  <sheetData>
    <row r="1" spans="1:19" ht="31.5" customHeight="1">
      <c r="A1" s="172" t="s">
        <v>901</v>
      </c>
      <c r="S1" s="203" t="s">
        <v>914</v>
      </c>
    </row>
    <row r="2" spans="1:19" ht="25.5">
      <c r="B2" s="203" t="s">
        <v>868</v>
      </c>
      <c r="C2" s="203" t="s">
        <v>869</v>
      </c>
      <c r="D2" s="203" t="s">
        <v>890</v>
      </c>
      <c r="E2" s="203" t="s">
        <v>870</v>
      </c>
      <c r="F2" s="203" t="s">
        <v>871</v>
      </c>
      <c r="G2" s="203" t="s">
        <v>872</v>
      </c>
      <c r="H2" s="203" t="s">
        <v>873</v>
      </c>
      <c r="I2" s="203" t="s">
        <v>873</v>
      </c>
      <c r="J2" s="203" t="s">
        <v>473</v>
      </c>
      <c r="K2" s="203" t="s">
        <v>874</v>
      </c>
      <c r="L2" s="203" t="s">
        <v>875</v>
      </c>
      <c r="S2" s="172" t="s">
        <v>915</v>
      </c>
    </row>
    <row r="3" spans="1:19" ht="37.5" customHeight="1">
      <c r="B3" s="203" t="s">
        <v>876</v>
      </c>
      <c r="C3" s="203" t="s">
        <v>876</v>
      </c>
      <c r="D3" s="203" t="s">
        <v>891</v>
      </c>
      <c r="E3" s="203" t="s">
        <v>877</v>
      </c>
      <c r="F3" s="203" t="s">
        <v>878</v>
      </c>
      <c r="G3" s="203" t="s">
        <v>879</v>
      </c>
      <c r="H3" s="203" t="s">
        <v>880</v>
      </c>
      <c r="I3" s="203" t="s">
        <v>881</v>
      </c>
      <c r="J3" s="203" t="s">
        <v>882</v>
      </c>
      <c r="K3" s="203" t="s">
        <v>882</v>
      </c>
      <c r="L3" s="203" t="s">
        <v>883</v>
      </c>
    </row>
    <row r="4" spans="1:19" ht="13.5" customHeight="1">
      <c r="A4" s="272"/>
      <c r="B4" s="274" t="s">
        <v>105</v>
      </c>
      <c r="C4" s="274" t="s">
        <v>106</v>
      </c>
      <c r="D4" s="274" t="s">
        <v>107</v>
      </c>
      <c r="E4" s="274" t="s">
        <v>108</v>
      </c>
      <c r="F4" s="274" t="s">
        <v>109</v>
      </c>
      <c r="G4" s="274" t="s">
        <v>110</v>
      </c>
      <c r="H4" s="275" t="s">
        <v>892</v>
      </c>
      <c r="I4" s="275" t="s">
        <v>936</v>
      </c>
      <c r="J4" s="276" t="s">
        <v>138</v>
      </c>
      <c r="K4" s="276" t="s">
        <v>138</v>
      </c>
      <c r="L4" s="276" t="s">
        <v>935</v>
      </c>
    </row>
    <row r="5" spans="1:19" hidden="1">
      <c r="A5" s="172">
        <v>1971</v>
      </c>
      <c r="B5" s="175">
        <v>2240.4699999999998</v>
      </c>
      <c r="C5" s="176">
        <f>C6*B5/B6</f>
        <v>1658.3145125358194</v>
      </c>
      <c r="D5" s="182">
        <f>C5/'a5-1'!C5*100</f>
        <v>10.380196204569605</v>
      </c>
      <c r="E5" s="177">
        <v>17519</v>
      </c>
      <c r="F5" s="187">
        <f>H5/E5</f>
        <v>1.6931331697014669</v>
      </c>
      <c r="G5" s="179">
        <f>F5/K5*100</f>
        <v>7.8083042356671086</v>
      </c>
      <c r="H5" s="177">
        <v>29662</v>
      </c>
      <c r="I5" s="175">
        <f t="shared" ref="I5:I13" si="0">H5/J5*100</f>
        <v>127012.8465615192</v>
      </c>
      <c r="J5" s="183">
        <v>23.353543206854347</v>
      </c>
      <c r="K5" s="183">
        <v>21.683750000000003</v>
      </c>
      <c r="L5" s="175">
        <f>I5/B5*1000</f>
        <v>56690.268810347479</v>
      </c>
    </row>
    <row r="6" spans="1:19" hidden="1">
      <c r="A6" s="172">
        <v>1972</v>
      </c>
      <c r="B6" s="175">
        <v>2302.0859999999998</v>
      </c>
      <c r="C6" s="176">
        <f>C7*B6/B7</f>
        <v>1703.92043763386</v>
      </c>
      <c r="D6" s="182">
        <f>C6/'a5-1'!C6*100</f>
        <v>10.542569692100416</v>
      </c>
      <c r="E6" s="175">
        <v>17872</v>
      </c>
      <c r="F6" s="182">
        <f>POWER(F$16/F$5,1/10)*F5</f>
        <v>1.8910611095793273</v>
      </c>
      <c r="G6" s="179">
        <f t="shared" ref="G6:G27" si="1">F6/K6*100</f>
        <v>8.3228744438766658</v>
      </c>
      <c r="H6" s="175">
        <v>33180</v>
      </c>
      <c r="I6" s="175">
        <f t="shared" si="0"/>
        <v>135293.42737719626</v>
      </c>
      <c r="J6" s="183">
        <v>24.524472949816406</v>
      </c>
      <c r="K6" s="183">
        <v>22.721250000000005</v>
      </c>
      <c r="L6" s="175">
        <f t="shared" ref="L6:L42" si="2">I6/B6*1000</f>
        <v>58769.927525381878</v>
      </c>
    </row>
    <row r="7" spans="1:19" hidden="1">
      <c r="A7" s="172">
        <v>1973</v>
      </c>
      <c r="B7" s="175">
        <v>2367.2710000000002</v>
      </c>
      <c r="C7" s="176">
        <f>C8*B7/B8</f>
        <v>1752.1680068937242</v>
      </c>
      <c r="D7" s="182">
        <f>C7/'a5-1'!C7*100</f>
        <v>10.709351136901565</v>
      </c>
      <c r="E7" s="175">
        <v>18232</v>
      </c>
      <c r="F7" s="182">
        <f t="shared" ref="F7:F14" si="3">POWER(F$16/F$5,1/10)*F6</f>
        <v>2.1121269042256943</v>
      </c>
      <c r="G7" s="179">
        <f t="shared" si="1"/>
        <v>8.6262074912219475</v>
      </c>
      <c r="H7" s="175">
        <v>37115</v>
      </c>
      <c r="I7" s="175">
        <f t="shared" si="0"/>
        <v>140875.70714385796</v>
      </c>
      <c r="J7" s="183">
        <v>26.345919216646273</v>
      </c>
      <c r="K7" s="183">
        <v>24.485000000000007</v>
      </c>
      <c r="L7" s="175">
        <f t="shared" si="2"/>
        <v>59509.750739927091</v>
      </c>
    </row>
    <row r="8" spans="1:19" hidden="1">
      <c r="A8" s="172">
        <v>1974</v>
      </c>
      <c r="B8" s="175">
        <v>2442.578</v>
      </c>
      <c r="C8" s="176">
        <f>C9*B8/B9</f>
        <v>1807.9075128882407</v>
      </c>
      <c r="D8" s="182">
        <f>C8/'a5-1'!C8*100</f>
        <v>10.896845080307854</v>
      </c>
      <c r="E8" s="175">
        <v>18599</v>
      </c>
      <c r="F8" s="182">
        <f t="shared" si="3"/>
        <v>2.3590353780510021</v>
      </c>
      <c r="G8" s="179">
        <f t="shared" si="1"/>
        <v>8.6785077827683317</v>
      </c>
      <c r="H8" s="175">
        <v>41518</v>
      </c>
      <c r="I8" s="175">
        <f t="shared" si="0"/>
        <v>139351.80997839663</v>
      </c>
      <c r="J8" s="183">
        <v>29.793656793145662</v>
      </c>
      <c r="K8" s="183">
        <v>27.182500000000005</v>
      </c>
      <c r="L8" s="175">
        <f t="shared" si="2"/>
        <v>57051.119750688267</v>
      </c>
    </row>
    <row r="9" spans="1:19" hidden="1">
      <c r="A9" s="172">
        <v>1975</v>
      </c>
      <c r="B9" s="175">
        <v>2499.5639999999999</v>
      </c>
      <c r="C9" s="176">
        <f>C10*B9/B10</f>
        <v>1850.0864801635739</v>
      </c>
      <c r="D9" s="182">
        <f>C9/'a5-1'!C9*100</f>
        <v>10.989511674194894</v>
      </c>
      <c r="E9" s="175">
        <v>18974</v>
      </c>
      <c r="F9" s="182">
        <f t="shared" si="3"/>
        <v>2.6348075505133441</v>
      </c>
      <c r="G9" s="179">
        <f t="shared" si="1"/>
        <v>8.7571501471153912</v>
      </c>
      <c r="H9" s="175">
        <v>46442</v>
      </c>
      <c r="I9" s="175">
        <f t="shared" si="0"/>
        <v>139438.47376954946</v>
      </c>
      <c r="J9" s="183">
        <v>33.306446022031828</v>
      </c>
      <c r="K9" s="183">
        <v>30.087500000000006</v>
      </c>
      <c r="L9" s="175">
        <f t="shared" si="2"/>
        <v>55785.118432474403</v>
      </c>
    </row>
    <row r="10" spans="1:19" hidden="1">
      <c r="A10" s="172">
        <v>1976</v>
      </c>
      <c r="B10" s="175">
        <v>2533.8989999999999</v>
      </c>
      <c r="C10" s="175">
        <v>1875.5</v>
      </c>
      <c r="D10" s="182">
        <f>C10/'a5-1'!C10*100</f>
        <v>10.994841130261461</v>
      </c>
      <c r="E10" s="175">
        <v>19356</v>
      </c>
      <c r="F10" s="182">
        <f t="shared" si="3"/>
        <v>2.9428175994451062</v>
      </c>
      <c r="G10" s="179">
        <f t="shared" si="1"/>
        <v>9.120420251640974</v>
      </c>
      <c r="H10" s="175">
        <v>51950</v>
      </c>
      <c r="I10" s="175">
        <f t="shared" si="0"/>
        <v>143891.20056022546</v>
      </c>
      <c r="J10" s="183">
        <v>36.103667074663399</v>
      </c>
      <c r="K10" s="183">
        <v>32.266250000000007</v>
      </c>
      <c r="L10" s="175">
        <f t="shared" si="2"/>
        <v>56786.478293028049</v>
      </c>
    </row>
    <row r="11" spans="1:19" hidden="1">
      <c r="A11" s="172">
        <v>1977</v>
      </c>
      <c r="B11" s="175">
        <v>2570.3150000000001</v>
      </c>
      <c r="C11" s="175">
        <v>1921.6</v>
      </c>
      <c r="D11" s="182">
        <f>C11/'a5-1'!C11*100</f>
        <v>11.021192394826647</v>
      </c>
      <c r="E11" s="175">
        <v>19746</v>
      </c>
      <c r="F11" s="182">
        <f t="shared" si="3"/>
        <v>3.286834145407159</v>
      </c>
      <c r="G11" s="179">
        <f t="shared" si="1"/>
        <v>9.4286693786780216</v>
      </c>
      <c r="H11" s="175">
        <v>58111</v>
      </c>
      <c r="I11" s="175">
        <f t="shared" si="0"/>
        <v>151664.77377013522</v>
      </c>
      <c r="J11" s="183">
        <v>38.315423255813947</v>
      </c>
      <c r="K11" s="183">
        <v>34.860000000000007</v>
      </c>
      <c r="L11" s="175">
        <f t="shared" si="2"/>
        <v>59006.298360370311</v>
      </c>
    </row>
    <row r="12" spans="1:19" hidden="1">
      <c r="A12" s="172">
        <v>1978</v>
      </c>
      <c r="B12" s="175">
        <v>2615.1619999999998</v>
      </c>
      <c r="C12" s="175">
        <v>1972.2</v>
      </c>
      <c r="D12" s="182">
        <f>C12/'a5-1'!C12*100</f>
        <v>11.09298715323869</v>
      </c>
      <c r="E12" s="175">
        <v>20144</v>
      </c>
      <c r="F12" s="182">
        <f t="shared" si="3"/>
        <v>3.6710663622004507</v>
      </c>
      <c r="G12" s="179">
        <f t="shared" si="1"/>
        <v>9.6676973130566868</v>
      </c>
      <c r="H12" s="175">
        <v>65004</v>
      </c>
      <c r="I12" s="175">
        <f>H12/J12*100</f>
        <v>159882.79495439085</v>
      </c>
      <c r="J12" s="183">
        <v>40.657282741738058</v>
      </c>
      <c r="K12" s="183">
        <v>37.972500000000004</v>
      </c>
      <c r="L12" s="175">
        <f t="shared" si="2"/>
        <v>61136.860720058969</v>
      </c>
    </row>
    <row r="13" spans="1:19" hidden="1">
      <c r="A13" s="172">
        <v>1979</v>
      </c>
      <c r="B13" s="175">
        <v>2665.2379999999998</v>
      </c>
      <c r="C13" s="175">
        <v>2027</v>
      </c>
      <c r="D13" s="182">
        <f>C13/'a5-1'!C13*100</f>
        <v>11.18690464364162</v>
      </c>
      <c r="E13" s="175">
        <v>20550</v>
      </c>
      <c r="F13" s="182">
        <f t="shared" si="3"/>
        <v>4.1002154777147144</v>
      </c>
      <c r="G13" s="179">
        <f t="shared" si="1"/>
        <v>9.8800372956981075</v>
      </c>
      <c r="H13" s="175">
        <v>72714</v>
      </c>
      <c r="I13" s="175">
        <f t="shared" si="0"/>
        <v>165844.01631426622</v>
      </c>
      <c r="J13" s="183">
        <v>43.844813708690317</v>
      </c>
      <c r="K13" s="183">
        <v>41.5</v>
      </c>
      <c r="L13" s="175">
        <f t="shared" si="2"/>
        <v>62224.843077528625</v>
      </c>
    </row>
    <row r="14" spans="1:19" hidden="1">
      <c r="A14" s="172">
        <v>1980</v>
      </c>
      <c r="B14" s="175">
        <v>2745.8609999999999</v>
      </c>
      <c r="C14" s="175">
        <v>2098.1</v>
      </c>
      <c r="D14" s="182">
        <f>C14/'a5-1'!C14*100</f>
        <v>11.351205128898748</v>
      </c>
      <c r="E14" s="175">
        <v>20964</v>
      </c>
      <c r="F14" s="182">
        <f t="shared" si="3"/>
        <v>4.5795322952468425</v>
      </c>
      <c r="G14" s="179">
        <f t="shared" si="1"/>
        <v>10.087075540191282</v>
      </c>
      <c r="H14" s="175">
        <v>81338</v>
      </c>
      <c r="I14" s="175">
        <f>H14/J14*100</f>
        <v>169885.90281986311</v>
      </c>
      <c r="J14" s="183">
        <v>47.878016156670732</v>
      </c>
      <c r="K14" s="183">
        <v>45.4</v>
      </c>
      <c r="L14" s="175">
        <f>I14/B14*1000</f>
        <v>61869.811625520422</v>
      </c>
    </row>
    <row r="15" spans="1:19" hidden="1">
      <c r="B15" s="175"/>
      <c r="C15" s="175"/>
      <c r="D15" s="182"/>
      <c r="E15" s="175"/>
      <c r="F15" s="182"/>
      <c r="G15" s="179"/>
      <c r="I15" s="175"/>
      <c r="J15" s="183"/>
      <c r="K15" s="183"/>
    </row>
    <row r="16" spans="1:19">
      <c r="A16" s="172">
        <v>1981</v>
      </c>
      <c r="B16" s="192">
        <f>'a1'!BN19/1000</f>
        <v>2826.558</v>
      </c>
      <c r="C16" s="192">
        <v>2166.5</v>
      </c>
      <c r="D16" s="182">
        <f>C16/'a5-1'!C15*100</f>
        <v>11.51511608129943</v>
      </c>
      <c r="E16" s="193">
        <v>2446</v>
      </c>
      <c r="F16" s="194">
        <v>5.1148814390842192</v>
      </c>
      <c r="G16" s="179">
        <f t="shared" si="1"/>
        <v>9.8742884924405772</v>
      </c>
      <c r="H16" s="193">
        <v>12511</v>
      </c>
      <c r="I16" s="175">
        <f>H16/K16*100</f>
        <v>24152.509652509652</v>
      </c>
      <c r="J16" s="183">
        <f>'a8'!BK19</f>
        <v>53.1</v>
      </c>
      <c r="K16" s="6">
        <f>'a1'!BJ19</f>
        <v>51.8</v>
      </c>
      <c r="L16" s="175">
        <f>I16/B16*1000</f>
        <v>8544.8484172303033</v>
      </c>
    </row>
    <row r="17" spans="1:12">
      <c r="A17" s="172">
        <v>1982</v>
      </c>
      <c r="B17" s="192">
        <f>'a1'!BN20/1000</f>
        <v>2876.5129999999999</v>
      </c>
      <c r="C17" s="192">
        <v>2208.9</v>
      </c>
      <c r="D17" s="182">
        <f>C17/'a5-1'!C16*100</f>
        <v>11.56286315524985</v>
      </c>
      <c r="E17" s="192">
        <v>2460.6759999999999</v>
      </c>
      <c r="F17" s="182">
        <f>POWER(F$21/F$16,1/5)*F16</f>
        <v>5.2486742235956498</v>
      </c>
      <c r="G17" s="179">
        <f t="shared" si="1"/>
        <v>9.1599899190150964</v>
      </c>
      <c r="H17" s="192">
        <v>12913.98903544574</v>
      </c>
      <c r="I17" s="175">
        <f t="shared" ref="I17:I41" si="4">H17/K17*100</f>
        <v>22537.502679660982</v>
      </c>
      <c r="J17" s="183">
        <f>'a8'!BK20</f>
        <v>56.8</v>
      </c>
      <c r="K17" s="6">
        <f>'a1'!BJ20</f>
        <v>57.3</v>
      </c>
      <c r="L17" s="175">
        <f t="shared" si="2"/>
        <v>7835.0081086582895</v>
      </c>
    </row>
    <row r="18" spans="1:12">
      <c r="A18" s="172">
        <v>1983</v>
      </c>
      <c r="B18" s="192">
        <f>'a1'!BN21/1000</f>
        <v>2907.502</v>
      </c>
      <c r="C18" s="192">
        <v>2240.4</v>
      </c>
      <c r="D18" s="182">
        <f>C18/'a5-1'!C17*100</f>
        <v>11.575303539137174</v>
      </c>
      <c r="E18" s="192">
        <v>2475.4400559999999</v>
      </c>
      <c r="F18" s="182">
        <f>POWER(F$21/F$16,1/5)*F17</f>
        <v>5.3859667000159757</v>
      </c>
      <c r="G18" s="179">
        <f t="shared" si="1"/>
        <v>8.9171634106224769</v>
      </c>
      <c r="H18" s="192">
        <v>13329.958660987355</v>
      </c>
      <c r="I18" s="175">
        <f t="shared" si="4"/>
        <v>22069.467981767146</v>
      </c>
      <c r="J18" s="183">
        <f>'a8'!BK21</f>
        <v>59.5</v>
      </c>
      <c r="K18" s="6">
        <f>'a1'!BJ21</f>
        <v>60.4</v>
      </c>
      <c r="L18" s="175">
        <f t="shared" si="2"/>
        <v>7590.5254688619807</v>
      </c>
    </row>
    <row r="19" spans="1:12">
      <c r="A19" s="172">
        <v>1984</v>
      </c>
      <c r="B19" s="192">
        <f>'a1'!BN22/1000</f>
        <v>2947.181</v>
      </c>
      <c r="C19" s="192">
        <v>2276.5</v>
      </c>
      <c r="D19" s="182">
        <f>C19/'a5-1'!C18*100</f>
        <v>11.616040494134575</v>
      </c>
      <c r="E19" s="192">
        <v>2490.2926963360001</v>
      </c>
      <c r="F19" s="182">
        <f>POWER(F$21/F$16,1/5)*F18</f>
        <v>5.5268504117232791</v>
      </c>
      <c r="G19" s="179">
        <f t="shared" si="1"/>
        <v>8.800717216119871</v>
      </c>
      <c r="H19" s="192">
        <v>13759.326991522315</v>
      </c>
      <c r="I19" s="175">
        <f t="shared" si="4"/>
        <v>21909.756355927253</v>
      </c>
      <c r="J19" s="183">
        <f>'a8'!BK22</f>
        <v>62</v>
      </c>
      <c r="K19" s="6">
        <f>'a1'!BJ22</f>
        <v>62.8</v>
      </c>
      <c r="L19" s="175">
        <f t="shared" si="2"/>
        <v>7434.1400667034886</v>
      </c>
    </row>
    <row r="20" spans="1:12">
      <c r="A20" s="172">
        <v>1985</v>
      </c>
      <c r="B20" s="192">
        <f>'a1'!BN23/1000</f>
        <v>2975.1309999999999</v>
      </c>
      <c r="C20" s="192">
        <v>2306.6</v>
      </c>
      <c r="D20" s="182">
        <f>C20/'a5-1'!C19*100</f>
        <v>11.624426111365892</v>
      </c>
      <c r="E20" s="192">
        <v>2505.2344525140161</v>
      </c>
      <c r="F20" s="182">
        <f>POWER(F$21/F$16,1/5)*F19</f>
        <v>5.6714192966464454</v>
      </c>
      <c r="G20" s="179">
        <f t="shared" si="1"/>
        <v>8.7521902726025385</v>
      </c>
      <c r="H20" s="192">
        <v>14202.52560975396</v>
      </c>
      <c r="I20" s="175">
        <f t="shared" si="4"/>
        <v>21917.477792830185</v>
      </c>
      <c r="J20" s="183">
        <f>'a8'!BK23</f>
        <v>62.2</v>
      </c>
      <c r="K20" s="6">
        <f>'a1'!BJ23</f>
        <v>64.8</v>
      </c>
      <c r="L20" s="175">
        <f t="shared" si="2"/>
        <v>7366.8950351531357</v>
      </c>
    </row>
    <row r="21" spans="1:12">
      <c r="A21" s="172">
        <v>1986</v>
      </c>
      <c r="B21" s="192">
        <f>'a1'!BN24/1000</f>
        <v>3003.6210000000001</v>
      </c>
      <c r="C21" s="192">
        <v>2335.1</v>
      </c>
      <c r="D21" s="182">
        <f>C21/'a5-1'!C20*100</f>
        <v>11.621344534469372</v>
      </c>
      <c r="E21" s="193">
        <v>2519</v>
      </c>
      <c r="F21" s="194">
        <v>5.8197697499007539</v>
      </c>
      <c r="G21" s="179">
        <f t="shared" si="1"/>
        <v>8.7252919788616996</v>
      </c>
      <c r="H21" s="193">
        <v>14660</v>
      </c>
      <c r="I21" s="175">
        <f t="shared" si="4"/>
        <v>21979.010494752623</v>
      </c>
      <c r="J21" s="183">
        <f>'a8'!BK24</f>
        <v>65.599999999999994</v>
      </c>
      <c r="K21" s="6">
        <f>'a1'!BJ24</f>
        <v>66.7</v>
      </c>
      <c r="L21" s="175">
        <f t="shared" si="2"/>
        <v>7317.5046035277492</v>
      </c>
    </row>
    <row r="22" spans="1:12">
      <c r="A22" s="172">
        <v>1987</v>
      </c>
      <c r="B22" s="192">
        <f>'a1'!BN25/1000</f>
        <v>3048.6509999999998</v>
      </c>
      <c r="C22" s="192">
        <v>2371.1999999999998</v>
      </c>
      <c r="D22" s="182">
        <f>C22/'a5-1'!C21*100</f>
        <v>11.653176463650167</v>
      </c>
      <c r="E22" s="192">
        <v>2597.0889999999999</v>
      </c>
      <c r="F22" s="182">
        <f>POWER(F$27/F$21,1/6)*F21</f>
        <v>6.400176592526754</v>
      </c>
      <c r="G22" s="179">
        <f t="shared" si="1"/>
        <v>9.316123133226716</v>
      </c>
      <c r="H22" s="192">
        <v>16624.225012044993</v>
      </c>
      <c r="I22" s="175">
        <f t="shared" si="4"/>
        <v>24198.289682743802</v>
      </c>
      <c r="J22" s="183">
        <f>'a8'!BK25</f>
        <v>68.3</v>
      </c>
      <c r="K22" s="6">
        <f>'a1'!BJ25</f>
        <v>68.7</v>
      </c>
      <c r="L22" s="175">
        <f t="shared" si="2"/>
        <v>7937.3761321790535</v>
      </c>
    </row>
    <row r="23" spans="1:12">
      <c r="A23" s="172">
        <v>1988</v>
      </c>
      <c r="B23" s="192">
        <f>'a1'!BN26/1000</f>
        <v>3114.761</v>
      </c>
      <c r="C23" s="192">
        <v>2419</v>
      </c>
      <c r="D23" s="182">
        <f>C23/'a5-1'!C22*100</f>
        <v>11.735768137316734</v>
      </c>
      <c r="E23" s="192">
        <v>2677.5987589999995</v>
      </c>
      <c r="F23" s="182">
        <f>POWER(F$27/F$21,1/6)*F22</f>
        <v>7.0384675297894574</v>
      </c>
      <c r="G23" s="179">
        <f t="shared" si="1"/>
        <v>9.8854881036368774</v>
      </c>
      <c r="H23" s="192">
        <v>18851.627370470829</v>
      </c>
      <c r="I23" s="175">
        <f t="shared" si="4"/>
        <v>26477.004733807342</v>
      </c>
      <c r="J23" s="183">
        <f>'a8'!BK26</f>
        <v>71.7</v>
      </c>
      <c r="K23" s="6">
        <f>'a1'!BJ26</f>
        <v>71.2</v>
      </c>
      <c r="L23" s="175">
        <f t="shared" si="2"/>
        <v>8500.4932108137164</v>
      </c>
    </row>
    <row r="24" spans="1:12">
      <c r="A24" s="172">
        <v>1989</v>
      </c>
      <c r="B24" s="192">
        <f>'a1'!BN27/1000</f>
        <v>3196.7249999999999</v>
      </c>
      <c r="C24" s="192">
        <v>2477.1999999999998</v>
      </c>
      <c r="D24" s="182">
        <f>C24/'a5-1'!C23*100</f>
        <v>11.853482307342631</v>
      </c>
      <c r="E24" s="192">
        <v>2760.6043205289993</v>
      </c>
      <c r="F24" s="182">
        <f>POWER(F$27/F$21,1/6)*F23</f>
        <v>7.7404153544367098</v>
      </c>
      <c r="G24" s="179">
        <f t="shared" si="1"/>
        <v>10.403784078543964</v>
      </c>
      <c r="H24" s="192">
        <v>21377.468980213722</v>
      </c>
      <c r="I24" s="175">
        <f t="shared" si="4"/>
        <v>28733.157231470057</v>
      </c>
      <c r="J24" s="183">
        <f>'a8'!BK27</f>
        <v>75.599999999999994</v>
      </c>
      <c r="K24" s="6">
        <f>'a1'!BJ27</f>
        <v>74.400000000000006</v>
      </c>
      <c r="L24" s="175">
        <f t="shared" si="2"/>
        <v>8988.3106089732646</v>
      </c>
    </row>
    <row r="25" spans="1:12">
      <c r="A25" s="172">
        <v>1990</v>
      </c>
      <c r="B25" s="192">
        <f>'a1'!BN28/1000</f>
        <v>3292.1109999999999</v>
      </c>
      <c r="C25" s="192">
        <v>2545.9</v>
      </c>
      <c r="D25" s="182">
        <f>C25/'a5-1'!C24*100</f>
        <v>12.000641064921965</v>
      </c>
      <c r="E25" s="192">
        <v>2846.1830544653981</v>
      </c>
      <c r="F25" s="182">
        <f>POWER(F$27/F$21,1/6)*F24</f>
        <v>8.5123685810328364</v>
      </c>
      <c r="G25" s="179">
        <f t="shared" si="1"/>
        <v>10.85761298601127</v>
      </c>
      <c r="H25" s="192">
        <v>24241.736324357771</v>
      </c>
      <c r="I25" s="175">
        <f t="shared" si="4"/>
        <v>30920.582046374704</v>
      </c>
      <c r="J25" s="183">
        <f>'a8'!BK28</f>
        <v>78.2</v>
      </c>
      <c r="K25" s="6">
        <f>'a1'!BJ28</f>
        <v>78.400000000000006</v>
      </c>
      <c r="L25" s="175">
        <f t="shared" si="2"/>
        <v>9392.3267005197285</v>
      </c>
    </row>
    <row r="26" spans="1:12">
      <c r="A26" s="172">
        <v>1991</v>
      </c>
      <c r="B26" s="192">
        <f>'a1'!BN29/1000</f>
        <v>3373.7869999999998</v>
      </c>
      <c r="C26" s="192">
        <v>2616.1999999999998</v>
      </c>
      <c r="D26" s="182">
        <f>C26/'a5-1'!C25*100</f>
        <v>12.14955441107494</v>
      </c>
      <c r="E26" s="192">
        <v>2934.4147291538252</v>
      </c>
      <c r="F26" s="182">
        <f>POWER(F$27/F$21,1/6)*F25</f>
        <v>9.361308862814651</v>
      </c>
      <c r="G26" s="179">
        <f t="shared" si="1"/>
        <v>11.333303708008053</v>
      </c>
      <c r="H26" s="192">
        <v>27489.773488321152</v>
      </c>
      <c r="I26" s="175">
        <f t="shared" si="4"/>
        <v>33280.597443488077</v>
      </c>
      <c r="J26" s="183">
        <f>'a8'!BK29</f>
        <v>80.599999999999994</v>
      </c>
      <c r="K26" s="6">
        <f>'a1'!BJ29</f>
        <v>82.6</v>
      </c>
      <c r="L26" s="175">
        <f t="shared" si="2"/>
        <v>9864.463122149702</v>
      </c>
    </row>
    <row r="27" spans="1:12">
      <c r="A27" s="172">
        <v>1992</v>
      </c>
      <c r="B27" s="192">
        <f>'a1'!BN30/1000</f>
        <v>3468.8020000000001</v>
      </c>
      <c r="C27" s="192">
        <v>2690.4</v>
      </c>
      <c r="D27" s="182">
        <f>C27/'a5-1'!C26*100</f>
        <v>12.329859487997361</v>
      </c>
      <c r="E27" s="193">
        <v>3028</v>
      </c>
      <c r="F27" s="194">
        <v>10.294914134742404</v>
      </c>
      <c r="G27" s="179">
        <f t="shared" si="1"/>
        <v>12.140228932479252</v>
      </c>
      <c r="H27" s="193">
        <v>31173</v>
      </c>
      <c r="I27" s="175">
        <f t="shared" si="4"/>
        <v>36760.613207547169</v>
      </c>
      <c r="J27" s="183">
        <f>'a8'!BK30</f>
        <v>83.7</v>
      </c>
      <c r="K27" s="6">
        <f>'a1'!BJ30</f>
        <v>84.8</v>
      </c>
      <c r="L27" s="175">
        <f t="shared" si="2"/>
        <v>10597.49539107368</v>
      </c>
    </row>
    <row r="28" spans="1:12">
      <c r="A28" s="172">
        <v>1993</v>
      </c>
      <c r="B28" s="192">
        <f>'a1'!BN31/1000</f>
        <v>3567.7719999999999</v>
      </c>
      <c r="C28" s="192">
        <v>2770.5</v>
      </c>
      <c r="D28" s="182">
        <f>C28/'a5-1'!C27*100</f>
        <v>12.540227856008038</v>
      </c>
      <c r="E28" s="175">
        <f>E27*POWER(E$33/E$27, 1/6)</f>
        <v>3187.9840659620982</v>
      </c>
      <c r="F28" s="195">
        <f>G28*K28/100</f>
        <v>10.761239619142058</v>
      </c>
      <c r="G28" s="179">
        <f>G27*(1+'a5-1'!$P$47/100)</f>
        <v>12.256537151642435</v>
      </c>
      <c r="H28" s="192">
        <f>E28*F28</f>
        <v>34306.660435824917</v>
      </c>
      <c r="I28" s="175">
        <f t="shared" si="4"/>
        <v>39073.64514330856</v>
      </c>
      <c r="J28" s="183">
        <f>'a8'!BK31</f>
        <v>86.4</v>
      </c>
      <c r="K28" s="6">
        <f>'a1'!BJ31</f>
        <v>87.8</v>
      </c>
      <c r="L28" s="175">
        <f t="shared" si="2"/>
        <v>10951.833565404</v>
      </c>
    </row>
    <row r="29" spans="1:12">
      <c r="A29" s="172">
        <v>1994</v>
      </c>
      <c r="B29" s="192">
        <f>'a1'!BN32/1000</f>
        <v>3676.0749999999998</v>
      </c>
      <c r="C29" s="192">
        <v>2858.9</v>
      </c>
      <c r="D29" s="182">
        <f>C29/'a5-1'!C28*100</f>
        <v>12.781376717320065</v>
      </c>
      <c r="E29" s="175">
        <f>E28*POWER(E$33/E$27, 1/6)</f>
        <v>3356.4208734571439</v>
      </c>
      <c r="F29" s="195">
        <f t="shared" ref="F29:F42" si="5">G29*K29/100</f>
        <v>11.074693886553193</v>
      </c>
      <c r="G29" s="179">
        <f>G28*(1+'a5-1'!$P$47/100)</f>
        <v>12.373959649780105</v>
      </c>
      <c r="H29" s="192">
        <f t="shared" ref="H29:H42" si="6">E29*F29</f>
        <v>37171.333727975361</v>
      </c>
      <c r="I29" s="175">
        <f>H29/K29*100</f>
        <v>41532.216455838388</v>
      </c>
      <c r="J29" s="183">
        <f>'a8'!BK32</f>
        <v>89.8</v>
      </c>
      <c r="K29" s="6">
        <f>'a1'!BJ32</f>
        <v>89.5</v>
      </c>
      <c r="L29" s="175">
        <f t="shared" si="2"/>
        <v>11297.978538478783</v>
      </c>
    </row>
    <row r="30" spans="1:12">
      <c r="A30" s="172">
        <v>1995</v>
      </c>
      <c r="B30" s="192">
        <f>'a1'!BN33/1000</f>
        <v>3777.39</v>
      </c>
      <c r="C30" s="192">
        <v>2944.5</v>
      </c>
      <c r="D30" s="182">
        <f>C30/'a5-1'!C29*100</f>
        <v>12.994263018534863</v>
      </c>
      <c r="E30" s="175">
        <f>E29*POWER(E$33/E$27, 1/6)</f>
        <v>3533.757022207385</v>
      </c>
      <c r="F30" s="195">
        <f t="shared" si="5"/>
        <v>11.443136505549049</v>
      </c>
      <c r="G30" s="179">
        <f>G29*(1+'a5-1'!$P$47/100)</f>
        <v>12.492507102127783</v>
      </c>
      <c r="H30" s="192">
        <f t="shared" si="6"/>
        <v>40437.263982561628</v>
      </c>
      <c r="I30" s="175">
        <f t="shared" si="4"/>
        <v>44145.484697119682</v>
      </c>
      <c r="J30" s="183">
        <f>'a8'!BK33</f>
        <v>92.2</v>
      </c>
      <c r="K30" s="6">
        <f>'a1'!BJ33</f>
        <v>91.6</v>
      </c>
      <c r="L30" s="175">
        <f t="shared" si="2"/>
        <v>11686.76909112368</v>
      </c>
    </row>
    <row r="31" spans="1:12">
      <c r="A31" s="172">
        <v>1996</v>
      </c>
      <c r="B31" s="192">
        <f>'a1'!BN34/1000</f>
        <v>3874.317</v>
      </c>
      <c r="C31" s="192">
        <v>3026.1</v>
      </c>
      <c r="D31" s="182">
        <f>C31/'a5-1'!C30*100</f>
        <v>13.180165073281211</v>
      </c>
      <c r="E31" s="175">
        <f>E30*POWER(E$33/E$27, 1/6)</f>
        <v>3720.4627079850779</v>
      </c>
      <c r="F31" s="195">
        <f t="shared" si="5"/>
        <v>11.653663824443257</v>
      </c>
      <c r="G31" s="179">
        <f>G30*(1+'a5-1'!$P$47/100)</f>
        <v>12.612190286193998</v>
      </c>
      <c r="H31" s="192">
        <f t="shared" si="6"/>
        <v>43357.021670235896</v>
      </c>
      <c r="I31" s="175">
        <f t="shared" si="4"/>
        <v>46923.183625796424</v>
      </c>
      <c r="J31" s="183">
        <f>'a8'!BK34</f>
        <v>92.7</v>
      </c>
      <c r="K31" s="6">
        <f>'a1'!BJ34</f>
        <v>92.4</v>
      </c>
      <c r="L31" s="175">
        <f t="shared" si="2"/>
        <v>12111.343399571182</v>
      </c>
    </row>
    <row r="32" spans="1:12">
      <c r="A32" s="172">
        <v>1997</v>
      </c>
      <c r="B32" s="192">
        <f>'a1'!BN35/1000</f>
        <v>3948.5830000000001</v>
      </c>
      <c r="C32" s="192">
        <v>3096.8</v>
      </c>
      <c r="D32" s="182">
        <f>C32/'a5-1'!C31*100</f>
        <v>13.321460680440664</v>
      </c>
      <c r="E32" s="175">
        <f>E31*POWER(E$33/E$27, 1/6)</f>
        <v>3917.0329693073404</v>
      </c>
      <c r="F32" s="195">
        <f t="shared" si="5"/>
        <v>11.854441697031023</v>
      </c>
      <c r="G32" s="179">
        <f>G31*(1+'a5-1'!$P$47/100)</f>
        <v>12.733020082740088</v>
      </c>
      <c r="H32" s="192">
        <f t="shared" si="6"/>
        <v>46434.238960002171</v>
      </c>
      <c r="I32" s="175">
        <f t="shared" si="4"/>
        <v>49875.659462945405</v>
      </c>
      <c r="J32" s="183">
        <f>'a8'!BK35</f>
        <v>94.4</v>
      </c>
      <c r="K32" s="6">
        <f>'a1'!BJ35</f>
        <v>93.1</v>
      </c>
      <c r="L32" s="175">
        <f t="shared" si="2"/>
        <v>12631.280503143887</v>
      </c>
    </row>
    <row r="33" spans="1:19">
      <c r="A33" s="172">
        <v>1998</v>
      </c>
      <c r="B33" s="192">
        <f>'a1'!BN36/1000</f>
        <v>3983.1129999999998</v>
      </c>
      <c r="C33" s="192">
        <v>3138.5</v>
      </c>
      <c r="D33" s="182">
        <f>C33/'a5-1'!C32*100</f>
        <v>13.346402616124548</v>
      </c>
      <c r="E33" s="177">
        <f>C33*S33*365/1000</f>
        <v>4123.9889999999996</v>
      </c>
      <c r="F33" s="195">
        <f t="shared" si="5"/>
        <v>12.006576983302631</v>
      </c>
      <c r="G33" s="179">
        <f>G32*(1+'a5-1'!$P$47/100)</f>
        <v>12.855007476769412</v>
      </c>
      <c r="H33" s="192">
        <f t="shared" si="6"/>
        <v>49514.991406793233</v>
      </c>
      <c r="I33" s="175">
        <f t="shared" si="4"/>
        <v>53013.909429114814</v>
      </c>
      <c r="J33" s="183">
        <f>'a8'!BK36</f>
        <v>94.2</v>
      </c>
      <c r="K33" s="6">
        <f>'a1'!BJ36</f>
        <v>93.4</v>
      </c>
      <c r="L33" s="175">
        <f t="shared" si="2"/>
        <v>13309.667445818086</v>
      </c>
      <c r="S33" s="172">
        <v>3.6</v>
      </c>
    </row>
    <row r="34" spans="1:19">
      <c r="A34" s="172">
        <v>1999</v>
      </c>
      <c r="B34" s="192">
        <f>'a1'!BN37/1000</f>
        <v>4011.375</v>
      </c>
      <c r="C34" s="192">
        <v>3172.8</v>
      </c>
      <c r="D34" s="182">
        <f>C34/'a5-1'!C33*100</f>
        <v>13.341519002245454</v>
      </c>
      <c r="E34" s="175">
        <f t="shared" ref="E34:E42" si="7">C34*S34*365/1000</f>
        <v>4135.1554072968729</v>
      </c>
      <c r="F34" s="195">
        <f t="shared" si="5"/>
        <v>12.25138639924857</v>
      </c>
      <c r="G34" s="179">
        <f>G33*(1+'a5-1'!$P$47/100)</f>
        <v>12.978163558526028</v>
      </c>
      <c r="H34" s="192">
        <f t="shared" si="6"/>
        <v>50661.386715736087</v>
      </c>
      <c r="I34" s="175">
        <f t="shared" si="4"/>
        <v>53666.72321582213</v>
      </c>
      <c r="J34" s="183">
        <f>'a8'!BK37</f>
        <v>95.4</v>
      </c>
      <c r="K34" s="6">
        <f>'a1'!BJ37</f>
        <v>94.4</v>
      </c>
      <c r="L34" s="175">
        <f t="shared" si="2"/>
        <v>13378.635309793308</v>
      </c>
      <c r="S34" s="191">
        <f t="shared" ref="S34:S39" si="8">S33*POWER(S$40/S$33, 1/7)</f>
        <v>3.5707239336560006</v>
      </c>
    </row>
    <row r="35" spans="1:19">
      <c r="A35" s="172">
        <v>2000</v>
      </c>
      <c r="B35" s="192">
        <f>'a1'!BN38/1000</f>
        <v>4039.23</v>
      </c>
      <c r="C35" s="192">
        <v>3210.6</v>
      </c>
      <c r="D35" s="182">
        <f>C35/'a5-1'!C34*100</f>
        <v>13.327687766970945</v>
      </c>
      <c r="E35" s="175">
        <f t="shared" si="7"/>
        <v>4150.3919694102869</v>
      </c>
      <c r="F35" s="195">
        <f t="shared" si="5"/>
        <v>12.591502043047326</v>
      </c>
      <c r="G35" s="179">
        <f>G34*(1+'a5-1'!$P$47/100)</f>
        <v>13.102499524502941</v>
      </c>
      <c r="H35" s="192">
        <f t="shared" si="6"/>
        <v>52259.668962276839</v>
      </c>
      <c r="I35" s="175">
        <f t="shared" si="4"/>
        <v>54380.508805699108</v>
      </c>
      <c r="J35" s="183">
        <f>'a8'!BK38</f>
        <v>99.1</v>
      </c>
      <c r="K35" s="6">
        <f>'a1'!BJ38</f>
        <v>96.1</v>
      </c>
      <c r="L35" s="175">
        <f t="shared" si="2"/>
        <v>13463.087966196306</v>
      </c>
      <c r="S35" s="191">
        <f t="shared" si="8"/>
        <v>3.5416859473288285</v>
      </c>
    </row>
    <row r="36" spans="1:19">
      <c r="A36" s="172">
        <v>2001</v>
      </c>
      <c r="B36" s="192">
        <f>'a1'!BN39/1000</f>
        <v>4076.2640000000001</v>
      </c>
      <c r="C36" s="192">
        <v>3252.3</v>
      </c>
      <c r="D36" s="182">
        <f>C36/'a5-1'!C35*100</f>
        <v>13.307827652522608</v>
      </c>
      <c r="E36" s="175">
        <f t="shared" si="7"/>
        <v>4170.1078356371509</v>
      </c>
      <c r="F36" s="195">
        <f t="shared" si="5"/>
        <v>12.923782064855429</v>
      </c>
      <c r="G36" s="179">
        <f>G35*(1+'a5-1'!$P$47/100)</f>
        <v>13.22802667846001</v>
      </c>
      <c r="H36" s="192">
        <f t="shared" si="6"/>
        <v>53893.564854720498</v>
      </c>
      <c r="I36" s="175">
        <f t="shared" si="4"/>
        <v>55162.297701863346</v>
      </c>
      <c r="J36" s="183">
        <f>'a8'!BK39</f>
        <v>100.1</v>
      </c>
      <c r="K36" s="6">
        <f>'a1'!BJ39</f>
        <v>97.7</v>
      </c>
      <c r="L36" s="175">
        <f t="shared" si="2"/>
        <v>13532.562587178687</v>
      </c>
      <c r="S36" s="191">
        <f t="shared" si="8"/>
        <v>3.5128841048944928</v>
      </c>
    </row>
    <row r="37" spans="1:19">
      <c r="A37" s="172">
        <v>2002</v>
      </c>
      <c r="B37" s="192">
        <f>'a1'!BN40/1000</f>
        <v>4098.1779999999999</v>
      </c>
      <c r="C37" s="192">
        <v>3284.2</v>
      </c>
      <c r="D37" s="182">
        <f>C37/'a5-1'!C36*100</f>
        <v>13.250275358167343</v>
      </c>
      <c r="E37" s="175">
        <f t="shared" si="7"/>
        <v>4176.7651541811047</v>
      </c>
      <c r="F37" s="195">
        <f t="shared" si="5"/>
        <v>13.354756432451607</v>
      </c>
      <c r="G37" s="179">
        <f>G36*(1+'a5-1'!$P$47/100)</f>
        <v>13.354756432451607</v>
      </c>
      <c r="H37" s="192">
        <f t="shared" si="6"/>
        <v>55779.681309639833</v>
      </c>
      <c r="I37" s="175">
        <f t="shared" si="4"/>
        <v>55779.681309639833</v>
      </c>
      <c r="J37" s="183">
        <f>'a8'!BK40</f>
        <v>100</v>
      </c>
      <c r="K37" s="6">
        <f>'a1'!BJ40</f>
        <v>100</v>
      </c>
      <c r="L37" s="175">
        <f t="shared" si="2"/>
        <v>13610.84884786357</v>
      </c>
      <c r="S37" s="191">
        <f t="shared" si="8"/>
        <v>3.4843164859740283</v>
      </c>
    </row>
    <row r="38" spans="1:19">
      <c r="A38" s="172">
        <v>2003</v>
      </c>
      <c r="B38" s="192">
        <f>'a1'!BN41/1000</f>
        <v>4122.3959999999997</v>
      </c>
      <c r="C38" s="192">
        <v>3315</v>
      </c>
      <c r="D38" s="182">
        <f>C38/'a5-1'!C37*100</f>
        <v>13.207960635097715</v>
      </c>
      <c r="E38" s="175">
        <f t="shared" si="7"/>
        <v>4181.650835294954</v>
      </c>
      <c r="F38" s="195">
        <f t="shared" si="5"/>
        <v>13.779319714637131</v>
      </c>
      <c r="G38" s="179">
        <f>G37*(1+'a5-1'!$P$47/100)</f>
        <v>13.482700307864119</v>
      </c>
      <c r="H38" s="192">
        <f t="shared" si="6"/>
        <v>57620.303794508589</v>
      </c>
      <c r="I38" s="175">
        <f t="shared" si="4"/>
        <v>56379.945004411537</v>
      </c>
      <c r="J38" s="183">
        <f>'a8'!BK41</f>
        <v>103</v>
      </c>
      <c r="K38" s="6">
        <f>'a1'!BJ41</f>
        <v>102.2</v>
      </c>
      <c r="L38" s="175">
        <f t="shared" si="2"/>
        <v>13676.499056473842</v>
      </c>
      <c r="S38" s="191">
        <f t="shared" si="8"/>
        <v>3.4559811858054541</v>
      </c>
    </row>
    <row r="39" spans="1:19">
      <c r="A39" s="172">
        <v>2004</v>
      </c>
      <c r="B39" s="192">
        <f>'a1'!BN42/1000</f>
        <v>4155.17</v>
      </c>
      <c r="C39" s="192">
        <v>3354.4</v>
      </c>
      <c r="D39" s="182">
        <f>C39/'a5-1'!C38*100</f>
        <v>13.190200935865676</v>
      </c>
      <c r="E39" s="175">
        <f t="shared" si="7"/>
        <v>4196.9409336711115</v>
      </c>
      <c r="F39" s="195">
        <f t="shared" si="5"/>
        <v>14.183568473794862</v>
      </c>
      <c r="G39" s="179">
        <f>G38*(1+'a5-1'!$P$47/100)</f>
        <v>13.6118699364634</v>
      </c>
      <c r="H39" s="192">
        <f t="shared" si="6"/>
        <v>59527.599113196753</v>
      </c>
      <c r="I39" s="175">
        <f t="shared" si="4"/>
        <v>57128.214120150435</v>
      </c>
      <c r="J39" s="183">
        <f>'a8'!BK42</f>
        <v>107.6</v>
      </c>
      <c r="K39" s="6">
        <f>'a1'!BJ42</f>
        <v>104.2</v>
      </c>
      <c r="L39" s="175">
        <f t="shared" si="2"/>
        <v>13748.706820695768</v>
      </c>
      <c r="S39" s="191">
        <f t="shared" si="8"/>
        <v>3.4278763151167722</v>
      </c>
    </row>
    <row r="40" spans="1:19">
      <c r="A40" s="172">
        <v>2005</v>
      </c>
      <c r="B40" s="192">
        <f>'a1'!BN43/1000</f>
        <v>4196.7879999999996</v>
      </c>
      <c r="C40" s="192">
        <v>3400.6</v>
      </c>
      <c r="D40" s="182">
        <f>C40/'a5-1'!C39*100</f>
        <v>13.190947951496909</v>
      </c>
      <c r="E40" s="177">
        <f t="shared" si="7"/>
        <v>4220.1445999999996</v>
      </c>
      <c r="F40" s="195">
        <f t="shared" si="5"/>
        <v>14.608040516323726</v>
      </c>
      <c r="G40" s="179">
        <f>G39*(1+'a5-1'!$P$47/100)</f>
        <v>13.742277061452237</v>
      </c>
      <c r="H40" s="192">
        <f t="shared" si="6"/>
        <v>61648.043301544778</v>
      </c>
      <c r="I40" s="175">
        <f t="shared" si="4"/>
        <v>57994.39633259151</v>
      </c>
      <c r="J40" s="183">
        <f>'a8'!BK43</f>
        <v>110.5</v>
      </c>
      <c r="K40" s="6">
        <f>'a1'!BJ43</f>
        <v>106.3</v>
      </c>
      <c r="L40" s="175">
        <f t="shared" si="2"/>
        <v>13818.757662429343</v>
      </c>
      <c r="S40" s="172">
        <v>3.4</v>
      </c>
    </row>
    <row r="41" spans="1:19">
      <c r="A41" s="172">
        <v>2006</v>
      </c>
      <c r="B41" s="192">
        <f>'a1'!BN44/1000</f>
        <v>4243.58</v>
      </c>
      <c r="C41" s="192">
        <v>3452.4</v>
      </c>
      <c r="D41" s="182">
        <f>C41/'a5-1'!C40*100</f>
        <v>13.204364737874771</v>
      </c>
      <c r="E41" s="175">
        <f t="shared" si="7"/>
        <v>4249.5863971987446</v>
      </c>
      <c r="F41" s="195">
        <f t="shared" si="5"/>
        <v>14.997722155159549</v>
      </c>
      <c r="G41" s="179">
        <f>G40*(1+'a5-1'!$P$47/100)</f>
        <v>13.873933538537974</v>
      </c>
      <c r="H41" s="192">
        <f t="shared" si="6"/>
        <v>63734.116059532258</v>
      </c>
      <c r="I41" s="175">
        <f t="shared" si="4"/>
        <v>58958.47924101042</v>
      </c>
      <c r="J41" s="183">
        <f>'a8'!BK44</f>
        <v>114.1</v>
      </c>
      <c r="K41" s="6">
        <f>'a1'!BJ44</f>
        <v>108.1</v>
      </c>
      <c r="L41" s="175">
        <f t="shared" si="2"/>
        <v>13893.570815446021</v>
      </c>
      <c r="S41" s="191">
        <f t="shared" ref="S41:S46" si="9">S40*POWER(S$40/S$33,1/7)</f>
        <v>3.3723503817862226</v>
      </c>
    </row>
    <row r="42" spans="1:19">
      <c r="A42" s="172">
        <v>2007</v>
      </c>
      <c r="B42" s="192">
        <f>'a1'!BN45/1000</f>
        <v>4309.6319999999996</v>
      </c>
      <c r="C42" s="192">
        <v>3518</v>
      </c>
      <c r="D42" s="182">
        <f>C42/'a5-1'!C41*100</f>
        <v>13.265510050942877</v>
      </c>
      <c r="E42" s="175">
        <f t="shared" si="7"/>
        <v>4295.1186369206107</v>
      </c>
      <c r="F42" s="195">
        <f t="shared" si="5"/>
        <v>15.40753647071138</v>
      </c>
      <c r="G42" s="179">
        <f>G41*(1+'a5-1'!$P$47/100)</f>
        <v>14.006851337010344</v>
      </c>
      <c r="H42" s="192">
        <f t="shared" si="6"/>
        <v>66177.197044386456</v>
      </c>
      <c r="I42" s="175">
        <f>H42/K42*100</f>
        <v>60161.088222169506</v>
      </c>
      <c r="J42" s="183">
        <f>'a8'!BK45</f>
        <v>116.8</v>
      </c>
      <c r="K42" s="6">
        <f>'a1'!BJ45</f>
        <v>110</v>
      </c>
      <c r="L42" s="175">
        <f t="shared" si="2"/>
        <v>13959.681063758926</v>
      </c>
      <c r="S42" s="191">
        <f t="shared" si="9"/>
        <v>3.344925616921671</v>
      </c>
    </row>
    <row r="43" spans="1:19">
      <c r="A43" s="172">
        <v>2009</v>
      </c>
      <c r="B43" s="192">
        <f>'a1'!BN46/1000</f>
        <v>4383.8599999999997</v>
      </c>
      <c r="C43" s="309">
        <v>3588.7</v>
      </c>
      <c r="D43" s="182">
        <f>C43/'a5-1'!C42*100</f>
        <v>13.337223217404876</v>
      </c>
      <c r="E43" s="175">
        <f t="shared" ref="E43" si="10">C43*S43*365/1000</f>
        <v>4345.8052220440177</v>
      </c>
      <c r="F43" s="195">
        <f t="shared" ref="F43" si="11">G43*K43/100</f>
        <v>15.880390773351676</v>
      </c>
      <c r="G43" s="179">
        <f>G42*(1+'a5-1'!$P$47/100)</f>
        <v>14.141042540829631</v>
      </c>
      <c r="H43" s="192">
        <f t="shared" ref="H43" si="12">E43*F43</f>
        <v>69013.085150931351</v>
      </c>
      <c r="I43" s="175">
        <f t="shared" ref="I43" si="13">H43/K43*100</f>
        <v>61454.216519084017</v>
      </c>
      <c r="J43" s="183">
        <f>'a8'!BK46</f>
        <v>119.9</v>
      </c>
      <c r="K43" s="6">
        <f>'a1'!BJ46</f>
        <v>112.3</v>
      </c>
      <c r="L43" s="175">
        <f>I43/B43*1000</f>
        <v>14018.289023619373</v>
      </c>
      <c r="S43" s="191">
        <f t="shared" si="9"/>
        <v>3.3177238768447981</v>
      </c>
    </row>
    <row r="44" spans="1:19">
      <c r="A44" s="172">
        <v>2009</v>
      </c>
      <c r="B44" s="192">
        <f>'a1'!BN47/1000</f>
        <v>4460.2920000000004</v>
      </c>
      <c r="C44" s="304">
        <v>3663</v>
      </c>
      <c r="D44" s="182">
        <f>C44/'a5-1'!C43*100</f>
        <v>13.41846715168033</v>
      </c>
      <c r="E44" s="175">
        <f t="shared" ref="E44" si="14">C44*S44*365/1000</f>
        <v>4399.7074023779087</v>
      </c>
      <c r="F44" s="195">
        <f t="shared" ref="F44" si="15">G44*K44/100</f>
        <v>16.032531229741469</v>
      </c>
      <c r="G44" s="179">
        <f>G43*(1+'a5-1'!$P$47/100)</f>
        <v>14.276519349725262</v>
      </c>
      <c r="H44" s="192">
        <f>E44*F44</f>
        <v>70538.446330348539</v>
      </c>
      <c r="I44" s="175">
        <f t="shared" ref="I44" si="16">H44/K44*100</f>
        <v>62812.507863177685</v>
      </c>
      <c r="J44" s="183">
        <f>'a8'!BK47</f>
        <v>118</v>
      </c>
      <c r="K44" s="6">
        <f>'a1'!BJ47</f>
        <v>112.3</v>
      </c>
      <c r="L44" s="175">
        <f>I44/B44*1000</f>
        <v>14082.599942599651</v>
      </c>
      <c r="S44" s="191">
        <f t="shared" si="9"/>
        <v>3.2907433478643595</v>
      </c>
    </row>
    <row r="45" spans="1:19">
      <c r="A45" s="172">
        <v>2010</v>
      </c>
      <c r="B45" s="192">
        <f>'a1'!BN48/1000</f>
        <v>4530.96</v>
      </c>
      <c r="C45" s="304">
        <v>3729.1</v>
      </c>
      <c r="D45" s="182">
        <f>C45/'a5-1'!C44*100</f>
        <v>13.482654518502448</v>
      </c>
      <c r="E45" s="175">
        <f t="shared" ref="E45" si="17">C45*S45*365/1000</f>
        <v>4442.6763902844477</v>
      </c>
      <c r="F45" s="195">
        <f t="shared" ref="F45" si="18">G45*K45/100</f>
        <v>16.402328663387003</v>
      </c>
      <c r="G45" s="179">
        <f>G44*(1+'a5-1'!$P$47/100)</f>
        <v>14.413294080304924</v>
      </c>
      <c r="H45" s="192">
        <f>E45*F45</f>
        <v>72870.238298515294</v>
      </c>
      <c r="I45" s="175">
        <f t="shared" ref="I45" si="19">H45/K45*100</f>
        <v>64033.601316797271</v>
      </c>
      <c r="J45" s="183">
        <f>'a8'!BK48</f>
        <v>120.19764382809413</v>
      </c>
      <c r="K45" s="6">
        <f>'a1'!BJ48</f>
        <v>113.8</v>
      </c>
      <c r="L45" s="175">
        <f>I45/B45*1000</f>
        <v>14132.457871355578</v>
      </c>
      <c r="S45" s="191">
        <f t="shared" si="9"/>
        <v>3.2639822310384838</v>
      </c>
    </row>
    <row r="46" spans="1:19">
      <c r="A46" s="172" t="s">
        <v>435</v>
      </c>
      <c r="S46" s="191">
        <f t="shared" si="9"/>
        <v>3.2374387420547288</v>
      </c>
    </row>
    <row r="47" spans="1:19">
      <c r="A47" s="172" t="s">
        <v>438</v>
      </c>
      <c r="B47" s="179">
        <f>(POWER(B40/B27, 1/13)-1)*100</f>
        <v>1.4762534880958134</v>
      </c>
      <c r="C47" s="179">
        <f t="shared" ref="C47:L47" si="20">(POWER(C40/C27, 1/13)-1)*100</f>
        <v>1.8183496903622309</v>
      </c>
      <c r="D47" s="179">
        <f t="shared" si="20"/>
        <v>0.52063455382695967</v>
      </c>
      <c r="E47" s="179">
        <f t="shared" si="20"/>
        <v>2.5864762347928005</v>
      </c>
      <c r="F47" s="179">
        <f t="shared" si="20"/>
        <v>2.7282621497429549</v>
      </c>
      <c r="G47" s="179">
        <f t="shared" si="20"/>
        <v>0.95803975205128733</v>
      </c>
      <c r="H47" s="179">
        <f t="shared" si="20"/>
        <v>5.3853042366617032</v>
      </c>
      <c r="I47" s="179">
        <f t="shared" si="20"/>
        <v>3.5692954573507629</v>
      </c>
      <c r="J47" s="179">
        <f t="shared" si="20"/>
        <v>2.1597344542215735</v>
      </c>
      <c r="K47" s="179">
        <f t="shared" si="20"/>
        <v>1.7534238997104712</v>
      </c>
      <c r="L47" s="179">
        <f t="shared" si="20"/>
        <v>2.0625928700653828</v>
      </c>
    </row>
    <row r="48" spans="1:19" ht="16.5" customHeight="1">
      <c r="A48" s="272" t="s">
        <v>1051</v>
      </c>
      <c r="B48" s="273">
        <f t="shared" ref="B48:L48" si="21">(POWER(B45/B27, 1/18)-1)*100</f>
        <v>1.4950915972602674</v>
      </c>
      <c r="C48" s="273">
        <f t="shared" si="21"/>
        <v>1.8303098618946523</v>
      </c>
      <c r="D48" s="273">
        <f t="shared" si="21"/>
        <v>0.49779092523671853</v>
      </c>
      <c r="E48" s="273">
        <f t="shared" si="21"/>
        <v>2.1525890524159541</v>
      </c>
      <c r="F48" s="273">
        <f t="shared" si="21"/>
        <v>2.6213993187212736</v>
      </c>
      <c r="G48" s="273">
        <f t="shared" si="21"/>
        <v>0.95803975205128733</v>
      </c>
      <c r="H48" s="273">
        <f t="shared" si="21"/>
        <v>4.8304163258921395</v>
      </c>
      <c r="I48" s="273">
        <f t="shared" si="21"/>
        <v>3.1312514632876987</v>
      </c>
      <c r="J48" s="273">
        <f t="shared" si="21"/>
        <v>2.0308945334314377</v>
      </c>
      <c r="K48" s="273">
        <f t="shared" si="21"/>
        <v>1.6475751418659978</v>
      </c>
      <c r="L48" s="273">
        <f t="shared" si="21"/>
        <v>1.6120581205245177</v>
      </c>
    </row>
    <row r="49" spans="1:12" ht="16.5" customHeight="1">
      <c r="A49" s="642" t="s">
        <v>933</v>
      </c>
      <c r="B49" s="642"/>
      <c r="C49" s="642"/>
      <c r="D49" s="642"/>
      <c r="E49" s="642"/>
      <c r="F49" s="642"/>
      <c r="G49" s="642"/>
      <c r="H49" s="642"/>
      <c r="I49" s="642"/>
      <c r="J49" s="642"/>
      <c r="K49" s="642"/>
      <c r="L49" s="642"/>
    </row>
    <row r="50" spans="1:12" ht="12.75" customHeight="1">
      <c r="A50" s="643" t="s">
        <v>913</v>
      </c>
      <c r="B50" s="642"/>
      <c r="C50" s="642"/>
      <c r="D50" s="642"/>
      <c r="E50" s="642"/>
      <c r="F50" s="642"/>
      <c r="G50" s="642"/>
      <c r="H50" s="642"/>
      <c r="I50" s="642"/>
      <c r="J50" s="642"/>
      <c r="K50" s="642"/>
      <c r="L50" s="642"/>
    </row>
    <row r="51" spans="1:12">
      <c r="A51" s="185" t="s">
        <v>912</v>
      </c>
      <c r="B51" s="203"/>
      <c r="C51" s="203"/>
      <c r="D51" s="203"/>
      <c r="E51" s="203"/>
      <c r="F51" s="203"/>
      <c r="G51" s="203"/>
      <c r="H51" s="203"/>
      <c r="I51" s="203"/>
      <c r="J51" s="203"/>
      <c r="K51" s="203"/>
    </row>
    <row r="52" spans="1:12">
      <c r="A52" s="172" t="s">
        <v>1053</v>
      </c>
    </row>
    <row r="53" spans="1:12">
      <c r="A53" s="189" t="s">
        <v>1054</v>
      </c>
    </row>
    <row r="54" spans="1:12">
      <c r="A54" s="189" t="s">
        <v>944</v>
      </c>
    </row>
    <row r="55" spans="1:12">
      <c r="A55" s="185" t="s">
        <v>1050</v>
      </c>
    </row>
    <row r="56" spans="1:12">
      <c r="A56" s="1" t="s">
        <v>1052</v>
      </c>
    </row>
  </sheetData>
  <mergeCells count="2">
    <mergeCell ref="A49:L49"/>
    <mergeCell ref="A50:L50"/>
  </mergeCells>
  <pageMargins left="0.74803149606299213" right="0.74803149606299213" top="0.98425196850393704" bottom="0.98425196850393704" header="0.51181102362204722" footer="0.51181102362204722"/>
  <pageSetup scale="65" orientation="landscape" r:id="rId1"/>
  <headerFooter alignWithMargins="0"/>
</worksheet>
</file>

<file path=xl/worksheets/sheet29.xml><?xml version="1.0" encoding="utf-8"?>
<worksheet xmlns="http://schemas.openxmlformats.org/spreadsheetml/2006/main" xmlns:r="http://schemas.openxmlformats.org/officeDocument/2006/relationships">
  <dimension ref="A1:EH60"/>
  <sheetViews>
    <sheetView view="pageBreakPreview" zoomScaleSheetLayoutView="100" zoomScalePageLayoutView="42" workbookViewId="0">
      <selection activeCell="E9" sqref="E9"/>
    </sheetView>
  </sheetViews>
  <sheetFormatPr defaultColWidth="8.875" defaultRowHeight="12.75"/>
  <cols>
    <col min="1" max="1" width="9" style="1" bestFit="1" customWidth="1"/>
    <col min="2" max="23" width="11.375" style="1" customWidth="1"/>
    <col min="24" max="16384" width="8.875" style="1"/>
  </cols>
  <sheetData>
    <row r="1" spans="1:23" ht="15.75">
      <c r="B1" s="2" t="s">
        <v>194</v>
      </c>
      <c r="P1" s="2" t="s">
        <v>195</v>
      </c>
    </row>
    <row r="3" spans="1:23" s="3" customFormat="1" ht="15">
      <c r="B3" s="3" t="s">
        <v>321</v>
      </c>
      <c r="D3" s="3" t="s">
        <v>370</v>
      </c>
      <c r="F3" s="3" t="s">
        <v>371</v>
      </c>
      <c r="H3" s="3" t="s">
        <v>372</v>
      </c>
      <c r="J3" s="3" t="s">
        <v>373</v>
      </c>
      <c r="L3" s="3" t="s">
        <v>374</v>
      </c>
      <c r="N3" s="3" t="s">
        <v>375</v>
      </c>
      <c r="P3" s="3" t="s">
        <v>376</v>
      </c>
      <c r="R3" s="3" t="s">
        <v>377</v>
      </c>
      <c r="T3" s="3" t="s">
        <v>378</v>
      </c>
      <c r="V3" s="3" t="s">
        <v>379</v>
      </c>
    </row>
    <row r="4" spans="1:23" s="4" customFormat="1" ht="25.5">
      <c r="B4" s="4" t="s">
        <v>910</v>
      </c>
      <c r="C4" s="4" t="s">
        <v>422</v>
      </c>
      <c r="D4" s="4" t="s">
        <v>910</v>
      </c>
      <c r="E4" s="4" t="s">
        <v>422</v>
      </c>
      <c r="F4" s="4" t="s">
        <v>910</v>
      </c>
      <c r="G4" s="4" t="s">
        <v>422</v>
      </c>
      <c r="H4" s="4" t="s">
        <v>910</v>
      </c>
      <c r="I4" s="4" t="s">
        <v>422</v>
      </c>
      <c r="J4" s="4" t="s">
        <v>910</v>
      </c>
      <c r="K4" s="4" t="s">
        <v>422</v>
      </c>
      <c r="L4" s="4" t="s">
        <v>910</v>
      </c>
      <c r="M4" s="4" t="s">
        <v>422</v>
      </c>
      <c r="N4" s="4" t="s">
        <v>910</v>
      </c>
      <c r="O4" s="4" t="s">
        <v>422</v>
      </c>
      <c r="P4" s="4" t="s">
        <v>910</v>
      </c>
      <c r="Q4" s="4" t="s">
        <v>422</v>
      </c>
      <c r="R4" s="4" t="s">
        <v>910</v>
      </c>
      <c r="S4" s="4" t="s">
        <v>422</v>
      </c>
      <c r="T4" s="4" t="s">
        <v>910</v>
      </c>
      <c r="U4" s="4" t="s">
        <v>422</v>
      </c>
      <c r="V4" s="4" t="s">
        <v>910</v>
      </c>
      <c r="W4" s="4" t="s">
        <v>422</v>
      </c>
    </row>
    <row r="5" spans="1:23" s="4" customFormat="1" hidden="1"/>
    <row r="6" spans="1:23" s="256" customFormat="1" ht="25.5">
      <c r="B6" s="256" t="s">
        <v>105</v>
      </c>
      <c r="C6" s="256" t="s">
        <v>667</v>
      </c>
      <c r="D6" s="256" t="s">
        <v>105</v>
      </c>
      <c r="E6" s="256" t="s">
        <v>667</v>
      </c>
      <c r="F6" s="256" t="s">
        <v>105</v>
      </c>
      <c r="G6" s="256" t="s">
        <v>667</v>
      </c>
      <c r="H6" s="256" t="s">
        <v>105</v>
      </c>
      <c r="I6" s="256" t="s">
        <v>667</v>
      </c>
      <c r="J6" s="256" t="s">
        <v>105</v>
      </c>
      <c r="K6" s="256" t="s">
        <v>667</v>
      </c>
      <c r="L6" s="256" t="s">
        <v>105</v>
      </c>
      <c r="M6" s="256" t="s">
        <v>667</v>
      </c>
      <c r="N6" s="256" t="s">
        <v>105</v>
      </c>
      <c r="O6" s="256" t="s">
        <v>667</v>
      </c>
      <c r="P6" s="256" t="s">
        <v>105</v>
      </c>
      <c r="Q6" s="256" t="s">
        <v>667</v>
      </c>
      <c r="R6" s="256" t="s">
        <v>105</v>
      </c>
      <c r="S6" s="256" t="s">
        <v>667</v>
      </c>
      <c r="T6" s="256" t="s">
        <v>105</v>
      </c>
      <c r="U6" s="256" t="s">
        <v>667</v>
      </c>
      <c r="V6" s="256" t="s">
        <v>105</v>
      </c>
      <c r="W6" s="256" t="s">
        <v>667</v>
      </c>
    </row>
    <row r="7" spans="1:23" s="4" customFormat="1" hidden="1"/>
    <row r="8" spans="1:23" hidden="1">
      <c r="A8" s="1">
        <v>1971</v>
      </c>
      <c r="B8" s="120">
        <f>'a5-1'!H5</f>
        <v>130973.86786298832</v>
      </c>
      <c r="C8" s="120">
        <f>B8*1000000/'a1'!F8</f>
        <v>5963.6498053999885</v>
      </c>
      <c r="D8" s="120">
        <v>2260</v>
      </c>
      <c r="E8" s="7">
        <f>D8*('a1'!H$35/'a1'!H$24)*1000000/'a1'!L8</f>
        <v>5621.5732025886236</v>
      </c>
      <c r="F8" s="120">
        <v>467</v>
      </c>
      <c r="G8" s="7">
        <f>F8*('a1'!N$35/'a1'!N$24)*1000000/'a1'!R8</f>
        <v>5602.5659907335985</v>
      </c>
      <c r="H8" s="120">
        <v>3314.00000000001</v>
      </c>
      <c r="I8" s="7">
        <f>H8*('a1'!T$36/'a1'!T$25)*1000000/'a1'!X8</f>
        <v>5473.6089590481824</v>
      </c>
      <c r="J8" s="120">
        <v>3088.0000000000077</v>
      </c>
      <c r="K8" s="7">
        <f>J8*('a1'!Z$35/'a1'!Z$24)*1000000/'a1'!AD8</f>
        <v>6415.7108229759133</v>
      </c>
      <c r="L8" s="120">
        <v>30828</v>
      </c>
      <c r="M8" s="7">
        <f>L8*('a1'!AF$35/'a1'!AF$24)*1000000/'a1'!AJ8</f>
        <v>6777.0147060824302</v>
      </c>
      <c r="N8" s="120">
        <v>37142.000000000131</v>
      </c>
      <c r="O8" s="7">
        <f>N8*('a1'!AL$35/'a1'!AL$24)*1000000/'a1'!AP8</f>
        <v>6577.9910963948032</v>
      </c>
      <c r="P8" s="120">
        <v>5438</v>
      </c>
      <c r="Q8" s="7">
        <f>P8*('a1'!AR$35/'a1'!AR$24)*1000000/'a1'!AV8</f>
        <v>7694.8080906589557</v>
      </c>
      <c r="R8" s="120">
        <v>3796.0000000000082</v>
      </c>
      <c r="S8" s="7">
        <f>R8*('a1'!AX$35/'a1'!AX$24)*1000000/'a1'!BB8</f>
        <v>5703.19218393961</v>
      </c>
      <c r="T8" s="120">
        <v>8688</v>
      </c>
      <c r="U8" s="7">
        <f>T8*('a1'!BD$35/'a1'!BD$24)*1000000/'a1'!BH8</f>
        <v>7213.650055226899</v>
      </c>
      <c r="V8" s="120">
        <v>10416</v>
      </c>
      <c r="W8" s="7">
        <f>V8*('a1'!BJ$35/'a1'!BJ$24)*1000000/'a1'!BN8</f>
        <v>6489.1182040681933</v>
      </c>
    </row>
    <row r="9" spans="1:23" hidden="1">
      <c r="A9" s="1">
        <v>1972</v>
      </c>
      <c r="B9" s="7">
        <f>'a5-1'!H6</f>
        <v>138187.87952794236</v>
      </c>
      <c r="C9" s="7">
        <f>B9*1000000/'a1'!F9</f>
        <v>6219.5067016085832</v>
      </c>
      <c r="D9" s="7">
        <f t="shared" ref="D9:D17" si="0">POWER(D$19/D$8,1/10)*D8</f>
        <v>2341.8759112194739</v>
      </c>
      <c r="E9" s="7">
        <f>D9*('a1'!H$35/'a1'!H$24)*1000000/'a1'!L9</f>
        <v>5735.875802656069</v>
      </c>
      <c r="F9" s="7">
        <f t="shared" ref="F9:F17" si="1">POWER(F$19/F$8,1/10)*F8</f>
        <v>494.14331069924123</v>
      </c>
      <c r="G9" s="7">
        <f>F9*('a1'!N$35/'a1'!N$24)*1000000/'a1'!R9</f>
        <v>5882.7977534697402</v>
      </c>
      <c r="H9" s="7">
        <f t="shared" ref="H9:H17" si="2">POWER(H$19/H$8,1/10)*H8</f>
        <v>3475.8405937702501</v>
      </c>
      <c r="I9" s="7">
        <f>H9*('a1'!T$36/'a1'!T$25)*1000000/'a1'!X9</f>
        <v>5705.4141899799133</v>
      </c>
      <c r="J9" s="7">
        <f t="shared" ref="J9:J17" si="3">POWER(J$19/J$8,1/10)*J8</f>
        <v>3140.5985191657905</v>
      </c>
      <c r="K9" s="7">
        <f>J9*('a1'!Z$35/'a1'!Z$24)*1000000/'a1'!AD9</f>
        <v>6461.6488006793879</v>
      </c>
      <c r="L9" s="7">
        <f t="shared" ref="L9:L17" si="4">POWER(L$19/L$8,1/10)*L8</f>
        <v>32016.651703291682</v>
      </c>
      <c r="M9" s="7">
        <f>L9*('a1'!AF$35/'a1'!AF$24)*1000000/'a1'!AJ9</f>
        <v>6996.2428640154194</v>
      </c>
      <c r="N9" s="7">
        <f t="shared" ref="N9:N17" si="5">POWER(N$19/N$8,1/10)*N8</f>
        <v>39333.207907390832</v>
      </c>
      <c r="O9" s="7">
        <f>N9*('a1'!AL$35/'a1'!AL$24)*1000000/'a1'!AP9</f>
        <v>6866.257550956213</v>
      </c>
      <c r="P9" s="7">
        <f t="shared" ref="P9:P17" si="6">POWER(P$19/P$8,1/10)*P8</f>
        <v>5555.5501062933081</v>
      </c>
      <c r="Q9" s="7">
        <f>P9*('a1'!AR$35/'a1'!AR$24)*1000000/'a1'!AV9</f>
        <v>7839.3557747464492</v>
      </c>
      <c r="R9" s="7">
        <f t="shared" ref="R9:R17" si="7">POWER(R$19/R$8,1/10)*R8</f>
        <v>4044.5497210700023</v>
      </c>
      <c r="S9" s="7">
        <f>R9*('a1'!AX$35/'a1'!AX$24)*1000000/'a1'!BB9</f>
        <v>6150.9149675511317</v>
      </c>
      <c r="T9" s="7">
        <f t="shared" ref="T9:T17" si="8">POWER(T$19/T$8,1/10)*T8</f>
        <v>9474.0085150597497</v>
      </c>
      <c r="U9" s="7">
        <f>T9*('a1'!BD$35/'a1'!BD$24)*1000000/'a1'!BH9</f>
        <v>7734.5271438454702</v>
      </c>
      <c r="V9" s="7">
        <f t="shared" ref="V9:V17" si="9">POWER(V$19/V$8,1/10)*V8</f>
        <v>11329.926709701409</v>
      </c>
      <c r="W9" s="7">
        <f>V9*('a1'!BJ$35/'a1'!BJ$24)*1000000/'a1'!BN9</f>
        <v>6869.5676366377447</v>
      </c>
    </row>
    <row r="10" spans="1:23" hidden="1">
      <c r="A10" s="1">
        <v>1973</v>
      </c>
      <c r="B10" s="7">
        <f>'a5-1'!H7</f>
        <v>141287.54383453148</v>
      </c>
      <c r="C10" s="7">
        <f>B10*1000000/'a1'!F10</f>
        <v>6281.7421600139223</v>
      </c>
      <c r="D10" s="7">
        <f t="shared" si="0"/>
        <v>2426.7180458186021</v>
      </c>
      <c r="E10" s="7">
        <f>D10*('a1'!H$35/'a1'!H$24)*1000000/'a1'!L10</f>
        <v>5873.5480805339657</v>
      </c>
      <c r="F10" s="7">
        <f t="shared" si="1"/>
        <v>522.86426447281974</v>
      </c>
      <c r="G10" s="7">
        <f>F10*('a1'!N$35/'a1'!N$24)*1000000/'a1'!R10</f>
        <v>6161.7253031809441</v>
      </c>
      <c r="H10" s="7">
        <f t="shared" si="2"/>
        <v>3645.584741490974</v>
      </c>
      <c r="I10" s="7">
        <f>H10*('a1'!T$36/'a1'!T$25)*1000000/'a1'!X10</f>
        <v>5909.4154974367029</v>
      </c>
      <c r="J10" s="7">
        <f t="shared" si="3"/>
        <v>3194.0929593867654</v>
      </c>
      <c r="K10" s="7">
        <f>J10*('a1'!Z$35/'a1'!Z$24)*1000000/'a1'!AD10</f>
        <v>6492.1467323747547</v>
      </c>
      <c r="L10" s="7">
        <f t="shared" si="4"/>
        <v>33251.134886787666</v>
      </c>
      <c r="M10" s="7">
        <f>L10*('a1'!AF$35/'a1'!AF$24)*1000000/'a1'!AJ10</f>
        <v>7220.4703386632054</v>
      </c>
      <c r="N10" s="7">
        <f t="shared" si="5"/>
        <v>41653.687046632578</v>
      </c>
      <c r="O10" s="7">
        <f>N10*('a1'!AL$35/'a1'!AL$24)*1000000/'a1'!AP10</f>
        <v>7170.1017600816476</v>
      </c>
      <c r="P10" s="7">
        <f t="shared" si="6"/>
        <v>5675.6412253651315</v>
      </c>
      <c r="Q10" s="7">
        <f>P10*('a1'!AR$35/'a1'!AR$24)*1000000/'a1'!AV10</f>
        <v>7963.4500982655891</v>
      </c>
      <c r="R10" s="7">
        <f t="shared" si="7"/>
        <v>4309.3736686531611</v>
      </c>
      <c r="S10" s="7">
        <f>R10*('a1'!AX$35/'a1'!AX$24)*1000000/'a1'!BB10</f>
        <v>6617.207282602244</v>
      </c>
      <c r="T10" s="7">
        <f t="shared" si="8"/>
        <v>10331.12768685827</v>
      </c>
      <c r="U10" s="7">
        <f>T10*('a1'!BD$35/'a1'!BD$24)*1000000/'a1'!BH10</f>
        <v>8281.5720874005419</v>
      </c>
      <c r="V10" s="7">
        <f t="shared" si="9"/>
        <v>12324.043706528935</v>
      </c>
      <c r="W10" s="7">
        <f>V10*('a1'!BJ$35/'a1'!BJ$24)*1000000/'a1'!BN10</f>
        <v>7266.5639350674628</v>
      </c>
    </row>
    <row r="11" spans="1:23" hidden="1">
      <c r="A11" s="1">
        <v>1974</v>
      </c>
      <c r="B11" s="7">
        <f>'a5-1'!H8</f>
        <v>137817.54270746704</v>
      </c>
      <c r="C11" s="7">
        <f>B11*1000000/'a1'!F11</f>
        <v>6042.5171003813202</v>
      </c>
      <c r="D11" s="7">
        <f t="shared" si="0"/>
        <v>2514.6338649664513</v>
      </c>
      <c r="E11" s="7">
        <f>D11*('a1'!H$35/'a1'!H$24)*1000000/'a1'!L11</f>
        <v>6041.5642775974256</v>
      </c>
      <c r="F11" s="7">
        <f t="shared" si="1"/>
        <v>553.25455822895674</v>
      </c>
      <c r="G11" s="7">
        <f>F11*('a1'!N$35/'a1'!N$24)*1000000/'a1'!R11</f>
        <v>6444.4087730901783</v>
      </c>
      <c r="H11" s="7">
        <f t="shared" si="2"/>
        <v>3823.6184165672034</v>
      </c>
      <c r="I11" s="7">
        <f>H11*('a1'!T$36/'a1'!T$25)*1000000/'a1'!X11</f>
        <v>6149.8207959048077</v>
      </c>
      <c r="J11" s="7">
        <f t="shared" si="3"/>
        <v>3248.4985810647436</v>
      </c>
      <c r="K11" s="7">
        <f>J11*('a1'!Z$35/'a1'!Z$24)*1000000/'a1'!AD11</f>
        <v>6523.0284619494478</v>
      </c>
      <c r="L11" s="7">
        <f t="shared" si="4"/>
        <v>34533.216699411307</v>
      </c>
      <c r="M11" s="7">
        <f>L11*('a1'!AF$35/'a1'!AF$24)*1000000/'a1'!AJ11</f>
        <v>7432.5744651367886</v>
      </c>
      <c r="N11" s="7">
        <f t="shared" si="5"/>
        <v>44111.06382840412</v>
      </c>
      <c r="O11" s="7">
        <f>N11*('a1'!AL$35/'a1'!AL$24)*1000000/'a1'!AP11</f>
        <v>7473.966404626136</v>
      </c>
      <c r="P11" s="7">
        <f t="shared" si="6"/>
        <v>5798.328284821614</v>
      </c>
      <c r="Q11" s="7">
        <f>P11*('a1'!AR$35/'a1'!AR$24)*1000000/'a1'!AV11</f>
        <v>8048.9145445605191</v>
      </c>
      <c r="R11" s="7">
        <f t="shared" si="7"/>
        <v>4591.5374261163115</v>
      </c>
      <c r="S11" s="7">
        <f>R11*('a1'!AX$35/'a1'!AX$24)*1000000/'a1'!BB11</f>
        <v>7077.4885432876463</v>
      </c>
      <c r="T11" s="7">
        <f t="shared" si="8"/>
        <v>11265.790938704511</v>
      </c>
      <c r="U11" s="7">
        <f>T11*('a1'!BD$35/'a1'!BD$24)*1000000/'a1'!BH11</f>
        <v>8880.0383407756435</v>
      </c>
      <c r="V11" s="7">
        <f t="shared" si="9"/>
        <v>13405.387093138415</v>
      </c>
      <c r="W11" s="7">
        <f>V11*('a1'!BJ$35/'a1'!BJ$24)*1000000/'a1'!BN11</f>
        <v>7660.4585163081274</v>
      </c>
    </row>
    <row r="12" spans="1:23" hidden="1">
      <c r="A12" s="1">
        <v>1975</v>
      </c>
      <c r="B12" s="7">
        <f>'a5-1'!H9</f>
        <v>139734.55069605497</v>
      </c>
      <c r="C12" s="7">
        <f>B12*1000000/'a1'!F12</f>
        <v>6037.803668497867</v>
      </c>
      <c r="D12" s="7">
        <f t="shared" si="0"/>
        <v>2605.7347229653342</v>
      </c>
      <c r="E12" s="7">
        <f>D12*('a1'!H$35/'a1'!H$24)*1000000/'a1'!L12</f>
        <v>6182.9064925340817</v>
      </c>
      <c r="F12" s="7">
        <f t="shared" si="1"/>
        <v>585.4112185496848</v>
      </c>
      <c r="G12" s="7">
        <f>F12*('a1'!N$35/'a1'!N$24)*1000000/'a1'!R12</f>
        <v>6716.9143002766496</v>
      </c>
      <c r="H12" s="7">
        <f t="shared" si="2"/>
        <v>4010.346441578688</v>
      </c>
      <c r="I12" s="7">
        <f>H12*('a1'!T$36/'a1'!T$25)*1000000/'a1'!X12</f>
        <v>6389.2965575358803</v>
      </c>
      <c r="J12" s="7">
        <f t="shared" si="3"/>
        <v>3303.8309045350002</v>
      </c>
      <c r="K12" s="7">
        <f>J12*('a1'!Z$35/'a1'!Z$24)*1000000/'a1'!AD12</f>
        <v>6513.9591216298004</v>
      </c>
      <c r="L12" s="7">
        <f t="shared" si="4"/>
        <v>35864.732426993243</v>
      </c>
      <c r="M12" s="7">
        <f>L12*('a1'!AF$35/'a1'!AF$24)*1000000/'a1'!AJ12</f>
        <v>7643.8803666752056</v>
      </c>
      <c r="N12" s="7">
        <f t="shared" si="5"/>
        <v>46713.414586688938</v>
      </c>
      <c r="O12" s="7">
        <f>N12*('a1'!AL$35/'a1'!AL$24)*1000000/'a1'!AP12</f>
        <v>7804.9981980006451</v>
      </c>
      <c r="P12" s="7">
        <f t="shared" si="6"/>
        <v>5923.6673996072468</v>
      </c>
      <c r="Q12" s="7">
        <f>P12*('a1'!AR$35/'a1'!AR$24)*1000000/'a1'!AV12</f>
        <v>8168.5987075658531</v>
      </c>
      <c r="R12" s="7">
        <f t="shared" si="7"/>
        <v>4892.1763477558388</v>
      </c>
      <c r="S12" s="7">
        <f>R12*('a1'!AX$35/'a1'!AX$24)*1000000/'a1'!BB12</f>
        <v>7467.2671495352788</v>
      </c>
      <c r="T12" s="7">
        <f t="shared" si="8"/>
        <v>12285.013729531482</v>
      </c>
      <c r="U12" s="7">
        <f>T12*('a1'!BD$35/'a1'!BD$24)*1000000/'a1'!BH12</f>
        <v>9393.9495813162848</v>
      </c>
      <c r="V12" s="7">
        <f t="shared" si="9"/>
        <v>14581.610337983435</v>
      </c>
      <c r="W12" s="7">
        <f>V12*('a1'!BJ$35/'a1'!BJ$24)*1000000/'a1'!BN12</f>
        <v>8142.6370022275678</v>
      </c>
    </row>
    <row r="13" spans="1:23" hidden="1">
      <c r="A13" s="1">
        <v>1976</v>
      </c>
      <c r="B13" s="7">
        <f>'a5-1'!H10</f>
        <v>143181.98896681872</v>
      </c>
      <c r="C13" s="7">
        <f>B13*1000000/'a1'!F13</f>
        <v>6105.8917397881778</v>
      </c>
      <c r="D13" s="7">
        <f t="shared" si="0"/>
        <v>2700.1360082923297</v>
      </c>
      <c r="E13" s="7">
        <f>D13*('a1'!H$35/'a1'!H$24)*1000000/'a1'!L13</f>
        <v>6336.9507707645389</v>
      </c>
      <c r="F13" s="7">
        <f t="shared" si="1"/>
        <v>619.43691146599213</v>
      </c>
      <c r="G13" s="7">
        <f>F13*('a1'!N$35/'a1'!N$24)*1000000/'a1'!R13</f>
        <v>7051.9696651517907</v>
      </c>
      <c r="H13" s="7">
        <f t="shared" si="2"/>
        <v>4206.1934087873369</v>
      </c>
      <c r="I13" s="7">
        <f>H13*('a1'!T$36/'a1'!T$25)*1000000/'a1'!X13</f>
        <v>6632.1782839156758</v>
      </c>
      <c r="J13" s="7">
        <f t="shared" si="3"/>
        <v>3360.1057144937727</v>
      </c>
      <c r="K13" s="7">
        <f>J13*('a1'!Z$35/'a1'!Z$24)*1000000/'a1'!AD13</f>
        <v>6504.942591306386</v>
      </c>
      <c r="L13" s="7">
        <f t="shared" si="4"/>
        <v>37247.58811946262</v>
      </c>
      <c r="M13" s="7">
        <f>L13*('a1'!AF$35/'a1'!AF$24)*1000000/'a1'!AJ13</f>
        <v>7856.1327962433961</v>
      </c>
      <c r="N13" s="7">
        <f t="shared" si="5"/>
        <v>49469.292122189792</v>
      </c>
      <c r="O13" s="7">
        <f>N13*('a1'!AL$35/'a1'!AL$24)*1000000/'a1'!AP13</f>
        <v>8173.1301381862713</v>
      </c>
      <c r="P13" s="7">
        <f t="shared" si="6"/>
        <v>6051.7158976708797</v>
      </c>
      <c r="Q13" s="7">
        <f>P13*('a1'!AR$35/'a1'!AR$24)*1000000/'a1'!AV13</f>
        <v>8290.311608870601</v>
      </c>
      <c r="R13" s="7">
        <f t="shared" si="7"/>
        <v>5212.5001271709953</v>
      </c>
      <c r="S13" s="7">
        <f>R13*('a1'!AX$35/'a1'!AX$24)*1000000/'a1'!BB13</f>
        <v>7834.9535598374941</v>
      </c>
      <c r="T13" s="7">
        <f t="shared" si="8"/>
        <v>13396.446211004511</v>
      </c>
      <c r="U13" s="7">
        <f>T13*('a1'!BD$35/'a1'!BD$24)*1000000/'a1'!BH13</f>
        <v>9911.7444218707697</v>
      </c>
      <c r="V13" s="7">
        <f t="shared" si="9"/>
        <v>15861.038444583017</v>
      </c>
      <c r="W13" s="7">
        <f>V13*('a1'!BJ$35/'a1'!BJ$24)*1000000/'a1'!BN13</f>
        <v>8737.0770312802288</v>
      </c>
    </row>
    <row r="14" spans="1:23" hidden="1">
      <c r="A14" s="1">
        <v>1977</v>
      </c>
      <c r="B14" s="7">
        <f>'a5-1'!H11</f>
        <v>149948.84918766163</v>
      </c>
      <c r="C14" s="7">
        <f>B14*1000000/'a1'!F14</f>
        <v>6320.0641253363101</v>
      </c>
      <c r="D14" s="7">
        <f t="shared" si="0"/>
        <v>2797.9572897504922</v>
      </c>
      <c r="E14" s="7">
        <f>D14*('a1'!H$35/'a1'!H$24)*1000000/'a1'!L14</f>
        <v>6535.0625075382541</v>
      </c>
      <c r="F14" s="7">
        <f t="shared" si="1"/>
        <v>655.44027023794024</v>
      </c>
      <c r="G14" s="7">
        <f>F14*('a1'!N$35/'a1'!N$24)*1000000/'a1'!R14</f>
        <v>7383.8092721659996</v>
      </c>
      <c r="H14" s="7">
        <f t="shared" si="2"/>
        <v>4411.6046455980222</v>
      </c>
      <c r="I14" s="7">
        <f>H14*('a1'!T$36/'a1'!T$25)*1000000/'a1'!X14</f>
        <v>6915.8025036205327</v>
      </c>
      <c r="J14" s="7">
        <f t="shared" si="3"/>
        <v>3417.3390645011746</v>
      </c>
      <c r="K14" s="7">
        <f>J14*('a1'!Z$35/'a1'!Z$24)*1000000/'a1'!AD14</f>
        <v>6555.3793176644267</v>
      </c>
      <c r="L14" s="7">
        <f t="shared" si="4"/>
        <v>38683.763319336314</v>
      </c>
      <c r="M14" s="7">
        <f>L14*('a1'!AF$35/'a1'!AF$24)*1000000/'a1'!AJ14</f>
        <v>8112.9158540974513</v>
      </c>
      <c r="N14" s="7">
        <f t="shared" si="5"/>
        <v>52387.753811683157</v>
      </c>
      <c r="O14" s="7">
        <f>N14*('a1'!AL$35/'a1'!AL$24)*1000000/'a1'!AP14</f>
        <v>8563.4005717123691</v>
      </c>
      <c r="P14" s="7">
        <f t="shared" si="6"/>
        <v>6182.532346186531</v>
      </c>
      <c r="Q14" s="7">
        <f>P14*('a1'!AR$35/'a1'!AR$24)*1000000/'a1'!AV14</f>
        <v>8423.7079154519342</v>
      </c>
      <c r="R14" s="7">
        <f t="shared" si="7"/>
        <v>5553.7976647594196</v>
      </c>
      <c r="S14" s="7">
        <f>R14*('a1'!AX$35/'a1'!AX$24)*1000000/'a1'!BB14</f>
        <v>8232.9955253945482</v>
      </c>
      <c r="T14" s="7">
        <f t="shared" si="8"/>
        <v>14608.430648549342</v>
      </c>
      <c r="U14" s="7">
        <f>T14*('a1'!BD$35/'a1'!BD$24)*1000000/'a1'!BH14</f>
        <v>10370.327131878801</v>
      </c>
      <c r="V14" s="7">
        <f t="shared" si="9"/>
        <v>17252.726873740594</v>
      </c>
      <c r="W14" s="7">
        <f>V14*('a1'!BJ$35/'a1'!BJ$24)*1000000/'a1'!BN14</f>
        <v>9369.0432429438588</v>
      </c>
    </row>
    <row r="15" spans="1:23" hidden="1">
      <c r="A15" s="1">
        <v>1978</v>
      </c>
      <c r="B15" s="7">
        <f>'a5-1'!H12</f>
        <v>157354.71460280463</v>
      </c>
      <c r="C15" s="7">
        <f>B15*1000000/'a1'!F15</f>
        <v>6566.5142761927373</v>
      </c>
      <c r="D15" s="7">
        <f t="shared" si="0"/>
        <v>2899.3224679148684</v>
      </c>
      <c r="E15" s="7">
        <f>D15*('a1'!H$35/'a1'!H$24)*1000000/'a1'!L15</f>
        <v>6744.4854182821218</v>
      </c>
      <c r="F15" s="7">
        <f t="shared" si="1"/>
        <v>693.53624218625509</v>
      </c>
      <c r="G15" s="7">
        <f>F15*('a1'!N$35/'a1'!N$24)*1000000/'a1'!R15</f>
        <v>7698.5593119168079</v>
      </c>
      <c r="H15" s="7">
        <f t="shared" si="2"/>
        <v>4627.0472271680683</v>
      </c>
      <c r="I15" s="7">
        <f>H15*('a1'!T$36/'a1'!T$25)*1000000/'a1'!X15</f>
        <v>7214.0345379072587</v>
      </c>
      <c r="J15" s="7">
        <f t="shared" si="3"/>
        <v>3475.5472815608064</v>
      </c>
      <c r="K15" s="7">
        <f>J15*('a1'!Z$35/'a1'!Z$24)*1000000/'a1'!AD15</f>
        <v>6632.0502534855914</v>
      </c>
      <c r="L15" s="7">
        <f t="shared" si="4"/>
        <v>40175.313895412</v>
      </c>
      <c r="M15" s="7">
        <f>L15*('a1'!AF$35/'a1'!AF$24)*1000000/'a1'!AJ15</f>
        <v>8416.1456560335046</v>
      </c>
      <c r="N15" s="7">
        <f t="shared" si="5"/>
        <v>55478.391375696869</v>
      </c>
      <c r="O15" s="7">
        <f>N15*('a1'!AL$35/'a1'!AL$24)*1000000/'a1'!AP15</f>
        <v>8977.7443549243508</v>
      </c>
      <c r="P15" s="7">
        <f t="shared" si="6"/>
        <v>6316.1765783410065</v>
      </c>
      <c r="Q15" s="7">
        <f>P15*('a1'!AR$35/'a1'!AR$24)*1000000/'a1'!AV15</f>
        <v>8576.7618241672371</v>
      </c>
      <c r="R15" s="7">
        <f t="shared" si="7"/>
        <v>5917.4422539204143</v>
      </c>
      <c r="S15" s="7">
        <f>R15*('a1'!AX$35/'a1'!AX$24)*1000000/'a1'!BB15</f>
        <v>8700.1428610443218</v>
      </c>
      <c r="T15" s="7">
        <f t="shared" si="8"/>
        <v>15930.064037294693</v>
      </c>
      <c r="U15" s="7">
        <f>T15*('a1'!BD$35/'a1'!BD$24)*1000000/'a1'!BH15</f>
        <v>10894.845764734977</v>
      </c>
      <c r="V15" s="7">
        <f t="shared" si="9"/>
        <v>18766.525635750466</v>
      </c>
      <c r="W15" s="7">
        <f>V15*('a1'!BJ$35/'a1'!BJ$24)*1000000/'a1'!BN15</f>
        <v>10016.341577458425</v>
      </c>
    </row>
    <row r="16" spans="1:23" hidden="1">
      <c r="A16" s="1">
        <v>1979</v>
      </c>
      <c r="B16" s="7">
        <f>'a5-1'!H13</f>
        <v>160687.09911550966</v>
      </c>
      <c r="C16" s="7">
        <f>B16*1000000/'a1'!F16</f>
        <v>6639.5391597953276</v>
      </c>
      <c r="D16" s="7">
        <f t="shared" si="0"/>
        <v>3004.3599320651442</v>
      </c>
      <c r="E16" s="7">
        <f>D16*('a1'!H$35/'a1'!H$24)*1000000/'a1'!L16</f>
        <v>6958.9624116951409</v>
      </c>
      <c r="F16" s="7">
        <f t="shared" si="1"/>
        <v>733.84645568271276</v>
      </c>
      <c r="G16" s="7">
        <f>F16*('a1'!N$35/'a1'!N$24)*1000000/'a1'!R16</f>
        <v>8066.4064920891951</v>
      </c>
      <c r="H16" s="7">
        <f t="shared" si="2"/>
        <v>4853.0110384679538</v>
      </c>
      <c r="I16" s="7">
        <f>H16*('a1'!T$36/'a1'!T$25)*1000000/'a1'!X16</f>
        <v>7523.8621012241001</v>
      </c>
      <c r="J16" s="7">
        <f t="shared" si="3"/>
        <v>3534.7469707773739</v>
      </c>
      <c r="K16" s="7">
        <f>J16*('a1'!Z$35/'a1'!Z$24)*1000000/'a1'!AD16</f>
        <v>6710.0603608512274</v>
      </c>
      <c r="L16" s="7">
        <f t="shared" si="4"/>
        <v>41724.374985721442</v>
      </c>
      <c r="M16" s="7">
        <f>L16*('a1'!AF$35/'a1'!AF$24)*1000000/'a1'!AJ16</f>
        <v>8706.1308975051234</v>
      </c>
      <c r="N16" s="7">
        <f t="shared" si="5"/>
        <v>58751.362402344406</v>
      </c>
      <c r="O16" s="7">
        <f>N16*('a1'!AL$35/'a1'!AL$24)*1000000/'a1'!AP16</f>
        <v>9428.4254006821902</v>
      </c>
      <c r="P16" s="7">
        <f t="shared" si="6"/>
        <v>6452.7097207005663</v>
      </c>
      <c r="Q16" s="7">
        <f>P16*('a1'!AR$35/'a1'!AR$24)*1000000/'a1'!AV16</f>
        <v>8792.6470834211032</v>
      </c>
      <c r="R16" s="7">
        <f t="shared" si="7"/>
        <v>6304.8971068339324</v>
      </c>
      <c r="S16" s="7">
        <f>R16*('a1'!AX$35/'a1'!AX$24)*1000000/'a1'!BB16</f>
        <v>9199.2430296891271</v>
      </c>
      <c r="T16" s="7">
        <f t="shared" si="8"/>
        <v>17371.266382916325</v>
      </c>
      <c r="U16" s="7">
        <f>T16*('a1'!BD$35/'a1'!BD$24)*1000000/'a1'!BH16</f>
        <v>11457.149162244814</v>
      </c>
      <c r="V16" s="7">
        <f t="shared" si="9"/>
        <v>20413.149006219799</v>
      </c>
      <c r="W16" s="7">
        <f>V16*('a1'!BJ$35/'a1'!BJ$24)*1000000/'a1'!BN16</f>
        <v>10690.496019144035</v>
      </c>
    </row>
    <row r="17" spans="1:23" hidden="1">
      <c r="A17" s="1">
        <v>1980</v>
      </c>
      <c r="B17" s="7">
        <f>'a5-1'!H14</f>
        <v>161976.27007012494</v>
      </c>
      <c r="C17" s="7">
        <f>B17*1000000/'a1'!F17</f>
        <v>6607.0513223288981</v>
      </c>
      <c r="D17" s="7">
        <f t="shared" si="0"/>
        <v>3113.2027228036882</v>
      </c>
      <c r="E17" s="7">
        <f>D17*('a1'!H$35/'a1'!H$24)*1000000/'a1'!L17</f>
        <v>7177.2819082878113</v>
      </c>
      <c r="F17" s="7">
        <f t="shared" si="1"/>
        <v>776.49960847100579</v>
      </c>
      <c r="G17" s="7">
        <f>F17*('a1'!N$35/'a1'!N$24)*1000000/'a1'!R17</f>
        <v>8476.6149331685647</v>
      </c>
      <c r="H17" s="7">
        <f t="shared" si="2"/>
        <v>5090.0098882082011</v>
      </c>
      <c r="I17" s="7">
        <f>H17*('a1'!T$36/'a1'!T$25)*1000000/'a1'!X17</f>
        <v>7861.0942813390939</v>
      </c>
      <c r="J17" s="7">
        <f t="shared" si="3"/>
        <v>3594.9550200936387</v>
      </c>
      <c r="K17" s="7">
        <f>J17*('a1'!Z$35/'a1'!Z$24)*1000000/'a1'!AD17</f>
        <v>6794.7750193833353</v>
      </c>
      <c r="L17" s="7">
        <f t="shared" si="4"/>
        <v>43333.164053956767</v>
      </c>
      <c r="M17" s="7">
        <f>L17*('a1'!AF$35/'a1'!AF$24)*1000000/'a1'!AJ17</f>
        <v>8986.2257913903268</v>
      </c>
      <c r="N17" s="7">
        <f t="shared" si="5"/>
        <v>62217.423730921044</v>
      </c>
      <c r="O17" s="7">
        <f>N17*('a1'!AL$35/'a1'!AL$24)*1000000/'a1'!AP17</f>
        <v>9888.8485180695152</v>
      </c>
      <c r="P17" s="7">
        <f t="shared" si="6"/>
        <v>6592.1942211691594</v>
      </c>
      <c r="Q17" s="7">
        <f>P17*('a1'!AR$35/'a1'!AR$24)*1000000/'a1'!AV17</f>
        <v>9007.3482868277351</v>
      </c>
      <c r="R17" s="7">
        <f t="shared" si="7"/>
        <v>6717.7212420495762</v>
      </c>
      <c r="S17" s="7">
        <f>R17*('a1'!AX$35/'a1'!AX$24)*1000000/'a1'!BB17</f>
        <v>9722.4312525204878</v>
      </c>
      <c r="T17" s="7">
        <f t="shared" si="8"/>
        <v>18942.855159889554</v>
      </c>
      <c r="U17" s="7">
        <f>T17*('a1'!BD$35/'a1'!BD$24)*1000000/'a1'!BH17</f>
        <v>11957.318263111774</v>
      </c>
      <c r="V17" s="7">
        <f t="shared" si="9"/>
        <v>22204.251358936683</v>
      </c>
      <c r="W17" s="7">
        <f>V17*('a1'!BJ$35/'a1'!BJ$24)*1000000/'a1'!BN17</f>
        <v>11287.075584827076</v>
      </c>
    </row>
    <row r="18" spans="1:23" hidden="1">
      <c r="B18" s="7"/>
      <c r="C18" s="120"/>
      <c r="D18" s="7"/>
      <c r="E18" s="7"/>
      <c r="F18" s="7"/>
      <c r="G18" s="7"/>
      <c r="H18" s="7"/>
      <c r="I18" s="7"/>
      <c r="J18" s="7"/>
      <c r="K18" s="7"/>
      <c r="L18" s="7"/>
      <c r="M18" s="7"/>
      <c r="N18" s="7"/>
      <c r="O18" s="7"/>
      <c r="P18" s="7"/>
      <c r="Q18" s="7"/>
      <c r="R18" s="7"/>
      <c r="S18" s="7"/>
      <c r="T18" s="7"/>
      <c r="U18" s="7"/>
      <c r="V18" s="7"/>
      <c r="W18" s="7"/>
    </row>
    <row r="19" spans="1:23" ht="18.75" customHeight="1">
      <c r="A19" s="1">
        <v>1981</v>
      </c>
      <c r="B19" s="120">
        <f>'a5-1'!H15</f>
        <v>183808.08080808082</v>
      </c>
      <c r="C19" s="7">
        <f>B19*1000000/'a1'!F19</f>
        <v>7405.6692300550103</v>
      </c>
      <c r="D19" s="120">
        <f>'a5-2'!I16</f>
        <v>3225.9887005649716</v>
      </c>
      <c r="E19" s="7">
        <f>D19*1000000/'a1'!L19</f>
        <v>5607.4699906570313</v>
      </c>
      <c r="F19" s="120">
        <f>'a5-3'!I16</f>
        <v>821.63187855787476</v>
      </c>
      <c r="G19" s="7">
        <f>F19*1000000/'a1'!R19</f>
        <v>6650.1434918201776</v>
      </c>
      <c r="H19" s="120">
        <f>'a5-4'!I16</f>
        <v>5338.5826771653547</v>
      </c>
      <c r="I19" s="7">
        <f>H19*1000000/'a1'!X19</f>
        <v>6244.8985603270603</v>
      </c>
      <c r="J19" s="120">
        <f>'a5-5'!I16</f>
        <v>3656.1886051080551</v>
      </c>
      <c r="K19" s="7">
        <f>J19*1000000/'a1'!AD19</f>
        <v>5175.5265219425555</v>
      </c>
      <c r="L19" s="120">
        <f>'a5-6'!I16</f>
        <v>45003.984063745018</v>
      </c>
      <c r="M19" s="7">
        <f>L19*1000000/'a1'!AJ19</f>
        <v>6873.7683204067043</v>
      </c>
      <c r="N19" s="120">
        <f>'a5-7'!I16</f>
        <v>65887.966804979253</v>
      </c>
      <c r="O19" s="7">
        <f>N19*1000000/'a1'!AP19</f>
        <v>7476.8302804719742</v>
      </c>
      <c r="P19" s="120">
        <f>'a5-8'!I16</f>
        <v>6734.6938775510207</v>
      </c>
      <c r="Q19" s="7">
        <f>P19*1000000/'a1'!AV19</f>
        <v>6503.5260443061579</v>
      </c>
      <c r="R19" s="120">
        <f>'a5-9'!I16</f>
        <v>7157.575757575758</v>
      </c>
      <c r="S19" s="7">
        <f>R19*1000000/'a1'!BB19</f>
        <v>7335.3930197679529</v>
      </c>
      <c r="T19" s="120">
        <f>'a5-10'!I16</f>
        <v>20656.626506024095</v>
      </c>
      <c r="U19" s="7">
        <f>T19*1000000/'a1'!BH19</f>
        <v>9016.01433458459</v>
      </c>
      <c r="V19" s="120">
        <f>'a5-11'!I16</f>
        <v>24152.509652509652</v>
      </c>
      <c r="W19" s="7">
        <f>V19*1000000/'a1'!BN19</f>
        <v>8544.8484172303033</v>
      </c>
    </row>
    <row r="20" spans="1:23" ht="18.75" customHeight="1">
      <c r="A20" s="1">
        <v>1982</v>
      </c>
      <c r="B20" s="7">
        <f>'a5-1'!H16</f>
        <v>178601.09289617487</v>
      </c>
      <c r="C20" s="7">
        <f>B20*1000000/'a1'!F20</f>
        <v>7110.781754250771</v>
      </c>
      <c r="D20" s="7">
        <f>'a5-2'!I17</f>
        <v>3232.8926828301837</v>
      </c>
      <c r="E20" s="7">
        <f>D20*1000000/'a1'!L20</f>
        <v>5634.2294422750001</v>
      </c>
      <c r="F20" s="7">
        <f>'a5-3'!I17</f>
        <v>794.78026661705928</v>
      </c>
      <c r="G20" s="7">
        <f>F20*1000000/'a1'!R20</f>
        <v>6430.8854145795649</v>
      </c>
      <c r="H20" s="7">
        <f>'a5-4'!I17</f>
        <v>5277.1831514723308</v>
      </c>
      <c r="I20" s="7">
        <f>H20*1000000/'a1'!X20</f>
        <v>6143.1312136044398</v>
      </c>
      <c r="J20" s="7">
        <f>'a5-5'!I17</f>
        <v>3872.7303821171909</v>
      </c>
      <c r="K20" s="7">
        <f>J20*1000000/'a1'!AD20</f>
        <v>5474.1565665718072</v>
      </c>
      <c r="L20" s="7">
        <f>'a5-6'!I17</f>
        <v>44379.425370387078</v>
      </c>
      <c r="M20" s="7">
        <f>L20*1000000/'a1'!AJ20</f>
        <v>6743.9467993855114</v>
      </c>
      <c r="N20" s="7">
        <f>'a5-7'!I17</f>
        <v>64152.605550573084</v>
      </c>
      <c r="O20" s="7">
        <f>N20*1000000/'a1'!AP20</f>
        <v>7191.7639375066237</v>
      </c>
      <c r="P20" s="7">
        <f>'a5-8'!I17</f>
        <v>6992.0919242054124</v>
      </c>
      <c r="Q20" s="7">
        <f>P20*1000000/'a1'!AV20</f>
        <v>6689.5631215944268</v>
      </c>
      <c r="R20" s="7">
        <f>'a5-9'!I17</f>
        <v>6822.7318214970965</v>
      </c>
      <c r="S20" s="7">
        <f>R20*1000000/'a1'!BB20</f>
        <v>6915.5243269156499</v>
      </c>
      <c r="T20" s="7">
        <f>'a5-10'!I17</f>
        <v>19533.974677347764</v>
      </c>
      <c r="U20" s="7">
        <f>T20*1000000/'a1'!BH20</f>
        <v>8242.7850966959886</v>
      </c>
      <c r="V20" s="7">
        <f>'a5-11'!I17</f>
        <v>22537.502679660982</v>
      </c>
      <c r="W20" s="7">
        <f>V20*1000000/'a1'!BN20</f>
        <v>7835.0081086582886</v>
      </c>
    </row>
    <row r="21" spans="1:23" ht="18.75" customHeight="1">
      <c r="A21" s="1">
        <v>1983</v>
      </c>
      <c r="B21" s="7">
        <f>'a5-1'!H17</f>
        <v>181872.63339070568</v>
      </c>
      <c r="C21" s="7">
        <f>B21*1000000/'a1'!F21</f>
        <v>7169.8099742335135</v>
      </c>
      <c r="D21" s="7">
        <f>'a5-2'!I18</f>
        <v>3346.2035533809726</v>
      </c>
      <c r="E21" s="7">
        <f>D21*1000000/'a1'!L21</f>
        <v>5777.6442482284338</v>
      </c>
      <c r="F21" s="7">
        <f>'a5-3'!I18</f>
        <v>802.92178347516949</v>
      </c>
      <c r="G21" s="7">
        <f>F21*1000000/'a1'!R21</f>
        <v>6418.1370679539059</v>
      </c>
      <c r="H21" s="7">
        <f>'a5-4'!I18</f>
        <v>5371.2671266244242</v>
      </c>
      <c r="I21" s="7">
        <f>H21*1000000/'a1'!X21</f>
        <v>6186.0361315465516</v>
      </c>
      <c r="J21" s="7">
        <f>'a5-5'!I18</f>
        <v>4201.2936913176927</v>
      </c>
      <c r="K21" s="7">
        <f>J21*1000000/'a1'!AD21</f>
        <v>5877.2339780226857</v>
      </c>
      <c r="L21" s="7">
        <f>'a5-6'!I18</f>
        <v>46259.106816641528</v>
      </c>
      <c r="M21" s="7">
        <f>L21*1000000/'a1'!AJ21</f>
        <v>7005.7966009026122</v>
      </c>
      <c r="N21" s="7">
        <f>'a5-7'!I18</f>
        <v>65044.928745061858</v>
      </c>
      <c r="O21" s="7">
        <f>N21*1000000/'a1'!AP21</f>
        <v>7195.5825242303563</v>
      </c>
      <c r="P21" s="7">
        <f>'a5-8'!I18</f>
        <v>7409.7985507044168</v>
      </c>
      <c r="Q21" s="7">
        <f>P21*1000000/'a1'!AV21</f>
        <v>6992.0118581558863</v>
      </c>
      <c r="R21" s="7">
        <f>'a5-9'!I18</f>
        <v>6674.5359542706028</v>
      </c>
      <c r="S21" s="7">
        <f>R21*1000000/'a1'!BB21</f>
        <v>6666.2098581577638</v>
      </c>
      <c r="T21" s="7">
        <f>'a5-10'!I18</f>
        <v>19527.357427998857</v>
      </c>
      <c r="U21" s="7">
        <f>T21*1000000/'a1'!BH21</f>
        <v>8158.1983140779321</v>
      </c>
      <c r="V21" s="7">
        <f>'a5-11'!I18</f>
        <v>22069.467981767146</v>
      </c>
      <c r="W21" s="7">
        <f>V21*1000000/'a1'!BN21</f>
        <v>7590.5254688619807</v>
      </c>
    </row>
    <row r="22" spans="1:23" ht="18.75" customHeight="1">
      <c r="A22" s="1">
        <v>1984</v>
      </c>
      <c r="B22" s="7">
        <f>'a5-1'!H18</f>
        <v>187914.19141914192</v>
      </c>
      <c r="C22" s="7">
        <f>B22*1000000/'a1'!F22</f>
        <v>7338.3763223023716</v>
      </c>
      <c r="D22" s="7">
        <f>'a5-2'!I19</f>
        <v>3535.7303903648231</v>
      </c>
      <c r="E22" s="7">
        <f>D22*1000000/'a1'!L22</f>
        <v>6095.4037743439494</v>
      </c>
      <c r="F22" s="7">
        <f>'a5-3'!I19</f>
        <v>816.85550330468925</v>
      </c>
      <c r="G22" s="7">
        <f>F22*1000000/'a1'!R22</f>
        <v>6454.1414418486393</v>
      </c>
      <c r="H22" s="7">
        <f>'a5-4'!I19</f>
        <v>5566.2965731911172</v>
      </c>
      <c r="I22" s="7">
        <f>H22*1000000/'a1'!X22</f>
        <v>6343.5675631344138</v>
      </c>
      <c r="J22" s="7">
        <f>'a5-5'!I19</f>
        <v>4626.9560014515264</v>
      </c>
      <c r="K22" s="7">
        <f>J22*1000000/'a1'!AD22</f>
        <v>6421.975107776294</v>
      </c>
      <c r="L22" s="7">
        <f>'a5-6'!I19</f>
        <v>48901.775823702774</v>
      </c>
      <c r="M22" s="7">
        <f>L22*1000000/'a1'!AJ22</f>
        <v>7374.4764649193921</v>
      </c>
      <c r="N22" s="7">
        <f>'a5-7'!I19</f>
        <v>66731.639199599085</v>
      </c>
      <c r="O22" s="7">
        <f>N22*1000000/'a1'!AP22</f>
        <v>7279.1661484873148</v>
      </c>
      <c r="P22" s="7">
        <f>'a5-8'!I19</f>
        <v>8069.7455376975231</v>
      </c>
      <c r="Q22" s="7">
        <f>P22*1000000/'a1'!AV22</f>
        <v>7529.0821486061177</v>
      </c>
      <c r="R22" s="7">
        <f>'a5-9'!I19</f>
        <v>6662.1237224155266</v>
      </c>
      <c r="S22" s="7">
        <f>R22*1000000/'a1'!BB22</f>
        <v>6566.1593041848646</v>
      </c>
      <c r="T22" s="7">
        <f>'a5-10'!I19</f>
        <v>20027.304071596416</v>
      </c>
      <c r="U22" s="7">
        <f>T22*1000000/'a1'!BH22</f>
        <v>8365.9490830664745</v>
      </c>
      <c r="V22" s="7">
        <f>'a5-11'!I19</f>
        <v>21909.756355927253</v>
      </c>
      <c r="W22" s="7">
        <f>V22*1000000/'a1'!BN22</f>
        <v>7434.1400667034886</v>
      </c>
    </row>
    <row r="23" spans="1:23" ht="18.75" customHeight="1">
      <c r="A23" s="1">
        <v>1985</v>
      </c>
      <c r="B23" s="7">
        <f>'a5-1'!H19</f>
        <v>194795.23809523811</v>
      </c>
      <c r="C23" s="7">
        <f>B23*1000000/'a1'!F23</f>
        <v>7537.8981386523492</v>
      </c>
      <c r="D23" s="7">
        <f>'a5-2'!I20</f>
        <v>3748.4071208453529</v>
      </c>
      <c r="E23" s="7">
        <f>D23*1000000/'a1'!L23</f>
        <v>6470.8594723496662</v>
      </c>
      <c r="F23" s="7">
        <f>'a5-3'!I20</f>
        <v>836.24229180185273</v>
      </c>
      <c r="G23" s="7">
        <f>F23*1000000/'a1'!R23</f>
        <v>6552.6472688381255</v>
      </c>
      <c r="H23" s="7">
        <f>'a5-4'!I20</f>
        <v>5760.7504824165999</v>
      </c>
      <c r="I23" s="7">
        <f>H23*1000000/'a1'!X23</f>
        <v>6503.0913682895944</v>
      </c>
      <c r="J23" s="7">
        <f>'a5-5'!I20</f>
        <v>5115.4224101936816</v>
      </c>
      <c r="K23" s="7">
        <f>J23*1000000/'a1'!AD23</f>
        <v>7072.4655775559104</v>
      </c>
      <c r="L23" s="7">
        <f>'a5-6'!I20</f>
        <v>51532.325391488208</v>
      </c>
      <c r="M23" s="7">
        <f>L23*1000000/'a1'!AJ23</f>
        <v>7730.851500162802</v>
      </c>
      <c r="N23" s="7">
        <f>'a5-7'!I20</f>
        <v>69058.656869527491</v>
      </c>
      <c r="O23" s="7">
        <f>N23*1000000/'a1'!AP23</f>
        <v>7429.9306439740058</v>
      </c>
      <c r="P23" s="7">
        <f>'a5-8'!I20</f>
        <v>8742.3293260574246</v>
      </c>
      <c r="Q23" s="7">
        <f>P23*1000000/'a1'!AV23</f>
        <v>8076.0921076378409</v>
      </c>
      <c r="R23" s="7">
        <f>'a5-9'!I20</f>
        <v>6681.9480785253436</v>
      </c>
      <c r="S23" s="7">
        <f>R23*1000000/'a1'!BB23</f>
        <v>6519.4316854699491</v>
      </c>
      <c r="T23" s="7">
        <f>'a5-10'!I20</f>
        <v>20452.886523290981</v>
      </c>
      <c r="U23" s="7">
        <f>T23*1000000/'a1'!BH23</f>
        <v>8506.1225138349419</v>
      </c>
      <c r="V23" s="7">
        <f>'a5-11'!I20</f>
        <v>21917.477792830185</v>
      </c>
      <c r="W23" s="7">
        <f>V23*1000000/'a1'!BN23</f>
        <v>7366.8950351531357</v>
      </c>
    </row>
    <row r="24" spans="1:23" ht="18.75" customHeight="1">
      <c r="A24" s="1">
        <v>1986</v>
      </c>
      <c r="B24" s="120">
        <f>'a5-1'!H20</f>
        <v>201605.18292682929</v>
      </c>
      <c r="C24" s="7">
        <f>B24*1000000/'a1'!F24</f>
        <v>7724.2542369406674</v>
      </c>
      <c r="D24" s="120">
        <f>'a5-2'!I21</f>
        <v>4020.0286123032902</v>
      </c>
      <c r="E24" s="7">
        <f>D24*1000000/'a1'!L24</f>
        <v>6975.5106007976501</v>
      </c>
      <c r="F24" s="120">
        <f>'a5-3'!I21</f>
        <v>868.65671641791039</v>
      </c>
      <c r="G24" s="7">
        <f>F24*1000000/'a1'!R24</f>
        <v>6763.3429600572299</v>
      </c>
      <c r="H24" s="120">
        <f>'a5-4'!I21</f>
        <v>6045.1127819548874</v>
      </c>
      <c r="I24" s="7">
        <f>H24*1000000/'a1'!X24</f>
        <v>6799.2364998643407</v>
      </c>
      <c r="J24" s="120">
        <f>'a5-5'!I21</f>
        <v>5717.0370370370374</v>
      </c>
      <c r="K24" s="7">
        <f>J24*1000000/'a1'!AD24</f>
        <v>7885.3616760899204</v>
      </c>
      <c r="L24" s="120">
        <f>'a5-6'!I21</f>
        <v>54077.265973254092</v>
      </c>
      <c r="M24" s="7">
        <f>L24*1000000/'a1'!AJ24</f>
        <v>8061.4036277038431</v>
      </c>
      <c r="N24" s="120">
        <f>'a5-7'!I21</f>
        <v>71131.578947368427</v>
      </c>
      <c r="O24" s="7">
        <f>N24*1000000/'a1'!AP24</f>
        <v>7537.2335573298024</v>
      </c>
      <c r="P24" s="120">
        <f>'a5-8'!I21</f>
        <v>9457.0982839313583</v>
      </c>
      <c r="Q24" s="7">
        <f>P24*1000000/'a1'!AV24</f>
        <v>8663.9008347118215</v>
      </c>
      <c r="R24" s="120">
        <f>'a5-9'!I21</f>
        <v>6762.9513343799063</v>
      </c>
      <c r="S24" s="7">
        <f>R24*1000000/'a1'!BB24</f>
        <v>6574.161148673451</v>
      </c>
      <c r="T24" s="120">
        <f>'a5-10'!I21</f>
        <v>20806.907378335949</v>
      </c>
      <c r="U24" s="7">
        <f>T24*1000000/'a1'!BH24</f>
        <v>8552.2014107828618</v>
      </c>
      <c r="V24" s="120">
        <f>'a5-11'!I21</f>
        <v>21979.010494752623</v>
      </c>
      <c r="W24" s="7">
        <f>V24*1000000/'a1'!BN24</f>
        <v>7317.5046035277501</v>
      </c>
    </row>
    <row r="25" spans="1:23" ht="18.75" customHeight="1">
      <c r="A25" s="1">
        <v>1987</v>
      </c>
      <c r="B25" s="7">
        <f>'a5-1'!H21</f>
        <v>212405.83941605838</v>
      </c>
      <c r="C25" s="7">
        <f>B25*1000000/'a1'!F25</f>
        <v>8031.4986192765709</v>
      </c>
      <c r="D25" s="7">
        <f>'a5-2'!I22</f>
        <v>4079.7199788869966</v>
      </c>
      <c r="E25" s="7">
        <f>D25*1000000/'a1'!L25</f>
        <v>7092.180297834645</v>
      </c>
      <c r="F25" s="7">
        <f>'a5-3'!I22</f>
        <v>955.088546305352</v>
      </c>
      <c r="G25" s="7">
        <f>F25*1000000/'a1'!R25</f>
        <v>7424.4490194055707</v>
      </c>
      <c r="H25" s="7">
        <f>'a5-4'!I22</f>
        <v>6479.8385137348196</v>
      </c>
      <c r="I25" s="7">
        <f>H25*1000000/'a1'!X25</f>
        <v>7251.3372937679687</v>
      </c>
      <c r="J25" s="7">
        <f>'a5-5'!I22</f>
        <v>5754.3892411141942</v>
      </c>
      <c r="K25" s="7">
        <f>J25*1000000/'a1'!AD25</f>
        <v>7906.9006072185011</v>
      </c>
      <c r="L25" s="7">
        <f>'a5-6'!I22</f>
        <v>55929.247146042602</v>
      </c>
      <c r="M25" s="7">
        <f>L25*1000000/'a1'!AJ25</f>
        <v>8246.7382916330389</v>
      </c>
      <c r="N25" s="7">
        <f>'a5-7'!I22</f>
        <v>76153.3799337245</v>
      </c>
      <c r="O25" s="7">
        <f>N25*1000000/'a1'!AP25</f>
        <v>7901.4125867832308</v>
      </c>
      <c r="P25" s="7">
        <f>'a5-8'!I22</f>
        <v>9626.2156460216411</v>
      </c>
      <c r="Q25" s="7">
        <f>P25*1000000/'a1'!AV25</f>
        <v>8764.0679860317396</v>
      </c>
      <c r="R25" s="7">
        <f>'a5-9'!I22</f>
        <v>6866.8385240870493</v>
      </c>
      <c r="S25" s="7">
        <f>R25*1000000/'a1'!BB25</f>
        <v>6648.7656592299654</v>
      </c>
      <c r="T25" s="7">
        <f>'a5-10'!I22</f>
        <v>21525.859076429133</v>
      </c>
      <c r="U25" s="7">
        <f>T25*1000000/'a1'!BH25</f>
        <v>8818.9036466930265</v>
      </c>
      <c r="V25" s="7">
        <f>'a5-11'!I22</f>
        <v>24198.289682743802</v>
      </c>
      <c r="W25" s="7">
        <f>V25*1000000/'a1'!BN25</f>
        <v>7937.3761321790525</v>
      </c>
    </row>
    <row r="26" spans="1:23" ht="18.75" customHeight="1">
      <c r="A26" s="1">
        <v>1988</v>
      </c>
      <c r="B26" s="7">
        <f>'a5-1'!H22</f>
        <v>224816.01123595505</v>
      </c>
      <c r="C26" s="7">
        <f>B26*1000000/'a1'!F26</f>
        <v>8391.2411996110241</v>
      </c>
      <c r="D26" s="7">
        <f>'a5-2'!I23</f>
        <v>4166.0533998498677</v>
      </c>
      <c r="E26" s="7">
        <f>D26*1000000/'a1'!L26</f>
        <v>7245.5370774213243</v>
      </c>
      <c r="F26" s="7">
        <f>'a5-3'!I23</f>
        <v>1049.9154816372061</v>
      </c>
      <c r="G26" s="7">
        <f>F26*1000000/'a1'!R26</f>
        <v>8120.6868460364458</v>
      </c>
      <c r="H26" s="7">
        <f>'a5-4'!I23</f>
        <v>6943.8318471808061</v>
      </c>
      <c r="I26" s="7">
        <f>H26*1000000/'a1'!X26</f>
        <v>7739.308981539346</v>
      </c>
      <c r="J26" s="7">
        <f>'a5-5'!I23</f>
        <v>5755.9655860232524</v>
      </c>
      <c r="K26" s="7">
        <f>J26*1000000/'a1'!AD26</f>
        <v>7881.1165429448829</v>
      </c>
      <c r="L26" s="7">
        <f>'a5-6'!I23</f>
        <v>58182.315499972821</v>
      </c>
      <c r="M26" s="7">
        <f>L26*1000000/'a1'!AJ26</f>
        <v>8509.8230574224672</v>
      </c>
      <c r="N26" s="7">
        <f>'a5-7'!I23</f>
        <v>81711.736294506118</v>
      </c>
      <c r="O26" s="7">
        <f>N26*1000000/'a1'!AP26</f>
        <v>8305.2029953902183</v>
      </c>
      <c r="P26" s="7">
        <f>'a5-8'!I23</f>
        <v>9800.2899824922497</v>
      </c>
      <c r="Q26" s="7">
        <f>P26*1000000/'a1'!AV26</f>
        <v>8891.9586250283537</v>
      </c>
      <c r="R26" s="7">
        <f>'a5-9'!I23</f>
        <v>6997.3802934967107</v>
      </c>
      <c r="S26" s="7">
        <f>R26*1000000/'a1'!BB26</f>
        <v>6805.3006817541982</v>
      </c>
      <c r="T26" s="7">
        <f>'a5-10'!I23</f>
        <v>22565.967802031817</v>
      </c>
      <c r="U26" s="7">
        <f>T26*1000000/'a1'!BH26</f>
        <v>9185.8011889665286</v>
      </c>
      <c r="V26" s="7">
        <f>'a5-11'!I23</f>
        <v>26477.004733807342</v>
      </c>
      <c r="W26" s="7">
        <f>V26*1000000/'a1'!BN26</f>
        <v>8500.4932108137164</v>
      </c>
    </row>
    <row r="27" spans="1:23" ht="18.75" customHeight="1">
      <c r="A27" s="1">
        <v>1989</v>
      </c>
      <c r="B27" s="7">
        <f>'a5-1'!H23</f>
        <v>235426.4705882353</v>
      </c>
      <c r="C27" s="7">
        <f>B27*1000000/'a1'!F27</f>
        <v>8631.0210353719995</v>
      </c>
      <c r="D27" s="7">
        <f>'a5-2'!I24</f>
        <v>4194.7890522063663</v>
      </c>
      <c r="E27" s="7">
        <f>D27*1000000/'a1'!L27</f>
        <v>7275.6600061510017</v>
      </c>
      <c r="F27" s="7">
        <f>'a5-3'!I24</f>
        <v>1152.4564564908969</v>
      </c>
      <c r="G27" s="7">
        <f>F27*1000000/'a1'!R27</f>
        <v>8854.6284487556713</v>
      </c>
      <c r="H27" s="7">
        <f>'a5-4'!I24</f>
        <v>7369.41173195396</v>
      </c>
      <c r="I27" s="7">
        <f>H27*1000000/'a1'!X27</f>
        <v>8153.4381953838792</v>
      </c>
      <c r="J27" s="7">
        <f>'a5-5'!I24</f>
        <v>5687.3338130322654</v>
      </c>
      <c r="K27" s="7">
        <f>J27*1000000/'a1'!AD27</f>
        <v>7736.511296700668</v>
      </c>
      <c r="L27" s="7">
        <f>'a5-6'!I24</f>
        <v>60204.215165542373</v>
      </c>
      <c r="M27" s="7">
        <f>L27*1000000/'a1'!AJ27</f>
        <v>8693.5887922277216</v>
      </c>
      <c r="N27" s="7">
        <f>'a5-7'!I24</f>
        <v>86801.406208131244</v>
      </c>
      <c r="O27" s="7">
        <f>N27*1000000/'a1'!AP27</f>
        <v>8591.3872943686492</v>
      </c>
      <c r="P27" s="7">
        <f>'a5-8'!I24</f>
        <v>9925.1425840139709</v>
      </c>
      <c r="Q27" s="7">
        <f>P27*1000000/'a1'!AV27</f>
        <v>8991.8595025276245</v>
      </c>
      <c r="R27" s="7">
        <f>'a5-9'!I24</f>
        <v>7133.8007422706341</v>
      </c>
      <c r="S27" s="7">
        <f>R27*1000000/'a1'!BB27</f>
        <v>6997.7710704324963</v>
      </c>
      <c r="T27" s="7">
        <f>'a5-10'!I24</f>
        <v>23338.981285599755</v>
      </c>
      <c r="U27" s="7">
        <f>T27*1000000/'a1'!BH27</f>
        <v>9341.851554781606</v>
      </c>
      <c r="V27" s="7">
        <f>'a5-11'!I24</f>
        <v>28733.157231470057</v>
      </c>
      <c r="W27" s="7">
        <f>V27*1000000/'a1'!BN27</f>
        <v>8988.3106089732646</v>
      </c>
    </row>
    <row r="28" spans="1:23" ht="18.75" customHeight="1">
      <c r="A28" s="1">
        <v>1990</v>
      </c>
      <c r="B28" s="7">
        <f>'a5-1'!H24</f>
        <v>247110.96938775509</v>
      </c>
      <c r="C28" s="7">
        <f>B28*1000000/'a1'!F28</f>
        <v>8923.8286049405087</v>
      </c>
      <c r="D28" s="7">
        <f>'a5-2'!I25</f>
        <v>4197.1152454735729</v>
      </c>
      <c r="E28" s="7">
        <f>D28*1000000/'a1'!L28</f>
        <v>7269.3936024746308</v>
      </c>
      <c r="F28" s="7">
        <f>'a5-3'!I25</f>
        <v>1248.8992731090975</v>
      </c>
      <c r="G28" s="7">
        <f>F28*1000000/'a1'!R28</f>
        <v>9577.1546356637646</v>
      </c>
      <c r="H28" s="7">
        <f>'a5-4'!I25</f>
        <v>7775.4506957457706</v>
      </c>
      <c r="I28" s="7">
        <f>H28*1000000/'a1'!X28</f>
        <v>8540.2187440573634</v>
      </c>
      <c r="J28" s="7">
        <f>'a5-5'!I25</f>
        <v>5623.8762398774934</v>
      </c>
      <c r="K28" s="7">
        <f>J28*1000000/'a1'!AD28</f>
        <v>7598.2309673602513</v>
      </c>
      <c r="L28" s="7">
        <f>'a5-6'!I25</f>
        <v>62242.895608137667</v>
      </c>
      <c r="M28" s="7">
        <f>L28*1000000/'a1'!AJ28</f>
        <v>8895.6724521297692</v>
      </c>
      <c r="N28" s="7">
        <f>'a5-7'!I25</f>
        <v>93071.320524908428</v>
      </c>
      <c r="O28" s="7">
        <f>N28*1000000/'a1'!AP28</f>
        <v>9039.7085466146327</v>
      </c>
      <c r="P28" s="7">
        <f>'a5-8'!I25</f>
        <v>10072.225224528123</v>
      </c>
      <c r="Q28" s="7">
        <f>P28*1000000/'a1'!AV28</f>
        <v>9111.6644468741997</v>
      </c>
      <c r="R28" s="7">
        <f>'a5-9'!I25</f>
        <v>7286.0561448690023</v>
      </c>
      <c r="S28" s="7">
        <f>R28*1000000/'a1'!BB28</f>
        <v>7230.1884784956665</v>
      </c>
      <c r="T28" s="7">
        <f>'a5-10'!I25</f>
        <v>23757.127171174983</v>
      </c>
      <c r="U28" s="7">
        <f>T28*1000000/'a1'!BH28</f>
        <v>9324.6091005903891</v>
      </c>
      <c r="V28" s="7">
        <f>'a5-11'!I25</f>
        <v>30920.582046374704</v>
      </c>
      <c r="W28" s="7">
        <f>V28*1000000/'a1'!BN28</f>
        <v>9392.3267005197285</v>
      </c>
    </row>
    <row r="29" spans="1:23" ht="18.75" customHeight="1">
      <c r="A29" s="1">
        <v>1991</v>
      </c>
      <c r="B29" s="7">
        <f>'a5-1'!H25</f>
        <v>257411.83574879228</v>
      </c>
      <c r="C29" s="7">
        <f>B29*1000000/'a1'!F29</f>
        <v>9181.0100839803472</v>
      </c>
      <c r="D29" s="7">
        <f>'a5-2'!I26</f>
        <v>4126.9432999603614</v>
      </c>
      <c r="E29" s="7">
        <f>D29*1000000/'a1'!L29</f>
        <v>7119.7895604204678</v>
      </c>
      <c r="F29" s="7">
        <f>'a5-3'!I26</f>
        <v>1322.8055963885192</v>
      </c>
      <c r="G29" s="7">
        <f>F29*1000000/'a1'!R29</f>
        <v>10146.626854455579</v>
      </c>
      <c r="H29" s="7">
        <f>'a5-4'!I26</f>
        <v>8134.0036380358779</v>
      </c>
      <c r="I29" s="7">
        <f>H29*1000000/'a1'!X29</f>
        <v>8889.922650970555</v>
      </c>
      <c r="J29" s="7">
        <f>'a5-5'!I26</f>
        <v>5465.7579590866253</v>
      </c>
      <c r="K29" s="7">
        <f>J29*1000000/'a1'!AD29</f>
        <v>7331.008425918295</v>
      </c>
      <c r="L29" s="7">
        <f>'a5-6'!I26</f>
        <v>62566.568856880942</v>
      </c>
      <c r="M29" s="7">
        <f>L29*1000000/'a1'!AJ29</f>
        <v>8852.8460633705745</v>
      </c>
      <c r="N29" s="7">
        <f>'a5-7'!I26</f>
        <v>99882.017684278326</v>
      </c>
      <c r="O29" s="7">
        <f>N29*1000000/'a1'!AP29</f>
        <v>9575.2077383408123</v>
      </c>
      <c r="P29" s="7">
        <f>'a5-8'!I26</f>
        <v>10163.984653444872</v>
      </c>
      <c r="Q29" s="7">
        <f>P29*1000000/'a1'!AV29</f>
        <v>9160.0108267858377</v>
      </c>
      <c r="R29" s="7">
        <f>'a5-9'!I26</f>
        <v>7370.1057873694399</v>
      </c>
      <c r="S29" s="7">
        <f>R29*1000000/'a1'!BB29</f>
        <v>7350.1647902933746</v>
      </c>
      <c r="T29" s="7">
        <f>'a5-10'!I26</f>
        <v>24163.605588199724</v>
      </c>
      <c r="U29" s="7">
        <f>T29*1000000/'a1'!BH29</f>
        <v>9321.2782704664187</v>
      </c>
      <c r="V29" s="7">
        <f>'a5-11'!I26</f>
        <v>33280.597443488077</v>
      </c>
      <c r="W29" s="7">
        <f>V29*1000000/'a1'!BN29</f>
        <v>9864.463122149702</v>
      </c>
    </row>
    <row r="30" spans="1:23" ht="18.75" customHeight="1">
      <c r="A30" s="1">
        <v>1992</v>
      </c>
      <c r="B30" s="120">
        <f>'a5-1'!H26</f>
        <v>279145.23809523811</v>
      </c>
      <c r="C30" s="7">
        <f>B30*1000000/'a1'!F30</f>
        <v>9839.0130977329063</v>
      </c>
      <c r="D30" s="120">
        <f>'a5-2'!I27</f>
        <v>4262.6025791324737</v>
      </c>
      <c r="E30" s="7">
        <f>D30*1000000/'a1'!L30</f>
        <v>7347.9338867910574</v>
      </c>
      <c r="F30" s="120">
        <f>'a5-3'!I27</f>
        <v>1494.1176470588236</v>
      </c>
      <c r="G30" s="7">
        <f>F30*1000000/'a1'!R30</f>
        <v>11420.560335854399</v>
      </c>
      <c r="H30" s="120">
        <f>'a5-4'!I27</f>
        <v>8955.688622754491</v>
      </c>
      <c r="I30" s="7">
        <f>H30*1000000/'a1'!X30</f>
        <v>9740.2565473902268</v>
      </c>
      <c r="J30" s="120">
        <f>'a5-5'!I27</f>
        <v>5622.7758007117436</v>
      </c>
      <c r="K30" s="7">
        <f>J30*1000000/'a1'!AD30</f>
        <v>7515.8641459225755</v>
      </c>
      <c r="L30" s="120">
        <f>'a5-6'!I27</f>
        <v>66250.577367205551</v>
      </c>
      <c r="M30" s="7">
        <f>L30*1000000/'a1'!AJ30</f>
        <v>9317.9302655278334</v>
      </c>
      <c r="N30" s="120">
        <f>'a5-7'!I27</f>
        <v>111151.44230769231</v>
      </c>
      <c r="O30" s="7">
        <f>N30*1000000/'a1'!AP30</f>
        <v>10513.553445822541</v>
      </c>
      <c r="P30" s="120">
        <f>'a5-8'!I27</f>
        <v>10635.467980295565</v>
      </c>
      <c r="Q30" s="7">
        <f>P30*1000000/'a1'!AV30</f>
        <v>9558.3473731613813</v>
      </c>
      <c r="R30" s="120">
        <f>'a5-9'!I27</f>
        <v>7769.801980198019</v>
      </c>
      <c r="S30" s="7">
        <f>R30*1000000/'a1'!BB30</f>
        <v>7738.8851340873398</v>
      </c>
      <c r="T30" s="120">
        <f>'a5-10'!I27</f>
        <v>25631.513647642681</v>
      </c>
      <c r="U30" s="7">
        <f>T30*1000000/'a1'!BH30</f>
        <v>9735.9312696920388</v>
      </c>
      <c r="V30" s="120">
        <f>'a5-11'!I27</f>
        <v>36760.613207547169</v>
      </c>
      <c r="W30" s="7">
        <f>V30*1000000/'a1'!BN30</f>
        <v>10597.49539107368</v>
      </c>
    </row>
    <row r="31" spans="1:23" ht="18.75" customHeight="1">
      <c r="A31" s="1">
        <v>1993</v>
      </c>
      <c r="B31" s="7">
        <f>'a5-1'!H27</f>
        <v>291824.40962371667</v>
      </c>
      <c r="C31" s="7">
        <f>B31*1000000/'a1'!F31</f>
        <v>10173.498712547074</v>
      </c>
      <c r="D31" s="7">
        <f>'a5-2'!I28</f>
        <v>4338.9033191597573</v>
      </c>
      <c r="E31" s="7">
        <f>D31*1000000/'a1'!L31</f>
        <v>7481.1644585212134</v>
      </c>
      <c r="F31" s="7">
        <f>'a5-3'!I28</f>
        <v>1008.2217786700355</v>
      </c>
      <c r="G31" s="7">
        <f>F31*1000000/'a1'!R31</f>
        <v>7627.8155705609561</v>
      </c>
      <c r="H31" s="7">
        <f>'a5-4'!I28</f>
        <v>9230.8048618472494</v>
      </c>
      <c r="I31" s="7">
        <f>H31*1000000/'a1'!X31</f>
        <v>9990.8594981705774</v>
      </c>
      <c r="J31" s="7">
        <f>'a5-5'!I28</f>
        <v>5822.4568472901674</v>
      </c>
      <c r="K31" s="7">
        <f>J31*1000000/'a1'!AD31</f>
        <v>7775.5923346449681</v>
      </c>
      <c r="L31" s="7">
        <f>'a5-6'!I28</f>
        <v>68759.582575437656</v>
      </c>
      <c r="M31" s="7">
        <f>L31*1000000/'a1'!AJ31</f>
        <v>9607.9406248353989</v>
      </c>
      <c r="N31" s="7">
        <f>'a5-7'!I28</f>
        <v>116723.63064963219</v>
      </c>
      <c r="O31" s="7">
        <f>N31*1000000/'a1'!AP31</f>
        <v>10918.916345258285</v>
      </c>
      <c r="P31" s="7">
        <f>'a5-8'!I28</f>
        <v>10976.900972549529</v>
      </c>
      <c r="Q31" s="7">
        <f>P31*1000000/'a1'!AV31</f>
        <v>9821.6930763011405</v>
      </c>
      <c r="R31" s="7">
        <f>'a5-9'!I28</f>
        <v>8013.5821601390635</v>
      </c>
      <c r="S31" s="7">
        <f>R31*1000000/'a1'!BB31</f>
        <v>7958.6673553868941</v>
      </c>
      <c r="T31" s="7">
        <f>'a5-10'!I28</f>
        <v>26994.829526313657</v>
      </c>
      <c r="U31" s="7">
        <f>T31*1000000/'a1'!BH31</f>
        <v>10120.687771085302</v>
      </c>
      <c r="V31" s="7">
        <f>'a5-11'!I28</f>
        <v>39073.64514330856</v>
      </c>
      <c r="W31" s="7">
        <f>V31*1000000/'a1'!BN31</f>
        <v>10951.833565404</v>
      </c>
    </row>
    <row r="32" spans="1:23" ht="18.75" customHeight="1">
      <c r="A32" s="1">
        <v>1994</v>
      </c>
      <c r="B32" s="7">
        <f>'a5-1'!H28</f>
        <v>305079.48705603776</v>
      </c>
      <c r="C32" s="7">
        <f>B32*1000000/'a1'!F32</f>
        <v>10519.741809214423</v>
      </c>
      <c r="D32" s="7">
        <f>'a5-2'!I29</f>
        <v>4416.5698451876424</v>
      </c>
      <c r="E32" s="7">
        <f>D32*1000000/'a1'!L32</f>
        <v>7688.1309689131158</v>
      </c>
      <c r="F32" s="7">
        <f>'a5-3'!I29</f>
        <v>1051.6086414451183</v>
      </c>
      <c r="G32" s="7">
        <f>F32*1000000/'a1'!R32</f>
        <v>7880.9373820238634</v>
      </c>
      <c r="H32" s="7">
        <f>'a5-4'!I29</f>
        <v>9514.3725945326078</v>
      </c>
      <c r="I32" s="7">
        <f>H32*1000000/'a1'!X32</f>
        <v>10265.045075887159</v>
      </c>
      <c r="J32" s="7">
        <f>'a5-5'!I29</f>
        <v>6029.2291459077724</v>
      </c>
      <c r="K32" s="7">
        <f>J32*1000000/'a1'!AD32</f>
        <v>8036.9897370752178</v>
      </c>
      <c r="L32" s="7">
        <f>'a5-6'!I29</f>
        <v>71363.607440631298</v>
      </c>
      <c r="M32" s="7">
        <f>L32*1000000/'a1'!AJ32</f>
        <v>9922.0813183898772</v>
      </c>
      <c r="N32" s="7">
        <f>'a5-7'!I29</f>
        <v>122575.16114200586</v>
      </c>
      <c r="O32" s="7">
        <f>N32*1000000/'a1'!AP32</f>
        <v>11329.467329677025</v>
      </c>
      <c r="P32" s="7">
        <f>'a5-8'!I29</f>
        <v>11329.295070456341</v>
      </c>
      <c r="Q32" s="7">
        <f>P32*1000000/'a1'!AV32</f>
        <v>10086.353703565914</v>
      </c>
      <c r="R32" s="7">
        <f>'a5-9'!I29</f>
        <v>8265.0110261448881</v>
      </c>
      <c r="S32" s="7">
        <f>R32*1000000/'a1'!BB32</f>
        <v>8186.624100383714</v>
      </c>
      <c r="T32" s="7">
        <f>'a5-10'!I29</f>
        <v>28430.658882362019</v>
      </c>
      <c r="U32" s="7">
        <f>T32*1000000/'a1'!BH32</f>
        <v>10527.510818816969</v>
      </c>
      <c r="V32" s="7">
        <f>'a5-11'!I29</f>
        <v>41532.216455838388</v>
      </c>
      <c r="W32" s="7">
        <f>V32*1000000/'a1'!BN32</f>
        <v>11297.978538478781</v>
      </c>
    </row>
    <row r="33" spans="1:23" ht="18.75" customHeight="1">
      <c r="A33" s="1">
        <v>1995</v>
      </c>
      <c r="B33" s="7">
        <f>'a5-1'!H29</f>
        <v>318936.62885289709</v>
      </c>
      <c r="C33" s="7">
        <f>B33*1000000/'a1'!F33</f>
        <v>10884.35068663687</v>
      </c>
      <c r="D33" s="7">
        <f>'a5-2'!I30</f>
        <v>4495.6266048348416</v>
      </c>
      <c r="E33" s="7">
        <f>D33*1000000/'a1'!L33</f>
        <v>7923.2470471906654</v>
      </c>
      <c r="F33" s="7">
        <f>'a5-3'!I30</f>
        <v>1096.8625734516822</v>
      </c>
      <c r="G33" s="7">
        <f>F33*1000000/'a1'!R33</f>
        <v>8160.2691176705157</v>
      </c>
      <c r="H33" s="7">
        <f>'a5-4'!I30</f>
        <v>9806.6514483199462</v>
      </c>
      <c r="I33" s="7">
        <f>H33*1000000/'a1'!X33</f>
        <v>10566.146024565731</v>
      </c>
      <c r="J33" s="7">
        <f>'a5-5'!I30</f>
        <v>6243.3445274535934</v>
      </c>
      <c r="K33" s="7">
        <f>J33*1000000/'a1'!AD33</f>
        <v>8314.0058931950807</v>
      </c>
      <c r="L33" s="7">
        <f>'a5-6'!I30</f>
        <v>74066.250494658598</v>
      </c>
      <c r="M33" s="7">
        <f>L33*1000000/'a1'!AJ33</f>
        <v>10259.593246119643</v>
      </c>
      <c r="N33" s="7">
        <f>'a5-7'!I30</f>
        <v>128720.03762535509</v>
      </c>
      <c r="O33" s="7">
        <f>N33*1000000/'a1'!AP33</f>
        <v>11755.126827877861</v>
      </c>
      <c r="P33" s="7">
        <f>'a5-8'!I30</f>
        <v>11693.00216103295</v>
      </c>
      <c r="Q33" s="7">
        <f>P33*1000000/'a1'!AV33</f>
        <v>10355.579117949741</v>
      </c>
      <c r="R33" s="7">
        <f>'a5-9'!I30</f>
        <v>8524.3285583424004</v>
      </c>
      <c r="S33" s="7">
        <f>R33*1000000/'a1'!BB33</f>
        <v>8405.08560881021</v>
      </c>
      <c r="T33" s="7">
        <f>'a5-10'!I30</f>
        <v>29942.858638811704</v>
      </c>
      <c r="U33" s="7">
        <f>T33*1000000/'a1'!BH33</f>
        <v>10949.954503447116</v>
      </c>
      <c r="V33" s="7">
        <f>'a5-11'!I30</f>
        <v>44145.484697119682</v>
      </c>
      <c r="W33" s="7">
        <f>V33*1000000/'a1'!BN33</f>
        <v>11686.76909112368</v>
      </c>
    </row>
    <row r="34" spans="1:23" ht="18.75" customHeight="1">
      <c r="A34" s="1">
        <v>1996</v>
      </c>
      <c r="B34" s="7">
        <f>'a5-1'!H30</f>
        <v>333423.18162927264</v>
      </c>
      <c r="C34" s="7">
        <f>B34*1000000/'a1'!F34</f>
        <v>11260.409552853433</v>
      </c>
      <c r="D34" s="7">
        <f>'a5-2'!I31</f>
        <v>4576.0984833333187</v>
      </c>
      <c r="E34" s="7">
        <f>D34*1000000/'a1'!L34</f>
        <v>8176.0136418806551</v>
      </c>
      <c r="F34" s="7">
        <f>'a5-3'!I31</f>
        <v>1144.0639203817677</v>
      </c>
      <c r="G34" s="7">
        <f>F34*1000000/'a1'!R34</f>
        <v>8428.5340060688522</v>
      </c>
      <c r="H34" s="7">
        <f>'a5-4'!I31</f>
        <v>10107.909026402818</v>
      </c>
      <c r="I34" s="7">
        <f>H34*1000000/'a1'!X34</f>
        <v>10853.233103306164</v>
      </c>
      <c r="J34" s="7">
        <f>'a5-5'!I31</f>
        <v>6465.0637660605807</v>
      </c>
      <c r="K34" s="7">
        <f>J34*1000000/'a1'!AD34</f>
        <v>8594.0964736777078</v>
      </c>
      <c r="L34" s="7">
        <f>'a5-6'!I31</f>
        <v>76871.246550999538</v>
      </c>
      <c r="M34" s="7">
        <f>L34*1000000/'a1'!AJ34</f>
        <v>10607.470556156593</v>
      </c>
      <c r="N34" s="7">
        <f>'a5-7'!I31</f>
        <v>135172.96597372997</v>
      </c>
      <c r="O34" s="7">
        <f>N34*1000000/'a1'!AP34</f>
        <v>12196.530635856865</v>
      </c>
      <c r="P34" s="7">
        <f>'a5-8'!I31</f>
        <v>12068.385428010037</v>
      </c>
      <c r="Q34" s="7">
        <f>P34*1000000/'a1'!AV34</f>
        <v>10640.476097614554</v>
      </c>
      <c r="R34" s="7">
        <f>'a5-9'!I31</f>
        <v>8791.7822663166044</v>
      </c>
      <c r="S34" s="7">
        <f>R34*1000000/'a1'!BB34</f>
        <v>8628.3187672706626</v>
      </c>
      <c r="T34" s="7">
        <f>'a5-10'!I31</f>
        <v>31535.490864760901</v>
      </c>
      <c r="U34" s="7">
        <f>T34*1000000/'a1'!BH34</f>
        <v>11363.596218545526</v>
      </c>
      <c r="V34" s="7">
        <f>'a5-11'!I31</f>
        <v>46923.183625796424</v>
      </c>
      <c r="W34" s="7">
        <f>V34*1000000/'a1'!BN34</f>
        <v>12111.343399571182</v>
      </c>
    </row>
    <row r="35" spans="1:23" ht="18.75" customHeight="1">
      <c r="A35" s="1">
        <v>1997</v>
      </c>
      <c r="B35" s="7">
        <f>'a5-1'!H31</f>
        <v>348567.73412207316</v>
      </c>
      <c r="C35" s="7">
        <f>B35*1000000/'a1'!F35</f>
        <v>11655.465130952318</v>
      </c>
      <c r="D35" s="7">
        <f>'a5-2'!I32</f>
        <v>4658.0108113615915</v>
      </c>
      <c r="E35" s="7">
        <f>D35*1000000/'a1'!L35</f>
        <v>8455.105836263192</v>
      </c>
      <c r="F35" s="7">
        <f>'a5-3'!I32</f>
        <v>1193.2964854479626</v>
      </c>
      <c r="G35" s="7">
        <f>F35*1000000/'a1'!R35</f>
        <v>8768.1140780187561</v>
      </c>
      <c r="H35" s="7">
        <f>'a5-4'!I32</f>
        <v>10418.421152669705</v>
      </c>
      <c r="I35" s="7">
        <f>H35*1000000/'a1'!X35</f>
        <v>11173.743892301503</v>
      </c>
      <c r="J35" s="7">
        <f>'a5-5'!I32</f>
        <v>6694.6568967060912</v>
      </c>
      <c r="K35" s="7">
        <f>J35*1000000/'a1'!AD35</f>
        <v>8896.4239681627132</v>
      </c>
      <c r="L35" s="7">
        <f>'a5-6'!I32</f>
        <v>79782.471865923755</v>
      </c>
      <c r="M35" s="7">
        <f>L35*1000000/'a1'!AJ35</f>
        <v>10967.249226924127</v>
      </c>
      <c r="N35" s="7">
        <f>'a5-7'!I32</f>
        <v>141949.38928868077</v>
      </c>
      <c r="O35" s="7">
        <f>N35*1000000/'a1'!AP35</f>
        <v>12642.839476278768</v>
      </c>
      <c r="P35" s="7">
        <f>'a5-8'!I32</f>
        <v>12455.819714493131</v>
      </c>
      <c r="Q35" s="7">
        <f>P35*1000000/'a1'!AV35</f>
        <v>10963.39471828274</v>
      </c>
      <c r="R35" s="7">
        <f>'a5-9'!I32</f>
        <v>9067.6274253499196</v>
      </c>
      <c r="S35" s="7">
        <f>R35*1000000/'a1'!BB35</f>
        <v>8908.1536585544782</v>
      </c>
      <c r="T35" s="7">
        <f>'a5-10'!I32</f>
        <v>33212.833686906961</v>
      </c>
      <c r="U35" s="7">
        <f>T35*1000000/'a1'!BH35</f>
        <v>11736.614011391057</v>
      </c>
      <c r="V35" s="7">
        <f>'a5-11'!I32</f>
        <v>49875.659462945405</v>
      </c>
      <c r="W35" s="7">
        <f>V35*1000000/'a1'!BN35</f>
        <v>12631.280503143887</v>
      </c>
    </row>
    <row r="36" spans="1:23" ht="18.75" customHeight="1">
      <c r="A36" s="1">
        <v>1998</v>
      </c>
      <c r="B36" s="120">
        <f>'a5-1'!H32</f>
        <v>364400.1736090724</v>
      </c>
      <c r="C36" s="7">
        <f>B36*1000000/'a1'!F36</f>
        <v>12084.167900780154</v>
      </c>
      <c r="D36" s="120">
        <f>'a5-2'!I33</f>
        <v>4741.389373018239</v>
      </c>
      <c r="E36" s="7">
        <f>D36*1000000/'a1'!L36</f>
        <v>8782.9042388587768</v>
      </c>
      <c r="F36" s="120">
        <f>'a5-3'!I33</f>
        <v>1244.6476781710708</v>
      </c>
      <c r="G36" s="7">
        <f>F36*1000000/'a1'!R36</f>
        <v>9165.0295880170743</v>
      </c>
      <c r="H36" s="120">
        <f>'a5-4'!I33</f>
        <v>10738.472124241491</v>
      </c>
      <c r="I36" s="7">
        <f>H36*1000000/'a1'!X36</f>
        <v>11523.993625746903</v>
      </c>
      <c r="J36" s="120">
        <f>'a5-5'!I33</f>
        <v>6932.4035440912721</v>
      </c>
      <c r="K36" s="7">
        <f>J36*1000000/'a1'!AD36</f>
        <v>9236.6774733738457</v>
      </c>
      <c r="L36" s="120">
        <f>'a5-6'!I33</f>
        <v>82803.949495133449</v>
      </c>
      <c r="M36" s="7">
        <f>L36*1000000/'a1'!AJ36</f>
        <v>11349.326644923982</v>
      </c>
      <c r="N36" s="120">
        <f>'a5-7'!I33</f>
        <v>149065.52485757691</v>
      </c>
      <c r="O36" s="7">
        <f>N36*1000000/'a1'!AP36</f>
        <v>13115.152494956354</v>
      </c>
      <c r="P36" s="120">
        <f>'a5-8'!I33</f>
        <v>12855.691897266326</v>
      </c>
      <c r="Q36" s="7">
        <f>P36*1000000/'a1'!AV36</f>
        <v>11301.816454722926</v>
      </c>
      <c r="R36" s="120">
        <f>'a5-9'!I33</f>
        <v>9352.1273200735941</v>
      </c>
      <c r="S36" s="7">
        <f>R36*1000000/'a1'!BB36</f>
        <v>9192.7977494796123</v>
      </c>
      <c r="T36" s="120">
        <f>'a5-10'!I33</f>
        <v>34979.392781444971</v>
      </c>
      <c r="U36" s="7">
        <f>T36*1000000/'a1'!BH36</f>
        <v>12065.745582006401</v>
      </c>
      <c r="V36" s="120">
        <f>'a5-11'!I33</f>
        <v>53013.909429114814</v>
      </c>
      <c r="W36" s="7">
        <f>V36*1000000/'a1'!BN36</f>
        <v>13309.667445818086</v>
      </c>
    </row>
    <row r="37" spans="1:23" ht="18.75" customHeight="1">
      <c r="A37" s="1">
        <v>1999</v>
      </c>
      <c r="B37" s="7">
        <f>'a5-1'!H33</f>
        <v>369022.43069900142</v>
      </c>
      <c r="C37" s="7">
        <f>B37*1000000/'a1'!F37</f>
        <v>12138.382261164919</v>
      </c>
      <c r="D37" s="7">
        <f>'a5-2'!I34</f>
        <v>4826.9442427093836</v>
      </c>
      <c r="E37" s="7">
        <f>D37*1000000/'a1'!L37</f>
        <v>9050.5939911562728</v>
      </c>
      <c r="F37" s="7">
        <f>'a5-3'!I34</f>
        <v>1266.1004049820772</v>
      </c>
      <c r="G37" s="7">
        <f>F37*1000000/'a1'!R37</f>
        <v>9290.3662651585855</v>
      </c>
      <c r="H37" s="7">
        <f>'a5-4'!I34</f>
        <v>10944.930328786393</v>
      </c>
      <c r="I37" s="7">
        <f>H37*1000000/'a1'!X37</f>
        <v>11721.051473131251</v>
      </c>
      <c r="J37" s="7">
        <f>'a5-5'!I34</f>
        <v>7078.0338838275438</v>
      </c>
      <c r="K37" s="7">
        <f>J37*1000000/'a1'!AD37</f>
        <v>9429.8220810091443</v>
      </c>
      <c r="L37" s="7">
        <f>'a5-6'!I34</f>
        <v>84144.327787228336</v>
      </c>
      <c r="M37" s="7">
        <f>L37*1000000/'a1'!AJ37</f>
        <v>11490.025301229418</v>
      </c>
      <c r="N37" s="7">
        <f>'a5-7'!I34</f>
        <v>150807.69119282742</v>
      </c>
      <c r="O37" s="7">
        <f>N37*1000000/'a1'!AP37</f>
        <v>13108.287726220726</v>
      </c>
      <c r="P37" s="7">
        <f>'a5-8'!I34</f>
        <v>13003.189616270976</v>
      </c>
      <c r="Q37" s="7">
        <f>P37*1000000/'a1'!AV37</f>
        <v>11381.865622129828</v>
      </c>
      <c r="R37" s="7">
        <f>'a5-9'!I34</f>
        <v>9368.6965293255162</v>
      </c>
      <c r="S37" s="7">
        <f>R37*1000000/'a1'!BB37</f>
        <v>9234.5735826116634</v>
      </c>
      <c r="T37" s="7">
        <f>'a5-10'!I34</f>
        <v>35727.635084052614</v>
      </c>
      <c r="U37" s="7">
        <f>T37*1000000/'a1'!BH37</f>
        <v>12100.020958519417</v>
      </c>
      <c r="V37" s="7">
        <f>'a5-11'!I34</f>
        <v>53666.72321582213</v>
      </c>
      <c r="W37" s="7">
        <f>V37*1000000/'a1'!BN37</f>
        <v>13378.635309793308</v>
      </c>
    </row>
    <row r="38" spans="1:23" ht="18.75" customHeight="1">
      <c r="A38" s="1">
        <v>2000</v>
      </c>
      <c r="B38" s="7">
        <f>'a5-1'!H34</f>
        <v>374318.61239607137</v>
      </c>
      <c r="C38" s="7">
        <f>B38*1000000/'a1'!F38</f>
        <v>12198.458775335355</v>
      </c>
      <c r="D38" s="7">
        <f>'a5-2'!I35</f>
        <v>4925.2934661695908</v>
      </c>
      <c r="E38" s="7">
        <f>D38*1000000/'a1'!L38</f>
        <v>9328.8080409905015</v>
      </c>
      <c r="F38" s="7">
        <f>'a5-3'!I35</f>
        <v>1285.4449957891939</v>
      </c>
      <c r="G38" s="7">
        <f>F38*1000000/'a1'!R38</f>
        <v>9419.2496210829777</v>
      </c>
      <c r="H38" s="7">
        <f>'a5-4'!I35</f>
        <v>11156.52016700491</v>
      </c>
      <c r="I38" s="7">
        <f>H38*1000000/'a1'!X38</f>
        <v>11947.172067242984</v>
      </c>
      <c r="J38" s="7">
        <f>'a5-5'!I35</f>
        <v>7230.259736238163</v>
      </c>
      <c r="K38" s="7">
        <f>J38*1000000/'a1'!AD38</f>
        <v>9633.7054806728738</v>
      </c>
      <c r="L38" s="7">
        <f>'a5-6'!I35</f>
        <v>85584.183950232065</v>
      </c>
      <c r="M38" s="7">
        <f>L38*1000000/'a1'!AJ38</f>
        <v>11633.105066247155</v>
      </c>
      <c r="N38" s="7">
        <f>'a5-7'!I35</f>
        <v>153123.90661725291</v>
      </c>
      <c r="O38" s="7">
        <f>N38*1000000/'a1'!AP38</f>
        <v>13106.231773520378</v>
      </c>
      <c r="P38" s="7">
        <f>'a5-8'!I35</f>
        <v>13161.15103182122</v>
      </c>
      <c r="Q38" s="7">
        <f>P38*1000000/'a1'!AV38</f>
        <v>11471.282058009645</v>
      </c>
      <c r="R38" s="7">
        <f>'a5-9'!I35</f>
        <v>9357.7229556084294</v>
      </c>
      <c r="S38" s="7">
        <f>R38*1000000/'a1'!BB38</f>
        <v>9287.463295775884</v>
      </c>
      <c r="T38" s="7">
        <f>'a5-10'!I35</f>
        <v>36450.717378473026</v>
      </c>
      <c r="U38" s="7">
        <f>T38*1000000/'a1'!BH38</f>
        <v>12133.260650087985</v>
      </c>
      <c r="V38" s="7">
        <f>'a5-11'!I35</f>
        <v>54380.508805699108</v>
      </c>
      <c r="W38" s="7">
        <f>V38*1000000/'a1'!BN38</f>
        <v>13463.087966196306</v>
      </c>
    </row>
    <row r="39" spans="1:23" ht="18.75" customHeight="1">
      <c r="A39" s="1">
        <v>2001</v>
      </c>
      <c r="B39" s="7">
        <f>'a5-1'!H35</f>
        <v>380266.56821059139</v>
      </c>
      <c r="C39" s="7">
        <f>B39*1000000/'a1'!F39</f>
        <v>12259.141913915764</v>
      </c>
      <c r="D39" s="7">
        <f>'a5-2'!I36</f>
        <v>5024.3722766678029</v>
      </c>
      <c r="E39" s="7">
        <f>D39*1000000/'a1'!L39</f>
        <v>9624.6257931353048</v>
      </c>
      <c r="F39" s="7">
        <f>'a5-3'!I36</f>
        <v>1308.6860199130942</v>
      </c>
      <c r="G39" s="7">
        <f>F39*1000000/'a1'!R39</f>
        <v>9576.0082825131467</v>
      </c>
      <c r="H39" s="7">
        <f>'a5-4'!I36</f>
        <v>11362.653808599438</v>
      </c>
      <c r="I39" s="7">
        <f>H39*1000000/'a1'!X39</f>
        <v>12185.752657610388</v>
      </c>
      <c r="J39" s="7">
        <f>'a5-5'!I36</f>
        <v>7377.0326223572583</v>
      </c>
      <c r="K39" s="7">
        <f>J39*1000000/'a1'!AD39</f>
        <v>9838.65401934281</v>
      </c>
      <c r="L39" s="7">
        <f>'a5-6'!I36</f>
        <v>87139.28753470596</v>
      </c>
      <c r="M39" s="7">
        <f>L39*1000000/'a1'!AJ39</f>
        <v>11781.420752357617</v>
      </c>
      <c r="N39" s="7">
        <f>'a5-7'!I36</f>
        <v>155866.54192419988</v>
      </c>
      <c r="O39" s="7">
        <f>N39*1000000/'a1'!AP39</f>
        <v>13101.702714803294</v>
      </c>
      <c r="P39" s="7">
        <f>'a5-8'!I36</f>
        <v>13318.914899134619</v>
      </c>
      <c r="Q39" s="7">
        <f>P39*1000000/'a1'!AV39</f>
        <v>11567.191053225242</v>
      </c>
      <c r="R39" s="7">
        <f>'a5-9'!I36</f>
        <v>9344.1918629855954</v>
      </c>
      <c r="S39" s="7">
        <f>R39*1000000/'a1'!BB39</f>
        <v>9342.1272528627123</v>
      </c>
      <c r="T39" s="7">
        <f>'a5-10'!I36</f>
        <v>37259.123651684306</v>
      </c>
      <c r="U39" s="7">
        <f>T39*1000000/'a1'!BH39</f>
        <v>12184.079961518953</v>
      </c>
      <c r="V39" s="7">
        <f>'a5-11'!I36</f>
        <v>55162.297701863346</v>
      </c>
      <c r="W39" s="7">
        <f>V39*1000000/'a1'!BN39</f>
        <v>13532.562587178689</v>
      </c>
    </row>
    <row r="40" spans="1:23" ht="18.75" customHeight="1">
      <c r="A40" s="1">
        <v>2002</v>
      </c>
      <c r="B40" s="7">
        <f>'a5-1'!H36</f>
        <v>386192.72679747368</v>
      </c>
      <c r="C40" s="7">
        <f>B40*1000000/'a1'!F40</f>
        <v>12317.310836014585</v>
      </c>
      <c r="D40" s="7">
        <f>'a5-2'!I37</f>
        <v>5142.2034397687794</v>
      </c>
      <c r="E40" s="7">
        <f>D40*1000000/'a1'!L40</f>
        <v>9897.7798048023687</v>
      </c>
      <c r="F40" s="7">
        <f>'a5-3'!I37</f>
        <v>1332.2543772318788</v>
      </c>
      <c r="G40" s="7">
        <f>F40*1000000/'a1'!R40</f>
        <v>9733.2942022843945</v>
      </c>
      <c r="H40" s="7">
        <f>'a5-4'!I37</f>
        <v>11595.583576931376</v>
      </c>
      <c r="I40" s="7">
        <f>H40*1000000/'a1'!X40</f>
        <v>12401.494710706647</v>
      </c>
      <c r="J40" s="7">
        <f>'a5-5'!I37</f>
        <v>7525.4734086413991</v>
      </c>
      <c r="K40" s="7">
        <f>J40*1000000/'a1'!AD40</f>
        <v>10042.922832021362</v>
      </c>
      <c r="L40" s="7">
        <f>'a5-6'!I37</f>
        <v>88732.629047015536</v>
      </c>
      <c r="M40" s="7">
        <f>L40*1000000/'a1'!AJ40</f>
        <v>11924.704041057441</v>
      </c>
      <c r="N40" s="7">
        <f>'a5-7'!I37</f>
        <v>158514.32939230805</v>
      </c>
      <c r="O40" s="7">
        <f>N40*1000000/'a1'!AP40</f>
        <v>13110.077677616027</v>
      </c>
      <c r="P40" s="7">
        <f>'a5-8'!I37</f>
        <v>13487.34883183702</v>
      </c>
      <c r="Q40" s="7">
        <f>P40*1000000/'a1'!AV40</f>
        <v>11661.073178182349</v>
      </c>
      <c r="R40" s="7">
        <f>'a5-9'!I37</f>
        <v>9353.2257698494996</v>
      </c>
      <c r="S40" s="7">
        <f>R40*1000000/'a1'!BB40</f>
        <v>9383.2427634497744</v>
      </c>
      <c r="T40" s="7">
        <f>'a5-10'!I37</f>
        <v>38147.381987585613</v>
      </c>
      <c r="U40" s="7">
        <f>T40*1000000/'a1'!BH40</f>
        <v>12194.03560058408</v>
      </c>
      <c r="V40" s="7">
        <f>'a5-11'!I37</f>
        <v>55779.681309639833</v>
      </c>
      <c r="W40" s="7">
        <f>V40*1000000/'a1'!BN40</f>
        <v>13610.84884786357</v>
      </c>
    </row>
    <row r="41" spans="1:23" ht="18.75" customHeight="1">
      <c r="A41" s="1">
        <v>2003</v>
      </c>
      <c r="B41" s="7">
        <f>'a5-1'!H37</f>
        <v>391599.24639070081</v>
      </c>
      <c r="C41" s="7">
        <f>B41*1000000/'a1'!F41</f>
        <v>12376.843576140358</v>
      </c>
      <c r="D41" s="7">
        <f>'a5-2'!I38</f>
        <v>5278.8439445383137</v>
      </c>
      <c r="E41" s="7">
        <f>D41*1000000/'a1'!L41</f>
        <v>10180.598519899548</v>
      </c>
      <c r="F41" s="7">
        <f>'a5-3'!I38</f>
        <v>1354.9168395784757</v>
      </c>
      <c r="G41" s="7">
        <f>F41*1000000/'a1'!R41</f>
        <v>9873.975846105739</v>
      </c>
      <c r="H41" s="7">
        <f>'a5-4'!I38</f>
        <v>11839.024400810715</v>
      </c>
      <c r="I41" s="7">
        <f>H41*1000000/'a1'!X41</f>
        <v>12628.413926971794</v>
      </c>
      <c r="J41" s="7">
        <f>'a5-5'!I38</f>
        <v>7680.6654972858514</v>
      </c>
      <c r="K41" s="7">
        <f>J41*1000000/'a1'!AD41</f>
        <v>10249.237041490936</v>
      </c>
      <c r="L41" s="7">
        <f>'a5-6'!I38</f>
        <v>90342.51960448816</v>
      </c>
      <c r="M41" s="7">
        <f>L41*1000000/'a1'!AJ41</f>
        <v>12068.457747080309</v>
      </c>
      <c r="N41" s="7">
        <f>'a5-7'!I38</f>
        <v>160667.40991808468</v>
      </c>
      <c r="O41" s="7">
        <f>N41*1000000/'a1'!AP41</f>
        <v>13123.985220561957</v>
      </c>
      <c r="P41" s="7">
        <f>'a5-8'!I38</f>
        <v>13682.250759780158</v>
      </c>
      <c r="Q41" s="7">
        <f>P41*1000000/'a1'!AV41</f>
        <v>11756.339052533218</v>
      </c>
      <c r="R41" s="7">
        <f>'a5-9'!I38</f>
        <v>9389.9510121675867</v>
      </c>
      <c r="S41" s="7">
        <f>R41*1000000/'a1'!BB41</f>
        <v>9423.0920268259342</v>
      </c>
      <c r="T41" s="7">
        <f>'a5-10'!I38</f>
        <v>38887.649438829343</v>
      </c>
      <c r="U41" s="7">
        <f>T41*1000000/'a1'!BH41</f>
        <v>12215.775052437506</v>
      </c>
      <c r="V41" s="7">
        <f>'a5-11'!I38</f>
        <v>56379.945004411537</v>
      </c>
      <c r="W41" s="7">
        <f>V41*1000000/'a1'!BN41</f>
        <v>13676.499056473842</v>
      </c>
    </row>
    <row r="42" spans="1:23" ht="18.75" customHeight="1">
      <c r="A42" s="1">
        <v>2004</v>
      </c>
      <c r="B42" s="7">
        <f>'a5-1'!H38</f>
        <v>397330.77252797532</v>
      </c>
      <c r="C42" s="7">
        <f>B42*1000000/'a1'!F42</f>
        <v>12439.648194295429</v>
      </c>
      <c r="D42" s="7">
        <f>'a5-2'!I39</f>
        <v>5419.1007742707261</v>
      </c>
      <c r="E42" s="7">
        <f>D42*1000000/'a1'!L42</f>
        <v>10472.764890453953</v>
      </c>
      <c r="F42" s="7">
        <f>'a5-3'!I39</f>
        <v>1380.3896959518777</v>
      </c>
      <c r="G42" s="7">
        <f>F42*1000000/'a1'!R42</f>
        <v>10026.509696470484</v>
      </c>
      <c r="H42" s="7">
        <f>'a5-4'!I39</f>
        <v>12077.374322018273</v>
      </c>
      <c r="I42" s="7">
        <f>H42*1000000/'a1'!X42</f>
        <v>12856.805285655873</v>
      </c>
      <c r="J42" s="7">
        <f>'a5-5'!I39</f>
        <v>7838.9802688547388</v>
      </c>
      <c r="K42" s="7">
        <f>J42*1000000/'a1'!AD42</f>
        <v>10460.774690245713</v>
      </c>
      <c r="L42" s="7">
        <f>'a5-6'!I39</f>
        <v>92082.322128207903</v>
      </c>
      <c r="M42" s="7">
        <f>L42*1000000/'a1'!AJ42</f>
        <v>12219.106911464783</v>
      </c>
      <c r="N42" s="7">
        <f>'a5-7'!I39</f>
        <v>162796.85238926639</v>
      </c>
      <c r="O42" s="7">
        <f>N42*1000000/'a1'!AP42</f>
        <v>13138.739490259219</v>
      </c>
      <c r="P42" s="7">
        <f>'a5-8'!I39</f>
        <v>13907.190189897407</v>
      </c>
      <c r="Q42" s="7">
        <f>P42*1000000/'a1'!AV42</f>
        <v>11850.369037529552</v>
      </c>
      <c r="R42" s="7">
        <f>'a5-9'!I39</f>
        <v>9444.4006471279954</v>
      </c>
      <c r="S42" s="7">
        <f>R42*1000000/'a1'!BB42</f>
        <v>9468.5739163364015</v>
      </c>
      <c r="T42" s="7">
        <f>'a5-10'!I39</f>
        <v>39649.869419925781</v>
      </c>
      <c r="U42" s="7">
        <f>T42*1000000/'a1'!BH42</f>
        <v>12239.612399655925</v>
      </c>
      <c r="V42" s="7">
        <f>'a5-11'!I39</f>
        <v>57128.214120150435</v>
      </c>
      <c r="W42" s="7">
        <f>V42*1000000/'a1'!BN42</f>
        <v>13748.706820695768</v>
      </c>
    </row>
    <row r="43" spans="1:23" ht="18.75" customHeight="1">
      <c r="A43" s="1">
        <v>2005</v>
      </c>
      <c r="B43" s="120">
        <f>'a5-1'!H39</f>
        <v>403332.28874503629</v>
      </c>
      <c r="C43" s="7">
        <f>B43*1000000/'a1'!F43</f>
        <v>12508.285765647737</v>
      </c>
      <c r="D43" s="120">
        <f>'a5-2'!I40</f>
        <v>5547.5010086714174</v>
      </c>
      <c r="E43" s="7">
        <f>D43*1000000/'a1'!L43</f>
        <v>10785.186742964437</v>
      </c>
      <c r="F43" s="120">
        <f>'a5-3'!I40</f>
        <v>1404.9650833132675</v>
      </c>
      <c r="G43" s="7">
        <f>F43*1000000/'a1'!R43</f>
        <v>10176.850409715458</v>
      </c>
      <c r="H43" s="120">
        <f>'a5-4'!I40</f>
        <v>12287.718889645024</v>
      </c>
      <c r="I43" s="7">
        <f>H43*1000000/'a1'!X43</f>
        <v>13100.737562005526</v>
      </c>
      <c r="J43" s="120">
        <f>'a5-5'!I40</f>
        <v>7989.9385978140972</v>
      </c>
      <c r="K43" s="7">
        <f>J43*1000000/'a1'!AD43</f>
        <v>10682.307339716157</v>
      </c>
      <c r="L43" s="120">
        <f>'a5-6'!I40</f>
        <v>93906.622520326899</v>
      </c>
      <c r="M43" s="7">
        <f>L43*1000000/'a1'!AJ43</f>
        <v>12385.613932994849</v>
      </c>
      <c r="N43" s="120">
        <f>'a5-7'!I40</f>
        <v>164851.99256551484</v>
      </c>
      <c r="O43" s="7">
        <f>N43*1000000/'a1'!AP43</f>
        <v>13158.179808365805</v>
      </c>
      <c r="P43" s="120">
        <f>'a5-8'!I40</f>
        <v>14091.520092614348</v>
      </c>
      <c r="Q43" s="7">
        <f>P43*1000000/'a1'!AV43</f>
        <v>11959.185380148492</v>
      </c>
      <c r="R43" s="120">
        <f>'a5-9'!I40</f>
        <v>9467.4363675886561</v>
      </c>
      <c r="S43" s="7">
        <f>R43*1000000/'a1'!BB43</f>
        <v>9528.6196342602398</v>
      </c>
      <c r="T43" s="120">
        <f>'a5-10'!I40</f>
        <v>40697.026490902172</v>
      </c>
      <c r="U43" s="7">
        <f>T43*1000000/'a1'!BH43</f>
        <v>12250.023024171383</v>
      </c>
      <c r="V43" s="120">
        <f>'a5-11'!I40</f>
        <v>57994.39633259151</v>
      </c>
      <c r="W43" s="7">
        <f>V43*1000000/'a1'!BN43</f>
        <v>13818.75766242934</v>
      </c>
    </row>
    <row r="44" spans="1:23" ht="18.75" customHeight="1">
      <c r="A44" s="1">
        <v>2006</v>
      </c>
      <c r="B44" s="7">
        <f>'a5-1'!H40</f>
        <v>409620.54034609685</v>
      </c>
      <c r="C44" s="7">
        <f>B44*1000000/'a1'!F44</f>
        <v>12574.275842635207</v>
      </c>
      <c r="D44" s="7">
        <f>'a5-2'!I41</f>
        <v>5661.6503428665728</v>
      </c>
      <c r="E44" s="7">
        <f>D44*1000000/'a1'!L44</f>
        <v>11094.466225368689</v>
      </c>
      <c r="F44" s="7">
        <f>'a5-3'!I41</f>
        <v>1426.0648403873531</v>
      </c>
      <c r="G44" s="7">
        <f>F44*1000000/'a1'!R44</f>
        <v>10339.797276590438</v>
      </c>
      <c r="H44" s="7">
        <f>'a5-4'!I41</f>
        <v>12506.454386948535</v>
      </c>
      <c r="I44" s="7">
        <f>H44*1000000/'a1'!X44</f>
        <v>13332.964879850466</v>
      </c>
      <c r="J44" s="7">
        <f>'a5-5'!I41</f>
        <v>8133.0528775945222</v>
      </c>
      <c r="K44" s="7">
        <f>J44*1000000/'a1'!AD44</f>
        <v>10906.981975494013</v>
      </c>
      <c r="L44" s="7">
        <f>'a5-6'!I41</f>
        <v>95822.066922029117</v>
      </c>
      <c r="M44" s="7">
        <f>L44*1000000/'a1'!AJ44</f>
        <v>12556.039311797798</v>
      </c>
      <c r="N44" s="7">
        <f>'a5-7'!I41</f>
        <v>166813.80555540207</v>
      </c>
      <c r="O44" s="7">
        <f>N44*1000000/'a1'!AP44</f>
        <v>13170.884202879421</v>
      </c>
      <c r="P44" s="7">
        <f>'a5-8'!I41</f>
        <v>14277.462443131732</v>
      </c>
      <c r="Q44" s="7">
        <f>P44*1000000/'a1'!AV44</f>
        <v>12058.351887012866</v>
      </c>
      <c r="R44" s="7">
        <f>'a5-9'!I41</f>
        <v>9489.2539355845565</v>
      </c>
      <c r="S44" s="7">
        <f>R44*1000000/'a1'!BB44</f>
        <v>9564.6038849905126</v>
      </c>
      <c r="T44" s="7">
        <f>'a5-10'!I41</f>
        <v>41966.067578773349</v>
      </c>
      <c r="U44" s="7">
        <f>T44*1000000/'a1'!BH44</f>
        <v>12266.285942247869</v>
      </c>
      <c r="V44" s="7">
        <f>'a5-11'!I41</f>
        <v>58958.47924101042</v>
      </c>
      <c r="W44" s="7">
        <f>V44*1000000/'a1'!BN44</f>
        <v>13893.570815446021</v>
      </c>
    </row>
    <row r="45" spans="1:23" ht="18.75" customHeight="1">
      <c r="A45" s="1">
        <v>2007</v>
      </c>
      <c r="B45" s="7">
        <f>'a5-1'!H41</f>
        <v>416049.20426629164</v>
      </c>
      <c r="C45" s="7">
        <f>B45*1000000/'a1'!F45</f>
        <v>12634.454226102946</v>
      </c>
      <c r="D45" s="7">
        <f>'a5-2'!I42</f>
        <v>5776.6824909051475</v>
      </c>
      <c r="E45" s="7">
        <f>D45*1000000/'a1'!L45</f>
        <v>11407.823963681645</v>
      </c>
      <c r="F45" s="7">
        <f>'a5-3'!I42</f>
        <v>1450.0108735086353</v>
      </c>
      <c r="G45" s="7">
        <f>F45*1000000/'a1'!R45</f>
        <v>10495.08090929159</v>
      </c>
      <c r="H45" s="7">
        <f>'a5-4'!I42</f>
        <v>12705.641722933269</v>
      </c>
      <c r="I45" s="7">
        <f>H45*1000000/'a1'!X45</f>
        <v>13577.391736785306</v>
      </c>
      <c r="J45" s="7">
        <f>'a5-5'!I42</f>
        <v>8293.7312075210739</v>
      </c>
      <c r="K45" s="7">
        <f>J45*1000000/'a1'!AD45</f>
        <v>11124.834788731379</v>
      </c>
      <c r="L45" s="7">
        <f>'a5-6'!I42</f>
        <v>97774.916481773762</v>
      </c>
      <c r="M45" s="7">
        <f>L45*1000000/'a1'!AJ45</f>
        <v>12718.815717799549</v>
      </c>
      <c r="N45" s="7">
        <f>'a5-7'!I42</f>
        <v>168714.00805219202</v>
      </c>
      <c r="O45" s="7">
        <f>N45*1000000/'a1'!AP45</f>
        <v>13188.059008825887</v>
      </c>
      <c r="P45" s="7">
        <f>'a5-8'!I42</f>
        <v>14498.590986128456</v>
      </c>
      <c r="Q45" s="7">
        <f>P45*1000000/'a1'!AV45</f>
        <v>12147.370287936117</v>
      </c>
      <c r="R45" s="7">
        <f>'a5-9'!I42</f>
        <v>9589.5609096525786</v>
      </c>
      <c r="S45" s="7">
        <f>R45*1000000/'a1'!BB45</f>
        <v>9587.0970257169683</v>
      </c>
      <c r="T45" s="7">
        <f>'a5-10'!I42</f>
        <v>43049.367639579919</v>
      </c>
      <c r="U45" s="7">
        <f>T45*1000000/'a1'!BH45</f>
        <v>12255.381312953494</v>
      </c>
      <c r="V45" s="7">
        <f>'a5-11'!I42</f>
        <v>60161.088222169506</v>
      </c>
      <c r="W45" s="7">
        <f>V45*1000000/'a1'!BN45</f>
        <v>13959.681063758926</v>
      </c>
    </row>
    <row r="46" spans="1:23" ht="18.75" customHeight="1">
      <c r="A46" s="1">
        <v>2008</v>
      </c>
      <c r="B46" s="7">
        <f>'a5-1'!H42</f>
        <v>422706.79756189277</v>
      </c>
      <c r="C46" s="7">
        <f>B46*1000000/'a1'!F46</f>
        <v>12687.810723656805</v>
      </c>
      <c r="D46" s="7">
        <f>'a5-2'!I43</f>
        <v>5924.6600919779585</v>
      </c>
      <c r="E46" s="7">
        <f>D46*1000000/'a1'!L46</f>
        <v>11704.350103573061</v>
      </c>
      <c r="F46" s="7">
        <f>'a5-3'!I43</f>
        <v>1482.071557416768</v>
      </c>
      <c r="G46" s="7">
        <f>F46*1000000/'a1'!R46</f>
        <v>10620.742824298743</v>
      </c>
      <c r="H46" s="7">
        <f>'a5-4'!I43</f>
        <v>12931.463355839342</v>
      </c>
      <c r="I46" s="7">
        <f>H46*1000000/'a1'!X46</f>
        <v>13804.796176343352</v>
      </c>
      <c r="J46" s="7">
        <f>'a5-5'!I43</f>
        <v>8474.1905351027563</v>
      </c>
      <c r="K46" s="7">
        <f>J46*1000000/'a1'!AD46</f>
        <v>11345.78637505691</v>
      </c>
      <c r="L46" s="7">
        <f>'a5-6'!I43</f>
        <v>99795.606607653695</v>
      </c>
      <c r="M46" s="7">
        <f>L46*1000000/'a1'!AJ46</f>
        <v>12874.639688721074</v>
      </c>
      <c r="N46" s="7">
        <f>'a5-7'!I43</f>
        <v>170652.20035211742</v>
      </c>
      <c r="O46" s="7">
        <f>N46*1000000/'a1'!AP46</f>
        <v>13195.815124885969</v>
      </c>
      <c r="P46" s="7">
        <f>'a5-8'!I43</f>
        <v>14734.583340806077</v>
      </c>
      <c r="Q46" s="7">
        <f>P46*1000000/'a1'!AV46</f>
        <v>12222.6259279679</v>
      </c>
      <c r="R46" s="7">
        <f>'a5-9'!I43</f>
        <v>9731.9364276736414</v>
      </c>
      <c r="S46" s="7">
        <f>R46*1000000/'a1'!BB46</f>
        <v>9599.5395778163966</v>
      </c>
      <c r="T46" s="7">
        <f>'a5-10'!I43</f>
        <v>44019.524069553947</v>
      </c>
      <c r="U46" s="7">
        <f>T46*1000000/'a1'!BH46</f>
        <v>12256.956724999853</v>
      </c>
      <c r="V46" s="7">
        <f>'a5-11'!I43</f>
        <v>61454.216519084017</v>
      </c>
      <c r="W46" s="7">
        <f>V46*1000000/'a1'!BN46</f>
        <v>14018.289023619371</v>
      </c>
    </row>
    <row r="47" spans="1:23" ht="18.75" customHeight="1">
      <c r="A47" s="1">
        <v>2009</v>
      </c>
      <c r="B47" s="7">
        <f>'a5-1'!H43</f>
        <v>429433.76778399973</v>
      </c>
      <c r="C47" s="7">
        <f>B47*1000000/'a1'!F47</f>
        <v>12735.214249839199</v>
      </c>
      <c r="D47" s="7">
        <f>'a5-2'!I44</f>
        <v>6099.3282006681411</v>
      </c>
      <c r="E47" s="7">
        <f>D47*1000000/'a1'!L47</f>
        <v>12003.172730251408</v>
      </c>
      <c r="F47" s="7">
        <f>'a5-3'!I44</f>
        <v>1514.6134616959805</v>
      </c>
      <c r="G47" s="7">
        <f>F47*1000000/'a1'!R47</f>
        <v>10734.554680085193</v>
      </c>
      <c r="H47" s="7">
        <f>'a5-4'!I44</f>
        <v>13176.404155659702</v>
      </c>
      <c r="I47" s="7">
        <f>H47*1000000/'a1'!X47</f>
        <v>14030.526486022827</v>
      </c>
      <c r="J47" s="7">
        <f>'a5-5'!I44</f>
        <v>8666.8901027811498</v>
      </c>
      <c r="K47" s="7">
        <f>J47*1000000/'a1'!AD47</f>
        <v>11566.278542768081</v>
      </c>
      <c r="L47" s="7">
        <f>'a5-6'!I44</f>
        <v>101904.63832890319</v>
      </c>
      <c r="M47" s="7">
        <f>L47*1000000/'a1'!AJ47</f>
        <v>13017.372397414068</v>
      </c>
      <c r="N47" s="7">
        <f>'a5-7'!I44</f>
        <v>172487.04341121795</v>
      </c>
      <c r="O47" s="7">
        <f>N47*1000000/'a1'!AP47</f>
        <v>13202.324044670679</v>
      </c>
      <c r="P47" s="7">
        <f>'a5-8'!I44</f>
        <v>15003.442731872312</v>
      </c>
      <c r="Q47" s="7">
        <f>P47*1000000/'a1'!AV47</f>
        <v>12302.320613361446</v>
      </c>
      <c r="R47" s="7">
        <f>'a5-9'!I44</f>
        <v>9887.3716234381809</v>
      </c>
      <c r="S47" s="7">
        <f>R47*1000000/'a1'!BB47</f>
        <v>9607.5610163966448</v>
      </c>
      <c r="T47" s="7">
        <f>'a5-10'!I44</f>
        <v>44917.515258853862</v>
      </c>
      <c r="U47" s="7">
        <f>T47*1000000/'a1'!BH47</f>
        <v>12236.630975114529</v>
      </c>
      <c r="V47" s="7">
        <f>'a5-11'!I44</f>
        <v>62812.507863177685</v>
      </c>
      <c r="W47" s="7">
        <f>V47*1000000/'a1'!BN47</f>
        <v>14082.599942599652</v>
      </c>
    </row>
    <row r="48" spans="1:23" ht="18.75" customHeight="1">
      <c r="A48" s="1">
        <v>2010</v>
      </c>
      <c r="B48" s="7">
        <f>'a5-1'!H44</f>
        <v>435697.92015130364</v>
      </c>
      <c r="C48" s="7">
        <f>B48*1000000/'a1'!F48</f>
        <v>12773.786626708114</v>
      </c>
      <c r="D48" s="7">
        <f>'a5-2'!I45</f>
        <v>6280.4880064190165</v>
      </c>
      <c r="E48" s="7">
        <f>D48*1000000/'a1'!L48</f>
        <v>12320.987812231391</v>
      </c>
      <c r="F48" s="7">
        <f>'a5-3'!I45</f>
        <v>1547.6428642528283</v>
      </c>
      <c r="G48" s="7">
        <f>F48*1000000/'a1'!R48</f>
        <v>10878.515346272676</v>
      </c>
      <c r="H48" s="7">
        <f>'a5-4'!I45</f>
        <v>13416.97334467703</v>
      </c>
      <c r="I48" s="7">
        <f>H48*1000000/'a1'!X48</f>
        <v>14235.424861674122</v>
      </c>
      <c r="J48" s="7">
        <f>'a5-5'!I45</f>
        <v>8859.4216787781315</v>
      </c>
      <c r="K48" s="7">
        <f>J48*1000000/'a1'!AD48</f>
        <v>11784.98537259896</v>
      </c>
      <c r="L48" s="7">
        <f>'a5-6'!I45</f>
        <v>104043.32223766815</v>
      </c>
      <c r="M48" s="7">
        <f>L48*1000000/'a1'!AJ48</f>
        <v>13157.757440069321</v>
      </c>
      <c r="N48" s="7">
        <f>'a5-7'!I45</f>
        <v>174324.38981462648</v>
      </c>
      <c r="O48" s="7">
        <f>N48*1000000/'a1'!AP48</f>
        <v>13195.729618695748</v>
      </c>
      <c r="P48" s="7">
        <f>'a5-8'!I45</f>
        <v>15289.446735448586</v>
      </c>
      <c r="Q48" s="7">
        <f>P48*1000000/'a1'!AV48</f>
        <v>12375.990143732282</v>
      </c>
      <c r="R48" s="7">
        <f>'a5-9'!I45</f>
        <v>10048.296471379894</v>
      </c>
      <c r="S48" s="7">
        <f>R48*1000000/'a1'!BB48</f>
        <v>9609.8747648575627</v>
      </c>
      <c r="T48" s="7">
        <f>'a5-10'!I45</f>
        <v>45449.225595283897</v>
      </c>
      <c r="U48" s="7">
        <f>T48*1000000/'a1'!BH48</f>
        <v>12214.427620095506</v>
      </c>
      <c r="V48" s="7">
        <f>'a5-11'!I45</f>
        <v>64033.601316797271</v>
      </c>
      <c r="W48" s="7">
        <f>V48*1000000/'a1'!BN48</f>
        <v>14132.457871355578</v>
      </c>
    </row>
    <row r="49" spans="1:138" ht="18.75" customHeight="1">
      <c r="B49" s="172" t="s">
        <v>435</v>
      </c>
      <c r="C49" s="7"/>
      <c r="D49" s="7"/>
      <c r="E49" s="7"/>
      <c r="F49" s="7"/>
      <c r="G49" s="7"/>
      <c r="H49" s="7"/>
      <c r="I49" s="7"/>
      <c r="J49" s="7"/>
      <c r="K49" s="7"/>
      <c r="L49" s="7"/>
      <c r="M49" s="7"/>
      <c r="N49" s="7"/>
      <c r="O49" s="7"/>
      <c r="P49" s="172" t="s">
        <v>435</v>
      </c>
      <c r="Q49" s="7"/>
      <c r="R49" s="7"/>
      <c r="S49" s="7"/>
      <c r="T49" s="7"/>
      <c r="U49" s="7"/>
      <c r="V49" s="7"/>
      <c r="W49" s="7"/>
    </row>
    <row r="50" spans="1:138" s="252" customFormat="1" ht="18.75" customHeight="1">
      <c r="A50" s="252" t="s">
        <v>988</v>
      </c>
      <c r="B50" s="271">
        <f t="shared" ref="B50:W50" si="10">(POWER(B48/B19, 1/29)-1)*100</f>
        <v>3.0207857934554383</v>
      </c>
      <c r="C50" s="271">
        <f t="shared" si="10"/>
        <v>1.8976052349159556</v>
      </c>
      <c r="D50" s="271">
        <f t="shared" si="10"/>
        <v>2.3238601520235269</v>
      </c>
      <c r="E50" s="271">
        <f t="shared" si="10"/>
        <v>2.7516764133796778</v>
      </c>
      <c r="F50" s="271">
        <f t="shared" si="10"/>
        <v>2.2074453634948643</v>
      </c>
      <c r="G50" s="271">
        <f t="shared" si="10"/>
        <v>1.7115556978681834</v>
      </c>
      <c r="H50" s="271">
        <f t="shared" si="10"/>
        <v>3.2288253889954932</v>
      </c>
      <c r="I50" s="253">
        <f t="shared" si="10"/>
        <v>2.8820203911758657</v>
      </c>
      <c r="J50" s="271">
        <f t="shared" si="10"/>
        <v>3.0989807481616394</v>
      </c>
      <c r="K50" s="253">
        <f t="shared" si="10"/>
        <v>2.8781767601843367</v>
      </c>
      <c r="L50" s="271">
        <f t="shared" si="10"/>
        <v>2.9320107920440819</v>
      </c>
      <c r="M50" s="271">
        <f t="shared" si="10"/>
        <v>2.2642150456483767</v>
      </c>
      <c r="N50" s="271">
        <f t="shared" si="10"/>
        <v>3.4119577935401546</v>
      </c>
      <c r="O50" s="271">
        <f t="shared" si="10"/>
        <v>1.9782240200739265</v>
      </c>
      <c r="P50" s="271">
        <f t="shared" si="10"/>
        <v>2.867553399924927</v>
      </c>
      <c r="Q50" s="271">
        <f t="shared" si="10"/>
        <v>2.2434638233165272</v>
      </c>
      <c r="R50" s="271">
        <f t="shared" si="10"/>
        <v>1.1766332360763077</v>
      </c>
      <c r="S50" s="271">
        <f t="shared" si="10"/>
        <v>0.93566122828838694</v>
      </c>
      <c r="T50" s="271">
        <f t="shared" si="10"/>
        <v>2.7564779309227516</v>
      </c>
      <c r="U50" s="271">
        <f t="shared" si="10"/>
        <v>1.0524496218141444</v>
      </c>
      <c r="V50" s="271">
        <f t="shared" si="10"/>
        <v>3.4192954043726909</v>
      </c>
      <c r="W50" s="271">
        <f t="shared" si="10"/>
        <v>1.7501229415313402</v>
      </c>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269"/>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ht="21" customHeight="1">
      <c r="C51" s="185"/>
      <c r="D51" s="185"/>
      <c r="E51" s="185"/>
      <c r="F51" s="185"/>
      <c r="G51" s="185"/>
      <c r="H51" s="185"/>
      <c r="I51" s="607"/>
      <c r="J51" s="185"/>
      <c r="K51" s="607"/>
      <c r="L51" s="185"/>
      <c r="P51" s="1" t="s">
        <v>380</v>
      </c>
    </row>
    <row r="52" spans="1:138">
      <c r="A52" s="185" t="s">
        <v>945</v>
      </c>
    </row>
    <row r="53" spans="1:138">
      <c r="A53" s="1" t="s">
        <v>1052</v>
      </c>
      <c r="B53" s="185"/>
      <c r="C53" s="203"/>
      <c r="D53" s="203"/>
      <c r="E53" s="203"/>
      <c r="F53" s="203"/>
      <c r="G53" s="203"/>
      <c r="H53" s="203"/>
      <c r="I53" s="203"/>
      <c r="J53" s="203"/>
      <c r="K53" s="203"/>
      <c r="L53" s="203"/>
    </row>
    <row r="54" spans="1:138">
      <c r="B54" s="172"/>
      <c r="C54" s="172"/>
      <c r="D54" s="172"/>
      <c r="E54" s="172"/>
      <c r="F54" s="172"/>
      <c r="G54" s="172"/>
      <c r="H54" s="172"/>
      <c r="I54" s="172"/>
      <c r="J54" s="172"/>
      <c r="K54" s="172"/>
      <c r="L54" s="172"/>
    </row>
    <row r="55" spans="1:138">
      <c r="A55" s="185" t="s">
        <v>1050</v>
      </c>
      <c r="B55" s="172"/>
      <c r="C55" s="172"/>
      <c r="D55" s="172"/>
      <c r="E55" s="172"/>
      <c r="F55" s="172"/>
      <c r="G55" s="172"/>
      <c r="H55" s="172"/>
      <c r="I55" s="172"/>
      <c r="J55" s="172"/>
      <c r="K55" s="172"/>
      <c r="L55" s="172"/>
    </row>
    <row r="56" spans="1:138">
      <c r="A56" s="1" t="s">
        <v>1052</v>
      </c>
      <c r="B56" s="642"/>
      <c r="C56" s="642"/>
      <c r="D56" s="642"/>
      <c r="E56" s="642"/>
      <c r="F56" s="642"/>
      <c r="G56" s="642"/>
      <c r="H56" s="642"/>
      <c r="I56" s="642"/>
      <c r="J56" s="642"/>
      <c r="K56" s="642"/>
      <c r="L56" s="642"/>
    </row>
    <row r="57" spans="1:138">
      <c r="B57" s="172"/>
      <c r="C57" s="172"/>
      <c r="D57" s="172"/>
      <c r="E57" s="172"/>
      <c r="F57" s="172"/>
      <c r="G57" s="172"/>
      <c r="H57" s="172"/>
      <c r="I57" s="172"/>
      <c r="J57" s="172"/>
      <c r="K57" s="172"/>
      <c r="L57" s="172"/>
    </row>
    <row r="58" spans="1:138">
      <c r="B58" s="172"/>
      <c r="C58" s="172"/>
      <c r="D58" s="172"/>
      <c r="E58" s="172"/>
      <c r="F58" s="172"/>
      <c r="G58" s="172"/>
      <c r="H58" s="172"/>
      <c r="I58" s="172"/>
      <c r="J58" s="172"/>
      <c r="K58" s="172"/>
      <c r="L58" s="172"/>
    </row>
    <row r="59" spans="1:138">
      <c r="B59" s="185"/>
      <c r="C59" s="172"/>
      <c r="D59" s="172"/>
      <c r="E59" s="172"/>
      <c r="F59" s="172"/>
      <c r="G59" s="172"/>
      <c r="H59" s="172"/>
      <c r="I59" s="172"/>
      <c r="J59" s="172"/>
      <c r="K59" s="172"/>
      <c r="L59" s="172"/>
    </row>
    <row r="60" spans="1:138">
      <c r="B60" s="185"/>
      <c r="C60" s="172"/>
      <c r="D60" s="172"/>
      <c r="E60" s="172"/>
      <c r="F60" s="172"/>
      <c r="G60" s="172"/>
      <c r="H60" s="172"/>
      <c r="I60" s="172"/>
      <c r="J60" s="172"/>
      <c r="K60" s="172"/>
      <c r="L60" s="172"/>
    </row>
  </sheetData>
  <mergeCells count="1">
    <mergeCell ref="B56:L56"/>
  </mergeCells>
  <phoneticPr fontId="0" type="noConversion"/>
  <pageMargins left="0.74803149606299213" right="0.74803149606299213" top="0.98425196850393704" bottom="0.98425196850393704" header="0.51181102362204722" footer="0.51181102362204722"/>
  <pageSetup scale="62" orientation="landscape" r:id="rId1"/>
  <headerFooter alignWithMargins="0"/>
  <rowBreaks count="1" manualBreakCount="1">
    <brk id="62" max="16383" man="1"/>
  </rowBreaks>
  <colBreaks count="1" manualBreakCount="1">
    <brk id="15" max="1048575" man="1"/>
  </colBreaks>
</worksheet>
</file>

<file path=xl/worksheets/sheet3.xml><?xml version="1.0" encoding="utf-8"?>
<worksheet xmlns="http://schemas.openxmlformats.org/spreadsheetml/2006/main" xmlns:r="http://schemas.openxmlformats.org/officeDocument/2006/relationships">
  <dimension ref="A1:ES141"/>
  <sheetViews>
    <sheetView view="pageBreakPreview" zoomScaleSheetLayoutView="100" workbookViewId="0">
      <pane xSplit="1" ySplit="6" topLeftCell="BS7" activePane="bottomRight" state="frozen"/>
      <selection activeCell="E9" sqref="E9"/>
      <selection pane="topRight" activeCell="E9" sqref="E9"/>
      <selection pane="bottomLeft" activeCell="E9" sqref="E9"/>
      <selection pane="bottomRight" activeCell="E9" sqref="E9"/>
    </sheetView>
  </sheetViews>
  <sheetFormatPr defaultColWidth="8.875" defaultRowHeight="12.75"/>
  <cols>
    <col min="1" max="1" width="8.875" style="1" customWidth="1"/>
    <col min="2" max="7" width="13.875" style="1" customWidth="1"/>
    <col min="8" max="8" width="14.25" style="1" customWidth="1"/>
    <col min="9" max="111" width="13.875" style="1" customWidth="1"/>
    <col min="112" max="168" width="11.375" style="1" customWidth="1"/>
    <col min="169" max="16384" width="8.875" style="1"/>
  </cols>
  <sheetData>
    <row r="1" spans="1:111" ht="15.75">
      <c r="B1" s="2" t="s">
        <v>780</v>
      </c>
      <c r="L1" s="2" t="s">
        <v>781</v>
      </c>
      <c r="V1" s="2" t="s">
        <v>782</v>
      </c>
      <c r="AF1" s="2" t="s">
        <v>783</v>
      </c>
      <c r="AP1" s="2" t="s">
        <v>784</v>
      </c>
      <c r="AZ1" s="2" t="s">
        <v>785</v>
      </c>
      <c r="BJ1" s="2" t="s">
        <v>786</v>
      </c>
      <c r="BT1" s="2" t="s">
        <v>787</v>
      </c>
      <c r="CD1" s="2" t="s">
        <v>788</v>
      </c>
      <c r="CN1" s="2" t="s">
        <v>789</v>
      </c>
      <c r="CX1" s="2" t="s">
        <v>790</v>
      </c>
    </row>
    <row r="3" spans="1:111" s="3" customFormat="1" ht="15">
      <c r="B3" s="3" t="s">
        <v>321</v>
      </c>
      <c r="L3" s="3" t="s">
        <v>370</v>
      </c>
      <c r="V3" s="3" t="s">
        <v>371</v>
      </c>
      <c r="AF3" s="3" t="s">
        <v>372</v>
      </c>
      <c r="AP3" s="3" t="s">
        <v>373</v>
      </c>
      <c r="AZ3" s="3" t="s">
        <v>374</v>
      </c>
      <c r="BJ3" s="3" t="s">
        <v>375</v>
      </c>
      <c r="BT3" s="3" t="s">
        <v>376</v>
      </c>
      <c r="CD3" s="3" t="s">
        <v>377</v>
      </c>
      <c r="CN3" s="3" t="s">
        <v>378</v>
      </c>
      <c r="CX3" s="3" t="s">
        <v>379</v>
      </c>
    </row>
    <row r="4" spans="1:111" s="4" customFormat="1" ht="51">
      <c r="B4" s="4" t="s">
        <v>607</v>
      </c>
      <c r="C4" s="4" t="s">
        <v>608</v>
      </c>
      <c r="D4" s="4" t="s">
        <v>609</v>
      </c>
      <c r="E4" s="4" t="s">
        <v>610</v>
      </c>
      <c r="F4" s="4" t="s">
        <v>611</v>
      </c>
      <c r="G4" s="4" t="s">
        <v>670</v>
      </c>
      <c r="H4" s="4" t="s">
        <v>612</v>
      </c>
      <c r="I4" s="4" t="s">
        <v>479</v>
      </c>
      <c r="J4" s="4" t="s">
        <v>391</v>
      </c>
      <c r="K4" s="4" t="s">
        <v>392</v>
      </c>
      <c r="L4" s="4" t="s">
        <v>607</v>
      </c>
      <c r="M4" s="4" t="s">
        <v>608</v>
      </c>
      <c r="N4" s="4" t="s">
        <v>609</v>
      </c>
      <c r="O4" s="4" t="s">
        <v>610</v>
      </c>
      <c r="P4" s="4" t="s">
        <v>611</v>
      </c>
      <c r="Q4" s="4" t="s">
        <v>670</v>
      </c>
      <c r="R4" s="4" t="s">
        <v>612</v>
      </c>
      <c r="S4" s="4" t="s">
        <v>479</v>
      </c>
      <c r="T4" s="4" t="s">
        <v>391</v>
      </c>
      <c r="U4" s="4" t="s">
        <v>392</v>
      </c>
      <c r="V4" s="4" t="s">
        <v>607</v>
      </c>
      <c r="W4" s="4" t="s">
        <v>608</v>
      </c>
      <c r="X4" s="4" t="s">
        <v>609</v>
      </c>
      <c r="Y4" s="4" t="s">
        <v>610</v>
      </c>
      <c r="Z4" s="4" t="s">
        <v>611</v>
      </c>
      <c r="AA4" s="4" t="s">
        <v>670</v>
      </c>
      <c r="AB4" s="4" t="s">
        <v>612</v>
      </c>
      <c r="AC4" s="4" t="s">
        <v>479</v>
      </c>
      <c r="AD4" s="4" t="s">
        <v>391</v>
      </c>
      <c r="AE4" s="4" t="s">
        <v>392</v>
      </c>
      <c r="AF4" s="4" t="s">
        <v>607</v>
      </c>
      <c r="AG4" s="4" t="s">
        <v>608</v>
      </c>
      <c r="AH4" s="4" t="s">
        <v>609</v>
      </c>
      <c r="AI4" s="4" t="s">
        <v>610</v>
      </c>
      <c r="AJ4" s="4" t="s">
        <v>611</v>
      </c>
      <c r="AK4" s="4" t="s">
        <v>670</v>
      </c>
      <c r="AL4" s="4" t="s">
        <v>612</v>
      </c>
      <c r="AM4" s="4" t="s">
        <v>479</v>
      </c>
      <c r="AN4" s="4" t="s">
        <v>391</v>
      </c>
      <c r="AO4" s="4" t="s">
        <v>392</v>
      </c>
      <c r="AP4" s="4" t="s">
        <v>607</v>
      </c>
      <c r="AQ4" s="4" t="s">
        <v>608</v>
      </c>
      <c r="AR4" s="4" t="s">
        <v>609</v>
      </c>
      <c r="AS4" s="4" t="s">
        <v>610</v>
      </c>
      <c r="AT4" s="4" t="s">
        <v>611</v>
      </c>
      <c r="AU4" s="4" t="s">
        <v>670</v>
      </c>
      <c r="AV4" s="4" t="s">
        <v>612</v>
      </c>
      <c r="AW4" s="4" t="s">
        <v>479</v>
      </c>
      <c r="AX4" s="4" t="s">
        <v>391</v>
      </c>
      <c r="AY4" s="4" t="s">
        <v>392</v>
      </c>
      <c r="AZ4" s="4" t="s">
        <v>607</v>
      </c>
      <c r="BA4" s="4" t="s">
        <v>608</v>
      </c>
      <c r="BB4" s="4" t="s">
        <v>609</v>
      </c>
      <c r="BC4" s="4" t="s">
        <v>610</v>
      </c>
      <c r="BD4" s="4" t="s">
        <v>611</v>
      </c>
      <c r="BE4" s="4" t="s">
        <v>670</v>
      </c>
      <c r="BF4" s="4" t="s">
        <v>612</v>
      </c>
      <c r="BG4" s="4" t="s">
        <v>479</v>
      </c>
      <c r="BH4" s="4" t="s">
        <v>391</v>
      </c>
      <c r="BI4" s="4" t="s">
        <v>392</v>
      </c>
      <c r="BJ4" s="4" t="s">
        <v>607</v>
      </c>
      <c r="BK4" s="4" t="s">
        <v>608</v>
      </c>
      <c r="BL4" s="4" t="s">
        <v>609</v>
      </c>
      <c r="BM4" s="4" t="s">
        <v>610</v>
      </c>
      <c r="BN4" s="4" t="s">
        <v>611</v>
      </c>
      <c r="BO4" s="4" t="s">
        <v>670</v>
      </c>
      <c r="BP4" s="4" t="s">
        <v>612</v>
      </c>
      <c r="BQ4" s="4" t="s">
        <v>479</v>
      </c>
      <c r="BR4" s="4" t="s">
        <v>391</v>
      </c>
      <c r="BS4" s="4" t="s">
        <v>392</v>
      </c>
      <c r="BT4" s="4" t="s">
        <v>607</v>
      </c>
      <c r="BU4" s="4" t="s">
        <v>608</v>
      </c>
      <c r="BV4" s="4" t="s">
        <v>609</v>
      </c>
      <c r="BW4" s="4" t="s">
        <v>610</v>
      </c>
      <c r="BX4" s="4" t="s">
        <v>611</v>
      </c>
      <c r="BY4" s="4" t="s">
        <v>670</v>
      </c>
      <c r="BZ4" s="4" t="s">
        <v>612</v>
      </c>
      <c r="CA4" s="4" t="s">
        <v>479</v>
      </c>
      <c r="CB4" s="4" t="s">
        <v>391</v>
      </c>
      <c r="CC4" s="4" t="s">
        <v>392</v>
      </c>
      <c r="CD4" s="4" t="s">
        <v>607</v>
      </c>
      <c r="CE4" s="4" t="s">
        <v>608</v>
      </c>
      <c r="CF4" s="4" t="s">
        <v>609</v>
      </c>
      <c r="CG4" s="4" t="s">
        <v>610</v>
      </c>
      <c r="CH4" s="4" t="s">
        <v>611</v>
      </c>
      <c r="CI4" s="4" t="s">
        <v>670</v>
      </c>
      <c r="CJ4" s="4" t="s">
        <v>612</v>
      </c>
      <c r="CK4" s="4" t="s">
        <v>479</v>
      </c>
      <c r="CL4" s="4" t="s">
        <v>391</v>
      </c>
      <c r="CM4" s="4" t="s">
        <v>392</v>
      </c>
      <c r="CN4" s="4" t="s">
        <v>607</v>
      </c>
      <c r="CO4" s="4" t="s">
        <v>608</v>
      </c>
      <c r="CP4" s="4" t="s">
        <v>609</v>
      </c>
      <c r="CQ4" s="4" t="s">
        <v>610</v>
      </c>
      <c r="CR4" s="4" t="s">
        <v>611</v>
      </c>
      <c r="CS4" s="4" t="s">
        <v>670</v>
      </c>
      <c r="CT4" s="4" t="s">
        <v>612</v>
      </c>
      <c r="CU4" s="4" t="s">
        <v>479</v>
      </c>
      <c r="CV4" s="4" t="s">
        <v>391</v>
      </c>
      <c r="CW4" s="4" t="s">
        <v>392</v>
      </c>
      <c r="CX4" s="4" t="s">
        <v>607</v>
      </c>
      <c r="CY4" s="4" t="s">
        <v>608</v>
      </c>
      <c r="CZ4" s="4" t="s">
        <v>609</v>
      </c>
      <c r="DA4" s="4" t="s">
        <v>610</v>
      </c>
      <c r="DB4" s="4" t="s">
        <v>611</v>
      </c>
      <c r="DC4" s="4" t="s">
        <v>670</v>
      </c>
      <c r="DD4" s="4" t="s">
        <v>612</v>
      </c>
      <c r="DE4" s="4" t="s">
        <v>479</v>
      </c>
      <c r="DF4" s="4" t="s">
        <v>391</v>
      </c>
      <c r="DG4" s="4" t="s">
        <v>392</v>
      </c>
    </row>
    <row r="5" spans="1:111" s="4" customFormat="1"/>
    <row r="6" spans="1:111" s="4" customFormat="1" ht="18" customHeight="1">
      <c r="B6" s="4" t="s">
        <v>105</v>
      </c>
      <c r="C6" s="4" t="s">
        <v>106</v>
      </c>
      <c r="D6" s="4" t="s">
        <v>107</v>
      </c>
      <c r="E6" s="4" t="s">
        <v>108</v>
      </c>
      <c r="F6" s="4" t="s">
        <v>109</v>
      </c>
      <c r="G6" s="4" t="s">
        <v>110</v>
      </c>
      <c r="H6" s="4" t="s">
        <v>671</v>
      </c>
      <c r="I6" s="4" t="s">
        <v>187</v>
      </c>
      <c r="J6" s="4" t="s">
        <v>672</v>
      </c>
      <c r="K6" s="4" t="s">
        <v>673</v>
      </c>
      <c r="L6" s="4" t="s">
        <v>105</v>
      </c>
      <c r="M6" s="4" t="s">
        <v>106</v>
      </c>
      <c r="N6" s="4" t="s">
        <v>107</v>
      </c>
      <c r="O6" s="4" t="s">
        <v>108</v>
      </c>
      <c r="P6" s="4" t="s">
        <v>109</v>
      </c>
      <c r="Q6" s="4" t="s">
        <v>110</v>
      </c>
      <c r="R6" s="4" t="s">
        <v>671</v>
      </c>
      <c r="S6" s="4" t="s">
        <v>187</v>
      </c>
      <c r="T6" s="4" t="s">
        <v>672</v>
      </c>
      <c r="U6" s="4" t="s">
        <v>673</v>
      </c>
      <c r="V6" s="4" t="s">
        <v>105</v>
      </c>
      <c r="W6" s="4" t="s">
        <v>106</v>
      </c>
      <c r="X6" s="4" t="s">
        <v>107</v>
      </c>
      <c r="Y6" s="4" t="s">
        <v>108</v>
      </c>
      <c r="Z6" s="4" t="s">
        <v>109</v>
      </c>
      <c r="AA6" s="4" t="s">
        <v>110</v>
      </c>
      <c r="AB6" s="4" t="s">
        <v>671</v>
      </c>
      <c r="AC6" s="4" t="s">
        <v>187</v>
      </c>
      <c r="AD6" s="4" t="s">
        <v>672</v>
      </c>
      <c r="AE6" s="4" t="s">
        <v>673</v>
      </c>
      <c r="AF6" s="4" t="s">
        <v>105</v>
      </c>
      <c r="AG6" s="4" t="s">
        <v>106</v>
      </c>
      <c r="AH6" s="4" t="s">
        <v>107</v>
      </c>
      <c r="AI6" s="4" t="s">
        <v>108</v>
      </c>
      <c r="AJ6" s="4" t="s">
        <v>109</v>
      </c>
      <c r="AK6" s="4" t="s">
        <v>110</v>
      </c>
      <c r="AL6" s="4" t="s">
        <v>671</v>
      </c>
      <c r="AM6" s="4" t="s">
        <v>187</v>
      </c>
      <c r="AN6" s="4" t="s">
        <v>672</v>
      </c>
      <c r="AO6" s="4" t="s">
        <v>673</v>
      </c>
      <c r="AP6" s="4" t="s">
        <v>105</v>
      </c>
      <c r="AQ6" s="4" t="s">
        <v>106</v>
      </c>
      <c r="AR6" s="4" t="s">
        <v>107</v>
      </c>
      <c r="AS6" s="4" t="s">
        <v>108</v>
      </c>
      <c r="AT6" s="4" t="s">
        <v>109</v>
      </c>
      <c r="AU6" s="4" t="s">
        <v>110</v>
      </c>
      <c r="AV6" s="4" t="s">
        <v>671</v>
      </c>
      <c r="AW6" s="4" t="s">
        <v>187</v>
      </c>
      <c r="AX6" s="4" t="s">
        <v>672</v>
      </c>
      <c r="AY6" s="4" t="s">
        <v>673</v>
      </c>
      <c r="AZ6" s="4" t="s">
        <v>105</v>
      </c>
      <c r="BA6" s="4" t="s">
        <v>106</v>
      </c>
      <c r="BB6" s="4" t="s">
        <v>107</v>
      </c>
      <c r="BC6" s="4" t="s">
        <v>108</v>
      </c>
      <c r="BD6" s="4" t="s">
        <v>109</v>
      </c>
      <c r="BE6" s="4" t="s">
        <v>110</v>
      </c>
      <c r="BF6" s="4" t="s">
        <v>671</v>
      </c>
      <c r="BG6" s="4" t="s">
        <v>187</v>
      </c>
      <c r="BH6" s="4" t="s">
        <v>672</v>
      </c>
      <c r="BI6" s="4" t="s">
        <v>673</v>
      </c>
      <c r="BJ6" s="4" t="s">
        <v>105</v>
      </c>
      <c r="BK6" s="4" t="s">
        <v>106</v>
      </c>
      <c r="BL6" s="4" t="s">
        <v>107</v>
      </c>
      <c r="BM6" s="4" t="s">
        <v>108</v>
      </c>
      <c r="BN6" s="4" t="s">
        <v>109</v>
      </c>
      <c r="BO6" s="4" t="s">
        <v>110</v>
      </c>
      <c r="BP6" s="4" t="s">
        <v>671</v>
      </c>
      <c r="BQ6" s="4" t="s">
        <v>187</v>
      </c>
      <c r="BR6" s="4" t="s">
        <v>672</v>
      </c>
      <c r="BS6" s="4" t="s">
        <v>673</v>
      </c>
      <c r="BT6" s="4" t="s">
        <v>105</v>
      </c>
      <c r="BU6" s="4" t="s">
        <v>106</v>
      </c>
      <c r="BV6" s="4" t="s">
        <v>107</v>
      </c>
      <c r="BW6" s="4" t="s">
        <v>108</v>
      </c>
      <c r="BX6" s="4" t="s">
        <v>109</v>
      </c>
      <c r="BY6" s="4" t="s">
        <v>110</v>
      </c>
      <c r="BZ6" s="4" t="s">
        <v>671</v>
      </c>
      <c r="CA6" s="4" t="s">
        <v>187</v>
      </c>
      <c r="CB6" s="4" t="s">
        <v>672</v>
      </c>
      <c r="CC6" s="4" t="s">
        <v>673</v>
      </c>
      <c r="CD6" s="4" t="s">
        <v>105</v>
      </c>
      <c r="CE6" s="4" t="s">
        <v>106</v>
      </c>
      <c r="CF6" s="4" t="s">
        <v>107</v>
      </c>
      <c r="CG6" s="4" t="s">
        <v>108</v>
      </c>
      <c r="CH6" s="4" t="s">
        <v>109</v>
      </c>
      <c r="CI6" s="4" t="s">
        <v>110</v>
      </c>
      <c r="CJ6" s="4" t="s">
        <v>671</v>
      </c>
      <c r="CK6" s="4" t="s">
        <v>187</v>
      </c>
      <c r="CL6" s="4" t="s">
        <v>672</v>
      </c>
      <c r="CM6" s="4" t="s">
        <v>673</v>
      </c>
      <c r="CN6" s="4" t="s">
        <v>105</v>
      </c>
      <c r="CO6" s="4" t="s">
        <v>106</v>
      </c>
      <c r="CP6" s="4" t="s">
        <v>107</v>
      </c>
      <c r="CQ6" s="4" t="s">
        <v>108</v>
      </c>
      <c r="CR6" s="4" t="s">
        <v>109</v>
      </c>
      <c r="CS6" s="4" t="s">
        <v>110</v>
      </c>
      <c r="CT6" s="4" t="s">
        <v>671</v>
      </c>
      <c r="CU6" s="4" t="s">
        <v>187</v>
      </c>
      <c r="CV6" s="4" t="s">
        <v>672</v>
      </c>
      <c r="CW6" s="4" t="s">
        <v>673</v>
      </c>
      <c r="CX6" s="4" t="s">
        <v>105</v>
      </c>
      <c r="CY6" s="4" t="s">
        <v>106</v>
      </c>
      <c r="CZ6" s="4" t="s">
        <v>107</v>
      </c>
      <c r="DA6" s="4" t="s">
        <v>108</v>
      </c>
      <c r="DB6" s="4" t="s">
        <v>109</v>
      </c>
      <c r="DC6" s="4" t="s">
        <v>110</v>
      </c>
      <c r="DD6" s="4" t="s">
        <v>671</v>
      </c>
      <c r="DE6" s="4" t="s">
        <v>187</v>
      </c>
      <c r="DF6" s="4" t="s">
        <v>672</v>
      </c>
      <c r="DG6" s="4" t="s">
        <v>673</v>
      </c>
    </row>
    <row r="7" spans="1:111" s="4" customFormat="1" hidden="1"/>
    <row r="8" spans="1:111" hidden="1">
      <c r="A8" s="1">
        <v>1971</v>
      </c>
      <c r="B8" s="7">
        <f>'a7'!D8</f>
        <v>39691.099475676929</v>
      </c>
      <c r="C8" s="7">
        <f>'a8'!G8</f>
        <v>258.35378598675021</v>
      </c>
      <c r="D8" s="7">
        <f>'a13'!G8</f>
        <v>21829.025118051853</v>
      </c>
      <c r="E8" s="7">
        <f>'a16'!D8</f>
        <v>-6486.7910903319143</v>
      </c>
      <c r="F8" s="7">
        <f>'a15'!R7</f>
        <v>67969.068646320549</v>
      </c>
      <c r="G8" s="7">
        <f>'a9'!E6</f>
        <v>643.66907577440884</v>
      </c>
      <c r="H8" s="7">
        <f>SUM(B8:F8)-G8</f>
        <v>122617.08685992975</v>
      </c>
      <c r="I8" s="114">
        <f t="shared" ref="I8:I17" si="0">(H8-D$62)/D$63</f>
        <v>0.18222616585167906</v>
      </c>
      <c r="J8" s="9">
        <f>LN(H8)</f>
        <v>11.716821663571816</v>
      </c>
      <c r="K8" s="114">
        <f>(J8-$H$62)/$H$63</f>
        <v>0.27402070198874739</v>
      </c>
      <c r="L8" s="7">
        <f>'a7'!G8</f>
        <v>33104.265014486082</v>
      </c>
      <c r="M8" s="7">
        <f>'a8'!M8</f>
        <v>45.766901356836264</v>
      </c>
      <c r="N8" s="7">
        <f>'a13'!K8</f>
        <v>16902.371975543901</v>
      </c>
      <c r="O8" s="7">
        <f>'a16'!H8</f>
        <v>-3654.9145830073207</v>
      </c>
      <c r="P8" s="7">
        <f>'a15'!AI7</f>
        <v>60847.225459088178</v>
      </c>
      <c r="Q8" s="7">
        <f>'a9'!I6</f>
        <v>459.39016320759976</v>
      </c>
      <c r="R8" s="7">
        <f>SUM(L8:P8)-Q8</f>
        <v>106785.32460426008</v>
      </c>
      <c r="S8" s="114">
        <f t="shared" ref="S8:S17" si="1">(R8-D$62)/D$63</f>
        <v>0.13783193796692461</v>
      </c>
      <c r="T8" s="9">
        <f>LN(R8)</f>
        <v>11.578575785994131</v>
      </c>
      <c r="U8" s="44">
        <f>(T8-$H$62)/$H$63</f>
        <v>0.19628988799083394</v>
      </c>
      <c r="V8" s="7">
        <f>'a7'!J8</f>
        <v>23221.682905383201</v>
      </c>
      <c r="W8" s="7">
        <f>'a8'!S8</f>
        <v>54.374112113706587</v>
      </c>
      <c r="X8" s="7">
        <f>'a13'!O8</f>
        <v>612.28171567799211</v>
      </c>
      <c r="Y8" s="7">
        <f>'a16'!L8</f>
        <v>-3494.7637065853551</v>
      </c>
      <c r="Z8" s="7">
        <f>'a15'!AZ7</f>
        <v>61144.24986207232</v>
      </c>
      <c r="AA8" s="7">
        <f>'a9'!M6</f>
        <v>445.25545696517167</v>
      </c>
      <c r="AB8" s="7">
        <f>SUM(V8:Z8)-AA8</f>
        <v>81092.569431696698</v>
      </c>
      <c r="AC8" s="114">
        <f t="shared" ref="AC8:AC17" si="2">(AB8-D$62)/D$63</f>
        <v>6.5786261073974367E-2</v>
      </c>
      <c r="AD8" s="9">
        <f>LN(AB8)</f>
        <v>11.303346613608721</v>
      </c>
      <c r="AE8" s="44">
        <f>(AD8-$H$62)/$H$63</f>
        <v>4.1538166056354214E-2</v>
      </c>
      <c r="AF8" s="7">
        <f>'a7'!M8</f>
        <v>30811.010492992547</v>
      </c>
      <c r="AG8" s="7">
        <f>'a8'!Y8</f>
        <v>139.19997324850544</v>
      </c>
      <c r="AH8" s="7">
        <f>'a13'!S8</f>
        <v>10855.235708967644</v>
      </c>
      <c r="AI8" s="7">
        <f>'a16'!P8</f>
        <v>-4728.5091641810868</v>
      </c>
      <c r="AJ8" s="7">
        <f>'a15'!BQ7</f>
        <v>60266.914860630073</v>
      </c>
      <c r="AK8" s="7">
        <f>'a9'!Q6</f>
        <v>578.69827084184749</v>
      </c>
      <c r="AL8" s="7">
        <f>SUM(AF8:AJ8)-AK8</f>
        <v>96765.153600815829</v>
      </c>
      <c r="AM8" s="114">
        <f t="shared" ref="AM8:AM17" si="3">(AL8-D$62)/D$63</f>
        <v>0.10973413383196122</v>
      </c>
      <c r="AN8" s="9">
        <f>LN(AL8)</f>
        <v>11.480042224992422</v>
      </c>
      <c r="AO8" s="44">
        <f>(AN8-$H$62)/$H$63</f>
        <v>0.14088791842055143</v>
      </c>
      <c r="AP8" s="7">
        <f>'a7'!P8</f>
        <v>28577.012036340941</v>
      </c>
      <c r="AQ8" s="7">
        <f>'a8'!AE8</f>
        <v>612.05086539274521</v>
      </c>
      <c r="AR8" s="7">
        <f>'a13'!W8</f>
        <v>13030.838159852512</v>
      </c>
      <c r="AS8" s="7">
        <f>'a16'!T8</f>
        <v>-4301.3945081587817</v>
      </c>
      <c r="AT8" s="7">
        <f>'a15'!CH7</f>
        <v>62400.491236952999</v>
      </c>
      <c r="AU8" s="7">
        <f>'a9'!U6</f>
        <v>577.73485658080199</v>
      </c>
      <c r="AV8" s="7">
        <f>SUM(AP8:AT8)-AU8</f>
        <v>99741.262933799604</v>
      </c>
      <c r="AW8" s="114">
        <f t="shared" ref="AW8:AW17" si="4">(AV8-D$62)/D$63</f>
        <v>0.11807951407484041</v>
      </c>
      <c r="AX8" s="9">
        <f>LN(AV8)</f>
        <v>11.51033474127982</v>
      </c>
      <c r="AY8" s="44">
        <f>(AX8-$H$62)/$H$63</f>
        <v>0.15792033913589126</v>
      </c>
      <c r="AZ8" s="7">
        <f>'a7'!S8</f>
        <v>34776.762667001232</v>
      </c>
      <c r="BA8" s="7">
        <f>'a8'!AK8</f>
        <v>127.73394043607379</v>
      </c>
      <c r="BB8" s="7">
        <f>'a13'!AA8</f>
        <v>8249.6634797210372</v>
      </c>
      <c r="BC8" s="7">
        <f>'a16'!X8</f>
        <v>-5097.3077704670141</v>
      </c>
      <c r="BD8" s="7">
        <f>'a15'!CY7</f>
        <v>76197.151657512586</v>
      </c>
      <c r="BE8" s="7">
        <f>'a9'!Y6</f>
        <v>326.48566300111048</v>
      </c>
      <c r="BF8" s="7">
        <f>SUM(AZ8:BD8)-BE8</f>
        <v>113927.51831120282</v>
      </c>
      <c r="BG8" s="114">
        <f t="shared" ref="BG8:BG17" si="5">(BF8-D$62)/D$63</f>
        <v>0.15785953627863655</v>
      </c>
      <c r="BH8" s="9">
        <f>LN(BF8)</f>
        <v>11.643317720879677</v>
      </c>
      <c r="BI8" s="44">
        <f>(BH8-$H$62)/$H$63</f>
        <v>0.23269200996821837</v>
      </c>
      <c r="BJ8" s="7">
        <f>'a7'!V8</f>
        <v>42082.494161378214</v>
      </c>
      <c r="BK8" s="7">
        <f>'a8'!AQ8</f>
        <v>157.96772113880084</v>
      </c>
      <c r="BL8" s="7">
        <f>'a13'!AE8</f>
        <v>9122.4031946409377</v>
      </c>
      <c r="BM8" s="7">
        <f>'a16'!AB8</f>
        <v>-6453.7855023885204</v>
      </c>
      <c r="BN8" s="7">
        <f>'a15'!DP7</f>
        <v>70190.348609166482</v>
      </c>
      <c r="BO8" s="7">
        <f>'a9'!AC6</f>
        <v>518.13430385497293</v>
      </c>
      <c r="BP8" s="7">
        <f>SUM(BJ8:BN8)-BO8</f>
        <v>114581.29388008095</v>
      </c>
      <c r="BQ8" s="114">
        <f t="shared" ref="BQ8:BQ17" si="6">(BP8-D$62)/D$63</f>
        <v>0.15969280418157433</v>
      </c>
      <c r="BR8" s="9">
        <f>LN(BP8)</f>
        <v>11.649039840271659</v>
      </c>
      <c r="BS8" s="44">
        <f>(BR8-$H$62)/$H$63</f>
        <v>0.23590935724775663</v>
      </c>
      <c r="BT8" s="7">
        <f>'a7'!Y8</f>
        <v>39424.940633271799</v>
      </c>
      <c r="BU8" s="7">
        <f>'a8'!AW8</f>
        <v>89.358479470291627</v>
      </c>
      <c r="BV8" s="7">
        <f>'a13'!AI8</f>
        <v>10908.893752094553</v>
      </c>
      <c r="BW8" s="7">
        <f>'a16'!AF8</f>
        <v>-5199.9703464228669</v>
      </c>
      <c r="BX8" s="7">
        <f>'a15'!EG7</f>
        <v>89894.993179174417</v>
      </c>
      <c r="BY8" s="7">
        <f>'a9'!AG6</f>
        <v>431.07713379794376</v>
      </c>
      <c r="BZ8" s="7">
        <f>SUM(BT8:BX8)-BY8</f>
        <v>134687.13856379024</v>
      </c>
      <c r="CA8" s="114">
        <f t="shared" ref="CA8:CA17" si="7">(BZ8-D$62)/D$63</f>
        <v>0.21607209009362854</v>
      </c>
      <c r="CB8" s="9">
        <f>LN(BZ8)</f>
        <v>11.810709875759501</v>
      </c>
      <c r="CC8" s="44">
        <f>(CB8-$H$62)/$H$63</f>
        <v>0.32681075465456128</v>
      </c>
      <c r="CD8" s="7">
        <f>'a7'!AB8</f>
        <v>41155.186912979945</v>
      </c>
      <c r="CE8" s="7">
        <f>'a8'!BC8</f>
        <v>81.694849351382814</v>
      </c>
      <c r="CF8" s="7">
        <f>'a13'!AM8</f>
        <v>42972.303444652731</v>
      </c>
      <c r="CG8" s="7">
        <f>'a16'!AJ8</f>
        <v>-5197.8534638549527</v>
      </c>
      <c r="CH8" s="7">
        <f>'a15'!EX7</f>
        <v>89159.989093748372</v>
      </c>
      <c r="CI8" s="7">
        <f>'a9'!AK6</f>
        <v>1210.3966920171972</v>
      </c>
      <c r="CJ8" s="7">
        <f>SUM(CD8:CH8)-CI8</f>
        <v>166960.92414486027</v>
      </c>
      <c r="CK8" s="114">
        <f t="shared" ref="CK8:CK17" si="8">(CJ8-D$62)/D$63</f>
        <v>0.30657179370537407</v>
      </c>
      <c r="CL8" s="9">
        <f>LN(CJ8)</f>
        <v>12.025515076863101</v>
      </c>
      <c r="CM8" s="44">
        <f>(CL8-$H$62)/$H$63</f>
        <v>0.44758819428118407</v>
      </c>
      <c r="CN8" s="7">
        <f>'a7'!AE8</f>
        <v>52462.961055209256</v>
      </c>
      <c r="CO8" s="7">
        <f>'a8'!BI8</f>
        <v>223.02811223770476</v>
      </c>
      <c r="CP8" s="7">
        <f>'a13'!AQ8</f>
        <v>38467.073856593131</v>
      </c>
      <c r="CQ8" s="7">
        <f>'a16'!AN8</f>
        <v>-10409.234235178967</v>
      </c>
      <c r="CR8" s="7">
        <f>'a15'!FO7</f>
        <v>65734.519287587027</v>
      </c>
      <c r="CS8" s="7">
        <f>'a9'!AO6</f>
        <v>2688.1897109329211</v>
      </c>
      <c r="CT8" s="7">
        <f>SUM(CN8:CR8)-CS8</f>
        <v>143790.15836551521</v>
      </c>
      <c r="CU8" s="114">
        <f t="shared" ref="CU8:CU17" si="9">(CT8-D$62)/D$63</f>
        <v>0.2415980883363375</v>
      </c>
      <c r="CV8" s="9">
        <f>LN(CT8)</f>
        <v>11.876110282187863</v>
      </c>
      <c r="CW8" s="44">
        <f>(CV8-$H$62)/$H$63</f>
        <v>0.36358311211320782</v>
      </c>
      <c r="CX8" s="7">
        <f>'a7'!AH8</f>
        <v>41860.547876115284</v>
      </c>
      <c r="CY8" s="7">
        <f>'a8'!BO8</f>
        <v>84.320924603043508</v>
      </c>
      <c r="CZ8" s="7">
        <f>'a13'!AU8</f>
        <v>38111.865942108903</v>
      </c>
      <c r="DA8" s="7">
        <f>'a16'!AR8</f>
        <v>-6917.1342903224104</v>
      </c>
      <c r="DB8" s="7">
        <f>'a15'!GF7</f>
        <v>81017.462995791662</v>
      </c>
      <c r="DC8" s="7">
        <f>'a9'!AS6</f>
        <v>564.44385225656288</v>
      </c>
      <c r="DD8" s="7">
        <f>SUM(CX8:DB8)-DC8</f>
        <v>153592.61959603991</v>
      </c>
      <c r="DE8" s="44">
        <f t="shared" ref="DE8:DE17" si="10">(DD8-D$62)/D$63</f>
        <v>0.26908540722552432</v>
      </c>
      <c r="DF8" s="9">
        <f>LN(DD8)</f>
        <v>11.942059049036345</v>
      </c>
      <c r="DG8" s="44">
        <f>(DF8-$H$62)/$H$63</f>
        <v>0.40066379342618608</v>
      </c>
    </row>
    <row r="9" spans="1:111" hidden="1">
      <c r="A9" s="1">
        <v>1972</v>
      </c>
      <c r="B9" s="7">
        <f>'a7'!D9</f>
        <v>40944.963483747735</v>
      </c>
      <c r="C9" s="7">
        <f>'a8'!G9</f>
        <v>461.47554239783494</v>
      </c>
      <c r="D9" s="7">
        <f>'a13'!G9</f>
        <v>20701.622432880391</v>
      </c>
      <c r="E9" s="7">
        <f>'a16'!D9</f>
        <v>-6543.6033588443061</v>
      </c>
      <c r="F9" s="7">
        <f>'a15'!R8</f>
        <v>68519.681103184324</v>
      </c>
      <c r="G9" s="7">
        <f>'a9'!E7</f>
        <v>669.08431429921427</v>
      </c>
      <c r="H9" s="7">
        <f t="shared" ref="H9:H44" si="11">SUM(B9:F9)-G9</f>
        <v>123415.05488906677</v>
      </c>
      <c r="I9" s="114">
        <f t="shared" si="0"/>
        <v>0.18446376732384434</v>
      </c>
      <c r="J9" s="9">
        <f t="shared" ref="J9:J40" si="12">LN(H9)</f>
        <v>11.723308383733714</v>
      </c>
      <c r="K9" s="114">
        <f t="shared" ref="K9:K44" si="13">(J9-$H$62)/$H$63</f>
        <v>0.27766795749607875</v>
      </c>
      <c r="L9" s="7">
        <f>'a7'!G9</f>
        <v>34933.33778499937</v>
      </c>
      <c r="M9" s="7">
        <f>'a8'!M9</f>
        <v>87.271081097813834</v>
      </c>
      <c r="N9" s="7">
        <f>'a13'!K9</f>
        <v>15464.770838117382</v>
      </c>
      <c r="O9" s="7">
        <f>'a16'!H9</f>
        <v>-3697.0009470188484</v>
      </c>
      <c r="P9" s="7">
        <f>'a15'!AI8</f>
        <v>60877.302367187243</v>
      </c>
      <c r="Q9" s="7">
        <f>'a9'!I7</f>
        <v>475.69415672184061</v>
      </c>
      <c r="R9" s="7">
        <f t="shared" ref="R9:R44" si="14">SUM(L9:P9)-Q9</f>
        <v>107189.98696766113</v>
      </c>
      <c r="S9" s="114">
        <f t="shared" si="1"/>
        <v>0.13896666149846171</v>
      </c>
      <c r="T9" s="9">
        <f t="shared" ref="T9:T40" si="15">LN(R9)</f>
        <v>11.58235811810389</v>
      </c>
      <c r="U9" s="44">
        <f t="shared" ref="U9:U44" si="16">(T9-$H$62)/$H$63</f>
        <v>0.198416560835287</v>
      </c>
      <c r="V9" s="7">
        <f>'a7'!J9</f>
        <v>23965.651330865505</v>
      </c>
      <c r="W9" s="7">
        <f>'a8'!S9</f>
        <v>102.13190027667989</v>
      </c>
      <c r="X9" s="7">
        <f>'a13'!O9</f>
        <v>578.03365750437331</v>
      </c>
      <c r="Y9" s="7">
        <f>'a16'!L9</f>
        <v>-3569.7586343509593</v>
      </c>
      <c r="Z9" s="7">
        <f>'a15'!AZ8</f>
        <v>61168.378448444608</v>
      </c>
      <c r="AA9" s="7">
        <f>'a9'!M7</f>
        <v>464.65417599713118</v>
      </c>
      <c r="AB9" s="7">
        <f t="shared" ref="AB9:AB43" si="17">SUM(V9:Z9)-AA9</f>
        <v>81779.782526743074</v>
      </c>
      <c r="AC9" s="114">
        <f t="shared" si="2"/>
        <v>6.7713291953682697E-2</v>
      </c>
      <c r="AD9" s="9">
        <f t="shared" ref="AD9:AD40" si="18">LN(AB9)</f>
        <v>11.311785334667642</v>
      </c>
      <c r="AE9" s="44">
        <f t="shared" ref="AE9:AE44" si="19">(AD9-$H$62)/$H$63</f>
        <v>4.6282963286511491E-2</v>
      </c>
      <c r="AF9" s="7">
        <f>'a7'!M9</f>
        <v>31803.609575509035</v>
      </c>
      <c r="AG9" s="7">
        <f>'a8'!Y9</f>
        <v>262.07401562369739</v>
      </c>
      <c r="AH9" s="7">
        <f>'a13'!S9</f>
        <v>10319.414025429549</v>
      </c>
      <c r="AI9" s="7">
        <f>'a16'!P9</f>
        <v>-4819.8412252903918</v>
      </c>
      <c r="AJ9" s="7">
        <f>'a15'!BQ8</f>
        <v>60296.281045336094</v>
      </c>
      <c r="AK9" s="7">
        <f>'a9'!Q7</f>
        <v>604.80858156774229</v>
      </c>
      <c r="AL9" s="7">
        <f t="shared" ref="AL9:AL43" si="20">SUM(AF9:AJ9)-AK9</f>
        <v>97256.728855040245</v>
      </c>
      <c r="AM9" s="114">
        <f t="shared" si="3"/>
        <v>0.11111257190512831</v>
      </c>
      <c r="AN9" s="9">
        <f t="shared" ref="AN9:AN40" si="21">LN(AL9)</f>
        <v>11.485109450398552</v>
      </c>
      <c r="AO9" s="44">
        <f t="shared" ref="AO9:AO44" si="22">(AN9-$H$62)/$H$63</f>
        <v>0.14373704175378091</v>
      </c>
      <c r="AP9" s="7">
        <f>'a7'!P9</f>
        <v>29266.623713525154</v>
      </c>
      <c r="AQ9" s="7">
        <f>'a8'!AE9</f>
        <v>1031.1851451706002</v>
      </c>
      <c r="AR9" s="7">
        <f>'a13'!W9</f>
        <v>11993.008148496132</v>
      </c>
      <c r="AS9" s="7">
        <f>'a16'!T9</f>
        <v>-4354.2107963586814</v>
      </c>
      <c r="AT9" s="7">
        <f>'a15'!CH8</f>
        <v>62407.303680808312</v>
      </c>
      <c r="AU9" s="7">
        <f>'a9'!U7</f>
        <v>601.66078586326148</v>
      </c>
      <c r="AV9" s="7">
        <f t="shared" ref="AV9:AV43" si="23">SUM(AP9:AT9)-AU9</f>
        <v>99742.249105778261</v>
      </c>
      <c r="AW9" s="114">
        <f t="shared" si="4"/>
        <v>0.11808227942356452</v>
      </c>
      <c r="AX9" s="9">
        <f t="shared" ref="AX9:AX40" si="24">LN(AV9)</f>
        <v>11.510344628532842</v>
      </c>
      <c r="AY9" s="44">
        <f t="shared" ref="AY9:AY44" si="25">(AX9-$H$62)/$H$63</f>
        <v>0.15792589839189977</v>
      </c>
      <c r="AZ9" s="7">
        <f>'a7'!S9</f>
        <v>35990.087259661792</v>
      </c>
      <c r="BA9" s="7">
        <f>'a8'!AK9</f>
        <v>241.69798931432823</v>
      </c>
      <c r="BB9" s="7">
        <f>'a13'!AA9</f>
        <v>7997.6440874444288</v>
      </c>
      <c r="BC9" s="7">
        <f>'a16'!X9</f>
        <v>-5204.2420973272874</v>
      </c>
      <c r="BD9" s="7">
        <f>'a15'!CY8</f>
        <v>76221.329650937027</v>
      </c>
      <c r="BE9" s="7">
        <f>'a9'!Y7</f>
        <v>341.28696332232306</v>
      </c>
      <c r="BF9" s="7">
        <f t="shared" ref="BF9:BF43" si="26">SUM(AZ9:BD9)-BE9</f>
        <v>114905.22992670798</v>
      </c>
      <c r="BG9" s="114">
        <f t="shared" si="5"/>
        <v>0.16060116109357234</v>
      </c>
      <c r="BH9" s="9">
        <f t="shared" ref="BH9:BH40" si="27">LN(BF9)</f>
        <v>11.651862980004696</v>
      </c>
      <c r="BI9" s="44">
        <f t="shared" ref="BI9:BI44" si="28">(BH9-$H$62)/$H$63</f>
        <v>0.23749670982075108</v>
      </c>
      <c r="BJ9" s="7">
        <f>'a7'!V9</f>
        <v>43392.375108892658</v>
      </c>
      <c r="BK9" s="7">
        <f>'a8'!AQ9</f>
        <v>298.69760962777605</v>
      </c>
      <c r="BL9" s="7">
        <f>'a13'!AE9</f>
        <v>8553.955318267519</v>
      </c>
      <c r="BM9" s="7">
        <f>'a16'!AB9</f>
        <v>-6531.2787292882022</v>
      </c>
      <c r="BN9" s="7">
        <f>'a15'!DP8</f>
        <v>70206.032858598104</v>
      </c>
      <c r="BO9" s="7">
        <f>'a9'!AC7</f>
        <v>537.07479244353397</v>
      </c>
      <c r="BP9" s="7">
        <f t="shared" ref="BP9:BP43" si="29">SUM(BJ9:BN9)-BO9</f>
        <v>115382.70737365434</v>
      </c>
      <c r="BQ9" s="114">
        <f t="shared" si="6"/>
        <v>0.16194006716399267</v>
      </c>
      <c r="BR9" s="9">
        <f t="shared" ref="BR9:BR40" si="30">LN(BP9)</f>
        <v>11.656009772379184</v>
      </c>
      <c r="BS9" s="44">
        <f t="shared" ref="BS9:BS44" si="31">(BR9-$H$62)/$H$63</f>
        <v>0.23982830590446202</v>
      </c>
      <c r="BT9" s="7">
        <f>'a7'!Y9</f>
        <v>40683.642223047529</v>
      </c>
      <c r="BU9" s="7">
        <f>'a8'!AW9</f>
        <v>172.2019729052754</v>
      </c>
      <c r="BV9" s="7">
        <f>'a13'!AI9</f>
        <v>10340.959725683182</v>
      </c>
      <c r="BW9" s="7">
        <f>'a16'!AF9</f>
        <v>-5345.7223888760718</v>
      </c>
      <c r="BX9" s="7">
        <f>'a15'!EG8</f>
        <v>89880.106064979525</v>
      </c>
      <c r="BY9" s="7">
        <f>'a9'!AG7</f>
        <v>452.07386352636649</v>
      </c>
      <c r="BZ9" s="7">
        <f t="shared" ref="BZ9:BZ43" si="32">SUM(BT9:BX9)-BY9</f>
        <v>135279.11373421308</v>
      </c>
      <c r="CA9" s="114">
        <f t="shared" si="7"/>
        <v>0.21773206200284898</v>
      </c>
      <c r="CB9" s="9">
        <f t="shared" ref="CB9:CB40" si="33">LN(BZ9)</f>
        <v>11.815095432207219</v>
      </c>
      <c r="CC9" s="44">
        <f t="shared" ref="CC9:CC44" si="34">(CB9-$H$62)/$H$63</f>
        <v>0.32927659941237913</v>
      </c>
      <c r="CD9" s="7">
        <f>'a7'!AB9</f>
        <v>42127.297943048288</v>
      </c>
      <c r="CE9" s="7">
        <f>'a8'!BC9</f>
        <v>156.60601034627402</v>
      </c>
      <c r="CF9" s="7">
        <f>'a13'!AM9</f>
        <v>40792.287191728392</v>
      </c>
      <c r="CG9" s="7">
        <f>'a16'!AJ9</f>
        <v>-5396.4009138826641</v>
      </c>
      <c r="CH9" s="7">
        <f>'a15'!EX8</f>
        <v>89335.891052281833</v>
      </c>
      <c r="CI9" s="7">
        <f>'a9'!AK7</f>
        <v>1288.4428698505837</v>
      </c>
      <c r="CJ9" s="7">
        <f t="shared" ref="CJ9:CJ43" si="35">SUM(CD9:CH9)-CI9</f>
        <v>165727.23841367153</v>
      </c>
      <c r="CK9" s="114">
        <f t="shared" si="8"/>
        <v>0.30311238567460042</v>
      </c>
      <c r="CL9" s="9">
        <f t="shared" ref="CL9:CL40" si="36">LN(CJ9)</f>
        <v>12.0180985738138</v>
      </c>
      <c r="CM9" s="44">
        <f t="shared" ref="CM9:CM44" si="37">(CL9-$H$62)/$H$63</f>
        <v>0.44341815442797961</v>
      </c>
      <c r="CN9" s="7">
        <f>'a7'!AE9</f>
        <v>53701.646193531633</v>
      </c>
      <c r="CO9" s="7">
        <f>'a8'!BI9</f>
        <v>410.50042735935716</v>
      </c>
      <c r="CP9" s="7">
        <f>'a13'!AQ9</f>
        <v>36981.004973584961</v>
      </c>
      <c r="CQ9" s="7">
        <f>'a16'!AN9</f>
        <v>-10502.201053744666</v>
      </c>
      <c r="CR9" s="7">
        <f>'a15'!FO8</f>
        <v>65789.969326540624</v>
      </c>
      <c r="CS9" s="7">
        <f>'a9'!AO7</f>
        <v>2779.613103649709</v>
      </c>
      <c r="CT9" s="7">
        <f t="shared" ref="CT9:CT43" si="38">SUM(CN9:CR9)-CS9</f>
        <v>143601.30676362221</v>
      </c>
      <c r="CU9" s="114">
        <f t="shared" si="9"/>
        <v>0.24106852498669612</v>
      </c>
      <c r="CV9" s="9">
        <f t="shared" ref="CV9:CV40" si="39">LN(CT9)</f>
        <v>11.874796035580081</v>
      </c>
      <c r="CW9" s="44">
        <f t="shared" ref="CW9:CW44" si="40">(CV9-$H$62)/$H$63</f>
        <v>0.3628441572857159</v>
      </c>
      <c r="CX9" s="7">
        <f>'a7'!AH9</f>
        <v>42614.666437309475</v>
      </c>
      <c r="CY9" s="7">
        <f>'a8'!BO9</f>
        <v>157.87464474941183</v>
      </c>
      <c r="CZ9" s="7">
        <f>'a13'!AU9</f>
        <v>37550.650983931955</v>
      </c>
      <c r="DA9" s="7">
        <f>'a16'!AR9</f>
        <v>-6936.1119509863147</v>
      </c>
      <c r="DB9" s="7">
        <f>'a15'!GF8</f>
        <v>81072.874127182164</v>
      </c>
      <c r="DC9" s="7">
        <f>'a9'!AS7</f>
        <v>577.6942344766029</v>
      </c>
      <c r="DD9" s="7">
        <f t="shared" ref="DD9:DD43" si="41">SUM(CX9:DB9)-DC9</f>
        <v>153882.26000771008</v>
      </c>
      <c r="DE9" s="44">
        <f t="shared" si="10"/>
        <v>0.26989759491711973</v>
      </c>
      <c r="DF9" s="9">
        <f t="shared" ref="DF9:DF40" si="42">LN(DD9)</f>
        <v>11.943943043577397</v>
      </c>
      <c r="DG9" s="44">
        <f t="shared" ref="DG9:DG44" si="43">(DF9-$H$62)/$H$63</f>
        <v>0.40172309755741614</v>
      </c>
    </row>
    <row r="10" spans="1:111" hidden="1">
      <c r="A10" s="1">
        <v>1973</v>
      </c>
      <c r="B10" s="7">
        <f>'a7'!D10</f>
        <v>42376.514950330507</v>
      </c>
      <c r="C10" s="7">
        <f>'a8'!G10</f>
        <v>613.49287821060022</v>
      </c>
      <c r="D10" s="7">
        <f>'a13'!G10</f>
        <v>19568.790427455904</v>
      </c>
      <c r="E10" s="7">
        <f>'a16'!D10</f>
        <v>-6374.9993317818789</v>
      </c>
      <c r="F10" s="7">
        <f>'a15'!R9</f>
        <v>69173.3371539605</v>
      </c>
      <c r="G10" s="7">
        <f>'a9'!E8</f>
        <v>690.26215222859855</v>
      </c>
      <c r="H10" s="7">
        <f t="shared" si="11"/>
        <v>124666.87392594703</v>
      </c>
      <c r="I10" s="114">
        <f t="shared" si="0"/>
        <v>0.1879740233961798</v>
      </c>
      <c r="J10" s="9">
        <f t="shared" si="12"/>
        <v>11.733400450234774</v>
      </c>
      <c r="K10" s="114">
        <f t="shared" si="13"/>
        <v>0.28334237294913689</v>
      </c>
      <c r="L10" s="7">
        <f>'a7'!G10</f>
        <v>36343.093806192162</v>
      </c>
      <c r="M10" s="7">
        <f>'a8'!M10</f>
        <v>124.87472554346306</v>
      </c>
      <c r="N10" s="7">
        <f>'a13'!K10</f>
        <v>14094.56026856147</v>
      </c>
      <c r="O10" s="7">
        <f>'a16'!H10</f>
        <v>-3635.5464496936811</v>
      </c>
      <c r="P10" s="7">
        <f>'a15'!AI9</f>
        <v>60945.605221851758</v>
      </c>
      <c r="Q10" s="7">
        <f>'a9'!I8</f>
        <v>490.92611429213298</v>
      </c>
      <c r="R10" s="7">
        <f t="shared" si="14"/>
        <v>107381.66145816304</v>
      </c>
      <c r="S10" s="114">
        <f t="shared" si="1"/>
        <v>0.13950414057840363</v>
      </c>
      <c r="T10" s="9">
        <f t="shared" si="15"/>
        <v>11.58414469655348</v>
      </c>
      <c r="U10" s="44">
        <f t="shared" si="16"/>
        <v>0.19942109131092231</v>
      </c>
      <c r="V10" s="7">
        <f>'a7'!J10</f>
        <v>25827.869481765836</v>
      </c>
      <c r="W10" s="7">
        <f>'a8'!S10</f>
        <v>142.28433644243356</v>
      </c>
      <c r="X10" s="7">
        <f>'a13'!O10</f>
        <v>524.02965089907696</v>
      </c>
      <c r="Y10" s="7">
        <f>'a16'!L10</f>
        <v>-3491.8347335162216</v>
      </c>
      <c r="Z10" s="7">
        <f>'a15'!AZ9</f>
        <v>61229.309713970215</v>
      </c>
      <c r="AA10" s="7">
        <f>'a9'!M8</f>
        <v>480.3471173325712</v>
      </c>
      <c r="AB10" s="7">
        <f t="shared" si="17"/>
        <v>83751.311332228768</v>
      </c>
      <c r="AC10" s="114">
        <f t="shared" si="2"/>
        <v>7.3241703614914236E-2</v>
      </c>
      <c r="AD10" s="9">
        <f t="shared" si="18"/>
        <v>11.335607107262986</v>
      </c>
      <c r="AE10" s="44">
        <f t="shared" si="19"/>
        <v>5.9677111503833612E-2</v>
      </c>
      <c r="AF10" s="7">
        <f>'a7'!M10</f>
        <v>33222.903644326718</v>
      </c>
      <c r="AG10" s="7">
        <f>'a8'!Y10</f>
        <v>366.95816427822734</v>
      </c>
      <c r="AH10" s="7">
        <f>'a13'!S10</f>
        <v>9930.5507643526034</v>
      </c>
      <c r="AI10" s="7">
        <f>'a16'!P10</f>
        <v>-4757.6388341187949</v>
      </c>
      <c r="AJ10" s="7">
        <f>'a15'!BQ9</f>
        <v>60361.845198393043</v>
      </c>
      <c r="AK10" s="7">
        <f>'a9'!Q8</f>
        <v>623.75051277771047</v>
      </c>
      <c r="AL10" s="7">
        <f t="shared" si="20"/>
        <v>98500.868424454093</v>
      </c>
      <c r="AM10" s="114">
        <f t="shared" si="3"/>
        <v>0.11460129379679383</v>
      </c>
      <c r="AN10" s="9">
        <f t="shared" si="21"/>
        <v>11.497820643613235</v>
      </c>
      <c r="AO10" s="44">
        <f t="shared" si="22"/>
        <v>0.1508841004059048</v>
      </c>
      <c r="AP10" s="7">
        <f>'a7'!P10</f>
        <v>30325.490467779266</v>
      </c>
      <c r="AQ10" s="7">
        <f>'a8'!AE10</f>
        <v>1291.6458178417622</v>
      </c>
      <c r="AR10" s="7">
        <f>'a13'!W10</f>
        <v>11970.216464246891</v>
      </c>
      <c r="AS10" s="7">
        <f>'a16'!T10</f>
        <v>-4296.9787357338</v>
      </c>
      <c r="AT10" s="7">
        <f>'a15'!CH9</f>
        <v>62450.876207789588</v>
      </c>
      <c r="AU10" s="7">
        <f>'a9'!U8</f>
        <v>620.73255474368739</v>
      </c>
      <c r="AV10" s="7">
        <f t="shared" si="23"/>
        <v>101120.51766718001</v>
      </c>
      <c r="AW10" s="114">
        <f t="shared" si="4"/>
        <v>0.1219471156694063</v>
      </c>
      <c r="AX10" s="9">
        <f t="shared" si="24"/>
        <v>11.524068328702826</v>
      </c>
      <c r="AY10" s="44">
        <f t="shared" si="25"/>
        <v>0.1656422542353265</v>
      </c>
      <c r="AZ10" s="7">
        <f>'a7'!S10</f>
        <v>37430.98700835921</v>
      </c>
      <c r="BA10" s="7">
        <f>'a8'!AK10</f>
        <v>342.97432489156</v>
      </c>
      <c r="BB10" s="7">
        <f>'a13'!AA10</f>
        <v>7983.1969313344807</v>
      </c>
      <c r="BC10" s="7">
        <f>'a16'!X10</f>
        <v>-5199.2776817663589</v>
      </c>
      <c r="BD10" s="7">
        <f>'a15'!CY9</f>
        <v>76290.660738542734</v>
      </c>
      <c r="BE10" s="7">
        <f>'a9'!Y8</f>
        <v>354.18708268587039</v>
      </c>
      <c r="BF10" s="7">
        <f t="shared" si="26"/>
        <v>116494.35423867576</v>
      </c>
      <c r="BG10" s="114">
        <f t="shared" si="5"/>
        <v>0.16505726305514878</v>
      </c>
      <c r="BH10" s="9">
        <f t="shared" si="27"/>
        <v>11.665598089343003</v>
      </c>
      <c r="BI10" s="44">
        <f t="shared" si="28"/>
        <v>0.24521948063984525</v>
      </c>
      <c r="BJ10" s="7">
        <f>'a7'!V10</f>
        <v>44858.757617285861</v>
      </c>
      <c r="BK10" s="7">
        <f>'a8'!AQ10</f>
        <v>424.30681639602307</v>
      </c>
      <c r="BL10" s="7">
        <f>'a13'!AE10</f>
        <v>8146.0624581730199</v>
      </c>
      <c r="BM10" s="7">
        <f>'a16'!AB10</f>
        <v>-6478.7542065409525</v>
      </c>
      <c r="BN10" s="7">
        <f>'a15'!DP9</f>
        <v>70262.970318540698</v>
      </c>
      <c r="BO10" s="7">
        <f>'a9'!AC8</f>
        <v>553.08118661681283</v>
      </c>
      <c r="BP10" s="7">
        <f t="shared" si="29"/>
        <v>116660.26181723784</v>
      </c>
      <c r="BQ10" s="114">
        <f t="shared" si="6"/>
        <v>0.165522488513411</v>
      </c>
      <c r="BR10" s="9">
        <f t="shared" si="30"/>
        <v>11.667021244581107</v>
      </c>
      <c r="BS10" s="44">
        <f t="shared" si="31"/>
        <v>0.24601967097493183</v>
      </c>
      <c r="BT10" s="7">
        <f>'a7'!Y10</f>
        <v>42034.10287107464</v>
      </c>
      <c r="BU10" s="7">
        <f>'a8'!AW10</f>
        <v>247.92411060790818</v>
      </c>
      <c r="BV10" s="7">
        <f>'a13'!AI10</f>
        <v>9696.6736359211864</v>
      </c>
      <c r="BW10" s="7">
        <f>'a16'!AF10</f>
        <v>-5335.1060149992536</v>
      </c>
      <c r="BX10" s="7">
        <f>'a15'!EG9</f>
        <v>89916.662066511577</v>
      </c>
      <c r="BY10" s="7">
        <f>'a9'!AG8</f>
        <v>469.44572762302187</v>
      </c>
      <c r="BZ10" s="7">
        <f t="shared" si="32"/>
        <v>136090.81094149305</v>
      </c>
      <c r="CA10" s="114">
        <f t="shared" si="7"/>
        <v>0.22000816179587743</v>
      </c>
      <c r="CB10" s="9">
        <f t="shared" si="33"/>
        <v>11.82107766939834</v>
      </c>
      <c r="CC10" s="44">
        <f t="shared" si="34"/>
        <v>0.33264020181805054</v>
      </c>
      <c r="CD10" s="7">
        <f>'a7'!AB10</f>
        <v>43299.678267248724</v>
      </c>
      <c r="CE10" s="7">
        <f>'a8'!BC10</f>
        <v>225.12556607054114</v>
      </c>
      <c r="CF10" s="7">
        <f>'a13'!AM10</f>
        <v>40095.563102240201</v>
      </c>
      <c r="CG10" s="7">
        <f>'a16'!AJ10</f>
        <v>-5502.1902031922955</v>
      </c>
      <c r="CH10" s="7">
        <f>'a15'!EX9</f>
        <v>89570.920478803469</v>
      </c>
      <c r="CI10" s="7">
        <f>'a9'!AK8</f>
        <v>1358.6236691388099</v>
      </c>
      <c r="CJ10" s="7">
        <f t="shared" si="35"/>
        <v>166330.47354203183</v>
      </c>
      <c r="CK10" s="114">
        <f t="shared" si="8"/>
        <v>0.30480393190451716</v>
      </c>
      <c r="CL10" s="9">
        <f t="shared" si="36"/>
        <v>12.021731892783665</v>
      </c>
      <c r="CM10" s="44">
        <f t="shared" si="37"/>
        <v>0.4454610424040274</v>
      </c>
      <c r="CN10" s="7">
        <f>'a7'!AE10</f>
        <v>55180.592548542969</v>
      </c>
      <c r="CO10" s="7">
        <f>'a8'!BI10</f>
        <v>565.50385987662219</v>
      </c>
      <c r="CP10" s="7">
        <f>'a13'!AQ10</f>
        <v>45264.272562545179</v>
      </c>
      <c r="CQ10" s="7">
        <f>'a16'!AN10</f>
        <v>-10365.928410450391</v>
      </c>
      <c r="CR10" s="7">
        <f>'a15'!FO9</f>
        <v>65885.745082175286</v>
      </c>
      <c r="CS10" s="7">
        <f>'a9'!AO8</f>
        <v>2850.3118574355653</v>
      </c>
      <c r="CT10" s="7">
        <f t="shared" si="38"/>
        <v>153679.87378525411</v>
      </c>
      <c r="CU10" s="114">
        <f t="shared" si="9"/>
        <v>0.26933007881023613</v>
      </c>
      <c r="CV10" s="9">
        <f t="shared" si="39"/>
        <v>11.942626976159268</v>
      </c>
      <c r="CW10" s="44">
        <f t="shared" si="40"/>
        <v>0.40098311895205185</v>
      </c>
      <c r="CX10" s="7">
        <f>'a7'!AH10</f>
        <v>43492.882225989328</v>
      </c>
      <c r="CY10" s="7">
        <f>'a8'!BO10</f>
        <v>221.34459958784689</v>
      </c>
      <c r="CZ10" s="7">
        <f>'a13'!AU10</f>
        <v>38621.032051798902</v>
      </c>
      <c r="DA10" s="7">
        <f>'a16'!AR10</f>
        <v>-6774.6689962957344</v>
      </c>
      <c r="DB10" s="7">
        <f>'a15'!GF9</f>
        <v>81177.456688350576</v>
      </c>
      <c r="DC10" s="7">
        <f>'a9'!AS8</f>
        <v>586.69794638453288</v>
      </c>
      <c r="DD10" s="7">
        <f t="shared" si="41"/>
        <v>156151.34862304639</v>
      </c>
      <c r="DE10" s="44">
        <f t="shared" si="10"/>
        <v>0.27626040124614148</v>
      </c>
      <c r="DF10" s="9">
        <f t="shared" si="42"/>
        <v>11.958580999388923</v>
      </c>
      <c r="DG10" s="44">
        <f t="shared" si="43"/>
        <v>0.40995350732031161</v>
      </c>
    </row>
    <row r="11" spans="1:111" hidden="1">
      <c r="A11" s="1">
        <v>1974</v>
      </c>
      <c r="B11" s="7">
        <f>'a7'!D11</f>
        <v>43795.045078323281</v>
      </c>
      <c r="C11" s="7">
        <f>'a8'!G11</f>
        <v>729.80685747262294</v>
      </c>
      <c r="D11" s="7">
        <f>'a13'!G11</f>
        <v>17852.670477224452</v>
      </c>
      <c r="E11" s="7">
        <f>'a16'!D11</f>
        <v>-6140.0286967312295</v>
      </c>
      <c r="F11" s="7">
        <f>'a15'!R10</f>
        <v>69974.798897420987</v>
      </c>
      <c r="G11" s="7">
        <f>'a9'!E9</f>
        <v>694.31063360643805</v>
      </c>
      <c r="H11" s="7">
        <f t="shared" si="11"/>
        <v>125517.98198010368</v>
      </c>
      <c r="I11" s="114">
        <f t="shared" si="0"/>
        <v>0.19036063609921283</v>
      </c>
      <c r="J11" s="9">
        <f t="shared" si="12"/>
        <v>11.740204309999978</v>
      </c>
      <c r="K11" s="114">
        <f t="shared" si="13"/>
        <v>0.28716794494552289</v>
      </c>
      <c r="L11" s="7">
        <f>'a7'!G11</f>
        <v>37410.851813305577</v>
      </c>
      <c r="M11" s="7">
        <f>'a8'!M11</f>
        <v>157.41882375934978</v>
      </c>
      <c r="N11" s="7">
        <f>'a13'!K11</f>
        <v>13525.09165220869</v>
      </c>
      <c r="O11" s="7">
        <f>'a16'!H11</f>
        <v>-3545.98744151864</v>
      </c>
      <c r="P11" s="7">
        <f>'a15'!AI10</f>
        <v>61053.807459900017</v>
      </c>
      <c r="Q11" s="7">
        <f>'a9'!I9</f>
        <v>497.0638358784841</v>
      </c>
      <c r="R11" s="7">
        <f t="shared" si="14"/>
        <v>108104.11847177651</v>
      </c>
      <c r="S11" s="114">
        <f t="shared" si="1"/>
        <v>0.14152999978354736</v>
      </c>
      <c r="T11" s="9">
        <f t="shared" si="15"/>
        <v>11.590850101622898</v>
      </c>
      <c r="U11" s="44">
        <f t="shared" si="16"/>
        <v>0.20319130568088586</v>
      </c>
      <c r="V11" s="7">
        <f>'a7'!J11</f>
        <v>26774.170849071248</v>
      </c>
      <c r="W11" s="7">
        <f>'a8'!S11</f>
        <v>174.6890116948305</v>
      </c>
      <c r="X11" s="7">
        <f>'a13'!O11</f>
        <v>461.93804426922321</v>
      </c>
      <c r="Y11" s="7">
        <f>'a16'!L11</f>
        <v>-3447.6326589476857</v>
      </c>
      <c r="Z11" s="7">
        <f>'a15'!AZ10</f>
        <v>61329.340479186518</v>
      </c>
      <c r="AA11" s="7">
        <f>'a9'!M9</f>
        <v>484.28664892952162</v>
      </c>
      <c r="AB11" s="7">
        <f t="shared" si="17"/>
        <v>84808.219076344612</v>
      </c>
      <c r="AC11" s="114">
        <f t="shared" si="2"/>
        <v>7.6205404211708974E-2</v>
      </c>
      <c r="AD11" s="9">
        <f t="shared" si="18"/>
        <v>11.348147740153358</v>
      </c>
      <c r="AE11" s="44">
        <f t="shared" si="19"/>
        <v>6.6728270060586209E-2</v>
      </c>
      <c r="AF11" s="7">
        <f>'a7'!M11</f>
        <v>34282.245884279837</v>
      </c>
      <c r="AG11" s="7">
        <f>'a8'!Y11</f>
        <v>456.0713623020618</v>
      </c>
      <c r="AH11" s="7">
        <f>'a13'!S11</f>
        <v>9884.0905166467528</v>
      </c>
      <c r="AI11" s="7">
        <f>'a16'!P11</f>
        <v>-4756.2382815706296</v>
      </c>
      <c r="AJ11" s="7">
        <f>'a15'!BQ10</f>
        <v>60466.669397973361</v>
      </c>
      <c r="AK11" s="7">
        <f>'a9'!Q9</f>
        <v>631.28301310506799</v>
      </c>
      <c r="AL11" s="7">
        <f t="shared" si="20"/>
        <v>99701.555866526309</v>
      </c>
      <c r="AM11" s="114">
        <f t="shared" si="3"/>
        <v>0.11796817052604915</v>
      </c>
      <c r="AN11" s="9">
        <f t="shared" si="21"/>
        <v>11.509936561309873</v>
      </c>
      <c r="AO11" s="44">
        <f t="shared" si="22"/>
        <v>0.15769645648764188</v>
      </c>
      <c r="AP11" s="7">
        <f>'a7'!P11</f>
        <v>32417.437238997267</v>
      </c>
      <c r="AQ11" s="7">
        <f>'a8'!AE11</f>
        <v>1420.0916223580177</v>
      </c>
      <c r="AR11" s="7">
        <f>'a13'!W11</f>
        <v>14149.124282010809</v>
      </c>
      <c r="AS11" s="7">
        <f>'a16'!T11</f>
        <v>-4225.251234262405</v>
      </c>
      <c r="AT11" s="7">
        <f>'a15'!CH10</f>
        <v>62533.836445283225</v>
      </c>
      <c r="AU11" s="7">
        <f>'a9'!U9</f>
        <v>625.50810289910737</v>
      </c>
      <c r="AV11" s="7">
        <f t="shared" si="23"/>
        <v>105669.7302514878</v>
      </c>
      <c r="AW11" s="114">
        <f t="shared" si="4"/>
        <v>0.13470367282978349</v>
      </c>
      <c r="AX11" s="9">
        <f t="shared" si="24"/>
        <v>11.56807375668731</v>
      </c>
      <c r="AY11" s="44">
        <f t="shared" si="25"/>
        <v>0.19038496481371858</v>
      </c>
      <c r="AZ11" s="7">
        <f>'a7'!S11</f>
        <v>38879.143093378058</v>
      </c>
      <c r="BA11" s="7">
        <f>'a8'!AK11</f>
        <v>425.58267237429686</v>
      </c>
      <c r="BB11" s="7">
        <f>'a13'!AA11</f>
        <v>8079.9596442489355</v>
      </c>
      <c r="BC11" s="7">
        <f>'a16'!X11</f>
        <v>-5102.3867376611161</v>
      </c>
      <c r="BD11" s="7">
        <f>'a15'!CY10</f>
        <v>76409.310170720928</v>
      </c>
      <c r="BE11" s="7">
        <f>'a9'!Y9</f>
        <v>358.07874137666232</v>
      </c>
      <c r="BF11" s="7">
        <f t="shared" si="26"/>
        <v>118333.53010168443</v>
      </c>
      <c r="BG11" s="114">
        <f t="shared" si="5"/>
        <v>0.17021454062564204</v>
      </c>
      <c r="BH11" s="9">
        <f t="shared" si="27"/>
        <v>11.681262442619197</v>
      </c>
      <c r="BI11" s="44">
        <f t="shared" si="28"/>
        <v>0.25402699774085374</v>
      </c>
      <c r="BJ11" s="7">
        <f>'a7'!V11</f>
        <v>46255.740476763633</v>
      </c>
      <c r="BK11" s="7">
        <f>'a8'!AQ11</f>
        <v>529.49200674665656</v>
      </c>
      <c r="BL11" s="7">
        <f>'a13'!AE11</f>
        <v>7812.7667294323828</v>
      </c>
      <c r="BM11" s="7">
        <f>'a16'!AB11</f>
        <v>-6375.7026118354142</v>
      </c>
      <c r="BN11" s="7">
        <f>'a15'!DP10</f>
        <v>70365.224706177134</v>
      </c>
      <c r="BO11" s="7">
        <f>'a9'!AC9</f>
        <v>555.29431393638151</v>
      </c>
      <c r="BP11" s="7">
        <f t="shared" si="29"/>
        <v>118032.22699334801</v>
      </c>
      <c r="BQ11" s="114">
        <f t="shared" si="6"/>
        <v>0.16936964928392917</v>
      </c>
      <c r="BR11" s="9">
        <f t="shared" si="30"/>
        <v>11.678712976273143</v>
      </c>
      <c r="BS11" s="44">
        <f t="shared" si="31"/>
        <v>0.25259352212616382</v>
      </c>
      <c r="BT11" s="7">
        <f>'a7'!Y11</f>
        <v>43205.028550214789</v>
      </c>
      <c r="BU11" s="7">
        <f>'a8'!AW11</f>
        <v>313.09565199780275</v>
      </c>
      <c r="BV11" s="7">
        <f>'a13'!AI11</f>
        <v>8935.7523719247929</v>
      </c>
      <c r="BW11" s="7">
        <f>'a16'!AF11</f>
        <v>-5296.1209551796501</v>
      </c>
      <c r="BX11" s="7">
        <f>'a15'!EG10</f>
        <v>90009.942029354395</v>
      </c>
      <c r="BY11" s="7">
        <f>'a9'!AG9</f>
        <v>473.73577156878139</v>
      </c>
      <c r="BZ11" s="7">
        <f t="shared" si="32"/>
        <v>136693.96187674336</v>
      </c>
      <c r="CA11" s="114">
        <f t="shared" si="7"/>
        <v>0.22169947193785583</v>
      </c>
      <c r="CB11" s="9">
        <f t="shared" si="33"/>
        <v>11.82549985112013</v>
      </c>
      <c r="CC11" s="44">
        <f t="shared" si="34"/>
        <v>0.33512663968444001</v>
      </c>
      <c r="CD11" s="7">
        <f>'a7'!AB11</f>
        <v>44540.227660747849</v>
      </c>
      <c r="CE11" s="7">
        <f>'a8'!BC11</f>
        <v>282.27712090551097</v>
      </c>
      <c r="CF11" s="7">
        <f>'a13'!AM11</f>
        <v>39662.11145545249</v>
      </c>
      <c r="CG11" s="7">
        <f>'a16'!AJ11</f>
        <v>-5495.8590035373409</v>
      </c>
      <c r="CH11" s="7">
        <f>'a15'!EX10</f>
        <v>89868.486209273105</v>
      </c>
      <c r="CI11" s="7">
        <f>'a9'!AK9</f>
        <v>1391.1124514496209</v>
      </c>
      <c r="CJ11" s="7">
        <f t="shared" si="35"/>
        <v>167466.13099139201</v>
      </c>
      <c r="CK11" s="114">
        <f t="shared" si="8"/>
        <v>0.30798845645659978</v>
      </c>
      <c r="CL11" s="9">
        <f t="shared" si="36"/>
        <v>12.028536406765003</v>
      </c>
      <c r="CM11" s="44">
        <f t="shared" si="37"/>
        <v>0.44928698224322722</v>
      </c>
      <c r="CN11" s="7">
        <f>'a7'!AE11</f>
        <v>57251.452022972473</v>
      </c>
      <c r="CO11" s="7">
        <f>'a8'!BI11</f>
        <v>685.70961991388708</v>
      </c>
      <c r="CP11" s="7">
        <f>'a13'!AQ11</f>
        <v>67944.676845947673</v>
      </c>
      <c r="CQ11" s="7">
        <f>'a16'!AN11</f>
        <v>-10179.562325253935</v>
      </c>
      <c r="CR11" s="7">
        <f>'a15'!FO10</f>
        <v>66025.373515669722</v>
      </c>
      <c r="CS11" s="7">
        <f>'a9'!AO9</f>
        <v>2858.7954083675127</v>
      </c>
      <c r="CT11" s="7">
        <f t="shared" si="38"/>
        <v>178868.85427088232</v>
      </c>
      <c r="CU11" s="114">
        <f t="shared" si="9"/>
        <v>0.33996310890536313</v>
      </c>
      <c r="CV11" s="9">
        <f t="shared" si="39"/>
        <v>12.094408158593502</v>
      </c>
      <c r="CW11" s="44">
        <f t="shared" si="40"/>
        <v>0.48632436070842278</v>
      </c>
      <c r="CX11" s="7">
        <f>'a7'!AH11</f>
        <v>44111.05409939825</v>
      </c>
      <c r="CY11" s="7">
        <f>'a8'!BO11</f>
        <v>271.26237329853376</v>
      </c>
      <c r="CZ11" s="7">
        <f>'a13'!AU11</f>
        <v>36385.909801711729</v>
      </c>
      <c r="DA11" s="7">
        <f>'a16'!AR11</f>
        <v>-6503.042586081001</v>
      </c>
      <c r="DB11" s="7">
        <f>'a15'!GF10</f>
        <v>81335.627814074294</v>
      </c>
      <c r="DC11" s="7">
        <f>'a9'!AS9</f>
        <v>579.98492471504676</v>
      </c>
      <c r="DD11" s="7">
        <f t="shared" si="41"/>
        <v>155020.82657768676</v>
      </c>
      <c r="DE11" s="44">
        <f t="shared" si="10"/>
        <v>0.27309027700476329</v>
      </c>
      <c r="DF11" s="9">
        <f t="shared" si="42"/>
        <v>11.951314751892546</v>
      </c>
      <c r="DG11" s="44">
        <f t="shared" si="43"/>
        <v>0.40586795090083516</v>
      </c>
    </row>
    <row r="12" spans="1:111" hidden="1">
      <c r="A12" s="1">
        <v>1975</v>
      </c>
      <c r="B12" s="7">
        <f>'a7'!D12</f>
        <v>45131.099604528747</v>
      </c>
      <c r="C12" s="7">
        <f>'a8'!G12</f>
        <v>822.53064267068021</v>
      </c>
      <c r="D12" s="7">
        <f>'a13'!G12</f>
        <v>16466.087240721703</v>
      </c>
      <c r="E12" s="7">
        <f>'a16'!D12</f>
        <v>-6556.663201700032</v>
      </c>
      <c r="F12" s="7">
        <f>'a15'!R11</f>
        <v>70742.247004601275</v>
      </c>
      <c r="G12" s="7">
        <f>'a9'!E10</f>
        <v>673.20230362245059</v>
      </c>
      <c r="H12" s="7">
        <f t="shared" si="11"/>
        <v>125932.09898719992</v>
      </c>
      <c r="I12" s="114">
        <f t="shared" si="0"/>
        <v>0.1915218716260664</v>
      </c>
      <c r="J12" s="9">
        <f t="shared" si="12"/>
        <v>11.743498143749493</v>
      </c>
      <c r="K12" s="114">
        <f t="shared" si="13"/>
        <v>0.28901995227485333</v>
      </c>
      <c r="L12" s="7">
        <f>'a7'!G12</f>
        <v>37811.467827262008</v>
      </c>
      <c r="M12" s="7">
        <f>'a8'!M12</f>
        <v>186.09347549302151</v>
      </c>
      <c r="N12" s="7">
        <f>'a13'!K12</f>
        <v>12267.458898750698</v>
      </c>
      <c r="O12" s="7">
        <f>'a16'!H12</f>
        <v>-3751.6479750835506</v>
      </c>
      <c r="P12" s="7">
        <f>'a15'!AI11</f>
        <v>61170.047287329908</v>
      </c>
      <c r="Q12" s="7">
        <f>'a9'!I10</f>
        <v>482.98092995316193</v>
      </c>
      <c r="R12" s="7">
        <f t="shared" si="14"/>
        <v>107200.43858379892</v>
      </c>
      <c r="S12" s="114">
        <f t="shared" si="1"/>
        <v>0.13899596912834475</v>
      </c>
      <c r="T12" s="9">
        <f t="shared" si="15"/>
        <v>11.582455618877251</v>
      </c>
      <c r="U12" s="44">
        <f t="shared" si="16"/>
        <v>0.19847138210454693</v>
      </c>
      <c r="V12" s="7">
        <f>'a7'!J12</f>
        <v>27325.677007237267</v>
      </c>
      <c r="W12" s="7">
        <f>'a8'!S12</f>
        <v>200.89589875706224</v>
      </c>
      <c r="X12" s="7">
        <f>'a13'!O12</f>
        <v>408.98001251725668</v>
      </c>
      <c r="Y12" s="7">
        <f>'a16'!L12</f>
        <v>-3648.927245029739</v>
      </c>
      <c r="Z12" s="7">
        <f>'a15'!AZ11</f>
        <v>61436.268035545436</v>
      </c>
      <c r="AA12" s="7">
        <f>'a9'!M10</f>
        <v>469.3352373484376</v>
      </c>
      <c r="AB12" s="7">
        <f t="shared" si="17"/>
        <v>85253.558471678843</v>
      </c>
      <c r="AC12" s="114">
        <f t="shared" si="2"/>
        <v>7.7454191193426461E-2</v>
      </c>
      <c r="AD12" s="9">
        <f t="shared" si="18"/>
        <v>11.353385135877877</v>
      </c>
      <c r="AE12" s="44">
        <f t="shared" si="19"/>
        <v>6.9673074202520169E-2</v>
      </c>
      <c r="AF12" s="7">
        <f>'a7'!M12</f>
        <v>34903.338822017809</v>
      </c>
      <c r="AG12" s="7">
        <f>'a8'!Y12</f>
        <v>530.90972061476225</v>
      </c>
      <c r="AH12" s="7">
        <f>'a13'!S12</f>
        <v>9757.8086443209068</v>
      </c>
      <c r="AI12" s="7">
        <f>'a16'!P12</f>
        <v>-5065.4479552357052</v>
      </c>
      <c r="AJ12" s="7">
        <f>'a15'!BQ11</f>
        <v>60580.058274455223</v>
      </c>
      <c r="AK12" s="7">
        <f>'a9'!Q10</f>
        <v>615.22973937169479</v>
      </c>
      <c r="AL12" s="7">
        <f t="shared" si="20"/>
        <v>100091.43776680129</v>
      </c>
      <c r="AM12" s="114">
        <f t="shared" si="3"/>
        <v>0.11906144780304653</v>
      </c>
      <c r="AN12" s="9">
        <f t="shared" si="21"/>
        <v>11.513839424849639</v>
      </c>
      <c r="AO12" s="44">
        <f t="shared" si="22"/>
        <v>0.15989089993278777</v>
      </c>
      <c r="AP12" s="7">
        <f>'a7'!P12</f>
        <v>34358.21068584123</v>
      </c>
      <c r="AQ12" s="7">
        <f>'a8'!AE12</f>
        <v>1449.2807341129226</v>
      </c>
      <c r="AR12" s="7">
        <f>'a13'!W12</f>
        <v>14471.318594867349</v>
      </c>
      <c r="AS12" s="7">
        <f>'a16'!T12</f>
        <v>-4426.3401545728748</v>
      </c>
      <c r="AT12" s="7">
        <f>'a15'!CH11</f>
        <v>62623.250898652244</v>
      </c>
      <c r="AU12" s="7">
        <f>'a9'!U10</f>
        <v>604.25957930396896</v>
      </c>
      <c r="AV12" s="7">
        <f t="shared" si="23"/>
        <v>107871.4611795969</v>
      </c>
      <c r="AW12" s="114">
        <f t="shared" si="4"/>
        <v>0.1408775998370807</v>
      </c>
      <c r="AX12" s="9">
        <f t="shared" si="24"/>
        <v>11.588695623023508</v>
      </c>
      <c r="AY12" s="44">
        <f t="shared" si="25"/>
        <v>0.2019799178391212</v>
      </c>
      <c r="AZ12" s="7">
        <f>'a7'!S12</f>
        <v>40449.371633553717</v>
      </c>
      <c r="BA12" s="7">
        <f>'a8'!AK12</f>
        <v>496.61215289291562</v>
      </c>
      <c r="BB12" s="7">
        <f>'a13'!AA12</f>
        <v>7786.0307725191406</v>
      </c>
      <c r="BC12" s="7">
        <f>'a16'!X12</f>
        <v>-5446.1884314538947</v>
      </c>
      <c r="BD12" s="7">
        <f>'a15'!CY11</f>
        <v>76538.519682984072</v>
      </c>
      <c r="BE12" s="7">
        <f>'a9'!Y10</f>
        <v>348.86111788911893</v>
      </c>
      <c r="BF12" s="7">
        <f t="shared" si="26"/>
        <v>119475.48469260683</v>
      </c>
      <c r="BG12" s="114">
        <f t="shared" si="5"/>
        <v>0.17341672314485557</v>
      </c>
      <c r="BH12" s="9">
        <f t="shared" si="27"/>
        <v>11.690866480291922</v>
      </c>
      <c r="BI12" s="44">
        <f t="shared" si="28"/>
        <v>0.25942701168013405</v>
      </c>
      <c r="BJ12" s="7">
        <f>'a7'!V12</f>
        <v>47537.456319536723</v>
      </c>
      <c r="BK12" s="7">
        <f>'a8'!AQ12</f>
        <v>623.16979713330556</v>
      </c>
      <c r="BL12" s="7">
        <f>'a13'!AE12</f>
        <v>7171.6622684201066</v>
      </c>
      <c r="BM12" s="7">
        <f>'a16'!AB12</f>
        <v>-6800.8324451833632</v>
      </c>
      <c r="BN12" s="7">
        <f>'a15'!DP11</f>
        <v>70477.208266577421</v>
      </c>
      <c r="BO12" s="7">
        <f>'a9'!AC10</f>
        <v>538.74194361953175</v>
      </c>
      <c r="BP12" s="7">
        <f t="shared" si="29"/>
        <v>118469.92226286465</v>
      </c>
      <c r="BQ12" s="114">
        <f t="shared" si="6"/>
        <v>0.17059700118734988</v>
      </c>
      <c r="BR12" s="9">
        <f t="shared" si="30"/>
        <v>11.682414386772889</v>
      </c>
      <c r="BS12" s="44">
        <f t="shared" si="31"/>
        <v>0.25467469558411365</v>
      </c>
      <c r="BT12" s="7">
        <f>'a7'!Y12</f>
        <v>44243.490036342351</v>
      </c>
      <c r="BU12" s="7">
        <f>'a8'!AW12</f>
        <v>371.73366389273571</v>
      </c>
      <c r="BV12" s="7">
        <f>'a13'!AI12</f>
        <v>8252.691398322313</v>
      </c>
      <c r="BW12" s="7">
        <f>'a16'!AF12</f>
        <v>-5602.0650580164283</v>
      </c>
      <c r="BX12" s="7">
        <f>'a15'!EG11</f>
        <v>90113.67727676341</v>
      </c>
      <c r="BY12" s="7">
        <f>'a9'!AG10</f>
        <v>463.00804493774314</v>
      </c>
      <c r="BZ12" s="7">
        <f t="shared" si="32"/>
        <v>136916.51927236666</v>
      </c>
      <c r="CA12" s="114">
        <f t="shared" si="7"/>
        <v>0.22232355051983427</v>
      </c>
      <c r="CB12" s="9">
        <f t="shared" si="33"/>
        <v>11.827126670705201</v>
      </c>
      <c r="CC12" s="44">
        <f t="shared" si="34"/>
        <v>0.33604134334715363</v>
      </c>
      <c r="CD12" s="7">
        <f>'a7'!AB12</f>
        <v>46046.166783843735</v>
      </c>
      <c r="CE12" s="7">
        <f>'a8'!BC12</f>
        <v>327.29523917069361</v>
      </c>
      <c r="CF12" s="7">
        <f>'a13'!AM12</f>
        <v>36414.439947460924</v>
      </c>
      <c r="CG12" s="7">
        <f>'a16'!AJ12</f>
        <v>-5816.7850439219965</v>
      </c>
      <c r="CH12" s="7">
        <f>'a15'!EX11</f>
        <v>90184.8310911062</v>
      </c>
      <c r="CI12" s="7">
        <f>'a9'!AK10</f>
        <v>1355.2853862647896</v>
      </c>
      <c r="CJ12" s="7">
        <f t="shared" si="35"/>
        <v>165800.66263139478</v>
      </c>
      <c r="CK12" s="114">
        <f t="shared" si="8"/>
        <v>0.30331827630138131</v>
      </c>
      <c r="CL12" s="9">
        <f t="shared" si="36"/>
        <v>12.018541518245881</v>
      </c>
      <c r="CM12" s="44">
        <f t="shared" si="37"/>
        <v>0.44366720656511927</v>
      </c>
      <c r="CN12" s="7">
        <f>'a7'!AE12</f>
        <v>58993.50280783484</v>
      </c>
      <c r="CO12" s="7">
        <f>'a8'!BI12</f>
        <v>766.1633893908637</v>
      </c>
      <c r="CP12" s="7">
        <f>'a13'!AQ12</f>
        <v>79904.540392861949</v>
      </c>
      <c r="CQ12" s="7">
        <f>'a16'!AN12</f>
        <v>-10459.432431036399</v>
      </c>
      <c r="CR12" s="7">
        <f>'a15'!FO11</f>
        <v>66176.111552282557</v>
      </c>
      <c r="CS12" s="7">
        <f>'a9'!AO10</f>
        <v>2728.5535403351414</v>
      </c>
      <c r="CT12" s="7">
        <f t="shared" si="38"/>
        <v>192652.33217099865</v>
      </c>
      <c r="CU12" s="114">
        <f t="shared" si="9"/>
        <v>0.37861369303241471</v>
      </c>
      <c r="CV12" s="9">
        <f t="shared" si="39"/>
        <v>12.168642455722004</v>
      </c>
      <c r="CW12" s="44">
        <f t="shared" si="40"/>
        <v>0.52806370544308889</v>
      </c>
      <c r="CX12" s="7">
        <f>'a7'!AH12</f>
        <v>44627.563887141914</v>
      </c>
      <c r="CY12" s="7">
        <f>'a8'!BO12</f>
        <v>314.85816754795968</v>
      </c>
      <c r="CZ12" s="7">
        <f>'a13'!AU12</f>
        <v>33593.51729238205</v>
      </c>
      <c r="DA12" s="7">
        <f>'a16'!AR12</f>
        <v>-6795.5116391214769</v>
      </c>
      <c r="DB12" s="7">
        <f>'a15'!GF11</f>
        <v>81506.825018179923</v>
      </c>
      <c r="DC12" s="7">
        <f>'a9'!AS10</f>
        <v>557.61039836712064</v>
      </c>
      <c r="DD12" s="7">
        <f t="shared" si="41"/>
        <v>152689.64232776323</v>
      </c>
      <c r="DE12" s="44">
        <f t="shared" si="10"/>
        <v>0.266553346803238</v>
      </c>
      <c r="DF12" s="9">
        <f t="shared" si="42"/>
        <v>11.936162658701589</v>
      </c>
      <c r="DG12" s="44">
        <f t="shared" si="43"/>
        <v>0.39734845970050231</v>
      </c>
    </row>
    <row r="13" spans="1:111" hidden="1">
      <c r="A13" s="1">
        <v>1976</v>
      </c>
      <c r="B13" s="7">
        <f>'a7'!D13</f>
        <v>46514.229818001069</v>
      </c>
      <c r="C13" s="7">
        <f>'a8'!G13</f>
        <v>892.83583032118031</v>
      </c>
      <c r="D13" s="7">
        <f>'a13'!G13</f>
        <v>19081.775561800274</v>
      </c>
      <c r="E13" s="7">
        <f>'a16'!D13</f>
        <v>-7205.6574570008424</v>
      </c>
      <c r="F13" s="7">
        <f>'a15'!R12</f>
        <v>71583.903118706425</v>
      </c>
      <c r="G13" s="7">
        <f>'a9'!E11</f>
        <v>690.26948010318392</v>
      </c>
      <c r="H13" s="7">
        <f t="shared" si="11"/>
        <v>130176.81739172491</v>
      </c>
      <c r="I13" s="114">
        <f t="shared" si="0"/>
        <v>0.20342458928402068</v>
      </c>
      <c r="J13" s="9">
        <f t="shared" si="12"/>
        <v>11.776648939076145</v>
      </c>
      <c r="K13" s="114">
        <f t="shared" si="13"/>
        <v>0.30765948316408981</v>
      </c>
      <c r="L13" s="7">
        <f>'a7'!G13</f>
        <v>38473.118464948217</v>
      </c>
      <c r="M13" s="7">
        <f>'a8'!M13</f>
        <v>214.5666903877183</v>
      </c>
      <c r="N13" s="7">
        <f>'a13'!K13</f>
        <v>11282.303609077402</v>
      </c>
      <c r="O13" s="7">
        <f>'a16'!H13</f>
        <v>-4155.3139355607091</v>
      </c>
      <c r="P13" s="7">
        <f>'a15'!AI12</f>
        <v>56436.457000582435</v>
      </c>
      <c r="Q13" s="7">
        <f>'a9'!I11</f>
        <v>496.3062582304334</v>
      </c>
      <c r="R13" s="7">
        <f t="shared" si="14"/>
        <v>101754.82557120464</v>
      </c>
      <c r="S13" s="114">
        <f t="shared" si="1"/>
        <v>0.1237257938219465</v>
      </c>
      <c r="T13" s="9">
        <f t="shared" si="15"/>
        <v>11.530321527941501</v>
      </c>
      <c r="U13" s="44">
        <f t="shared" si="16"/>
        <v>0.1691582091081231</v>
      </c>
      <c r="V13" s="7">
        <f>'a7'!J13</f>
        <v>27740.265322635023</v>
      </c>
      <c r="W13" s="7">
        <f>'a8'!S13</f>
        <v>225.39106331629543</v>
      </c>
      <c r="X13" s="7">
        <f>'a13'!O13</f>
        <v>371.18089073930906</v>
      </c>
      <c r="Y13" s="7">
        <f>'a16'!L13</f>
        <v>-4025.7239551238308</v>
      </c>
      <c r="Z13" s="7">
        <f>'a15'!AZ12</f>
        <v>59222.015508900266</v>
      </c>
      <c r="AA13" s="7">
        <f>'a9'!M11</f>
        <v>483.81051582845441</v>
      </c>
      <c r="AB13" s="7">
        <f t="shared" si="17"/>
        <v>83049.3183146386</v>
      </c>
      <c r="AC13" s="114">
        <f t="shared" si="2"/>
        <v>7.1273227996526037E-2</v>
      </c>
      <c r="AD13" s="9">
        <f t="shared" si="18"/>
        <v>11.327189906875768</v>
      </c>
      <c r="AE13" s="44">
        <f t="shared" si="19"/>
        <v>5.4944414593473163E-2</v>
      </c>
      <c r="AF13" s="7">
        <f>'a7'!M13</f>
        <v>35488.49031210562</v>
      </c>
      <c r="AG13" s="7">
        <f>'a8'!Y13</f>
        <v>600.33831763758064</v>
      </c>
      <c r="AH13" s="7">
        <f>'a13'!S13</f>
        <v>9835.3354820955356</v>
      </c>
      <c r="AI13" s="7">
        <f>'a16'!P13</f>
        <v>-5663.7828341261038</v>
      </c>
      <c r="AJ13" s="7">
        <f>'a15'!BQ12</f>
        <v>60428.997693436599</v>
      </c>
      <c r="AK13" s="7">
        <f>'a9'!Q11</f>
        <v>632.58759797440416</v>
      </c>
      <c r="AL13" s="7">
        <f t="shared" si="20"/>
        <v>100056.79137317483</v>
      </c>
      <c r="AM13" s="114">
        <f t="shared" si="3"/>
        <v>0.11896429501176536</v>
      </c>
      <c r="AN13" s="9">
        <f t="shared" si="21"/>
        <v>11.513493217500002</v>
      </c>
      <c r="AO13" s="44">
        <f t="shared" si="22"/>
        <v>0.15969623966825883</v>
      </c>
      <c r="AP13" s="7">
        <f>'a7'!P13</f>
        <v>35611.340635306471</v>
      </c>
      <c r="AQ13" s="7">
        <f>'a8'!AE13</f>
        <v>1429.2760431166757</v>
      </c>
      <c r="AR13" s="7">
        <f>'a13'!W13</f>
        <v>14671.084705599114</v>
      </c>
      <c r="AS13" s="7">
        <f>'a16'!T13</f>
        <v>-4914.4441790329929</v>
      </c>
      <c r="AT13" s="7">
        <f>'a15'!CH12</f>
        <v>59727.397869877328</v>
      </c>
      <c r="AU13" s="7">
        <f>'a9'!U11</f>
        <v>616.41671535208775</v>
      </c>
      <c r="AV13" s="7">
        <f t="shared" si="23"/>
        <v>105908.23835951452</v>
      </c>
      <c r="AW13" s="114">
        <f t="shared" si="4"/>
        <v>0.13537247919063625</v>
      </c>
      <c r="AX13" s="9">
        <f t="shared" si="24"/>
        <v>11.570328322326841</v>
      </c>
      <c r="AY13" s="44">
        <f t="shared" si="25"/>
        <v>0.19165262809195238</v>
      </c>
      <c r="AZ13" s="7">
        <f>'a7'!S13</f>
        <v>41789.324237688415</v>
      </c>
      <c r="BA13" s="7">
        <f>'a8'!AK13</f>
        <v>562.45276248632183</v>
      </c>
      <c r="BB13" s="7">
        <f>'a13'!AA13</f>
        <v>7575.3279155336404</v>
      </c>
      <c r="BC13" s="7">
        <f>'a16'!X13</f>
        <v>-6045.753494505906</v>
      </c>
      <c r="BD13" s="7">
        <f>'a15'!CY12</f>
        <v>74581.278442537267</v>
      </c>
      <c r="BE13" s="7">
        <f>'a9'!Y11</f>
        <v>358.67779820495508</v>
      </c>
      <c r="BF13" s="7">
        <f t="shared" si="26"/>
        <v>118103.95206553479</v>
      </c>
      <c r="BG13" s="114">
        <f t="shared" si="5"/>
        <v>0.16957077529556883</v>
      </c>
      <c r="BH13" s="9">
        <f t="shared" si="27"/>
        <v>11.679320465347272</v>
      </c>
      <c r="BI13" s="44">
        <f t="shared" si="28"/>
        <v>0.25293509195127756</v>
      </c>
      <c r="BJ13" s="7">
        <f>'a7'!V13</f>
        <v>48712.342408803459</v>
      </c>
      <c r="BK13" s="7">
        <f>'a8'!AQ13</f>
        <v>715.30329480130956</v>
      </c>
      <c r="BL13" s="7">
        <f>'a13'!AE13</f>
        <v>6681.1716156761859</v>
      </c>
      <c r="BM13" s="7">
        <f>'a16'!AB13</f>
        <v>-7590.9158780726493</v>
      </c>
      <c r="BN13" s="7">
        <f>'a15'!DP12</f>
        <v>72077.465138417218</v>
      </c>
      <c r="BO13" s="7">
        <f>'a9'!AC11</f>
        <v>553.46462418690794</v>
      </c>
      <c r="BP13" s="7">
        <f t="shared" si="29"/>
        <v>120041.90195543862</v>
      </c>
      <c r="BQ13" s="114">
        <f t="shared" si="6"/>
        <v>0.17500502750655153</v>
      </c>
      <c r="BR13" s="9">
        <f t="shared" si="30"/>
        <v>11.695596143775989</v>
      </c>
      <c r="BS13" s="44">
        <f t="shared" si="31"/>
        <v>0.26208633576989682</v>
      </c>
      <c r="BT13" s="7">
        <f>'a7'!Y13</f>
        <v>45447.233653628078</v>
      </c>
      <c r="BU13" s="7">
        <f>'a8'!AW13</f>
        <v>429.50321186842058</v>
      </c>
      <c r="BV13" s="7">
        <f>'a13'!AI13</f>
        <v>7731.6397729311075</v>
      </c>
      <c r="BW13" s="7">
        <f>'a16'!AF13</f>
        <v>-6249.7302529157769</v>
      </c>
      <c r="BX13" s="7">
        <f>'a15'!EG12</f>
        <v>90868.924552653363</v>
      </c>
      <c r="BY13" s="7">
        <f>'a9'!AG11</f>
        <v>477.87192721281122</v>
      </c>
      <c r="BZ13" s="7">
        <f t="shared" si="32"/>
        <v>137749.69901095238</v>
      </c>
      <c r="CA13" s="114">
        <f t="shared" si="7"/>
        <v>0.22465988999906616</v>
      </c>
      <c r="CB13" s="9">
        <f t="shared" si="33"/>
        <v>11.833193541974316</v>
      </c>
      <c r="CC13" s="44">
        <f t="shared" si="34"/>
        <v>0.33945253253001961</v>
      </c>
      <c r="CD13" s="7">
        <f>'a7'!AB13</f>
        <v>47512.406559812451</v>
      </c>
      <c r="CE13" s="7">
        <f>'a8'!BC13</f>
        <v>365.76414146158595</v>
      </c>
      <c r="CF13" s="7">
        <f>'a13'!AM13</f>
        <v>33625.387933959093</v>
      </c>
      <c r="CG13" s="7">
        <f>'a16'!AJ13</f>
        <v>-6378.6054864909338</v>
      </c>
      <c r="CH13" s="7">
        <f>'a15'!EX12</f>
        <v>87256.826496809386</v>
      </c>
      <c r="CI13" s="7">
        <f>'a9'!AK11</f>
        <v>1386.5932182363224</v>
      </c>
      <c r="CJ13" s="7">
        <f t="shared" si="35"/>
        <v>160995.18642731526</v>
      </c>
      <c r="CK13" s="114">
        <f t="shared" si="8"/>
        <v>0.28984312411974267</v>
      </c>
      <c r="CL13" s="9">
        <f t="shared" si="36"/>
        <v>11.989129745552662</v>
      </c>
      <c r="CM13" s="44">
        <f t="shared" si="37"/>
        <v>0.42712999711899419</v>
      </c>
      <c r="CN13" s="7">
        <f>'a7'!AE13</f>
        <v>62278.358325928551</v>
      </c>
      <c r="CO13" s="7">
        <f>'a8'!BI13</f>
        <v>827.83755011504115</v>
      </c>
      <c r="CP13" s="7">
        <f>'a13'!AQ13</f>
        <v>87872.439381018048</v>
      </c>
      <c r="CQ13" s="7">
        <f>'a16'!AN13</f>
        <v>-11286.643155444133</v>
      </c>
      <c r="CR13" s="7">
        <f>'a15'!FO12</f>
        <v>69772.646838416011</v>
      </c>
      <c r="CS13" s="7">
        <f>'a9'!AO11</f>
        <v>2742.8871840966676</v>
      </c>
      <c r="CT13" s="7">
        <f t="shared" si="38"/>
        <v>206721.75175593683</v>
      </c>
      <c r="CU13" s="114">
        <f t="shared" si="9"/>
        <v>0.41806609316154691</v>
      </c>
      <c r="CV13" s="9">
        <f t="shared" si="39"/>
        <v>12.239128973592022</v>
      </c>
      <c r="CW13" s="44">
        <f t="shared" si="40"/>
        <v>0.56769580519113483</v>
      </c>
      <c r="CX13" s="7">
        <f>'a7'!AH13</f>
        <v>45547.121767678982</v>
      </c>
      <c r="CY13" s="7">
        <f>'a8'!BO13</f>
        <v>358.87164942345822</v>
      </c>
      <c r="CZ13" s="7">
        <f>'a13'!AU13</f>
        <v>37501.854145404686</v>
      </c>
      <c r="DA13" s="7">
        <f>'a16'!AR13</f>
        <v>-7517.429458254257</v>
      </c>
      <c r="DB13" s="7">
        <f>'a15'!GF12</f>
        <v>84659.40440709854</v>
      </c>
      <c r="DC13" s="7">
        <f>'a9'!AS11</f>
        <v>571.46992367840858</v>
      </c>
      <c r="DD13" s="7">
        <f t="shared" si="41"/>
        <v>159978.352587673</v>
      </c>
      <c r="DE13" s="44">
        <f t="shared" si="10"/>
        <v>0.286991795728815</v>
      </c>
      <c r="DF13" s="9">
        <f t="shared" si="42"/>
        <v>11.982793788735547</v>
      </c>
      <c r="DG13" s="44">
        <f t="shared" si="43"/>
        <v>0.42356751055896508</v>
      </c>
    </row>
    <row r="14" spans="1:111" hidden="1">
      <c r="A14" s="1">
        <v>1977</v>
      </c>
      <c r="B14" s="7">
        <f>'a7'!D14</f>
        <v>47818.838441272666</v>
      </c>
      <c r="C14" s="7">
        <f>'a8'!G14</f>
        <v>958.49579976139785</v>
      </c>
      <c r="D14" s="7">
        <f>'a13'!G14</f>
        <v>18981.944072332644</v>
      </c>
      <c r="E14" s="7">
        <f>'a16'!D14</f>
        <v>-7466.9223140040558</v>
      </c>
      <c r="F14" s="7">
        <f>'a15'!R13</f>
        <v>72319.070412615998</v>
      </c>
      <c r="G14" s="7">
        <f>'a9'!E12</f>
        <v>673.94920644983006</v>
      </c>
      <c r="H14" s="7">
        <f t="shared" si="11"/>
        <v>131937.47720552885</v>
      </c>
      <c r="I14" s="114">
        <f t="shared" si="0"/>
        <v>0.20836169809978436</v>
      </c>
      <c r="J14" s="9">
        <f t="shared" si="12"/>
        <v>11.790083431823472</v>
      </c>
      <c r="K14" s="114">
        <f t="shared" si="13"/>
        <v>0.31521322780513367</v>
      </c>
      <c r="L14" s="7">
        <f>'a7'!G14</f>
        <v>38656.16487543955</v>
      </c>
      <c r="M14" s="7">
        <f>'a8'!M14</f>
        <v>246.48762583814192</v>
      </c>
      <c r="N14" s="7">
        <f>'a13'!K14</f>
        <v>12383.236812693784</v>
      </c>
      <c r="O14" s="7">
        <f>'a16'!H14</f>
        <v>-4368.828598076173</v>
      </c>
      <c r="P14" s="7">
        <f>'a15'!AI13</f>
        <v>57488.497780798898</v>
      </c>
      <c r="Q14" s="7">
        <f>'a9'!I12</f>
        <v>487.92669503937583</v>
      </c>
      <c r="R14" s="7">
        <f t="shared" si="14"/>
        <v>103917.63180165482</v>
      </c>
      <c r="S14" s="114">
        <f t="shared" si="1"/>
        <v>0.12979057114203205</v>
      </c>
      <c r="T14" s="9">
        <f t="shared" si="15"/>
        <v>11.551353862417137</v>
      </c>
      <c r="U14" s="44">
        <f t="shared" si="16"/>
        <v>0.18098395398900693</v>
      </c>
      <c r="V14" s="7">
        <f>'a7'!J14</f>
        <v>28324.415772881188</v>
      </c>
      <c r="W14" s="7">
        <f>'a8'!S14</f>
        <v>248.17417727833768</v>
      </c>
      <c r="X14" s="7">
        <f>'a13'!O14</f>
        <v>359.93454312179068</v>
      </c>
      <c r="Y14" s="7">
        <f>'a16'!L14</f>
        <v>-4152.1813261087027</v>
      </c>
      <c r="Z14" s="7">
        <f>'a15'!AZ13</f>
        <v>59672.514509167209</v>
      </c>
      <c r="AA14" s="7">
        <f>'a9'!M12</f>
        <v>472.933582506211</v>
      </c>
      <c r="AB14" s="7">
        <f t="shared" si="17"/>
        <v>83979.924093833615</v>
      </c>
      <c r="AC14" s="114">
        <f t="shared" si="2"/>
        <v>7.3882762195263629E-2</v>
      </c>
      <c r="AD14" s="9">
        <f t="shared" si="18"/>
        <v>11.338333050377733</v>
      </c>
      <c r="AE14" s="44">
        <f t="shared" si="19"/>
        <v>6.1209813823309492E-2</v>
      </c>
      <c r="AF14" s="7">
        <f>'a7'!M14</f>
        <v>36124.03979391163</v>
      </c>
      <c r="AG14" s="7">
        <f>'a8'!Y14</f>
        <v>670.46879571744614</v>
      </c>
      <c r="AH14" s="7">
        <f>'a13'!S14</f>
        <v>11118.421355127099</v>
      </c>
      <c r="AI14" s="7">
        <f>'a16'!P14</f>
        <v>-5890.0976426469615</v>
      </c>
      <c r="AJ14" s="7">
        <f>'a15'!BQ13</f>
        <v>60982.724171353802</v>
      </c>
      <c r="AK14" s="7">
        <f>'a9'!Q12</f>
        <v>621.28457636682992</v>
      </c>
      <c r="AL14" s="7">
        <f t="shared" si="20"/>
        <v>102384.27189709619</v>
      </c>
      <c r="AM14" s="114">
        <f t="shared" si="3"/>
        <v>0.12549083950552753</v>
      </c>
      <c r="AN14" s="9">
        <f t="shared" si="21"/>
        <v>11.536488385035742</v>
      </c>
      <c r="AO14" s="44">
        <f t="shared" si="22"/>
        <v>0.17262561681780192</v>
      </c>
      <c r="AP14" s="7">
        <f>'a7'!P14</f>
        <v>36717.727418397539</v>
      </c>
      <c r="AQ14" s="7">
        <f>'a8'!AE14</f>
        <v>1391.3580328323214</v>
      </c>
      <c r="AR14" s="7">
        <f>'a13'!W14</f>
        <v>14529.646582922516</v>
      </c>
      <c r="AS14" s="7">
        <f>'a16'!T14</f>
        <v>-5124.5865570635588</v>
      </c>
      <c r="AT14" s="7">
        <f>'a15'!CH13</f>
        <v>60834.515877978592</v>
      </c>
      <c r="AU14" s="7">
        <f>'a9'!U12</f>
        <v>603.37108117791252</v>
      </c>
      <c r="AV14" s="7">
        <f t="shared" si="23"/>
        <v>107745.29027388949</v>
      </c>
      <c r="AW14" s="114">
        <f t="shared" si="4"/>
        <v>0.14052380094533734</v>
      </c>
      <c r="AX14" s="9">
        <f t="shared" si="24"/>
        <v>11.58752529725561</v>
      </c>
      <c r="AY14" s="44">
        <f t="shared" si="25"/>
        <v>0.20132188465812936</v>
      </c>
      <c r="AZ14" s="7">
        <f>'a7'!S14</f>
        <v>43346.154540874551</v>
      </c>
      <c r="BA14" s="7">
        <f>'a8'!AK14</f>
        <v>629.40788414902954</v>
      </c>
      <c r="BB14" s="7">
        <f>'a13'!AA14</f>
        <v>7695.4192371541894</v>
      </c>
      <c r="BC14" s="7">
        <f>'a16'!X14</f>
        <v>-6260.8172466121587</v>
      </c>
      <c r="BD14" s="7">
        <f>'a15'!CY13</f>
        <v>75449.048944306676</v>
      </c>
      <c r="BE14" s="7">
        <f>'a9'!Y12</f>
        <v>352.31646936635588</v>
      </c>
      <c r="BF14" s="7">
        <f t="shared" si="26"/>
        <v>120506.89689050593</v>
      </c>
      <c r="BG14" s="114">
        <f t="shared" si="5"/>
        <v>0.1763089310631655</v>
      </c>
      <c r="BH14" s="9">
        <f t="shared" si="27"/>
        <v>11.699462265880811</v>
      </c>
      <c r="BI14" s="44">
        <f t="shared" si="28"/>
        <v>0.26426012079328259</v>
      </c>
      <c r="BJ14" s="7">
        <f>'a7'!V14</f>
        <v>49747.595330711847</v>
      </c>
      <c r="BK14" s="7">
        <f>'a8'!AQ14</f>
        <v>808.5615379451408</v>
      </c>
      <c r="BL14" s="7">
        <f>'a13'!AE14</f>
        <v>6573.8402540822981</v>
      </c>
      <c r="BM14" s="7">
        <f>'a16'!AB14</f>
        <v>-7863.6783345272843</v>
      </c>
      <c r="BN14" s="7">
        <f>'a15'!DP13</f>
        <v>73089.725846570451</v>
      </c>
      <c r="BO14" s="7">
        <f>'a9'!AC12</f>
        <v>540.93425753133477</v>
      </c>
      <c r="BP14" s="7">
        <f t="shared" si="29"/>
        <v>121815.11037725111</v>
      </c>
      <c r="BQ14" s="114">
        <f t="shared" si="6"/>
        <v>0.17997732417787871</v>
      </c>
      <c r="BR14" s="9">
        <f t="shared" si="30"/>
        <v>11.71025968548979</v>
      </c>
      <c r="BS14" s="44">
        <f t="shared" si="31"/>
        <v>0.27033113158932842</v>
      </c>
      <c r="BT14" s="7">
        <f>'a7'!Y14</f>
        <v>46448.482651785431</v>
      </c>
      <c r="BU14" s="7">
        <f>'a8'!AW14</f>
        <v>488.75506571428502</v>
      </c>
      <c r="BV14" s="7">
        <f>'a13'!AI14</f>
        <v>7549.9410935084397</v>
      </c>
      <c r="BW14" s="7">
        <f>'a16'!AF14</f>
        <v>-6456.7973612410169</v>
      </c>
      <c r="BX14" s="7">
        <f>'a15'!EG13</f>
        <v>91080.789973538631</v>
      </c>
      <c r="BY14" s="7">
        <f>'a9'!AG12</f>
        <v>469.51227752333051</v>
      </c>
      <c r="BZ14" s="7">
        <f t="shared" si="32"/>
        <v>138641.65914578244</v>
      </c>
      <c r="CA14" s="114">
        <f t="shared" si="7"/>
        <v>0.22716105701069064</v>
      </c>
      <c r="CB14" s="9">
        <f t="shared" si="33"/>
        <v>11.839647891612907</v>
      </c>
      <c r="CC14" s="44">
        <f t="shared" si="34"/>
        <v>0.34308158722608417</v>
      </c>
      <c r="CD14" s="7">
        <f>'a7'!AB14</f>
        <v>48587.0558668503</v>
      </c>
      <c r="CE14" s="7">
        <f>'a8'!BC14</f>
        <v>402.46663054490818</v>
      </c>
      <c r="CF14" s="7">
        <f>'a13'!AM14</f>
        <v>33828.278030058042</v>
      </c>
      <c r="CG14" s="7">
        <f>'a16'!AJ14</f>
        <v>-6532.9390062074008</v>
      </c>
      <c r="CH14" s="7">
        <f>'a15'!EX13</f>
        <v>87663.055065804103</v>
      </c>
      <c r="CI14" s="7">
        <f>'a9'!AK12</f>
        <v>1350.8819696789635</v>
      </c>
      <c r="CJ14" s="7">
        <f t="shared" si="35"/>
        <v>162597.03461737098</v>
      </c>
      <c r="CK14" s="114">
        <f t="shared" si="8"/>
        <v>0.29433490541595614</v>
      </c>
      <c r="CL14" s="9">
        <f t="shared" si="36"/>
        <v>11.999030238644005</v>
      </c>
      <c r="CM14" s="44">
        <f t="shared" si="37"/>
        <v>0.43269669755487822</v>
      </c>
      <c r="CN14" s="7">
        <f>'a7'!AE14</f>
        <v>64643.434741613419</v>
      </c>
      <c r="CO14" s="7">
        <f>'a8'!BI14</f>
        <v>872.62247219695757</v>
      </c>
      <c r="CP14" s="7">
        <f>'a13'!AQ14</f>
        <v>85278.559522903888</v>
      </c>
      <c r="CQ14" s="7">
        <f>'a16'!AN14</f>
        <v>-11298.018089912175</v>
      </c>
      <c r="CR14" s="7">
        <f>'a15'!FO13</f>
        <v>70932.819756110024</v>
      </c>
      <c r="CS14" s="7">
        <f>'a9'!AO12</f>
        <v>2599.7237622552911</v>
      </c>
      <c r="CT14" s="7">
        <f t="shared" si="38"/>
        <v>207829.69464065685</v>
      </c>
      <c r="CU14" s="114">
        <f t="shared" si="9"/>
        <v>0.42117290263185325</v>
      </c>
      <c r="CV14" s="9">
        <f t="shared" si="39"/>
        <v>12.244474247537426</v>
      </c>
      <c r="CW14" s="44">
        <f t="shared" si="40"/>
        <v>0.57070126547753341</v>
      </c>
      <c r="CX14" s="7">
        <f>'a7'!AH14</f>
        <v>46501.092161855646</v>
      </c>
      <c r="CY14" s="7">
        <f>'a8'!BO14</f>
        <v>404.05553412385859</v>
      </c>
      <c r="CZ14" s="7">
        <f>'a13'!AU14</f>
        <v>37425.955678625221</v>
      </c>
      <c r="DA14" s="7">
        <f>'a16'!AR14</f>
        <v>-7820.2102882315667</v>
      </c>
      <c r="DB14" s="7">
        <f>'a15'!GF13</f>
        <v>86147.448155703751</v>
      </c>
      <c r="DC14" s="7">
        <f>'a9'!AS12</f>
        <v>556.52821031933127</v>
      </c>
      <c r="DD14" s="7">
        <f t="shared" si="41"/>
        <v>162101.81303175754</v>
      </c>
      <c r="DE14" s="44">
        <f t="shared" si="10"/>
        <v>0.29294624257665036</v>
      </c>
      <c r="DF14" s="9">
        <f t="shared" si="42"/>
        <v>11.995979892311174</v>
      </c>
      <c r="DG14" s="44">
        <f t="shared" si="43"/>
        <v>0.43098159467021352</v>
      </c>
    </row>
    <row r="15" spans="1:111" hidden="1">
      <c r="A15" s="1">
        <v>1978</v>
      </c>
      <c r="B15" s="7">
        <f>'a7'!D15</f>
        <v>49062.541096864225</v>
      </c>
      <c r="C15" s="7">
        <f>'a8'!G15</f>
        <v>1022.7549379554968</v>
      </c>
      <c r="D15" s="7">
        <f>'a13'!G15</f>
        <v>20655.952339748874</v>
      </c>
      <c r="E15" s="7">
        <f>'a16'!D15</f>
        <v>-8900.0088269904172</v>
      </c>
      <c r="F15" s="7">
        <f>'a15'!R14</f>
        <v>73042.819265997008</v>
      </c>
      <c r="G15" s="7">
        <f>'a9'!E13</f>
        <v>675.57061271149519</v>
      </c>
      <c r="H15" s="7">
        <f t="shared" si="11"/>
        <v>134208.48820086371</v>
      </c>
      <c r="I15" s="114">
        <f t="shared" si="0"/>
        <v>0.2147298950211077</v>
      </c>
      <c r="J15" s="9">
        <f t="shared" si="12"/>
        <v>11.807149751898512</v>
      </c>
      <c r="K15" s="114">
        <f t="shared" si="13"/>
        <v>0.3248090217240977</v>
      </c>
      <c r="L15" s="7">
        <f>'a7'!G15</f>
        <v>38977.889820819219</v>
      </c>
      <c r="M15" s="7">
        <f>'a8'!M15</f>
        <v>281.47695199556858</v>
      </c>
      <c r="N15" s="7">
        <f>'a13'!K15</f>
        <v>14314.346978705224</v>
      </c>
      <c r="O15" s="7">
        <f>'a16'!H15</f>
        <v>-5266.8068859089026</v>
      </c>
      <c r="P15" s="7">
        <f>'a15'!AI14</f>
        <v>59117.363174577338</v>
      </c>
      <c r="Q15" s="7">
        <f>'a9'!I13</f>
        <v>491.99989623897955</v>
      </c>
      <c r="R15" s="7">
        <f t="shared" si="14"/>
        <v>106932.27014394947</v>
      </c>
      <c r="S15" s="114">
        <f t="shared" si="1"/>
        <v>0.13824399151284511</v>
      </c>
      <c r="T15" s="9">
        <f t="shared" si="15"/>
        <v>11.579950923712845</v>
      </c>
      <c r="U15" s="44">
        <f t="shared" si="16"/>
        <v>0.19706307975689449</v>
      </c>
      <c r="V15" s="7">
        <f>'a7'!J15</f>
        <v>29279.494428191054</v>
      </c>
      <c r="W15" s="7">
        <f>'a8'!S15</f>
        <v>269.58043463948803</v>
      </c>
      <c r="X15" s="7">
        <f>'a13'!O15</f>
        <v>384.38330853619095</v>
      </c>
      <c r="Y15" s="7">
        <f>'a16'!L15</f>
        <v>-4918.0282411997523</v>
      </c>
      <c r="Z15" s="7">
        <f>'a15'!AZ14</f>
        <v>60839.50062914224</v>
      </c>
      <c r="AA15" s="7">
        <f>'a9'!M13</f>
        <v>471.80213476595304</v>
      </c>
      <c r="AB15" s="7">
        <f t="shared" si="17"/>
        <v>85383.128424543276</v>
      </c>
      <c r="AC15" s="114">
        <f t="shared" si="2"/>
        <v>7.7817521435605955E-2</v>
      </c>
      <c r="AD15" s="9">
        <f t="shared" si="18"/>
        <v>11.354903800827648</v>
      </c>
      <c r="AE15" s="44">
        <f t="shared" si="19"/>
        <v>7.0526966302625962E-2</v>
      </c>
      <c r="AF15" s="7">
        <f>'a7'!M15</f>
        <v>37002.987587434938</v>
      </c>
      <c r="AG15" s="7">
        <f>'a8'!Y15</f>
        <v>741.32901032397911</v>
      </c>
      <c r="AH15" s="7">
        <f>'a13'!S15</f>
        <v>10759.042188206953</v>
      </c>
      <c r="AI15" s="7">
        <f>'a16'!P15</f>
        <v>-7052.2806734361675</v>
      </c>
      <c r="AJ15" s="7">
        <f>'a15'!BQ14</f>
        <v>61722.482170934927</v>
      </c>
      <c r="AK15" s="7">
        <f>'a9'!Q13</f>
        <v>625.58403631959379</v>
      </c>
      <c r="AL15" s="7">
        <f t="shared" si="20"/>
        <v>102547.97624714505</v>
      </c>
      <c r="AM15" s="114">
        <f t="shared" si="3"/>
        <v>0.12594988683736782</v>
      </c>
      <c r="AN15" s="9">
        <f t="shared" si="21"/>
        <v>11.538086029002001</v>
      </c>
      <c r="AO15" s="44">
        <f t="shared" si="22"/>
        <v>0.17352391605212328</v>
      </c>
      <c r="AP15" s="7">
        <f>'a7'!P15</f>
        <v>38117.912007479477</v>
      </c>
      <c r="AQ15" s="7">
        <f>'a8'!AE15</f>
        <v>1335.8267561019325</v>
      </c>
      <c r="AR15" s="7">
        <f>'a13'!W15</f>
        <v>14390.30876086024</v>
      </c>
      <c r="AS15" s="7">
        <f>'a16'!T15</f>
        <v>-6098.380853136121</v>
      </c>
      <c r="AT15" s="7">
        <f>'a15'!CH14</f>
        <v>61232.767016803758</v>
      </c>
      <c r="AU15" s="7">
        <f>'a9'!U13</f>
        <v>607.66768374227354</v>
      </c>
      <c r="AV15" s="7">
        <f t="shared" si="23"/>
        <v>108370.766004367</v>
      </c>
      <c r="AW15" s="114">
        <f t="shared" si="4"/>
        <v>0.14227771258617553</v>
      </c>
      <c r="AX15" s="9">
        <f t="shared" si="24"/>
        <v>11.593313645309214</v>
      </c>
      <c r="AY15" s="44">
        <f t="shared" si="25"/>
        <v>0.20457646999400733</v>
      </c>
      <c r="AZ15" s="7">
        <f>'a7'!S15</f>
        <v>44700.998826325878</v>
      </c>
      <c r="BA15" s="7">
        <f>'a8'!AK15</f>
        <v>700.45177930594957</v>
      </c>
      <c r="BB15" s="7">
        <f>'a13'!AA15</f>
        <v>8415.7827309229942</v>
      </c>
      <c r="BC15" s="7">
        <f>'a16'!X15</f>
        <v>-7500.0265657544533</v>
      </c>
      <c r="BD15" s="7">
        <f>'a15'!CY14</f>
        <v>76201.043129451718</v>
      </c>
      <c r="BE15" s="7">
        <f>'a9'!Y13</f>
        <v>356.29149323138074</v>
      </c>
      <c r="BF15" s="7">
        <f t="shared" si="26"/>
        <v>122161.95840702071</v>
      </c>
      <c r="BG15" s="114">
        <f t="shared" si="5"/>
        <v>0.18094992913658789</v>
      </c>
      <c r="BH15" s="9">
        <f t="shared" si="27"/>
        <v>11.713102971255667</v>
      </c>
      <c r="BI15" s="44">
        <f t="shared" si="28"/>
        <v>0.27192981157084267</v>
      </c>
      <c r="BJ15" s="7">
        <f>'a7'!V15</f>
        <v>50595.333966462029</v>
      </c>
      <c r="BK15" s="7">
        <f>'a8'!AQ15</f>
        <v>905.91557496735834</v>
      </c>
      <c r="BL15" s="7">
        <f>'a13'!AE15</f>
        <v>6873.0175032319385</v>
      </c>
      <c r="BM15" s="7">
        <f>'a16'!AB15</f>
        <v>-9380.1418164954757</v>
      </c>
      <c r="BN15" s="7">
        <f>'a15'!DP14</f>
        <v>73826.303591418749</v>
      </c>
      <c r="BO15" s="7">
        <f>'a9'!AC13</f>
        <v>542.17336322094059</v>
      </c>
      <c r="BP15" s="7">
        <f t="shared" si="29"/>
        <v>122278.25545636367</v>
      </c>
      <c r="BQ15" s="114">
        <f t="shared" si="6"/>
        <v>0.18127604050861831</v>
      </c>
      <c r="BR15" s="9">
        <f t="shared" si="30"/>
        <v>11.714054509108459</v>
      </c>
      <c r="BS15" s="44">
        <f t="shared" si="31"/>
        <v>0.27246482797164495</v>
      </c>
      <c r="BT15" s="7">
        <f>'a7'!Y15</f>
        <v>47404.253992531332</v>
      </c>
      <c r="BU15" s="7">
        <f>'a8'!AW15</f>
        <v>552.06611139229437</v>
      </c>
      <c r="BV15" s="7">
        <f>'a13'!AI15</f>
        <v>8057.1062695556557</v>
      </c>
      <c r="BW15" s="7">
        <f>'a16'!AF15</f>
        <v>-7700.061795817247</v>
      </c>
      <c r="BX15" s="7">
        <f>'a15'!EG14</f>
        <v>91549.761829189098</v>
      </c>
      <c r="BY15" s="7">
        <f>'a9'!AG13</f>
        <v>473.74641416298215</v>
      </c>
      <c r="BZ15" s="7">
        <f t="shared" si="32"/>
        <v>139389.37999268816</v>
      </c>
      <c r="CA15" s="114">
        <f t="shared" si="7"/>
        <v>0.22925775914249699</v>
      </c>
      <c r="CB15" s="9">
        <f t="shared" si="33"/>
        <v>11.845026590709793</v>
      </c>
      <c r="CC15" s="44">
        <f t="shared" si="34"/>
        <v>0.34610584130422711</v>
      </c>
      <c r="CD15" s="7">
        <f>'a7'!AB15</f>
        <v>49730.304379324458</v>
      </c>
      <c r="CE15" s="7">
        <f>'a8'!BC15</f>
        <v>440.44530622266996</v>
      </c>
      <c r="CF15" s="7">
        <f>'a13'!AM15</f>
        <v>36832.541523144966</v>
      </c>
      <c r="CG15" s="7">
        <f>'a16'!AJ15</f>
        <v>-7726.5873004386494</v>
      </c>
      <c r="CH15" s="7">
        <f>'a15'!EX14</f>
        <v>88180.824766213729</v>
      </c>
      <c r="CI15" s="7">
        <f>'a9'!AK13</f>
        <v>1356.4654380461493</v>
      </c>
      <c r="CJ15" s="7">
        <f t="shared" si="35"/>
        <v>166101.06323642103</v>
      </c>
      <c r="CK15" s="114">
        <f t="shared" si="8"/>
        <v>0.30416063691170925</v>
      </c>
      <c r="CL15" s="9">
        <f t="shared" si="36"/>
        <v>12.020351696763445</v>
      </c>
      <c r="CM15" s="44">
        <f t="shared" si="37"/>
        <v>0.44468500653223025</v>
      </c>
      <c r="CN15" s="7">
        <f>'a7'!AE15</f>
        <v>67593.63142177416</v>
      </c>
      <c r="CO15" s="7">
        <f>'a8'!BI15</f>
        <v>912.02476188767866</v>
      </c>
      <c r="CP15" s="7">
        <f>'a13'!AQ15</f>
        <v>91642.408291212341</v>
      </c>
      <c r="CQ15" s="7">
        <f>'a16'!AN15</f>
        <v>-12949.725814850593</v>
      </c>
      <c r="CR15" s="7">
        <f>'a15'!FO14</f>
        <v>72125.162217415476</v>
      </c>
      <c r="CS15" s="7">
        <f>'a9'!AO13</f>
        <v>2535.7630729151906</v>
      </c>
      <c r="CT15" s="7">
        <f t="shared" si="38"/>
        <v>216787.73780452384</v>
      </c>
      <c r="CU15" s="114">
        <f t="shared" si="9"/>
        <v>0.44629236837394137</v>
      </c>
      <c r="CV15" s="9">
        <f t="shared" si="39"/>
        <v>12.286673987005821</v>
      </c>
      <c r="CW15" s="44">
        <f t="shared" si="40"/>
        <v>0.59442870065935305</v>
      </c>
      <c r="CX15" s="7">
        <f>'a7'!AH15</f>
        <v>47436.591614592136</v>
      </c>
      <c r="CY15" s="7">
        <f>'a8'!BO15</f>
        <v>449.99390815680988</v>
      </c>
      <c r="CZ15" s="7">
        <f>'a13'!AU15</f>
        <v>38815.28422497421</v>
      </c>
      <c r="DA15" s="7">
        <f>'a16'!AR15</f>
        <v>-9295.1968537688208</v>
      </c>
      <c r="DB15" s="7">
        <f>'a15'!GF14</f>
        <v>86573.173763168932</v>
      </c>
      <c r="DC15" s="7">
        <f>'a9'!AS13</f>
        <v>553.78569738441342</v>
      </c>
      <c r="DD15" s="7">
        <f t="shared" si="41"/>
        <v>163426.06095973885</v>
      </c>
      <c r="DE15" s="44">
        <f t="shared" si="10"/>
        <v>0.29665959825628496</v>
      </c>
      <c r="DF15" s="9">
        <f t="shared" si="42"/>
        <v>12.004115940488242</v>
      </c>
      <c r="DG15" s="44">
        <f t="shared" si="43"/>
        <v>0.43555620954199775</v>
      </c>
    </row>
    <row r="16" spans="1:111" hidden="1">
      <c r="A16" s="1">
        <v>1979</v>
      </c>
      <c r="B16" s="7">
        <f>'a7'!D16</f>
        <v>50472.895555754621</v>
      </c>
      <c r="C16" s="7">
        <f>'a8'!G16</f>
        <v>1088.0947732070324</v>
      </c>
      <c r="D16" s="7">
        <f>'a13'!G16</f>
        <v>26714.57123032922</v>
      </c>
      <c r="E16" s="7">
        <f>'a16'!D16</f>
        <v>-9419.0255313904763</v>
      </c>
      <c r="F16" s="7">
        <f>'a15'!R15</f>
        <v>73627.592801299863</v>
      </c>
      <c r="G16" s="7">
        <f>'a9'!E14</f>
        <v>695.9292671690954</v>
      </c>
      <c r="H16" s="7">
        <f t="shared" si="11"/>
        <v>141788.19956203116</v>
      </c>
      <c r="I16" s="114">
        <f t="shared" si="0"/>
        <v>0.23598434718089964</v>
      </c>
      <c r="J16" s="9">
        <f t="shared" si="12"/>
        <v>11.862089670731745</v>
      </c>
      <c r="K16" s="114">
        <f t="shared" si="13"/>
        <v>0.35569981345484375</v>
      </c>
      <c r="L16" s="7">
        <f>'a7'!G16</f>
        <v>39945.471385344026</v>
      </c>
      <c r="M16" s="7">
        <f>'a8'!M16</f>
        <v>317.2494056593543</v>
      </c>
      <c r="N16" s="7">
        <f>'a13'!K16</f>
        <v>24455.943841661028</v>
      </c>
      <c r="O16" s="7">
        <f>'a16'!H16</f>
        <v>-5632.3769592532317</v>
      </c>
      <c r="P16" s="7">
        <f>'a15'!AI15</f>
        <v>59581.674273203098</v>
      </c>
      <c r="Q16" s="7">
        <f>'a9'!I14</f>
        <v>509.68024408337186</v>
      </c>
      <c r="R16" s="7">
        <f t="shared" si="14"/>
        <v>118158.28170253091</v>
      </c>
      <c r="S16" s="114">
        <f t="shared" si="1"/>
        <v>0.16972312234618461</v>
      </c>
      <c r="T16" s="9">
        <f t="shared" si="15"/>
        <v>11.679780374974701</v>
      </c>
      <c r="U16" s="44">
        <f t="shared" si="16"/>
        <v>0.25319368302344475</v>
      </c>
      <c r="V16" s="7">
        <f>'a7'!J16</f>
        <v>30397.508239410829</v>
      </c>
      <c r="W16" s="7">
        <f>'a8'!S16</f>
        <v>291.0497681856283</v>
      </c>
      <c r="X16" s="7">
        <f>'a13'!O16</f>
        <v>742.40518904225951</v>
      </c>
      <c r="Y16" s="7">
        <f>'a16'!L16</f>
        <v>-5253.0197243572675</v>
      </c>
      <c r="Z16" s="7">
        <f>'a15'!AZ15</f>
        <v>60561.97465367354</v>
      </c>
      <c r="AA16" s="7">
        <f>'a9'!M14</f>
        <v>486.05684519264878</v>
      </c>
      <c r="AB16" s="7">
        <f t="shared" si="17"/>
        <v>86253.861280762329</v>
      </c>
      <c r="AC16" s="114">
        <f t="shared" si="2"/>
        <v>8.0259164521288867E-2</v>
      </c>
      <c r="AD16" s="9">
        <f t="shared" si="18"/>
        <v>11.365050102364135</v>
      </c>
      <c r="AE16" s="44">
        <f t="shared" si="19"/>
        <v>7.6231876216169225E-2</v>
      </c>
      <c r="AF16" s="7">
        <f>'a7'!M16</f>
        <v>37866.103089724937</v>
      </c>
      <c r="AG16" s="7">
        <f>'a8'!Y16</f>
        <v>810.31092229832393</v>
      </c>
      <c r="AH16" s="7">
        <f>'a13'!S16</f>
        <v>15783.307315386855</v>
      </c>
      <c r="AI16" s="7">
        <f>'a16'!P16</f>
        <v>-7588.7841777738377</v>
      </c>
      <c r="AJ16" s="7">
        <f>'a15'!BQ15</f>
        <v>62394.967848242151</v>
      </c>
      <c r="AK16" s="7">
        <f>'a9'!Q14</f>
        <v>647.19250533069544</v>
      </c>
      <c r="AL16" s="7">
        <f t="shared" si="20"/>
        <v>108618.71249254774</v>
      </c>
      <c r="AM16" s="114">
        <f t="shared" si="3"/>
        <v>0.14297298533735509</v>
      </c>
      <c r="AN16" s="9">
        <f t="shared" si="21"/>
        <v>11.595598978200115</v>
      </c>
      <c r="AO16" s="44">
        <f t="shared" si="22"/>
        <v>0.20586143261986306</v>
      </c>
      <c r="AP16" s="7">
        <f>'a7'!P16</f>
        <v>40027.857039242961</v>
      </c>
      <c r="AQ16" s="7">
        <f>'a8'!AE16</f>
        <v>1264.7370487771884</v>
      </c>
      <c r="AR16" s="7">
        <f>'a13'!W16</f>
        <v>19518.046634759343</v>
      </c>
      <c r="AS16" s="7">
        <f>'a16'!T16</f>
        <v>-6601.199604755976</v>
      </c>
      <c r="AT16" s="7">
        <f>'a15'!CH15</f>
        <v>61819.793307999644</v>
      </c>
      <c r="AU16" s="7">
        <f>'a9'!U14</f>
        <v>628.9298217100993</v>
      </c>
      <c r="AV16" s="7">
        <f t="shared" si="23"/>
        <v>115400.30460431307</v>
      </c>
      <c r="AW16" s="114">
        <f t="shared" si="4"/>
        <v>0.16198941198457475</v>
      </c>
      <c r="AX16" s="9">
        <f t="shared" si="24"/>
        <v>11.656162272604758</v>
      </c>
      <c r="AY16" s="44">
        <f t="shared" si="25"/>
        <v>0.23991405143898709</v>
      </c>
      <c r="AZ16" s="7">
        <f>'a7'!S16</f>
        <v>45865.15573161505</v>
      </c>
      <c r="BA16" s="7">
        <f>'a8'!AK16</f>
        <v>768.81135453497097</v>
      </c>
      <c r="BB16" s="7">
        <f>'a13'!AA16</f>
        <v>11900.974764155459</v>
      </c>
      <c r="BC16" s="7">
        <f>'a16'!X16</f>
        <v>-8057.0603388770987</v>
      </c>
      <c r="BD16" s="7">
        <f>'a15'!CY15</f>
        <v>76947.834445135042</v>
      </c>
      <c r="BE16" s="7">
        <f>'a9'!Y14</f>
        <v>369.21505389378382</v>
      </c>
      <c r="BF16" s="7">
        <f t="shared" si="26"/>
        <v>127056.50090266964</v>
      </c>
      <c r="BG16" s="114">
        <f t="shared" si="5"/>
        <v>0.19467483426303003</v>
      </c>
      <c r="BH16" s="9">
        <f t="shared" si="27"/>
        <v>11.752387155504358</v>
      </c>
      <c r="BI16" s="44">
        <f t="shared" si="28"/>
        <v>0.2940179321889701</v>
      </c>
      <c r="BJ16" s="7">
        <f>'a7'!V16</f>
        <v>51514.649770355609</v>
      </c>
      <c r="BK16" s="7">
        <f>'a8'!AQ16</f>
        <v>1005.4205600527885</v>
      </c>
      <c r="BL16" s="7">
        <f>'a13'!AE16</f>
        <v>11245.364332345769</v>
      </c>
      <c r="BM16" s="7">
        <f>'a16'!AB16</f>
        <v>-10061.12370685436</v>
      </c>
      <c r="BN16" s="7">
        <f>'a15'!DP15</f>
        <v>74079.01280729202</v>
      </c>
      <c r="BO16" s="7">
        <f>'a9'!AC14</f>
        <v>559.3821298547673</v>
      </c>
      <c r="BP16" s="7">
        <f t="shared" si="29"/>
        <v>127223.94163333706</v>
      </c>
      <c r="BQ16" s="114">
        <f t="shared" si="6"/>
        <v>0.19514435887023393</v>
      </c>
      <c r="BR16" s="9">
        <f t="shared" si="30"/>
        <v>11.753704132564794</v>
      </c>
      <c r="BS16" s="44">
        <f t="shared" si="31"/>
        <v>0.29475842225433713</v>
      </c>
      <c r="BT16" s="7">
        <f>'a7'!Y16</f>
        <v>48287.577125382733</v>
      </c>
      <c r="BU16" s="7">
        <f>'a8'!AW16</f>
        <v>622.39685014568602</v>
      </c>
      <c r="BV16" s="7">
        <f>'a13'!AI16</f>
        <v>14652.447087882259</v>
      </c>
      <c r="BW16" s="7">
        <f>'a16'!AF16</f>
        <v>-8371.011443822601</v>
      </c>
      <c r="BX16" s="7">
        <f>'a15'!EG15</f>
        <v>92388.128881198121</v>
      </c>
      <c r="BY16" s="7">
        <f>'a9'!AG14</f>
        <v>494.59181007376344</v>
      </c>
      <c r="BZ16" s="7">
        <f t="shared" si="32"/>
        <v>147084.94669071244</v>
      </c>
      <c r="CA16" s="114">
        <f t="shared" si="7"/>
        <v>0.25083708405764155</v>
      </c>
      <c r="CB16" s="9">
        <f t="shared" si="33"/>
        <v>11.898765567503386</v>
      </c>
      <c r="CC16" s="44">
        <f t="shared" si="34"/>
        <v>0.37632138539691556</v>
      </c>
      <c r="CD16" s="7">
        <f>'a7'!AB16</f>
        <v>51851.372201701517</v>
      </c>
      <c r="CE16" s="7">
        <f>'a8'!BC16</f>
        <v>477.65865277019321</v>
      </c>
      <c r="CF16" s="7">
        <f>'a13'!AM16</f>
        <v>59351.976896543973</v>
      </c>
      <c r="CG16" s="7">
        <f>'a16'!AJ16</f>
        <v>-8284.959400189844</v>
      </c>
      <c r="CH16" s="7">
        <f>'a15'!EX15</f>
        <v>89330.472496444097</v>
      </c>
      <c r="CI16" s="7">
        <f>'a9'!AK14</f>
        <v>1400.4997143587277</v>
      </c>
      <c r="CJ16" s="7">
        <f t="shared" si="35"/>
        <v>191326.02113291121</v>
      </c>
      <c r="CK16" s="114">
        <f t="shared" si="8"/>
        <v>0.37489455213577616</v>
      </c>
      <c r="CL16" s="9">
        <f t="shared" si="36"/>
        <v>12.161734168827925</v>
      </c>
      <c r="CM16" s="44">
        <f t="shared" si="37"/>
        <v>0.52417941773037824</v>
      </c>
      <c r="CN16" s="7">
        <f>'a7'!AE16</f>
        <v>71351.502504094009</v>
      </c>
      <c r="CO16" s="7">
        <f>'a8'!BI16</f>
        <v>945.47410129077059</v>
      </c>
      <c r="CP16" s="7">
        <f>'a13'!AQ16</f>
        <v>96201.387853002452</v>
      </c>
      <c r="CQ16" s="7">
        <f>'a16'!AN16</f>
        <v>-13547.987582014048</v>
      </c>
      <c r="CR16" s="7">
        <f>'a15'!FO15</f>
        <v>72521.996027715271</v>
      </c>
      <c r="CS16" s="7">
        <f>'a9'!AO14</f>
        <v>2544.1502389234352</v>
      </c>
      <c r="CT16" s="7">
        <f t="shared" si="38"/>
        <v>224928.22266516503</v>
      </c>
      <c r="CU16" s="114">
        <f t="shared" si="9"/>
        <v>0.46911929908194117</v>
      </c>
      <c r="CV16" s="9">
        <f t="shared" si="39"/>
        <v>12.323536619914877</v>
      </c>
      <c r="CW16" s="44">
        <f t="shared" si="40"/>
        <v>0.61515526778984175</v>
      </c>
      <c r="CX16" s="7">
        <f>'a7'!AH16</f>
        <v>48739.565097000719</v>
      </c>
      <c r="CY16" s="7">
        <f>'a8'!BO16</f>
        <v>495.28546354336515</v>
      </c>
      <c r="CZ16" s="7">
        <f>'a13'!AU16</f>
        <v>50382.632150621415</v>
      </c>
      <c r="DA16" s="7">
        <f>'a16'!AR16</f>
        <v>-9902.2015088527314</v>
      </c>
      <c r="DB16" s="7">
        <f>'a15'!GF15</f>
        <v>88261.904868697049</v>
      </c>
      <c r="DC16" s="7">
        <f>'a9'!AS14</f>
        <v>565.32331106945048</v>
      </c>
      <c r="DD16" s="7">
        <f t="shared" si="41"/>
        <v>177411.86275994038</v>
      </c>
      <c r="DE16" s="44">
        <f t="shared" si="10"/>
        <v>0.3358775237305513</v>
      </c>
      <c r="DF16" s="9">
        <f t="shared" si="42"/>
        <v>12.086229216745586</v>
      </c>
      <c r="DG16" s="44">
        <f t="shared" si="43"/>
        <v>0.4817256282281514</v>
      </c>
    </row>
    <row r="17" spans="1:111" hidden="1">
      <c r="A17" s="1">
        <v>1980</v>
      </c>
      <c r="B17" s="7">
        <f>'a7'!D17</f>
        <v>51702.403997411115</v>
      </c>
      <c r="C17" s="7">
        <f>'a8'!G17</f>
        <v>1149.7180157023406</v>
      </c>
      <c r="D17" s="7">
        <f>'a13'!G17</f>
        <v>31642.778590387235</v>
      </c>
      <c r="E17" s="7">
        <f>'a16'!D17</f>
        <v>-8957.7540469702235</v>
      </c>
      <c r="F17" s="7">
        <f>'a15'!R16</f>
        <v>74613.874581961907</v>
      </c>
      <c r="G17" s="7">
        <f>'a9'!E15</f>
        <v>677.55914324228922</v>
      </c>
      <c r="H17" s="7">
        <f t="shared" si="11"/>
        <v>149473.46199525011</v>
      </c>
      <c r="I17" s="114">
        <f t="shared" si="0"/>
        <v>0.25753477765760036</v>
      </c>
      <c r="J17" s="9">
        <f t="shared" si="12"/>
        <v>11.914874144318347</v>
      </c>
      <c r="K17" s="114">
        <f t="shared" si="13"/>
        <v>0.38537867383194491</v>
      </c>
      <c r="L17" s="7">
        <f>'a7'!G17</f>
        <v>40692.38353303921</v>
      </c>
      <c r="M17" s="7">
        <f>'a8'!M17</f>
        <v>351.40752348491407</v>
      </c>
      <c r="N17" s="7">
        <f>'a13'!K17</f>
        <v>27415.333756433884</v>
      </c>
      <c r="O17" s="7">
        <f>'a16'!H17</f>
        <v>-5481.073503347282</v>
      </c>
      <c r="P17" s="7">
        <f>'a15'!AI16</f>
        <v>60468.412642289877</v>
      </c>
      <c r="Q17" s="7">
        <f>'a9'!I15</f>
        <v>500.31165809885147</v>
      </c>
      <c r="R17" s="7">
        <f t="shared" si="14"/>
        <v>122946.15229380174</v>
      </c>
      <c r="S17" s="114">
        <f t="shared" si="1"/>
        <v>0.18314890620265148</v>
      </c>
      <c r="T17" s="9">
        <f t="shared" si="15"/>
        <v>11.719501752268931</v>
      </c>
      <c r="U17" s="44">
        <f t="shared" si="16"/>
        <v>0.27552762197553909</v>
      </c>
      <c r="V17" s="7">
        <f>'a7'!J17</f>
        <v>31433.465874651472</v>
      </c>
      <c r="W17" s="7">
        <f>'a8'!S17</f>
        <v>301.16765508925857</v>
      </c>
      <c r="X17" s="7">
        <f>'a13'!O17</f>
        <v>821.3021812985636</v>
      </c>
      <c r="Y17" s="7">
        <f>'a16'!L17</f>
        <v>-5067.4722186602576</v>
      </c>
      <c r="Z17" s="7">
        <f>'a15'!AZ16</f>
        <v>61103.848983418757</v>
      </c>
      <c r="AA17" s="7">
        <f>'a9'!M15</f>
        <v>476.07581971390107</v>
      </c>
      <c r="AB17" s="7">
        <f t="shared" si="17"/>
        <v>88116.236656083885</v>
      </c>
      <c r="AC17" s="114">
        <f t="shared" si="2"/>
        <v>8.5481496406001917E-2</v>
      </c>
      <c r="AD17" s="9">
        <f t="shared" si="18"/>
        <v>11.386412092969399</v>
      </c>
      <c r="AE17" s="44">
        <f t="shared" si="19"/>
        <v>8.8242975190385584E-2</v>
      </c>
      <c r="AF17" s="7">
        <f>'a7'!M17</f>
        <v>38631.076432665352</v>
      </c>
      <c r="AG17" s="7">
        <f>'a8'!Y17</f>
        <v>861.26703148341505</v>
      </c>
      <c r="AH17" s="7">
        <f>'a13'!S17</f>
        <v>17085.267915876051</v>
      </c>
      <c r="AI17" s="7">
        <f>'a16'!P17</f>
        <v>-7448.5728729291859</v>
      </c>
      <c r="AJ17" s="7">
        <f>'a15'!BQ16</f>
        <v>63229.201693310759</v>
      </c>
      <c r="AK17" s="7">
        <f>'a9'!Q15</f>
        <v>635.84470541663006</v>
      </c>
      <c r="AL17" s="7">
        <f t="shared" si="20"/>
        <v>111722.39549498976</v>
      </c>
      <c r="AM17" s="114">
        <f t="shared" si="3"/>
        <v>0.1516760979957773</v>
      </c>
      <c r="AN17" s="9">
        <f t="shared" si="21"/>
        <v>11.623772461782243</v>
      </c>
      <c r="AO17" s="44">
        <f t="shared" si="22"/>
        <v>0.22170239547797832</v>
      </c>
      <c r="AP17" s="7">
        <f>'a7'!P17</f>
        <v>40897.762733656273</v>
      </c>
      <c r="AQ17" s="7">
        <f>'a8'!AE17</f>
        <v>1111.4548632414351</v>
      </c>
      <c r="AR17" s="7">
        <f>'a13'!W17</f>
        <v>22057.320999231753</v>
      </c>
      <c r="AS17" s="7">
        <f>'a16'!T17</f>
        <v>-6451.63831888391</v>
      </c>
      <c r="AT17" s="7">
        <f>'a15'!CH16</f>
        <v>63282.630455829349</v>
      </c>
      <c r="AU17" s="7">
        <f>'a9'!U15</f>
        <v>617.58744924656867</v>
      </c>
      <c r="AV17" s="7">
        <f t="shared" si="23"/>
        <v>120279.94328382834</v>
      </c>
      <c r="AW17" s="114">
        <f t="shared" si="4"/>
        <v>0.17567252495932173</v>
      </c>
      <c r="AX17" s="9">
        <f t="shared" si="24"/>
        <v>11.697577165567838</v>
      </c>
      <c r="AY17" s="44">
        <f t="shared" si="25"/>
        <v>0.26320019492523766</v>
      </c>
      <c r="AZ17" s="7">
        <f>'a7'!S17</f>
        <v>46739.200018075629</v>
      </c>
      <c r="BA17" s="7">
        <f>'a8'!AK17</f>
        <v>832.3329887735307</v>
      </c>
      <c r="BB17" s="7">
        <f>'a13'!AA17</f>
        <v>13318.464453750808</v>
      </c>
      <c r="BC17" s="7">
        <f>'a16'!X17</f>
        <v>-7878.5448984572022</v>
      </c>
      <c r="BD17" s="7">
        <f>'a15'!CY16</f>
        <v>78033.13151886384</v>
      </c>
      <c r="BE17" s="7">
        <f>'a9'!Y15</f>
        <v>361.89594921081539</v>
      </c>
      <c r="BF17" s="7">
        <f t="shared" si="26"/>
        <v>130682.6881317958</v>
      </c>
      <c r="BG17" s="114">
        <f t="shared" si="5"/>
        <v>0.20484311367519481</v>
      </c>
      <c r="BH17" s="9">
        <f t="shared" si="27"/>
        <v>11.780527435841639</v>
      </c>
      <c r="BI17" s="44">
        <f t="shared" si="28"/>
        <v>0.3098402260256683</v>
      </c>
      <c r="BJ17" s="7">
        <f>'a7'!V17</f>
        <v>52349.155049277892</v>
      </c>
      <c r="BK17" s="7">
        <f>'a8'!AQ17</f>
        <v>1113.1716634707093</v>
      </c>
      <c r="BL17" s="7">
        <f>'a13'!AE17</f>
        <v>12735.236472902783</v>
      </c>
      <c r="BM17" s="7">
        <f>'a16'!AB17</f>
        <v>-9884.2166751868499</v>
      </c>
      <c r="BN17" s="7">
        <f>'a15'!DP16</f>
        <v>74950.465998252374</v>
      </c>
      <c r="BO17" s="7">
        <f>'a9'!AC15</f>
        <v>546.391343432638</v>
      </c>
      <c r="BP17" s="7">
        <f t="shared" si="29"/>
        <v>130717.42116528425</v>
      </c>
      <c r="BQ17" s="114">
        <f t="shared" si="6"/>
        <v>0.20494050941541084</v>
      </c>
      <c r="BR17" s="9">
        <f t="shared" si="30"/>
        <v>11.780793181971479</v>
      </c>
      <c r="BS17" s="44">
        <f t="shared" si="31"/>
        <v>0.30998964576498461</v>
      </c>
      <c r="BT17" s="7">
        <f>'a7'!Y17</f>
        <v>48717.140274642683</v>
      </c>
      <c r="BU17" s="7">
        <f>'a8'!AW17</f>
        <v>725.1631999383892</v>
      </c>
      <c r="BV17" s="7">
        <f>'a13'!AI17</f>
        <v>15597.032940754987</v>
      </c>
      <c r="BW17" s="7">
        <f>'a16'!AF17</f>
        <v>-8291.0921929839169</v>
      </c>
      <c r="BX17" s="7">
        <f>'a15'!EG16</f>
        <v>93737.622087480195</v>
      </c>
      <c r="BY17" s="7">
        <f>'a9'!AG15</f>
        <v>489.12416321239311</v>
      </c>
      <c r="BZ17" s="7">
        <f t="shared" si="32"/>
        <v>149996.74214661994</v>
      </c>
      <c r="CA17" s="114">
        <f t="shared" si="7"/>
        <v>0.25900212020054197</v>
      </c>
      <c r="CB17" s="9">
        <f t="shared" si="33"/>
        <v>11.918368853819997</v>
      </c>
      <c r="CC17" s="44">
        <f t="shared" si="34"/>
        <v>0.38734362655971694</v>
      </c>
      <c r="CD17" s="7">
        <f>'a7'!AB17</f>
        <v>53616.950166813418</v>
      </c>
      <c r="CE17" s="7">
        <f>'a8'!BC17</f>
        <v>522.49950438864653</v>
      </c>
      <c r="CF17" s="7">
        <f>'a13'!AM17</f>
        <v>56253.486898401192</v>
      </c>
      <c r="CG17" s="7">
        <f>'a16'!AJ17</f>
        <v>-8089.4106651292714</v>
      </c>
      <c r="CH17" s="7">
        <f>'a15'!EX16</f>
        <v>91567.936204554775</v>
      </c>
      <c r="CI17" s="7">
        <f>'a9'!AK15</f>
        <v>1370.0757740846639</v>
      </c>
      <c r="CJ17" s="7">
        <f t="shared" si="35"/>
        <v>192501.38633494411</v>
      </c>
      <c r="CK17" s="114">
        <f t="shared" si="8"/>
        <v>0.37819042215859522</v>
      </c>
      <c r="CL17" s="9">
        <f t="shared" si="36"/>
        <v>12.167858634424013</v>
      </c>
      <c r="CM17" s="44">
        <f t="shared" si="37"/>
        <v>0.52762299018568415</v>
      </c>
      <c r="CN17" s="7">
        <f>'a7'!AE17</f>
        <v>74649.166533167765</v>
      </c>
      <c r="CO17" s="7">
        <f>'a8'!BI17</f>
        <v>994.56147969252083</v>
      </c>
      <c r="CP17" s="7">
        <f>'a13'!AQ17</f>
        <v>99213.738286854554</v>
      </c>
      <c r="CQ17" s="7">
        <f>'a16'!AN17</f>
        <v>-12791.093477148914</v>
      </c>
      <c r="CR17" s="7">
        <f>'a15'!FO16</f>
        <v>72988.797392726876</v>
      </c>
      <c r="CS17" s="7">
        <f>'a9'!AO15</f>
        <v>2401.4235541193857</v>
      </c>
      <c r="CT17" s="7">
        <f t="shared" si="38"/>
        <v>232653.74666117341</v>
      </c>
      <c r="CU17" s="114">
        <f t="shared" si="9"/>
        <v>0.49078262798173633</v>
      </c>
      <c r="CV17" s="9">
        <f t="shared" si="39"/>
        <v>12.357306561424977</v>
      </c>
      <c r="CW17" s="44">
        <f t="shared" si="40"/>
        <v>0.63414292288839547</v>
      </c>
      <c r="CX17" s="7">
        <f>'a7'!AH17</f>
        <v>50007.76951200371</v>
      </c>
      <c r="CY17" s="7">
        <f>'a8'!BO17</f>
        <v>541.28851031502597</v>
      </c>
      <c r="CZ17" s="7">
        <f>'a13'!AU17</f>
        <v>48470.019976240837</v>
      </c>
      <c r="DA17" s="7">
        <f>'a16'!AR17</f>
        <v>-9409.5782829952677</v>
      </c>
      <c r="DB17" s="7">
        <f>'a15'!GF16</f>
        <v>89230.223489325595</v>
      </c>
      <c r="DC17" s="7">
        <f>'a9'!AS15</f>
        <v>541.17420871147033</v>
      </c>
      <c r="DD17" s="7">
        <f t="shared" si="41"/>
        <v>178298.54899617843</v>
      </c>
      <c r="DE17" s="44">
        <f t="shared" si="10"/>
        <v>0.33836390207543393</v>
      </c>
      <c r="DF17" s="9">
        <f t="shared" si="42"/>
        <v>12.091214665826971</v>
      </c>
      <c r="DG17" s="44">
        <f t="shared" si="43"/>
        <v>0.48452877159872637</v>
      </c>
    </row>
    <row r="18" spans="1:111" hidden="1">
      <c r="B18" s="7"/>
      <c r="C18" s="7"/>
      <c r="D18" s="7"/>
      <c r="E18" s="7"/>
      <c r="F18" s="7"/>
      <c r="G18" s="7"/>
      <c r="H18" s="7"/>
      <c r="I18" s="114"/>
      <c r="J18" s="9"/>
      <c r="K18" s="114"/>
      <c r="L18" s="7"/>
      <c r="M18" s="7"/>
      <c r="N18" s="7"/>
      <c r="O18" s="7"/>
      <c r="P18" s="7"/>
      <c r="Q18" s="7"/>
      <c r="R18" s="7"/>
      <c r="S18" s="114"/>
      <c r="T18" s="9"/>
      <c r="U18" s="44"/>
      <c r="V18" s="7"/>
      <c r="W18" s="7"/>
      <c r="X18" s="7"/>
      <c r="Y18" s="7"/>
      <c r="Z18" s="7"/>
      <c r="AA18" s="7"/>
      <c r="AB18" s="7"/>
      <c r="AC18" s="114"/>
      <c r="AD18" s="9"/>
      <c r="AE18" s="44"/>
      <c r="AF18" s="7"/>
      <c r="AG18" s="7"/>
      <c r="AH18" s="7"/>
      <c r="AI18" s="7"/>
      <c r="AJ18" s="7"/>
      <c r="AK18" s="7"/>
      <c r="AL18" s="7"/>
      <c r="AM18" s="114"/>
      <c r="AN18" s="9"/>
      <c r="AO18" s="44"/>
      <c r="AP18" s="7"/>
      <c r="AQ18" s="7"/>
      <c r="AR18" s="7"/>
      <c r="AS18" s="7"/>
      <c r="AT18" s="7"/>
      <c r="AU18" s="7"/>
      <c r="AV18" s="7"/>
      <c r="AW18" s="114"/>
      <c r="AX18" s="9"/>
      <c r="AY18" s="44"/>
      <c r="AZ18" s="7"/>
      <c r="BA18" s="7"/>
      <c r="BB18" s="7"/>
      <c r="BC18" s="7"/>
      <c r="BD18" s="7"/>
      <c r="BE18" s="7"/>
      <c r="BF18" s="7"/>
      <c r="BG18" s="114"/>
      <c r="BH18" s="9"/>
      <c r="BI18" s="44"/>
      <c r="BJ18" s="7"/>
      <c r="BK18" s="7"/>
      <c r="BL18" s="7"/>
      <c r="BM18" s="7"/>
      <c r="BN18" s="7"/>
      <c r="BO18" s="7"/>
      <c r="BP18" s="7"/>
      <c r="BQ18" s="114"/>
      <c r="BR18" s="9"/>
      <c r="BS18" s="44"/>
      <c r="BT18" s="7"/>
      <c r="BU18" s="7"/>
      <c r="BV18" s="7"/>
      <c r="BW18" s="7"/>
      <c r="BX18" s="7"/>
      <c r="BY18" s="7"/>
      <c r="BZ18" s="7"/>
      <c r="CA18" s="114"/>
      <c r="CB18" s="9"/>
      <c r="CC18" s="44"/>
      <c r="CD18" s="7"/>
      <c r="CE18" s="7"/>
      <c r="CF18" s="7"/>
      <c r="CG18" s="7"/>
      <c r="CH18" s="7"/>
      <c r="CI18" s="7"/>
      <c r="CJ18" s="7"/>
      <c r="CK18" s="114"/>
      <c r="CL18" s="9"/>
      <c r="CM18" s="44"/>
      <c r="CN18" s="7"/>
      <c r="CO18" s="7"/>
      <c r="CP18" s="7"/>
      <c r="CQ18" s="7"/>
      <c r="CR18" s="7"/>
      <c r="CS18" s="7"/>
      <c r="CT18" s="7"/>
      <c r="CU18" s="114"/>
      <c r="CV18" s="9"/>
      <c r="CW18" s="44"/>
      <c r="CX18" s="7"/>
      <c r="CY18" s="7"/>
      <c r="CZ18" s="7"/>
      <c r="DA18" s="7"/>
      <c r="DB18" s="7"/>
      <c r="DC18" s="7"/>
      <c r="DD18" s="7"/>
      <c r="DE18" s="44"/>
      <c r="DF18" s="9"/>
      <c r="DG18" s="44"/>
    </row>
    <row r="19" spans="1:111">
      <c r="A19" s="1">
        <v>1981</v>
      </c>
      <c r="B19" s="7">
        <f>'a7'!D19</f>
        <v>53260.19610462003</v>
      </c>
      <c r="C19" s="7">
        <f>'a8'!G19</f>
        <v>1227.8557197272121</v>
      </c>
      <c r="D19" s="7">
        <f>'a13'!G19</f>
        <v>26184.900383233871</v>
      </c>
      <c r="E19" s="7">
        <f>'a16'!D19</f>
        <v>-9818.5184573276856</v>
      </c>
      <c r="F19" s="7">
        <f>'a15'!R18</f>
        <v>77530.178961133061</v>
      </c>
      <c r="G19" s="7">
        <f>'a9'!E17</f>
        <v>642.49719231534937</v>
      </c>
      <c r="H19" s="7">
        <f t="shared" si="11"/>
        <v>147742.11551907114</v>
      </c>
      <c r="I19" s="9">
        <f t="shared" ref="I19:I46" si="44">(H19-D$62)/D$63</f>
        <v>0.25267986708165169</v>
      </c>
      <c r="J19" s="9">
        <f t="shared" si="12"/>
        <v>11.903223570183345</v>
      </c>
      <c r="K19" s="9">
        <f t="shared" si="13"/>
        <v>0.3788279641332209</v>
      </c>
      <c r="L19" s="7">
        <f>'a7'!G19</f>
        <v>41491.518889209496</v>
      </c>
      <c r="M19" s="7">
        <f>'a8'!M19</f>
        <v>399.97838784823591</v>
      </c>
      <c r="N19" s="7">
        <f>'a13'!K19</f>
        <v>17461.703750220044</v>
      </c>
      <c r="O19" s="7">
        <f>'a16'!H19</f>
        <v>-6042.7746076231751</v>
      </c>
      <c r="P19" s="7">
        <f>'a15'!AI18</f>
        <v>66933.710637172117</v>
      </c>
      <c r="Q19" s="7">
        <f>'a9'!I17</f>
        <v>478.18644518521205</v>
      </c>
      <c r="R19" s="7">
        <f t="shared" si="14"/>
        <v>119765.95061164149</v>
      </c>
      <c r="S19" s="9">
        <f t="shared" ref="S19:S46" si="45">(R19-D$62)/D$63</f>
        <v>0.17423122566164023</v>
      </c>
      <c r="T19" s="9">
        <f t="shared" si="15"/>
        <v>11.693294705665069</v>
      </c>
      <c r="U19" s="9">
        <f t="shared" si="16"/>
        <v>0.26079231774301537</v>
      </c>
      <c r="V19" s="7">
        <f>'a7'!J19</f>
        <v>32022.068619436508</v>
      </c>
      <c r="W19" s="7">
        <f>'a8'!S19</f>
        <v>353.48455278054729</v>
      </c>
      <c r="X19" s="7">
        <f>'a13'!O19</f>
        <v>558.35522605768847</v>
      </c>
      <c r="Y19" s="7">
        <f>'a16'!L19</f>
        <v>-7148.1431920578507</v>
      </c>
      <c r="Z19" s="7">
        <f>'a15'!AZ18</f>
        <v>62022.122028161939</v>
      </c>
      <c r="AA19" s="7">
        <f>'a9'!M17</f>
        <v>457.72330155944314</v>
      </c>
      <c r="AB19" s="7">
        <f t="shared" si="17"/>
        <v>87350.1639328194</v>
      </c>
      <c r="AC19" s="9">
        <f t="shared" ref="AC19:AC46" si="46">(AB19-D$62)/D$63</f>
        <v>8.3333333333333329E-2</v>
      </c>
      <c r="AD19" s="9">
        <f t="shared" si="18"/>
        <v>11.377680192295639</v>
      </c>
      <c r="AE19" s="9">
        <f t="shared" si="19"/>
        <v>8.3333333333333245E-2</v>
      </c>
      <c r="AF19" s="7">
        <f>'a7'!M19</f>
        <v>39935.223092139044</v>
      </c>
      <c r="AG19" s="7">
        <f>'a8'!Y19</f>
        <v>900.5550522792463</v>
      </c>
      <c r="AH19" s="7">
        <f>'a13'!S19</f>
        <v>11660.641533725149</v>
      </c>
      <c r="AI19" s="7">
        <f>'a16'!P19</f>
        <v>-8277.9192312453288</v>
      </c>
      <c r="AJ19" s="7">
        <f>'a15'!BQ18</f>
        <v>63659.403464385934</v>
      </c>
      <c r="AK19" s="7">
        <f>'a9'!Q17</f>
        <v>608.84459556512672</v>
      </c>
      <c r="AL19" s="7">
        <f t="shared" si="20"/>
        <v>107269.05931571893</v>
      </c>
      <c r="AM19" s="114">
        <f t="shared" ref="AM19:AM46" si="47">(AL19-D$62)/D$63</f>
        <v>0.13918839018427517</v>
      </c>
      <c r="AN19" s="9">
        <f t="shared" si="21"/>
        <v>11.583095530239319</v>
      </c>
      <c r="AO19" s="44">
        <f t="shared" si="22"/>
        <v>0.19883118184636644</v>
      </c>
      <c r="AP19" s="7">
        <f>'a7'!P19</f>
        <v>41609.817563607845</v>
      </c>
      <c r="AQ19" s="7">
        <f>'a8'!AE19</f>
        <v>988.84137132162084</v>
      </c>
      <c r="AR19" s="7">
        <f>'a13'!W19</f>
        <v>15335.551075302223</v>
      </c>
      <c r="AS19" s="7">
        <f>'a16'!T19</f>
        <v>-7216.129562589771</v>
      </c>
      <c r="AT19" s="7">
        <f>'a15'!CH18</f>
        <v>63781.532931773574</v>
      </c>
      <c r="AU19" s="7">
        <f>'a9'!U17</f>
        <v>592.71293758934405</v>
      </c>
      <c r="AV19" s="7">
        <f t="shared" si="23"/>
        <v>113906.90044182616</v>
      </c>
      <c r="AW19" s="114">
        <f t="shared" ref="AW19:AW46" si="48">(AV19-D$62)/D$63</f>
        <v>0.15780172121188507</v>
      </c>
      <c r="AX19" s="9">
        <f t="shared" si="24"/>
        <v>11.643136730934911</v>
      </c>
      <c r="AY19" s="44">
        <f t="shared" si="25"/>
        <v>0.23259024566263012</v>
      </c>
      <c r="AZ19" s="7">
        <f>'a7'!S19</f>
        <v>47530.964348614609</v>
      </c>
      <c r="BA19" s="7">
        <f>'a8'!AK19</f>
        <v>903.58221013495267</v>
      </c>
      <c r="BB19" s="7">
        <f>'a13'!AA19</f>
        <v>10498.736507959711</v>
      </c>
      <c r="BC19" s="7">
        <f>'a16'!X19</f>
        <v>-8649.5409689137341</v>
      </c>
      <c r="BD19" s="7">
        <f>'a15'!CY18</f>
        <v>78931.016925527103</v>
      </c>
      <c r="BE19" s="7">
        <f>'a9'!Y17</f>
        <v>345.24079564478416</v>
      </c>
      <c r="BF19" s="7">
        <f t="shared" si="26"/>
        <v>128869.51822767787</v>
      </c>
      <c r="BG19" s="114">
        <f t="shared" ref="BG19:BG46" si="49">(BF19-D$62)/D$63</f>
        <v>0.19975876004372442</v>
      </c>
      <c r="BH19" s="9">
        <f t="shared" si="27"/>
        <v>11.766555684838869</v>
      </c>
      <c r="BI19" s="44">
        <f t="shared" si="28"/>
        <v>0.30198439988856512</v>
      </c>
      <c r="BJ19" s="7">
        <f>'a7'!V19</f>
        <v>53613.235441972713</v>
      </c>
      <c r="BK19" s="7">
        <f>'a8'!AQ19</f>
        <v>1246.9258481621964</v>
      </c>
      <c r="BL19" s="7">
        <f>'a13'!AE19</f>
        <v>8096.80067403261</v>
      </c>
      <c r="BM19" s="7">
        <f>'a16'!AB19</f>
        <v>-10982.95521219717</v>
      </c>
      <c r="BN19" s="7">
        <f>'a15'!DP18</f>
        <v>76247.937292116258</v>
      </c>
      <c r="BO19" s="7">
        <f>'a9'!AC17</f>
        <v>520.6021355130365</v>
      </c>
      <c r="BP19" s="7">
        <f t="shared" si="29"/>
        <v>127701.34190857357</v>
      </c>
      <c r="BQ19" s="114">
        <f t="shared" ref="BQ19:BQ46" si="50">(BP19-D$62)/D$63</f>
        <v>0.1964830485415941</v>
      </c>
      <c r="BR19" s="9">
        <f t="shared" si="30"/>
        <v>11.757449550254954</v>
      </c>
      <c r="BS19" s="44">
        <f t="shared" si="31"/>
        <v>0.2968643394138179</v>
      </c>
      <c r="BT19" s="7">
        <f>'a7'!Y19</f>
        <v>49176.132085037345</v>
      </c>
      <c r="BU19" s="7">
        <f>'a8'!AW19</f>
        <v>816.99843047726711</v>
      </c>
      <c r="BV19" s="7">
        <f>'a13'!AI19</f>
        <v>9481.451254577385</v>
      </c>
      <c r="BW19" s="7">
        <f>'a16'!AF19</f>
        <v>-9230.8550564287762</v>
      </c>
      <c r="BX19" s="7">
        <f>'a15'!EG18</f>
        <v>94292.588426717615</v>
      </c>
      <c r="BY19" s="7">
        <f>'a9'!AG17</f>
        <v>469.0659935022835</v>
      </c>
      <c r="BZ19" s="7">
        <f t="shared" si="32"/>
        <v>144067.24914687854</v>
      </c>
      <c r="CA19" s="114">
        <f t="shared" ref="CA19:CA46" si="51">(BZ19-D$62)/D$63</f>
        <v>0.24237508530571805</v>
      </c>
      <c r="CB19" s="9">
        <f t="shared" si="33"/>
        <v>11.878035477508291</v>
      </c>
      <c r="CC19" s="44">
        <f t="shared" si="34"/>
        <v>0.36466558199935523</v>
      </c>
      <c r="CD19" s="7">
        <f>'a7'!AB19</f>
        <v>55847.738017276817</v>
      </c>
      <c r="CE19" s="7">
        <f>'a8'!BC19</f>
        <v>552.31706934177078</v>
      </c>
      <c r="CF19" s="7">
        <f>'a13'!AM19</f>
        <v>41942.547327746594</v>
      </c>
      <c r="CG19" s="7">
        <f>'a16'!AJ19</f>
        <v>-9116.605272920433</v>
      </c>
      <c r="CH19" s="7">
        <f>'a15'!EX18</f>
        <v>92287.874654605184</v>
      </c>
      <c r="CI19" s="7">
        <f>'a9'!AK17</f>
        <v>1304.2328693801553</v>
      </c>
      <c r="CJ19" s="7">
        <f t="shared" si="35"/>
        <v>180209.63892666978</v>
      </c>
      <c r="CK19" s="9">
        <f t="shared" ref="CK19:CK46" si="52">(CJ19-D$62)/D$63</f>
        <v>0.34372283562385231</v>
      </c>
      <c r="CL19" s="9">
        <f t="shared" si="36"/>
        <v>12.101876112884927</v>
      </c>
      <c r="CM19" s="9">
        <f t="shared" si="37"/>
        <v>0.49052332979265789</v>
      </c>
      <c r="CN19" s="7">
        <f>'a7'!AE19</f>
        <v>78722.375326480149</v>
      </c>
      <c r="CO19" s="7">
        <f>'a8'!BI19</f>
        <v>1076.6830050398605</v>
      </c>
      <c r="CP19" s="7">
        <f>'a13'!AQ19</f>
        <v>125822.53492501241</v>
      </c>
      <c r="CQ19" s="7">
        <f>'a16'!AN19</f>
        <v>-13689.59428059681</v>
      </c>
      <c r="CR19" s="7">
        <f>'a15'!FO18</f>
        <v>74529.677642482144</v>
      </c>
      <c r="CS19" s="7">
        <f>'a9'!AO17</f>
        <v>2204.7161759315909</v>
      </c>
      <c r="CT19" s="7">
        <f t="shared" si="38"/>
        <v>264256.96044248616</v>
      </c>
      <c r="CU19" s="9">
        <f t="shared" ref="CU19:CU46" si="53">(CT19-D$62)/D$63</f>
        <v>0.57940196497283902</v>
      </c>
      <c r="CV19" s="9">
        <f t="shared" si="39"/>
        <v>12.484677243754499</v>
      </c>
      <c r="CW19" s="9">
        <f t="shared" si="40"/>
        <v>0.70575899557294919</v>
      </c>
      <c r="CX19" s="7">
        <f>'a7'!AH19</f>
        <v>51617.956291715935</v>
      </c>
      <c r="CY19" s="7">
        <f>'a8'!BO19</f>
        <v>597.8946930377474</v>
      </c>
      <c r="CZ19" s="7">
        <f>'a13'!AU19</f>
        <v>37284.453141666119</v>
      </c>
      <c r="DA19" s="7">
        <f>'a16'!AR19</f>
        <v>-10144.927222115259</v>
      </c>
      <c r="DB19" s="7">
        <f>'a15'!GF18</f>
        <v>89667.765390435263</v>
      </c>
      <c r="DC19" s="7">
        <f>'a9'!AS17</f>
        <v>504.70584959834787</v>
      </c>
      <c r="DD19" s="7">
        <f t="shared" si="41"/>
        <v>168518.43644514144</v>
      </c>
      <c r="DE19" s="44">
        <f t="shared" ref="DE19:DE46" si="54">(DD19-D$62)/D$63</f>
        <v>0.31093925165954012</v>
      </c>
      <c r="DF19" s="9">
        <f t="shared" si="42"/>
        <v>12.034800437893855</v>
      </c>
      <c r="DG19" s="44">
        <f t="shared" si="43"/>
        <v>0.45280902750841306</v>
      </c>
    </row>
    <row r="20" spans="1:111">
      <c r="A20" s="1">
        <v>1982</v>
      </c>
      <c r="B20" s="7">
        <f>'a7'!D20</f>
        <v>53992.763470170852</v>
      </c>
      <c r="C20" s="7">
        <f>'a8'!G20</f>
        <v>1313.3039818945813</v>
      </c>
      <c r="D20" s="7">
        <f>'a13'!G20</f>
        <v>23371.951634971487</v>
      </c>
      <c r="E20" s="7">
        <f>'a16'!D20</f>
        <v>-9004.3045855856999</v>
      </c>
      <c r="F20" s="7">
        <f>'a15'!R19</f>
        <v>78481.282063478051</v>
      </c>
      <c r="G20" s="7">
        <f>'a9'!E18</f>
        <v>606.87674097663819</v>
      </c>
      <c r="H20" s="7">
        <f t="shared" si="11"/>
        <v>147548.11982395261</v>
      </c>
      <c r="I20" s="9">
        <f t="shared" si="44"/>
        <v>0.25213587905563967</v>
      </c>
      <c r="J20" s="9">
        <f t="shared" si="12"/>
        <v>11.901909637653182</v>
      </c>
      <c r="K20" s="9">
        <f t="shared" si="13"/>
        <v>0.3780891859005715</v>
      </c>
      <c r="L20" s="7">
        <f>'a7'!G20</f>
        <v>43211.18256520186</v>
      </c>
      <c r="M20" s="7">
        <f>'a8'!M20</f>
        <v>461.89151865656896</v>
      </c>
      <c r="N20" s="7">
        <f>'a13'!K20</f>
        <v>12210.41047572869</v>
      </c>
      <c r="O20" s="7">
        <f>'a16'!H20</f>
        <v>-5655.0434844445699</v>
      </c>
      <c r="P20" s="7">
        <f>'a15'!AI19</f>
        <v>69171.923309178936</v>
      </c>
      <c r="Q20" s="7">
        <f>'a9'!I18</f>
        <v>458.28128003543418</v>
      </c>
      <c r="R20" s="7">
        <f t="shared" si="14"/>
        <v>118942.08310428607</v>
      </c>
      <c r="S20" s="9">
        <f t="shared" si="45"/>
        <v>0.17192099883548367</v>
      </c>
      <c r="T20" s="9">
        <f t="shared" si="15"/>
        <v>11.686391957015795</v>
      </c>
      <c r="U20" s="9">
        <f t="shared" si="16"/>
        <v>0.2569111439913454</v>
      </c>
      <c r="V20" s="7">
        <f>'a7'!J20</f>
        <v>32447.420461533482</v>
      </c>
      <c r="W20" s="7">
        <f>'a8'!S20</f>
        <v>387.39762624931512</v>
      </c>
      <c r="X20" s="7">
        <f>'a13'!O20</f>
        <v>344.06010740952723</v>
      </c>
      <c r="Y20" s="7">
        <f>'a16'!L20</f>
        <v>-6712.8933918967332</v>
      </c>
      <c r="Z20" s="7">
        <f>'a15'!AZ19</f>
        <v>63183.653532256525</v>
      </c>
      <c r="AA20" s="7">
        <f>'a9'!M18</f>
        <v>437.38986380027467</v>
      </c>
      <c r="AB20" s="7">
        <f t="shared" si="17"/>
        <v>89212.248471751838</v>
      </c>
      <c r="AC20" s="9">
        <f t="shared" si="46"/>
        <v>8.8554849676685463E-2</v>
      </c>
      <c r="AD20" s="9">
        <f t="shared" si="18"/>
        <v>11.398773623847038</v>
      </c>
      <c r="AE20" s="9">
        <f t="shared" si="19"/>
        <v>9.5193430959594899E-2</v>
      </c>
      <c r="AF20" s="7">
        <f>'a7'!M20</f>
        <v>41454.741583026596</v>
      </c>
      <c r="AG20" s="7">
        <f>'a8'!Y20</f>
        <v>943.88439958774882</v>
      </c>
      <c r="AH20" s="7">
        <f>'a13'!S20</f>
        <v>9647.1434930533469</v>
      </c>
      <c r="AI20" s="7">
        <f>'a16'!P20</f>
        <v>-7467.1110030007885</v>
      </c>
      <c r="AJ20" s="7">
        <f>'a15'!BQ19</f>
        <v>64442.072357653022</v>
      </c>
      <c r="AK20" s="7">
        <f>'a9'!Q18</f>
        <v>579.14911408895432</v>
      </c>
      <c r="AL20" s="7">
        <f t="shared" si="20"/>
        <v>108441.58171623097</v>
      </c>
      <c r="AM20" s="114">
        <f t="shared" si="47"/>
        <v>0.14247628863851514</v>
      </c>
      <c r="AN20" s="9">
        <f t="shared" si="21"/>
        <v>11.593966889602049</v>
      </c>
      <c r="AO20" s="44">
        <f t="shared" si="22"/>
        <v>0.20494376637572401</v>
      </c>
      <c r="AP20" s="7">
        <f>'a7'!P20</f>
        <v>42377.140377436364</v>
      </c>
      <c r="AQ20" s="7">
        <f>'a8'!AE20</f>
        <v>906.07899661293175</v>
      </c>
      <c r="AR20" s="7">
        <f>'a13'!W20</f>
        <v>10467.320601491301</v>
      </c>
      <c r="AS20" s="7">
        <f>'a16'!T20</f>
        <v>-6643.0269961522163</v>
      </c>
      <c r="AT20" s="7">
        <f>'a15'!CH19</f>
        <v>64660.220032264951</v>
      </c>
      <c r="AU20" s="7">
        <f>'a9'!U18</f>
        <v>565.73642674139114</v>
      </c>
      <c r="AV20" s="7">
        <f t="shared" si="23"/>
        <v>111201.99658491193</v>
      </c>
      <c r="AW20" s="114">
        <f t="shared" si="48"/>
        <v>0.15021683481130779</v>
      </c>
      <c r="AX20" s="9">
        <f t="shared" si="24"/>
        <v>11.619103615537719</v>
      </c>
      <c r="AY20" s="44">
        <f t="shared" si="25"/>
        <v>0.21907726679148992</v>
      </c>
      <c r="AZ20" s="7">
        <f>'a7'!S20</f>
        <v>47869.5399726865</v>
      </c>
      <c r="BA20" s="7">
        <f>'a8'!AK20</f>
        <v>974.32893372047147</v>
      </c>
      <c r="BB20" s="7">
        <f>'a13'!AA20</f>
        <v>8690.798555026855</v>
      </c>
      <c r="BC20" s="7">
        <f>'a16'!X20</f>
        <v>-7885.4508300016187</v>
      </c>
      <c r="BD20" s="7">
        <f>'a15'!CY19</f>
        <v>79716.168496367973</v>
      </c>
      <c r="BE20" s="7">
        <f>'a9'!Y18</f>
        <v>328.32683007952596</v>
      </c>
      <c r="BF20" s="7">
        <f t="shared" si="26"/>
        <v>129037.05829772065</v>
      </c>
      <c r="BG20" s="114">
        <f t="shared" si="49"/>
        <v>0.20022856321087612</v>
      </c>
      <c r="BH20" s="9">
        <f t="shared" si="27"/>
        <v>11.767854915714384</v>
      </c>
      <c r="BI20" s="44">
        <f t="shared" si="28"/>
        <v>0.30271491189582767</v>
      </c>
      <c r="BJ20" s="7">
        <f>'a7'!V20</f>
        <v>53971.948932590516</v>
      </c>
      <c r="BK20" s="7">
        <f>'a8'!AQ20</f>
        <v>1388.8001546275052</v>
      </c>
      <c r="BL20" s="7">
        <f>'a13'!AE20</f>
        <v>5644.8573400589594</v>
      </c>
      <c r="BM20" s="7">
        <f>'a16'!AB20</f>
        <v>-10033.120243076772</v>
      </c>
      <c r="BN20" s="7">
        <f>'a15'!DP19</f>
        <v>77296.727936931537</v>
      </c>
      <c r="BO20" s="7">
        <f>'a9'!AC18</f>
        <v>491.59944565024904</v>
      </c>
      <c r="BP20" s="7">
        <f t="shared" si="29"/>
        <v>127777.6146754815</v>
      </c>
      <c r="BQ20" s="114">
        <f t="shared" si="50"/>
        <v>0.1966969268541173</v>
      </c>
      <c r="BR20" s="9">
        <f t="shared" si="30"/>
        <v>11.758046646549646</v>
      </c>
      <c r="BS20" s="44">
        <f t="shared" si="31"/>
        <v>0.29720006574312913</v>
      </c>
      <c r="BT20" s="7">
        <f>'a7'!Y20</f>
        <v>48389.701154967741</v>
      </c>
      <c r="BU20" s="7">
        <f>'a8'!AW20</f>
        <v>912.0355289356711</v>
      </c>
      <c r="BV20" s="7">
        <f>'a13'!AI20</f>
        <v>6604.682925193114</v>
      </c>
      <c r="BW20" s="7">
        <f>'a16'!AF20</f>
        <v>-8685.2331746214713</v>
      </c>
      <c r="BX20" s="7">
        <f>'a15'!EG19</f>
        <v>95213.199723199737</v>
      </c>
      <c r="BY20" s="7">
        <f>'a9'!AG18</f>
        <v>444.21097375256147</v>
      </c>
      <c r="BZ20" s="7">
        <f t="shared" si="32"/>
        <v>141990.17518392223</v>
      </c>
      <c r="CA20" s="114">
        <f t="shared" si="51"/>
        <v>0.23655071191279708</v>
      </c>
      <c r="CB20" s="9">
        <f t="shared" si="33"/>
        <v>11.863513145344122</v>
      </c>
      <c r="CC20" s="44">
        <f t="shared" si="34"/>
        <v>0.35650018336289574</v>
      </c>
      <c r="CD20" s="7">
        <f>'a7'!AB20</f>
        <v>56211.917509137609</v>
      </c>
      <c r="CE20" s="7">
        <f>'a8'!BC20</f>
        <v>621.43832702748296</v>
      </c>
      <c r="CF20" s="7">
        <f>'a13'!AM20</f>
        <v>34855.656966646355</v>
      </c>
      <c r="CG20" s="7">
        <f>'a16'!AJ20</f>
        <v>-8768.6814281078714</v>
      </c>
      <c r="CH20" s="7">
        <f>'a15'!EX19</f>
        <v>93744.073471743512</v>
      </c>
      <c r="CI20" s="7">
        <f>'a9'!AK18</f>
        <v>1232.9919782635063</v>
      </c>
      <c r="CJ20" s="7">
        <f t="shared" si="35"/>
        <v>175431.4128681836</v>
      </c>
      <c r="CK20" s="9">
        <f t="shared" si="52"/>
        <v>0.33032409623529557</v>
      </c>
      <c r="CL20" s="9">
        <f t="shared" si="36"/>
        <v>12.075003435634079</v>
      </c>
      <c r="CM20" s="9">
        <f t="shared" si="37"/>
        <v>0.47541376476539071</v>
      </c>
      <c r="CN20" s="7">
        <f>'a7'!AE20</f>
        <v>81059.419822628406</v>
      </c>
      <c r="CO20" s="7">
        <f>'a8'!BI20</f>
        <v>1139.1933566894543</v>
      </c>
      <c r="CP20" s="7">
        <f>'a13'!AQ20</f>
        <v>122038.95064041788</v>
      </c>
      <c r="CQ20" s="7">
        <f>'a16'!AN20</f>
        <v>-12109.860393784886</v>
      </c>
      <c r="CR20" s="7">
        <f>'a15'!FO19</f>
        <v>75382.835152485932</v>
      </c>
      <c r="CS20" s="7">
        <f>'a9'!AO18</f>
        <v>2037.4013083937748</v>
      </c>
      <c r="CT20" s="7">
        <f t="shared" si="38"/>
        <v>265473.13727004308</v>
      </c>
      <c r="CU20" s="9">
        <f t="shared" si="53"/>
        <v>0.58281227586298545</v>
      </c>
      <c r="CV20" s="9">
        <f t="shared" si="39"/>
        <v>12.489268936654693</v>
      </c>
      <c r="CW20" s="9">
        <f t="shared" si="40"/>
        <v>0.70834074363672006</v>
      </c>
      <c r="CX20" s="7">
        <f>'a7'!AH20</f>
        <v>52118.928821110836</v>
      </c>
      <c r="CY20" s="7">
        <f>'a8'!BO20</f>
        <v>653.01136233868465</v>
      </c>
      <c r="CZ20" s="7">
        <f>'a13'!AU20</f>
        <v>29980.56034667914</v>
      </c>
      <c r="DA20" s="7">
        <f>'a16'!AR20</f>
        <v>-9378.6237729280947</v>
      </c>
      <c r="DB20" s="7">
        <f>'a15'!GF19</f>
        <v>90565.63422244192</v>
      </c>
      <c r="DC20" s="7">
        <f>'a9'!AS18</f>
        <v>474.05161502232954</v>
      </c>
      <c r="DD20" s="7">
        <f t="shared" si="41"/>
        <v>163465.45936462015</v>
      </c>
      <c r="DE20" s="44">
        <f t="shared" si="54"/>
        <v>0.29677007627738905</v>
      </c>
      <c r="DF20" s="9">
        <f t="shared" si="42"/>
        <v>12.004356989292647</v>
      </c>
      <c r="DG20" s="44">
        <f t="shared" si="43"/>
        <v>0.43569174284040724</v>
      </c>
    </row>
    <row r="21" spans="1:111">
      <c r="A21" s="1">
        <v>1983</v>
      </c>
      <c r="B21" s="7">
        <f>'a7'!D21</f>
        <v>54556.030542073073</v>
      </c>
      <c r="C21" s="7">
        <f>'a8'!G21</f>
        <v>1381.7405703046745</v>
      </c>
      <c r="D21" s="7">
        <f>'a13'!G21</f>
        <v>24840.638460009737</v>
      </c>
      <c r="E21" s="7">
        <f>'a16'!D21</f>
        <v>-8931.3755338897863</v>
      </c>
      <c r="F21" s="7">
        <f>'a15'!R20</f>
        <v>79639.371029764225</v>
      </c>
      <c r="G21" s="7">
        <f>'a9'!E19</f>
        <v>580.88618458529083</v>
      </c>
      <c r="H21" s="7">
        <f t="shared" si="11"/>
        <v>150905.51888367665</v>
      </c>
      <c r="I21" s="9">
        <f t="shared" si="44"/>
        <v>0.26155044305366026</v>
      </c>
      <c r="J21" s="9">
        <f t="shared" si="12"/>
        <v>11.924409217206289</v>
      </c>
      <c r="K21" s="9">
        <f t="shared" si="13"/>
        <v>0.39073991128868363</v>
      </c>
      <c r="L21" s="7">
        <f>'a7'!G21</f>
        <v>44341.089052496347</v>
      </c>
      <c r="M21" s="7">
        <f>'a8'!M21</f>
        <v>562.93441894872137</v>
      </c>
      <c r="N21" s="7">
        <f>'a13'!K21</f>
        <v>10207.573959743437</v>
      </c>
      <c r="O21" s="7">
        <f>'a16'!H21</f>
        <v>-5716.643179416661</v>
      </c>
      <c r="P21" s="7">
        <f>'a15'!AI20</f>
        <v>70498.013868282738</v>
      </c>
      <c r="Q21" s="7">
        <f>'a9'!I19</f>
        <v>438.90529426224225</v>
      </c>
      <c r="R21" s="7">
        <f t="shared" si="14"/>
        <v>119454.06282579234</v>
      </c>
      <c r="S21" s="9">
        <f t="shared" si="45"/>
        <v>0.17335665356942101</v>
      </c>
      <c r="T21" s="9">
        <f t="shared" si="15"/>
        <v>11.690687164949015</v>
      </c>
      <c r="U21" s="9">
        <f t="shared" si="16"/>
        <v>0.25932618894450771</v>
      </c>
      <c r="V21" s="7">
        <f>'a7'!J21</f>
        <v>32565.057313232399</v>
      </c>
      <c r="W21" s="7">
        <f>'a8'!S21</f>
        <v>402.4743891976517</v>
      </c>
      <c r="X21" s="7">
        <f>'a13'!O21</f>
        <v>317.34792877170582</v>
      </c>
      <c r="Y21" s="7">
        <f>'a16'!L21</f>
        <v>-6523.8887719902632</v>
      </c>
      <c r="Z21" s="7">
        <f>'a15'!AZ20</f>
        <v>64766.867988751706</v>
      </c>
      <c r="AA21" s="7">
        <f>'a9'!M19</f>
        <v>417.69979988285996</v>
      </c>
      <c r="AB21" s="7">
        <f t="shared" si="17"/>
        <v>91110.159048080342</v>
      </c>
      <c r="AC21" s="9">
        <f t="shared" si="46"/>
        <v>9.3876826678976497E-2</v>
      </c>
      <c r="AD21" s="9">
        <f t="shared" si="18"/>
        <v>11.419824592377331</v>
      </c>
      <c r="AE21" s="9">
        <f t="shared" si="19"/>
        <v>0.1070296531166328</v>
      </c>
      <c r="AF21" s="7">
        <f>'a7'!M21</f>
        <v>43031.19698625688</v>
      </c>
      <c r="AG21" s="7">
        <f>'a8'!Y21</f>
        <v>1020.8248308054524</v>
      </c>
      <c r="AH21" s="7">
        <f>'a13'!S21</f>
        <v>8911.1267799727248</v>
      </c>
      <c r="AI21" s="7">
        <f>'a16'!P21</f>
        <v>-7088.3348816885127</v>
      </c>
      <c r="AJ21" s="7">
        <f>'a15'!BQ20</f>
        <v>65573.523981753358</v>
      </c>
      <c r="AK21" s="7">
        <f>'a9'!Q19</f>
        <v>553.88802282514553</v>
      </c>
      <c r="AL21" s="7">
        <f t="shared" si="20"/>
        <v>110894.44967427476</v>
      </c>
      <c r="AM21" s="114">
        <f t="shared" si="47"/>
        <v>0.14935443507237858</v>
      </c>
      <c r="AN21" s="9">
        <f t="shared" si="21"/>
        <v>11.616334124063243</v>
      </c>
      <c r="AO21" s="44">
        <f t="shared" si="22"/>
        <v>0.21752007875490392</v>
      </c>
      <c r="AP21" s="7">
        <f>'a7'!P21</f>
        <v>42138.946228677109</v>
      </c>
      <c r="AQ21" s="7">
        <f>'a8'!AE21</f>
        <v>815.98639453770818</v>
      </c>
      <c r="AR21" s="7">
        <f>'a13'!W21</f>
        <v>9319.8632314989154</v>
      </c>
      <c r="AS21" s="7">
        <f>'a16'!T21</f>
        <v>-6513.0709882352421</v>
      </c>
      <c r="AT21" s="7">
        <f>'a15'!CH20</f>
        <v>65345.336310903382</v>
      </c>
      <c r="AU21" s="7">
        <f>'a9'!U19</f>
        <v>541.23719100181074</v>
      </c>
      <c r="AV21" s="7">
        <f t="shared" si="23"/>
        <v>110565.82398638006</v>
      </c>
      <c r="AW21" s="114">
        <f t="shared" si="48"/>
        <v>0.14843292782374889</v>
      </c>
      <c r="AX21" s="9">
        <f t="shared" si="24"/>
        <v>11.61336631477022</v>
      </c>
      <c r="AY21" s="44">
        <f t="shared" si="25"/>
        <v>0.21585138355632436</v>
      </c>
      <c r="AZ21" s="7">
        <f>'a7'!S21</f>
        <v>48446.820085367566</v>
      </c>
      <c r="BA21" s="7">
        <f>'a8'!AK21</f>
        <v>1026.2229512123824</v>
      </c>
      <c r="BB21" s="7">
        <f>'a13'!AA21</f>
        <v>8018.863843485773</v>
      </c>
      <c r="BC21" s="7">
        <f>'a16'!X21</f>
        <v>-7848.2983738800076</v>
      </c>
      <c r="BD21" s="7">
        <f>'a15'!CY20</f>
        <v>81090.04760714469</v>
      </c>
      <c r="BE21" s="7">
        <f>'a9'!Y19</f>
        <v>316.31347651628914</v>
      </c>
      <c r="BF21" s="7">
        <f t="shared" si="26"/>
        <v>130417.34263681411</v>
      </c>
      <c r="BG21" s="114">
        <f t="shared" si="49"/>
        <v>0.20409905194775241</v>
      </c>
      <c r="BH21" s="9">
        <f t="shared" si="27"/>
        <v>11.778494915312638</v>
      </c>
      <c r="BI21" s="44">
        <f t="shared" si="28"/>
        <v>0.3086974109345062</v>
      </c>
      <c r="BJ21" s="7">
        <f>'a7'!V21</f>
        <v>54327.410868488798</v>
      </c>
      <c r="BK21" s="7">
        <f>'a8'!AQ21</f>
        <v>1505.417578119313</v>
      </c>
      <c r="BL21" s="7">
        <f>'a13'!AE21</f>
        <v>5217.8683206512142</v>
      </c>
      <c r="BM21" s="7">
        <f>'a16'!AB21</f>
        <v>-9802.9933355812573</v>
      </c>
      <c r="BN21" s="7">
        <f>'a15'!DP20</f>
        <v>78598.229349428337</v>
      </c>
      <c r="BO21" s="7">
        <f>'a9'!AC19</f>
        <v>468.94971713835719</v>
      </c>
      <c r="BP21" s="7">
        <f t="shared" si="29"/>
        <v>129376.98306396804</v>
      </c>
      <c r="BQ21" s="114">
        <f t="shared" si="50"/>
        <v>0.20118175447870573</v>
      </c>
      <c r="BR21" s="9">
        <f t="shared" si="30"/>
        <v>11.770485770914968</v>
      </c>
      <c r="BS21" s="44">
        <f t="shared" si="31"/>
        <v>0.30419414961224439</v>
      </c>
      <c r="BT21" s="7">
        <f>'a7'!Y21</f>
        <v>47782.713974590282</v>
      </c>
      <c r="BU21" s="7">
        <f>'a8'!AW21</f>
        <v>1006.4856107438402</v>
      </c>
      <c r="BV21" s="7">
        <f>'a13'!AI21</f>
        <v>6543.7244940325663</v>
      </c>
      <c r="BW21" s="7">
        <f>'a16'!AF21</f>
        <v>-8485.3121492794016</v>
      </c>
      <c r="BX21" s="7">
        <f>'a15'!EG20</f>
        <v>95462.69456514786</v>
      </c>
      <c r="BY21" s="7">
        <f>'a9'!AG19</f>
        <v>423.52389006890832</v>
      </c>
      <c r="BZ21" s="7">
        <f t="shared" si="32"/>
        <v>141886.78260516626</v>
      </c>
      <c r="CA21" s="114">
        <f t="shared" si="51"/>
        <v>0.23626078627920308</v>
      </c>
      <c r="CB21" s="9">
        <f t="shared" si="33"/>
        <v>11.86278471296882</v>
      </c>
      <c r="CC21" s="44">
        <f t="shared" si="34"/>
        <v>0.35609061135636078</v>
      </c>
      <c r="CD21" s="7">
        <f>'a7'!AB21</f>
        <v>56609.02223123319</v>
      </c>
      <c r="CE21" s="7">
        <f>'a8'!BC21</f>
        <v>673.07118080224234</v>
      </c>
      <c r="CF21" s="7">
        <f>'a13'!AM21</f>
        <v>39063.872315194298</v>
      </c>
      <c r="CG21" s="7">
        <f>'a16'!AJ21</f>
        <v>-8831.2067137545509</v>
      </c>
      <c r="CH21" s="7">
        <f>'a15'!EX20</f>
        <v>93486.662248255918</v>
      </c>
      <c r="CI21" s="7">
        <f>'a9'!AK19</f>
        <v>1174.4508452847708</v>
      </c>
      <c r="CJ21" s="7">
        <f t="shared" si="35"/>
        <v>179826.9704164463</v>
      </c>
      <c r="CK21" s="9">
        <f t="shared" si="52"/>
        <v>0.34264978558856035</v>
      </c>
      <c r="CL21" s="9">
        <f t="shared" si="36"/>
        <v>12.099750392086598</v>
      </c>
      <c r="CM21" s="9">
        <f t="shared" si="37"/>
        <v>0.48932811145500038</v>
      </c>
      <c r="CN21" s="7">
        <f>'a7'!AE21</f>
        <v>82319.156103371221</v>
      </c>
      <c r="CO21" s="7">
        <f>'a8'!BI21</f>
        <v>1163.9840231185015</v>
      </c>
      <c r="CP21" s="7">
        <f>'a13'!AQ21</f>
        <v>142222.89067879409</v>
      </c>
      <c r="CQ21" s="7">
        <f>'a16'!AN21</f>
        <v>-12190.184048808957</v>
      </c>
      <c r="CR21" s="7">
        <f>'a15'!FO20</f>
        <v>76346.415797682159</v>
      </c>
      <c r="CS21" s="7">
        <f>'a9'!AO19</f>
        <v>1949.9681054123009</v>
      </c>
      <c r="CT21" s="7">
        <f t="shared" si="38"/>
        <v>287912.29444874468</v>
      </c>
      <c r="CU21" s="9">
        <f t="shared" si="53"/>
        <v>0.64573445984009481</v>
      </c>
      <c r="CV21" s="9">
        <f t="shared" si="39"/>
        <v>12.570411179574362</v>
      </c>
      <c r="CW21" s="9">
        <f t="shared" si="40"/>
        <v>0.75396418429387912</v>
      </c>
      <c r="CX21" s="7">
        <f>'a7'!AH21</f>
        <v>52538.969225128647</v>
      </c>
      <c r="CY21" s="7">
        <f>'a8'!BO21</f>
        <v>708.17459776136116</v>
      </c>
      <c r="CZ21" s="7">
        <f>'a13'!AU21</f>
        <v>26944.935792265096</v>
      </c>
      <c r="DA21" s="7">
        <f>'a16'!AR21</f>
        <v>-9357.9434618605883</v>
      </c>
      <c r="DB21" s="7">
        <f>'a15'!GF20</f>
        <v>91507.790928162663</v>
      </c>
      <c r="DC21" s="7">
        <f>'a9'!AS19</f>
        <v>453.37278927375706</v>
      </c>
      <c r="DD21" s="7">
        <f t="shared" si="41"/>
        <v>161888.5542921834</v>
      </c>
      <c r="DE21" s="44">
        <f t="shared" si="54"/>
        <v>0.29234823858125308</v>
      </c>
      <c r="DF21" s="9">
        <f t="shared" si="42"/>
        <v>11.994663441009646</v>
      </c>
      <c r="DG21" s="44">
        <f t="shared" si="43"/>
        <v>0.4302414002206616</v>
      </c>
    </row>
    <row r="22" spans="1:111">
      <c r="A22" s="1">
        <v>1984</v>
      </c>
      <c r="B22" s="7">
        <f>'a7'!D22</f>
        <v>55111.32024446546</v>
      </c>
      <c r="C22" s="7">
        <f>'a8'!G22</f>
        <v>1467.3034896882666</v>
      </c>
      <c r="D22" s="7">
        <f>'a13'!G22</f>
        <v>23854.9399357357</v>
      </c>
      <c r="E22" s="7">
        <f>'a16'!D22</f>
        <v>-9163.805562133457</v>
      </c>
      <c r="F22" s="7">
        <f>'a15'!R21</f>
        <v>80382.348905194347</v>
      </c>
      <c r="G22" s="7">
        <f>'a9'!E20</f>
        <v>596.7952679573101</v>
      </c>
      <c r="H22" s="7">
        <f t="shared" si="11"/>
        <v>151055.311744993</v>
      </c>
      <c r="I22" s="9">
        <f t="shared" si="44"/>
        <v>0.26197048084309882</v>
      </c>
      <c r="J22" s="9">
        <f t="shared" si="12"/>
        <v>11.925401351671489</v>
      </c>
      <c r="K22" s="9">
        <f t="shared" si="13"/>
        <v>0.39129775374248149</v>
      </c>
      <c r="L22" s="7">
        <f>'a7'!G22</f>
        <v>45788.770913604509</v>
      </c>
      <c r="M22" s="7">
        <f>'a8'!M22</f>
        <v>609.5737123430963</v>
      </c>
      <c r="N22" s="7">
        <f>'a13'!K22</f>
        <v>9973.3110315602789</v>
      </c>
      <c r="O22" s="7">
        <f>'a16'!H22</f>
        <v>-5895.5062663032031</v>
      </c>
      <c r="P22" s="7">
        <f>'a15'!AI21</f>
        <v>71630.259999129892</v>
      </c>
      <c r="Q22" s="7">
        <f>'a9'!I20</f>
        <v>454.49585899873858</v>
      </c>
      <c r="R22" s="7">
        <f t="shared" si="14"/>
        <v>121651.91353133584</v>
      </c>
      <c r="S22" s="9">
        <f t="shared" si="45"/>
        <v>0.17951969995066791</v>
      </c>
      <c r="T22" s="9">
        <f t="shared" si="15"/>
        <v>11.708919077897541</v>
      </c>
      <c r="U22" s="9">
        <f t="shared" si="16"/>
        <v>0.26957735490373602</v>
      </c>
      <c r="V22" s="7">
        <f>'a7'!J22</f>
        <v>32883.84677986458</v>
      </c>
      <c r="W22" s="7">
        <f>'a8'!S22</f>
        <v>454.02219775223523</v>
      </c>
      <c r="X22" s="7">
        <f>'a13'!O22</f>
        <v>364.48115309129975</v>
      </c>
      <c r="Y22" s="7">
        <f>'a16'!L22</f>
        <v>-6887.4911728213592</v>
      </c>
      <c r="Z22" s="7">
        <f>'a15'!AZ21</f>
        <v>65596.059265710603</v>
      </c>
      <c r="AA22" s="7">
        <f>'a9'!M20</f>
        <v>428.20917982967433</v>
      </c>
      <c r="AB22" s="7">
        <f t="shared" si="17"/>
        <v>91982.709043767682</v>
      </c>
      <c r="AC22" s="9">
        <f t="shared" si="46"/>
        <v>9.6323565249441898E-2</v>
      </c>
      <c r="AD22" s="9">
        <f t="shared" si="18"/>
        <v>11.429355893190831</v>
      </c>
      <c r="AE22" s="9">
        <f t="shared" si="19"/>
        <v>0.11238876966805374</v>
      </c>
      <c r="AF22" s="7">
        <f>'a7'!M22</f>
        <v>43919.123139112293</v>
      </c>
      <c r="AG22" s="7">
        <f>'a8'!Y22</f>
        <v>1095.7202093420267</v>
      </c>
      <c r="AH22" s="7">
        <f>'a13'!S22</f>
        <v>10475.497914933743</v>
      </c>
      <c r="AI22" s="7">
        <f>'a16'!P22</f>
        <v>-7220.3823959132624</v>
      </c>
      <c r="AJ22" s="7">
        <f>'a15'!BQ21</f>
        <v>66511.05144072081</v>
      </c>
      <c r="AK22" s="7">
        <f>'a9'!Q20</f>
        <v>568.44403706119238</v>
      </c>
      <c r="AL22" s="7">
        <f t="shared" si="20"/>
        <v>114212.5662711344</v>
      </c>
      <c r="AM22" s="114">
        <f t="shared" si="47"/>
        <v>0.15865884616511211</v>
      </c>
      <c r="AN22" s="9">
        <f t="shared" si="21"/>
        <v>11.645816607550852</v>
      </c>
      <c r="AO22" s="44">
        <f t="shared" si="22"/>
        <v>0.23409704640360723</v>
      </c>
      <c r="AP22" s="7">
        <f>'a7'!P22</f>
        <v>42097.636046679472</v>
      </c>
      <c r="AQ22" s="7">
        <f>'a8'!AE22</f>
        <v>751.50486517560751</v>
      </c>
      <c r="AR22" s="7">
        <f>'a13'!W22</f>
        <v>9014.5991381074964</v>
      </c>
      <c r="AS22" s="7">
        <f>'a16'!T22</f>
        <v>-6438.7494152850013</v>
      </c>
      <c r="AT22" s="7">
        <f>'a15'!CH21</f>
        <v>65747.197263656271</v>
      </c>
      <c r="AU22" s="7">
        <f>'a9'!U20</f>
        <v>556.93582483732735</v>
      </c>
      <c r="AV22" s="7">
        <f t="shared" si="23"/>
        <v>110615.25207349652</v>
      </c>
      <c r="AW22" s="114">
        <f t="shared" si="48"/>
        <v>0.14857153031966308</v>
      </c>
      <c r="AX22" s="9">
        <f t="shared" si="24"/>
        <v>11.613813261577963</v>
      </c>
      <c r="AY22" s="44">
        <f t="shared" si="25"/>
        <v>0.21610268608908992</v>
      </c>
      <c r="AZ22" s="7">
        <f>'a7'!S22</f>
        <v>49273.680996860305</v>
      </c>
      <c r="BA22" s="7">
        <f>'a8'!AK22</f>
        <v>1113.827488881112</v>
      </c>
      <c r="BB22" s="7">
        <f>'a13'!AA22</f>
        <v>7955.4807618924415</v>
      </c>
      <c r="BC22" s="7">
        <f>'a16'!X22</f>
        <v>-7990.1256336048746</v>
      </c>
      <c r="BD22" s="7">
        <f>'a15'!CY21</f>
        <v>81903.852855545454</v>
      </c>
      <c r="BE22" s="7">
        <f>'a9'!Y20</f>
        <v>326.66168025987736</v>
      </c>
      <c r="BF22" s="7">
        <f t="shared" si="26"/>
        <v>131930.05478931454</v>
      </c>
      <c r="BG22" s="114">
        <f t="shared" si="49"/>
        <v>0.20834088472275455</v>
      </c>
      <c r="BH22" s="9">
        <f t="shared" si="27"/>
        <v>11.79002717316853</v>
      </c>
      <c r="BI22" s="44">
        <f t="shared" si="28"/>
        <v>0.31518159553428643</v>
      </c>
      <c r="BJ22" s="7">
        <f>'a7'!V22</f>
        <v>54843.896755096597</v>
      </c>
      <c r="BK22" s="7">
        <f>'a8'!AQ22</f>
        <v>1620.1946476731268</v>
      </c>
      <c r="BL22" s="7">
        <f>'a13'!AE22</f>
        <v>5558.0500046488105</v>
      </c>
      <c r="BM22" s="7">
        <f>'a16'!AB22</f>
        <v>-9994.9572158656738</v>
      </c>
      <c r="BN22" s="7">
        <f>'a15'!DP21</f>
        <v>79458.438992692885</v>
      </c>
      <c r="BO22" s="7">
        <f>'a9'!AC20</f>
        <v>479.57641344926867</v>
      </c>
      <c r="BP22" s="7">
        <f t="shared" si="29"/>
        <v>131006.04677079649</v>
      </c>
      <c r="BQ22" s="114">
        <f t="shared" si="50"/>
        <v>0.20574985146448668</v>
      </c>
      <c r="BR22" s="9">
        <f t="shared" si="30"/>
        <v>11.782998759673713</v>
      </c>
      <c r="BS22" s="44">
        <f t="shared" si="31"/>
        <v>0.31122976484219905</v>
      </c>
      <c r="BT22" s="7">
        <f>'a7'!Y22</f>
        <v>47804.251033298809</v>
      </c>
      <c r="BU22" s="7">
        <f>'a8'!AW22</f>
        <v>1088.9488482210081</v>
      </c>
      <c r="BV22" s="7">
        <f>'a13'!AI22</f>
        <v>6843.7332965874411</v>
      </c>
      <c r="BW22" s="7">
        <f>'a16'!AF22</f>
        <v>-8631.0730346559412</v>
      </c>
      <c r="BX22" s="7">
        <f>'a15'!EG21</f>
        <v>97023.425330779428</v>
      </c>
      <c r="BY22" s="7">
        <f>'a9'!AG20</f>
        <v>434.30873793914759</v>
      </c>
      <c r="BZ22" s="7">
        <f t="shared" si="32"/>
        <v>143694.9767362916</v>
      </c>
      <c r="CA22" s="114">
        <f t="shared" si="51"/>
        <v>0.24133118722514368</v>
      </c>
      <c r="CB22" s="9">
        <f t="shared" si="33"/>
        <v>11.875448114854112</v>
      </c>
      <c r="CC22" s="44">
        <f t="shared" si="34"/>
        <v>0.3632107986181719</v>
      </c>
      <c r="CD22" s="7">
        <f>'a7'!AB22</f>
        <v>56882.797612887647</v>
      </c>
      <c r="CE22" s="7">
        <f>'a8'!BC22</f>
        <v>719.56076300945915</v>
      </c>
      <c r="CF22" s="7">
        <f>'a13'!AM22</f>
        <v>43308.397069614017</v>
      </c>
      <c r="CG22" s="7">
        <f>'a16'!AJ22</f>
        <v>-8915.2190154231357</v>
      </c>
      <c r="CH22" s="7">
        <f>'a15'!EX21</f>
        <v>94873.17434544093</v>
      </c>
      <c r="CI22" s="7">
        <f>'a9'!AK20</f>
        <v>1202.0149674303154</v>
      </c>
      <c r="CJ22" s="7">
        <f t="shared" si="35"/>
        <v>185666.69580809859</v>
      </c>
      <c r="CK22" s="9">
        <f t="shared" si="52"/>
        <v>0.3590251009599465</v>
      </c>
      <c r="CL22" s="9">
        <f t="shared" si="36"/>
        <v>12.131708387196946</v>
      </c>
      <c r="CM22" s="9">
        <f t="shared" si="37"/>
        <v>0.50729697256822093</v>
      </c>
      <c r="CN22" s="7">
        <f>'a7'!AE22</f>
        <v>83144.736783843313</v>
      </c>
      <c r="CO22" s="7">
        <f>'a8'!BI22</f>
        <v>1211.1921203689192</v>
      </c>
      <c r="CP22" s="7">
        <f>'a13'!AQ22</f>
        <v>133430.18622868264</v>
      </c>
      <c r="CQ22" s="7">
        <f>'a16'!AN22</f>
        <v>-12732.510325937539</v>
      </c>
      <c r="CR22" s="7">
        <f>'a15'!FO21</f>
        <v>76493.70583175373</v>
      </c>
      <c r="CS22" s="7">
        <f>'a9'!AO20</f>
        <v>2022.1048213124693</v>
      </c>
      <c r="CT22" s="7">
        <f t="shared" si="38"/>
        <v>279525.20581739862</v>
      </c>
      <c r="CU22" s="9">
        <f t="shared" si="53"/>
        <v>0.62221602152750144</v>
      </c>
      <c r="CV22" s="9">
        <f t="shared" si="39"/>
        <v>12.540847749326534</v>
      </c>
      <c r="CW22" s="9">
        <f t="shared" si="40"/>
        <v>0.73734170311759306</v>
      </c>
      <c r="CX22" s="7">
        <f>'a7'!AH22</f>
        <v>52518.099906317257</v>
      </c>
      <c r="CY22" s="7">
        <f>'a8'!BO22</f>
        <v>766.87467558956655</v>
      </c>
      <c r="CZ22" s="7">
        <f>'a13'!AU22</f>
        <v>25716.432890693108</v>
      </c>
      <c r="DA22" s="7">
        <f>'a16'!AR22</f>
        <v>-9479.0054724545917</v>
      </c>
      <c r="DB22" s="7">
        <f>'a15'!GF21</f>
        <v>91776.784275610698</v>
      </c>
      <c r="DC22" s="7">
        <f>'a9'!AS20</f>
        <v>463.87704111722007</v>
      </c>
      <c r="DD22" s="7">
        <f t="shared" si="41"/>
        <v>160835.30923463881</v>
      </c>
      <c r="DE22" s="44">
        <f t="shared" si="54"/>
        <v>0.28939480861255956</v>
      </c>
      <c r="DF22" s="9">
        <f t="shared" si="42"/>
        <v>11.98813619641432</v>
      </c>
      <c r="DG22" s="44">
        <f t="shared" si="43"/>
        <v>0.4265713592440471</v>
      </c>
    </row>
    <row r="23" spans="1:111">
      <c r="A23" s="1">
        <v>1985</v>
      </c>
      <c r="B23" s="7">
        <f>'a7'!D23</f>
        <v>55942.957233068686</v>
      </c>
      <c r="C23" s="7">
        <f>'a8'!G23</f>
        <v>1561.8308680307687</v>
      </c>
      <c r="D23" s="7">
        <f>'a13'!G23</f>
        <v>21600.683730050143</v>
      </c>
      <c r="E23" s="7">
        <f>'a16'!D23</f>
        <v>-10149.732338945325</v>
      </c>
      <c r="F23" s="7">
        <f>'a15'!R22</f>
        <v>81184.235378060272</v>
      </c>
      <c r="G23" s="7">
        <f>'a9'!E21</f>
        <v>618.59525860166707</v>
      </c>
      <c r="H23" s="7">
        <f t="shared" si="11"/>
        <v>149521.37961166285</v>
      </c>
      <c r="I23" s="9">
        <f t="shared" si="44"/>
        <v>0.25766914460604035</v>
      </c>
      <c r="J23" s="9">
        <f t="shared" si="12"/>
        <v>11.915194669024162</v>
      </c>
      <c r="K23" s="9">
        <f t="shared" si="13"/>
        <v>0.38555889364555529</v>
      </c>
      <c r="L23" s="7">
        <f>'a7'!G23</f>
        <v>47011.06866341547</v>
      </c>
      <c r="M23" s="7">
        <f>'a8'!M23</f>
        <v>670.45615211462916</v>
      </c>
      <c r="N23" s="7">
        <f>'a13'!K23</f>
        <v>7527.4286098158373</v>
      </c>
      <c r="O23" s="7">
        <f>'a16'!H23</f>
        <v>-6340.6657487799057</v>
      </c>
      <c r="P23" s="7">
        <f>'a15'!AI22</f>
        <v>72028.760037232743</v>
      </c>
      <c r="Q23" s="7">
        <f>'a9'!I21</f>
        <v>476.070744205783</v>
      </c>
      <c r="R23" s="7">
        <f t="shared" si="14"/>
        <v>120420.97696959299</v>
      </c>
      <c r="S23" s="9">
        <f t="shared" si="45"/>
        <v>0.17606800093250471</v>
      </c>
      <c r="T23" s="9">
        <f t="shared" si="15"/>
        <v>11.698749024003241</v>
      </c>
      <c r="U23" s="9">
        <f t="shared" si="16"/>
        <v>0.26385908987147633</v>
      </c>
      <c r="V23" s="7">
        <f>'a7'!J23</f>
        <v>33391.153354907969</v>
      </c>
      <c r="W23" s="7">
        <f>'a8'!S23</f>
        <v>476.20307877541973</v>
      </c>
      <c r="X23" s="7">
        <f>'a13'!O23</f>
        <v>288.30831162328991</v>
      </c>
      <c r="Y23" s="7">
        <f>'a16'!L23</f>
        <v>-7399.5414963045314</v>
      </c>
      <c r="Z23" s="7">
        <f>'a15'!AZ22</f>
        <v>66715.12444229683</v>
      </c>
      <c r="AA23" s="7">
        <f>'a9'!M21</f>
        <v>444.21895278822865</v>
      </c>
      <c r="AB23" s="7">
        <f t="shared" si="17"/>
        <v>93027.028738510751</v>
      </c>
      <c r="AC23" s="9">
        <f t="shared" si="46"/>
        <v>9.9251967392188695E-2</v>
      </c>
      <c r="AD23" s="9">
        <f t="shared" si="18"/>
        <v>11.440645361507102</v>
      </c>
      <c r="AE23" s="9">
        <f t="shared" si="19"/>
        <v>0.11873644221499288</v>
      </c>
      <c r="AF23" s="7">
        <f>'a7'!M23</f>
        <v>44687.748349603993</v>
      </c>
      <c r="AG23" s="7">
        <f>'a8'!Y23</f>
        <v>1159.5504346398236</v>
      </c>
      <c r="AH23" s="7">
        <f>'a13'!S23</f>
        <v>9253.8380268363708</v>
      </c>
      <c r="AI23" s="7">
        <f>'a16'!P23</f>
        <v>-7927.5666165911034</v>
      </c>
      <c r="AJ23" s="7">
        <f>'a15'!BQ22</f>
        <v>67103.152181719895</v>
      </c>
      <c r="AK23" s="7">
        <f>'a9'!Q21</f>
        <v>588.99412858404264</v>
      </c>
      <c r="AL23" s="7">
        <f t="shared" si="20"/>
        <v>113687.72824762494</v>
      </c>
      <c r="AM23" s="114">
        <f t="shared" si="47"/>
        <v>0.15718713515518212</v>
      </c>
      <c r="AN23" s="9">
        <f t="shared" si="21"/>
        <v>11.641210742934108</v>
      </c>
      <c r="AO23" s="44">
        <f t="shared" si="22"/>
        <v>0.23150733008007687</v>
      </c>
      <c r="AP23" s="7">
        <f>'a7'!P23</f>
        <v>42502.761421123287</v>
      </c>
      <c r="AQ23" s="7">
        <f>'a8'!AE23</f>
        <v>785.26920109905086</v>
      </c>
      <c r="AR23" s="7">
        <f>'a13'!W23</f>
        <v>6902.1921680697524</v>
      </c>
      <c r="AS23" s="7">
        <f>'a16'!T23</f>
        <v>-7043.717440973076</v>
      </c>
      <c r="AT23" s="7">
        <f>'a15'!CH22</f>
        <v>67146.717792101656</v>
      </c>
      <c r="AU23" s="7">
        <f>'a9'!U21</f>
        <v>580.32453819395823</v>
      </c>
      <c r="AV23" s="7">
        <f t="shared" si="23"/>
        <v>109712.8986032267</v>
      </c>
      <c r="AW23" s="114">
        <f t="shared" si="48"/>
        <v>0.14604121910447213</v>
      </c>
      <c r="AX23" s="9">
        <f t="shared" si="24"/>
        <v>11.605622220055233</v>
      </c>
      <c r="AY23" s="44">
        <f t="shared" si="25"/>
        <v>0.21149715038554068</v>
      </c>
      <c r="AZ23" s="7">
        <f>'a7'!S23</f>
        <v>50255.614688225061</v>
      </c>
      <c r="BA23" s="7">
        <f>'a8'!AK23</f>
        <v>1252.5417150301837</v>
      </c>
      <c r="BB23" s="7">
        <f>'a13'!AA23</f>
        <v>7309.6701376113442</v>
      </c>
      <c r="BC23" s="7">
        <f>'a16'!X23</f>
        <v>-8786.1901464617604</v>
      </c>
      <c r="BD23" s="7">
        <f>'a15'!CY22</f>
        <v>82487.169183852209</v>
      </c>
      <c r="BE23" s="7">
        <f>'a9'!Y21</f>
        <v>339.92953959570326</v>
      </c>
      <c r="BF23" s="7">
        <f t="shared" si="26"/>
        <v>132178.87603866131</v>
      </c>
      <c r="BG23" s="114">
        <f t="shared" si="49"/>
        <v>0.20903861041290089</v>
      </c>
      <c r="BH23" s="9">
        <f t="shared" si="27"/>
        <v>11.791911405725024</v>
      </c>
      <c r="BI23" s="44">
        <f t="shared" si="28"/>
        <v>0.31624103349326149</v>
      </c>
      <c r="BJ23" s="7">
        <f>'a7'!V23</f>
        <v>55762.333661156074</v>
      </c>
      <c r="BK23" s="7">
        <f>'a8'!AQ23</f>
        <v>1786.7696268621078</v>
      </c>
      <c r="BL23" s="7">
        <f>'a13'!AE23</f>
        <v>4604.4120066780088</v>
      </c>
      <c r="BM23" s="7">
        <f>'a16'!AB23</f>
        <v>-10922.862742080413</v>
      </c>
      <c r="BN23" s="7">
        <f>'a15'!DP22</f>
        <v>80484.955984553366</v>
      </c>
      <c r="BO23" s="7">
        <f>'a9'!AC21</f>
        <v>494.79385311200377</v>
      </c>
      <c r="BP23" s="7">
        <f t="shared" si="29"/>
        <v>131220.81468405714</v>
      </c>
      <c r="BQ23" s="114">
        <f t="shared" si="50"/>
        <v>0.20635208737036076</v>
      </c>
      <c r="BR23" s="9">
        <f t="shared" si="30"/>
        <v>11.784636791415315</v>
      </c>
      <c r="BS23" s="44">
        <f t="shared" si="31"/>
        <v>0.31215077270775021</v>
      </c>
      <c r="BT23" s="7">
        <f>'a7'!Y23</f>
        <v>48305.361318066127</v>
      </c>
      <c r="BU23" s="7">
        <f>'a8'!AW23</f>
        <v>1139.9750689931197</v>
      </c>
      <c r="BV23" s="7">
        <f>'a13'!AI23</f>
        <v>5868.0069359841555</v>
      </c>
      <c r="BW23" s="7">
        <f>'a16'!AF23</f>
        <v>-9802.8860575144681</v>
      </c>
      <c r="BX23" s="7">
        <f>'a15'!EG22</f>
        <v>96850.358321504187</v>
      </c>
      <c r="BY23" s="7">
        <f>'a9'!AG21</f>
        <v>449.82144878041129</v>
      </c>
      <c r="BZ23" s="7">
        <f t="shared" si="32"/>
        <v>141910.99413825269</v>
      </c>
      <c r="CA23" s="114">
        <f t="shared" si="51"/>
        <v>0.23632867842537861</v>
      </c>
      <c r="CB23" s="9">
        <f t="shared" si="33"/>
        <v>11.862955338217708</v>
      </c>
      <c r="CC23" s="44">
        <f t="shared" si="34"/>
        <v>0.35618654795654769</v>
      </c>
      <c r="CD23" s="7">
        <f>'a7'!AB23</f>
        <v>57606.051254332007</v>
      </c>
      <c r="CE23" s="7">
        <f>'a8'!BC23</f>
        <v>804.01912607390364</v>
      </c>
      <c r="CF23" s="7">
        <f>'a13'!AM23</f>
        <v>38664.118307116063</v>
      </c>
      <c r="CG23" s="7">
        <f>'a16'!AJ23</f>
        <v>-9942.5152088398627</v>
      </c>
      <c r="CH23" s="7">
        <f>'a15'!EX22</f>
        <v>96919.585385576342</v>
      </c>
      <c r="CI23" s="7">
        <f>'a9'!AK21</f>
        <v>1244.7080078117385</v>
      </c>
      <c r="CJ23" s="7">
        <f t="shared" si="35"/>
        <v>182806.5508564467</v>
      </c>
      <c r="CK23" s="9">
        <f t="shared" si="52"/>
        <v>0.35100489924667277</v>
      </c>
      <c r="CL23" s="9">
        <f t="shared" si="36"/>
        <v>12.11618377355509</v>
      </c>
      <c r="CM23" s="9">
        <f t="shared" si="37"/>
        <v>0.49856802616830731</v>
      </c>
      <c r="CN23" s="7">
        <f>'a7'!AE23</f>
        <v>84132.416811881107</v>
      </c>
      <c r="CO23" s="7">
        <f>'a8'!BI23</f>
        <v>1305.2115438283658</v>
      </c>
      <c r="CP23" s="7">
        <f>'a13'!AQ23</f>
        <v>128298.54881721389</v>
      </c>
      <c r="CQ23" s="7">
        <f>'a16'!AN23</f>
        <v>-14516.595393500069</v>
      </c>
      <c r="CR23" s="7">
        <f>'a15'!FO22</f>
        <v>77496.604948477092</v>
      </c>
      <c r="CS23" s="7">
        <f>'a9'!AO21</f>
        <v>2105.8995478364109</v>
      </c>
      <c r="CT23" s="7">
        <f t="shared" si="38"/>
        <v>274610.28718006401</v>
      </c>
      <c r="CU23" s="9">
        <f t="shared" si="53"/>
        <v>0.60843397916877917</v>
      </c>
      <c r="CV23" s="9">
        <f t="shared" si="39"/>
        <v>12.523108234032605</v>
      </c>
      <c r="CW23" s="9">
        <f t="shared" si="40"/>
        <v>0.7273673951101034</v>
      </c>
      <c r="CX23" s="7">
        <f>'a7'!AH23</f>
        <v>52943.765568642186</v>
      </c>
      <c r="CY23" s="7">
        <f>'a8'!BO23</f>
        <v>871.44421372426996</v>
      </c>
      <c r="CZ23" s="7">
        <f>'a13'!AU23</f>
        <v>22773.449379230828</v>
      </c>
      <c r="DA23" s="7">
        <f>'a16'!AR23</f>
        <v>-10685.644378445584</v>
      </c>
      <c r="DB23" s="7">
        <f>'a15'!GF22</f>
        <v>93196.844740033426</v>
      </c>
      <c r="DC23" s="7">
        <f>'a9'!AS21</f>
        <v>480.67693255596294</v>
      </c>
      <c r="DD23" s="7">
        <f t="shared" si="41"/>
        <v>158619.18259062915</v>
      </c>
      <c r="DE23" s="44">
        <f t="shared" si="54"/>
        <v>0.28318051422973378</v>
      </c>
      <c r="DF23" s="9">
        <f t="shared" si="42"/>
        <v>11.974261530368636</v>
      </c>
      <c r="DG23" s="44">
        <f t="shared" si="43"/>
        <v>0.41877012057727975</v>
      </c>
    </row>
    <row r="24" spans="1:111">
      <c r="A24" s="1">
        <v>1986</v>
      </c>
      <c r="B24" s="7">
        <f>'a7'!D24</f>
        <v>56801.088172317541</v>
      </c>
      <c r="C24" s="7">
        <f>'a8'!G24</f>
        <v>1650.7193372690892</v>
      </c>
      <c r="D24" s="7">
        <f>'a13'!G24</f>
        <v>14596.800219283585</v>
      </c>
      <c r="E24" s="7">
        <f>'a16'!D24</f>
        <v>-10787.929317086766</v>
      </c>
      <c r="F24" s="7">
        <f>'a15'!R23</f>
        <v>82004.239664548804</v>
      </c>
      <c r="G24" s="7">
        <f>'a9'!E22</f>
        <v>603.49023761867727</v>
      </c>
      <c r="H24" s="7">
        <f t="shared" si="11"/>
        <v>143661.42783871357</v>
      </c>
      <c r="I24" s="9">
        <f t="shared" si="44"/>
        <v>0.24123711194910621</v>
      </c>
      <c r="J24" s="9">
        <f t="shared" si="12"/>
        <v>11.875214614593139</v>
      </c>
      <c r="K24" s="9">
        <f t="shared" si="13"/>
        <v>0.36307950960129681</v>
      </c>
      <c r="L24" s="7">
        <f>'a7'!G24</f>
        <v>48355.502285244307</v>
      </c>
      <c r="M24" s="7">
        <f>'a8'!M24</f>
        <v>687.78903449961001</v>
      </c>
      <c r="N24" s="7">
        <f>'a13'!K24</f>
        <v>5910.3104245844424</v>
      </c>
      <c r="O24" s="7">
        <f>'a16'!H24</f>
        <v>-6637.6621638163815</v>
      </c>
      <c r="P24" s="7">
        <f>'a15'!AI23</f>
        <v>73336.822171207968</v>
      </c>
      <c r="Q24" s="7">
        <f>'a9'!I22</f>
        <v>471.50235068968749</v>
      </c>
      <c r="R24" s="7">
        <f t="shared" si="14"/>
        <v>121181.25940103027</v>
      </c>
      <c r="S24" s="9">
        <f t="shared" si="45"/>
        <v>0.17819992730765696</v>
      </c>
      <c r="T24" s="9">
        <f t="shared" si="15"/>
        <v>11.705042715257569</v>
      </c>
      <c r="U24" s="9">
        <f t="shared" si="16"/>
        <v>0.26739781198617774</v>
      </c>
      <c r="V24" s="7">
        <f>'a7'!J24</f>
        <v>34217.195334641387</v>
      </c>
      <c r="W24" s="7">
        <f>'a8'!S24</f>
        <v>674.80923532895565</v>
      </c>
      <c r="X24" s="7">
        <f>'a13'!O24</f>
        <v>259.50608782973029</v>
      </c>
      <c r="Y24" s="7">
        <f>'a16'!L24</f>
        <v>-7812.9747385662504</v>
      </c>
      <c r="Z24" s="7">
        <f>'a15'!AZ23</f>
        <v>67036.901646539147</v>
      </c>
      <c r="AA24" s="7">
        <f>'a9'!M22</f>
        <v>434.91698978101925</v>
      </c>
      <c r="AB24" s="7">
        <f t="shared" si="17"/>
        <v>93940.520575991948</v>
      </c>
      <c r="AC24" s="9">
        <f t="shared" si="46"/>
        <v>0.10181351197257678</v>
      </c>
      <c r="AD24" s="9">
        <f t="shared" si="18"/>
        <v>11.450417101145277</v>
      </c>
      <c r="AE24" s="9">
        <f t="shared" si="19"/>
        <v>0.12423074909459024</v>
      </c>
      <c r="AF24" s="7">
        <f>'a7'!M24</f>
        <v>45593.294694444972</v>
      </c>
      <c r="AG24" s="7">
        <f>'a8'!Y24</f>
        <v>1214.3619452156699</v>
      </c>
      <c r="AH24" s="7">
        <f>'a13'!S24</f>
        <v>7897.5876133451129</v>
      </c>
      <c r="AI24" s="7">
        <f>'a16'!P24</f>
        <v>-8624.504236982013</v>
      </c>
      <c r="AJ24" s="7">
        <f>'a15'!BQ23</f>
        <v>68416.953396056429</v>
      </c>
      <c r="AK24" s="7">
        <f>'a9'!Q22</f>
        <v>578.23801243296225</v>
      </c>
      <c r="AL24" s="7">
        <f t="shared" si="20"/>
        <v>113919.45539964721</v>
      </c>
      <c r="AM24" s="114">
        <f t="shared" si="47"/>
        <v>0.15783692687311154</v>
      </c>
      <c r="AN24" s="9">
        <f t="shared" si="21"/>
        <v>11.643246946083526</v>
      </c>
      <c r="AO24" s="44">
        <f t="shared" si="22"/>
        <v>0.23265221577969136</v>
      </c>
      <c r="AP24" s="7">
        <f>'a7'!P24</f>
        <v>42894.091878971456</v>
      </c>
      <c r="AQ24" s="7">
        <f>'a8'!AE24</f>
        <v>789.09725149018732</v>
      </c>
      <c r="AR24" s="7">
        <f>'a13'!W24</f>
        <v>7167.6448410806615</v>
      </c>
      <c r="AS24" s="7">
        <f>'a16'!T24</f>
        <v>-7802.7736319995247</v>
      </c>
      <c r="AT24" s="7">
        <f>'a15'!CH23</f>
        <v>68362.120575499473</v>
      </c>
      <c r="AU24" s="7">
        <f>'a9'!U22</f>
        <v>570.44388587461538</v>
      </c>
      <c r="AV24" s="7">
        <f t="shared" si="23"/>
        <v>110839.73702916765</v>
      </c>
      <c r="AW24" s="114">
        <f t="shared" si="48"/>
        <v>0.14920101401944477</v>
      </c>
      <c r="AX24" s="9">
        <f t="shared" si="24"/>
        <v>11.615840626447644</v>
      </c>
      <c r="AY24" s="44">
        <f t="shared" si="25"/>
        <v>0.21724260233362702</v>
      </c>
      <c r="AZ24" s="7">
        <f>'a7'!S24</f>
        <v>51327.982967038697</v>
      </c>
      <c r="BA24" s="7">
        <f>'a8'!AK24</f>
        <v>1349.6440563657475</v>
      </c>
      <c r="BB24" s="7">
        <f>'a13'!AA24</f>
        <v>6993.5379693716777</v>
      </c>
      <c r="BC24" s="7">
        <f>'a16'!X24</f>
        <v>-9199.538314704645</v>
      </c>
      <c r="BD24" s="7">
        <f>'a15'!CY23</f>
        <v>83680.824207846948</v>
      </c>
      <c r="BE24" s="7">
        <f>'a9'!Y22</f>
        <v>332.82656209592886</v>
      </c>
      <c r="BF24" s="7">
        <f t="shared" si="26"/>
        <v>133819.6243238225</v>
      </c>
      <c r="BG24" s="114">
        <f t="shared" si="49"/>
        <v>0.21363947240771014</v>
      </c>
      <c r="BH24" s="9">
        <f t="shared" si="27"/>
        <v>11.80424808500827</v>
      </c>
      <c r="BI24" s="44">
        <f t="shared" si="28"/>
        <v>0.32317751608153289</v>
      </c>
      <c r="BJ24" s="7">
        <f>'a7'!V24</f>
        <v>57145.185554560332</v>
      </c>
      <c r="BK24" s="7">
        <f>'a8'!AQ24</f>
        <v>1934.5702808561084</v>
      </c>
      <c r="BL24" s="7">
        <f>'a13'!AE24</f>
        <v>4395.2841442077915</v>
      </c>
      <c r="BM24" s="7">
        <f>'a16'!AB24</f>
        <v>-11801.805732760035</v>
      </c>
      <c r="BN24" s="7">
        <f>'a15'!DP23</f>
        <v>80907.687145759977</v>
      </c>
      <c r="BO24" s="7">
        <f>'a9'!AC22</f>
        <v>480.16213709232522</v>
      </c>
      <c r="BP24" s="7">
        <f t="shared" si="29"/>
        <v>132100.75925553186</v>
      </c>
      <c r="BQ24" s="114">
        <f t="shared" si="50"/>
        <v>0.20881956124984066</v>
      </c>
      <c r="BR24" s="9">
        <f t="shared" si="30"/>
        <v>11.791320238075519</v>
      </c>
      <c r="BS24" s="44">
        <f t="shared" si="31"/>
        <v>0.31590864063344959</v>
      </c>
      <c r="BT24" s="7">
        <f>'a7'!Y24</f>
        <v>49328.178959866316</v>
      </c>
      <c r="BU24" s="7">
        <f>'a8'!AW24</f>
        <v>1168.6292975041181</v>
      </c>
      <c r="BV24" s="7">
        <f>'a13'!AI24</f>
        <v>4565.3588731417758</v>
      </c>
      <c r="BW24" s="7">
        <f>'a16'!AF24</f>
        <v>-10302.464897447537</v>
      </c>
      <c r="BX24" s="7">
        <f>'a15'!EG23</f>
        <v>98054.34295363295</v>
      </c>
      <c r="BY24" s="7">
        <f>'a9'!AG22</f>
        <v>439.54399692842867</v>
      </c>
      <c r="BZ24" s="7">
        <f t="shared" si="32"/>
        <v>142374.50118976919</v>
      </c>
      <c r="CA24" s="114">
        <f t="shared" si="51"/>
        <v>0.23762840977170077</v>
      </c>
      <c r="CB24" s="9">
        <f t="shared" si="33"/>
        <v>11.866216197247432</v>
      </c>
      <c r="CC24" s="44">
        <f t="shared" si="34"/>
        <v>0.35802001475609491</v>
      </c>
      <c r="CD24" s="7">
        <f>'a7'!AB24</f>
        <v>58214.682755315604</v>
      </c>
      <c r="CE24" s="7">
        <f>'a8'!BC24</f>
        <v>892.44457055799012</v>
      </c>
      <c r="CF24" s="7">
        <f>'a13'!AM24</f>
        <v>27105.113914310965</v>
      </c>
      <c r="CG24" s="7">
        <f>'a16'!AJ24</f>
        <v>-11241.832505398223</v>
      </c>
      <c r="CH24" s="7">
        <f>'a15'!EX23</f>
        <v>97463.977987745864</v>
      </c>
      <c r="CI24" s="7">
        <f>'a9'!AK22</f>
        <v>1221.9280891441308</v>
      </c>
      <c r="CJ24" s="7">
        <f t="shared" si="35"/>
        <v>171212.45863338807</v>
      </c>
      <c r="CK24" s="9">
        <f t="shared" si="52"/>
        <v>0.3184936245095224</v>
      </c>
      <c r="CL24" s="9">
        <f t="shared" si="36"/>
        <v>12.050660512433282</v>
      </c>
      <c r="CM24" s="9">
        <f t="shared" si="37"/>
        <v>0.46172659181932346</v>
      </c>
      <c r="CN24" s="7">
        <f>'a7'!AE24</f>
        <v>83629.611291734662</v>
      </c>
      <c r="CO24" s="7">
        <f>'a8'!BI24</f>
        <v>1422.1633352300801</v>
      </c>
      <c r="CP24" s="7">
        <f>'a13'!AQ24</f>
        <v>80902.295119210801</v>
      </c>
      <c r="CQ24" s="7">
        <f>'a16'!AN24</f>
        <v>-14871.550986623477</v>
      </c>
      <c r="CR24" s="7">
        <f>'a15'!FO23</f>
        <v>78315.105375498024</v>
      </c>
      <c r="CS24" s="7">
        <f>'a9'!AO22</f>
        <v>2050.7453556038759</v>
      </c>
      <c r="CT24" s="7">
        <f t="shared" si="38"/>
        <v>227346.87877944624</v>
      </c>
      <c r="CU24" s="9">
        <f t="shared" si="53"/>
        <v>0.4759015112563188</v>
      </c>
      <c r="CV24" s="9">
        <f t="shared" si="39"/>
        <v>12.334232230456239</v>
      </c>
      <c r="CW24" s="9">
        <f t="shared" si="40"/>
        <v>0.62116903491369335</v>
      </c>
      <c r="CX24" s="7">
        <f>'a7'!AH24</f>
        <v>52907.103026646837</v>
      </c>
      <c r="CY24" s="7">
        <f>'a8'!BO24</f>
        <v>956.98939182611309</v>
      </c>
      <c r="CZ24" s="7">
        <f>'a13'!AU24</f>
        <v>21897.576555991232</v>
      </c>
      <c r="DA24" s="7">
        <f>'a16'!AR24</f>
        <v>-11251.294350075159</v>
      </c>
      <c r="DB24" s="7">
        <f>'a15'!GF23</f>
        <v>94492.814294200696</v>
      </c>
      <c r="DC24" s="7">
        <f>'a9'!AS22</f>
        <v>469.13190090463019</v>
      </c>
      <c r="DD24" s="7">
        <f t="shared" si="41"/>
        <v>158534.05701768509</v>
      </c>
      <c r="DE24" s="44">
        <f t="shared" si="54"/>
        <v>0.28294181154944653</v>
      </c>
      <c r="DF24" s="9">
        <f>LN(DD24)</f>
        <v>11.973724719992092</v>
      </c>
      <c r="DG24" s="44">
        <f t="shared" si="43"/>
        <v>0.41846829090783511</v>
      </c>
    </row>
    <row r="25" spans="1:111">
      <c r="A25" s="1">
        <v>1987</v>
      </c>
      <c r="B25" s="7">
        <f>'a7'!D25</f>
        <v>57835.858982407604</v>
      </c>
      <c r="C25" s="7">
        <f>'a8'!G25</f>
        <v>1714.5076555605472</v>
      </c>
      <c r="D25" s="7">
        <f>'a13'!G25</f>
        <v>15551.058535608347</v>
      </c>
      <c r="E25" s="7">
        <f>'a16'!D25</f>
        <v>-10995.597113997484</v>
      </c>
      <c r="F25" s="7">
        <f>'a15'!R24</f>
        <v>82753.258353677069</v>
      </c>
      <c r="G25" s="7">
        <f>'a9'!E23</f>
        <v>620.70388321646647</v>
      </c>
      <c r="H25" s="7">
        <f t="shared" si="11"/>
        <v>146238.38253003961</v>
      </c>
      <c r="I25" s="9">
        <f t="shared" si="44"/>
        <v>0.24846321299635038</v>
      </c>
      <c r="J25" s="9">
        <f t="shared" si="12"/>
        <v>11.892993326246884</v>
      </c>
      <c r="K25" s="9">
        <f t="shared" si="13"/>
        <v>0.37307585634880303</v>
      </c>
      <c r="L25" s="7">
        <f>'a7'!G25</f>
        <v>48896.600908834887</v>
      </c>
      <c r="M25" s="7">
        <f>'a8'!M25</f>
        <v>716.13774092043161</v>
      </c>
      <c r="N25" s="7">
        <f>'a13'!K25</f>
        <v>7316.1139420629279</v>
      </c>
      <c r="O25" s="7">
        <f>'a16'!H25</f>
        <v>-6868.8803980706234</v>
      </c>
      <c r="P25" s="7">
        <f>'a15'!AI24</f>
        <v>74901.799079377262</v>
      </c>
      <c r="Q25" s="7">
        <f>'a9'!I23</f>
        <v>492.29492536691635</v>
      </c>
      <c r="R25" s="7">
        <f t="shared" si="14"/>
        <v>124469.47634775795</v>
      </c>
      <c r="S25" s="9">
        <f t="shared" si="45"/>
        <v>0.18742049606747793</v>
      </c>
      <c r="T25" s="9">
        <f t="shared" si="15"/>
        <v>11.73181579493032</v>
      </c>
      <c r="U25" s="9">
        <f t="shared" si="16"/>
        <v>0.28245137678433568</v>
      </c>
      <c r="V25" s="7">
        <f>'a7'!J25</f>
        <v>35255.222673953096</v>
      </c>
      <c r="W25" s="7">
        <f>'a8'!S25</f>
        <v>696.71173445038187</v>
      </c>
      <c r="X25" s="7">
        <f>'a13'!O25</f>
        <v>315.94768454036057</v>
      </c>
      <c r="Y25" s="7">
        <f>'a16'!L25</f>
        <v>-7939.4952601164669</v>
      </c>
      <c r="Z25" s="7">
        <f>'a15'!AZ24</f>
        <v>66023.686264226897</v>
      </c>
      <c r="AA25" s="7">
        <f>'a9'!M23</f>
        <v>452.53552793015757</v>
      </c>
      <c r="AB25" s="7">
        <f t="shared" si="17"/>
        <v>93899.537569124106</v>
      </c>
      <c r="AC25" s="9">
        <f t="shared" si="46"/>
        <v>0.10169859053067337</v>
      </c>
      <c r="AD25" s="9">
        <f t="shared" si="18"/>
        <v>11.449980740467765</v>
      </c>
      <c r="AE25" s="9">
        <f t="shared" si="19"/>
        <v>0.12398539877200582</v>
      </c>
      <c r="AF25" s="7">
        <f>'a7'!M25</f>
        <v>46166.83616716988</v>
      </c>
      <c r="AG25" s="7">
        <f>'a8'!Y25</f>
        <v>1229.3397368225208</v>
      </c>
      <c r="AH25" s="7">
        <f>'a13'!S25</f>
        <v>10444.929206876161</v>
      </c>
      <c r="AI25" s="7">
        <f>'a16'!P25</f>
        <v>-8624.6151795188198</v>
      </c>
      <c r="AJ25" s="7">
        <f>'a15'!BQ24</f>
        <v>68917.69631361941</v>
      </c>
      <c r="AK25" s="7">
        <f>'a9'!Q23</f>
        <v>599.57534406742843</v>
      </c>
      <c r="AL25" s="7">
        <f t="shared" si="20"/>
        <v>117534.61090090172</v>
      </c>
      <c r="AM25" s="114">
        <f t="shared" si="47"/>
        <v>0.16797427195003378</v>
      </c>
      <c r="AN25" s="9">
        <f t="shared" si="21"/>
        <v>11.674488130050557</v>
      </c>
      <c r="AO25" s="44">
        <f t="shared" si="22"/>
        <v>0.25021803909801288</v>
      </c>
      <c r="AP25" s="7">
        <f>'a7'!P25</f>
        <v>43261.581850259972</v>
      </c>
      <c r="AQ25" s="7">
        <f>'a8'!AE25</f>
        <v>793.92933236382567</v>
      </c>
      <c r="AR25" s="7">
        <f>'a13'!W25</f>
        <v>12288.292893861821</v>
      </c>
      <c r="AS25" s="7">
        <f>'a16'!T25</f>
        <v>-8141.1674841457352</v>
      </c>
      <c r="AT25" s="7">
        <f>'a15'!CH24</f>
        <v>69154.380752100842</v>
      </c>
      <c r="AU25" s="7">
        <f>'a9'!U23</f>
        <v>592.25441255435373</v>
      </c>
      <c r="AV25" s="7">
        <f t="shared" si="23"/>
        <v>116764.76293188638</v>
      </c>
      <c r="AW25" s="114">
        <f t="shared" si="48"/>
        <v>0.16581552261934299</v>
      </c>
      <c r="AX25" s="9">
        <f t="shared" si="24"/>
        <v>11.667916616632517</v>
      </c>
      <c r="AY25" s="44">
        <f t="shared" si="25"/>
        <v>0.2465231073131906</v>
      </c>
      <c r="AZ25" s="7">
        <f>'a7'!S25</f>
        <v>52661.388673284986</v>
      </c>
      <c r="BA25" s="7">
        <f>'a8'!AK25</f>
        <v>1444.8013940186152</v>
      </c>
      <c r="BB25" s="7">
        <f>'a13'!AA25</f>
        <v>7958.4883818017288</v>
      </c>
      <c r="BC25" s="7">
        <f>'a16'!X25</f>
        <v>-9493.3430387877124</v>
      </c>
      <c r="BD25" s="7">
        <f>'a15'!CY24</f>
        <v>84217.867152313658</v>
      </c>
      <c r="BE25" s="7">
        <f>'a9'!Y23</f>
        <v>343.08696764921939</v>
      </c>
      <c r="BF25" s="7">
        <f t="shared" si="26"/>
        <v>136446.11559498205</v>
      </c>
      <c r="BG25" s="114">
        <f t="shared" si="49"/>
        <v>0.22100448017792335</v>
      </c>
      <c r="BH25" s="9">
        <f t="shared" si="27"/>
        <v>11.82368505812396</v>
      </c>
      <c r="BI25" s="44">
        <f t="shared" si="28"/>
        <v>0.33410624515766141</v>
      </c>
      <c r="BJ25" s="7">
        <f>'a7'!V25</f>
        <v>58662.136721054128</v>
      </c>
      <c r="BK25" s="7">
        <f>'a8'!AQ25</f>
        <v>2035.9230034564609</v>
      </c>
      <c r="BL25" s="7">
        <f>'a13'!AE25</f>
        <v>5328.7869129439405</v>
      </c>
      <c r="BM25" s="7">
        <f>'a16'!AB25</f>
        <v>-12038.027955067866</v>
      </c>
      <c r="BN25" s="7">
        <f>'a15'!DP24</f>
        <v>81976.326968343812</v>
      </c>
      <c r="BO25" s="7">
        <f>'a9'!AC23</f>
        <v>489.99639708519851</v>
      </c>
      <c r="BP25" s="7">
        <f t="shared" si="29"/>
        <v>135475.14925364527</v>
      </c>
      <c r="BQ25" s="114">
        <f t="shared" si="50"/>
        <v>0.21828176994961038</v>
      </c>
      <c r="BR25" s="9">
        <f t="shared" si="30"/>
        <v>11.816543502139892</v>
      </c>
      <c r="BS25" s="44">
        <f t="shared" si="31"/>
        <v>0.330090798407422</v>
      </c>
      <c r="BT25" s="7">
        <f>'a7'!Y25</f>
        <v>50102.596840963859</v>
      </c>
      <c r="BU25" s="7">
        <f>'a8'!AW25</f>
        <v>1166.8229541972385</v>
      </c>
      <c r="BV25" s="7">
        <f>'a13'!AI25</f>
        <v>5702.9005629235244</v>
      </c>
      <c r="BW25" s="7">
        <f>'a16'!AF25</f>
        <v>-10323.829062347979</v>
      </c>
      <c r="BX25" s="7">
        <f>'a15'!EG24</f>
        <v>98723.442649545148</v>
      </c>
      <c r="BY25" s="7">
        <f>'a9'!AG23</f>
        <v>455.23524391653348</v>
      </c>
      <c r="BZ25" s="7">
        <f t="shared" si="32"/>
        <v>144916.69870136524</v>
      </c>
      <c r="CA25" s="114">
        <f t="shared" si="51"/>
        <v>0.24475704736966836</v>
      </c>
      <c r="CB25" s="9">
        <f t="shared" si="33"/>
        <v>11.883914364604395</v>
      </c>
      <c r="CC25" s="44">
        <f t="shared" si="34"/>
        <v>0.36797107426710995</v>
      </c>
      <c r="CD25" s="7">
        <f>'a7'!AB25</f>
        <v>59379.722579127214</v>
      </c>
      <c r="CE25" s="7">
        <f>'a8'!BC25</f>
        <v>947.25649898945198</v>
      </c>
      <c r="CF25" s="7">
        <f>'a13'!AM25</f>
        <v>35842.620543903184</v>
      </c>
      <c r="CG25" s="7">
        <f>'a16'!AJ25</f>
        <v>-10856.455824558134</v>
      </c>
      <c r="CH25" s="7">
        <f>'a15'!EX24</f>
        <v>97878.402089600495</v>
      </c>
      <c r="CI25" s="7">
        <f>'a9'!AK23</f>
        <v>1268.4247266556108</v>
      </c>
      <c r="CJ25" s="7">
        <f t="shared" si="35"/>
        <v>181923.12116040659</v>
      </c>
      <c r="CK25" s="9">
        <f t="shared" si="52"/>
        <v>0.34852765264501168</v>
      </c>
      <c r="CL25" s="9">
        <f t="shared" si="36"/>
        <v>12.11133946561163</v>
      </c>
      <c r="CM25" s="9">
        <f t="shared" si="37"/>
        <v>0.49584424151519846</v>
      </c>
      <c r="CN25" s="7">
        <f>'a7'!AE25</f>
        <v>84186.427706107279</v>
      </c>
      <c r="CO25" s="7">
        <f>'a8'!BI25</f>
        <v>1480.6400036804519</v>
      </c>
      <c r="CP25" s="7">
        <f>'a13'!AQ25</f>
        <v>72963.366538259172</v>
      </c>
      <c r="CQ25" s="7">
        <f>'a16'!AN25</f>
        <v>-14886.656847720689</v>
      </c>
      <c r="CR25" s="7">
        <f>'a15'!FO24</f>
        <v>78233.221033436741</v>
      </c>
      <c r="CS25" s="7">
        <f>'a9'!AO23</f>
        <v>2130.2687592383195</v>
      </c>
      <c r="CT25" s="7">
        <f t="shared" si="38"/>
        <v>219846.72967452463</v>
      </c>
      <c r="CU25" s="9">
        <f t="shared" si="53"/>
        <v>0.45487016154575283</v>
      </c>
      <c r="CV25" s="9">
        <f t="shared" si="39"/>
        <v>12.3006858992403</v>
      </c>
      <c r="CW25" s="9">
        <f t="shared" si="40"/>
        <v>0.6023071080501361</v>
      </c>
      <c r="CX25" s="7">
        <f>'a7'!AH25</f>
        <v>53051.742426404337</v>
      </c>
      <c r="CY25" s="7">
        <f>'a8'!BO25</f>
        <v>986.72662348973677</v>
      </c>
      <c r="CZ25" s="7">
        <f>'a13'!AU25</f>
        <v>28545.606816655472</v>
      </c>
      <c r="DA25" s="7">
        <f>'a16'!AR25</f>
        <v>-11632.553239613906</v>
      </c>
      <c r="DB25" s="7">
        <f>'a15'!GF24</f>
        <v>94578.40767623132</v>
      </c>
      <c r="DC25" s="7">
        <f>'a9'!AS23</f>
        <v>481.69410416264714</v>
      </c>
      <c r="DD25" s="7">
        <f t="shared" si="41"/>
        <v>165048.23619900431</v>
      </c>
      <c r="DE25" s="44">
        <f t="shared" si="54"/>
        <v>0.30120837912337806</v>
      </c>
      <c r="DF25" s="9">
        <f t="shared" si="42"/>
        <v>12.013993050759558</v>
      </c>
      <c r="DG25" s="44">
        <f t="shared" si="43"/>
        <v>0.44110976263731555</v>
      </c>
    </row>
    <row r="26" spans="1:111">
      <c r="A26" s="1">
        <v>1988</v>
      </c>
      <c r="B26" s="7">
        <f>'a7'!D26</f>
        <v>59264.178241157621</v>
      </c>
      <c r="C26" s="7">
        <f>'a8'!G26</f>
        <v>1795.8263467494774</v>
      </c>
      <c r="D26" s="7">
        <f>'a13'!G26</f>
        <v>15723.687311470239</v>
      </c>
      <c r="E26" s="7">
        <f>'a16'!D26</f>
        <v>-10547.95596342661</v>
      </c>
      <c r="F26" s="7">
        <f>'a15'!R25</f>
        <v>83637.697793676882</v>
      </c>
      <c r="G26" s="7">
        <f>'a9'!E24</f>
        <v>657.93442666214992</v>
      </c>
      <c r="H26" s="7">
        <f t="shared" si="11"/>
        <v>149215.49930296544</v>
      </c>
      <c r="I26" s="9">
        <f t="shared" si="44"/>
        <v>0.25681141822596482</v>
      </c>
      <c r="J26" s="9">
        <f t="shared" si="12"/>
        <v>11.913146844084011</v>
      </c>
      <c r="K26" s="9">
        <f t="shared" si="13"/>
        <v>0.38440747342014048</v>
      </c>
      <c r="L26" s="7">
        <f>'a7'!G26</f>
        <v>49698.653523066809</v>
      </c>
      <c r="M26" s="7">
        <f>'a8'!M26</f>
        <v>784.25765806983509</v>
      </c>
      <c r="N26" s="7">
        <f>'a13'!K26</f>
        <v>12141.556245023306</v>
      </c>
      <c r="O26" s="7">
        <f>'a16'!H26</f>
        <v>-6855.7265539778718</v>
      </c>
      <c r="P26" s="7">
        <f>'a15'!AI25</f>
        <v>76188.693616706383</v>
      </c>
      <c r="Q26" s="7">
        <f>'a9'!I24</f>
        <v>528.87253844426664</v>
      </c>
      <c r="R26" s="7">
        <f t="shared" si="14"/>
        <v>131428.56195044419</v>
      </c>
      <c r="S26" s="9">
        <f t="shared" si="45"/>
        <v>0.20693463651034158</v>
      </c>
      <c r="T26" s="9">
        <f t="shared" si="15"/>
        <v>11.786218727853722</v>
      </c>
      <c r="U26" s="9">
        <f t="shared" si="16"/>
        <v>0.31304024014941972</v>
      </c>
      <c r="V26" s="7">
        <f>'a7'!J26</f>
        <v>36703.821670830468</v>
      </c>
      <c r="W26" s="7">
        <f>'a8'!S26</f>
        <v>691.37846386836634</v>
      </c>
      <c r="X26" s="7">
        <f>'a13'!O26</f>
        <v>444.09963166945045</v>
      </c>
      <c r="Y26" s="7">
        <f>'a16'!L26</f>
        <v>-7627.3849227430646</v>
      </c>
      <c r="Z26" s="7">
        <f>'a15'!AZ25</f>
        <v>67430.752032083779</v>
      </c>
      <c r="AA26" s="7">
        <f>'a9'!M24</f>
        <v>483.50373283487852</v>
      </c>
      <c r="AB26" s="7">
        <f t="shared" si="17"/>
        <v>97159.163142874109</v>
      </c>
      <c r="AC26" s="9">
        <f t="shared" si="46"/>
        <v>0.11083898552922813</v>
      </c>
      <c r="AD26" s="9">
        <f t="shared" si="18"/>
        <v>11.484105769893281</v>
      </c>
      <c r="AE26" s="9">
        <f t="shared" si="19"/>
        <v>0.14317270736612667</v>
      </c>
      <c r="AF26" s="7">
        <f>'a7'!M26</f>
        <v>47233.390175832807</v>
      </c>
      <c r="AG26" s="7">
        <f>'a8'!Y26</f>
        <v>1377.9915659201647</v>
      </c>
      <c r="AH26" s="7">
        <f>'a13'!S26</f>
        <v>11624.000840665543</v>
      </c>
      <c r="AI26" s="7">
        <f>'a16'!P26</f>
        <v>-8077.5572814561037</v>
      </c>
      <c r="AJ26" s="7">
        <f>'a15'!BQ25</f>
        <v>70027.650008667188</v>
      </c>
      <c r="AK26" s="7">
        <f>'a9'!Q24</f>
        <v>641.24228247740905</v>
      </c>
      <c r="AL26" s="7">
        <f t="shared" si="20"/>
        <v>121544.23302715219</v>
      </c>
      <c r="AM26" s="114">
        <f t="shared" si="47"/>
        <v>0.17921775044155613</v>
      </c>
      <c r="AN26" s="9">
        <f t="shared" si="21"/>
        <v>11.708033533346409</v>
      </c>
      <c r="AO26" s="44">
        <f t="shared" si="22"/>
        <v>0.2690794442246115</v>
      </c>
      <c r="AP26" s="7">
        <f>'a7'!P26</f>
        <v>44101.375506778269</v>
      </c>
      <c r="AQ26" s="7">
        <f>'a8'!AE26</f>
        <v>896.00849780722626</v>
      </c>
      <c r="AR26" s="7">
        <f>'a13'!W26</f>
        <v>18429.337989685166</v>
      </c>
      <c r="AS26" s="7">
        <f>'a16'!T26</f>
        <v>-7595.7427085161216</v>
      </c>
      <c r="AT26" s="7">
        <f>'a15'!CH25</f>
        <v>70215.395370972299</v>
      </c>
      <c r="AU26" s="7">
        <f>'a9'!U24</f>
        <v>633.7239804949163</v>
      </c>
      <c r="AV26" s="7">
        <f t="shared" si="23"/>
        <v>125412.65067623192</v>
      </c>
      <c r="AW26" s="114">
        <f t="shared" si="48"/>
        <v>0.19006527403957815</v>
      </c>
      <c r="AX26" s="9">
        <f t="shared" si="24"/>
        <v>11.739364784678234</v>
      </c>
      <c r="AY26" s="44">
        <f t="shared" si="25"/>
        <v>0.28669590926695893</v>
      </c>
      <c r="AZ26" s="7">
        <f>'a7'!S26</f>
        <v>54239.172412421285</v>
      </c>
      <c r="BA26" s="7">
        <f>'a8'!AK26</f>
        <v>1544.1990586076479</v>
      </c>
      <c r="BB26" s="7">
        <f>'a13'!AA26</f>
        <v>9881.9411935452736</v>
      </c>
      <c r="BC26" s="7">
        <f>'a16'!X26</f>
        <v>-9130.4124851731904</v>
      </c>
      <c r="BD26" s="7">
        <f>'a15'!CY25</f>
        <v>85101.119517586907</v>
      </c>
      <c r="BE26" s="7">
        <f>'a9'!Y24</f>
        <v>365.44315432208884</v>
      </c>
      <c r="BF26" s="7">
        <f t="shared" si="26"/>
        <v>141270.57654266583</v>
      </c>
      <c r="BG26" s="114">
        <f t="shared" si="49"/>
        <v>0.23453286793879127</v>
      </c>
      <c r="BH26" s="9">
        <f t="shared" si="27"/>
        <v>11.858432313037509</v>
      </c>
      <c r="BI26" s="44">
        <f t="shared" si="28"/>
        <v>0.35364340934619526</v>
      </c>
      <c r="BJ26" s="7">
        <f>'a7'!V26</f>
        <v>60529.150277173016</v>
      </c>
      <c r="BK26" s="7">
        <f>'a8'!AQ26</f>
        <v>2214.2773153879725</v>
      </c>
      <c r="BL26" s="7">
        <f>'a13'!AE26</f>
        <v>7043.8228794347697</v>
      </c>
      <c r="BM26" s="7">
        <f>'a16'!AB26</f>
        <v>-11602.053843221343</v>
      </c>
      <c r="BN26" s="7">
        <f>'a15'!DP25</f>
        <v>82819.630403193674</v>
      </c>
      <c r="BO26" s="7">
        <f>'a9'!AC24</f>
        <v>515.43328788009512</v>
      </c>
      <c r="BP26" s="7">
        <f t="shared" si="29"/>
        <v>140489.39374408801</v>
      </c>
      <c r="BQ26" s="114">
        <f t="shared" si="50"/>
        <v>0.23234233433806753</v>
      </c>
      <c r="BR26" s="9">
        <f t="shared" si="30"/>
        <v>11.852887275540549</v>
      </c>
      <c r="BS26" s="44">
        <f t="shared" si="31"/>
        <v>0.35052562901277851</v>
      </c>
      <c r="BT26" s="7">
        <f>'a7'!Y26</f>
        <v>51087.955381834814</v>
      </c>
      <c r="BU26" s="7">
        <f>'a8'!AW26</f>
        <v>1199.4358806700377</v>
      </c>
      <c r="BV26" s="7">
        <f>'a13'!AI26</f>
        <v>7467.1667216254109</v>
      </c>
      <c r="BW26" s="7">
        <f>'a16'!AF26</f>
        <v>-9382.5071318236187</v>
      </c>
      <c r="BX26" s="7">
        <f>'a15'!EG25</f>
        <v>99040.072923604399</v>
      </c>
      <c r="BY26" s="7">
        <f>'a9'!AG24</f>
        <v>487.16216570795228</v>
      </c>
      <c r="BZ26" s="7">
        <f t="shared" si="32"/>
        <v>148924.96161020309</v>
      </c>
      <c r="CA26" s="114">
        <f t="shared" si="51"/>
        <v>0.25599671444673244</v>
      </c>
      <c r="CB26" s="9">
        <f t="shared" si="33"/>
        <v>11.911197844717456</v>
      </c>
      <c r="CC26" s="44">
        <f t="shared" si="34"/>
        <v>0.38331161935274838</v>
      </c>
      <c r="CD26" s="7">
        <f>'a7'!AB26</f>
        <v>61014.495951761521</v>
      </c>
      <c r="CE26" s="7">
        <f>'a8'!BC26</f>
        <v>991.55143618664056</v>
      </c>
      <c r="CF26" s="7">
        <f>'a13'!AM26</f>
        <v>38461.519899621868</v>
      </c>
      <c r="CG26" s="7">
        <f>'a16'!AJ26</f>
        <v>-9645.4327593776943</v>
      </c>
      <c r="CH26" s="7">
        <f>'a15'!EX25</f>
        <v>98725.267336875258</v>
      </c>
      <c r="CI26" s="7">
        <f>'a9'!AK24</f>
        <v>1368.1120525839845</v>
      </c>
      <c r="CJ26" s="7">
        <f t="shared" si="35"/>
        <v>188179.28981248362</v>
      </c>
      <c r="CK26" s="9">
        <f t="shared" si="52"/>
        <v>0.36607072664653678</v>
      </c>
      <c r="CL26" s="9">
        <f t="shared" si="36"/>
        <v>12.145150456573848</v>
      </c>
      <c r="CM26" s="9">
        <f t="shared" si="37"/>
        <v>0.5148549772826535</v>
      </c>
      <c r="CN26" s="7">
        <f>'a7'!AE26</f>
        <v>85692.883945137495</v>
      </c>
      <c r="CO26" s="7">
        <f>'a8'!BI26</f>
        <v>1576.1136532298465</v>
      </c>
      <c r="CP26" s="7">
        <f>'a13'!AQ26</f>
        <v>50794.363378385264</v>
      </c>
      <c r="CQ26" s="7">
        <f>'a16'!AN26</f>
        <v>-14550.546805112614</v>
      </c>
      <c r="CR26" s="7">
        <f>'a15'!FO25</f>
        <v>78675.431874629227</v>
      </c>
      <c r="CS26" s="7">
        <f>'a9'!AO24</f>
        <v>2272.8600261398051</v>
      </c>
      <c r="CT26" s="7">
        <f t="shared" si="38"/>
        <v>199915.3860201294</v>
      </c>
      <c r="CU26" s="9">
        <f t="shared" si="53"/>
        <v>0.39898019819529273</v>
      </c>
      <c r="CV26" s="9">
        <f t="shared" si="39"/>
        <v>12.205649486111501</v>
      </c>
      <c r="CW26" s="9">
        <f t="shared" si="40"/>
        <v>0.54887146221836502</v>
      </c>
      <c r="CX26" s="7">
        <f>'a7'!AH26</f>
        <v>53454.310459133143</v>
      </c>
      <c r="CY26" s="7">
        <f>'a8'!BO26</f>
        <v>1049.3494596007065</v>
      </c>
      <c r="CZ26" s="7">
        <f>'a13'!AU26</f>
        <v>35431.575237032921</v>
      </c>
      <c r="DA26" s="7">
        <f>'a16'!AR26</f>
        <v>-11079.285638587056</v>
      </c>
      <c r="DB26" s="7">
        <f>'a15'!GF25</f>
        <v>95018.528180372305</v>
      </c>
      <c r="DC26" s="7">
        <f>'a9'!AS24</f>
        <v>506.27167786534454</v>
      </c>
      <c r="DD26" s="7">
        <f t="shared" si="41"/>
        <v>173368.20601968665</v>
      </c>
      <c r="DE26" s="44">
        <f t="shared" si="54"/>
        <v>0.32453860795380257</v>
      </c>
      <c r="DF26" s="9">
        <f t="shared" si="42"/>
        <v>12.063172970228909</v>
      </c>
      <c r="DG26" s="44">
        <f t="shared" si="43"/>
        <v>0.46876190850731686</v>
      </c>
    </row>
    <row r="27" spans="1:111">
      <c r="A27" s="1">
        <v>1989</v>
      </c>
      <c r="B27" s="7">
        <f>'a7'!D27</f>
        <v>60440.297500647161</v>
      </c>
      <c r="C27" s="7">
        <f>'a8'!G27</f>
        <v>1848.3385291447801</v>
      </c>
      <c r="D27" s="7">
        <f>'a13'!G27</f>
        <v>16087.626750355843</v>
      </c>
      <c r="E27" s="7">
        <f>'a16'!D27</f>
        <v>-10661.201486545036</v>
      </c>
      <c r="F27" s="7">
        <f>'a15'!R26</f>
        <v>83646.442214305891</v>
      </c>
      <c r="G27" s="7">
        <f>'a9'!E25</f>
        <v>673.46005928876934</v>
      </c>
      <c r="H27" s="7">
        <f t="shared" si="11"/>
        <v>150688.04344861986</v>
      </c>
      <c r="I27" s="9">
        <f t="shared" si="44"/>
        <v>0.26094061492035886</v>
      </c>
      <c r="J27" s="9">
        <f t="shared" si="12"/>
        <v>11.922967041378209</v>
      </c>
      <c r="K27" s="9">
        <f t="shared" si="13"/>
        <v>0.38992902634217386</v>
      </c>
      <c r="L27" s="7">
        <f>'a7'!G27</f>
        <v>50445.535780876286</v>
      </c>
      <c r="M27" s="7">
        <f>'a8'!M27</f>
        <v>848.12197250678582</v>
      </c>
      <c r="N27" s="7">
        <f>'a13'!K27</f>
        <v>13256.960074794599</v>
      </c>
      <c r="O27" s="7">
        <f>'a16'!H27</f>
        <v>-7094.8319702443296</v>
      </c>
      <c r="P27" s="7">
        <f>'a15'!AI26</f>
        <v>77916.378664028132</v>
      </c>
      <c r="Q27" s="7">
        <f>'a9'!I25</f>
        <v>549.65331614226534</v>
      </c>
      <c r="R27" s="7">
        <f t="shared" si="14"/>
        <v>134822.5112058192</v>
      </c>
      <c r="S27" s="9">
        <f t="shared" si="45"/>
        <v>0.21645169179699814</v>
      </c>
      <c r="T27" s="9">
        <f t="shared" si="15"/>
        <v>11.811714460593695</v>
      </c>
      <c r="U27" s="9">
        <f t="shared" si="16"/>
        <v>0.32737559751468881</v>
      </c>
      <c r="V27" s="7">
        <f>'a7'!J27</f>
        <v>37945.846042734323</v>
      </c>
      <c r="W27" s="7">
        <f>'a8'!S27</f>
        <v>708.8762760103026</v>
      </c>
      <c r="X27" s="7">
        <f>'a13'!O27</f>
        <v>458.94822997054763</v>
      </c>
      <c r="Y27" s="7">
        <f>'a16'!L27</f>
        <v>-7771.8311984726643</v>
      </c>
      <c r="Z27" s="7">
        <f>'a15'!AZ26</f>
        <v>68162.651360792253</v>
      </c>
      <c r="AA27" s="7">
        <f>'a9'!M25</f>
        <v>500.52818842271739</v>
      </c>
      <c r="AB27" s="7">
        <f t="shared" si="17"/>
        <v>99003.962522612055</v>
      </c>
      <c r="AC27" s="9">
        <f t="shared" si="46"/>
        <v>0.11601203213914742</v>
      </c>
      <c r="AD27" s="9">
        <f t="shared" si="18"/>
        <v>11.502915153796659</v>
      </c>
      <c r="AE27" s="9">
        <f t="shared" si="19"/>
        <v>0.15374856501357956</v>
      </c>
      <c r="AF27" s="7">
        <f>'a7'!M27</f>
        <v>48290.566924934814</v>
      </c>
      <c r="AG27" s="7">
        <f>'a8'!Y27</f>
        <v>1423.4286993810645</v>
      </c>
      <c r="AH27" s="7">
        <f>'a13'!S27</f>
        <v>12457.348882033539</v>
      </c>
      <c r="AI27" s="7">
        <f>'a16'!P27</f>
        <v>-8151.3207431111659</v>
      </c>
      <c r="AJ27" s="7">
        <f>'a15'!BQ26</f>
        <v>70681.586584375385</v>
      </c>
      <c r="AK27" s="7">
        <f>'a9'!Q25</f>
        <v>663.35871508807418</v>
      </c>
      <c r="AL27" s="7">
        <f t="shared" si="20"/>
        <v>124038.25163252556</v>
      </c>
      <c r="AM27" s="114">
        <f t="shared" si="47"/>
        <v>0.18621128840200088</v>
      </c>
      <c r="AN27" s="9">
        <f t="shared" si="21"/>
        <v>11.728345277924186</v>
      </c>
      <c r="AO27" s="44">
        <f t="shared" si="22"/>
        <v>0.28050002664929236</v>
      </c>
      <c r="AP27" s="7">
        <f>'a7'!P27</f>
        <v>45279.945152483444</v>
      </c>
      <c r="AQ27" s="7">
        <f>'a8'!AE27</f>
        <v>976.64977539513802</v>
      </c>
      <c r="AR27" s="7">
        <f>'a13'!W27</f>
        <v>21015.013316897694</v>
      </c>
      <c r="AS27" s="7">
        <f>'a16'!T27</f>
        <v>-7597.8562362195844</v>
      </c>
      <c r="AT27" s="7">
        <f>'a15'!CH26</f>
        <v>71285.001855496404</v>
      </c>
      <c r="AU27" s="7">
        <f>'a9'!U25</f>
        <v>656.1276516333528</v>
      </c>
      <c r="AV27" s="7">
        <f t="shared" si="23"/>
        <v>130302.62621241974</v>
      </c>
      <c r="AW27" s="114">
        <f t="shared" si="48"/>
        <v>0.20377737284441291</v>
      </c>
      <c r="AX27" s="9">
        <f t="shared" si="24"/>
        <v>11.777614918032002</v>
      </c>
      <c r="AY27" s="44">
        <f t="shared" si="25"/>
        <v>0.30820261929125192</v>
      </c>
      <c r="AZ27" s="7">
        <f>'a7'!S27</f>
        <v>55535.883538903538</v>
      </c>
      <c r="BA27" s="7">
        <f>'a8'!AK27</f>
        <v>1636.4152269075444</v>
      </c>
      <c r="BB27" s="7">
        <f>'a13'!AA27</f>
        <v>10049.093348566594</v>
      </c>
      <c r="BC27" s="7">
        <f>'a16'!X27</f>
        <v>-9187.007381003119</v>
      </c>
      <c r="BD27" s="7">
        <f>'a15'!CY26</f>
        <v>84843.827555097756</v>
      </c>
      <c r="BE27" s="7">
        <f>'a9'!Y25</f>
        <v>375.99650917042112</v>
      </c>
      <c r="BF27" s="7">
        <f t="shared" si="26"/>
        <v>142502.21577930189</v>
      </c>
      <c r="BG27" s="114">
        <f t="shared" si="49"/>
        <v>0.23798653734463676</v>
      </c>
      <c r="BH27" s="9">
        <f t="shared" si="27"/>
        <v>11.867112827898387</v>
      </c>
      <c r="BI27" s="44">
        <f t="shared" si="28"/>
        <v>0.35852415876078692</v>
      </c>
      <c r="BJ27" s="7">
        <f>'a7'!V27</f>
        <v>62085.408893426458</v>
      </c>
      <c r="BK27" s="7">
        <f>'a8'!AQ27</f>
        <v>2316.6934557560508</v>
      </c>
      <c r="BL27" s="7">
        <f>'a13'!AE27</f>
        <v>7273.0160621709683</v>
      </c>
      <c r="BM27" s="7">
        <f>'a16'!AB27</f>
        <v>-11698.735719754728</v>
      </c>
      <c r="BN27" s="7">
        <f>'a15'!DP26</f>
        <v>82298.149469921147</v>
      </c>
      <c r="BO27" s="7">
        <f>'a9'!AC25</f>
        <v>523.07564855524845</v>
      </c>
      <c r="BP27" s="7">
        <f t="shared" si="29"/>
        <v>141751.45651296468</v>
      </c>
      <c r="BQ27" s="114">
        <f t="shared" si="50"/>
        <v>0.23588131510733157</v>
      </c>
      <c r="BR27" s="9">
        <f t="shared" si="30"/>
        <v>11.861830496760945</v>
      </c>
      <c r="BS27" s="44">
        <f t="shared" si="31"/>
        <v>0.35555408901032237</v>
      </c>
      <c r="BT27" s="7">
        <f>'a7'!Y27</f>
        <v>51988.257117282963</v>
      </c>
      <c r="BU27" s="7">
        <f>'a8'!AW27</f>
        <v>1238.4348359073579</v>
      </c>
      <c r="BV27" s="7">
        <f>'a13'!AI27</f>
        <v>8088.3579084422126</v>
      </c>
      <c r="BW27" s="7">
        <f>'a16'!AF27</f>
        <v>-9598.360080752147</v>
      </c>
      <c r="BX27" s="7">
        <f>'a15'!EG26</f>
        <v>99581.651153355182</v>
      </c>
      <c r="BY27" s="7">
        <f>'a9'!AG25</f>
        <v>506.9313144394099</v>
      </c>
      <c r="BZ27" s="7">
        <f t="shared" si="32"/>
        <v>150791.40961979618</v>
      </c>
      <c r="CA27" s="114">
        <f t="shared" si="51"/>
        <v>0.26123046650381937</v>
      </c>
      <c r="CB27" s="9">
        <f t="shared" si="33"/>
        <v>11.923652767547436</v>
      </c>
      <c r="CC27" s="44">
        <f t="shared" si="34"/>
        <v>0.39031458614509612</v>
      </c>
      <c r="CD27" s="7">
        <f>'a7'!AB27</f>
        <v>62172.721565488471</v>
      </c>
      <c r="CE27" s="7">
        <f>'a8'!BC27</f>
        <v>1041.1649078542637</v>
      </c>
      <c r="CF27" s="7">
        <f>'a13'!AM27</f>
        <v>40699.364749543885</v>
      </c>
      <c r="CG27" s="7">
        <f>'a16'!AJ27</f>
        <v>-9780.2819039870847</v>
      </c>
      <c r="CH27" s="7">
        <f>'a15'!EX26</f>
        <v>100167.08469859169</v>
      </c>
      <c r="CI27" s="7">
        <f>'a9'!AK25</f>
        <v>1438.0364684599806</v>
      </c>
      <c r="CJ27" s="7">
        <f t="shared" si="35"/>
        <v>192862.01754903124</v>
      </c>
      <c r="CK27" s="9">
        <f t="shared" si="52"/>
        <v>0.3792016768781894</v>
      </c>
      <c r="CL27" s="9">
        <f t="shared" si="36"/>
        <v>12.169730277220024</v>
      </c>
      <c r="CM27" s="9">
        <f t="shared" si="37"/>
        <v>0.52867534936337868</v>
      </c>
      <c r="CN27" s="7">
        <f>'a7'!AE27</f>
        <v>85699.194940610207</v>
      </c>
      <c r="CO27" s="7">
        <f>'a8'!BI27</f>
        <v>1633.2263880060061</v>
      </c>
      <c r="CP27" s="7">
        <f>'a13'!AQ27</f>
        <v>52085.888204122544</v>
      </c>
      <c r="CQ27" s="7">
        <f>'a16'!AN27</f>
        <v>-14444.87837509404</v>
      </c>
      <c r="CR27" s="7">
        <f>'a15'!FO26</f>
        <v>79612.426907911722</v>
      </c>
      <c r="CS27" s="7">
        <f>'a9'!AO25</f>
        <v>2329.0670712304459</v>
      </c>
      <c r="CT27" s="7">
        <f t="shared" si="38"/>
        <v>202256.790994326</v>
      </c>
      <c r="CU27" s="9">
        <f t="shared" si="53"/>
        <v>0.40554578857723245</v>
      </c>
      <c r="CV27" s="9">
        <f t="shared" si="39"/>
        <v>12.217293411584853</v>
      </c>
      <c r="CW27" s="9">
        <f t="shared" si="40"/>
        <v>0.55541843360755616</v>
      </c>
      <c r="CX27" s="7">
        <f>'a7'!AH27</f>
        <v>54338.005208455535</v>
      </c>
      <c r="CY27" s="7">
        <f>'a8'!BO27</f>
        <v>1095.1901098629603</v>
      </c>
      <c r="CZ27" s="7">
        <f>'a13'!AU27</f>
        <v>36924.316693825334</v>
      </c>
      <c r="DA27" s="7">
        <f>'a16'!AR27</f>
        <v>-11153.400675158942</v>
      </c>
      <c r="DB27" s="7">
        <f>'a15'!GF26</f>
        <v>94622.338406479888</v>
      </c>
      <c r="DC27" s="7">
        <f>'a9'!AS25</f>
        <v>514.07253219446193</v>
      </c>
      <c r="DD27" s="7">
        <f t="shared" si="41"/>
        <v>175312.3772112703</v>
      </c>
      <c r="DE27" s="44">
        <f t="shared" si="54"/>
        <v>0.32999030546746566</v>
      </c>
      <c r="DF27" s="9">
        <f t="shared" si="42"/>
        <v>12.074324674299737</v>
      </c>
      <c r="DG27" s="44">
        <f t="shared" si="43"/>
        <v>0.47503212104513537</v>
      </c>
    </row>
    <row r="28" spans="1:111">
      <c r="A28" s="1">
        <v>1990</v>
      </c>
      <c r="B28" s="7">
        <f>'a7'!D28</f>
        <v>61372.297043191211</v>
      </c>
      <c r="C28" s="7">
        <f>'a8'!G28</f>
        <v>1906.1996126470151</v>
      </c>
      <c r="D28" s="7">
        <f>'a13'!G28</f>
        <v>16040.483694560169</v>
      </c>
      <c r="E28" s="7">
        <f>'a16'!D28</f>
        <v>-11066.3317769154</v>
      </c>
      <c r="F28" s="7">
        <f>'a15'!R27</f>
        <v>88418.232532402428</v>
      </c>
      <c r="G28" s="7">
        <f>'a9'!E26</f>
        <v>630.9193138399645</v>
      </c>
      <c r="H28" s="7">
        <f t="shared" si="11"/>
        <v>156039.96179204548</v>
      </c>
      <c r="I28" s="9">
        <f t="shared" si="44"/>
        <v>0.27594805873625794</v>
      </c>
      <c r="J28" s="9">
        <f t="shared" si="12"/>
        <v>11.957867418760562</v>
      </c>
      <c r="K28" s="9">
        <f t="shared" si="13"/>
        <v>0.40955228593080256</v>
      </c>
      <c r="L28" s="7">
        <f>'a7'!G28</f>
        <v>50989.246892796284</v>
      </c>
      <c r="M28" s="7">
        <f>'a8'!M28</f>
        <v>903.06940274165754</v>
      </c>
      <c r="N28" s="7">
        <f>'a13'!K28</f>
        <v>10413.830591732187</v>
      </c>
      <c r="O28" s="7">
        <f>'a16'!H28</f>
        <v>-7529.8303651465021</v>
      </c>
      <c r="P28" s="7">
        <f>'a15'!AI27</f>
        <v>82851.964215004351</v>
      </c>
      <c r="Q28" s="7">
        <f>'a9'!I26</f>
        <v>527.32430095043446</v>
      </c>
      <c r="R28" s="7">
        <f t="shared" si="14"/>
        <v>137100.95643617754</v>
      </c>
      <c r="S28" s="9">
        <f t="shared" si="45"/>
        <v>0.22284073523676026</v>
      </c>
      <c r="T28" s="9">
        <f t="shared" si="15"/>
        <v>11.828472841719927</v>
      </c>
      <c r="U28" s="9">
        <f t="shared" si="16"/>
        <v>0.3367982481503094</v>
      </c>
      <c r="V28" s="7">
        <f>'a7'!J28</f>
        <v>38907.140885248918</v>
      </c>
      <c r="W28" s="7">
        <f>'a8'!S28</f>
        <v>718.04865747244742</v>
      </c>
      <c r="X28" s="7">
        <f>'a13'!O28</f>
        <v>336.44903435542057</v>
      </c>
      <c r="Y28" s="7">
        <f>'a16'!L28</f>
        <v>-8092.0626915813937</v>
      </c>
      <c r="Z28" s="7">
        <f>'a15'!AZ27</f>
        <v>74255.890414242182</v>
      </c>
      <c r="AA28" s="7">
        <f>'a9'!M26</f>
        <v>479.94969935581366</v>
      </c>
      <c r="AB28" s="7">
        <f t="shared" si="17"/>
        <v>105645.51660038176</v>
      </c>
      <c r="AC28" s="9">
        <f t="shared" si="46"/>
        <v>0.1346357747444179</v>
      </c>
      <c r="AD28" s="9">
        <f t="shared" si="18"/>
        <v>11.567844585800943</v>
      </c>
      <c r="AE28" s="9">
        <f t="shared" si="19"/>
        <v>0.19025611005252005</v>
      </c>
      <c r="AF28" s="7">
        <f>'a7'!M28</f>
        <v>49147.697679501696</v>
      </c>
      <c r="AG28" s="7">
        <f>'a8'!Y28</f>
        <v>1444.2917421982188</v>
      </c>
      <c r="AH28" s="7">
        <f>'a13'!S28</f>
        <v>12808.494243239686</v>
      </c>
      <c r="AI28" s="7">
        <f>'a16'!P28</f>
        <v>-8555.4994376929899</v>
      </c>
      <c r="AJ28" s="7">
        <f>'a15'!BQ27</f>
        <v>75991.609066474251</v>
      </c>
      <c r="AK28" s="7">
        <f>'a9'!Q26</f>
        <v>632.68540063119553</v>
      </c>
      <c r="AL28" s="7">
        <f t="shared" si="20"/>
        <v>130203.90789308966</v>
      </c>
      <c r="AM28" s="114">
        <f t="shared" si="47"/>
        <v>0.20350055441485559</v>
      </c>
      <c r="AN28" s="9">
        <f t="shared" si="21"/>
        <v>11.776857022846038</v>
      </c>
      <c r="AO28" s="44">
        <f t="shared" si="22"/>
        <v>0.30777648137840874</v>
      </c>
      <c r="AP28" s="7">
        <f>'a7'!P28</f>
        <v>45968.893854808986</v>
      </c>
      <c r="AQ28" s="7">
        <f>'a8'!AE28</f>
        <v>988.25581700563646</v>
      </c>
      <c r="AR28" s="7">
        <f>'a13'!W28</f>
        <v>20311.869110929863</v>
      </c>
      <c r="AS28" s="7">
        <f>'a16'!T28</f>
        <v>-7925.9010222781098</v>
      </c>
      <c r="AT28" s="7">
        <f>'a15'!CH27</f>
        <v>77661.034992278481</v>
      </c>
      <c r="AU28" s="7">
        <f>'a9'!U26</f>
        <v>626.08391411190541</v>
      </c>
      <c r="AV28" s="7">
        <f t="shared" si="23"/>
        <v>136378.06883863296</v>
      </c>
      <c r="AW28" s="114">
        <f t="shared" si="48"/>
        <v>0.22081366862078933</v>
      </c>
      <c r="AX28" s="9">
        <f t="shared" si="24"/>
        <v>11.823186225823582</v>
      </c>
      <c r="AY28" s="44">
        <f t="shared" si="25"/>
        <v>0.33382576923001522</v>
      </c>
      <c r="AZ28" s="7">
        <f>'a7'!S28</f>
        <v>56798.212959122691</v>
      </c>
      <c r="BA28" s="7">
        <f>'a8'!AK28</f>
        <v>1744.0262359759276</v>
      </c>
      <c r="BB28" s="7">
        <f>'a13'!AA28</f>
        <v>8822.6989944175748</v>
      </c>
      <c r="BC28" s="7">
        <f>'a16'!X28</f>
        <v>-9626.0277939083626</v>
      </c>
      <c r="BD28" s="7">
        <f>'a15'!CY27</f>
        <v>89581.939084499114</v>
      </c>
      <c r="BE28" s="7">
        <f>'a9'!Y26</f>
        <v>357.52344487491303</v>
      </c>
      <c r="BF28" s="7">
        <f t="shared" si="26"/>
        <v>146963.32603523205</v>
      </c>
      <c r="BG28" s="114">
        <f t="shared" si="49"/>
        <v>0.25049604463273756</v>
      </c>
      <c r="BH28" s="9">
        <f t="shared" si="27"/>
        <v>11.897938351881351</v>
      </c>
      <c r="BI28" s="44">
        <f t="shared" si="28"/>
        <v>0.37585627103127062</v>
      </c>
      <c r="BJ28" s="7">
        <f>'a7'!V28</f>
        <v>63127.392618682978</v>
      </c>
      <c r="BK28" s="7">
        <f>'a8'!AQ28</f>
        <v>2412.1985576027791</v>
      </c>
      <c r="BL28" s="7">
        <f>'a13'!AE28</f>
        <v>6210.1009930953551</v>
      </c>
      <c r="BM28" s="7">
        <f>'a16'!AB28</f>
        <v>-11839.032825421602</v>
      </c>
      <c r="BN28" s="7">
        <f>'a15'!DP27</f>
        <v>86197.61254835235</v>
      </c>
      <c r="BO28" s="7">
        <f>'a9'!AC26</f>
        <v>493.14022817544316</v>
      </c>
      <c r="BP28" s="7">
        <f t="shared" si="29"/>
        <v>145615.13166413642</v>
      </c>
      <c r="BQ28" s="114">
        <f t="shared" si="50"/>
        <v>0.24671554015213698</v>
      </c>
      <c r="BR28" s="9">
        <f t="shared" si="30"/>
        <v>11.888722335609435</v>
      </c>
      <c r="BS28" s="44">
        <f t="shared" si="31"/>
        <v>0.37067442793268368</v>
      </c>
      <c r="BT28" s="7">
        <f>'a7'!Y28</f>
        <v>52804.263805373703</v>
      </c>
      <c r="BU28" s="7">
        <f>'a8'!AW28</f>
        <v>1280.4976531486971</v>
      </c>
      <c r="BV28" s="7">
        <f>'a13'!AI28</f>
        <v>6578.3431191654272</v>
      </c>
      <c r="BW28" s="7">
        <f>'a16'!AF28</f>
        <v>-10328.481121222176</v>
      </c>
      <c r="BX28" s="7">
        <f>'a15'!EG27</f>
        <v>105307.81964295302</v>
      </c>
      <c r="BY28" s="7">
        <f>'a9'!AG26</f>
        <v>486.30928794369282</v>
      </c>
      <c r="BZ28" s="7">
        <f t="shared" si="32"/>
        <v>155156.13381147498</v>
      </c>
      <c r="CA28" s="114">
        <f t="shared" si="51"/>
        <v>0.2734696952953013</v>
      </c>
      <c r="CB28" s="9">
        <f t="shared" si="33"/>
        <v>11.952187203812903</v>
      </c>
      <c r="CC28" s="44">
        <f t="shared" si="34"/>
        <v>0.40635850005232971</v>
      </c>
      <c r="CD28" s="7">
        <f>'a7'!AB28</f>
        <v>63710.923791860296</v>
      </c>
      <c r="CE28" s="7">
        <f>'a8'!BC28</f>
        <v>1103.6841279771568</v>
      </c>
      <c r="CF28" s="7">
        <f>'a13'!AM28</f>
        <v>38156.240291477174</v>
      </c>
      <c r="CG28" s="7">
        <f>'a16'!AJ28</f>
        <v>-11162.008459570156</v>
      </c>
      <c r="CH28" s="7">
        <f>'a15'!EX27</f>
        <v>104442.82375214898</v>
      </c>
      <c r="CI28" s="7">
        <f>'a9'!AK26</f>
        <v>1397.6298336471361</v>
      </c>
      <c r="CJ28" s="7">
        <f t="shared" si="35"/>
        <v>194854.03367024631</v>
      </c>
      <c r="CK28" s="9">
        <f t="shared" si="52"/>
        <v>0.38478753751752898</v>
      </c>
      <c r="CL28" s="9">
        <f t="shared" si="36"/>
        <v>12.18000601196519</v>
      </c>
      <c r="CM28" s="9">
        <f t="shared" si="37"/>
        <v>0.53445303503591934</v>
      </c>
      <c r="CN28" s="7">
        <f>'a7'!AE28</f>
        <v>85834.51696137985</v>
      </c>
      <c r="CO28" s="7">
        <f>'a8'!BI28</f>
        <v>1694.3422684902957</v>
      </c>
      <c r="CP28" s="7">
        <f>'a13'!AQ28</f>
        <v>61182.507634115471</v>
      </c>
      <c r="CQ28" s="7">
        <f>'a16'!AN28</f>
        <v>-15305.156657622039</v>
      </c>
      <c r="CR28" s="7">
        <f>'a15'!FO27</f>
        <v>82432.484393129664</v>
      </c>
      <c r="CS28" s="7">
        <f>'a9'!AO26</f>
        <v>2194.1764762047997</v>
      </c>
      <c r="CT28" s="7">
        <f t="shared" si="38"/>
        <v>213644.51812328844</v>
      </c>
      <c r="CU28" s="9">
        <f t="shared" si="53"/>
        <v>0.43747838995719013</v>
      </c>
      <c r="CV28" s="9">
        <f t="shared" si="39"/>
        <v>12.272068782532315</v>
      </c>
      <c r="CW28" s="9">
        <f t="shared" si="40"/>
        <v>0.58621670582649699</v>
      </c>
      <c r="CX28" s="7">
        <f>'a7'!AH28</f>
        <v>54984.423064714407</v>
      </c>
      <c r="CY28" s="7">
        <f>'a8'!BO28</f>
        <v>1150.6384685620171</v>
      </c>
      <c r="CZ28" s="7">
        <f>'a13'!AU28</f>
        <v>36503.478270611522</v>
      </c>
      <c r="DA28" s="7">
        <f>'a16'!AR28</f>
        <v>-11515.870947083386</v>
      </c>
      <c r="DB28" s="7">
        <f>'a15'!GF27</f>
        <v>100882.86258301961</v>
      </c>
      <c r="DC28" s="7">
        <f>'a9'!AS26</f>
        <v>479.57785427397931</v>
      </c>
      <c r="DD28" s="7">
        <f t="shared" si="41"/>
        <v>181525.95358555019</v>
      </c>
      <c r="DE28" s="44">
        <f t="shared" si="54"/>
        <v>0.34741394543150828</v>
      </c>
      <c r="DF28" s="9">
        <f t="shared" si="42"/>
        <v>12.109153917425946</v>
      </c>
      <c r="DG28" s="44">
        <f t="shared" si="43"/>
        <v>0.49461538433347574</v>
      </c>
    </row>
    <row r="29" spans="1:111">
      <c r="A29" s="1">
        <v>1991</v>
      </c>
      <c r="B29" s="7">
        <f>'a7'!D29</f>
        <v>61946.012878503097</v>
      </c>
      <c r="C29" s="7">
        <f>'a8'!G29</f>
        <v>1958.9820741618948</v>
      </c>
      <c r="D29" s="7">
        <f>'a13'!G29</f>
        <v>12200.730477946299</v>
      </c>
      <c r="E29" s="7">
        <f>'a16'!D29</f>
        <v>-11247.098436357892</v>
      </c>
      <c r="F29" s="7">
        <f>'a15'!R28</f>
        <v>89066.701726938409</v>
      </c>
      <c r="G29" s="7">
        <f>'a9'!E27</f>
        <v>615.73398098005123</v>
      </c>
      <c r="H29" s="7">
        <f t="shared" si="11"/>
        <v>153309.59474021173</v>
      </c>
      <c r="I29" s="9">
        <f t="shared" si="44"/>
        <v>0.26829177037425173</v>
      </c>
      <c r="J29" s="9">
        <f t="shared" si="12"/>
        <v>11.940214650900129</v>
      </c>
      <c r="K29" s="9">
        <f t="shared" si="13"/>
        <v>0.39962675296627276</v>
      </c>
      <c r="L29" s="7">
        <f>'a7'!G29</f>
        <v>51410.19229044034</v>
      </c>
      <c r="M29" s="7">
        <f>'a8'!M29</f>
        <v>943.17728125531517</v>
      </c>
      <c r="N29" s="7">
        <f>'a13'!K29</f>
        <v>7987.1413866219445</v>
      </c>
      <c r="O29" s="7">
        <f>'a16'!H29</f>
        <v>-7741.8623873594015</v>
      </c>
      <c r="P29" s="7">
        <f>'a15'!AI28</f>
        <v>84298.163093625655</v>
      </c>
      <c r="Q29" s="7">
        <f>'a9'!I27</f>
        <v>434.78450145270301</v>
      </c>
      <c r="R29" s="7">
        <f t="shared" si="14"/>
        <v>136462.02716313116</v>
      </c>
      <c r="S29" s="9">
        <f t="shared" si="45"/>
        <v>0.2210490981914463</v>
      </c>
      <c r="T29" s="9">
        <f t="shared" si="15"/>
        <v>11.823801665624245</v>
      </c>
      <c r="U29" s="9">
        <f t="shared" si="16"/>
        <v>0.33417180947013297</v>
      </c>
      <c r="V29" s="7">
        <f>'a7'!J29</f>
        <v>40610.16959553268</v>
      </c>
      <c r="W29" s="7">
        <f>'a8'!S29</f>
        <v>720.52484852007444</v>
      </c>
      <c r="X29" s="7">
        <f>'a13'!O29</f>
        <v>248.30571239894769</v>
      </c>
      <c r="Y29" s="7">
        <f>'a16'!L29</f>
        <v>-8451.2754029030239</v>
      </c>
      <c r="Z29" s="7">
        <f>'a15'!AZ28</f>
        <v>75268.376126898773</v>
      </c>
      <c r="AA29" s="7">
        <f>'a9'!M27</f>
        <v>438.33258989974144</v>
      </c>
      <c r="AB29" s="7">
        <f t="shared" si="17"/>
        <v>107957.76829054771</v>
      </c>
      <c r="AC29" s="9">
        <f t="shared" si="46"/>
        <v>0.14111961569670195</v>
      </c>
      <c r="AD29" s="9">
        <f t="shared" si="18"/>
        <v>11.589495395285709</v>
      </c>
      <c r="AE29" s="9">
        <f t="shared" si="19"/>
        <v>0.20242960176491451</v>
      </c>
      <c r="AF29" s="7">
        <f>'a7'!M29</f>
        <v>49686.537576682924</v>
      </c>
      <c r="AG29" s="7">
        <f>'a8'!Y29</f>
        <v>1452.9695937017891</v>
      </c>
      <c r="AH29" s="7">
        <f>'a13'!S29</f>
        <v>10777.059473577541</v>
      </c>
      <c r="AI29" s="7">
        <f>'a16'!P29</f>
        <v>-8785.6051685481343</v>
      </c>
      <c r="AJ29" s="7">
        <f>'a15'!BQ28</f>
        <v>76918.796124581131</v>
      </c>
      <c r="AK29" s="7">
        <f>'a9'!Q27</f>
        <v>616.6472034140312</v>
      </c>
      <c r="AL29" s="7">
        <f t="shared" si="20"/>
        <v>129433.11039658122</v>
      </c>
      <c r="AM29" s="114">
        <f t="shared" si="47"/>
        <v>0.20133914249113</v>
      </c>
      <c r="AN29" s="9">
        <f t="shared" si="21"/>
        <v>11.770919504644148</v>
      </c>
      <c r="AO29" s="44">
        <f t="shared" si="22"/>
        <v>0.30443802289380789</v>
      </c>
      <c r="AP29" s="7">
        <f>'a7'!P29</f>
        <v>46458.679367514924</v>
      </c>
      <c r="AQ29" s="7">
        <f>'a8'!AE29</f>
        <v>972.48828214886521</v>
      </c>
      <c r="AR29" s="7">
        <f>'a13'!W29</f>
        <v>18109.628586897485</v>
      </c>
      <c r="AS29" s="7">
        <f>'a16'!T29</f>
        <v>-8251.1927886703597</v>
      </c>
      <c r="AT29" s="7">
        <f>'a15'!CH28</f>
        <v>77881.872563069468</v>
      </c>
      <c r="AU29" s="7">
        <f>'a9'!U27</f>
        <v>583.17339921838368</v>
      </c>
      <c r="AV29" s="7">
        <f t="shared" si="23"/>
        <v>134588.30261174199</v>
      </c>
      <c r="AW29" s="114">
        <f t="shared" si="48"/>
        <v>0.21579494180731787</v>
      </c>
      <c r="AX29" s="9">
        <f t="shared" si="24"/>
        <v>11.809975787600141</v>
      </c>
      <c r="AY29" s="44">
        <f t="shared" si="25"/>
        <v>0.32639800259878127</v>
      </c>
      <c r="AZ29" s="7">
        <f>'a7'!S29</f>
        <v>57457.828583540526</v>
      </c>
      <c r="BA29" s="7">
        <f>'a8'!AK29</f>
        <v>1852.2614870918478</v>
      </c>
      <c r="BB29" s="7">
        <f>'a13'!AA29</f>
        <v>7155.1897406910775</v>
      </c>
      <c r="BC29" s="7">
        <f>'a16'!X29</f>
        <v>-9716.8009782891477</v>
      </c>
      <c r="BD29" s="7">
        <f>'a15'!CY28</f>
        <v>90209.86846910727</v>
      </c>
      <c r="BE29" s="7">
        <f>'a9'!Y27</f>
        <v>325.74422906802749</v>
      </c>
      <c r="BF29" s="7">
        <f t="shared" si="26"/>
        <v>146632.60307307355</v>
      </c>
      <c r="BG29" s="114">
        <f t="shared" si="49"/>
        <v>0.24956865636656225</v>
      </c>
      <c r="BH29" s="9">
        <f t="shared" si="27"/>
        <v>11.895685438477216</v>
      </c>
      <c r="BI29" s="44">
        <f t="shared" si="28"/>
        <v>0.37458953674711948</v>
      </c>
      <c r="BJ29" s="7">
        <f>'a7'!V29</f>
        <v>63929.459657822656</v>
      </c>
      <c r="BK29" s="7">
        <f>'a8'!AQ29</f>
        <v>2488.3123493867338</v>
      </c>
      <c r="BL29" s="7">
        <f>'a13'!AE29</f>
        <v>4813.9688004552345</v>
      </c>
      <c r="BM29" s="7">
        <f>'a16'!AB29</f>
        <v>-11865.814243144518</v>
      </c>
      <c r="BN29" s="7">
        <f>'a15'!DP28</f>
        <v>86904.61574761536</v>
      </c>
      <c r="BO29" s="7">
        <f>'a9'!AC27</f>
        <v>495.07925756800171</v>
      </c>
      <c r="BP29" s="7">
        <f t="shared" si="29"/>
        <v>145775.46305456746</v>
      </c>
      <c r="BQ29" s="114">
        <f t="shared" si="50"/>
        <v>0.24716512928624149</v>
      </c>
      <c r="BR29" s="9">
        <f t="shared" si="30"/>
        <v>11.889822792587232</v>
      </c>
      <c r="BS29" s="44">
        <f t="shared" si="31"/>
        <v>0.37129317634061199</v>
      </c>
      <c r="BT29" s="7">
        <f>'a7'!Y29</f>
        <v>52980.389310060164</v>
      </c>
      <c r="BU29" s="7">
        <f>'a8'!AW29</f>
        <v>1325.5985100543605</v>
      </c>
      <c r="BV29" s="7">
        <f>'a13'!AI29</f>
        <v>4822.9981339776277</v>
      </c>
      <c r="BW29" s="7">
        <f>'a16'!AF29</f>
        <v>-10274.809998138762</v>
      </c>
      <c r="BX29" s="7">
        <f>'a15'!EG28</f>
        <v>106019.48222007982</v>
      </c>
      <c r="BY29" s="7">
        <f>'a9'!AG27</f>
        <v>506.0082590272691</v>
      </c>
      <c r="BZ29" s="7">
        <f t="shared" si="32"/>
        <v>154367.64991700594</v>
      </c>
      <c r="CA29" s="114">
        <f t="shared" si="51"/>
        <v>0.27125868851480334</v>
      </c>
      <c r="CB29" s="9">
        <f t="shared" si="33"/>
        <v>11.947092373357252</v>
      </c>
      <c r="CC29" s="44">
        <f t="shared" si="34"/>
        <v>0.4034938553668016</v>
      </c>
      <c r="CD29" s="7">
        <f>'a7'!AB29</f>
        <v>64826.914281554149</v>
      </c>
      <c r="CE29" s="7">
        <f>'a8'!BC29</f>
        <v>1170.431511999773</v>
      </c>
      <c r="CF29" s="7">
        <f>'a13'!AM29</f>
        <v>28308.212172544088</v>
      </c>
      <c r="CG29" s="7">
        <f>'a16'!AJ29</f>
        <v>-11498.995185007729</v>
      </c>
      <c r="CH29" s="7">
        <f>'a15'!EX28</f>
        <v>104794.01279890312</v>
      </c>
      <c r="CI29" s="7">
        <f>'a9'!AK27</f>
        <v>1423.729046134486</v>
      </c>
      <c r="CJ29" s="7">
        <f t="shared" si="35"/>
        <v>186176.84653385892</v>
      </c>
      <c r="CK29" s="9">
        <f t="shared" si="52"/>
        <v>0.36045562696262606</v>
      </c>
      <c r="CL29" s="9">
        <f t="shared" si="36"/>
        <v>12.134452288799347</v>
      </c>
      <c r="CM29" s="9">
        <f t="shared" si="37"/>
        <v>0.50883977231619104</v>
      </c>
      <c r="CN29" s="7">
        <f>'a7'!AE29</f>
        <v>85394.83853372249</v>
      </c>
      <c r="CO29" s="7">
        <f>'a8'!BI29</f>
        <v>1746.294344647964</v>
      </c>
      <c r="CP29" s="7">
        <f>'a13'!AQ29</f>
        <v>39793.309233444779</v>
      </c>
      <c r="CQ29" s="7">
        <f>'a16'!AN29</f>
        <v>-15812.202476983381</v>
      </c>
      <c r="CR29" s="7">
        <f>'a15'!FO28</f>
        <v>83046.277085469017</v>
      </c>
      <c r="CS29" s="7">
        <f>'a9'!AO27</f>
        <v>2156.4956050546789</v>
      </c>
      <c r="CT29" s="7">
        <f t="shared" si="38"/>
        <v>192012.0211152462</v>
      </c>
      <c r="CU29" s="9">
        <f t="shared" si="53"/>
        <v>0.3768181812967567</v>
      </c>
      <c r="CV29" s="9">
        <f t="shared" si="39"/>
        <v>12.165313259025236</v>
      </c>
      <c r="CW29" s="9">
        <f t="shared" si="40"/>
        <v>0.5261918147673359</v>
      </c>
      <c r="CX29" s="7">
        <f>'a7'!AH29</f>
        <v>55655.839743291443</v>
      </c>
      <c r="CY29" s="7">
        <f>'a8'!BO29</f>
        <v>1185.8030671654647</v>
      </c>
      <c r="CZ29" s="7">
        <f>'a13'!AU29</f>
        <v>30810.560532009862</v>
      </c>
      <c r="DA29" s="7">
        <f>'a16'!AR29</f>
        <v>-11964.268171257147</v>
      </c>
      <c r="DB29" s="7">
        <f>'a15'!GF28</f>
        <v>101151.99268830467</v>
      </c>
      <c r="DC29" s="7">
        <f>'a9'!AS27</f>
        <v>468.89259280901405</v>
      </c>
      <c r="DD29" s="7">
        <f t="shared" si="41"/>
        <v>176371.03526670526</v>
      </c>
      <c r="DE29" s="44">
        <f t="shared" si="54"/>
        <v>0.33295891415461165</v>
      </c>
      <c r="DF29" s="9">
        <f t="shared" si="42"/>
        <v>12.080345209904332</v>
      </c>
      <c r="DG29" s="44">
        <f t="shared" si="43"/>
        <v>0.47841725730705104</v>
      </c>
    </row>
    <row r="30" spans="1:111">
      <c r="A30" s="1">
        <v>1992</v>
      </c>
      <c r="B30" s="7">
        <f>'a7'!D30</f>
        <v>62161.468653634889</v>
      </c>
      <c r="C30" s="7">
        <f>'a8'!G30</f>
        <v>2013.9712926824634</v>
      </c>
      <c r="D30" s="7">
        <f>'a13'!G30</f>
        <v>10965.398364848052</v>
      </c>
      <c r="E30" s="7">
        <f>'a16'!D30</f>
        <v>-12232.367578635545</v>
      </c>
      <c r="F30" s="7">
        <f>'a15'!R29</f>
        <v>90031.161412721151</v>
      </c>
      <c r="G30" s="7">
        <f>'a9'!E28</f>
        <v>634.58164906384252</v>
      </c>
      <c r="H30" s="7">
        <f t="shared" si="11"/>
        <v>152305.05049618718</v>
      </c>
      <c r="I30" s="9">
        <f t="shared" si="44"/>
        <v>0.26547490353597075</v>
      </c>
      <c r="J30" s="9">
        <f t="shared" si="12"/>
        <v>11.933640699831697</v>
      </c>
      <c r="K30" s="9">
        <f t="shared" si="13"/>
        <v>0.39593045057602927</v>
      </c>
      <c r="L30" s="7">
        <f>'a7'!G30</f>
        <v>51935.260614815496</v>
      </c>
      <c r="M30" s="7">
        <f>'a8'!M30</f>
        <v>983.2230224343183</v>
      </c>
      <c r="N30" s="7">
        <f>'a13'!K30</f>
        <v>7455.705667189347</v>
      </c>
      <c r="O30" s="7">
        <f>'a16'!H30</f>
        <v>-8295.9409019138875</v>
      </c>
      <c r="P30" s="7">
        <f>'a15'!AI29</f>
        <v>85708.614790670545</v>
      </c>
      <c r="Q30" s="7">
        <f>'a9'!I28</f>
        <v>432.8407535269011</v>
      </c>
      <c r="R30" s="7">
        <f t="shared" si="14"/>
        <v>137354.02243966892</v>
      </c>
      <c r="S30" s="9">
        <f t="shared" si="45"/>
        <v>0.22355036374478418</v>
      </c>
      <c r="T30" s="9">
        <f t="shared" si="15"/>
        <v>11.830316977149698</v>
      </c>
      <c r="U30" s="9">
        <f t="shared" si="16"/>
        <v>0.33783514089959171</v>
      </c>
      <c r="V30" s="7">
        <f>'a7'!J30</f>
        <v>41361.862612457669</v>
      </c>
      <c r="W30" s="7">
        <f>'a8'!S30</f>
        <v>700.00235474328667</v>
      </c>
      <c r="X30" s="7">
        <f>'a13'!O30</f>
        <v>246.50049445292967</v>
      </c>
      <c r="Y30" s="7">
        <f>'a16'!L30</f>
        <v>-9357.3367183318405</v>
      </c>
      <c r="Z30" s="7">
        <f>'a15'!AZ29</f>
        <v>77881.78517823547</v>
      </c>
      <c r="AA30" s="7">
        <f>'a9'!M28</f>
        <v>441.42027418389739</v>
      </c>
      <c r="AB30" s="7">
        <f t="shared" si="17"/>
        <v>110391.39364737361</v>
      </c>
      <c r="AC30" s="9">
        <f t="shared" si="46"/>
        <v>0.14794380348655806</v>
      </c>
      <c r="AD30" s="9">
        <f t="shared" si="18"/>
        <v>11.611787453693768</v>
      </c>
      <c r="AE30" s="9">
        <f t="shared" si="19"/>
        <v>0.21496364528294823</v>
      </c>
      <c r="AF30" s="7">
        <f>'a7'!M30</f>
        <v>49669.284061902152</v>
      </c>
      <c r="AG30" s="7">
        <f>'a8'!Y30</f>
        <v>1446.3233203612808</v>
      </c>
      <c r="AH30" s="7">
        <f>'a13'!S30</f>
        <v>8973.8252687123677</v>
      </c>
      <c r="AI30" s="7">
        <f>'a16'!P30</f>
        <v>-9584.9254879932869</v>
      </c>
      <c r="AJ30" s="7">
        <f>'a15'!BQ29</f>
        <v>77237.862305307906</v>
      </c>
      <c r="AK30" s="7">
        <f>'a9'!Q28</f>
        <v>629.70517281231707</v>
      </c>
      <c r="AL30" s="7">
        <f t="shared" si="20"/>
        <v>127112.6642954781</v>
      </c>
      <c r="AM30" s="114">
        <f t="shared" si="47"/>
        <v>0.194832323392721</v>
      </c>
      <c r="AN30" s="9">
        <f t="shared" si="21"/>
        <v>11.752829092618791</v>
      </c>
      <c r="AO30" s="44">
        <f t="shared" si="22"/>
        <v>0.29426641794668418</v>
      </c>
      <c r="AP30" s="7">
        <f>'a7'!P30</f>
        <v>46868.781654304577</v>
      </c>
      <c r="AQ30" s="7">
        <f>'a8'!AE30</f>
        <v>961.49358624901663</v>
      </c>
      <c r="AR30" s="7">
        <f>'a13'!W30</f>
        <v>14663.838015264044</v>
      </c>
      <c r="AS30" s="7">
        <f>'a16'!T30</f>
        <v>-9016.8158021858253</v>
      </c>
      <c r="AT30" s="7">
        <f>'a15'!CH29</f>
        <v>79132.3959984393</v>
      </c>
      <c r="AU30" s="7">
        <f>'a9'!U28</f>
        <v>604.12392649593858</v>
      </c>
      <c r="AV30" s="7">
        <f t="shared" si="23"/>
        <v>132005.56952557518</v>
      </c>
      <c r="AW30" s="114">
        <f t="shared" si="48"/>
        <v>0.20855263742318508</v>
      </c>
      <c r="AX30" s="9">
        <f t="shared" si="24"/>
        <v>11.790599394053961</v>
      </c>
      <c r="AY30" s="44">
        <f t="shared" si="25"/>
        <v>0.31550333529239349</v>
      </c>
      <c r="AZ30" s="7">
        <f>'a7'!S30</f>
        <v>57970.128987160366</v>
      </c>
      <c r="BA30" s="7">
        <f>'a8'!AK30</f>
        <v>1973.5920627845699</v>
      </c>
      <c r="BB30" s="7">
        <f>'a13'!AA30</f>
        <v>5951.989401396414</v>
      </c>
      <c r="BC30" s="7">
        <f>'a16'!X30</f>
        <v>-10523.30334425655</v>
      </c>
      <c r="BD30" s="7">
        <f>'a15'!CY29</f>
        <v>91757.370717116864</v>
      </c>
      <c r="BE30" s="7">
        <f>'a9'!Y28</f>
        <v>327.09166372480485</v>
      </c>
      <c r="BF30" s="7">
        <f t="shared" si="26"/>
        <v>146802.68616047688</v>
      </c>
      <c r="BG30" s="114">
        <f t="shared" si="49"/>
        <v>0.25004559047027025</v>
      </c>
      <c r="BH30" s="9">
        <f t="shared" si="27"/>
        <v>11.896844693091035</v>
      </c>
      <c r="BI30" s="44">
        <f t="shared" si="28"/>
        <v>0.37524134500601219</v>
      </c>
      <c r="BJ30" s="7">
        <f>'a7'!V30</f>
        <v>64179.611206933652</v>
      </c>
      <c r="BK30" s="7">
        <f>'a8'!AQ30</f>
        <v>2561.8855664191688</v>
      </c>
      <c r="BL30" s="7">
        <f>'a13'!AE30</f>
        <v>4384.6785187453224</v>
      </c>
      <c r="BM30" s="7">
        <f>'a16'!AB30</f>
        <v>-13020.753849905921</v>
      </c>
      <c r="BN30" s="7">
        <f>'a15'!DP29</f>
        <v>87630.330812814951</v>
      </c>
      <c r="BO30" s="7">
        <f>'a9'!AC28</f>
        <v>496.71449047179902</v>
      </c>
      <c r="BP30" s="7">
        <f t="shared" si="29"/>
        <v>145239.03776453537</v>
      </c>
      <c r="BQ30" s="114">
        <f t="shared" si="50"/>
        <v>0.24566092614168619</v>
      </c>
      <c r="BR30" s="9">
        <f t="shared" si="30"/>
        <v>11.886136200365424</v>
      </c>
      <c r="BS30" s="44">
        <f t="shared" si="31"/>
        <v>0.36922033468123983</v>
      </c>
      <c r="BT30" s="7">
        <f>'a7'!Y30</f>
        <v>53118.805973636838</v>
      </c>
      <c r="BU30" s="7">
        <f>'a8'!AW30</f>
        <v>1356.4040859741688</v>
      </c>
      <c r="BV30" s="7">
        <f>'a13'!AI30</f>
        <v>4695.9610786899038</v>
      </c>
      <c r="BW30" s="7">
        <f>'a16'!AF30</f>
        <v>-11295.085761098762</v>
      </c>
      <c r="BX30" s="7">
        <f>'a15'!EG29</f>
        <v>106407.33754886282</v>
      </c>
      <c r="BY30" s="7">
        <f>'a9'!AG28</f>
        <v>509.97346110648732</v>
      </c>
      <c r="BZ30" s="7">
        <f t="shared" si="32"/>
        <v>153773.44946495851</v>
      </c>
      <c r="CA30" s="114">
        <f t="shared" si="51"/>
        <v>0.26959247663949737</v>
      </c>
      <c r="CB30" s="9">
        <f t="shared" si="33"/>
        <v>11.943235690884512</v>
      </c>
      <c r="CC30" s="44">
        <f t="shared" si="34"/>
        <v>0.401325377917851</v>
      </c>
      <c r="CD30" s="7">
        <f>'a7'!AB30</f>
        <v>64885.276420699316</v>
      </c>
      <c r="CE30" s="7">
        <f>'a8'!BC30</f>
        <v>1233.321452276459</v>
      </c>
      <c r="CF30" s="7">
        <f>'a13'!AM30</f>
        <v>28333.731709971526</v>
      </c>
      <c r="CG30" s="7">
        <f>'a16'!AJ30</f>
        <v>-12040.523043427882</v>
      </c>
      <c r="CH30" s="7">
        <f>'a15'!EX29</f>
        <v>105714.3950923743</v>
      </c>
      <c r="CI30" s="7">
        <f>'a9'!AK28</f>
        <v>1574.5995272446783</v>
      </c>
      <c r="CJ30" s="7">
        <f t="shared" si="35"/>
        <v>186551.60210464904</v>
      </c>
      <c r="CK30" s="9">
        <f t="shared" si="52"/>
        <v>0.36150648813285241</v>
      </c>
      <c r="CL30" s="9">
        <f t="shared" si="36"/>
        <v>12.136463166683448</v>
      </c>
      <c r="CM30" s="9">
        <f t="shared" si="37"/>
        <v>0.50997041850630109</v>
      </c>
      <c r="CN30" s="7">
        <f>'a7'!AE30</f>
        <v>85014.884307653978</v>
      </c>
      <c r="CO30" s="7">
        <f>'a8'!BI30</f>
        <v>1770.671337127061</v>
      </c>
      <c r="CP30" s="7">
        <f>'a13'!AQ30</f>
        <v>39862.24592033826</v>
      </c>
      <c r="CQ30" s="7">
        <f>'a16'!AN30</f>
        <v>-16879.080855113039</v>
      </c>
      <c r="CR30" s="7">
        <f>'a15'!FO29</f>
        <v>83905.06319214715</v>
      </c>
      <c r="CS30" s="7">
        <f>'a9'!AO28</f>
        <v>2223.3568299572435</v>
      </c>
      <c r="CT30" s="7">
        <f t="shared" si="38"/>
        <v>191450.42707219615</v>
      </c>
      <c r="CU30" s="9">
        <f t="shared" si="53"/>
        <v>0.37524340184243815</v>
      </c>
      <c r="CV30" s="9">
        <f t="shared" si="39"/>
        <v>12.162384187627403</v>
      </c>
      <c r="CW30" s="9">
        <f t="shared" si="40"/>
        <v>0.52454490053017433</v>
      </c>
      <c r="CX30" s="7">
        <f>'a7'!AH30</f>
        <v>55796.200503805063</v>
      </c>
      <c r="CY30" s="7">
        <f>'a8'!BO30</f>
        <v>1225.4077314069561</v>
      </c>
      <c r="CZ30" s="7">
        <f>'a13'!AU30</f>
        <v>24928.372204472227</v>
      </c>
      <c r="DA30" s="7">
        <f>'a16'!AR30</f>
        <v>-12884.554821192731</v>
      </c>
      <c r="DB30" s="7">
        <f>'a15'!GF29</f>
        <v>101993.20715207826</v>
      </c>
      <c r="DC30" s="7">
        <f>'a9'!AS28</f>
        <v>449.75247990236437</v>
      </c>
      <c r="DD30" s="7">
        <f t="shared" si="41"/>
        <v>170608.88029066741</v>
      </c>
      <c r="DE30" s="44">
        <f t="shared" si="54"/>
        <v>0.31680111586390736</v>
      </c>
      <c r="DF30" s="9">
        <f t="shared" si="42"/>
        <v>12.047128965971435</v>
      </c>
      <c r="DG30" s="44">
        <f t="shared" si="43"/>
        <v>0.45974092695928764</v>
      </c>
    </row>
    <row r="31" spans="1:111">
      <c r="A31" s="1">
        <v>1993</v>
      </c>
      <c r="B31" s="7">
        <f>'a7'!D31</f>
        <v>62218.382730985693</v>
      </c>
      <c r="C31" s="7">
        <f>'a8'!G31</f>
        <v>2080.672724053527</v>
      </c>
      <c r="D31" s="7">
        <f>'a13'!G31</f>
        <v>9967.9231433028272</v>
      </c>
      <c r="E31" s="7">
        <f>'a16'!D31</f>
        <v>-12942.770632553136</v>
      </c>
      <c r="F31" s="7">
        <f>'a15'!R30</f>
        <v>91165.534575267317</v>
      </c>
      <c r="G31" s="7">
        <f>'a9'!E29</f>
        <v>621.45233588928977</v>
      </c>
      <c r="H31" s="7">
        <f t="shared" si="11"/>
        <v>151868.29020516697</v>
      </c>
      <c r="I31" s="9">
        <f t="shared" si="44"/>
        <v>0.26425017342839102</v>
      </c>
      <c r="J31" s="9">
        <f t="shared" si="12"/>
        <v>11.930768912381932</v>
      </c>
      <c r="K31" s="9">
        <f t="shared" si="13"/>
        <v>0.39431574509612249</v>
      </c>
      <c r="L31" s="7">
        <f>'a7'!G31</f>
        <v>53061.788139874516</v>
      </c>
      <c r="M31" s="7">
        <f>'a8'!M31</f>
        <v>1014.5989868562671</v>
      </c>
      <c r="N31" s="7">
        <f>'a13'!K31</f>
        <v>5089.2195068162382</v>
      </c>
      <c r="O31" s="7">
        <f>'a16'!H31</f>
        <v>-8713.678504708274</v>
      </c>
      <c r="P31" s="7">
        <f>'a15'!AI30</f>
        <v>86944.186483150435</v>
      </c>
      <c r="Q31" s="7">
        <f>'a9'!I29</f>
        <v>436.13046453973885</v>
      </c>
      <c r="R31" s="7">
        <f t="shared" si="14"/>
        <v>136959.98414744943</v>
      </c>
      <c r="S31" s="9">
        <f t="shared" si="45"/>
        <v>0.22244543142849407</v>
      </c>
      <c r="T31" s="9">
        <f t="shared" si="15"/>
        <v>11.827444075629719</v>
      </c>
      <c r="U31" s="9">
        <f t="shared" si="16"/>
        <v>0.33621980901703125</v>
      </c>
      <c r="V31" s="7">
        <f>'a7'!J31</f>
        <v>41709.47668656423</v>
      </c>
      <c r="W31" s="7">
        <f>'a8'!S31</f>
        <v>699.28273165101893</v>
      </c>
      <c r="X31" s="7">
        <f>'a13'!O31</f>
        <v>176.45499591827937</v>
      </c>
      <c r="Y31" s="7">
        <f>'a16'!L31</f>
        <v>-9355.0312227358336</v>
      </c>
      <c r="Z31" s="7">
        <f>'a15'!AZ30</f>
        <v>80688.00957115124</v>
      </c>
      <c r="AA31" s="7">
        <f>'a9'!M29</f>
        <v>430.04930520159115</v>
      </c>
      <c r="AB31" s="7">
        <f t="shared" si="17"/>
        <v>113488.14345734734</v>
      </c>
      <c r="AC31" s="9">
        <f t="shared" si="46"/>
        <v>0.15662747461210255</v>
      </c>
      <c r="AD31" s="9">
        <f t="shared" si="18"/>
        <v>11.639453647516103</v>
      </c>
      <c r="AE31" s="9">
        <f t="shared" si="19"/>
        <v>0.23051937688026572</v>
      </c>
      <c r="AF31" s="7">
        <f>'a7'!M31</f>
        <v>49636.421787482752</v>
      </c>
      <c r="AG31" s="7">
        <f>'a8'!Y31</f>
        <v>1453.4751400447358</v>
      </c>
      <c r="AH31" s="7">
        <f>'a13'!S31</f>
        <v>7031.5386292374615</v>
      </c>
      <c r="AI31" s="7">
        <f>'a16'!P31</f>
        <v>-10064.441852933674</v>
      </c>
      <c r="AJ31" s="7">
        <f>'a15'!BQ30</f>
        <v>78669.527254063971</v>
      </c>
      <c r="AK31" s="7">
        <f>'a9'!Q29</f>
        <v>620.2614503695512</v>
      </c>
      <c r="AL31" s="7">
        <f t="shared" si="20"/>
        <v>126106.25950752568</v>
      </c>
      <c r="AM31" s="114">
        <f t="shared" si="47"/>
        <v>0.19201023935816144</v>
      </c>
      <c r="AN31" s="9">
        <f t="shared" si="21"/>
        <v>11.744880159955963</v>
      </c>
      <c r="AO31" s="44">
        <f t="shared" si="22"/>
        <v>0.28979701157361537</v>
      </c>
      <c r="AP31" s="7">
        <f>'a7'!P31</f>
        <v>46992.731019267856</v>
      </c>
      <c r="AQ31" s="7">
        <f>'a8'!AE31</f>
        <v>963.3316691337385</v>
      </c>
      <c r="AR31" s="7">
        <f>'a13'!W31</f>
        <v>10295.999817695518</v>
      </c>
      <c r="AS31" s="7">
        <f>'a16'!T31</f>
        <v>-9432.4779313817035</v>
      </c>
      <c r="AT31" s="7">
        <f>'a15'!CH30</f>
        <v>80719.133881536283</v>
      </c>
      <c r="AU31" s="7">
        <f>'a9'!U29</f>
        <v>576.82615844192787</v>
      </c>
      <c r="AV31" s="7">
        <f t="shared" si="23"/>
        <v>128961.89229780977</v>
      </c>
      <c r="AW31" s="114">
        <f t="shared" si="48"/>
        <v>0.20001778841048812</v>
      </c>
      <c r="AX31" s="9">
        <f t="shared" si="24"/>
        <v>11.767272231158</v>
      </c>
      <c r="AY31" s="44">
        <f t="shared" si="25"/>
        <v>0.30238728878210164</v>
      </c>
      <c r="AZ31" s="7">
        <f>'a7'!S31</f>
        <v>58276.231185558041</v>
      </c>
      <c r="BA31" s="7">
        <f>'a8'!AK31</f>
        <v>2092.2492695118895</v>
      </c>
      <c r="BB31" s="7">
        <f>'a13'!AA31</f>
        <v>4638.3507854039653</v>
      </c>
      <c r="BC31" s="7">
        <f>'a16'!X31</f>
        <v>-11282.231350924205</v>
      </c>
      <c r="BD31" s="7">
        <f>'a15'!CY30</f>
        <v>93087.280354505885</v>
      </c>
      <c r="BE31" s="7">
        <f>'a9'!Y29</f>
        <v>327.83367795818651</v>
      </c>
      <c r="BF31" s="7">
        <f t="shared" si="26"/>
        <v>146484.04656609742</v>
      </c>
      <c r="BG31" s="114">
        <f t="shared" si="49"/>
        <v>0.2491520854682657</v>
      </c>
      <c r="BH31" s="9">
        <f t="shared" si="27"/>
        <v>11.894671804349787</v>
      </c>
      <c r="BI31" s="44">
        <f t="shared" si="28"/>
        <v>0.37401960578641658</v>
      </c>
      <c r="BJ31" s="7">
        <f>'a7'!V31</f>
        <v>64059.980675466271</v>
      </c>
      <c r="BK31" s="7">
        <f>'a8'!AQ31</f>
        <v>2665.5824587217876</v>
      </c>
      <c r="BL31" s="7">
        <f>'a13'!AE31</f>
        <v>3241.502794407967</v>
      </c>
      <c r="BM31" s="7">
        <f>'a16'!AB31</f>
        <v>-13601.263679315882</v>
      </c>
      <c r="BN31" s="7">
        <f>'a15'!DP30</f>
        <v>88454.845606856994</v>
      </c>
      <c r="BO31" s="7">
        <f>'a9'!AC29</f>
        <v>469.52712257916227</v>
      </c>
      <c r="BP31" s="7">
        <f t="shared" si="29"/>
        <v>144351.12073355797</v>
      </c>
      <c r="BQ31" s="114">
        <f t="shared" si="50"/>
        <v>0.243171096495473</v>
      </c>
      <c r="BR31" s="9">
        <f t="shared" si="30"/>
        <v>11.880003949062036</v>
      </c>
      <c r="BS31" s="44">
        <f t="shared" si="31"/>
        <v>0.36577238459546418</v>
      </c>
      <c r="BT31" s="7">
        <f>'a7'!Y31</f>
        <v>53166.807263304625</v>
      </c>
      <c r="BU31" s="7">
        <f>'a8'!AW31</f>
        <v>1393.028242136299</v>
      </c>
      <c r="BV31" s="7">
        <f>'a13'!AI31</f>
        <v>3512.3140952860936</v>
      </c>
      <c r="BW31" s="7">
        <f>'a16'!AF31</f>
        <v>-11829.345775690232</v>
      </c>
      <c r="BX31" s="7">
        <f>'a15'!EG30</f>
        <v>106721.98939443039</v>
      </c>
      <c r="BY31" s="7">
        <f>'a9'!AG29</f>
        <v>505.05210577979688</v>
      </c>
      <c r="BZ31" s="7">
        <f t="shared" si="32"/>
        <v>152459.74111368737</v>
      </c>
      <c r="CA31" s="114">
        <f t="shared" si="51"/>
        <v>0.26590867524211659</v>
      </c>
      <c r="CB31" s="9">
        <f t="shared" si="33"/>
        <v>11.934655847480265</v>
      </c>
      <c r="CC31" s="44">
        <f t="shared" si="34"/>
        <v>0.39650123253664799</v>
      </c>
      <c r="CD31" s="7">
        <f>'a7'!AB31</f>
        <v>64617.951832356739</v>
      </c>
      <c r="CE31" s="7">
        <f>'a8'!BC31</f>
        <v>1274.518249103028</v>
      </c>
      <c r="CF31" s="7">
        <f>'a13'!AM31</f>
        <v>23258.656850645122</v>
      </c>
      <c r="CG31" s="7">
        <f>'a16'!AJ31</f>
        <v>-12865.064582705649</v>
      </c>
      <c r="CH31" s="7">
        <f>'a15'!EX30</f>
        <v>107919.65839953786</v>
      </c>
      <c r="CI31" s="7">
        <f>'a9'!AK29</f>
        <v>1674.7271054852408</v>
      </c>
      <c r="CJ31" s="7">
        <f t="shared" si="35"/>
        <v>182530.99364345186</v>
      </c>
      <c r="CK31" s="9">
        <f t="shared" si="52"/>
        <v>0.35023220259348753</v>
      </c>
      <c r="CL31" s="9">
        <f t="shared" si="36"/>
        <v>12.114675265768808</v>
      </c>
      <c r="CM31" s="9">
        <f t="shared" si="37"/>
        <v>0.49771984508541045</v>
      </c>
      <c r="CN31" s="7">
        <f>'a7'!AE31</f>
        <v>85341.522637941409</v>
      </c>
      <c r="CO31" s="7">
        <f>'a8'!BI31</f>
        <v>1811.1983185633576</v>
      </c>
      <c r="CP31" s="7">
        <f>'a13'!AQ31</f>
        <v>43484.131207691498</v>
      </c>
      <c r="CQ31" s="7">
        <f>'a16'!AN31</f>
        <v>-18631.471347447645</v>
      </c>
      <c r="CR31" s="7">
        <f>'a15'!FO30</f>
        <v>85067.232490598049</v>
      </c>
      <c r="CS31" s="7">
        <f>'a9'!AO29</f>
        <v>2256.142093708675</v>
      </c>
      <c r="CT31" s="7">
        <f t="shared" si="38"/>
        <v>194816.47121363797</v>
      </c>
      <c r="CU31" s="9">
        <f t="shared" si="53"/>
        <v>0.38468220772343198</v>
      </c>
      <c r="CV31" s="9">
        <f t="shared" si="39"/>
        <v>12.179813221100837</v>
      </c>
      <c r="CW31" s="9">
        <f t="shared" si="40"/>
        <v>0.53434463548665134</v>
      </c>
      <c r="CX31" s="7">
        <f>'a7'!AH31</f>
        <v>55784.366770073873</v>
      </c>
      <c r="CY31" s="7">
        <f>'a8'!BO31</f>
        <v>1250.2880275984887</v>
      </c>
      <c r="CZ31" s="7">
        <f>'a13'!AU31</f>
        <v>22725.90203846899</v>
      </c>
      <c r="DA31" s="7">
        <f>'a16'!AR31</f>
        <v>-13680.983572458739</v>
      </c>
      <c r="DB31" s="7">
        <f>'a15'!GF30</f>
        <v>103555.52534047738</v>
      </c>
      <c r="DC31" s="7">
        <f>'a9'!AS29</f>
        <v>460.88926817267367</v>
      </c>
      <c r="DD31" s="7">
        <f t="shared" si="41"/>
        <v>169174.20933598731</v>
      </c>
      <c r="DE31" s="44">
        <f t="shared" si="54"/>
        <v>0.31277812030136992</v>
      </c>
      <c r="DF31" s="9">
        <f t="shared" si="42"/>
        <v>12.038684287443797</v>
      </c>
      <c r="DG31" s="44">
        <f t="shared" si="43"/>
        <v>0.45499278005316973</v>
      </c>
    </row>
    <row r="32" spans="1:111">
      <c r="A32" s="1">
        <v>1994</v>
      </c>
      <c r="B32" s="7">
        <f>'a7'!D32</f>
        <v>62563.979744187229</v>
      </c>
      <c r="C32" s="7">
        <f>'a8'!G32</f>
        <v>2167.9757866468808</v>
      </c>
      <c r="D32" s="7">
        <f>'a13'!G32</f>
        <v>10986.729819921422</v>
      </c>
      <c r="E32" s="7">
        <f>'a16'!D32</f>
        <v>-13021.86978079974</v>
      </c>
      <c r="F32" s="7">
        <f>'a15'!R31</f>
        <v>92010.018049406688</v>
      </c>
      <c r="G32" s="7">
        <f>'a9'!E30</f>
        <v>635.10432854385942</v>
      </c>
      <c r="H32" s="7">
        <f t="shared" si="11"/>
        <v>154071.72929081865</v>
      </c>
      <c r="I32" s="9">
        <f t="shared" si="44"/>
        <v>0.27042889032161399</v>
      </c>
      <c r="J32" s="9">
        <f t="shared" si="12"/>
        <v>11.945173547572146</v>
      </c>
      <c r="K32" s="9">
        <f t="shared" si="13"/>
        <v>0.40241496684723144</v>
      </c>
      <c r="L32" s="7">
        <f>'a7'!G32</f>
        <v>55238.442309901722</v>
      </c>
      <c r="M32" s="7">
        <f>'a8'!M32</f>
        <v>1041.6888653950537</v>
      </c>
      <c r="N32" s="7">
        <f>'a13'!K32</f>
        <v>7450.7169816147234</v>
      </c>
      <c r="O32" s="7">
        <f>'a16'!H32</f>
        <v>-8935.8536172713157</v>
      </c>
      <c r="P32" s="7">
        <f>'a15'!AI31</f>
        <v>88083.655366665407</v>
      </c>
      <c r="Q32" s="7">
        <f>'a9'!I30</f>
        <v>387.6914385477798</v>
      </c>
      <c r="R32" s="7">
        <f t="shared" si="14"/>
        <v>142490.95846775782</v>
      </c>
      <c r="S32" s="9">
        <f t="shared" si="45"/>
        <v>0.23795497044475625</v>
      </c>
      <c r="T32" s="9">
        <f t="shared" si="15"/>
        <v>11.867033827328779</v>
      </c>
      <c r="U32" s="9">
        <f t="shared" si="16"/>
        <v>0.35847973950800688</v>
      </c>
      <c r="V32" s="7">
        <f>'a7'!J32</f>
        <v>42682.156373419668</v>
      </c>
      <c r="W32" s="7">
        <f>'a8'!S32</f>
        <v>701.76937636294781</v>
      </c>
      <c r="X32" s="7">
        <f>'a13'!O32</f>
        <v>250.795852111426</v>
      </c>
      <c r="Y32" s="7">
        <f>'a16'!L32</f>
        <v>-9899.8328508036011</v>
      </c>
      <c r="Z32" s="7">
        <f>'a15'!AZ31</f>
        <v>81327.004114811352</v>
      </c>
      <c r="AA32" s="7">
        <f>'a9'!M30</f>
        <v>423.72260028794153</v>
      </c>
      <c r="AB32" s="7">
        <f t="shared" si="17"/>
        <v>114638.17026561385</v>
      </c>
      <c r="AC32" s="9">
        <f t="shared" si="46"/>
        <v>0.159852292631428</v>
      </c>
      <c r="AD32" s="9">
        <f t="shared" si="18"/>
        <v>11.649536101676965</v>
      </c>
      <c r="AE32" s="9">
        <f t="shared" si="19"/>
        <v>0.2361883876511662</v>
      </c>
      <c r="AF32" s="7">
        <f>'a7'!M32</f>
        <v>49746.796803438665</v>
      </c>
      <c r="AG32" s="7">
        <f>'a8'!Y32</f>
        <v>1480.3294352735495</v>
      </c>
      <c r="AH32" s="7">
        <f>'a13'!S32</f>
        <v>6469.9827990802296</v>
      </c>
      <c r="AI32" s="7">
        <f>'a16'!P32</f>
        <v>-9776.6782387575022</v>
      </c>
      <c r="AJ32" s="7">
        <f>'a15'!BQ31</f>
        <v>79187.641929892416</v>
      </c>
      <c r="AK32" s="7">
        <f>'a9'!Q30</f>
        <v>602.35468015048764</v>
      </c>
      <c r="AL32" s="7">
        <f t="shared" si="20"/>
        <v>126505.71804877688</v>
      </c>
      <c r="AM32" s="114">
        <f t="shared" si="47"/>
        <v>0.193130370726005</v>
      </c>
      <c r="AN32" s="9">
        <f t="shared" si="21"/>
        <v>11.74804278809475</v>
      </c>
      <c r="AO32" s="44">
        <f t="shared" si="22"/>
        <v>0.29157524658436618</v>
      </c>
      <c r="AP32" s="7">
        <f>'a7'!P32</f>
        <v>47068.68399128216</v>
      </c>
      <c r="AQ32" s="7">
        <f>'a8'!AE32</f>
        <v>965.97578407047831</v>
      </c>
      <c r="AR32" s="7">
        <f>'a13'!W32</f>
        <v>11034.573498302138</v>
      </c>
      <c r="AS32" s="7">
        <f>'a16'!T32</f>
        <v>-9611.4691482924227</v>
      </c>
      <c r="AT32" s="7">
        <f>'a15'!CH31</f>
        <v>81932.361672542916</v>
      </c>
      <c r="AU32" s="7">
        <f>'a9'!U30</f>
        <v>621.52703388263876</v>
      </c>
      <c r="AV32" s="7">
        <f t="shared" si="23"/>
        <v>130768.59876402262</v>
      </c>
      <c r="AW32" s="114">
        <f t="shared" si="48"/>
        <v>0.20508401775922594</v>
      </c>
      <c r="AX32" s="9">
        <f t="shared" si="24"/>
        <v>11.781184618572226</v>
      </c>
      <c r="AY32" s="44">
        <f t="shared" si="25"/>
        <v>0.31020973685296338</v>
      </c>
      <c r="AZ32" s="7">
        <f>'a7'!S32</f>
        <v>58860.277072905956</v>
      </c>
      <c r="BA32" s="7">
        <f>'a8'!AK32</f>
        <v>2218.7800070882404</v>
      </c>
      <c r="BB32" s="7">
        <f>'a13'!AA32</f>
        <v>5444.5502435085837</v>
      </c>
      <c r="BC32" s="7">
        <f>'a16'!X32</f>
        <v>-11366.23847318011</v>
      </c>
      <c r="BD32" s="7">
        <f>'a15'!CY31</f>
        <v>93517.380872479262</v>
      </c>
      <c r="BE32" s="7">
        <f>'a9'!Y30</f>
        <v>336.80034977932212</v>
      </c>
      <c r="BF32" s="7">
        <f t="shared" si="26"/>
        <v>148337.94937302259</v>
      </c>
      <c r="BG32" s="114">
        <f t="shared" si="49"/>
        <v>0.25435065921878725</v>
      </c>
      <c r="BH32" s="9">
        <f t="shared" si="27"/>
        <v>11.907248391364762</v>
      </c>
      <c r="BI32" s="44">
        <f t="shared" si="28"/>
        <v>0.38109098008790504</v>
      </c>
      <c r="BJ32" s="7">
        <f>'a7'!V32</f>
        <v>64083.491885588752</v>
      </c>
      <c r="BK32" s="7">
        <f>'a8'!AQ32</f>
        <v>2799.0438691894724</v>
      </c>
      <c r="BL32" s="7">
        <f>'a13'!AE32</f>
        <v>3745.3947617269641</v>
      </c>
      <c r="BM32" s="7">
        <f>'a16'!AB32</f>
        <v>-13723.857109112841</v>
      </c>
      <c r="BN32" s="7">
        <f>'a15'!DP31</f>
        <v>89447.452010476729</v>
      </c>
      <c r="BO32" s="7">
        <f>'a9'!AC30</f>
        <v>469.28740417552638</v>
      </c>
      <c r="BP32" s="7">
        <f t="shared" si="29"/>
        <v>145882.23801369354</v>
      </c>
      <c r="BQ32" s="114">
        <f t="shared" si="50"/>
        <v>0.24746453953453088</v>
      </c>
      <c r="BR32" s="9">
        <f t="shared" si="30"/>
        <v>11.89055498627528</v>
      </c>
      <c r="BS32" s="44">
        <f t="shared" si="31"/>
        <v>0.37170486320153934</v>
      </c>
      <c r="BT32" s="7">
        <f>'a7'!Y32</f>
        <v>53130.176633458854</v>
      </c>
      <c r="BU32" s="7">
        <f>'a8'!AW32</f>
        <v>1430.8081669049557</v>
      </c>
      <c r="BV32" s="7">
        <f>'a13'!AI32</f>
        <v>4652.9769938812251</v>
      </c>
      <c r="BW32" s="7">
        <f>'a16'!AF32</f>
        <v>-11709.132383278898</v>
      </c>
      <c r="BX32" s="7">
        <f>'a15'!EG31</f>
        <v>106974.12704780254</v>
      </c>
      <c r="BY32" s="7">
        <f>'a9'!AG30</f>
        <v>521.14088575926849</v>
      </c>
      <c r="BZ32" s="7">
        <f t="shared" si="32"/>
        <v>153957.81557300943</v>
      </c>
      <c r="CA32" s="114">
        <f t="shared" si="51"/>
        <v>0.27010946210724635</v>
      </c>
      <c r="CB32" s="9">
        <f t="shared" si="33"/>
        <v>11.944433919020913</v>
      </c>
      <c r="CC32" s="44">
        <f t="shared" si="34"/>
        <v>0.40199909962318942</v>
      </c>
      <c r="CD32" s="7">
        <f>'a7'!AB32</f>
        <v>64776.865908922075</v>
      </c>
      <c r="CE32" s="7">
        <f>'a8'!BC32</f>
        <v>1307.383278864673</v>
      </c>
      <c r="CF32" s="7">
        <f>'a13'!AM32</f>
        <v>31781.27630392975</v>
      </c>
      <c r="CG32" s="7">
        <f>'a16'!AJ32</f>
        <v>-13221.599980110039</v>
      </c>
      <c r="CH32" s="7">
        <f>'a15'!EX31</f>
        <v>108555.0023844346</v>
      </c>
      <c r="CI32" s="7">
        <f>'a9'!AK30</f>
        <v>1803.1536519501167</v>
      </c>
      <c r="CJ32" s="7">
        <f t="shared" si="35"/>
        <v>191395.77424409092</v>
      </c>
      <c r="CK32" s="9">
        <f t="shared" si="52"/>
        <v>0.37509014852380773</v>
      </c>
      <c r="CL32" s="9">
        <f t="shared" si="36"/>
        <v>12.162098679617719</v>
      </c>
      <c r="CM32" s="9">
        <f t="shared" si="37"/>
        <v>0.52438436937811017</v>
      </c>
      <c r="CN32" s="7">
        <f>'a7'!AE32</f>
        <v>86349.890172798245</v>
      </c>
      <c r="CO32" s="7">
        <f>'a8'!BI32</f>
        <v>1893.823983635079</v>
      </c>
      <c r="CP32" s="7">
        <f>'a13'!AQ32</f>
        <v>44608.87681805429</v>
      </c>
      <c r="CQ32" s="7">
        <f>'a16'!AN32</f>
        <v>-19024.735619550465</v>
      </c>
      <c r="CR32" s="7">
        <f>'a15'!FO31</f>
        <v>85802.912021041338</v>
      </c>
      <c r="CS32" s="7">
        <f>'a9'!AO30</f>
        <v>2337.8999493920114</v>
      </c>
      <c r="CT32" s="7">
        <f t="shared" si="38"/>
        <v>197292.86742658648</v>
      </c>
      <c r="CU32" s="9">
        <f t="shared" si="53"/>
        <v>0.39162633030657706</v>
      </c>
      <c r="CV32" s="9">
        <f t="shared" si="39"/>
        <v>12.192444540452971</v>
      </c>
      <c r="CW32" s="9">
        <f t="shared" si="40"/>
        <v>0.54144678386396772</v>
      </c>
      <c r="CX32" s="7">
        <f>'a7'!AH32</f>
        <v>56225.479213563376</v>
      </c>
      <c r="CY32" s="7">
        <f>'a8'!BO32</f>
        <v>1293.9861359009831</v>
      </c>
      <c r="CZ32" s="7">
        <f>'a13'!AU32</f>
        <v>23365.942595735105</v>
      </c>
      <c r="DA32" s="7">
        <f>'a16'!AR32</f>
        <v>-13379.887131993317</v>
      </c>
      <c r="DB32" s="7">
        <f>'a15'!GF31</f>
        <v>105036.90089231596</v>
      </c>
      <c r="DC32" s="7">
        <f>'a9'!AS30</f>
        <v>467.68162689087956</v>
      </c>
      <c r="DD32" s="7">
        <f t="shared" si="41"/>
        <v>172074.74007863124</v>
      </c>
      <c r="DE32" s="44">
        <f t="shared" si="54"/>
        <v>0.32091156878904892</v>
      </c>
      <c r="DF32" s="9">
        <f t="shared" si="42"/>
        <v>12.055684196753329</v>
      </c>
      <c r="DG32" s="44">
        <f t="shared" si="43"/>
        <v>0.46455123352515948</v>
      </c>
    </row>
    <row r="33" spans="1:111">
      <c r="A33" s="1">
        <v>1995</v>
      </c>
      <c r="B33" s="7">
        <f>'a7'!D33</f>
        <v>62678.453334277969</v>
      </c>
      <c r="C33" s="7">
        <f>'a8'!G33</f>
        <v>2236.9063372984369</v>
      </c>
      <c r="D33" s="7">
        <f>'a13'!G33</f>
        <v>12634.784381843563</v>
      </c>
      <c r="E33" s="7">
        <f>'a16'!D33</f>
        <v>-12265.63011374738</v>
      </c>
      <c r="F33" s="7">
        <f>'a15'!R32</f>
        <v>92728.589184461685</v>
      </c>
      <c r="G33" s="7">
        <f>'a9'!E31</f>
        <v>646.75637053608523</v>
      </c>
      <c r="H33" s="7">
        <f t="shared" si="11"/>
        <v>157366.34675359819</v>
      </c>
      <c r="I33" s="9">
        <f t="shared" si="44"/>
        <v>0.27966740692347536</v>
      </c>
      <c r="J33" s="9">
        <f t="shared" si="12"/>
        <v>11.96633178494913</v>
      </c>
      <c r="K33" s="9">
        <f t="shared" si="13"/>
        <v>0.41431150251897209</v>
      </c>
      <c r="L33" s="7">
        <f>'a7'!G33</f>
        <v>57373.746424461184</v>
      </c>
      <c r="M33" s="7">
        <f>'a8'!M33</f>
        <v>1049.1454574989723</v>
      </c>
      <c r="N33" s="7">
        <f>'a13'!K33</f>
        <v>11758.160861152242</v>
      </c>
      <c r="O33" s="7">
        <f>'a16'!H33</f>
        <v>-8555.2062283144842</v>
      </c>
      <c r="P33" s="7">
        <f>'a15'!AI32</f>
        <v>89878.54312152187</v>
      </c>
      <c r="Q33" s="7">
        <f>'a9'!I31</f>
        <v>441.99448780477496</v>
      </c>
      <c r="R33" s="7">
        <f t="shared" si="14"/>
        <v>151062.395148515</v>
      </c>
      <c r="S33" s="9">
        <f t="shared" si="45"/>
        <v>0.26199034358642942</v>
      </c>
      <c r="T33" s="9">
        <f t="shared" si="15"/>
        <v>11.925448243352193</v>
      </c>
      <c r="U33" s="9">
        <f t="shared" si="16"/>
        <v>0.39132411929185407</v>
      </c>
      <c r="V33" s="7">
        <f>'a7'!J33</f>
        <v>43953.185284380466</v>
      </c>
      <c r="W33" s="7">
        <f>'a8'!S33</f>
        <v>696.38945805186074</v>
      </c>
      <c r="X33" s="7">
        <f>'a13'!O33</f>
        <v>325.90029275354158</v>
      </c>
      <c r="Y33" s="7">
        <f>'a16'!L33</f>
        <v>-10034.097227657316</v>
      </c>
      <c r="Z33" s="7">
        <f>'a15'!AZ32</f>
        <v>82776.732227870496</v>
      </c>
      <c r="AA33" s="7">
        <f>'a9'!M31</f>
        <v>411.64196718065216</v>
      </c>
      <c r="AB33" s="7">
        <f t="shared" si="17"/>
        <v>117306.4680682184</v>
      </c>
      <c r="AC33" s="9">
        <f t="shared" si="46"/>
        <v>0.1673345311087519</v>
      </c>
      <c r="AD33" s="9">
        <f t="shared" si="18"/>
        <v>11.672545174367878</v>
      </c>
      <c r="AE33" s="9">
        <f t="shared" si="19"/>
        <v>0.24912558318234432</v>
      </c>
      <c r="AF33" s="7">
        <f>'a7'!M33</f>
        <v>49764.057018488988</v>
      </c>
      <c r="AG33" s="7">
        <f>'a8'!Y33</f>
        <v>1498.1653436615472</v>
      </c>
      <c r="AH33" s="7">
        <f>'a13'!S33</f>
        <v>8812.4742633061105</v>
      </c>
      <c r="AI33" s="7">
        <f>'a16'!P33</f>
        <v>-9237.6792526314021</v>
      </c>
      <c r="AJ33" s="7">
        <f>'a15'!BQ32</f>
        <v>79641.422932125686</v>
      </c>
      <c r="AK33" s="7">
        <f>'a9'!Q31</f>
        <v>280.08401268141938</v>
      </c>
      <c r="AL33" s="7">
        <f t="shared" si="20"/>
        <v>130198.35629226951</v>
      </c>
      <c r="AM33" s="114">
        <f t="shared" si="47"/>
        <v>0.2034849870365717</v>
      </c>
      <c r="AN33" s="9">
        <f t="shared" si="21"/>
        <v>11.77681438419358</v>
      </c>
      <c r="AO33" s="44">
        <f t="shared" si="22"/>
        <v>0.30775250715782881</v>
      </c>
      <c r="AP33" s="7">
        <f>'a7'!P33</f>
        <v>47447.841047855829</v>
      </c>
      <c r="AQ33" s="7">
        <f>'a8'!AE33</f>
        <v>969.91168756548007</v>
      </c>
      <c r="AR33" s="7">
        <f>'a13'!W33</f>
        <v>17861.145304259524</v>
      </c>
      <c r="AS33" s="7">
        <f>'a16'!T33</f>
        <v>-9205.6057592798225</v>
      </c>
      <c r="AT33" s="7">
        <f>'a15'!CH32</f>
        <v>83212.410428054034</v>
      </c>
      <c r="AU33" s="7">
        <f>'a9'!U31</f>
        <v>639.94566806325747</v>
      </c>
      <c r="AV33" s="7">
        <f t="shared" si="23"/>
        <v>139645.75704039179</v>
      </c>
      <c r="AW33" s="114">
        <f t="shared" si="48"/>
        <v>0.22997667222976872</v>
      </c>
      <c r="AX33" s="9">
        <f t="shared" si="24"/>
        <v>11.846864188100383</v>
      </c>
      <c r="AY33" s="44">
        <f t="shared" si="25"/>
        <v>0.34713905794311578</v>
      </c>
      <c r="AZ33" s="7">
        <f>'a7'!S33</f>
        <v>59009.504421461657</v>
      </c>
      <c r="BA33" s="7">
        <f>'a8'!AK33</f>
        <v>2335.1552452377846</v>
      </c>
      <c r="BB33" s="7">
        <f>'a13'!AA33</f>
        <v>8117.5290720521152</v>
      </c>
      <c r="BC33" s="7">
        <f>'a16'!X33</f>
        <v>-10659.211562982229</v>
      </c>
      <c r="BD33" s="7">
        <f>'a15'!CY32</f>
        <v>95108.326283062372</v>
      </c>
      <c r="BE33" s="7">
        <f>'a9'!Y31</f>
        <v>331.89318891484174</v>
      </c>
      <c r="BF33" s="7">
        <f t="shared" si="26"/>
        <v>153579.41026991687</v>
      </c>
      <c r="BG33" s="114">
        <f t="shared" si="49"/>
        <v>0.26904836663429765</v>
      </c>
      <c r="BH33" s="9">
        <f t="shared" si="27"/>
        <v>11.941973042988614</v>
      </c>
      <c r="BI33" s="44">
        <f t="shared" si="28"/>
        <v>0.4006154352384701</v>
      </c>
      <c r="BJ33" s="7">
        <f>'a7'!V33</f>
        <v>63957.540333579935</v>
      </c>
      <c r="BK33" s="7">
        <f>'a8'!AQ33</f>
        <v>2904.9278678115152</v>
      </c>
      <c r="BL33" s="7">
        <f>'a13'!AE33</f>
        <v>4974.4173210382069</v>
      </c>
      <c r="BM33" s="7">
        <f>'a16'!AB33</f>
        <v>-13034.145574833245</v>
      </c>
      <c r="BN33" s="7">
        <f>'a15'!DP32</f>
        <v>89749.967029383624</v>
      </c>
      <c r="BO33" s="7">
        <f>'a9'!AC31</f>
        <v>471.62301895871798</v>
      </c>
      <c r="BP33" s="7">
        <f t="shared" si="29"/>
        <v>148081.08395802131</v>
      </c>
      <c r="BQ33" s="114">
        <f t="shared" si="50"/>
        <v>0.25363037668895105</v>
      </c>
      <c r="BR33" s="9">
        <f t="shared" si="30"/>
        <v>11.90551526730447</v>
      </c>
      <c r="BS33" s="44">
        <f t="shared" si="31"/>
        <v>0.38011650514278272</v>
      </c>
      <c r="BT33" s="7">
        <f>'a7'!Y33</f>
        <v>53135.191958552896</v>
      </c>
      <c r="BU33" s="7">
        <f>'a8'!AW33</f>
        <v>1431.8646683541783</v>
      </c>
      <c r="BV33" s="7">
        <f>'a13'!AI33</f>
        <v>6181.4683462471639</v>
      </c>
      <c r="BW33" s="7">
        <f>'a16'!AF33</f>
        <v>-10810.799730608136</v>
      </c>
      <c r="BX33" s="7">
        <f>'a15'!EG32</f>
        <v>107776.04277116827</v>
      </c>
      <c r="BY33" s="7">
        <f>'a9'!AG31</f>
        <v>539.56814061291414</v>
      </c>
      <c r="BZ33" s="7">
        <f t="shared" si="32"/>
        <v>157174.19987310146</v>
      </c>
      <c r="CA33" s="114">
        <f t="shared" si="51"/>
        <v>0.27912860320331073</v>
      </c>
      <c r="CB33" s="9">
        <f t="shared" si="33"/>
        <v>11.965110022562952</v>
      </c>
      <c r="CC33" s="44">
        <f t="shared" si="34"/>
        <v>0.41362454832942447</v>
      </c>
      <c r="CD33" s="7">
        <f>'a7'!AB33</f>
        <v>64836.107739499726</v>
      </c>
      <c r="CE33" s="7">
        <f>'a8'!BC33</f>
        <v>1329.0203897272868</v>
      </c>
      <c r="CF33" s="7">
        <f>'a13'!AM33</f>
        <v>36455.467546288608</v>
      </c>
      <c r="CG33" s="7">
        <f>'a16'!AJ33</f>
        <v>-12177.159372208054</v>
      </c>
      <c r="CH33" s="7">
        <f>'a15'!EX32</f>
        <v>110112.862446656</v>
      </c>
      <c r="CI33" s="7">
        <f>'a9'!AK31</f>
        <v>1870.5308417749636</v>
      </c>
      <c r="CJ33" s="7">
        <f t="shared" si="35"/>
        <v>198685.7679081886</v>
      </c>
      <c r="CK33" s="9">
        <f t="shared" si="52"/>
        <v>0.39553219627414382</v>
      </c>
      <c r="CL33" s="9">
        <f t="shared" si="36"/>
        <v>12.199479799946401</v>
      </c>
      <c r="CM33" s="9">
        <f t="shared" si="37"/>
        <v>0.54540246382124913</v>
      </c>
      <c r="CN33" s="7">
        <f>'a7'!AE33</f>
        <v>86987.196834251285</v>
      </c>
      <c r="CO33" s="7">
        <f>'a8'!BI33</f>
        <v>1950.2359430904905</v>
      </c>
      <c r="CP33" s="7">
        <f>'a13'!AQ33</f>
        <v>39238.836074703984</v>
      </c>
      <c r="CQ33" s="7">
        <f>'a16'!AN33</f>
        <v>-17904.044872112918</v>
      </c>
      <c r="CR33" s="7">
        <f>'a15'!FO32</f>
        <v>85860.775307886128</v>
      </c>
      <c r="CS33" s="7">
        <f>'a9'!AO31</f>
        <v>2369.0334994574782</v>
      </c>
      <c r="CT33" s="7">
        <f t="shared" si="38"/>
        <v>193763.9657883615</v>
      </c>
      <c r="CU33" s="9">
        <f t="shared" si="53"/>
        <v>0.38173085177549065</v>
      </c>
      <c r="CV33" s="9">
        <f t="shared" si="39"/>
        <v>12.174396026106166</v>
      </c>
      <c r="CW33" s="9">
        <f t="shared" si="40"/>
        <v>0.53129873651375392</v>
      </c>
      <c r="CX33" s="7">
        <f>'a7'!AH33</f>
        <v>56319.083547105271</v>
      </c>
      <c r="CY33" s="7">
        <f>'a8'!BO33</f>
        <v>1314.0775714459121</v>
      </c>
      <c r="CZ33" s="7">
        <f>'a13'!AU33</f>
        <v>26117.660400194025</v>
      </c>
      <c r="DA33" s="7">
        <f>'a16'!AR33</f>
        <v>-12274.555320931328</v>
      </c>
      <c r="DB33" s="7">
        <f>'a15'!GF32</f>
        <v>105423.74392486874</v>
      </c>
      <c r="DC33" s="7">
        <f>'a9'!AS31</f>
        <v>492.30869561628941</v>
      </c>
      <c r="DD33" s="7">
        <f t="shared" si="41"/>
        <v>176407.70142706632</v>
      </c>
      <c r="DE33" s="44">
        <f t="shared" si="54"/>
        <v>0.33306173062269906</v>
      </c>
      <c r="DF33" s="9">
        <f t="shared" si="42"/>
        <v>12.080553080485403</v>
      </c>
      <c r="DG33" s="44">
        <f t="shared" si="43"/>
        <v>0.47853413565276404</v>
      </c>
    </row>
    <row r="34" spans="1:111">
      <c r="A34" s="1">
        <v>1996</v>
      </c>
      <c r="B34" s="7">
        <f>'a7'!D34</f>
        <v>62803.841562395792</v>
      </c>
      <c r="C34" s="7">
        <f>'a8'!G34</f>
        <v>2280.3371888070178</v>
      </c>
      <c r="D34" s="7">
        <f>'a13'!G34</f>
        <v>14982.000661962569</v>
      </c>
      <c r="E34" s="7">
        <f>'a16'!D34</f>
        <v>-11479.941849331412</v>
      </c>
      <c r="F34" s="7">
        <f>'a15'!R33</f>
        <v>93454.214844169008</v>
      </c>
      <c r="G34" s="7">
        <f>'a9'!E32</f>
        <v>658.03183277534379</v>
      </c>
      <c r="H34" s="7">
        <f t="shared" si="11"/>
        <v>161382.42057522765</v>
      </c>
      <c r="I34" s="9">
        <f t="shared" si="44"/>
        <v>0.29092897677022855</v>
      </c>
      <c r="J34" s="9">
        <f t="shared" si="12"/>
        <v>11.991532110516852</v>
      </c>
      <c r="K34" s="9">
        <f t="shared" si="13"/>
        <v>0.42848076277984837</v>
      </c>
      <c r="L34" s="7">
        <f>'a7'!G34</f>
        <v>58216.773688667825</v>
      </c>
      <c r="M34" s="7">
        <f>'a8'!M34</f>
        <v>1057.9538948288657</v>
      </c>
      <c r="N34" s="7">
        <f>'a13'!K34</f>
        <v>13174.610398659797</v>
      </c>
      <c r="O34" s="7">
        <f>'a16'!H34</f>
        <v>-7730.9594688493144</v>
      </c>
      <c r="P34" s="7">
        <f>'a15'!AI33</f>
        <v>90770.207598245659</v>
      </c>
      <c r="Q34" s="7">
        <f>'a9'!I32</f>
        <v>475.63125281048826</v>
      </c>
      <c r="R34" s="7">
        <f>SUM(L34:P34)-Q34</f>
        <v>155012.95485874236</v>
      </c>
      <c r="S34" s="9">
        <f t="shared" si="45"/>
        <v>0.27306820372706886</v>
      </c>
      <c r="T34" s="9">
        <f t="shared" si="15"/>
        <v>11.951263972142614</v>
      </c>
      <c r="U34" s="9">
        <f t="shared" si="16"/>
        <v>0.40583939922634049</v>
      </c>
      <c r="V34" s="7">
        <f>'a7'!J34</f>
        <v>45123.812961830597</v>
      </c>
      <c r="W34" s="7">
        <f>'a8'!S34</f>
        <v>693.68357647853031</v>
      </c>
      <c r="X34" s="7">
        <f>'a13'!O34</f>
        <v>284.09748029306439</v>
      </c>
      <c r="Y34" s="7">
        <f>'a16'!L34</f>
        <v>-8980.6486413932016</v>
      </c>
      <c r="Z34" s="7">
        <f>'a15'!AZ33</f>
        <v>82741.031629884717</v>
      </c>
      <c r="AA34" s="7">
        <f>'a9'!M32</f>
        <v>445.50034111358593</v>
      </c>
      <c r="AB34" s="7">
        <f t="shared" si="17"/>
        <v>119416.47666598012</v>
      </c>
      <c r="AC34" s="9">
        <f t="shared" si="46"/>
        <v>0.17325125730859611</v>
      </c>
      <c r="AD34" s="9">
        <f t="shared" si="18"/>
        <v>11.690372465947604</v>
      </c>
      <c r="AE34" s="9">
        <f t="shared" si="19"/>
        <v>0.25914924472040052</v>
      </c>
      <c r="AF34" s="7">
        <f>'a7'!M34</f>
        <v>49670.028572134172</v>
      </c>
      <c r="AG34" s="7">
        <f>'a8'!Y34</f>
        <v>1497.9808894562352</v>
      </c>
      <c r="AH34" s="7">
        <f>'a13'!S34</f>
        <v>9147.8377098753535</v>
      </c>
      <c r="AI34" s="7">
        <f>'a16'!P34</f>
        <v>-8531.2655885097447</v>
      </c>
      <c r="AJ34" s="7">
        <f>'a15'!BQ33</f>
        <v>80518.532717354799</v>
      </c>
      <c r="AK34" s="7">
        <f>'a9'!Q32</f>
        <v>605.81629767045592</v>
      </c>
      <c r="AL34" s="7">
        <f t="shared" si="20"/>
        <v>131697.29800264037</v>
      </c>
      <c r="AM34" s="114">
        <f t="shared" si="47"/>
        <v>0.2076882057813666</v>
      </c>
      <c r="AN34" s="9">
        <f t="shared" si="21"/>
        <v>11.788261371215977</v>
      </c>
      <c r="AO34" s="44">
        <f t="shared" si="22"/>
        <v>0.3141887469551024</v>
      </c>
      <c r="AP34" s="7">
        <f>'a7'!P34</f>
        <v>47991.235836164771</v>
      </c>
      <c r="AQ34" s="7">
        <f>'a8'!AE34</f>
        <v>984.45427794149521</v>
      </c>
      <c r="AR34" s="7">
        <f>'a13'!W34</f>
        <v>21902.244356924308</v>
      </c>
      <c r="AS34" s="7">
        <f>'a16'!T34</f>
        <v>-8593.1060441904247</v>
      </c>
      <c r="AT34" s="7">
        <f>'a15'!CH33</f>
        <v>83399.52390201675</v>
      </c>
      <c r="AU34" s="7">
        <f>'a9'!U32</f>
        <v>654.02847034802789</v>
      </c>
      <c r="AV34" s="7">
        <f t="shared" si="23"/>
        <v>145030.32385850887</v>
      </c>
      <c r="AW34" s="114">
        <f t="shared" si="48"/>
        <v>0.24507566642408657</v>
      </c>
      <c r="AX34" s="9">
        <f t="shared" si="24"/>
        <v>11.884698129596751</v>
      </c>
      <c r="AY34" s="44">
        <f t="shared" si="25"/>
        <v>0.36841175786582819</v>
      </c>
      <c r="AZ34" s="7">
        <f>'a7'!S34</f>
        <v>59231.849162476021</v>
      </c>
      <c r="BA34" s="7">
        <f>'a8'!AK34</f>
        <v>2435.8226145220697</v>
      </c>
      <c r="BB34" s="7">
        <f>'a13'!AA34</f>
        <v>9896.1171490900597</v>
      </c>
      <c r="BC34" s="7">
        <f>'a16'!X34</f>
        <v>-9944.0452780388332</v>
      </c>
      <c r="BD34" s="7">
        <f>'a15'!CY33</f>
        <v>96047.865323097954</v>
      </c>
      <c r="BE34" s="7">
        <f>'a9'!Y32</f>
        <v>334.67241751352867</v>
      </c>
      <c r="BF34" s="7">
        <f t="shared" si="26"/>
        <v>157332.93655363374</v>
      </c>
      <c r="BG34" s="114">
        <f t="shared" si="49"/>
        <v>0.27957372057277452</v>
      </c>
      <c r="BH34" s="9">
        <f t="shared" si="27"/>
        <v>11.966119453991533</v>
      </c>
      <c r="BI34" s="44">
        <f t="shared" si="28"/>
        <v>0.4141921162597928</v>
      </c>
      <c r="BJ34" s="7">
        <f>'a7'!V34</f>
        <v>64004.319472975636</v>
      </c>
      <c r="BK34" s="7">
        <f>'a8'!AQ34</f>
        <v>2970.0431678047084</v>
      </c>
      <c r="BL34" s="7">
        <f>'a13'!AE34</f>
        <v>5521.7727600620638</v>
      </c>
      <c r="BM34" s="7">
        <f>'a16'!AB34</f>
        <v>-12146.012023606791</v>
      </c>
      <c r="BN34" s="7">
        <f>'a15'!DP33</f>
        <v>90292.804325716934</v>
      </c>
      <c r="BO34" s="7">
        <f>'a9'!AC32</f>
        <v>458.11904532016831</v>
      </c>
      <c r="BP34" s="7">
        <f t="shared" si="29"/>
        <v>150184.80865763238</v>
      </c>
      <c r="BQ34" s="114">
        <f t="shared" si="50"/>
        <v>0.25952948205783533</v>
      </c>
      <c r="BR34" s="9">
        <f t="shared" si="30"/>
        <v>11.919621872435664</v>
      </c>
      <c r="BS34" s="44">
        <f t="shared" si="31"/>
        <v>0.38804815503215284</v>
      </c>
      <c r="BT34" s="7">
        <f>'a7'!Y34</f>
        <v>53247.001752783479</v>
      </c>
      <c r="BU34" s="7">
        <f>'a8'!AW34</f>
        <v>1425.5886147530041</v>
      </c>
      <c r="BV34" s="7">
        <f>'a13'!AI34</f>
        <v>6150.4594366653291</v>
      </c>
      <c r="BW34" s="7">
        <f>'a16'!AF34</f>
        <v>-10224.422289382941</v>
      </c>
      <c r="BX34" s="7">
        <f>'a15'!EG33</f>
        <v>108565.736047092</v>
      </c>
      <c r="BY34" s="7">
        <f>'a9'!AG32</f>
        <v>500.30317552267542</v>
      </c>
      <c r="BZ34" s="7">
        <f t="shared" si="32"/>
        <v>158664.06038638818</v>
      </c>
      <c r="CA34" s="114">
        <f t="shared" si="51"/>
        <v>0.2833063571434738</v>
      </c>
      <c r="CB34" s="9">
        <f t="shared" si="33"/>
        <v>11.974544418274329</v>
      </c>
      <c r="CC34" s="44">
        <f t="shared" si="34"/>
        <v>0.41892917853665568</v>
      </c>
      <c r="CD34" s="7">
        <f>'a7'!AB34</f>
        <v>65402.526534798242</v>
      </c>
      <c r="CE34" s="7">
        <f>'a8'!BC34</f>
        <v>1304.1333127897326</v>
      </c>
      <c r="CF34" s="7">
        <f>'a13'!AM34</f>
        <v>35197.595378449441</v>
      </c>
      <c r="CG34" s="7">
        <f>'a16'!AJ34</f>
        <v>-11562.083882357118</v>
      </c>
      <c r="CH34" s="7">
        <f>'a15'!EX33</f>
        <v>110801.25514245086</v>
      </c>
      <c r="CI34" s="7">
        <f>'a9'!AK32</f>
        <v>1839.8559705232535</v>
      </c>
      <c r="CJ34" s="7">
        <f t="shared" si="35"/>
        <v>199303.57051560789</v>
      </c>
      <c r="CK34" s="9">
        <f t="shared" si="52"/>
        <v>0.39726459152482069</v>
      </c>
      <c r="CL34" s="9">
        <f t="shared" si="36"/>
        <v>12.202584421321934</v>
      </c>
      <c r="CM34" s="9">
        <f t="shared" si="37"/>
        <v>0.54714808366108758</v>
      </c>
      <c r="CN34" s="7">
        <f>'a7'!AE34</f>
        <v>87273.83948805336</v>
      </c>
      <c r="CO34" s="7">
        <f>'a8'!BI34</f>
        <v>1977.3855723347483</v>
      </c>
      <c r="CP34" s="7">
        <f>'a13'!AQ34</f>
        <v>51913.96326316386</v>
      </c>
      <c r="CQ34" s="7">
        <f>'a16'!AN34</f>
        <v>-16784.037034804867</v>
      </c>
      <c r="CR34" s="7">
        <f>'a15'!FO33</f>
        <v>86502.367608891756</v>
      </c>
      <c r="CS34" s="7">
        <f>'a9'!AO32</f>
        <v>2346.2123123244919</v>
      </c>
      <c r="CT34" s="7">
        <f t="shared" si="38"/>
        <v>208537.30658531433</v>
      </c>
      <c r="CU34" s="9">
        <f t="shared" si="53"/>
        <v>0.42315713441968528</v>
      </c>
      <c r="CV34" s="9">
        <f t="shared" si="39"/>
        <v>12.24787323268194</v>
      </c>
      <c r="CW34" s="9">
        <f t="shared" si="40"/>
        <v>0.57261239575265821</v>
      </c>
      <c r="CX34" s="7">
        <f>'a7'!AH34</f>
        <v>56115.219327690531</v>
      </c>
      <c r="CY34" s="7">
        <f>'a8'!BO34</f>
        <v>1303.9544598313903</v>
      </c>
      <c r="CZ34" s="7">
        <f>'a13'!AU34</f>
        <v>29415.938108075214</v>
      </c>
      <c r="DA34" s="7">
        <f>'a16'!AR34</f>
        <v>-11372.593312188104</v>
      </c>
      <c r="DB34" s="7">
        <f>'a15'!GF33</f>
        <v>106467.43725573424</v>
      </c>
      <c r="DC34" s="7">
        <f>'a9'!AS32</f>
        <v>477.57613275405009</v>
      </c>
      <c r="DD34" s="7">
        <f t="shared" si="41"/>
        <v>181452.37970638921</v>
      </c>
      <c r="DE34" s="44">
        <f t="shared" si="54"/>
        <v>0.34720763513546604</v>
      </c>
      <c r="DF34" s="9">
        <f t="shared" si="42"/>
        <v>12.108748527498117</v>
      </c>
      <c r="DG34" s="44">
        <f t="shared" si="43"/>
        <v>0.49438744777848498</v>
      </c>
    </row>
    <row r="35" spans="1:111">
      <c r="A35" s="1">
        <v>1997</v>
      </c>
      <c r="B35" s="7">
        <f>'a7'!D35</f>
        <v>63572.802731416508</v>
      </c>
      <c r="C35" s="7">
        <f>'a8'!G35</f>
        <v>2334.1347191170203</v>
      </c>
      <c r="D35" s="7">
        <f>'a13'!G35</f>
        <v>15937.188167521033</v>
      </c>
      <c r="E35" s="7">
        <f>'a16'!D35</f>
        <v>-10468.778607237738</v>
      </c>
      <c r="F35" s="7">
        <f>'a15'!R34</f>
        <v>94566.425529290194</v>
      </c>
      <c r="G35" s="7">
        <f>'a9'!E33</f>
        <v>664.39684425747532</v>
      </c>
      <c r="H35" s="7">
        <f t="shared" si="11"/>
        <v>165277.37569584954</v>
      </c>
      <c r="I35" s="9">
        <f t="shared" si="44"/>
        <v>0.30185091473476916</v>
      </c>
      <c r="J35" s="9">
        <f t="shared" si="12"/>
        <v>12.015380406298135</v>
      </c>
      <c r="K35" s="9">
        <f t="shared" si="13"/>
        <v>0.44188982405547639</v>
      </c>
      <c r="L35" s="7">
        <f>'a7'!G35</f>
        <v>59810.152456567397</v>
      </c>
      <c r="M35" s="7">
        <f>'a8'!M35</f>
        <v>1072.562274635103</v>
      </c>
      <c r="N35" s="7">
        <f>'a13'!K35</f>
        <v>15134.310814073275</v>
      </c>
      <c r="O35" s="7">
        <f>'a16'!H35</f>
        <v>-6902.5246223661352</v>
      </c>
      <c r="P35" s="7">
        <f>'a15'!AI34</f>
        <v>92203.499645774849</v>
      </c>
      <c r="Q35" s="7">
        <f>'a9'!I33</f>
        <v>488.2568936769556</v>
      </c>
      <c r="R35" s="7">
        <f t="shared" si="14"/>
        <v>160829.74367500751</v>
      </c>
      <c r="S35" s="9">
        <f t="shared" si="45"/>
        <v>0.28937920209203533</v>
      </c>
      <c r="T35" s="9">
        <f t="shared" si="15"/>
        <v>11.988101591724869</v>
      </c>
      <c r="U35" s="9">
        <f t="shared" si="16"/>
        <v>0.42655190223942346</v>
      </c>
      <c r="V35" s="7">
        <f>'a7'!J35</f>
        <v>45575.875675079908</v>
      </c>
      <c r="W35" s="7">
        <f>'a8'!S35</f>
        <v>705.33615018398325</v>
      </c>
      <c r="X35" s="7">
        <f>'a13'!O35</f>
        <v>287.0470747771119</v>
      </c>
      <c r="Y35" s="7">
        <f>'a16'!L35</f>
        <v>-7555.8720823574158</v>
      </c>
      <c r="Z35" s="7">
        <f>'a15'!AZ34</f>
        <v>83969.523063125496</v>
      </c>
      <c r="AA35" s="7">
        <f>'a9'!M33</f>
        <v>473.20979454680611</v>
      </c>
      <c r="AB35" s="7">
        <f t="shared" si="17"/>
        <v>122508.70008626227</v>
      </c>
      <c r="AC35" s="9">
        <f t="shared" si="46"/>
        <v>0.18192223587520631</v>
      </c>
      <c r="AD35" s="9">
        <f t="shared" si="18"/>
        <v>11.715937327557384</v>
      </c>
      <c r="AE35" s="9">
        <f t="shared" si="19"/>
        <v>0.27352347082747241</v>
      </c>
      <c r="AF35" s="7">
        <f>'a7'!M35</f>
        <v>50686.704983472795</v>
      </c>
      <c r="AG35" s="7">
        <f>'a8'!Y35</f>
        <v>1499.895560804533</v>
      </c>
      <c r="AH35" s="7">
        <f>'a13'!S35</f>
        <v>9484.6774811157138</v>
      </c>
      <c r="AI35" s="7">
        <f>'a16'!P35</f>
        <v>-7697.3200627567649</v>
      </c>
      <c r="AJ35" s="7">
        <f>'a15'!BQ34</f>
        <v>81488.146263950402</v>
      </c>
      <c r="AK35" s="7">
        <f>'a9'!Q33</f>
        <v>598.78151778499262</v>
      </c>
      <c r="AL35" s="7">
        <f t="shared" si="20"/>
        <v>134863.32270880172</v>
      </c>
      <c r="AM35" s="114">
        <f t="shared" si="47"/>
        <v>0.21656613232070399</v>
      </c>
      <c r="AN35" s="9">
        <f t="shared" si="21"/>
        <v>11.812017120193582</v>
      </c>
      <c r="AO35" s="44">
        <f t="shared" si="22"/>
        <v>0.32754577240507782</v>
      </c>
      <c r="AP35" s="7">
        <f>'a7'!P35</f>
        <v>48262.670047348147</v>
      </c>
      <c r="AQ35" s="7">
        <f>'a8'!AE35</f>
        <v>964.77313804355515</v>
      </c>
      <c r="AR35" s="7">
        <f>'a13'!W35</f>
        <v>23964.547766632521</v>
      </c>
      <c r="AS35" s="7">
        <f>'a16'!T35</f>
        <v>-7582.099884698986</v>
      </c>
      <c r="AT35" s="7">
        <f>'a15'!CH34</f>
        <v>84907.563145661072</v>
      </c>
      <c r="AU35" s="7">
        <f>'a9'!U33</f>
        <v>627.20842974111883</v>
      </c>
      <c r="AV35" s="7">
        <f t="shared" si="23"/>
        <v>149890.24578324519</v>
      </c>
      <c r="AW35" s="114">
        <f t="shared" si="48"/>
        <v>0.25870349116934471</v>
      </c>
      <c r="AX35" s="9">
        <f t="shared" si="24"/>
        <v>11.917658610480753</v>
      </c>
      <c r="AY35" s="44">
        <f t="shared" si="25"/>
        <v>0.38694428161096811</v>
      </c>
      <c r="AZ35" s="7">
        <f>'a7'!S35</f>
        <v>59567.245313873143</v>
      </c>
      <c r="BA35" s="7">
        <f>'a8'!AK35</f>
        <v>2527.4228268429665</v>
      </c>
      <c r="BB35" s="7">
        <f>'a13'!AA35</f>
        <v>11718.281274981942</v>
      </c>
      <c r="BC35" s="7">
        <f>'a16'!X35</f>
        <v>-9227.4462767862005</v>
      </c>
      <c r="BD35" s="7">
        <f>'a15'!CY34</f>
        <v>97786.112250319711</v>
      </c>
      <c r="BE35" s="7">
        <f>'a9'!Y33</f>
        <v>335.81626458207757</v>
      </c>
      <c r="BF35" s="7">
        <f t="shared" si="26"/>
        <v>162035.79912464949</v>
      </c>
      <c r="BG35" s="114">
        <f t="shared" si="49"/>
        <v>0.29276113138129567</v>
      </c>
      <c r="BH35" s="9">
        <f t="shared" si="27"/>
        <v>11.995572572052463</v>
      </c>
      <c r="BI35" s="44">
        <f t="shared" si="28"/>
        <v>0.43075257275779033</v>
      </c>
      <c r="BJ35" s="7">
        <f>'a7'!V35</f>
        <v>64470.340216310615</v>
      </c>
      <c r="BK35" s="7">
        <f>'a8'!AQ35</f>
        <v>3056.1345205083112</v>
      </c>
      <c r="BL35" s="7">
        <f>'a13'!AE35</f>
        <v>6013.0887747688239</v>
      </c>
      <c r="BM35" s="7">
        <f>'a16'!AB35</f>
        <v>-11120.20228948556</v>
      </c>
      <c r="BN35" s="7">
        <f>'a15'!DP34</f>
        <v>91106.394039529216</v>
      </c>
      <c r="BO35" s="7">
        <f>'a9'!AC33</f>
        <v>470.30144590399811</v>
      </c>
      <c r="BP35" s="7">
        <f t="shared" si="29"/>
        <v>153055.45381572741</v>
      </c>
      <c r="BQ35" s="114">
        <f t="shared" si="50"/>
        <v>0.2675791276542438</v>
      </c>
      <c r="BR35" s="9">
        <f t="shared" si="30"/>
        <v>11.938555577947936</v>
      </c>
      <c r="BS35" s="44">
        <f t="shared" si="31"/>
        <v>0.39869391436511104</v>
      </c>
      <c r="BT35" s="7">
        <f>'a7'!Y35</f>
        <v>54134.902141308026</v>
      </c>
      <c r="BU35" s="7">
        <f>'a8'!AW35</f>
        <v>1397.802660430887</v>
      </c>
      <c r="BV35" s="7">
        <f>'a13'!AI35</f>
        <v>6293.6524604698552</v>
      </c>
      <c r="BW35" s="7">
        <f>'a16'!AF35</f>
        <v>-9341.5835311269129</v>
      </c>
      <c r="BX35" s="7">
        <f>'a15'!EG34</f>
        <v>109881.32061476793</v>
      </c>
      <c r="BY35" s="7">
        <f>'a9'!AG33</f>
        <v>520.48197855066098</v>
      </c>
      <c r="BZ35" s="7">
        <f t="shared" si="32"/>
        <v>161845.61236729912</v>
      </c>
      <c r="CA35" s="114">
        <f t="shared" si="51"/>
        <v>0.29222782408990738</v>
      </c>
      <c r="CB35" s="9">
        <f t="shared" si="33"/>
        <v>11.994398149733293</v>
      </c>
      <c r="CC35" s="44">
        <f t="shared" si="34"/>
        <v>0.43009223622952647</v>
      </c>
      <c r="CD35" s="7">
        <f>'a7'!AB35</f>
        <v>68137.919563965886</v>
      </c>
      <c r="CE35" s="7">
        <f>'a8'!BC35</f>
        <v>1359.4479523548757</v>
      </c>
      <c r="CF35" s="7">
        <f>'a13'!AM35</f>
        <v>34332.003451931814</v>
      </c>
      <c r="CG35" s="7">
        <f>'a16'!AJ35</f>
        <v>-10459.969555430933</v>
      </c>
      <c r="CH35" s="7">
        <f>'a15'!EX34</f>
        <v>111687.05185751698</v>
      </c>
      <c r="CI35" s="7">
        <f>'a9'!AK33</f>
        <v>1913.9048152641567</v>
      </c>
      <c r="CJ35" s="7">
        <f t="shared" si="35"/>
        <v>203142.54845507449</v>
      </c>
      <c r="CK35" s="9">
        <f t="shared" si="52"/>
        <v>0.40802956252027583</v>
      </c>
      <c r="CL35" s="9">
        <f t="shared" si="36"/>
        <v>12.221663220728743</v>
      </c>
      <c r="CM35" s="9">
        <f t="shared" si="37"/>
        <v>0.55787542420808411</v>
      </c>
      <c r="CN35" s="7">
        <f>'a7'!AE35</f>
        <v>89361.810139625872</v>
      </c>
      <c r="CO35" s="7">
        <f>'a8'!BI35</f>
        <v>1995.578348342689</v>
      </c>
      <c r="CP35" s="7">
        <f>'a13'!AQ35</f>
        <v>50836.673634246894</v>
      </c>
      <c r="CQ35" s="7">
        <f>'a16'!AN35</f>
        <v>-15310.846109231246</v>
      </c>
      <c r="CR35" s="7">
        <f>'a15'!FO34</f>
        <v>87713.501620415103</v>
      </c>
      <c r="CS35" s="7">
        <f>'a9'!AO33</f>
        <v>2358.9506214161352</v>
      </c>
      <c r="CT35" s="7">
        <f t="shared" si="38"/>
        <v>212237.76701198317</v>
      </c>
      <c r="CU35" s="9">
        <f t="shared" si="53"/>
        <v>0.43353368510349943</v>
      </c>
      <c r="CV35" s="9">
        <f t="shared" si="39"/>
        <v>12.265462467704555</v>
      </c>
      <c r="CW35" s="9">
        <f t="shared" si="40"/>
        <v>0.58250220642813555</v>
      </c>
      <c r="CX35" s="7">
        <f>'a7'!AH35</f>
        <v>56814.825343673918</v>
      </c>
      <c r="CY35" s="7">
        <f>'a8'!BO35</f>
        <v>1302.0171073893846</v>
      </c>
      <c r="CZ35" s="7">
        <f>'a13'!AU35</f>
        <v>31824.734725047063</v>
      </c>
      <c r="DA35" s="7">
        <f>'a16'!AR35</f>
        <v>-9967.0994635838997</v>
      </c>
      <c r="DB35" s="7">
        <f>'a15'!GF34</f>
        <v>106986.18405217405</v>
      </c>
      <c r="DC35" s="7">
        <f>'a9'!AS33</f>
        <v>482.81751017712526</v>
      </c>
      <c r="DD35" s="7">
        <f t="shared" si="41"/>
        <v>186477.8442545234</v>
      </c>
      <c r="DE35" s="44">
        <f t="shared" si="54"/>
        <v>0.36129966195937352</v>
      </c>
      <c r="DF35" s="9">
        <f t="shared" si="42"/>
        <v>12.13606771344614</v>
      </c>
      <c r="DG35" s="44">
        <f t="shared" si="43"/>
        <v>0.50974806900429293</v>
      </c>
    </row>
    <row r="36" spans="1:111">
      <c r="A36" s="1">
        <v>1998</v>
      </c>
      <c r="B36" s="7">
        <f>'a7'!D36</f>
        <v>64315.850497690728</v>
      </c>
      <c r="C36" s="7">
        <f>'a8'!G36</f>
        <v>2429.8891737256695</v>
      </c>
      <c r="D36" s="7">
        <f>'a13'!G36</f>
        <v>15037.007203688374</v>
      </c>
      <c r="E36" s="7">
        <f>'a16'!D36</f>
        <v>-10766.305502002879</v>
      </c>
      <c r="F36" s="7">
        <f>'a15'!R35</f>
        <v>95285.729035807046</v>
      </c>
      <c r="G36" s="7">
        <f>'a9'!E34</f>
        <v>664.79762456148978</v>
      </c>
      <c r="H36" s="7">
        <f t="shared" si="11"/>
        <v>165637.37278434742</v>
      </c>
      <c r="I36" s="9">
        <f t="shared" si="44"/>
        <v>0.30286039128744413</v>
      </c>
      <c r="J36" s="9">
        <f t="shared" si="12"/>
        <v>12.017556176536056</v>
      </c>
      <c r="K36" s="9">
        <f t="shared" si="13"/>
        <v>0.44311318343970818</v>
      </c>
      <c r="L36" s="7">
        <f>'a7'!G36</f>
        <v>61515.967790635426</v>
      </c>
      <c r="M36" s="7">
        <f>'a8'!M36</f>
        <v>1124.7202632271931</v>
      </c>
      <c r="N36" s="7">
        <f>'a13'!K36</f>
        <v>18708.11272258086</v>
      </c>
      <c r="O36" s="7">
        <f>'a16'!H36</f>
        <v>-7399.1874737583967</v>
      </c>
      <c r="P36" s="7">
        <f>'a15'!AI35</f>
        <v>93904.841361395462</v>
      </c>
      <c r="Q36" s="7">
        <f>'a9'!I34</f>
        <v>527.40904000199168</v>
      </c>
      <c r="R36" s="7">
        <f t="shared" si="14"/>
        <v>167327.04562407854</v>
      </c>
      <c r="S36" s="9">
        <f t="shared" si="45"/>
        <v>0.3075984438103615</v>
      </c>
      <c r="T36" s="9">
        <f t="shared" si="15"/>
        <v>12.02770553334804</v>
      </c>
      <c r="U36" s="9">
        <f t="shared" si="16"/>
        <v>0.4488198112276327</v>
      </c>
      <c r="V36" s="7">
        <f>'a7'!J36</f>
        <v>46246.091425878476</v>
      </c>
      <c r="W36" s="7">
        <f>'a8'!S36</f>
        <v>764.71735640291956</v>
      </c>
      <c r="X36" s="7">
        <f>'a13'!O36</f>
        <v>264.80267652795061</v>
      </c>
      <c r="Y36" s="7">
        <f>'a16'!L36</f>
        <v>-7916.4615597008578</v>
      </c>
      <c r="Z36" s="7">
        <f>'a15'!AZ35</f>
        <v>85043.977869629569</v>
      </c>
      <c r="AA36" s="7">
        <f>'a9'!M34</f>
        <v>483.1293966663888</v>
      </c>
      <c r="AB36" s="7">
        <f t="shared" si="17"/>
        <v>123919.99837207166</v>
      </c>
      <c r="AC36" s="9">
        <f t="shared" si="46"/>
        <v>0.18587969157102738</v>
      </c>
      <c r="AD36" s="9">
        <f t="shared" si="18"/>
        <v>11.72739146195382</v>
      </c>
      <c r="AE36" s="9">
        <f t="shared" si="19"/>
        <v>0.27996372934278435</v>
      </c>
      <c r="AF36" s="7">
        <f>'a7'!M36</f>
        <v>51811.976678299623</v>
      </c>
      <c r="AG36" s="7">
        <f>'a8'!Y36</f>
        <v>1562.6297886924099</v>
      </c>
      <c r="AH36" s="7">
        <f>'a13'!S36</f>
        <v>9690.1599465907075</v>
      </c>
      <c r="AI36" s="7">
        <f>'a16'!P36</f>
        <v>-7985.0593675776699</v>
      </c>
      <c r="AJ36" s="7">
        <f>'a15'!BQ35</f>
        <v>82619.739093907192</v>
      </c>
      <c r="AK36" s="7">
        <f>'a9'!Q34</f>
        <v>618.1657026451785</v>
      </c>
      <c r="AL36" s="7">
        <f t="shared" si="20"/>
        <v>137081.28043726709</v>
      </c>
      <c r="AM36" s="114">
        <f t="shared" si="47"/>
        <v>0.22278556129178911</v>
      </c>
      <c r="AN36" s="9">
        <f t="shared" si="21"/>
        <v>11.82832931674786</v>
      </c>
      <c r="AO36" s="44">
        <f t="shared" si="22"/>
        <v>0.33671754908641482</v>
      </c>
      <c r="AP36" s="7">
        <f>'a7'!P36</f>
        <v>49054.340532690221</v>
      </c>
      <c r="AQ36" s="7">
        <f>'a8'!AE36</f>
        <v>988.98145635639946</v>
      </c>
      <c r="AR36" s="7">
        <f>'a13'!W36</f>
        <v>25402.454995064556</v>
      </c>
      <c r="AS36" s="7">
        <f>'a16'!T36</f>
        <v>-7882.2164177343175</v>
      </c>
      <c r="AT36" s="7">
        <f>'a15'!CH35</f>
        <v>85958.359282754958</v>
      </c>
      <c r="AU36" s="7">
        <f>'a9'!U34</f>
        <v>727.95763600209432</v>
      </c>
      <c r="AV36" s="7">
        <f t="shared" si="23"/>
        <v>152793.96221312971</v>
      </c>
      <c r="AW36" s="114">
        <f t="shared" si="48"/>
        <v>0.26684587271975196</v>
      </c>
      <c r="AX36" s="9">
        <f t="shared" si="24"/>
        <v>11.936845640621868</v>
      </c>
      <c r="AY36" s="44">
        <f t="shared" si="25"/>
        <v>0.39773247650837679</v>
      </c>
      <c r="AZ36" s="7">
        <f>'a7'!S36</f>
        <v>60055.29076122526</v>
      </c>
      <c r="BA36" s="7">
        <f>'a8'!AK36</f>
        <v>2653.7506290859405</v>
      </c>
      <c r="BB36" s="7">
        <f>'a13'!AA36</f>
        <v>12379.145142384381</v>
      </c>
      <c r="BC36" s="7">
        <f>'a16'!X36</f>
        <v>-9447.1610001051085</v>
      </c>
      <c r="BD36" s="7">
        <f>'a15'!CY35</f>
        <v>98520.116834741697</v>
      </c>
      <c r="BE36" s="7">
        <f>'a9'!Y34</f>
        <v>334.43280402032093</v>
      </c>
      <c r="BF36" s="7">
        <f t="shared" si="26"/>
        <v>163826.70956331183</v>
      </c>
      <c r="BG36" s="114">
        <f t="shared" si="49"/>
        <v>0.29778306670670068</v>
      </c>
      <c r="BH36" s="9">
        <f t="shared" si="27"/>
        <v>12.006564499155017</v>
      </c>
      <c r="BI36" s="44">
        <f t="shared" si="28"/>
        <v>0.43693294830357904</v>
      </c>
      <c r="BJ36" s="7">
        <f>'a7'!V36</f>
        <v>64845.692004531804</v>
      </c>
      <c r="BK36" s="7">
        <f>'a8'!AQ36</f>
        <v>3181.9927223149066</v>
      </c>
      <c r="BL36" s="7">
        <f>'a13'!AE36</f>
        <v>6105.0710127375378</v>
      </c>
      <c r="BM36" s="7">
        <f>'a16'!AB36</f>
        <v>-11465.563575077229</v>
      </c>
      <c r="BN36" s="7">
        <f>'a15'!DP35</f>
        <v>91491.342729341646</v>
      </c>
      <c r="BO36" s="7">
        <f>'a9'!AC34</f>
        <v>474.79146774846282</v>
      </c>
      <c r="BP36" s="7">
        <f t="shared" si="29"/>
        <v>153683.74342610021</v>
      </c>
      <c r="BQ36" s="114">
        <f t="shared" si="50"/>
        <v>0.26934092976383051</v>
      </c>
      <c r="BR36" s="9">
        <f t="shared" si="30"/>
        <v>11.942652155722687</v>
      </c>
      <c r="BS36" s="44">
        <f t="shared" si="31"/>
        <v>0.40099727653848394</v>
      </c>
      <c r="BT36" s="7">
        <f>'a7'!Y36</f>
        <v>54845.991213980968</v>
      </c>
      <c r="BU36" s="7">
        <f>'a8'!AW36</f>
        <v>1401.9754905557631</v>
      </c>
      <c r="BV36" s="7">
        <f>'a13'!AI36</f>
        <v>5956.5059907710711</v>
      </c>
      <c r="BW36" s="7">
        <f>'a16'!AF36</f>
        <v>-9690.4888847246402</v>
      </c>
      <c r="BX36" s="7">
        <f>'a15'!EG35</f>
        <v>110687.776327407</v>
      </c>
      <c r="BY36" s="7">
        <f>'a9'!AG34</f>
        <v>509.35701786651185</v>
      </c>
      <c r="BZ36" s="7">
        <f t="shared" si="32"/>
        <v>162692.40312012366</v>
      </c>
      <c r="CA36" s="114">
        <f t="shared" si="51"/>
        <v>0.29460233054373774</v>
      </c>
      <c r="CB36" s="9">
        <f t="shared" si="33"/>
        <v>11.999616599554757</v>
      </c>
      <c r="CC36" s="44">
        <f t="shared" si="34"/>
        <v>0.43302638775387681</v>
      </c>
      <c r="CD36" s="7">
        <f>'a7'!AB36</f>
        <v>69324.79288963681</v>
      </c>
      <c r="CE36" s="7">
        <f>'a8'!BC36</f>
        <v>1402.310612999813</v>
      </c>
      <c r="CF36" s="7">
        <f>'a13'!AM36</f>
        <v>27291.67989368079</v>
      </c>
      <c r="CG36" s="7">
        <f>'a16'!AJ36</f>
        <v>-10924.472507472645</v>
      </c>
      <c r="CH36" s="7">
        <f>'a15'!EX35</f>
        <v>113914.59054266638</v>
      </c>
      <c r="CI36" s="7">
        <f>'a9'!AK34</f>
        <v>1990.3205186966507</v>
      </c>
      <c r="CJ36" s="7">
        <f t="shared" si="35"/>
        <v>199018.5809128145</v>
      </c>
      <c r="CK36" s="9">
        <f t="shared" si="52"/>
        <v>0.3964654452790094</v>
      </c>
      <c r="CL36" s="9">
        <f t="shared" si="36"/>
        <v>12.201153470768968</v>
      </c>
      <c r="CM36" s="9">
        <f t="shared" si="37"/>
        <v>0.54634351029353634</v>
      </c>
      <c r="CN36" s="7">
        <f>'a7'!AE36</f>
        <v>91422.144304406989</v>
      </c>
      <c r="CO36" s="7">
        <f>'a8'!BI36</f>
        <v>2070.3436568939965</v>
      </c>
      <c r="CP36" s="7">
        <f>'a13'!AQ36</f>
        <v>36828.019588248499</v>
      </c>
      <c r="CQ36" s="7">
        <f>'a16'!AN36</f>
        <v>-15648.016505013762</v>
      </c>
      <c r="CR36" s="7">
        <f>'a15'!FO35</f>
        <v>88353.391810564994</v>
      </c>
      <c r="CS36" s="7">
        <f>'a9'!AO34</f>
        <v>2336.6573886963342</v>
      </c>
      <c r="CT36" s="7">
        <f t="shared" si="38"/>
        <v>200689.2254664044</v>
      </c>
      <c r="CU36" s="9">
        <f t="shared" si="53"/>
        <v>0.40115014012401523</v>
      </c>
      <c r="CV36" s="9">
        <f t="shared" si="39"/>
        <v>12.209512848572071</v>
      </c>
      <c r="CW36" s="9">
        <f t="shared" si="40"/>
        <v>0.55104369559046251</v>
      </c>
      <c r="CX36" s="7">
        <f>'a7'!AH36</f>
        <v>57366.583900582285</v>
      </c>
      <c r="CY36" s="7">
        <f>'a8'!BO36</f>
        <v>1329.2183162209813</v>
      </c>
      <c r="CZ36" s="7">
        <f>'a13'!AU36</f>
        <v>32875.028474347178</v>
      </c>
      <c r="DA36" s="7">
        <f>'a16'!AR36</f>
        <v>-9991.6440643125006</v>
      </c>
      <c r="DB36" s="7">
        <f>'a15'!GF35</f>
        <v>108233.32206397897</v>
      </c>
      <c r="DC36" s="7">
        <f>'a9'!AS34</f>
        <v>464.53146820672004</v>
      </c>
      <c r="DD36" s="7">
        <f t="shared" si="41"/>
        <v>189347.97722261021</v>
      </c>
      <c r="DE36" s="44">
        <f t="shared" si="54"/>
        <v>0.36934787131137803</v>
      </c>
      <c r="DF36" s="9">
        <f t="shared" si="42"/>
        <v>12.151341750529866</v>
      </c>
      <c r="DG36" s="44">
        <f t="shared" si="43"/>
        <v>0.51833612498364889</v>
      </c>
    </row>
    <row r="37" spans="1:111">
      <c r="A37" s="1">
        <v>1999</v>
      </c>
      <c r="B37" s="7">
        <f>'a7'!D37</f>
        <v>65202.936471174289</v>
      </c>
      <c r="C37" s="7">
        <f>'a8'!G37</f>
        <v>2546.001847667022</v>
      </c>
      <c r="D37" s="7">
        <f>'a13'!G37</f>
        <v>17574.749787728924</v>
      </c>
      <c r="E37" s="7">
        <f>'a16'!D37</f>
        <v>-8536.0508189594657</v>
      </c>
      <c r="F37" s="7">
        <f>'a15'!R36</f>
        <v>96208.631917573468</v>
      </c>
      <c r="G37" s="7">
        <f>'a9'!E35</f>
        <v>672.07810995072566</v>
      </c>
      <c r="H37" s="7">
        <f t="shared" si="11"/>
        <v>172324.19109523352</v>
      </c>
      <c r="I37" s="9">
        <f t="shared" si="44"/>
        <v>0.32161106042480536</v>
      </c>
      <c r="J37" s="9">
        <f t="shared" si="12"/>
        <v>12.057132813677747</v>
      </c>
      <c r="K37" s="9">
        <f t="shared" si="13"/>
        <v>0.46536574007449821</v>
      </c>
      <c r="L37" s="7">
        <f>'a7'!G37</f>
        <v>64262.333568960254</v>
      </c>
      <c r="M37" s="7">
        <f>'a8'!M37</f>
        <v>1171.0139577197872</v>
      </c>
      <c r="N37" s="7">
        <f>'a13'!K37</f>
        <v>30360.028759886482</v>
      </c>
      <c r="O37" s="7">
        <f>'a16'!H37</f>
        <v>-5977.8189751094897</v>
      </c>
      <c r="P37" s="7">
        <f>'a15'!AI36</f>
        <v>95264.142093277638</v>
      </c>
      <c r="Q37" s="7">
        <f>'a9'!I35</f>
        <v>682.49606361174324</v>
      </c>
      <c r="R37" s="7">
        <f t="shared" si="14"/>
        <v>184397.20334112292</v>
      </c>
      <c r="S37" s="9">
        <f t="shared" si="45"/>
        <v>0.35546528639434349</v>
      </c>
      <c r="T37" s="9">
        <f t="shared" si="15"/>
        <v>12.124847423726731</v>
      </c>
      <c r="U37" s="9">
        <f t="shared" si="16"/>
        <v>0.50343929315893721</v>
      </c>
      <c r="V37" s="7">
        <f>'a7'!J37</f>
        <v>47062.897982844268</v>
      </c>
      <c r="W37" s="7">
        <f>'a8'!S37</f>
        <v>821.14289151118749</v>
      </c>
      <c r="X37" s="7">
        <f>'a13'!O37</f>
        <v>254.4651001596398</v>
      </c>
      <c r="Y37" s="7">
        <f>'a16'!L37</f>
        <v>-6208.2587458596918</v>
      </c>
      <c r="Z37" s="7">
        <f>'a15'!AZ36</f>
        <v>85586.585093730042</v>
      </c>
      <c r="AA37" s="7">
        <f>'a9'!M35</f>
        <v>477.0011651430861</v>
      </c>
      <c r="AB37" s="7">
        <f t="shared" si="17"/>
        <v>127039.83115724237</v>
      </c>
      <c r="AC37" s="9">
        <f t="shared" si="46"/>
        <v>0.19462809022624322</v>
      </c>
      <c r="AD37" s="9">
        <f t="shared" si="18"/>
        <v>11.752255947428146</v>
      </c>
      <c r="AE37" s="9">
        <f t="shared" si="19"/>
        <v>0.29394415848413524</v>
      </c>
      <c r="AF37" s="7">
        <f>'a7'!M37</f>
        <v>53686.665010323588</v>
      </c>
      <c r="AG37" s="7">
        <f>'a8'!Y37</f>
        <v>1632.8876537676299</v>
      </c>
      <c r="AH37" s="7">
        <f>'a13'!S37</f>
        <v>8024.7109951017874</v>
      </c>
      <c r="AI37" s="7">
        <f>'a16'!P37</f>
        <v>-6377.3772331519594</v>
      </c>
      <c r="AJ37" s="7">
        <f>'a15'!BQ36</f>
        <v>83206.596445830437</v>
      </c>
      <c r="AK37" s="7">
        <f>'a9'!Q35</f>
        <v>626.36652712214789</v>
      </c>
      <c r="AL37" s="7">
        <f t="shared" si="20"/>
        <v>139547.11634474935</v>
      </c>
      <c r="AM37" s="114">
        <f t="shared" si="47"/>
        <v>0.22970007146667343</v>
      </c>
      <c r="AN37" s="9">
        <f t="shared" si="21"/>
        <v>11.846157574793597</v>
      </c>
      <c r="AO37" s="44">
        <f t="shared" si="22"/>
        <v>0.34674175403445234</v>
      </c>
      <c r="AP37" s="7">
        <f>'a7'!P37</f>
        <v>50744.395357853238</v>
      </c>
      <c r="AQ37" s="7">
        <f>'a8'!AE37</f>
        <v>1014.9746520942293</v>
      </c>
      <c r="AR37" s="7">
        <f>'a13'!W37</f>
        <v>25677.821097674041</v>
      </c>
      <c r="AS37" s="7">
        <f>'a16'!T37</f>
        <v>-6346.2898442788637</v>
      </c>
      <c r="AT37" s="7">
        <f>'a15'!CH36</f>
        <v>87199.98802202291</v>
      </c>
      <c r="AU37" s="7">
        <f>'a9'!U35</f>
        <v>765.99813795479963</v>
      </c>
      <c r="AV37" s="7">
        <f t="shared" si="23"/>
        <v>157524.89114741076</v>
      </c>
      <c r="AW37" s="114">
        <f t="shared" si="48"/>
        <v>0.28011198509709245</v>
      </c>
      <c r="AX37" s="9">
        <f t="shared" si="24"/>
        <v>11.967338763792153</v>
      </c>
      <c r="AY37" s="44">
        <f t="shared" si="25"/>
        <v>0.41487769144639858</v>
      </c>
      <c r="AZ37" s="7">
        <f>'a7'!S37</f>
        <v>60685.285453862707</v>
      </c>
      <c r="BA37" s="7">
        <f>'a8'!AK37</f>
        <v>2824.2263329912244</v>
      </c>
      <c r="BB37" s="7">
        <f>'a13'!AA37</f>
        <v>12542.033111300427</v>
      </c>
      <c r="BC37" s="7">
        <f>'a16'!X37</f>
        <v>-7561.3764809967643</v>
      </c>
      <c r="BD37" s="7">
        <f>'a15'!CY36</f>
        <v>99321.939310737565</v>
      </c>
      <c r="BE37" s="7">
        <f>'a9'!Y35</f>
        <v>340.79420391849976</v>
      </c>
      <c r="BF37" s="7">
        <f t="shared" si="26"/>
        <v>167471.31352397666</v>
      </c>
      <c r="BG37" s="114">
        <f t="shared" si="49"/>
        <v>0.30800298892170802</v>
      </c>
      <c r="BH37" s="9">
        <f t="shared" si="27"/>
        <v>12.028567353036731</v>
      </c>
      <c r="BI37" s="44">
        <f t="shared" si="28"/>
        <v>0.4493043822477249</v>
      </c>
      <c r="BJ37" s="7">
        <f>'a7'!V37</f>
        <v>65548.827967626261</v>
      </c>
      <c r="BK37" s="7">
        <f>'a8'!AQ37</f>
        <v>3326.3717966993381</v>
      </c>
      <c r="BL37" s="7">
        <f>'a13'!AE37</f>
        <v>6114.220693390922</v>
      </c>
      <c r="BM37" s="7">
        <f>'a16'!AB37</f>
        <v>-9217.3112713787104</v>
      </c>
      <c r="BN37" s="7">
        <f>'a15'!DP36</f>
        <v>92564.459377802254</v>
      </c>
      <c r="BO37" s="7">
        <f>'a9'!AC35</f>
        <v>471.58275090688858</v>
      </c>
      <c r="BP37" s="7">
        <f t="shared" si="29"/>
        <v>157864.98581323319</v>
      </c>
      <c r="BQ37" s="114">
        <f t="shared" si="50"/>
        <v>0.28106565278443429</v>
      </c>
      <c r="BR37" s="9">
        <f t="shared" si="30"/>
        <v>11.969495426529209</v>
      </c>
      <c r="BS37" s="44">
        <f t="shared" si="31"/>
        <v>0.41609030735225883</v>
      </c>
      <c r="BT37" s="7">
        <f>'a7'!Y37</f>
        <v>55492.454623755308</v>
      </c>
      <c r="BU37" s="7">
        <f>'a8'!AW37</f>
        <v>1477.9077324163486</v>
      </c>
      <c r="BV37" s="7">
        <f>'a13'!AI37</f>
        <v>6008.6387034848758</v>
      </c>
      <c r="BW37" s="7">
        <f>'a16'!AF37</f>
        <v>-7461.6474359098456</v>
      </c>
      <c r="BX37" s="7">
        <f>'a15'!EG36</f>
        <v>111135.11183970183</v>
      </c>
      <c r="BY37" s="7">
        <f>'a9'!AG35</f>
        <v>514.98852745953786</v>
      </c>
      <c r="BZ37" s="7">
        <f t="shared" si="32"/>
        <v>166137.47693598899</v>
      </c>
      <c r="CA37" s="114">
        <f t="shared" si="51"/>
        <v>0.30426274544837378</v>
      </c>
      <c r="CB37" s="9">
        <f t="shared" si="33"/>
        <v>12.020570898904744</v>
      </c>
      <c r="CC37" s="44">
        <f t="shared" si="34"/>
        <v>0.44480825621729708</v>
      </c>
      <c r="CD37" s="7">
        <f>'a7'!AB37</f>
        <v>70535.079012423565</v>
      </c>
      <c r="CE37" s="7">
        <f>'a8'!BC37</f>
        <v>1475.9743902612076</v>
      </c>
      <c r="CF37" s="7">
        <f>'a13'!AM37</f>
        <v>35662.72412849596</v>
      </c>
      <c r="CG37" s="7">
        <f>'a16'!AJ37</f>
        <v>-8368.3067868062699</v>
      </c>
      <c r="CH37" s="7">
        <f>'a15'!EX36</f>
        <v>115022.86918617913</v>
      </c>
      <c r="CI37" s="7">
        <f>'a9'!AK35</f>
        <v>2008.4213119025756</v>
      </c>
      <c r="CJ37" s="7">
        <f t="shared" si="35"/>
        <v>212319.91861865102</v>
      </c>
      <c r="CK37" s="9">
        <f t="shared" si="52"/>
        <v>0.43376404841294114</v>
      </c>
      <c r="CL37" s="9">
        <f t="shared" si="36"/>
        <v>12.265849466270232</v>
      </c>
      <c r="CM37" s="9">
        <f t="shared" si="37"/>
        <v>0.58271980216446551</v>
      </c>
      <c r="CN37" s="7">
        <f>'a7'!AE37</f>
        <v>92871.788456093622</v>
      </c>
      <c r="CO37" s="7">
        <f>'a8'!BI37</f>
        <v>2086.5852433707978</v>
      </c>
      <c r="CP37" s="7">
        <f>'a13'!AQ37</f>
        <v>59785.521568928445</v>
      </c>
      <c r="CQ37" s="7">
        <f>'a16'!AN37</f>
        <v>-11803.697934890602</v>
      </c>
      <c r="CR37" s="7">
        <f>'a15'!FO36</f>
        <v>89068.703787828912</v>
      </c>
      <c r="CS37" s="7">
        <f>'a9'!AO35</f>
        <v>2316.4936211729532</v>
      </c>
      <c r="CT37" s="7">
        <f t="shared" si="38"/>
        <v>229692.40750015821</v>
      </c>
      <c r="CU37" s="9">
        <f t="shared" si="53"/>
        <v>0.48247866513571297</v>
      </c>
      <c r="CV37" s="9">
        <f t="shared" si="39"/>
        <v>12.344496334148127</v>
      </c>
      <c r="CW37" s="9">
        <f t="shared" si="40"/>
        <v>0.62694018085242942</v>
      </c>
      <c r="CX37" s="7">
        <f>'a7'!AH37</f>
        <v>57962.346551992778</v>
      </c>
      <c r="CY37" s="7">
        <f>'a8'!BO37</f>
        <v>1392.9743945664407</v>
      </c>
      <c r="CZ37" s="7">
        <f>'a13'!AU37</f>
        <v>33459.07786541008</v>
      </c>
      <c r="DA37" s="7">
        <f>'a16'!AR37</f>
        <v>-7756.0754302716532</v>
      </c>
      <c r="DB37" s="7">
        <f>'a15'!GF36</f>
        <v>109171.97910647935</v>
      </c>
      <c r="DC37" s="7">
        <f>'a9'!AS35</f>
        <v>467.48134162273988</v>
      </c>
      <c r="DD37" s="7">
        <f t="shared" si="41"/>
        <v>193762.82114655426</v>
      </c>
      <c r="DE37" s="44">
        <f t="shared" si="54"/>
        <v>0.38172764205768306</v>
      </c>
      <c r="DF37" s="9">
        <f t="shared" si="42"/>
        <v>12.174390118685848</v>
      </c>
      <c r="DG37" s="44">
        <f t="shared" si="43"/>
        <v>0.53129541497825494</v>
      </c>
    </row>
    <row r="38" spans="1:111">
      <c r="A38" s="1">
        <v>2000</v>
      </c>
      <c r="B38" s="7">
        <f>'a7'!D38</f>
        <v>66032.152404391221</v>
      </c>
      <c r="C38" s="7">
        <f>'a8'!G38</f>
        <v>2702.8781511777079</v>
      </c>
      <c r="D38" s="7">
        <f>'a13'!G38</f>
        <v>24117.379868524073</v>
      </c>
      <c r="E38" s="7">
        <f>'a16'!D38</f>
        <v>-6958.7643776496725</v>
      </c>
      <c r="F38" s="7">
        <f>'a15'!R37</f>
        <v>97264.259836112949</v>
      </c>
      <c r="G38" s="7">
        <f>'a9'!E36</f>
        <v>690.93815749447094</v>
      </c>
      <c r="H38" s="7">
        <f t="shared" si="11"/>
        <v>182466.96772506181</v>
      </c>
      <c r="I38" s="9">
        <f t="shared" si="44"/>
        <v>0.35005266596543333</v>
      </c>
      <c r="J38" s="9">
        <f t="shared" si="12"/>
        <v>12.114324436855645</v>
      </c>
      <c r="K38" s="9">
        <f t="shared" si="13"/>
        <v>0.49752258627761098</v>
      </c>
      <c r="L38" s="7">
        <f>'a7'!G38</f>
        <v>65957.61526310406</v>
      </c>
      <c r="M38" s="7">
        <f>'a8'!M38</f>
        <v>1209.2853714695959</v>
      </c>
      <c r="N38" s="7">
        <f>'a13'!K38</f>
        <v>55063.662762964988</v>
      </c>
      <c r="O38" s="7">
        <f>'a16'!H38</f>
        <v>-5004.4569165486819</v>
      </c>
      <c r="P38" s="7">
        <f>'a15'!AI37</f>
        <v>96425.043273713702</v>
      </c>
      <c r="Q38" s="7">
        <f>'a9'!I36</f>
        <v>509.47616617824872</v>
      </c>
      <c r="R38" s="7">
        <f t="shared" si="14"/>
        <v>213141.67358852545</v>
      </c>
      <c r="S38" s="9">
        <f t="shared" si="45"/>
        <v>0.43606835142159517</v>
      </c>
      <c r="T38" s="9">
        <f t="shared" si="15"/>
        <v>12.269712357806265</v>
      </c>
      <c r="U38" s="9">
        <f t="shared" si="16"/>
        <v>0.58489177075219223</v>
      </c>
      <c r="V38" s="7">
        <f>'a7'!J38</f>
        <v>48054.548252363151</v>
      </c>
      <c r="W38" s="7">
        <f>'a8'!S38</f>
        <v>943.51446354322468</v>
      </c>
      <c r="X38" s="7">
        <f>'a13'!O38</f>
        <v>286.37635779475545</v>
      </c>
      <c r="Y38" s="7">
        <f>'a16'!L38</f>
        <v>-4926.1189336430361</v>
      </c>
      <c r="Z38" s="7">
        <f>'a15'!AZ37</f>
        <v>86028.722087798349</v>
      </c>
      <c r="AA38" s="7">
        <f>'a9'!M36</f>
        <v>487.41824417020808</v>
      </c>
      <c r="AB38" s="7">
        <f t="shared" si="17"/>
        <v>129899.62398368622</v>
      </c>
      <c r="AC38" s="9">
        <f t="shared" si="46"/>
        <v>0.20264730453669488</v>
      </c>
      <c r="AD38" s="9">
        <f t="shared" si="18"/>
        <v>11.774517307994657</v>
      </c>
      <c r="AE38" s="9">
        <f t="shared" si="19"/>
        <v>0.30646094168125831</v>
      </c>
      <c r="AF38" s="7">
        <f>'a7'!M38</f>
        <v>54778.378939861068</v>
      </c>
      <c r="AG38" s="7">
        <f>'a8'!Y38</f>
        <v>1703.0389100800376</v>
      </c>
      <c r="AH38" s="7">
        <f>'a13'!S38</f>
        <v>15856.058370075372</v>
      </c>
      <c r="AI38" s="7">
        <f>'a16'!P38</f>
        <v>-5146.5080839601378</v>
      </c>
      <c r="AJ38" s="7">
        <f>'a15'!BQ37</f>
        <v>84487.192390642376</v>
      </c>
      <c r="AK38" s="7">
        <f>'a9'!Q36</f>
        <v>661.13847074917192</v>
      </c>
      <c r="AL38" s="7">
        <f t="shared" si="20"/>
        <v>151017.02205594955</v>
      </c>
      <c r="AM38" s="114">
        <f t="shared" si="47"/>
        <v>0.26186311179892163</v>
      </c>
      <c r="AN38" s="9">
        <f t="shared" si="21"/>
        <v>11.925147838290991</v>
      </c>
      <c r="AO38" s="44">
        <f t="shared" si="22"/>
        <v>0.39115521204958803</v>
      </c>
      <c r="AP38" s="7">
        <f>'a7'!P38</f>
        <v>52297.391797920631</v>
      </c>
      <c r="AQ38" s="7">
        <f>'a8'!AE38</f>
        <v>1020.9213419753268</v>
      </c>
      <c r="AR38" s="7">
        <f>'a13'!W38</f>
        <v>25617.750099002118</v>
      </c>
      <c r="AS38" s="7">
        <f>'a16'!T38</f>
        <v>-5053.7643127611545</v>
      </c>
      <c r="AT38" s="7">
        <f>'a15'!CH37</f>
        <v>87755.601163015104</v>
      </c>
      <c r="AU38" s="7">
        <f>'a9'!U36</f>
        <v>758.46114556677423</v>
      </c>
      <c r="AV38" s="7">
        <f t="shared" si="23"/>
        <v>160879.43894358526</v>
      </c>
      <c r="AW38" s="114">
        <f t="shared" si="48"/>
        <v>0.28951855379795449</v>
      </c>
      <c r="AX38" s="9">
        <f t="shared" si="24"/>
        <v>11.98841053701868</v>
      </c>
      <c r="AY38" s="44">
        <f t="shared" si="25"/>
        <v>0.42672561135530873</v>
      </c>
      <c r="AZ38" s="7">
        <f>'a7'!S38</f>
        <v>61184.563333370032</v>
      </c>
      <c r="BA38" s="7">
        <f>'a8'!AK38</f>
        <v>3051.8083007484461</v>
      </c>
      <c r="BB38" s="7">
        <f>'a13'!AA38</f>
        <v>12575.545479593955</v>
      </c>
      <c r="BC38" s="7">
        <f>'a16'!X38</f>
        <v>-6138.1161191251031</v>
      </c>
      <c r="BD38" s="7">
        <f>'a15'!CY37</f>
        <v>100010.8990410156</v>
      </c>
      <c r="BE38" s="7">
        <f>'a9'!Y36</f>
        <v>328.07147542925992</v>
      </c>
      <c r="BF38" s="7">
        <f t="shared" si="26"/>
        <v>170356.62856017367</v>
      </c>
      <c r="BG38" s="114">
        <f t="shared" si="49"/>
        <v>0.31609377067851258</v>
      </c>
      <c r="BH38" s="9">
        <f t="shared" si="27"/>
        <v>12.045649333750772</v>
      </c>
      <c r="BI38" s="44">
        <f t="shared" si="28"/>
        <v>0.45890898159538296</v>
      </c>
      <c r="BJ38" s="7">
        <f>'a7'!V38</f>
        <v>65953.381136649026</v>
      </c>
      <c r="BK38" s="7">
        <f>'a8'!AQ38</f>
        <v>3538.5173492877261</v>
      </c>
      <c r="BL38" s="7">
        <f>'a13'!AE38</f>
        <v>6358.3389663111575</v>
      </c>
      <c r="BM38" s="7">
        <f>'a16'!AB38</f>
        <v>-7502.0363078592491</v>
      </c>
      <c r="BN38" s="7">
        <f>'a15'!DP37</f>
        <v>93793.929434625345</v>
      </c>
      <c r="BO38" s="7">
        <f>'a9'!AC36</f>
        <v>496.65941129704078</v>
      </c>
      <c r="BP38" s="7">
        <f t="shared" si="29"/>
        <v>161645.47116771698</v>
      </c>
      <c r="BQ38" s="114">
        <f t="shared" si="50"/>
        <v>0.29166660330602429</v>
      </c>
      <c r="BR38" s="9">
        <f t="shared" si="30"/>
        <v>11.993160766477274</v>
      </c>
      <c r="BS38" s="44">
        <f t="shared" si="31"/>
        <v>0.42939649897209059</v>
      </c>
      <c r="BT38" s="7">
        <f>'a7'!Y38</f>
        <v>55838.361196988095</v>
      </c>
      <c r="BU38" s="7">
        <f>'a8'!AW38</f>
        <v>1536.3687781812507</v>
      </c>
      <c r="BV38" s="7">
        <f>'a13'!AI38</f>
        <v>6916.2182294542363</v>
      </c>
      <c r="BW38" s="7">
        <f>'a16'!AF38</f>
        <v>-6024.8576628288647</v>
      </c>
      <c r="BX38" s="7">
        <f>'a15'!EG37</f>
        <v>112311.21880438423</v>
      </c>
      <c r="BY38" s="7">
        <f>'a9'!AG36</f>
        <v>551.85085049568977</v>
      </c>
      <c r="BZ38" s="7">
        <f t="shared" si="32"/>
        <v>170025.45849568327</v>
      </c>
      <c r="CA38" s="114">
        <f t="shared" si="51"/>
        <v>0.31516512868186242</v>
      </c>
      <c r="CB38" s="9">
        <f t="shared" si="33"/>
        <v>12.043703460677071</v>
      </c>
      <c r="CC38" s="44">
        <f t="shared" si="34"/>
        <v>0.45781488533294334</v>
      </c>
      <c r="CD38" s="7">
        <f>'a7'!AB38</f>
        <v>71861.996794251492</v>
      </c>
      <c r="CE38" s="7">
        <f>'a8'!BC38</f>
        <v>1572.8617305726714</v>
      </c>
      <c r="CF38" s="7">
        <f>'a13'!AM38</f>
        <v>51385.836750188799</v>
      </c>
      <c r="CG38" s="7">
        <f>'a16'!AJ38</f>
        <v>-6811.4814733362064</v>
      </c>
      <c r="CH38" s="7">
        <f>'a15'!EX37</f>
        <v>116531.23814576927</v>
      </c>
      <c r="CI38" s="7">
        <f>'a9'!AK36</f>
        <v>2107.8759082826373</v>
      </c>
      <c r="CJ38" s="7">
        <f t="shared" si="35"/>
        <v>232432.5760391634</v>
      </c>
      <c r="CK38" s="9">
        <f t="shared" si="52"/>
        <v>0.49016243808522564</v>
      </c>
      <c r="CL38" s="9">
        <f t="shared" si="36"/>
        <v>12.356355466422233</v>
      </c>
      <c r="CM38" s="9">
        <f t="shared" si="37"/>
        <v>0.63360815548666161</v>
      </c>
      <c r="CN38" s="7">
        <f>'a7'!AE38</f>
        <v>95691.030584535372</v>
      </c>
      <c r="CO38" s="7">
        <f>'a8'!BI38</f>
        <v>2080.1409110369977</v>
      </c>
      <c r="CP38" s="7">
        <f>'a13'!AQ38</f>
        <v>99394.598747331111</v>
      </c>
      <c r="CQ38" s="7">
        <f>'a16'!AN38</f>
        <v>-9676.0740441984399</v>
      </c>
      <c r="CR38" s="7">
        <f>'a15'!FO37</f>
        <v>89522.99281159231</v>
      </c>
      <c r="CS38" s="7">
        <f>'a9'!AO36</f>
        <v>2473.8069627631526</v>
      </c>
      <c r="CT38" s="7">
        <f t="shared" si="38"/>
        <v>274538.88204753422</v>
      </c>
      <c r="CU38" s="9">
        <f t="shared" si="53"/>
        <v>0.60823375030767857</v>
      </c>
      <c r="CV38" s="9">
        <f t="shared" si="39"/>
        <v>12.522848176704164</v>
      </c>
      <c r="CW38" s="9">
        <f t="shared" si="40"/>
        <v>0.72722117398452579</v>
      </c>
      <c r="CX38" s="7">
        <f>'a7'!AH38</f>
        <v>58580.399754408638</v>
      </c>
      <c r="CY38" s="7">
        <f>'a8'!BO38</f>
        <v>1507.90606056348</v>
      </c>
      <c r="CZ38" s="7">
        <f>'a13'!AU38</f>
        <v>38652.94925594228</v>
      </c>
      <c r="DA38" s="7">
        <f>'a16'!AR38</f>
        <v>-6300.5056799281483</v>
      </c>
      <c r="DB38" s="7">
        <f>'a15'!GF37</f>
        <v>110609.83388946047</v>
      </c>
      <c r="DC38" s="7">
        <f>'a9'!AS36</f>
        <v>475.84466242467664</v>
      </c>
      <c r="DD38" s="7">
        <f t="shared" si="41"/>
        <v>202574.73861802203</v>
      </c>
      <c r="DE38" s="44">
        <f t="shared" si="54"/>
        <v>0.40643735320748853</v>
      </c>
      <c r="DF38" s="9">
        <f t="shared" si="42"/>
        <v>12.218864177030781</v>
      </c>
      <c r="DG38" s="44">
        <f t="shared" si="43"/>
        <v>0.55630161999149141</v>
      </c>
    </row>
    <row r="39" spans="1:111">
      <c r="A39" s="1">
        <v>2001</v>
      </c>
      <c r="B39" s="7">
        <f>'a7'!D39</f>
        <v>66758.50494309621</v>
      </c>
      <c r="C39" s="7">
        <f>'a8'!G39</f>
        <v>2893.1321673421967</v>
      </c>
      <c r="D39" s="7">
        <f>'a13'!G39</f>
        <v>21640.158900543287</v>
      </c>
      <c r="E39" s="7">
        <f>'a16'!D39</f>
        <v>-6631.4379946768795</v>
      </c>
      <c r="F39" s="7">
        <f>'a15'!R38</f>
        <v>98390.138911302696</v>
      </c>
      <c r="G39" s="7">
        <f>'a9'!E37</f>
        <v>676.83183395783465</v>
      </c>
      <c r="H39" s="7">
        <f t="shared" si="11"/>
        <v>182373.66509364967</v>
      </c>
      <c r="I39" s="9">
        <f t="shared" si="44"/>
        <v>0.34979103379749987</v>
      </c>
      <c r="J39" s="9">
        <f t="shared" si="12"/>
        <v>12.113812966229551</v>
      </c>
      <c r="K39" s="9">
        <f t="shared" si="13"/>
        <v>0.49723500426215467</v>
      </c>
      <c r="L39" s="7">
        <f>'a7'!G39</f>
        <v>67504.461212222217</v>
      </c>
      <c r="M39" s="7">
        <f>'a8'!M39</f>
        <v>1251.52917434559</v>
      </c>
      <c r="N39" s="7">
        <f>'a13'!K39</f>
        <v>46971.297895314448</v>
      </c>
      <c r="O39" s="7">
        <f>'a16'!H39</f>
        <v>-4848.2662445662318</v>
      </c>
      <c r="P39" s="7">
        <f>'a15'!AI38</f>
        <v>98115.146560411027</v>
      </c>
      <c r="Q39" s="7">
        <f>'a9'!I37</f>
        <v>560.17499976261001</v>
      </c>
      <c r="R39" s="7">
        <f t="shared" si="14"/>
        <v>208433.99359796444</v>
      </c>
      <c r="S39" s="9">
        <f t="shared" si="45"/>
        <v>0.42286743197028021</v>
      </c>
      <c r="T39" s="9">
        <f t="shared" si="15"/>
        <v>12.247377692631972</v>
      </c>
      <c r="U39" s="9">
        <f t="shared" si="16"/>
        <v>0.57233377094208504</v>
      </c>
      <c r="V39" s="7">
        <f>'a7'!J39</f>
        <v>49080.167272780491</v>
      </c>
      <c r="W39" s="7">
        <f>'a8'!S39</f>
        <v>1032.5704939579139</v>
      </c>
      <c r="X39" s="7">
        <f>'a13'!O39</f>
        <v>216.48296263475902</v>
      </c>
      <c r="Y39" s="7">
        <f>'a16'!L39</f>
        <v>-4652.9526292693581</v>
      </c>
      <c r="Z39" s="7">
        <f>'a15'!AZ38</f>
        <v>88824.178799294838</v>
      </c>
      <c r="AA39" s="7">
        <f>'a9'!M37</f>
        <v>462.39340123378582</v>
      </c>
      <c r="AB39" s="7">
        <f t="shared" si="17"/>
        <v>134038.05349816484</v>
      </c>
      <c r="AC39" s="9">
        <f t="shared" si="46"/>
        <v>0.21425197494443562</v>
      </c>
      <c r="AD39" s="9">
        <f t="shared" si="18"/>
        <v>11.805879019947572</v>
      </c>
      <c r="AE39" s="9">
        <f t="shared" si="19"/>
        <v>0.32409453366376284</v>
      </c>
      <c r="AF39" s="7">
        <f>'a7'!M39</f>
        <v>56043.554963569251</v>
      </c>
      <c r="AG39" s="7">
        <f>'a8'!Y39</f>
        <v>1769.6918514758493</v>
      </c>
      <c r="AH39" s="7">
        <f>'a13'!S39</f>
        <v>13086.674697760787</v>
      </c>
      <c r="AI39" s="7">
        <f>'a16'!P39</f>
        <v>-5011.9336320627717</v>
      </c>
      <c r="AJ39" s="7">
        <f>'a15'!BQ38</f>
        <v>86252.431627338199</v>
      </c>
      <c r="AK39" s="7">
        <f>'a9'!Q37</f>
        <v>636.76387964916523</v>
      </c>
      <c r="AL39" s="7">
        <f t="shared" si="20"/>
        <v>151503.65562843214</v>
      </c>
      <c r="AM39" s="114">
        <f t="shared" si="47"/>
        <v>0.26322769278266067</v>
      </c>
      <c r="AN39" s="9">
        <f t="shared" si="21"/>
        <v>11.928365033201056</v>
      </c>
      <c r="AO39" s="44">
        <f t="shared" si="22"/>
        <v>0.39296412804427089</v>
      </c>
      <c r="AP39" s="7">
        <f>'a7'!P39</f>
        <v>52840.354173974163</v>
      </c>
      <c r="AQ39" s="7">
        <f>'a8'!AE39</f>
        <v>1028.923378881587</v>
      </c>
      <c r="AR39" s="7">
        <f>'a13'!W39</f>
        <v>25017.205043420669</v>
      </c>
      <c r="AS39" s="7">
        <f>'a16'!T39</f>
        <v>-4838.8644538825711</v>
      </c>
      <c r="AT39" s="7">
        <f>'a15'!CH38</f>
        <v>89312.423454255535</v>
      </c>
      <c r="AU39" s="7">
        <f>'a9'!U37</f>
        <v>846.93046331435119</v>
      </c>
      <c r="AV39" s="7">
        <f t="shared" si="23"/>
        <v>162513.11113333504</v>
      </c>
      <c r="AW39" s="114">
        <f t="shared" si="48"/>
        <v>0.294099573542283</v>
      </c>
      <c r="AX39" s="9">
        <f t="shared" si="24"/>
        <v>11.998513961394606</v>
      </c>
      <c r="AY39" s="44">
        <f t="shared" si="25"/>
        <v>0.43240641294352056</v>
      </c>
      <c r="AZ39" s="7">
        <f>'a7'!S39</f>
        <v>61542.090558142947</v>
      </c>
      <c r="BA39" s="7">
        <f>'a8'!AK39</f>
        <v>3311.8052980570192</v>
      </c>
      <c r="BB39" s="7">
        <f>'a13'!AA39</f>
        <v>12294.664386968345</v>
      </c>
      <c r="BC39" s="7">
        <f>'a16'!X39</f>
        <v>-5853.6273863078522</v>
      </c>
      <c r="BD39" s="7">
        <f>'a15'!CY38</f>
        <v>101268.91428130535</v>
      </c>
      <c r="BE39" s="7">
        <f>'a9'!Y37</f>
        <v>317.99810348796319</v>
      </c>
      <c r="BF39" s="7">
        <f t="shared" si="26"/>
        <v>172245.84903467781</v>
      </c>
      <c r="BG39" s="114">
        <f t="shared" si="49"/>
        <v>0.32139137955585945</v>
      </c>
      <c r="BH39" s="9">
        <f t="shared" si="27"/>
        <v>12.056678090093095</v>
      </c>
      <c r="BI39" s="44">
        <f t="shared" si="28"/>
        <v>0.46511006493250978</v>
      </c>
      <c r="BJ39" s="7">
        <f>'a7'!V39</f>
        <v>66105.272638217968</v>
      </c>
      <c r="BK39" s="7">
        <f>'a8'!AQ39</f>
        <v>3787.440035286621</v>
      </c>
      <c r="BL39" s="7">
        <f>'a13'!AE39</f>
        <v>5792.5597569563133</v>
      </c>
      <c r="BM39" s="7">
        <f>'a16'!AB39</f>
        <v>-7072.2485306905774</v>
      </c>
      <c r="BN39" s="7">
        <f>'a15'!DP38</f>
        <v>94582.78794260713</v>
      </c>
      <c r="BO39" s="7">
        <f>'a9'!AC37</f>
        <v>468.24149730694228</v>
      </c>
      <c r="BP39" s="7">
        <f t="shared" si="29"/>
        <v>162727.57034507053</v>
      </c>
      <c r="BQ39" s="114">
        <f t="shared" si="50"/>
        <v>0.29470094381073564</v>
      </c>
      <c r="BR39" s="9">
        <f t="shared" si="30"/>
        <v>11.999832733953083</v>
      </c>
      <c r="BS39" s="44">
        <f t="shared" si="31"/>
        <v>0.43314791255453744</v>
      </c>
      <c r="BT39" s="7">
        <f>'a7'!Y39</f>
        <v>56252.424748510348</v>
      </c>
      <c r="BU39" s="7">
        <f>'a8'!AW39</f>
        <v>1630.9289001138254</v>
      </c>
      <c r="BV39" s="7">
        <f>'a13'!AI39</f>
        <v>5549.5984982614864</v>
      </c>
      <c r="BW39" s="7">
        <f>'a16'!AF39</f>
        <v>-5699.0421147092966</v>
      </c>
      <c r="BX39" s="7">
        <f>'a15'!EG38</f>
        <v>112961.62950702458</v>
      </c>
      <c r="BY39" s="7">
        <f>'a9'!AG37</f>
        <v>508.37350229702406</v>
      </c>
      <c r="BZ39" s="7">
        <f t="shared" si="32"/>
        <v>170187.16603690392</v>
      </c>
      <c r="CA39" s="114">
        <f t="shared" si="51"/>
        <v>0.31561857671371757</v>
      </c>
      <c r="CB39" s="9">
        <f t="shared" si="33"/>
        <v>12.044654087089718</v>
      </c>
      <c r="CC39" s="44">
        <f t="shared" si="34"/>
        <v>0.45834938926288138</v>
      </c>
      <c r="CD39" s="7">
        <f>'a7'!AB39</f>
        <v>73004.693962634265</v>
      </c>
      <c r="CE39" s="7">
        <f>'a8'!BC39</f>
        <v>1679.5079320239761</v>
      </c>
      <c r="CF39" s="7">
        <f>'a13'!AM39</f>
        <v>40748.664130863639</v>
      </c>
      <c r="CG39" s="7">
        <f>'a16'!AJ39</f>
        <v>-6413.6283250381575</v>
      </c>
      <c r="CH39" s="7">
        <f>'a15'!EX38</f>
        <v>117561.37128814087</v>
      </c>
      <c r="CI39" s="7">
        <f>'a9'!AK37</f>
        <v>2101.0016472223506</v>
      </c>
      <c r="CJ39" s="7">
        <f t="shared" si="35"/>
        <v>224479.60734140224</v>
      </c>
      <c r="CK39" s="9">
        <f t="shared" si="52"/>
        <v>0.46786132598999519</v>
      </c>
      <c r="CL39" s="9">
        <f t="shared" si="36"/>
        <v>12.321540146142858</v>
      </c>
      <c r="CM39" s="9">
        <f t="shared" si="37"/>
        <v>0.61403272052735769</v>
      </c>
      <c r="CN39" s="7">
        <f>'a7'!AE39</f>
        <v>98842.31765225633</v>
      </c>
      <c r="CO39" s="7">
        <f>'a8'!BI39</f>
        <v>2140.9568410917309</v>
      </c>
      <c r="CP39" s="7">
        <f>'a13'!AQ39</f>
        <v>82351.606207619174</v>
      </c>
      <c r="CQ39" s="7">
        <f>'a16'!AN39</f>
        <v>-9321.9558270886209</v>
      </c>
      <c r="CR39" s="7">
        <f>'a15'!FO38</f>
        <v>91950.807725769191</v>
      </c>
      <c r="CS39" s="7">
        <f>'a9'!AO37</f>
        <v>2430.269658382912</v>
      </c>
      <c r="CT39" s="7">
        <f t="shared" si="38"/>
        <v>263533.46294126485</v>
      </c>
      <c r="CU39" s="9">
        <f t="shared" si="53"/>
        <v>0.5773731881112002</v>
      </c>
      <c r="CV39" s="9">
        <f t="shared" si="39"/>
        <v>12.481935632984985</v>
      </c>
      <c r="CW39" s="9">
        <f t="shared" si="40"/>
        <v>0.70421748388006</v>
      </c>
      <c r="CX39" s="7">
        <f>'a7'!AH39</f>
        <v>59222.140445270466</v>
      </c>
      <c r="CY39" s="7">
        <f>'a8'!BO39</f>
        <v>1626.7016257655584</v>
      </c>
      <c r="CZ39" s="7">
        <f>'a13'!AU39</f>
        <v>39011.07266938562</v>
      </c>
      <c r="DA39" s="7">
        <f>'a16'!AR39</f>
        <v>-5930.410041744004</v>
      </c>
      <c r="DB39" s="7">
        <f>'a15'!GF38</f>
        <v>111186.1419232476</v>
      </c>
      <c r="DC39" s="7">
        <f>'a9'!AS37</f>
        <v>483.00333463665135</v>
      </c>
      <c r="DD39" s="7">
        <f t="shared" si="41"/>
        <v>204632.64328728858</v>
      </c>
      <c r="DE39" s="44">
        <f t="shared" si="54"/>
        <v>0.41220797351981675</v>
      </c>
      <c r="DF39" s="9">
        <f t="shared" si="42"/>
        <v>12.228971666632109</v>
      </c>
      <c r="DG39" s="44">
        <f t="shared" si="43"/>
        <v>0.561984707313536</v>
      </c>
    </row>
    <row r="40" spans="1:111">
      <c r="A40" s="1">
        <v>2002</v>
      </c>
      <c r="B40" s="7">
        <f>'a7'!D40</f>
        <v>67412.294757587442</v>
      </c>
      <c r="C40" s="7">
        <f>'a8'!G40</f>
        <v>3040.4651900609219</v>
      </c>
      <c r="D40" s="7">
        <f>'a13'!G40</f>
        <v>20607.823215257577</v>
      </c>
      <c r="E40" s="7">
        <f>'a16'!D40</f>
        <v>-6656.0658827155594</v>
      </c>
      <c r="F40" s="7">
        <f>'a15'!R39</f>
        <v>99281.446990420402</v>
      </c>
      <c r="G40" s="7">
        <f>'a9'!E38</f>
        <v>675.27468238751419</v>
      </c>
      <c r="H40" s="7">
        <f t="shared" si="11"/>
        <v>183010.68958822326</v>
      </c>
      <c r="I40" s="9">
        <f t="shared" si="44"/>
        <v>0.35157732960737681</v>
      </c>
      <c r="J40" s="9">
        <f t="shared" si="12"/>
        <v>12.117299843167983</v>
      </c>
      <c r="K40" s="9">
        <f t="shared" si="13"/>
        <v>0.49919555301401564</v>
      </c>
      <c r="L40" s="7">
        <f>'a7'!G40</f>
        <v>68648.069123882888</v>
      </c>
      <c r="M40" s="7">
        <f>'a8'!M40</f>
        <v>1300.5414952657707</v>
      </c>
      <c r="N40" s="7">
        <f>'a13'!K40</f>
        <v>49338.463794551804</v>
      </c>
      <c r="O40" s="7">
        <f>'a16'!H40</f>
        <v>-5628.735519857546</v>
      </c>
      <c r="P40" s="7">
        <f>'a15'!AI39</f>
        <v>99899.743613615181</v>
      </c>
      <c r="Q40" s="7">
        <f>'a9'!I38</f>
        <v>694.68470640303576</v>
      </c>
      <c r="R40" s="7">
        <f t="shared" si="14"/>
        <v>212863.39780105508</v>
      </c>
      <c r="S40" s="9">
        <f t="shared" si="45"/>
        <v>0.43528803154789669</v>
      </c>
      <c r="T40" s="9">
        <f t="shared" si="15"/>
        <v>12.268405914077119</v>
      </c>
      <c r="U40" s="9">
        <f t="shared" si="16"/>
        <v>0.58415720321001086</v>
      </c>
      <c r="V40" s="7">
        <f>'a7'!J40</f>
        <v>50189.952950115432</v>
      </c>
      <c r="W40" s="7">
        <f>'a8'!S40</f>
        <v>1051.2532886160927</v>
      </c>
      <c r="X40" s="7">
        <f>'a13'!O40</f>
        <v>208.53093310733811</v>
      </c>
      <c r="Y40" s="7">
        <f>'a16'!L40</f>
        <v>-4763.7801501298054</v>
      </c>
      <c r="Z40" s="7">
        <f>'a15'!AZ39</f>
        <v>90476.574004728434</v>
      </c>
      <c r="AA40" s="7">
        <f>'a9'!M38</f>
        <v>468.30074366462281</v>
      </c>
      <c r="AB40" s="7">
        <f t="shared" si="17"/>
        <v>136694.23028277286</v>
      </c>
      <c r="AC40" s="9">
        <f t="shared" si="46"/>
        <v>0.22170022458170222</v>
      </c>
      <c r="AD40" s="9">
        <f t="shared" si="18"/>
        <v>11.825501814672595</v>
      </c>
      <c r="AE40" s="9">
        <f t="shared" si="19"/>
        <v>0.33512774372120513</v>
      </c>
      <c r="AF40" s="7">
        <f>'a7'!M40</f>
        <v>57332.556162200606</v>
      </c>
      <c r="AG40" s="7">
        <f>'a8'!Y40</f>
        <v>1839.6763651287406</v>
      </c>
      <c r="AH40" s="7">
        <f>'a13'!S40</f>
        <v>10500.598862972633</v>
      </c>
      <c r="AI40" s="7">
        <f>'a16'!P40</f>
        <v>-5118.3989746321968</v>
      </c>
      <c r="AJ40" s="7">
        <f>'a15'!BQ39</f>
        <v>86585.910174331846</v>
      </c>
      <c r="AK40" s="7">
        <f>'a9'!Q38</f>
        <v>616.06397297377328</v>
      </c>
      <c r="AL40" s="7">
        <f t="shared" si="20"/>
        <v>150524.27861702786</v>
      </c>
      <c r="AM40" s="114">
        <f t="shared" si="47"/>
        <v>0.26048139799075898</v>
      </c>
      <c r="AN40" s="9">
        <f t="shared" si="21"/>
        <v>11.921879669874912</v>
      </c>
      <c r="AO40" s="44">
        <f t="shared" si="22"/>
        <v>0.38931763543815245</v>
      </c>
      <c r="AP40" s="7">
        <f>'a7'!P40</f>
        <v>53401.901162503622</v>
      </c>
      <c r="AQ40" s="7">
        <f>'a8'!AE40</f>
        <v>1105.2395039402272</v>
      </c>
      <c r="AR40" s="7">
        <f>'a13'!W40</f>
        <v>25966.598935213209</v>
      </c>
      <c r="AS40" s="7">
        <f>'a16'!T40</f>
        <v>-4981.1918464445971</v>
      </c>
      <c r="AT40" s="7">
        <f>'a15'!CH39</f>
        <v>89747.742591564194</v>
      </c>
      <c r="AU40" s="7">
        <f>'a9'!U38</f>
        <v>797.83554582113572</v>
      </c>
      <c r="AV40" s="7">
        <f t="shared" si="23"/>
        <v>164442.45480095551</v>
      </c>
      <c r="AW40" s="114">
        <f t="shared" si="48"/>
        <v>0.29950969283697348</v>
      </c>
      <c r="AX40" s="9">
        <f t="shared" si="24"/>
        <v>12.010315969147504</v>
      </c>
      <c r="AY40" s="44">
        <f t="shared" si="25"/>
        <v>0.43904226846063688</v>
      </c>
      <c r="AZ40" s="7">
        <f>'a7'!S40</f>
        <v>62122.601623743663</v>
      </c>
      <c r="BA40" s="7">
        <f>'a8'!AK40</f>
        <v>3539.9674124530779</v>
      </c>
      <c r="BB40" s="7">
        <f>'a13'!AA40</f>
        <v>12140.328622259685</v>
      </c>
      <c r="BC40" s="7">
        <f>'a16'!X40</f>
        <v>-5874.1355840523165</v>
      </c>
      <c r="BD40" s="7">
        <f>'a15'!CY39</f>
        <v>102195.19098907063</v>
      </c>
      <c r="BE40" s="7">
        <f>'a9'!Y38</f>
        <v>326.7271995443835</v>
      </c>
      <c r="BF40" s="7">
        <f t="shared" si="26"/>
        <v>173797.22586393036</v>
      </c>
      <c r="BG40" s="114">
        <f t="shared" si="49"/>
        <v>0.32574163288715241</v>
      </c>
      <c r="BH40" s="9">
        <f t="shared" si="27"/>
        <v>12.065644530028562</v>
      </c>
      <c r="BI40" s="44">
        <f t="shared" si="28"/>
        <v>0.47015158000015134</v>
      </c>
      <c r="BJ40" s="7">
        <f>'a7'!V40</f>
        <v>66344.584898439993</v>
      </c>
      <c r="BK40" s="7">
        <f>'a8'!AQ40</f>
        <v>3922.1077201957278</v>
      </c>
      <c r="BL40" s="7">
        <f>'a13'!AE40</f>
        <v>5577.5923035758324</v>
      </c>
      <c r="BM40" s="7">
        <f>'a16'!AB40</f>
        <v>-7109.3660175967043</v>
      </c>
      <c r="BN40" s="7">
        <f>'a15'!DP39</f>
        <v>95496.21034961204</v>
      </c>
      <c r="BO40" s="7">
        <f>'a9'!AC38</f>
        <v>475.11173565777392</v>
      </c>
      <c r="BP40" s="7">
        <f t="shared" si="29"/>
        <v>163756.0175185691</v>
      </c>
      <c r="BQ40" s="114">
        <f t="shared" si="50"/>
        <v>0.29758483743233022</v>
      </c>
      <c r="BR40" s="9">
        <f t="shared" si="30"/>
        <v>12.006132901027302</v>
      </c>
      <c r="BS40" s="44">
        <f t="shared" si="31"/>
        <v>0.43669027579590569</v>
      </c>
      <c r="BT40" s="7">
        <f>'a7'!Y40</f>
        <v>56570.088698639905</v>
      </c>
      <c r="BU40" s="7">
        <f>'a8'!AW40</f>
        <v>1691.4318907487038</v>
      </c>
      <c r="BV40" s="7">
        <f>'a13'!AI40</f>
        <v>5344.9370688022582</v>
      </c>
      <c r="BW40" s="7">
        <f>'a16'!AF40</f>
        <v>-5674.9347507774473</v>
      </c>
      <c r="BX40" s="7">
        <f>'a15'!EG39</f>
        <v>113577.74009465543</v>
      </c>
      <c r="BY40" s="7">
        <f>'a9'!AG38</f>
        <v>526.75645697659638</v>
      </c>
      <c r="BZ40" s="7">
        <f t="shared" si="32"/>
        <v>170982.50654509227</v>
      </c>
      <c r="CA40" s="114">
        <f t="shared" si="51"/>
        <v>0.31784881029076906</v>
      </c>
      <c r="CB40" s="9">
        <f t="shared" si="33"/>
        <v>12.049316529345809</v>
      </c>
      <c r="CC40" s="44">
        <f t="shared" si="34"/>
        <v>0.46097091721101546</v>
      </c>
      <c r="CD40" s="7">
        <f>'a7'!AB40</f>
        <v>73423.180755235982</v>
      </c>
      <c r="CE40" s="7">
        <f>'a8'!BC40</f>
        <v>1784.6122572324493</v>
      </c>
      <c r="CF40" s="7">
        <f>'a13'!AM40</f>
        <v>39406.499114374157</v>
      </c>
      <c r="CG40" s="7">
        <f>'a16'!AJ40</f>
        <v>-6411.8743323365643</v>
      </c>
      <c r="CH40" s="7">
        <f>'a15'!EX39</f>
        <v>119297.10802103356</v>
      </c>
      <c r="CI40" s="7">
        <f>'a9'!AK38</f>
        <v>2137.0458337057944</v>
      </c>
      <c r="CJ40" s="7">
        <f t="shared" si="35"/>
        <v>225362.47998183378</v>
      </c>
      <c r="CK40" s="9">
        <f t="shared" si="52"/>
        <v>0.47033701053853599</v>
      </c>
      <c r="CL40" s="9">
        <f t="shared" si="36"/>
        <v>12.325465407023934</v>
      </c>
      <c r="CM40" s="9">
        <f t="shared" si="37"/>
        <v>0.61623975721290891</v>
      </c>
      <c r="CN40" s="7">
        <f>'a7'!AE40</f>
        <v>100430.09700917157</v>
      </c>
      <c r="CO40" s="7">
        <f>'a8'!BI40</f>
        <v>2222.4606641234363</v>
      </c>
      <c r="CP40" s="7">
        <f>'a13'!AQ40</f>
        <v>80913.432483616867</v>
      </c>
      <c r="CQ40" s="7">
        <f>'a16'!AN40</f>
        <v>-9004.7340579546399</v>
      </c>
      <c r="CR40" s="7">
        <f>'a15'!FO39</f>
        <v>92653.060021054596</v>
      </c>
      <c r="CS40" s="7">
        <f>'a9'!AO38</f>
        <v>2375.6205895219155</v>
      </c>
      <c r="CT40" s="7">
        <f t="shared" si="38"/>
        <v>264838.69553048996</v>
      </c>
      <c r="CU40" s="9">
        <f t="shared" si="53"/>
        <v>0.58103322241899913</v>
      </c>
      <c r="CV40" s="9">
        <f t="shared" si="39"/>
        <v>12.486876223526313</v>
      </c>
      <c r="CW40" s="9">
        <f t="shared" si="40"/>
        <v>0.70699540486502366</v>
      </c>
      <c r="CX40" s="7">
        <f>'a7'!AH40</f>
        <v>59998.858029104638</v>
      </c>
      <c r="CY40" s="7">
        <f>'a8'!BO40</f>
        <v>1769.9797863049616</v>
      </c>
      <c r="CZ40" s="7">
        <f>'a13'!AU40</f>
        <v>35953.602129111605</v>
      </c>
      <c r="DA40" s="7">
        <f>'a16'!AR40</f>
        <v>-6039.7281214702462</v>
      </c>
      <c r="DB40" s="7">
        <f>'a15'!GF39</f>
        <v>112205.71337361135</v>
      </c>
      <c r="DC40" s="7">
        <f>'a9'!AS38</f>
        <v>460.62513272147771</v>
      </c>
      <c r="DD40" s="7">
        <f t="shared" si="41"/>
        <v>203427.80006394084</v>
      </c>
      <c r="DE40" s="44">
        <f t="shared" si="54"/>
        <v>0.4088294434636604</v>
      </c>
      <c r="DF40" s="9">
        <f t="shared" si="42"/>
        <v>12.223066430071041</v>
      </c>
      <c r="DG40" s="44">
        <f t="shared" si="43"/>
        <v>0.55866439966469406</v>
      </c>
    </row>
    <row r="41" spans="1:111">
      <c r="A41" s="1">
        <v>2003</v>
      </c>
      <c r="B41" s="7">
        <f>'a7'!D41</f>
        <v>68470.287458750347</v>
      </c>
      <c r="C41" s="7">
        <f>'a8'!G41</f>
        <v>3165.8353656659879</v>
      </c>
      <c r="D41" s="7">
        <f>'a13'!G41</f>
        <v>22383.913975729967</v>
      </c>
      <c r="E41" s="7">
        <f>'a16'!D41</f>
        <v>-6630.169640746908</v>
      </c>
      <c r="F41" s="7">
        <f>'a15'!R40</f>
        <v>100568.48525941581</v>
      </c>
      <c r="G41" s="7">
        <f>'a9'!E39</f>
        <v>690.69614374146215</v>
      </c>
      <c r="H41" s="7">
        <f t="shared" si="11"/>
        <v>187267.65627507374</v>
      </c>
      <c r="I41" s="9">
        <f t="shared" si="44"/>
        <v>0.36351439297037474</v>
      </c>
      <c r="J41" s="9">
        <f t="shared" ref="J41:J46" si="55">LN(H41)</f>
        <v>12.140294189457963</v>
      </c>
      <c r="K41" s="9">
        <f t="shared" si="13"/>
        <v>0.5121244684058377</v>
      </c>
      <c r="L41" s="7">
        <f>'a7'!G41</f>
        <v>69894.70030085629</v>
      </c>
      <c r="M41" s="7">
        <f>'a8'!M41</f>
        <v>1363.2713351610175</v>
      </c>
      <c r="N41" s="7">
        <f>'a13'!K41</f>
        <v>46509.296434205862</v>
      </c>
      <c r="O41" s="7">
        <f>'a16'!H41</f>
        <v>-5889.2787936420973</v>
      </c>
      <c r="P41" s="7">
        <f>'a15'!AI40</f>
        <v>101545.77776852532</v>
      </c>
      <c r="Q41" s="7">
        <f>'a9'!I39</f>
        <v>648.44676568036243</v>
      </c>
      <c r="R41" s="7">
        <f t="shared" si="14"/>
        <v>212775.32027942603</v>
      </c>
      <c r="S41" s="9">
        <f t="shared" si="45"/>
        <v>0.43504105123682457</v>
      </c>
      <c r="T41" s="9">
        <f t="shared" ref="T41:T46" si="56">LN(R41)</f>
        <v>12.267992053593359</v>
      </c>
      <c r="U41" s="9">
        <f t="shared" si="16"/>
        <v>0.58392450395815643</v>
      </c>
      <c r="V41" s="7">
        <f>'a7'!J41</f>
        <v>51362.400798711569</v>
      </c>
      <c r="W41" s="7">
        <f>'a8'!S41</f>
        <v>1150.6922829438233</v>
      </c>
      <c r="X41" s="7">
        <f>'a13'!O41</f>
        <v>224.92532201295938</v>
      </c>
      <c r="Y41" s="7">
        <f>'a16'!L41</f>
        <v>-4762.4811207728135</v>
      </c>
      <c r="Z41" s="7">
        <f>'a15'!AZ40</f>
        <v>91812.558339666124</v>
      </c>
      <c r="AA41" s="7">
        <f>'a9'!M39</f>
        <v>489.15746554773432</v>
      </c>
      <c r="AB41" s="7">
        <f t="shared" si="17"/>
        <v>139298.93815701394</v>
      </c>
      <c r="AC41" s="9">
        <f t="shared" si="46"/>
        <v>0.22900414900116234</v>
      </c>
      <c r="AD41" s="9">
        <f t="shared" ref="AD41:AD46" si="57">LN(AB41)</f>
        <v>11.844377537032555</v>
      </c>
      <c r="AE41" s="9">
        <f t="shared" si="19"/>
        <v>0.34574090115885681</v>
      </c>
      <c r="AF41" s="7">
        <f>'a7'!M41</f>
        <v>58505.094982245166</v>
      </c>
      <c r="AG41" s="7">
        <f>'a8'!Y41</f>
        <v>1882.9548066842378</v>
      </c>
      <c r="AH41" s="7">
        <f>'a13'!S41</f>
        <v>8387.3145320821804</v>
      </c>
      <c r="AI41" s="7">
        <f>'a16'!P41</f>
        <v>-5091.2294035124942</v>
      </c>
      <c r="AJ41" s="7">
        <f>'a15'!BQ40</f>
        <v>87934.665257896791</v>
      </c>
      <c r="AK41" s="7">
        <f>'a9'!Q39</f>
        <v>680.60701808887484</v>
      </c>
      <c r="AL41" s="7">
        <f t="shared" si="20"/>
        <v>150938.19315730702</v>
      </c>
      <c r="AM41" s="114">
        <f t="shared" si="47"/>
        <v>0.2616420657755083</v>
      </c>
      <c r="AN41" s="9">
        <f t="shared" ref="AN41:AN46" si="58">LN(AL41)</f>
        <v>11.924625715165032</v>
      </c>
      <c r="AO41" s="44">
        <f t="shared" si="22"/>
        <v>0.3908616405066308</v>
      </c>
      <c r="AP41" s="7">
        <f>'a7'!P41</f>
        <v>54447.156283318807</v>
      </c>
      <c r="AQ41" s="7">
        <f>'a8'!AE41</f>
        <v>1163.2091571309732</v>
      </c>
      <c r="AR41" s="7">
        <f>'a13'!W41</f>
        <v>25183.942418984174</v>
      </c>
      <c r="AS41" s="7">
        <f>'a16'!T41</f>
        <v>-5025.5102323531282</v>
      </c>
      <c r="AT41" s="7">
        <f>'a15'!CH40</f>
        <v>90917.27413673031</v>
      </c>
      <c r="AU41" s="7">
        <f>'a9'!U39</f>
        <v>786.32249772306488</v>
      </c>
      <c r="AV41" s="7">
        <f t="shared" si="23"/>
        <v>165899.74926608807</v>
      </c>
      <c r="AW41" s="114">
        <f t="shared" si="48"/>
        <v>0.30359612753296683</v>
      </c>
      <c r="AX41" s="9">
        <f t="shared" ref="AX41:AX46" si="59">LN(AV41)</f>
        <v>12.019138964821686</v>
      </c>
      <c r="AY41" s="44">
        <f t="shared" si="25"/>
        <v>0.44400312984522916</v>
      </c>
      <c r="AZ41" s="7">
        <f>'a7'!S41</f>
        <v>63055.559043623442</v>
      </c>
      <c r="BA41" s="7">
        <f>'a8'!AK41</f>
        <v>3721.8855481791738</v>
      </c>
      <c r="BB41" s="7">
        <f>'a13'!AA41</f>
        <v>11711.454166651509</v>
      </c>
      <c r="BC41" s="7">
        <f>'a16'!X41</f>
        <v>-5823.3395618681361</v>
      </c>
      <c r="BD41" s="7">
        <f>'a15'!CY40</f>
        <v>103703.29953713308</v>
      </c>
      <c r="BE41" s="7">
        <f>'a9'!Y39</f>
        <v>343.57825454493587</v>
      </c>
      <c r="BF41" s="7">
        <f t="shared" si="26"/>
        <v>176025.28047917414</v>
      </c>
      <c r="BG41" s="114">
        <f t="shared" si="49"/>
        <v>0.33198937478293461</v>
      </c>
      <c r="BH41" s="9">
        <f t="shared" ref="BH41:BH46" si="60">LN(BF41)</f>
        <v>12.0783829027914</v>
      </c>
      <c r="BI41" s="44">
        <f t="shared" si="28"/>
        <v>0.4773139207600619</v>
      </c>
      <c r="BJ41" s="7">
        <f>'a7'!V41</f>
        <v>67050.236504283152</v>
      </c>
      <c r="BK41" s="7">
        <f>'a8'!AQ41</f>
        <v>4060.4366845631876</v>
      </c>
      <c r="BL41" s="7">
        <f>'a13'!AE41</f>
        <v>5527.5482022344477</v>
      </c>
      <c r="BM41" s="7">
        <f>'a16'!AB41</f>
        <v>-7039.9945834080872</v>
      </c>
      <c r="BN41" s="7">
        <f>'a15'!DP40</f>
        <v>96717.224301849041</v>
      </c>
      <c r="BO41" s="7">
        <f>'a9'!AC39</f>
        <v>478.72172861581583</v>
      </c>
      <c r="BP41" s="7">
        <f t="shared" si="29"/>
        <v>165836.72938090592</v>
      </c>
      <c r="BQ41" s="114">
        <f t="shared" si="50"/>
        <v>0.30341941194699057</v>
      </c>
      <c r="BR41" s="9">
        <f t="shared" ref="BR41:BR46" si="61">LN(BP41)</f>
        <v>12.018759025381819</v>
      </c>
      <c r="BS41" s="44">
        <f t="shared" si="31"/>
        <v>0.44378950320805027</v>
      </c>
      <c r="BT41" s="7">
        <f>'a7'!Y41</f>
        <v>56862.793956792251</v>
      </c>
      <c r="BU41" s="7">
        <f>'a8'!AW41</f>
        <v>1731.4678199512111</v>
      </c>
      <c r="BV41" s="7">
        <f>'a13'!AI41</f>
        <v>5707.899783588251</v>
      </c>
      <c r="BW41" s="7">
        <f>'a16'!AF41</f>
        <v>-5639.1352191757696</v>
      </c>
      <c r="BX41" s="7">
        <f>'a15'!EG40</f>
        <v>114475.27603304686</v>
      </c>
      <c r="BY41" s="7">
        <f>'a9'!AG39</f>
        <v>538.89185742743416</v>
      </c>
      <c r="BZ41" s="7">
        <f t="shared" si="32"/>
        <v>172599.41051677539</v>
      </c>
      <c r="CA41" s="114">
        <f t="shared" si="51"/>
        <v>0.32238280986879825</v>
      </c>
      <c r="CB41" s="9">
        <f t="shared" ref="CB41:CB46" si="62">LN(BZ41)</f>
        <v>12.058728642311468</v>
      </c>
      <c r="CC41" s="44">
        <f t="shared" si="34"/>
        <v>0.46626301861092806</v>
      </c>
      <c r="CD41" s="7">
        <f>'a7'!AB41</f>
        <v>74167.045499020067</v>
      </c>
      <c r="CE41" s="7">
        <f>'a8'!BC41</f>
        <v>1819.7186550383929</v>
      </c>
      <c r="CF41" s="7">
        <f>'a13'!AM41</f>
        <v>46250.784151214073</v>
      </c>
      <c r="CG41" s="7">
        <f>'a16'!AJ41</f>
        <v>-6603.1362259002399</v>
      </c>
      <c r="CH41" s="7">
        <f>'a15'!EX40</f>
        <v>121490.09356147253</v>
      </c>
      <c r="CI41" s="7">
        <f>'a9'!AK39</f>
        <v>2214.6475541915465</v>
      </c>
      <c r="CJ41" s="7">
        <f t="shared" si="35"/>
        <v>234909.85808665326</v>
      </c>
      <c r="CK41" s="9">
        <f t="shared" si="52"/>
        <v>0.49710904465845734</v>
      </c>
      <c r="CL41" s="9">
        <f t="shared" ref="CL41:CL46" si="63">LN(CJ41)</f>
        <v>12.366957136929683</v>
      </c>
      <c r="CM41" s="9">
        <f t="shared" si="37"/>
        <v>0.63956910342030737</v>
      </c>
      <c r="CN41" s="7">
        <f>'a7'!AE41</f>
        <v>103099.11176617675</v>
      </c>
      <c r="CO41" s="7">
        <f>'a8'!BI41</f>
        <v>2292.5849645499993</v>
      </c>
      <c r="CP41" s="7">
        <f>'a13'!AQ41</f>
        <v>92127.199473455315</v>
      </c>
      <c r="CQ41" s="7">
        <f>'a16'!AN41</f>
        <v>-9014.096304123259</v>
      </c>
      <c r="CR41" s="7">
        <f>'a15'!FO40</f>
        <v>93100.629200299765</v>
      </c>
      <c r="CS41" s="7">
        <f>'a9'!AO39</f>
        <v>2417.1917996377015</v>
      </c>
      <c r="CT41" s="7">
        <f t="shared" si="38"/>
        <v>279188.23730072088</v>
      </c>
      <c r="CU41" s="9">
        <f t="shared" si="53"/>
        <v>0.62127111995067152</v>
      </c>
      <c r="CV41" s="9">
        <f t="shared" ref="CV41:CV46" si="64">LN(CT41)</f>
        <v>12.539641518971116</v>
      </c>
      <c r="CW41" s="9">
        <f t="shared" si="40"/>
        <v>0.73666348204483123</v>
      </c>
      <c r="CX41" s="7">
        <f>'a7'!AH41</f>
        <v>61098.011932866226</v>
      </c>
      <c r="CY41" s="7">
        <f>'a8'!BO41</f>
        <v>1890.4649234764634</v>
      </c>
      <c r="CZ41" s="7">
        <f>'a13'!AU41</f>
        <v>38611.671737207071</v>
      </c>
      <c r="DA41" s="7">
        <f>'a16'!AR41</f>
        <v>-6022.8235997026131</v>
      </c>
      <c r="DB41" s="7">
        <f>'a15'!GF40</f>
        <v>114073.57091947949</v>
      </c>
      <c r="DC41" s="7">
        <f>'a9'!AS39</f>
        <v>465.48799077091229</v>
      </c>
      <c r="DD41" s="7">
        <f t="shared" si="41"/>
        <v>209185.40792255572</v>
      </c>
      <c r="DE41" s="44">
        <f t="shared" si="54"/>
        <v>0.42497449107229696</v>
      </c>
      <c r="DF41" s="9">
        <f t="shared" ref="DF41:DF46" si="65">LN(DD41)</f>
        <v>12.250976256935907</v>
      </c>
      <c r="DG41" s="44">
        <f t="shared" si="43"/>
        <v>0.57435711758698982</v>
      </c>
    </row>
    <row r="42" spans="1:111">
      <c r="A42" s="1">
        <v>2004</v>
      </c>
      <c r="B42" s="7">
        <f>'a7'!D42</f>
        <v>69900.906292653293</v>
      </c>
      <c r="C42" s="7">
        <f>'a8'!G42</f>
        <v>3292.3534084881362</v>
      </c>
      <c r="D42" s="7">
        <f>'a13'!G42</f>
        <v>24926.240622138244</v>
      </c>
      <c r="E42" s="7">
        <f>'a16'!D42</f>
        <v>-5592.7145821136455</v>
      </c>
      <c r="F42" s="7">
        <f>'a15'!R41</f>
        <v>101171.69546788384</v>
      </c>
      <c r="G42" s="7">
        <f>'a9'!E40</f>
        <v>687.89541774864665</v>
      </c>
      <c r="H42" s="7">
        <f t="shared" si="11"/>
        <v>193010.58579130122</v>
      </c>
      <c r="I42" s="9">
        <f t="shared" si="44"/>
        <v>0.37961828068370757</v>
      </c>
      <c r="J42" s="9">
        <f t="shared" si="55"/>
        <v>12.170500315042482</v>
      </c>
      <c r="K42" s="9">
        <f t="shared" si="13"/>
        <v>0.52910831465534658</v>
      </c>
      <c r="L42" s="7">
        <f>'a7'!G42</f>
        <v>71780.684785108431</v>
      </c>
      <c r="M42" s="7">
        <f>'a8'!M42</f>
        <v>1389.273793243354</v>
      </c>
      <c r="N42" s="7">
        <f>'a13'!K42</f>
        <v>61499.455478459742</v>
      </c>
      <c r="O42" s="7">
        <f>'a16'!H42</f>
        <v>-4832.005698040788</v>
      </c>
      <c r="P42" s="7">
        <f>'a15'!AI41</f>
        <v>101107.31453718992</v>
      </c>
      <c r="Q42" s="7">
        <f>'a9'!I40</f>
        <v>596.13891040275769</v>
      </c>
      <c r="R42" s="7">
        <f t="shared" si="14"/>
        <v>230348.58398555793</v>
      </c>
      <c r="S42" s="9">
        <f t="shared" si="45"/>
        <v>0.48431866550680364</v>
      </c>
      <c r="T42" s="9">
        <f t="shared" si="56"/>
        <v>12.347349023115118</v>
      </c>
      <c r="U42" s="9">
        <f t="shared" si="16"/>
        <v>0.6285441479245214</v>
      </c>
      <c r="V42" s="7">
        <f>'a7'!J42</f>
        <v>52589.45044089661</v>
      </c>
      <c r="W42" s="7">
        <f>'a8'!S42</f>
        <v>1207.5004708188178</v>
      </c>
      <c r="X42" s="7">
        <f>'a13'!O42</f>
        <v>327.96496992691158</v>
      </c>
      <c r="Y42" s="7">
        <f>'a16'!L42</f>
        <v>-4044.4016937221622</v>
      </c>
      <c r="Z42" s="7">
        <f>'a15'!AZ41</f>
        <v>93283.29035616068</v>
      </c>
      <c r="AA42" s="7">
        <f>'a9'!M40</f>
        <v>507.31340827609944</v>
      </c>
      <c r="AB42" s="7">
        <f t="shared" si="17"/>
        <v>142856.49113580477</v>
      </c>
      <c r="AC42" s="9">
        <f t="shared" si="46"/>
        <v>0.23897996945008093</v>
      </c>
      <c r="AD42" s="9">
        <f t="shared" si="57"/>
        <v>11.869595846849188</v>
      </c>
      <c r="AE42" s="9">
        <f t="shared" si="19"/>
        <v>0.35992027333288035</v>
      </c>
      <c r="AF42" s="7">
        <f>'a7'!M42</f>
        <v>59497.581373166875</v>
      </c>
      <c r="AG42" s="7">
        <f>'a8'!Y42</f>
        <v>1945.1682079043696</v>
      </c>
      <c r="AH42" s="7">
        <f>'a13'!S42</f>
        <v>8752.3581433660147</v>
      </c>
      <c r="AI42" s="7">
        <f>'a16'!P42</f>
        <v>-4240.2150439480556</v>
      </c>
      <c r="AJ42" s="7">
        <f>'a15'!BQ41</f>
        <v>88642.037394342769</v>
      </c>
      <c r="AK42" s="7">
        <f>'a9'!Q40</f>
        <v>732.7000814058506</v>
      </c>
      <c r="AL42" s="7">
        <f t="shared" si="20"/>
        <v>153864.22999342612</v>
      </c>
      <c r="AM42" s="114">
        <f t="shared" si="47"/>
        <v>0.26984703651749492</v>
      </c>
      <c r="AN42" s="9">
        <f t="shared" si="58"/>
        <v>11.94382586911796</v>
      </c>
      <c r="AO42" s="44">
        <f t="shared" si="22"/>
        <v>0.40165721446367503</v>
      </c>
      <c r="AP42" s="7">
        <f>'a7'!P42</f>
        <v>55855.793340797391</v>
      </c>
      <c r="AQ42" s="7">
        <f>'a8'!AE42</f>
        <v>1216.9074024119514</v>
      </c>
      <c r="AR42" s="7">
        <f>'a13'!W42</f>
        <v>27373.25354648324</v>
      </c>
      <c r="AS42" s="7">
        <f>'a16'!T42</f>
        <v>-4294.1649335837674</v>
      </c>
      <c r="AT42" s="7">
        <f>'a15'!CH41</f>
        <v>91984.111844474566</v>
      </c>
      <c r="AU42" s="7">
        <f>'a9'!U40</f>
        <v>832.14990052193286</v>
      </c>
      <c r="AV42" s="7">
        <f t="shared" si="23"/>
        <v>171303.75130006144</v>
      </c>
      <c r="AW42" s="114">
        <f t="shared" si="48"/>
        <v>0.31874962048666344</v>
      </c>
      <c r="AX42" s="9">
        <f t="shared" si="59"/>
        <v>12.05119358308038</v>
      </c>
      <c r="AY42" s="44">
        <f t="shared" si="25"/>
        <v>0.46202631876990846</v>
      </c>
      <c r="AZ42" s="7">
        <f>'a7'!S42</f>
        <v>64545.698347211073</v>
      </c>
      <c r="BA42" s="7">
        <f>'a8'!AK42</f>
        <v>3875.8275825541523</v>
      </c>
      <c r="BB42" s="7">
        <f>'a13'!AA42</f>
        <v>12704.406811913012</v>
      </c>
      <c r="BC42" s="7">
        <f>'a16'!X42</f>
        <v>-4901.8088701617835</v>
      </c>
      <c r="BD42" s="7">
        <f>'a15'!CY41</f>
        <v>104384.68089958256</v>
      </c>
      <c r="BE42" s="7">
        <f>'a9'!Y40</f>
        <v>347.91024743955558</v>
      </c>
      <c r="BF42" s="7">
        <f t="shared" si="26"/>
        <v>180260.89452365946</v>
      </c>
      <c r="BG42" s="114">
        <f t="shared" si="49"/>
        <v>0.34386656268445254</v>
      </c>
      <c r="BH42" s="9">
        <f t="shared" si="60"/>
        <v>12.102160494506052</v>
      </c>
      <c r="BI42" s="44">
        <f t="shared" si="28"/>
        <v>0.49068322761589422</v>
      </c>
      <c r="BJ42" s="7">
        <f>'a7'!V42</f>
        <v>67942.607133036916</v>
      </c>
      <c r="BK42" s="7">
        <f>'a8'!AQ42</f>
        <v>4215.846376774879</v>
      </c>
      <c r="BL42" s="7">
        <f>'a13'!AE42</f>
        <v>6476.2442733443622</v>
      </c>
      <c r="BM42" s="7">
        <f>'a16'!AB42</f>
        <v>-5875.7026461798223</v>
      </c>
      <c r="BN42" s="7">
        <f>'a15'!DP41</f>
        <v>97274.266447097005</v>
      </c>
      <c r="BO42" s="7">
        <f>'a9'!AC40</f>
        <v>470.64948297331443</v>
      </c>
      <c r="BP42" s="7">
        <f t="shared" si="29"/>
        <v>169562.61210110001</v>
      </c>
      <c r="BQ42" s="114">
        <f t="shared" si="50"/>
        <v>0.3138672498996436</v>
      </c>
      <c r="BR42" s="9">
        <f t="shared" si="61"/>
        <v>12.040977530520715</v>
      </c>
      <c r="BS42" s="44">
        <f t="shared" si="31"/>
        <v>0.45628219029951711</v>
      </c>
      <c r="BT42" s="7">
        <f>'a7'!Y42</f>
        <v>57325.024753614198</v>
      </c>
      <c r="BU42" s="7">
        <f>'a8'!AW42</f>
        <v>1794.0409408005789</v>
      </c>
      <c r="BV42" s="7">
        <f>'a13'!AI42</f>
        <v>7226.786189214652</v>
      </c>
      <c r="BW42" s="7">
        <f>'a16'!AF42</f>
        <v>-4741.0252953198305</v>
      </c>
      <c r="BX42" s="7">
        <f>'a15'!EG41</f>
        <v>115297.24496112597</v>
      </c>
      <c r="BY42" s="7">
        <f>'a9'!AG40</f>
        <v>539.50579246055304</v>
      </c>
      <c r="BZ42" s="7">
        <f t="shared" si="32"/>
        <v>176362.565756975</v>
      </c>
      <c r="CA42" s="114">
        <f t="shared" si="51"/>
        <v>0.33293516459729988</v>
      </c>
      <c r="CB42" s="9">
        <f t="shared" si="62"/>
        <v>12.080297187772574</v>
      </c>
      <c r="CC42" s="44">
        <f t="shared" si="34"/>
        <v>0.47839025614465241</v>
      </c>
      <c r="CD42" s="7">
        <f>'a7'!AB42</f>
        <v>74770.088034752727</v>
      </c>
      <c r="CE42" s="7">
        <f>'a8'!BC42</f>
        <v>1848.528744093062</v>
      </c>
      <c r="CF42" s="7">
        <f>'a13'!AM42</f>
        <v>54396.469839866426</v>
      </c>
      <c r="CG42" s="7">
        <f>'a16'!AJ42</f>
        <v>-5721.9246345553747</v>
      </c>
      <c r="CH42" s="7">
        <f>'a15'!EX41</f>
        <v>122123.07881786383</v>
      </c>
      <c r="CI42" s="7">
        <f>'a9'!AK40</f>
        <v>2263.7374368595483</v>
      </c>
      <c r="CJ42" s="7">
        <f t="shared" si="35"/>
        <v>245152.5033651611</v>
      </c>
      <c r="CK42" s="9">
        <f t="shared" si="52"/>
        <v>0.52583069429502505</v>
      </c>
      <c r="CL42" s="9">
        <f t="shared" si="63"/>
        <v>12.409635758592247</v>
      </c>
      <c r="CM42" s="9">
        <f t="shared" si="37"/>
        <v>0.66356579728393372</v>
      </c>
      <c r="CN42" s="7">
        <f>'a7'!AE42</f>
        <v>106427.03700696814</v>
      </c>
      <c r="CO42" s="7">
        <f>'a8'!BI42</f>
        <v>2404.2705258503283</v>
      </c>
      <c r="CP42" s="7">
        <f>'a13'!AQ42</f>
        <v>96994.959769917172</v>
      </c>
      <c r="CQ42" s="7">
        <f>'a16'!AN42</f>
        <v>-7719.8991973235834</v>
      </c>
      <c r="CR42" s="7">
        <f>'a15'!FO41</f>
        <v>93431.878356006593</v>
      </c>
      <c r="CS42" s="7">
        <f>'a9'!AO40</f>
        <v>2405.803601052326</v>
      </c>
      <c r="CT42" s="7">
        <f t="shared" si="38"/>
        <v>289132.44286036631</v>
      </c>
      <c r="CU42" s="9">
        <f t="shared" si="53"/>
        <v>0.64915590754528329</v>
      </c>
      <c r="CV42" s="9">
        <f t="shared" si="64"/>
        <v>12.574640141910111</v>
      </c>
      <c r="CW42" s="9">
        <f t="shared" si="40"/>
        <v>0.75634198166826749</v>
      </c>
      <c r="CX42" s="7">
        <f>'a7'!AH42</f>
        <v>62738.708644892991</v>
      </c>
      <c r="CY42" s="7">
        <f>'a8'!BO42</f>
        <v>2006.5980169872373</v>
      </c>
      <c r="CZ42" s="7">
        <f>'a13'!AU42</f>
        <v>39559.643924593802</v>
      </c>
      <c r="DA42" s="7">
        <f>'a16'!AR42</f>
        <v>-5121.7640354499854</v>
      </c>
      <c r="DB42" s="7">
        <f>'a15'!GF41</f>
        <v>114774.36943561079</v>
      </c>
      <c r="DC42" s="7">
        <f>'a9'!AS40</f>
        <v>491.10236422136478</v>
      </c>
      <c r="DD42" s="7">
        <f t="shared" si="41"/>
        <v>213466.45362241348</v>
      </c>
      <c r="DE42" s="44">
        <f t="shared" si="54"/>
        <v>0.43697907497870775</v>
      </c>
      <c r="DF42" s="9">
        <f t="shared" si="65"/>
        <v>12.271234973414915</v>
      </c>
      <c r="DG42" s="44">
        <f t="shared" si="43"/>
        <v>0.58574788416938817</v>
      </c>
    </row>
    <row r="43" spans="1:111">
      <c r="A43" s="1">
        <v>2005</v>
      </c>
      <c r="B43" s="7">
        <f>'a7'!D43</f>
        <v>71805.836333701547</v>
      </c>
      <c r="C43" s="7">
        <f>'a8'!G43</f>
        <v>3398.3439485446179</v>
      </c>
      <c r="D43" s="7">
        <f>'a13'!G43</f>
        <v>29908.519082106603</v>
      </c>
      <c r="E43" s="7">
        <f>'a16'!D43</f>
        <v>-4645.5161858921583</v>
      </c>
      <c r="F43" s="7">
        <f>'a15'!R42</f>
        <v>102397.8906899548</v>
      </c>
      <c r="G43" s="7">
        <f>'a9'!E41</f>
        <v>671.29713765708152</v>
      </c>
      <c r="H43" s="7">
        <f t="shared" si="11"/>
        <v>202193.77673075831</v>
      </c>
      <c r="I43" s="9">
        <f t="shared" si="44"/>
        <v>0.40536908875496142</v>
      </c>
      <c r="J43" s="9">
        <f t="shared" si="55"/>
        <v>12.21698180730435</v>
      </c>
      <c r="K43" s="9">
        <f t="shared" si="13"/>
        <v>0.55524322943660276</v>
      </c>
      <c r="L43" s="7">
        <f>'a7'!G43</f>
        <v>74480.862737016461</v>
      </c>
      <c r="M43" s="7">
        <f>'a8'!M43</f>
        <v>1534.0192682720624</v>
      </c>
      <c r="N43" s="7">
        <f>'a13'!K43</f>
        <v>122211.55268755388</v>
      </c>
      <c r="O43" s="7">
        <f>'a16'!H43</f>
        <v>-4073.623000472227</v>
      </c>
      <c r="P43" s="7">
        <f>'a15'!AI42</f>
        <v>102602.08535648274</v>
      </c>
      <c r="Q43" s="7">
        <f>'a9'!I41</f>
        <v>596.11494027865285</v>
      </c>
      <c r="R43" s="7">
        <f t="shared" si="14"/>
        <v>296158.78210857429</v>
      </c>
      <c r="S43" s="9">
        <f t="shared" si="45"/>
        <v>0.66885863556400604</v>
      </c>
      <c r="T43" s="9">
        <f t="shared" si="56"/>
        <v>12.598651015523661</v>
      </c>
      <c r="U43" s="9">
        <f t="shared" si="16"/>
        <v>0.76984245476362967</v>
      </c>
      <c r="V43" s="7">
        <f>'a7'!J43</f>
        <v>54055.992177030894</v>
      </c>
      <c r="W43" s="7">
        <f>'a8'!S43</f>
        <v>1420.8180116073311</v>
      </c>
      <c r="X43" s="7">
        <f>'a13'!O43</f>
        <v>417.57242926723433</v>
      </c>
      <c r="Y43" s="7">
        <f>'a16'!L43</f>
        <v>-3294.6306259713583</v>
      </c>
      <c r="Z43" s="7">
        <f>'a15'!AZ42</f>
        <v>93783.564596093478</v>
      </c>
      <c r="AA43" s="7">
        <f>'a9'!M41</f>
        <v>488.39253180931019</v>
      </c>
      <c r="AB43" s="7">
        <f t="shared" si="17"/>
        <v>145894.92405621827</v>
      </c>
      <c r="AC43" s="9">
        <f t="shared" si="46"/>
        <v>0.24750011277354897</v>
      </c>
      <c r="AD43" s="9">
        <f t="shared" si="57"/>
        <v>11.890641943338284</v>
      </c>
      <c r="AE43" s="9">
        <f t="shared" si="19"/>
        <v>0.37175375611182815</v>
      </c>
      <c r="AF43" s="7">
        <f>'a7'!M43</f>
        <v>60787.085754860913</v>
      </c>
      <c r="AG43" s="7">
        <f>'a8'!Y43</f>
        <v>2004.5054562775715</v>
      </c>
      <c r="AH43" s="7">
        <f>'a13'!S43</f>
        <v>8909.8575260261168</v>
      </c>
      <c r="AI43" s="7">
        <f>'a16'!P43</f>
        <v>-3497.3129740855065</v>
      </c>
      <c r="AJ43" s="7">
        <f>'a15'!BQ42</f>
        <v>88993.936370854761</v>
      </c>
      <c r="AK43" s="7">
        <f>'a9'!Q41</f>
        <v>702.32660700070949</v>
      </c>
      <c r="AL43" s="7">
        <f t="shared" si="20"/>
        <v>156495.74552693311</v>
      </c>
      <c r="AM43" s="114">
        <f t="shared" si="47"/>
        <v>0.27722613294341197</v>
      </c>
      <c r="AN43" s="9">
        <f t="shared" si="58"/>
        <v>11.960784103461405</v>
      </c>
      <c r="AO43" s="44">
        <f t="shared" si="22"/>
        <v>0.41119223556217116</v>
      </c>
      <c r="AP43" s="7">
        <f>'a7'!P43</f>
        <v>57555.083159527239</v>
      </c>
      <c r="AQ43" s="7">
        <f>'a8'!AE43</f>
        <v>1291.2373427110667</v>
      </c>
      <c r="AR43" s="7">
        <f>'a13'!W43</f>
        <v>26022.173392449487</v>
      </c>
      <c r="AS43" s="7">
        <f>'a16'!T43</f>
        <v>-3550.1713805484183</v>
      </c>
      <c r="AT43" s="7">
        <f>'a15'!CH42</f>
        <v>92613.888666535277</v>
      </c>
      <c r="AU43" s="7">
        <f>'a9'!U41</f>
        <v>833.71749666321773</v>
      </c>
      <c r="AV43" s="7">
        <f t="shared" si="23"/>
        <v>173098.49368401145</v>
      </c>
      <c r="AW43" s="114">
        <f t="shared" si="48"/>
        <v>0.32378230106263473</v>
      </c>
      <c r="AX43" s="9">
        <f t="shared" si="59"/>
        <v>12.06161603912766</v>
      </c>
      <c r="AY43" s="44">
        <f t="shared" si="25"/>
        <v>0.46788650069075677</v>
      </c>
      <c r="AZ43" s="7">
        <f>'a7'!S43</f>
        <v>66033.075302519384</v>
      </c>
      <c r="BA43" s="7">
        <f>'a8'!AK43</f>
        <v>3981.2058629307035</v>
      </c>
      <c r="BB43" s="7">
        <f>'a13'!AA43</f>
        <v>12067.197198139975</v>
      </c>
      <c r="BC43" s="7">
        <f>'a16'!X43</f>
        <v>-4030.7271684756474</v>
      </c>
      <c r="BD43" s="7">
        <f>'a15'!CY42</f>
        <v>105807.96282698691</v>
      </c>
      <c r="BE43" s="7">
        <f>'a9'!Y41</f>
        <v>332.26223471993967</v>
      </c>
      <c r="BF43" s="7">
        <f t="shared" si="26"/>
        <v>183526.45178738137</v>
      </c>
      <c r="BG43" s="114">
        <f t="shared" si="49"/>
        <v>0.35302359087848501</v>
      </c>
      <c r="BH43" s="9">
        <f t="shared" si="60"/>
        <v>12.120114087517814</v>
      </c>
      <c r="BI43" s="44">
        <f t="shared" si="28"/>
        <v>0.50077790402465272</v>
      </c>
      <c r="BJ43" s="7">
        <f>'a7'!V43</f>
        <v>69178.360024520138</v>
      </c>
      <c r="BK43" s="7">
        <f>'a8'!AQ43</f>
        <v>4371.3002558784456</v>
      </c>
      <c r="BL43" s="7">
        <f>'a13'!AE43</f>
        <v>6791.5874544138187</v>
      </c>
      <c r="BM43" s="7">
        <f>'a16'!AB43</f>
        <v>-4857.2680605719952</v>
      </c>
      <c r="BN43" s="7">
        <f>'a15'!DP42</f>
        <v>98203.941522839988</v>
      </c>
      <c r="BO43" s="7">
        <f>'a9'!AC41</f>
        <v>467.7855647889233</v>
      </c>
      <c r="BP43" s="7">
        <f t="shared" si="29"/>
        <v>173220.13563229147</v>
      </c>
      <c r="BQ43" s="114">
        <f t="shared" si="50"/>
        <v>0.3241234001951937</v>
      </c>
      <c r="BR43" s="9">
        <f t="shared" si="61"/>
        <v>12.062318524890683</v>
      </c>
      <c r="BS43" s="44">
        <f t="shared" si="31"/>
        <v>0.46828148382615659</v>
      </c>
      <c r="BT43" s="7">
        <f>'a7'!Y43</f>
        <v>58013.529649894204</v>
      </c>
      <c r="BU43" s="7">
        <f>'a8'!AW43</f>
        <v>1889.7928746765162</v>
      </c>
      <c r="BV43" s="7">
        <f>'a13'!AI43</f>
        <v>8588.8506819953927</v>
      </c>
      <c r="BW43" s="7">
        <f>'a16'!AF43</f>
        <v>-3952.33180308069</v>
      </c>
      <c r="BX43" s="7">
        <f>'a15'!EG42</f>
        <v>116252.05781982538</v>
      </c>
      <c r="BY43" s="7">
        <f>'a9'!AG41</f>
        <v>529.73395296416425</v>
      </c>
      <c r="BZ43" s="7">
        <f t="shared" si="32"/>
        <v>180262.16527034665</v>
      </c>
      <c r="CA43" s="114">
        <f t="shared" si="51"/>
        <v>0.34387012601600742</v>
      </c>
      <c r="CB43" s="9">
        <f t="shared" si="62"/>
        <v>12.102167543967397</v>
      </c>
      <c r="CC43" s="44">
        <f t="shared" si="34"/>
        <v>0.49068719128105531</v>
      </c>
      <c r="CD43" s="7">
        <f>'a7'!AB43</f>
        <v>76832.038519332636</v>
      </c>
      <c r="CE43" s="7">
        <f>'a8'!BC43</f>
        <v>1888.5888665564189</v>
      </c>
      <c r="CF43" s="7">
        <f>'a13'!AM43</f>
        <v>68235.969556770404</v>
      </c>
      <c r="CG43" s="7">
        <f>'a16'!AJ43</f>
        <v>-4795.229014775683</v>
      </c>
      <c r="CH43" s="7">
        <f>'a15'!EX42</f>
        <v>124073.43254438313</v>
      </c>
      <c r="CI43" s="7">
        <f>'a9'!AK41</f>
        <v>2291.836299728725</v>
      </c>
      <c r="CJ43" s="7">
        <f t="shared" si="35"/>
        <v>263942.9641725382</v>
      </c>
      <c r="CK43" s="9">
        <f t="shared" si="52"/>
        <v>0.57852148042930429</v>
      </c>
      <c r="CL43" s="9">
        <f t="shared" si="63"/>
        <v>12.483488313986422</v>
      </c>
      <c r="CM43" s="9">
        <f t="shared" si="37"/>
        <v>0.70509050201438339</v>
      </c>
      <c r="CN43" s="7">
        <f>'a7'!AE43</f>
        <v>111261.87466136897</v>
      </c>
      <c r="CO43" s="7">
        <f>'a8'!BI43</f>
        <v>2442.4209768276246</v>
      </c>
      <c r="CP43" s="7">
        <f>'a13'!AQ43</f>
        <v>109065.80937718315</v>
      </c>
      <c r="CQ43" s="7">
        <f>'a16'!AN43</f>
        <v>-6396.499815956181</v>
      </c>
      <c r="CR43" s="7">
        <f>'a15'!FO42</f>
        <v>95910.300172640695</v>
      </c>
      <c r="CS43" s="7">
        <f>'a9'!AO41</f>
        <v>2286.5048507297392</v>
      </c>
      <c r="CT43" s="7">
        <f t="shared" si="38"/>
        <v>309997.40052133449</v>
      </c>
      <c r="CU43" s="9">
        <f t="shared" si="53"/>
        <v>0.70766384053771147</v>
      </c>
      <c r="CV43" s="9">
        <f t="shared" si="64"/>
        <v>12.644319191011121</v>
      </c>
      <c r="CW43" s="9">
        <f t="shared" si="40"/>
        <v>0.79552007001436353</v>
      </c>
      <c r="CX43" s="7">
        <f>'a7'!AH43</f>
        <v>64833.844359066992</v>
      </c>
      <c r="CY43" s="7">
        <f>'a8'!BO43</f>
        <v>2109.9040719739173</v>
      </c>
      <c r="CZ43" s="7">
        <f>'a13'!AU43</f>
        <v>42728.452298926713</v>
      </c>
      <c r="DA43" s="7">
        <f>'a16'!AR43</f>
        <v>-4319.5221447648601</v>
      </c>
      <c r="DB43" s="7">
        <f>'a15'!GF42</f>
        <v>116116.14892578397</v>
      </c>
      <c r="DC43" s="7">
        <f>'a9'!AS41</f>
        <v>466.15847320498739</v>
      </c>
      <c r="DD43" s="7">
        <f t="shared" si="41"/>
        <v>221002.66903778171</v>
      </c>
      <c r="DE43" s="44">
        <f t="shared" si="54"/>
        <v>0.4581115591036915</v>
      </c>
      <c r="DF43" s="9">
        <f t="shared" si="65"/>
        <v>12.305930057520998</v>
      </c>
      <c r="DG43" s="44">
        <f t="shared" si="43"/>
        <v>0.60525571454050686</v>
      </c>
    </row>
    <row r="44" spans="1:111">
      <c r="A44" s="1">
        <v>2006</v>
      </c>
      <c r="B44" s="7">
        <f>'a7'!D44</f>
        <v>73909.111945165641</v>
      </c>
      <c r="C44" s="7">
        <f>'a8'!G44</f>
        <v>3481.0444614689127</v>
      </c>
      <c r="D44" s="7">
        <f>'a13'!G44</f>
        <v>31823.119657849365</v>
      </c>
      <c r="E44" s="7">
        <f>'a16'!D44</f>
        <v>-2468.938355925603</v>
      </c>
      <c r="F44" s="7">
        <f>'a15'!R43</f>
        <v>103427.26558003515</v>
      </c>
      <c r="G44" s="7">
        <f>'a9'!E42</f>
        <v>653.57098277186867</v>
      </c>
      <c r="H44" s="7">
        <f t="shared" si="11"/>
        <v>209518.0323058216</v>
      </c>
      <c r="I44" s="9">
        <f t="shared" si="44"/>
        <v>0.42590721115943969</v>
      </c>
      <c r="J44" s="9">
        <f t="shared" si="55"/>
        <v>12.25256508769907</v>
      </c>
      <c r="K44" s="9">
        <f t="shared" si="13"/>
        <v>0.57525046146595071</v>
      </c>
      <c r="L44" s="7">
        <f>'a7'!G44</f>
        <v>76384.885354674479</v>
      </c>
      <c r="M44" s="7">
        <f>'a8'!M44</f>
        <v>1596.7112721331252</v>
      </c>
      <c r="N44" s="7">
        <f>'a13'!K44</f>
        <v>115324.2179590008</v>
      </c>
      <c r="O44" s="7">
        <f>'a16'!H44</f>
        <v>-2232.5294798487639</v>
      </c>
      <c r="P44" s="7">
        <f>'a15'!AI43</f>
        <v>103017.79084216473</v>
      </c>
      <c r="Q44" s="7">
        <f>'a9'!I42</f>
        <v>565.78647254101008</v>
      </c>
      <c r="R44" s="7">
        <f t="shared" si="14"/>
        <v>293525.28947558335</v>
      </c>
      <c r="S44" s="9">
        <f t="shared" si="45"/>
        <v>0.66147399510555338</v>
      </c>
      <c r="T44" s="9">
        <f t="shared" si="56"/>
        <v>12.58971907970211</v>
      </c>
      <c r="U44" s="9">
        <f t="shared" si="16"/>
        <v>0.76482034015051148</v>
      </c>
      <c r="V44" s="7">
        <f>'a7'!J44</f>
        <v>56043.358468677492</v>
      </c>
      <c r="W44" s="7">
        <f>'a8'!S44</f>
        <v>1610.6309148659213</v>
      </c>
      <c r="X44" s="7">
        <f>'a13'!O44</f>
        <v>567.95123004925472</v>
      </c>
      <c r="Y44" s="7">
        <f>'a16'!L44</f>
        <v>-1791.7766999411454</v>
      </c>
      <c r="Z44" s="7">
        <f>'a15'!AZ43</f>
        <v>94926.431511299757</v>
      </c>
      <c r="AA44" s="7">
        <f>'a9'!M42</f>
        <v>464.75589174767197</v>
      </c>
      <c r="AB44" s="7">
        <f>SUM(V44:Z44)-AA44</f>
        <v>150891.8395332036</v>
      </c>
      <c r="AC44" s="9">
        <f t="shared" si="46"/>
        <v>0.26151208445577279</v>
      </c>
      <c r="AD44" s="9">
        <f t="shared" si="57"/>
        <v>11.924318564653502</v>
      </c>
      <c r="AE44" s="9">
        <f t="shared" si="19"/>
        <v>0.3906889405339487</v>
      </c>
      <c r="AF44" s="7">
        <f>'a7'!M44</f>
        <v>62012.132066822312</v>
      </c>
      <c r="AG44" s="7">
        <f>'a8'!Y44</f>
        <v>2080.0452028232171</v>
      </c>
      <c r="AH44" s="7">
        <f>'a13'!S44</f>
        <v>10033.014217931708</v>
      </c>
      <c r="AI44" s="7">
        <f>'a16'!P44</f>
        <v>-1834.968761794958</v>
      </c>
      <c r="AJ44" s="7">
        <f>'a15'!BQ43</f>
        <v>89875.062239115185</v>
      </c>
      <c r="AK44" s="7">
        <f>'a9'!Q42</f>
        <v>651.88750394845738</v>
      </c>
      <c r="AL44" s="7">
        <f>SUM(AF44:AJ44)-AK44</f>
        <v>161513.397460949</v>
      </c>
      <c r="AM44" s="114">
        <f t="shared" si="47"/>
        <v>0.29129625222689898</v>
      </c>
      <c r="AN44" s="9">
        <f t="shared" si="58"/>
        <v>11.9923433746187</v>
      </c>
      <c r="AO44" s="44">
        <f t="shared" si="22"/>
        <v>0.42893690816449853</v>
      </c>
      <c r="AP44" s="7">
        <f>'a7'!P44</f>
        <v>60236.644968176442</v>
      </c>
      <c r="AQ44" s="7">
        <f>'a8'!AE44</f>
        <v>1364.5080230914446</v>
      </c>
      <c r="AR44" s="159">
        <f>'a13'!W44</f>
        <v>26692.845810597915</v>
      </c>
      <c r="AS44" s="7">
        <f>'a16'!T44</f>
        <v>-1908.8105916891479</v>
      </c>
      <c r="AT44" s="7">
        <f>'a15'!CH43</f>
        <v>93948.189135096021</v>
      </c>
      <c r="AU44" s="7">
        <f>'a9'!U42</f>
        <v>740.37049609926532</v>
      </c>
      <c r="AV44" s="7">
        <f>SUM(AP44:AT44)-AU44</f>
        <v>179593.00684917343</v>
      </c>
      <c r="AW44" s="114">
        <f t="shared" si="48"/>
        <v>0.34199372268447509</v>
      </c>
      <c r="AX44" s="9">
        <f t="shared" si="59"/>
        <v>12.098448496726753</v>
      </c>
      <c r="AY44" s="44">
        <f t="shared" si="25"/>
        <v>0.48859610130154052</v>
      </c>
      <c r="AZ44" s="7">
        <f>'a7'!S44</f>
        <v>67434.933287488559</v>
      </c>
      <c r="BA44" s="7">
        <f>'a8'!AK44</f>
        <v>4118.8961324496568</v>
      </c>
      <c r="BB44" s="7">
        <f>'a13'!AA44</f>
        <v>12170.191603466539</v>
      </c>
      <c r="BC44" s="7">
        <f>'a16'!X44</f>
        <v>-2135.0619404372219</v>
      </c>
      <c r="BD44" s="7">
        <f>'a15'!CY43</f>
        <v>106812.84687410796</v>
      </c>
      <c r="BE44" s="7">
        <f>'a9'!Y42</f>
        <v>323.9524038340582</v>
      </c>
      <c r="BF44" s="7">
        <f>SUM(AZ44:BD44)-BE44</f>
        <v>188077.85355324144</v>
      </c>
      <c r="BG44" s="114">
        <f t="shared" si="49"/>
        <v>0.36578628677586084</v>
      </c>
      <c r="BH44" s="9">
        <f t="shared" si="60"/>
        <v>12.144611270735183</v>
      </c>
      <c r="BI44" s="44">
        <f t="shared" si="28"/>
        <v>0.51455181197407462</v>
      </c>
      <c r="BJ44" s="7">
        <f>'a7'!V44</f>
        <v>70596.468505479439</v>
      </c>
      <c r="BK44" s="7">
        <f>'a8'!AQ44</f>
        <v>4476.9081556183173</v>
      </c>
      <c r="BL44" s="7">
        <f>'a13'!AE44</f>
        <v>7609.3550825215307</v>
      </c>
      <c r="BM44" s="7">
        <f>'a16'!AB44</f>
        <v>-2567.7476442025049</v>
      </c>
      <c r="BN44" s="7">
        <f>'a15'!DP43</f>
        <v>99354.505376460904</v>
      </c>
      <c r="BO44" s="7">
        <f>'a9'!AC42</f>
        <v>444.40455518627169</v>
      </c>
      <c r="BP44" s="7">
        <f>SUM(BJ44:BN44)-BO44</f>
        <v>179025.08492069141</v>
      </c>
      <c r="BQ44" s="114">
        <f t="shared" si="50"/>
        <v>0.340401199053396</v>
      </c>
      <c r="BR44" s="9">
        <f t="shared" si="61"/>
        <v>12.095281214226048</v>
      </c>
      <c r="BS44" s="44">
        <f t="shared" si="31"/>
        <v>0.48681524930613257</v>
      </c>
      <c r="BT44" s="7">
        <f>'a7'!Y44</f>
        <v>59142.708256793951</v>
      </c>
      <c r="BU44" s="7">
        <f>'a8'!AW44</f>
        <v>1926.8041691639587</v>
      </c>
      <c r="BV44" s="7">
        <f>'a13'!AI44</f>
        <v>11119.248428200915</v>
      </c>
      <c r="BW44" s="7">
        <f>'a16'!AF44</f>
        <v>-2117.8899183580615</v>
      </c>
      <c r="BX44" s="7">
        <f>'a15'!EG43</f>
        <v>117045.62959599384</v>
      </c>
      <c r="BY44" s="7">
        <f>'a9'!AG42</f>
        <v>529.69270451477951</v>
      </c>
      <c r="BZ44" s="7">
        <f>SUM(BT44:BX44)-BY44</f>
        <v>186586.80782727984</v>
      </c>
      <c r="CA44" s="114">
        <f t="shared" si="51"/>
        <v>0.36160520935213802</v>
      </c>
      <c r="CB44" s="9">
        <f t="shared" si="62"/>
        <v>12.136651867293185</v>
      </c>
      <c r="CC44" s="44">
        <f t="shared" si="34"/>
        <v>0.51007651824868594</v>
      </c>
      <c r="CD44" s="7">
        <f>'a7'!AB44</f>
        <v>77866.556848088076</v>
      </c>
      <c r="CE44" s="7">
        <f>'a8'!BC44</f>
        <v>1913.0529012483555</v>
      </c>
      <c r="CF44" s="7">
        <f>'a13'!AM44</f>
        <v>72870.539689212528</v>
      </c>
      <c r="CG44" s="7">
        <f>'a16'!AJ44</f>
        <v>-2453.0561871708164</v>
      </c>
      <c r="CH44" s="7">
        <f>'a15'!EX43</f>
        <v>125654.35929827254</v>
      </c>
      <c r="CI44" s="7">
        <f>'a9'!AK42</f>
        <v>2266.2303258578931</v>
      </c>
      <c r="CJ44" s="7">
        <f>SUM(CD44:CH44)-CI44</f>
        <v>273585.22222379281</v>
      </c>
      <c r="CK44" s="9">
        <f t="shared" si="52"/>
        <v>0.6055595697044075</v>
      </c>
      <c r="CL44" s="9">
        <f t="shared" si="63"/>
        <v>12.519368450931875</v>
      </c>
      <c r="CM44" s="9">
        <f t="shared" si="37"/>
        <v>0.72526464608287067</v>
      </c>
      <c r="CN44" s="7">
        <f>'a7'!AE44</f>
        <v>116168.98837940369</v>
      </c>
      <c r="CO44" s="7">
        <f>'a8'!BI44</f>
        <v>2472.432666546466</v>
      </c>
      <c r="CP44" s="7">
        <f>'a13'!AQ44</f>
        <v>122033.53481945458</v>
      </c>
      <c r="CQ44" s="7">
        <f>'a16'!AN44</f>
        <v>-3421.9960366041087</v>
      </c>
      <c r="CR44" s="7">
        <f>'a15'!FO43</f>
        <v>96394.581819141633</v>
      </c>
      <c r="CS44" s="7">
        <f>'a9'!AO42</f>
        <v>2258.7522183347742</v>
      </c>
      <c r="CT44" s="7">
        <f>SUM(CN44:CR44)-CS44</f>
        <v>331388.78942960751</v>
      </c>
      <c r="CU44" s="9">
        <f t="shared" si="53"/>
        <v>0.76764795213749204</v>
      </c>
      <c r="CV44" s="9">
        <f t="shared" si="64"/>
        <v>12.711047555489349</v>
      </c>
      <c r="CW44" s="9">
        <f t="shared" si="40"/>
        <v>0.83303909176405355</v>
      </c>
      <c r="CX44" s="7">
        <f>'a7'!AH44</f>
        <v>67429.953011372476</v>
      </c>
      <c r="CY44" s="7">
        <f>'a8'!BO44</f>
        <v>2171.5908974792892</v>
      </c>
      <c r="CZ44" s="7">
        <f>'a13'!AU44</f>
        <v>38458.318838906031</v>
      </c>
      <c r="DA44" s="7">
        <f>'a16'!AR44</f>
        <v>-2319.6968049301568</v>
      </c>
      <c r="DB44" s="7">
        <f>'a15'!GF43</f>
        <v>117255.26181374113</v>
      </c>
      <c r="DC44" s="7">
        <f>'a9'!AS42</f>
        <v>452.9303172806043</v>
      </c>
      <c r="DD44" s="7">
        <f>SUM(CX44:DB44)-DC44</f>
        <v>222542.49743928816</v>
      </c>
      <c r="DE44" s="44">
        <f t="shared" si="54"/>
        <v>0.46242942920911284</v>
      </c>
      <c r="DF44" s="9">
        <f t="shared" si="65"/>
        <v>12.312873362077443</v>
      </c>
      <c r="DG44" s="44">
        <f t="shared" si="43"/>
        <v>0.60915969145804394</v>
      </c>
    </row>
    <row r="45" spans="1:111">
      <c r="A45" s="1">
        <v>2007</v>
      </c>
      <c r="B45" s="7">
        <f>'a7'!D45</f>
        <v>75851.893484833301</v>
      </c>
      <c r="C45" s="7">
        <f>'a8'!G45</f>
        <v>3533.4796584277578</v>
      </c>
      <c r="D45" s="7">
        <f>'a13'!G45</f>
        <v>30293.121031923012</v>
      </c>
      <c r="E45" s="7">
        <f>'a16'!D45</f>
        <v>-3377.6055938748154</v>
      </c>
      <c r="F45" s="7">
        <f>'a15'!R44</f>
        <v>104523.02425768241</v>
      </c>
      <c r="G45" s="7">
        <f>'a9'!E43</f>
        <v>672.62964334107403</v>
      </c>
      <c r="H45" s="7">
        <f>SUM(B45:F45)-G45</f>
        <v>210151.28319565061</v>
      </c>
      <c r="I45" s="9">
        <f t="shared" si="44"/>
        <v>0.42768292531287988</v>
      </c>
      <c r="J45" s="9">
        <f t="shared" si="55"/>
        <v>12.255582946508603</v>
      </c>
      <c r="K45" s="9">
        <f>(J45-$H$62)/$H$63</f>
        <v>0.57694729775435283</v>
      </c>
      <c r="L45" s="7">
        <f>'a7'!G45</f>
        <v>77799.829771771736</v>
      </c>
      <c r="M45" s="7">
        <f>'a8'!M45</f>
        <v>1645.3765497904435</v>
      </c>
      <c r="N45" s="7">
        <f>'a13'!K45</f>
        <v>134401.79505854985</v>
      </c>
      <c r="O45" s="7">
        <f>'a16'!H45</f>
        <v>-3339.3366130517297</v>
      </c>
      <c r="P45" s="7">
        <f>'a15'!AI44</f>
        <v>104340.68652223909</v>
      </c>
      <c r="Q45" s="7">
        <f>'a9'!I43</f>
        <v>639.62724621229268</v>
      </c>
      <c r="R45" s="7">
        <f>SUM(L45:P45)-Q45</f>
        <v>314208.7240430871</v>
      </c>
      <c r="S45" s="9">
        <f t="shared" si="45"/>
        <v>0.71947291479627407</v>
      </c>
      <c r="T45" s="9">
        <f t="shared" si="56"/>
        <v>12.657812770309622</v>
      </c>
      <c r="U45" s="9">
        <f>(T45-$H$62)/$H$63</f>
        <v>0.80310703695324015</v>
      </c>
      <c r="V45" s="7">
        <f>'a7'!J45</f>
        <v>58132.902917610612</v>
      </c>
      <c r="W45" s="7">
        <f>'a8'!S45</f>
        <v>1682.8561835148234</v>
      </c>
      <c r="X45" s="7">
        <f>'a13'!O45</f>
        <v>712.53301563105913</v>
      </c>
      <c r="Y45" s="7">
        <f>'a16'!L45</f>
        <v>-2476.4988123497619</v>
      </c>
      <c r="Z45" s="7">
        <f>'a15'!AZ44</f>
        <v>94854.883535641566</v>
      </c>
      <c r="AA45" s="7">
        <f>'a9'!M43</f>
        <v>453.00309490229171</v>
      </c>
      <c r="AB45" s="7">
        <f>SUM(V45:Z45)-AA45</f>
        <v>152453.67374514599</v>
      </c>
      <c r="AC45" s="9">
        <f t="shared" si="46"/>
        <v>0.265891661587077</v>
      </c>
      <c r="AD45" s="9">
        <f t="shared" si="57"/>
        <v>11.934616050159148</v>
      </c>
      <c r="AE45" s="9">
        <f>(AD45-$H$62)/$H$63</f>
        <v>0.39647885589714488</v>
      </c>
      <c r="AF45" s="7">
        <f>'a7'!M45</f>
        <v>63448.900078436069</v>
      </c>
      <c r="AG45" s="7">
        <f>'a8'!Y45</f>
        <v>2135.6098451699622</v>
      </c>
      <c r="AH45" s="7">
        <f>'a13'!S45</f>
        <v>11074.468823918383</v>
      </c>
      <c r="AI45" s="7">
        <f>'a16'!P45</f>
        <v>-2538.713869268076</v>
      </c>
      <c r="AJ45" s="7">
        <f>'a15'!BQ44</f>
        <v>90624.153745924094</v>
      </c>
      <c r="AK45" s="7">
        <f>'a9'!Q43</f>
        <v>675.52790857858406</v>
      </c>
      <c r="AL45" s="7">
        <f>SUM(AF45:AJ45)-AK45</f>
        <v>164068.89071560185</v>
      </c>
      <c r="AM45" s="114">
        <f t="shared" si="47"/>
        <v>0.29846217273990971</v>
      </c>
      <c r="AN45" s="9">
        <f t="shared" si="58"/>
        <v>12.008041683942626</v>
      </c>
      <c r="AO45" s="44">
        <f>(AN45-$H$62)/$H$63</f>
        <v>0.43776351756161452</v>
      </c>
      <c r="AP45" s="7">
        <f>'a7'!P45</f>
        <v>63027.43740903939</v>
      </c>
      <c r="AQ45" s="7">
        <f>'a8'!AE45</f>
        <v>1460.3049322874406</v>
      </c>
      <c r="AR45" s="159">
        <f>'a13'!W45</f>
        <v>27014.661693039478</v>
      </c>
      <c r="AS45" s="7">
        <f>'a16'!T45</f>
        <v>-2611.6691081881781</v>
      </c>
      <c r="AT45" s="7">
        <f>'a15'!CH44</f>
        <v>94596.737336101476</v>
      </c>
      <c r="AU45" s="7">
        <f>'a9'!U43</f>
        <v>759.71307244992124</v>
      </c>
      <c r="AV45" s="7">
        <f>SUM(AP45:AT45)-AU45</f>
        <v>182727.75918982967</v>
      </c>
      <c r="AW45" s="114">
        <f t="shared" si="48"/>
        <v>0.35078395762648368</v>
      </c>
      <c r="AX45" s="9">
        <f t="shared" si="59"/>
        <v>12.115752669466243</v>
      </c>
      <c r="AY45" s="44">
        <f>(AX45-$H$62)/$H$63</f>
        <v>0.49832563144138281</v>
      </c>
      <c r="AZ45" s="7">
        <f>'a7'!S45</f>
        <v>69014.128661841562</v>
      </c>
      <c r="BA45" s="7">
        <f>'a8'!AK45</f>
        <v>4211.2897298836142</v>
      </c>
      <c r="BB45" s="7">
        <f>'a13'!AA45</f>
        <v>12226.527348823312</v>
      </c>
      <c r="BC45" s="7">
        <f>'a16'!X45</f>
        <v>-2933.727523841053</v>
      </c>
      <c r="BD45" s="7">
        <f>'a15'!CY44</f>
        <v>108029.05597378721</v>
      </c>
      <c r="BE45" s="7">
        <f>'a9'!Y43</f>
        <v>332.27975096466002</v>
      </c>
      <c r="BF45" s="7">
        <f>SUM(AZ45:BD45)-BE45</f>
        <v>190214.99443952998</v>
      </c>
      <c r="BG45" s="114">
        <f t="shared" si="49"/>
        <v>0.37177909528293296</v>
      </c>
      <c r="BH45" s="9">
        <f t="shared" si="60"/>
        <v>12.155910261104557</v>
      </c>
      <c r="BI45" s="44">
        <f>(BH45-$H$62)/$H$63</f>
        <v>0.5209048384379017</v>
      </c>
      <c r="BJ45" s="7">
        <f>'a7'!V45</f>
        <v>71846.558769108291</v>
      </c>
      <c r="BK45" s="7">
        <f>'a8'!AQ45</f>
        <v>4539.3622218265664</v>
      </c>
      <c r="BL45" s="7">
        <f>'a13'!AE45</f>
        <v>8448.311040246781</v>
      </c>
      <c r="BM45" s="7">
        <f>'a16'!AB45</f>
        <v>-3515.7057340138081</v>
      </c>
      <c r="BN45" s="7">
        <f>'a15'!DP44</f>
        <v>100497.44331107684</v>
      </c>
      <c r="BO45" s="7">
        <f>'a9'!AC43</f>
        <v>453.57965363329811</v>
      </c>
      <c r="BP45" s="7">
        <f>SUM(BJ45:BN45)-BO45</f>
        <v>181362.38995461137</v>
      </c>
      <c r="BQ45" s="114">
        <f t="shared" si="50"/>
        <v>0.34695529269353176</v>
      </c>
      <c r="BR45" s="9">
        <f t="shared" si="61"/>
        <v>12.1082524630534</v>
      </c>
      <c r="BS45" s="44">
        <f>(BR45-$H$62)/$H$63</f>
        <v>0.49410852811911538</v>
      </c>
      <c r="BT45" s="7">
        <f>'a7'!Y45</f>
        <v>60294.095469177031</v>
      </c>
      <c r="BU45" s="7">
        <f>'a8'!AW45</f>
        <v>1950.8807909268892</v>
      </c>
      <c r="BV45" s="7">
        <f>'a13'!AI45</f>
        <v>12815.075397001869</v>
      </c>
      <c r="BW45" s="7">
        <f>'a16'!AF45</f>
        <v>-2911.1328564276923</v>
      </c>
      <c r="BX45" s="7">
        <f>'a15'!EG44</f>
        <v>117431.67321650787</v>
      </c>
      <c r="BY45" s="7">
        <f>'a9'!AG43</f>
        <v>537.97575246271629</v>
      </c>
      <c r="BZ45" s="7">
        <f>SUM(BT45:BX45)-BY45</f>
        <v>189042.61626472324</v>
      </c>
      <c r="CA45" s="114">
        <f t="shared" si="51"/>
        <v>0.36849160125548541</v>
      </c>
      <c r="CB45" s="9">
        <f t="shared" si="62"/>
        <v>12.149727751506468</v>
      </c>
      <c r="CC45" s="44">
        <f>(CB45-$H$62)/$H$63</f>
        <v>0.51742862987364047</v>
      </c>
      <c r="CD45" s="7">
        <f>'a7'!AB45</f>
        <v>78877.11336429519</v>
      </c>
      <c r="CE45" s="7">
        <f>'a8'!BC45</f>
        <v>1906.5248030085802</v>
      </c>
      <c r="CF45" s="7">
        <f>'a13'!AM45</f>
        <v>76588.93460634083</v>
      </c>
      <c r="CG45" s="7">
        <f>'a16'!AJ45</f>
        <v>-3397.5136569110387</v>
      </c>
      <c r="CH45" s="7">
        <f>'a15'!EX44</f>
        <v>125655.86942463214</v>
      </c>
      <c r="CI45" s="7">
        <f>'a9'!AK43</f>
        <v>2321.2359031058863</v>
      </c>
      <c r="CJ45" s="7">
        <f>SUM(CD45:CH45)-CI45</f>
        <v>277309.69263825979</v>
      </c>
      <c r="CK45" s="9">
        <f t="shared" si="52"/>
        <v>0.61600344737637414</v>
      </c>
      <c r="CL45" s="9">
        <f t="shared" si="63"/>
        <v>12.532890184610965</v>
      </c>
      <c r="CM45" s="9">
        <f>(CL45-$H$62)/$H$63</f>
        <v>0.73286744324366149</v>
      </c>
      <c r="CN45" s="7">
        <f>'a7'!AE45</f>
        <v>120451.72774946615</v>
      </c>
      <c r="CO45" s="7">
        <f>'a8'!BI45</f>
        <v>2476.5708805287745</v>
      </c>
      <c r="CP45" s="7">
        <f>'a13'!AQ45</f>
        <v>102164.75182863661</v>
      </c>
      <c r="CQ45" s="7">
        <f>'a16'!AN45</f>
        <v>-4581.203787152228</v>
      </c>
      <c r="CR45" s="7">
        <f>'a15'!FO44</f>
        <v>97054.28469072227</v>
      </c>
      <c r="CS45" s="7">
        <f>'a9'!AO43</f>
        <v>2312.2933294317618</v>
      </c>
      <c r="CT45" s="7">
        <f>SUM(CN45:CR45)-CS45</f>
        <v>315253.83803276985</v>
      </c>
      <c r="CU45" s="9">
        <f t="shared" si="53"/>
        <v>0.72240354424069397</v>
      </c>
      <c r="CV45" s="9">
        <f t="shared" si="64"/>
        <v>12.661133428321715</v>
      </c>
      <c r="CW45" s="9">
        <f>(CV45-$H$62)/$H$63</f>
        <v>0.80497412662572365</v>
      </c>
      <c r="CX45" s="7">
        <f>'a7'!AH45</f>
        <v>69558.607324244847</v>
      </c>
      <c r="CY45" s="7">
        <f>'a8'!BO45</f>
        <v>2266.9026113024806</v>
      </c>
      <c r="CZ45" s="7">
        <f>'a13'!AU45</f>
        <v>36169.922219321852</v>
      </c>
      <c r="DA45" s="7">
        <f>'a16'!AR45</f>
        <v>-3177.3062856084648</v>
      </c>
      <c r="DB45" s="7">
        <f>'a15'!GF44</f>
        <v>118707.48291322688</v>
      </c>
      <c r="DC45" s="7">
        <f>'a9'!AS43</f>
        <v>472.05269534255518</v>
      </c>
      <c r="DD45" s="7">
        <f>SUM(CX45:DB45)-DC45</f>
        <v>223053.55608714503</v>
      </c>
      <c r="DE45" s="44">
        <f t="shared" si="54"/>
        <v>0.46386250113812744</v>
      </c>
      <c r="DF45" s="9">
        <f t="shared" si="65"/>
        <v>12.315167183433784</v>
      </c>
      <c r="DG45" s="44">
        <f>(DF45-$H$62)/$H$63</f>
        <v>0.61044942685065262</v>
      </c>
    </row>
    <row r="46" spans="1:111">
      <c r="A46" s="1">
        <v>2008</v>
      </c>
      <c r="B46" s="7">
        <f>'a7'!D46</f>
        <v>77549.095364938432</v>
      </c>
      <c r="C46" s="7">
        <f>'a8'!G46</f>
        <v>3533.1282378743476</v>
      </c>
      <c r="D46" s="7">
        <f>'a13'!G46</f>
        <v>43442.582706675261</v>
      </c>
      <c r="E46" s="7">
        <f>'a16'!D46</f>
        <v>-761.19538119101901</v>
      </c>
      <c r="F46" s="7">
        <f>'a15'!R45</f>
        <v>105378.31374007903</v>
      </c>
      <c r="G46" s="7">
        <f>'a9'!E44</f>
        <v>650.61063062777464</v>
      </c>
      <c r="H46" s="7">
        <f>SUM(B46:F46)-G46</f>
        <v>228491.31403774826</v>
      </c>
      <c r="I46" s="9">
        <f t="shared" si="44"/>
        <v>0.47911064987499741</v>
      </c>
      <c r="J46" s="9">
        <f t="shared" si="55"/>
        <v>12.339253475629983</v>
      </c>
      <c r="K46" s="9">
        <f>(J46-$H$62)/$H$63</f>
        <v>0.62399230517300985</v>
      </c>
      <c r="L46" s="7">
        <f>'a7'!G46</f>
        <v>79342.266684841554</v>
      </c>
      <c r="M46" s="7">
        <f>'a8'!M46</f>
        <v>1666.8152751653859</v>
      </c>
      <c r="N46" s="7">
        <f>'a13'!K46</f>
        <v>153785.76803848884</v>
      </c>
      <c r="O46" s="7">
        <f>'a16'!H46</f>
        <v>-746.39824973283294</v>
      </c>
      <c r="P46" s="7">
        <f>'a15'!AI45</f>
        <v>105263.0655938344</v>
      </c>
      <c r="Q46" s="7">
        <f>'a9'!I44</f>
        <v>600.25175458690273</v>
      </c>
      <c r="R46" s="7">
        <f>SUM(L46:P46)-Q46</f>
        <v>338711.26558801049</v>
      </c>
      <c r="S46" s="9">
        <f t="shared" si="45"/>
        <v>0.78818108483662708</v>
      </c>
      <c r="T46" s="9">
        <f t="shared" si="56"/>
        <v>12.7329032995105</v>
      </c>
      <c r="U46" s="9">
        <f>(T46-$H$62)/$H$63</f>
        <v>0.84532781098708754</v>
      </c>
      <c r="V46" s="7">
        <f>'a7'!J46</f>
        <v>59311.333261671862</v>
      </c>
      <c r="W46" s="7">
        <f>'a8'!S46</f>
        <v>1743.8944052984293</v>
      </c>
      <c r="X46" s="7">
        <f>'a13'!O46</f>
        <v>845.20390192857985</v>
      </c>
      <c r="Y46" s="7">
        <f>'a16'!L46</f>
        <v>-570.63526532537958</v>
      </c>
      <c r="Z46" s="7">
        <f>'a15'!AZ45</f>
        <v>95240.266820102188</v>
      </c>
      <c r="AA46" s="7">
        <f>'a9'!M44</f>
        <v>431.17650508958496</v>
      </c>
      <c r="AB46" s="7">
        <f>SUM(V46:Z46)-AA46</f>
        <v>156138.88661858608</v>
      </c>
      <c r="AC46" s="9">
        <f t="shared" si="46"/>
        <v>0.27622545623768457</v>
      </c>
      <c r="AD46" s="9">
        <f t="shared" si="57"/>
        <v>11.958501188987825</v>
      </c>
      <c r="AE46" s="9">
        <f>(AD46-$H$62)/$H$63</f>
        <v>0.40990863272765399</v>
      </c>
      <c r="AF46" s="7">
        <f>'a7'!M46</f>
        <v>63919.221723920375</v>
      </c>
      <c r="AG46" s="7">
        <f>'a8'!Y46</f>
        <v>2174.6665028724278</v>
      </c>
      <c r="AH46" s="7">
        <f>'a13'!S46</f>
        <v>12205.650370727704</v>
      </c>
      <c r="AI46" s="7">
        <f>'a16'!P46</f>
        <v>-590.80430401005344</v>
      </c>
      <c r="AJ46" s="7">
        <f>'a15'!BQ45</f>
        <v>91027.082163315878</v>
      </c>
      <c r="AK46" s="7">
        <f>'a9'!Q44</f>
        <v>684.30834818368692</v>
      </c>
      <c r="AL46" s="7">
        <f>SUM(AF46:AJ46)-AK46</f>
        <v>168051.50810864262</v>
      </c>
      <c r="AM46" s="114">
        <f t="shared" si="47"/>
        <v>0.30962992660515748</v>
      </c>
      <c r="AN46" s="9">
        <f t="shared" si="58"/>
        <v>12.032025807279259</v>
      </c>
      <c r="AO46" s="44">
        <f>(AN46-$H$62)/$H$63</f>
        <v>0.45124894991336972</v>
      </c>
      <c r="AP46" s="7">
        <f>'a7'!P46</f>
        <v>65430.404524288329</v>
      </c>
      <c r="AQ46" s="7">
        <f>'a8'!AE46</f>
        <v>1543.9775549480048</v>
      </c>
      <c r="AR46" s="159">
        <f>'a13'!W46</f>
        <v>28279.393580747754</v>
      </c>
      <c r="AS46" s="7">
        <f>'a16'!T46</f>
        <v>-609.86011854426818</v>
      </c>
      <c r="AT46" s="7">
        <f>'a15'!CH45</f>
        <v>95738.832901143382</v>
      </c>
      <c r="AU46" s="7">
        <f>'a9'!U44</f>
        <v>735.32342519967494</v>
      </c>
      <c r="AV46" s="7">
        <f>SUM(AP46:AT46)-AU46</f>
        <v>189647.42501738353</v>
      </c>
      <c r="AW46" s="114">
        <f t="shared" si="48"/>
        <v>0.37018756012340487</v>
      </c>
      <c r="AX46" s="9">
        <f t="shared" si="59"/>
        <v>12.152921969473503</v>
      </c>
      <c r="AY46" s="44">
        <f>(AX46-$H$62)/$H$63</f>
        <v>0.51922462673817538</v>
      </c>
      <c r="AZ46" s="7">
        <f>'a7'!S46</f>
        <v>70423.792968743946</v>
      </c>
      <c r="BA46" s="7">
        <f>'a8'!AK46</f>
        <v>4244.2106593439903</v>
      </c>
      <c r="BB46" s="7">
        <f>'a13'!AA46</f>
        <v>12651.935750302935</v>
      </c>
      <c r="BC46" s="7">
        <f>'a16'!X46</f>
        <v>-681.55306881782087</v>
      </c>
      <c r="BD46" s="7">
        <f>'a15'!CY45</f>
        <v>108481.78041401161</v>
      </c>
      <c r="BE46" s="7">
        <f>'a9'!Y44</f>
        <v>311.75783227172587</v>
      </c>
      <c r="BF46" s="7">
        <f>SUM(AZ46:BD46)-BE46</f>
        <v>194808.40889131292</v>
      </c>
      <c r="BG46" s="114">
        <f t="shared" si="49"/>
        <v>0.38465959997018262</v>
      </c>
      <c r="BH46" s="9">
        <f t="shared" si="60"/>
        <v>12.179771836052099</v>
      </c>
      <c r="BI46" s="44">
        <f>(BH46-$H$62)/$H$63</f>
        <v>0.53432136612352776</v>
      </c>
      <c r="BJ46" s="7">
        <f>'a7'!V46</f>
        <v>72797.384718275498</v>
      </c>
      <c r="BK46" s="7">
        <f>'a8'!AQ46</f>
        <v>4562.3545250062061</v>
      </c>
      <c r="BL46" s="7">
        <f>'a13'!AE46</f>
        <v>9391.4806092820036</v>
      </c>
      <c r="BM46" s="7">
        <f>'a16'!AB46</f>
        <v>-816.70548391856482</v>
      </c>
      <c r="BN46" s="7">
        <f>'a15'!DP45</f>
        <v>101479.78188953016</v>
      </c>
      <c r="BO46" s="7">
        <f>'a9'!AC44</f>
        <v>426.25723309184548</v>
      </c>
      <c r="BP46" s="7">
        <f>SUM(BJ46:BN46)-BO46</f>
        <v>186988.03902508348</v>
      </c>
      <c r="BQ46" s="114">
        <f t="shared" si="50"/>
        <v>0.36273031146914259</v>
      </c>
      <c r="BR46" s="9">
        <f t="shared" si="61"/>
        <v>12.138799931358331</v>
      </c>
      <c r="BS46" s="44">
        <f>(BR46-$H$62)/$H$63</f>
        <v>0.51128429942255593</v>
      </c>
      <c r="BT46" s="7">
        <f>'a7'!Y46</f>
        <v>61542.97284899342</v>
      </c>
      <c r="BU46" s="7">
        <f>'a8'!AW46</f>
        <v>1932.6501168261339</v>
      </c>
      <c r="BV46" s="7">
        <f>'a13'!AI46</f>
        <v>15644.686027358071</v>
      </c>
      <c r="BW46" s="7">
        <f>'a16'!AF46</f>
        <v>-667.87869238786368</v>
      </c>
      <c r="BX46" s="7">
        <f>'a15'!EG45</f>
        <v>118624.67199683824</v>
      </c>
      <c r="BY46" s="7">
        <f>'a9'!AG44</f>
        <v>535.11630218869232</v>
      </c>
      <c r="BZ46" s="7">
        <f>SUM(BT46:BX46)-BY46</f>
        <v>196541.98599543932</v>
      </c>
      <c r="CA46" s="114">
        <f t="shared" si="51"/>
        <v>0.38952076550397019</v>
      </c>
      <c r="CB46" s="9">
        <f t="shared" si="62"/>
        <v>12.18863135665543</v>
      </c>
      <c r="CC46" s="44">
        <f>(CB46-$H$62)/$H$63</f>
        <v>0.53930276419625633</v>
      </c>
      <c r="CD46" s="7">
        <f>'a7'!AB46</f>
        <v>80015.582522708879</v>
      </c>
      <c r="CE46" s="7">
        <f>'a8'!BC46</f>
        <v>1834.6965428916774</v>
      </c>
      <c r="CF46" s="7">
        <f>'a13'!AM46</f>
        <v>92179.116719372643</v>
      </c>
      <c r="CG46" s="7">
        <f>'a16'!AJ46</f>
        <v>-646.55610291090511</v>
      </c>
      <c r="CH46" s="7">
        <f>'a15'!EX45</f>
        <v>127120.85247800703</v>
      </c>
      <c r="CI46" s="7">
        <f>'a9'!AK44</f>
        <v>2318.5978151636291</v>
      </c>
      <c r="CJ46" s="7">
        <f>SUM(CD46:CH46)-CI46</f>
        <v>298185.09434490575</v>
      </c>
      <c r="CK46" s="9">
        <f t="shared" si="52"/>
        <v>0.6745406667701751</v>
      </c>
      <c r="CL46" s="9">
        <f t="shared" si="63"/>
        <v>12.605469694633904</v>
      </c>
      <c r="CM46" s="9">
        <f>(CL46-$H$62)/$H$63</f>
        <v>0.77367635915858646</v>
      </c>
      <c r="CN46" s="7">
        <f>'a7'!AE46</f>
        <v>124361.56352789211</v>
      </c>
      <c r="CO46" s="7">
        <f>'a8'!BI46</f>
        <v>2450.36911135634</v>
      </c>
      <c r="CP46" s="7">
        <f>'a13'!AQ46</f>
        <v>162647.40137503488</v>
      </c>
      <c r="CQ46" s="7">
        <f>'a16'!AN46</f>
        <v>-945.17464391590886</v>
      </c>
      <c r="CR46" s="7">
        <f>'a15'!FO45</f>
        <v>98251.477635840682</v>
      </c>
      <c r="CS46" s="7">
        <f>'a9'!AO44</f>
        <v>2234.153751721788</v>
      </c>
      <c r="CT46" s="7">
        <f>SUM(CN46:CR46)-CS46</f>
        <v>384531.48325448629</v>
      </c>
      <c r="CU46" s="9">
        <f t="shared" si="53"/>
        <v>0.91666666666666663</v>
      </c>
      <c r="CV46" s="9">
        <f t="shared" si="64"/>
        <v>12.85978094560174</v>
      </c>
      <c r="CW46" s="9">
        <f>(CV46-$H$62)/$H$63</f>
        <v>0.91666666666666674</v>
      </c>
      <c r="CX46" s="7">
        <f>'a7'!AH46</f>
        <v>71678.95416368224</v>
      </c>
      <c r="CY46" s="7">
        <f>'a8'!BO46</f>
        <v>2316.2756886783854</v>
      </c>
      <c r="CZ46" s="7">
        <f>'a13'!AU46</f>
        <v>41643.12248470317</v>
      </c>
      <c r="DA46" s="7">
        <f>'a16'!AR46</f>
        <v>-721.71482027718253</v>
      </c>
      <c r="DB46" s="7">
        <f>'a15'!GF45</f>
        <v>119590.37280987909</v>
      </c>
      <c r="DC46" s="7">
        <f>'a9'!AS44</f>
        <v>469.04208477451169</v>
      </c>
      <c r="DD46" s="7">
        <f>SUM(CX46:DB46)-DC46</f>
        <v>234037.96824189121</v>
      </c>
      <c r="DE46" s="44">
        <f t="shared" si="54"/>
        <v>0.49466415723318619</v>
      </c>
      <c r="DF46" s="9">
        <f t="shared" si="65"/>
        <v>12.363238638621503</v>
      </c>
      <c r="DG46" s="44">
        <f>(DF46-$H$62)/$H$63</f>
        <v>0.63747832208628719</v>
      </c>
    </row>
    <row r="47" spans="1:111">
      <c r="A47" s="1">
        <v>2009</v>
      </c>
      <c r="B47" s="7">
        <f>'a7'!D47</f>
        <v>77787.550032348576</v>
      </c>
      <c r="C47" s="7">
        <f>'a8'!G47</f>
        <v>3526.3780501547531</v>
      </c>
      <c r="D47" s="7">
        <f>'a13'!G47</f>
        <v>27068.292730781399</v>
      </c>
      <c r="E47" s="7">
        <f>'a16'!D47</f>
        <v>-3825.3772352613573</v>
      </c>
      <c r="F47" s="7">
        <f>'a15'!R46</f>
        <v>106022.00193392082</v>
      </c>
      <c r="G47" s="7">
        <f>'a9'!E45</f>
        <v>605.92904341659141</v>
      </c>
      <c r="H47" s="7">
        <f>SUM(B47:F47)-G47</f>
        <v>209972.9164685276</v>
      </c>
      <c r="I47" s="9">
        <f t="shared" ref="I47" si="66">(H47-D$62)/D$63</f>
        <v>0.42718276285445739</v>
      </c>
      <c r="J47" s="9">
        <f t="shared" ref="J47" si="67">LN(H47)</f>
        <v>12.254733832184876</v>
      </c>
      <c r="K47" s="9">
        <f>(J47-$H$62)/$H$63</f>
        <v>0.57646987051589094</v>
      </c>
      <c r="L47" s="7">
        <f>'a7'!G47</f>
        <v>79905.85327358637</v>
      </c>
      <c r="M47" s="7">
        <f>'a8'!M47</f>
        <v>1764.8603438932682</v>
      </c>
      <c r="N47" s="7">
        <f>'a13'!K47</f>
        <v>164398.79993203052</v>
      </c>
      <c r="O47" s="7">
        <f>'a16'!H47</f>
        <v>-4213.934686278395</v>
      </c>
      <c r="P47" s="7">
        <f>'a15'!AI46</f>
        <v>106162.64374853135</v>
      </c>
      <c r="Q47" s="7">
        <f>'a9'!I45</f>
        <v>574.27317717558299</v>
      </c>
      <c r="R47" s="7">
        <f>SUM(L47:P47)-Q47</f>
        <v>347443.9494345875</v>
      </c>
      <c r="S47" s="9">
        <f t="shared" ref="S47" si="68">(R47-D$62)/D$63</f>
        <v>0.8126686150603466</v>
      </c>
      <c r="T47" s="9">
        <f t="shared" ref="T47" si="69">LN(R47)</f>
        <v>12.758358634386175</v>
      </c>
      <c r="U47" s="9">
        <f>(T47-$H$62)/$H$63</f>
        <v>0.85964045404846057</v>
      </c>
      <c r="V47" s="7">
        <f>'a7'!J47</f>
        <v>59746.840825814848</v>
      </c>
      <c r="W47" s="7">
        <f>'a8'!S47</f>
        <v>1810.2160913155187</v>
      </c>
      <c r="X47" s="7">
        <f>'a13'!O47</f>
        <v>461.70461346271964</v>
      </c>
      <c r="Y47" s="7">
        <f>'a16'!L47</f>
        <v>-2747.5583965238757</v>
      </c>
      <c r="Z47" s="7">
        <f>'a15'!AZ46</f>
        <v>96913.37193604889</v>
      </c>
      <c r="AA47" s="7">
        <f>'a9'!M45</f>
        <v>405.00493570125087</v>
      </c>
      <c r="AB47" s="7">
        <f>SUM(V47:Z47)-AA47</f>
        <v>155779.57013441683</v>
      </c>
      <c r="AC47" s="9">
        <f t="shared" ref="AC47" si="70">(AB47-D$62)/D$63</f>
        <v>0.27521788818408738</v>
      </c>
      <c r="AD47" s="9">
        <f t="shared" ref="AD47" si="71">LN(AB47)</f>
        <v>11.956197275030004</v>
      </c>
      <c r="AE47" s="9">
        <f>(AD47-$H$62)/$H$63</f>
        <v>0.4086132226187924</v>
      </c>
      <c r="AF47" s="7">
        <f>'a7'!M47</f>
        <v>64240.717945659999</v>
      </c>
      <c r="AG47" s="7">
        <f>'a8'!Y47</f>
        <v>2219.910503770237</v>
      </c>
      <c r="AH47" s="7">
        <f>'a13'!S47</f>
        <v>7768.0967254355237</v>
      </c>
      <c r="AI47" s="7">
        <f>'a16'!P47</f>
        <v>-2908.5141152791662</v>
      </c>
      <c r="AJ47" s="7">
        <f>'a15'!BQ46</f>
        <v>92121.639750650502</v>
      </c>
      <c r="AK47" s="7">
        <f>'a9'!Q45</f>
        <v>660.55066535499827</v>
      </c>
      <c r="AL47" s="7">
        <f>SUM(AF47:AJ47)-AK47</f>
        <v>162781.30014488212</v>
      </c>
      <c r="AM47" s="114">
        <f t="shared" ref="AM47" si="72">(AL47-D$62)/D$63</f>
        <v>0.29485160884337808</v>
      </c>
      <c r="AN47" s="9">
        <f t="shared" ref="AN47" si="73">LN(AL47)</f>
        <v>12.00016286197828</v>
      </c>
      <c r="AO47" s="44">
        <f>(AN47-$H$62)/$H$63</f>
        <v>0.43333353197821756</v>
      </c>
      <c r="AP47" s="7">
        <f>'a7'!P47</f>
        <v>66503.408405442766</v>
      </c>
      <c r="AQ47" s="7">
        <f>'a8'!AE47</f>
        <v>1632.4444555899017</v>
      </c>
      <c r="AR47" s="159">
        <f>'a13'!W47</f>
        <v>19422.102890290527</v>
      </c>
      <c r="AS47" s="7">
        <f>'a16'!T47</f>
        <v>-3002.6834057138581</v>
      </c>
      <c r="AT47" s="7">
        <f>'a15'!CH46</f>
        <v>96475.747931157865</v>
      </c>
      <c r="AU47" s="7">
        <f>'a9'!U45</f>
        <v>702.40723357292791</v>
      </c>
      <c r="AV47" s="7">
        <f>SUM(AP47:AT47)-AU47</f>
        <v>180328.61304319429</v>
      </c>
      <c r="AW47" s="114">
        <f t="shared" ref="AW47" si="74">(AV47-D$62)/D$63</f>
        <v>0.34405645382478789</v>
      </c>
      <c r="AX47" s="9">
        <f t="shared" ref="AX47" si="75">LN(AV47)</f>
        <v>12.102536093456713</v>
      </c>
      <c r="AY47" s="44">
        <f>(AX47-$H$62)/$H$63</f>
        <v>0.49089441374804688</v>
      </c>
      <c r="AZ47" s="7">
        <f>'a7'!S47</f>
        <v>71125.397066076577</v>
      </c>
      <c r="BA47" s="7">
        <f>'a8'!AK47</f>
        <v>4272.2708631023606</v>
      </c>
      <c r="BB47" s="7">
        <f>'a13'!AA47</f>
        <v>8677.893544245504</v>
      </c>
      <c r="BC47" s="7">
        <f>'a16'!X47</f>
        <v>-3335.4116061099735</v>
      </c>
      <c r="BD47" s="7">
        <f>'a15'!CY46</f>
        <v>109160.39755200516</v>
      </c>
      <c r="BE47" s="7">
        <f>'a9'!Y45</f>
        <v>306.06800576220724</v>
      </c>
      <c r="BF47" s="7">
        <f>SUM(AZ47:BD47)-BE47</f>
        <v>189594.47941355742</v>
      </c>
      <c r="BG47" s="114">
        <f t="shared" ref="BG47" si="76">(BF47-D$62)/D$63</f>
        <v>0.37003909407371349</v>
      </c>
      <c r="BH47" s="9">
        <f t="shared" ref="BH47" si="77">LN(BF47)</f>
        <v>12.152642751362048</v>
      </c>
      <c r="BI47" s="44">
        <f>(BH47-$H$62)/$H$63</f>
        <v>0.51906763217554075</v>
      </c>
      <c r="BJ47" s="7">
        <f>'a7'!V47</f>
        <v>72785.685309493376</v>
      </c>
      <c r="BK47" s="7">
        <f>'a8'!AQ47</f>
        <v>4576.2839869380441</v>
      </c>
      <c r="BL47" s="7">
        <f>'a13'!AE47</f>
        <v>5713.6699740227941</v>
      </c>
      <c r="BM47" s="7">
        <f>'a16'!AB47</f>
        <v>-3921.0970449333749</v>
      </c>
      <c r="BN47" s="7">
        <f>'a15'!DP46</f>
        <v>101929.21985889052</v>
      </c>
      <c r="BO47" s="7">
        <f>'a9'!AC45</f>
        <v>366.41368438069924</v>
      </c>
      <c r="BP47" s="7">
        <f>SUM(BJ47:BN47)-BO47</f>
        <v>180717.34840003063</v>
      </c>
      <c r="BQ47" s="114">
        <f t="shared" ref="BQ47" si="78">(BP47-D$62)/D$63</f>
        <v>0.3451465160515671</v>
      </c>
      <c r="BR47" s="9">
        <f t="shared" ref="BR47" si="79">LN(BP47)</f>
        <v>12.104689478612988</v>
      </c>
      <c r="BS47" s="44">
        <f>(BR47-$H$62)/$H$63</f>
        <v>0.49210518678505266</v>
      </c>
      <c r="BT47" s="7">
        <f>'a7'!Y47</f>
        <v>62409.619191152233</v>
      </c>
      <c r="BU47" s="7">
        <f>'a8'!AW47</f>
        <v>1929.5036311991928</v>
      </c>
      <c r="BV47" s="7">
        <f>'a13'!AI47</f>
        <v>10016.257621785762</v>
      </c>
      <c r="BW47" s="7">
        <f>'a16'!AF47</f>
        <v>-3294.237152332299</v>
      </c>
      <c r="BX47" s="7">
        <f>'a15'!EG46</f>
        <v>119176.3903997344</v>
      </c>
      <c r="BY47" s="7">
        <f>'a9'!AG45</f>
        <v>497.11849817013075</v>
      </c>
      <c r="BZ47" s="7">
        <f>SUM(BT47:BX47)-BY47</f>
        <v>189740.41519336918</v>
      </c>
      <c r="CA47" s="114">
        <f t="shared" ref="CA47" si="80">(BZ47-D$62)/D$63</f>
        <v>0.37044831612751117</v>
      </c>
      <c r="CB47" s="9">
        <f t="shared" ref="CB47" si="81">LN(BZ47)</f>
        <v>12.153412181167143</v>
      </c>
      <c r="CC47" s="44">
        <f>(CB47-$H$62)/$H$63</f>
        <v>0.51950025560064539</v>
      </c>
      <c r="CD47" s="7">
        <f>'a7'!AB47</f>
        <v>81239.508972360505</v>
      </c>
      <c r="CE47" s="7">
        <f>'a8'!BC47</f>
        <v>1827.9422803586272</v>
      </c>
      <c r="CF47" s="7">
        <f>'a13'!AM47</f>
        <v>80495.621313091513</v>
      </c>
      <c r="CG47" s="7">
        <f>'a16'!AJ47</f>
        <v>-3522.8057348458024</v>
      </c>
      <c r="CH47" s="7">
        <f>'a15'!EX46</f>
        <v>127709.01865337623</v>
      </c>
      <c r="CI47" s="7">
        <f>'a9'!AK45</f>
        <v>2268.5384169866134</v>
      </c>
      <c r="CJ47" s="7">
        <f>SUM(CD47:CH47)-CI47</f>
        <v>285480.7470673545</v>
      </c>
      <c r="CK47" s="9">
        <f t="shared" ref="CK47" si="82">(CJ47-D$62)/D$63</f>
        <v>0.63891609895147317</v>
      </c>
      <c r="CL47" s="9">
        <f t="shared" ref="CL47" si="83">LN(CJ47)</f>
        <v>12.561929869963164</v>
      </c>
      <c r="CM47" s="9">
        <f>(CL47-$H$62)/$H$63</f>
        <v>0.74919544101271807</v>
      </c>
      <c r="CN47" s="7">
        <f>'a7'!AE47</f>
        <v>122721.61868090974</v>
      </c>
      <c r="CO47" s="7">
        <f>'a8'!BI47</f>
        <v>2531.824165856684</v>
      </c>
      <c r="CP47" s="7">
        <f>'a13'!AQ47</f>
        <v>143380.97180443461</v>
      </c>
      <c r="CQ47" s="7">
        <f>'a16'!AN47</f>
        <v>-5187.0051845982862</v>
      </c>
      <c r="CR47" s="7">
        <f>'a15'!FO46</f>
        <v>98629.424995165304</v>
      </c>
      <c r="CS47" s="7">
        <f>'a9'!AO45</f>
        <v>2096.2733709422946</v>
      </c>
      <c r="CT47" s="7">
        <f>SUM(CN47:CR47)-CS47</f>
        <v>359980.56109082582</v>
      </c>
      <c r="CU47" s="9">
        <f t="shared" ref="CU47" si="84">(CT47-D$62)/D$63</f>
        <v>0.84782283136184522</v>
      </c>
      <c r="CV47" s="9">
        <f t="shared" ref="CV47" si="85">LN(CT47)</f>
        <v>12.793805312004476</v>
      </c>
      <c r="CW47" s="9">
        <f>(CV47-$H$62)/$H$63</f>
        <v>0.87957087912203202</v>
      </c>
      <c r="CX47" s="7">
        <f>'a7'!AH47</f>
        <v>72352.886313272757</v>
      </c>
      <c r="CY47" s="7">
        <f>'a8'!BO47</f>
        <v>2388.468730937333</v>
      </c>
      <c r="CZ47" s="7">
        <f>'a13'!AU47</f>
        <v>34309.639884075616</v>
      </c>
      <c r="DA47" s="7">
        <f>'a16'!AR47</f>
        <v>-3587.6449612662677</v>
      </c>
      <c r="DB47" s="7">
        <f>'a15'!GF46</f>
        <v>121048.74277659999</v>
      </c>
      <c r="DC47" s="7">
        <f>'a9'!AS45</f>
        <v>446.31394919534387</v>
      </c>
      <c r="DD47" s="7">
        <f>SUM(CX47:DB47)-DC47</f>
        <v>226065.77879442408</v>
      </c>
      <c r="DE47" s="44">
        <f t="shared" ref="DE47" si="86">(DD47-D$62)/D$63</f>
        <v>0.47230914776830207</v>
      </c>
      <c r="DF47" s="9">
        <f t="shared" ref="DF47" si="87">LN(DD47)</f>
        <v>12.328581292518161</v>
      </c>
      <c r="DG47" s="44">
        <f>(DF47-$H$62)/$H$63</f>
        <v>0.61799171047208967</v>
      </c>
    </row>
    <row r="48" spans="1:111">
      <c r="A48" s="1">
        <v>2010</v>
      </c>
      <c r="B48" s="7">
        <f>'a7'!D48</f>
        <v>78748.460219242261</v>
      </c>
      <c r="C48" s="7">
        <f>'a8'!G48</f>
        <v>3494.6573660945023</v>
      </c>
      <c r="D48" s="7">
        <f>'a13'!G48</f>
        <v>28010.083236856801</v>
      </c>
      <c r="E48" s="7">
        <f>'a16'!D48</f>
        <v>-3700.7225654546814</v>
      </c>
      <c r="F48" s="7">
        <f>'a15'!R47</f>
        <v>107093.46362773265</v>
      </c>
      <c r="G48" s="7">
        <f>'a9'!E46</f>
        <v>590.38445397574412</v>
      </c>
      <c r="H48" s="7">
        <f>SUM(B48:F48)-G48</f>
        <v>213055.55743049577</v>
      </c>
      <c r="I48" s="9">
        <f t="shared" ref="I48" si="88">(H48-D$62)/D$63</f>
        <v>0.43582687101768375</v>
      </c>
      <c r="J48" s="9">
        <f t="shared" ref="J48" si="89">LN(H48)</f>
        <v>12.26930824368757</v>
      </c>
      <c r="K48" s="9">
        <f>(J48-$H$62)/$H$63</f>
        <v>0.58466455153998442</v>
      </c>
      <c r="L48" s="7">
        <f>'a7'!G48</f>
        <v>82455.138806330317</v>
      </c>
      <c r="M48" s="7">
        <f>'a8'!M48</f>
        <v>1867.1514017590398</v>
      </c>
      <c r="N48" s="7">
        <f>'a13'!K48</f>
        <v>157098.35419911749</v>
      </c>
      <c r="O48" s="7">
        <f>'a16'!H48</f>
        <v>-4035.8764343353878</v>
      </c>
      <c r="P48" s="7">
        <f>'a15'!AI47</f>
        <v>107080.9891671855</v>
      </c>
      <c r="Q48" s="7">
        <f>'a9'!I46</f>
        <v>566.15434397081469</v>
      </c>
      <c r="R48" s="7">
        <f>SUM(L48:P48)-Q48</f>
        <v>343899.60279608611</v>
      </c>
      <c r="S48" s="9">
        <f t="shared" ref="S48" si="90">(R48-D$62)/D$63</f>
        <v>0.80272982683000638</v>
      </c>
      <c r="T48" s="9">
        <f t="shared" ref="T48" si="91">LN(R48)</f>
        <v>12.748105041421395</v>
      </c>
      <c r="U48" s="9">
        <f>(T48-$H$62)/$H$63</f>
        <v>0.85387521792337062</v>
      </c>
      <c r="V48" s="7">
        <f>'a7'!J48</f>
        <v>60856.423882023817</v>
      </c>
      <c r="W48" s="7">
        <f>'a8'!S48</f>
        <v>1888.8943129875549</v>
      </c>
      <c r="X48" s="7">
        <f>'a13'!O48</f>
        <v>448.37132798772689</v>
      </c>
      <c r="Y48" s="7">
        <f>'a16'!L48</f>
        <v>-2668.2133360850889</v>
      </c>
      <c r="Z48" s="7">
        <f>'a15'!AZ47</f>
        <v>99000.867151773258</v>
      </c>
      <c r="AA48" s="7">
        <f>'a9'!M46</f>
        <v>385.87526410736575</v>
      </c>
      <c r="AB48" s="7">
        <f>SUM(V48:Z48)-AA48</f>
        <v>159140.4680745799</v>
      </c>
      <c r="AC48" s="9">
        <f t="shared" ref="AC48" si="92">(AB48-D$62)/D$63</f>
        <v>0.28464226347746752</v>
      </c>
      <c r="AD48" s="9">
        <f t="shared" ref="AD48" si="93">LN(AB48)</f>
        <v>11.97754253820268</v>
      </c>
      <c r="AE48" s="9">
        <f>(AD48-$H$62)/$H$63</f>
        <v>0.42061491634365228</v>
      </c>
      <c r="AF48" s="7">
        <f>'a7'!M48</f>
        <v>64999.374009290128</v>
      </c>
      <c r="AG48" s="7">
        <f>'a8'!Y48</f>
        <v>2265.6199234030441</v>
      </c>
      <c r="AH48" s="7">
        <f>'a13'!S48</f>
        <v>7318.3730051614575</v>
      </c>
      <c r="AI48" s="7">
        <f>'a16'!P48</f>
        <v>-2843.2134321251501</v>
      </c>
      <c r="AJ48" s="7">
        <f>'a15'!BQ47</f>
        <v>94109.91835403342</v>
      </c>
      <c r="AK48" s="7">
        <f>'a9'!Q46</f>
        <v>644.64055639130856</v>
      </c>
      <c r="AL48" s="7">
        <f>SUM(AF48:AJ48)-AK48</f>
        <v>165205.43130337159</v>
      </c>
      <c r="AM48" s="114">
        <f t="shared" ref="AM48" si="94">(AL48-D$62)/D$63</f>
        <v>0.30164917372179045</v>
      </c>
      <c r="AN48" s="9">
        <f t="shared" ref="AN48" si="95">LN(AL48)</f>
        <v>12.014945016667626</v>
      </c>
      <c r="AO48" s="44">
        <f>(AN48-$H$62)/$H$63</f>
        <v>0.44164501971860437</v>
      </c>
      <c r="AP48" s="7">
        <f>'a7'!P48</f>
        <v>68108.492793529804</v>
      </c>
      <c r="AQ48" s="7">
        <f>'a8'!AE48</f>
        <v>1725.9803369848555</v>
      </c>
      <c r="AR48" s="159">
        <f>'a13'!W48</f>
        <v>17826.429201363768</v>
      </c>
      <c r="AS48" s="7">
        <f>'a16'!T48</f>
        <v>-2928.8507001666512</v>
      </c>
      <c r="AT48" s="7">
        <f>'a15'!CH47</f>
        <v>96903.836916702552</v>
      </c>
      <c r="AU48" s="7">
        <f>'a9'!U46</f>
        <v>676.79097497604062</v>
      </c>
      <c r="AV48" s="7">
        <f>SUM(AP48:AT48)-AU48</f>
        <v>180959.09757343831</v>
      </c>
      <c r="AW48" s="114">
        <f t="shared" ref="AW48" si="96">(AV48-D$62)/D$63</f>
        <v>0.34582441076233233</v>
      </c>
      <c r="AX48" s="9">
        <f t="shared" ref="AX48" si="97">LN(AV48)</f>
        <v>12.10602630445333</v>
      </c>
      <c r="AY48" s="44">
        <f>(AX48-$H$62)/$H$63</f>
        <v>0.49285683712402817</v>
      </c>
      <c r="AZ48" s="7">
        <f>'a7'!S48</f>
        <v>72458.268388687778</v>
      </c>
      <c r="BA48" s="7">
        <f>'a8'!AK48</f>
        <v>4292.7958736756264</v>
      </c>
      <c r="BB48" s="7">
        <f>'a13'!AA48</f>
        <v>7921.3062775012877</v>
      </c>
      <c r="BC48" s="7">
        <f>'a16'!X48</f>
        <v>-3248.6385468392505</v>
      </c>
      <c r="BD48" s="7">
        <f>'a15'!CY47</f>
        <v>110090.80747550845</v>
      </c>
      <c r="BE48" s="7">
        <f>'a9'!Y46</f>
        <v>297.60013838674229</v>
      </c>
      <c r="BF48" s="7">
        <f>SUM(AZ48:BD48)-BE48</f>
        <v>191216.93933014714</v>
      </c>
      <c r="BG48" s="114">
        <f t="shared" ref="BG48" si="98">(BF48-D$62)/D$63</f>
        <v>0.37458867321138462</v>
      </c>
      <c r="BH48" s="9">
        <f t="shared" ref="BH48" si="99">LN(BF48)</f>
        <v>12.161163870498093</v>
      </c>
      <c r="BI48" s="44">
        <f>(BH48-$H$62)/$H$63</f>
        <v>0.52385875895793443</v>
      </c>
      <c r="BJ48" s="7">
        <f>'a7'!V48</f>
        <v>73490.937285755514</v>
      </c>
      <c r="BK48" s="7">
        <f>'a8'!AQ48</f>
        <v>4584.5922972106873</v>
      </c>
      <c r="BL48" s="7">
        <f>'a13'!AE48</f>
        <v>5368.4083653452863</v>
      </c>
      <c r="BM48" s="7">
        <f>'a16'!AB48</f>
        <v>-3809.8938234224843</v>
      </c>
      <c r="BN48" s="7">
        <f>'a15'!DP47</f>
        <v>103118.35382189663</v>
      </c>
      <c r="BO48" s="7">
        <f>'a9'!AC46</f>
        <v>348.34582246905006</v>
      </c>
      <c r="BP48" s="7">
        <f>SUM(BJ48:BN48)-BO48</f>
        <v>182404.0521243166</v>
      </c>
      <c r="BQ48" s="114">
        <f t="shared" ref="BQ48" si="100">(BP48-D$62)/D$63</f>
        <v>0.34987624280597179</v>
      </c>
      <c r="BR48" s="9">
        <f t="shared" ref="BR48" si="101">LN(BP48)</f>
        <v>12.113979571969447</v>
      </c>
      <c r="BS48" s="44">
        <f>(BR48-$H$62)/$H$63</f>
        <v>0.49732868083324477</v>
      </c>
      <c r="BT48" s="7">
        <f>'a7'!Y48</f>
        <v>63402.168669237457</v>
      </c>
      <c r="BU48" s="7">
        <f>'a8'!AW48</f>
        <v>1926.0199503382855</v>
      </c>
      <c r="BV48" s="7">
        <f>'a13'!AI48</f>
        <v>9532.5933703907194</v>
      </c>
      <c r="BW48" s="7">
        <f>'a16'!AF48</f>
        <v>-3160.5012060509725</v>
      </c>
      <c r="BX48" s="7">
        <f>'a15'!EG47</f>
        <v>120331.81675989063</v>
      </c>
      <c r="BY48" s="7">
        <f>'a9'!AG46</f>
        <v>486.50132524303638</v>
      </c>
      <c r="BZ48" s="7">
        <f>SUM(BT48:BX48)-BY48</f>
        <v>191545.59621856309</v>
      </c>
      <c r="CA48" s="114">
        <f t="shared" ref="CA48" si="102">(BZ48-D$62)/D$63</f>
        <v>0.37551026795015141</v>
      </c>
      <c r="CB48" s="9">
        <f t="shared" ref="CB48" si="103">LN(BZ48)</f>
        <v>12.162881159619477</v>
      </c>
      <c r="CC48" s="44">
        <f>(CB48-$H$62)/$H$63</f>
        <v>0.52482433047163057</v>
      </c>
      <c r="CD48" s="7">
        <f>'a7'!AB48</f>
        <v>82599.072244394207</v>
      </c>
      <c r="CE48" s="7">
        <f>'a8'!BC48</f>
        <v>1815.9945900312164</v>
      </c>
      <c r="CF48" s="7">
        <f>'a13'!AM48</f>
        <v>74909.68461977932</v>
      </c>
      <c r="CG48" s="7">
        <f>'a16'!AJ48</f>
        <v>-3282.6759397015144</v>
      </c>
      <c r="CH48" s="7">
        <f>'a15'!EX47</f>
        <v>129459.78011360542</v>
      </c>
      <c r="CI48" s="7">
        <f>'a9'!AK46</f>
        <v>2247.701964115201</v>
      </c>
      <c r="CJ48" s="7">
        <f>SUM(CD48:CH48)-CI48</f>
        <v>283254.15366399341</v>
      </c>
      <c r="CK48" s="9">
        <f t="shared" ref="CK48" si="104">(CJ48-D$62)/D$63</f>
        <v>0.6326724544753124</v>
      </c>
      <c r="CL48" s="9">
        <f t="shared" ref="CL48" si="105">LN(CJ48)</f>
        <v>12.554099843086329</v>
      </c>
      <c r="CM48" s="9">
        <f>(CL48-$H$62)/$H$63</f>
        <v>0.74479289119766179</v>
      </c>
      <c r="CN48" s="7">
        <f>'a7'!AE48</f>
        <v>122917.82788570433</v>
      </c>
      <c r="CO48" s="7">
        <f>'a8'!BI48</f>
        <v>2632.9788270518256</v>
      </c>
      <c r="CP48" s="7">
        <f>'a13'!AQ48</f>
        <v>136303.93284270604</v>
      </c>
      <c r="CQ48" s="7">
        <f>'a16'!AN48</f>
        <v>-4937.3450729223387</v>
      </c>
      <c r="CR48" s="7">
        <f>'a15'!FO47</f>
        <v>98960.432901142922</v>
      </c>
      <c r="CS48" s="7">
        <f>'a9'!AO46</f>
        <v>2062.7277601690203</v>
      </c>
      <c r="CT48" s="7">
        <f>SUM(CN48:CR48)-CS48</f>
        <v>353815.09962351382</v>
      </c>
      <c r="CU48" s="9">
        <f t="shared" ref="CU48" si="106">(CT48-D$62)/D$63</f>
        <v>0.83053411157346535</v>
      </c>
      <c r="CV48" s="9">
        <f t="shared" ref="CV48" si="107">LN(CT48)</f>
        <v>12.776529738212934</v>
      </c>
      <c r="CW48" s="9">
        <f>(CV48-$H$62)/$H$63</f>
        <v>0.86985742916875586</v>
      </c>
      <c r="CX48" s="7">
        <f>'a7'!AH48</f>
        <v>73504.356692621441</v>
      </c>
      <c r="CY48" s="7">
        <f>'a8'!BO48</f>
        <v>2464.5546702196111</v>
      </c>
      <c r="CZ48" s="7">
        <f>'a13'!AU48</f>
        <v>31959.808235314889</v>
      </c>
      <c r="DA48" s="7">
        <f>'a16'!AR48</f>
        <v>-3467.1176120256277</v>
      </c>
      <c r="DB48" s="7">
        <f>'a15'!GF47</f>
        <v>122490.50510472561</v>
      </c>
      <c r="DC48" s="7">
        <f>'a9'!AS46</f>
        <v>437.18183628647586</v>
      </c>
      <c r="DD48" s="7">
        <f>SUM(CX48:DB48)-DC48</f>
        <v>226514.92525456948</v>
      </c>
      <c r="DE48" s="44">
        <f t="shared" ref="DE48" si="108">(DD48-D$62)/D$63</f>
        <v>0.47356861023263919</v>
      </c>
      <c r="DF48" s="9">
        <f t="shared" ref="DF48" si="109">LN(DD48)</f>
        <v>12.330566116897897</v>
      </c>
      <c r="DG48" s="44">
        <f>(DF48-$H$62)/$H$63</f>
        <v>0.61910770768938905</v>
      </c>
    </row>
    <row r="49" spans="1:149">
      <c r="B49" s="257" t="s">
        <v>967</v>
      </c>
      <c r="C49" s="7"/>
      <c r="D49" s="7"/>
      <c r="E49" s="7"/>
      <c r="F49" s="11"/>
      <c r="G49" s="7"/>
      <c r="H49" s="7"/>
      <c r="I49" s="114"/>
      <c r="J49" s="9"/>
      <c r="K49" s="114"/>
      <c r="L49" s="257" t="s">
        <v>967</v>
      </c>
      <c r="M49" s="7"/>
      <c r="N49" s="7"/>
      <c r="O49" s="7"/>
      <c r="P49" s="7"/>
      <c r="Q49" s="7"/>
      <c r="R49" s="7"/>
      <c r="S49" s="114"/>
      <c r="T49" s="9"/>
      <c r="U49" s="44"/>
      <c r="V49" s="257" t="s">
        <v>967</v>
      </c>
      <c r="W49" s="7"/>
      <c r="X49" s="7"/>
      <c r="Y49" s="7"/>
      <c r="Z49" s="7"/>
      <c r="AA49" s="7"/>
      <c r="AB49" s="7"/>
      <c r="AC49" s="114"/>
      <c r="AD49" s="9"/>
      <c r="AE49" s="44"/>
      <c r="AF49" s="257" t="s">
        <v>967</v>
      </c>
      <c r="AG49" s="7"/>
      <c r="AH49" s="7"/>
      <c r="AI49" s="7"/>
      <c r="AJ49" s="7"/>
      <c r="AK49" s="7"/>
      <c r="AL49" s="7"/>
      <c r="AM49" s="114"/>
      <c r="AN49" s="9"/>
      <c r="AO49" s="44"/>
      <c r="AP49" s="257" t="s">
        <v>967</v>
      </c>
      <c r="AQ49" s="7"/>
      <c r="AR49" s="159"/>
      <c r="AS49" s="7"/>
      <c r="AT49" s="7"/>
      <c r="AU49" s="7"/>
      <c r="AV49" s="7"/>
      <c r="AW49" s="114"/>
      <c r="AX49" s="9"/>
      <c r="AY49" s="44"/>
      <c r="AZ49" s="257" t="s">
        <v>967</v>
      </c>
      <c r="BA49" s="7"/>
      <c r="BB49" s="7"/>
      <c r="BC49" s="7"/>
      <c r="BD49" s="7"/>
      <c r="BE49" s="7"/>
      <c r="BF49" s="7"/>
      <c r="BG49" s="114"/>
      <c r="BH49" s="9"/>
      <c r="BI49" s="44"/>
      <c r="BJ49" s="257" t="s">
        <v>967</v>
      </c>
      <c r="BK49" s="7"/>
      <c r="BL49" s="7"/>
      <c r="BM49" s="7"/>
      <c r="BN49" s="7"/>
      <c r="BO49" s="7"/>
      <c r="BP49" s="7"/>
      <c r="BQ49" s="114"/>
      <c r="BR49" s="9"/>
      <c r="BS49" s="44"/>
      <c r="BT49" s="257" t="s">
        <v>967</v>
      </c>
      <c r="BU49" s="7"/>
      <c r="BV49" s="7"/>
      <c r="BW49" s="7"/>
      <c r="BX49" s="7"/>
      <c r="BY49" s="7"/>
      <c r="BZ49" s="7"/>
      <c r="CA49" s="114"/>
      <c r="CB49" s="9"/>
      <c r="CC49" s="44"/>
      <c r="CD49" s="257" t="s">
        <v>967</v>
      </c>
      <c r="CE49" s="7"/>
      <c r="CF49" s="7"/>
      <c r="CG49" s="7"/>
      <c r="CH49" s="7"/>
      <c r="CI49" s="7"/>
      <c r="CJ49" s="7"/>
      <c r="CK49" s="114"/>
      <c r="CL49" s="9"/>
      <c r="CM49" s="44"/>
      <c r="CN49" s="257" t="s">
        <v>967</v>
      </c>
      <c r="CO49" s="7"/>
      <c r="CP49" s="7"/>
      <c r="CQ49" s="7"/>
      <c r="CR49" s="7"/>
      <c r="CS49" s="7"/>
      <c r="CT49" s="7"/>
      <c r="CU49" s="114"/>
      <c r="CV49" s="9"/>
      <c r="CW49" s="44"/>
      <c r="CX49" s="257" t="s">
        <v>967</v>
      </c>
      <c r="CY49" s="7"/>
      <c r="CZ49" s="7"/>
      <c r="DA49" s="7"/>
      <c r="DB49" s="7"/>
      <c r="DC49" s="7"/>
      <c r="DD49" s="7"/>
      <c r="DE49" s="44"/>
      <c r="DF49" s="9"/>
      <c r="DG49" s="44"/>
    </row>
    <row r="50" spans="1:149">
      <c r="A50" s="1" t="s">
        <v>988</v>
      </c>
      <c r="B50" s="13">
        <f t="shared" ref="B50:H50" si="110">(POWER(B48/B19, 1/29)-1)*100</f>
        <v>1.3576488654022167</v>
      </c>
      <c r="C50" s="13">
        <f t="shared" si="110"/>
        <v>3.6726127157667099</v>
      </c>
      <c r="D50" s="13">
        <f t="shared" si="110"/>
        <v>0.23262061728537287</v>
      </c>
      <c r="E50" s="13">
        <f t="shared" si="110"/>
        <v>-3.3086540299143263</v>
      </c>
      <c r="F50" s="13">
        <f t="shared" si="110"/>
        <v>1.1201397919554656</v>
      </c>
      <c r="G50" s="13">
        <f t="shared" si="110"/>
        <v>-0.29125951484213486</v>
      </c>
      <c r="H50" s="13">
        <f t="shared" si="110"/>
        <v>1.2703623523113938</v>
      </c>
      <c r="J50" s="13">
        <f>(POWER(J48/J19, 1/29)-1)*100</f>
        <v>0.10450846031917482</v>
      </c>
      <c r="L50" s="13">
        <f t="shared" ref="L50:R50" si="111">(POWER(L48/L19, 1/29)-1)*100</f>
        <v>2.3964198028731731</v>
      </c>
      <c r="M50" s="13">
        <f t="shared" si="111"/>
        <v>5.456631964221903</v>
      </c>
      <c r="N50" s="13">
        <f t="shared" si="111"/>
        <v>7.8697031110960047</v>
      </c>
      <c r="O50" s="13">
        <f t="shared" si="111"/>
        <v>-1.3822197475435449</v>
      </c>
      <c r="P50" s="13">
        <f t="shared" si="111"/>
        <v>1.6334830474413753</v>
      </c>
      <c r="Q50" s="13">
        <f t="shared" si="111"/>
        <v>0.58399527826455966</v>
      </c>
      <c r="R50" s="13">
        <f t="shared" si="111"/>
        <v>3.7042352931155653</v>
      </c>
      <c r="T50" s="13">
        <f>(POWER(T48/T19, 1/29)-1)*100</f>
        <v>0.29826136819277593</v>
      </c>
      <c r="V50" s="13">
        <f t="shared" ref="V50:AB50" si="112">(POWER(V48/V19, 1/29)-1)*100</f>
        <v>2.2388039362957857</v>
      </c>
      <c r="W50" s="13">
        <f t="shared" si="112"/>
        <v>5.9492374103419676</v>
      </c>
      <c r="X50" s="13">
        <f t="shared" si="112"/>
        <v>-0.75360679326039737</v>
      </c>
      <c r="Y50" s="13">
        <f t="shared" si="112"/>
        <v>-3.3409948465644046</v>
      </c>
      <c r="Z50" s="13">
        <f t="shared" si="112"/>
        <v>1.6256146802437366</v>
      </c>
      <c r="AA50" s="13">
        <f t="shared" si="112"/>
        <v>-0.58706547653692986</v>
      </c>
      <c r="AB50" s="13">
        <f t="shared" si="112"/>
        <v>2.090032391806429</v>
      </c>
      <c r="AD50" s="13">
        <f>(POWER(AD48/AD19, 1/29)-1)*100</f>
        <v>0.17732905231881979</v>
      </c>
      <c r="AF50" s="13">
        <f t="shared" ref="AF50:AL50" si="113">(POWER(AF48/AF19, 1/29)-1)*100</f>
        <v>1.6939070394085931</v>
      </c>
      <c r="AG50" s="13">
        <f t="shared" si="113"/>
        <v>3.2324990760550731</v>
      </c>
      <c r="AH50" s="13">
        <f t="shared" si="113"/>
        <v>-1.5934819285327695</v>
      </c>
      <c r="AI50" s="13">
        <f t="shared" si="113"/>
        <v>-3.6179526179117572</v>
      </c>
      <c r="AJ50" s="13">
        <f t="shared" si="113"/>
        <v>1.3571138725266829</v>
      </c>
      <c r="AK50" s="13">
        <f t="shared" si="113"/>
        <v>0.19719358200140924</v>
      </c>
      <c r="AL50" s="13">
        <f t="shared" si="113"/>
        <v>1.500279034766927</v>
      </c>
      <c r="AN50" s="13">
        <f>(POWER(AN48/AN19, 1/29)-1)*100</f>
        <v>0.12630224448277882</v>
      </c>
      <c r="AP50" s="13">
        <f t="shared" ref="AP50:AV50" si="114">(POWER(AP48/AP19, 1/29)-1)*100</f>
        <v>1.7137107242355398</v>
      </c>
      <c r="AQ50" s="13">
        <f t="shared" si="114"/>
        <v>1.9393117483884392</v>
      </c>
      <c r="AR50" s="13">
        <f t="shared" si="114"/>
        <v>0.52034362663366807</v>
      </c>
      <c r="AS50" s="13">
        <f t="shared" si="114"/>
        <v>-3.0614973182392591</v>
      </c>
      <c r="AT50" s="13">
        <f t="shared" si="114"/>
        <v>1.4527108172177616</v>
      </c>
      <c r="AU50" s="13">
        <f t="shared" si="114"/>
        <v>0.45846941312934764</v>
      </c>
      <c r="AV50" s="13">
        <f t="shared" si="114"/>
        <v>1.6089778006131761</v>
      </c>
      <c r="AX50" s="13">
        <f>(POWER(AX48/AX19, 1/29)-1)*100</f>
        <v>0.13452656352554992</v>
      </c>
      <c r="AZ50" s="13">
        <f t="shared" ref="AZ50:BF50" si="115">(POWER(AZ48/AZ19, 1/29)-1)*100</f>
        <v>1.4645149642981581</v>
      </c>
      <c r="BA50" s="13">
        <f t="shared" si="115"/>
        <v>5.520535139155025</v>
      </c>
      <c r="BB50" s="13">
        <f t="shared" si="115"/>
        <v>-0.96667253234928863</v>
      </c>
      <c r="BC50" s="13">
        <f t="shared" si="115"/>
        <v>-3.3204166499518739</v>
      </c>
      <c r="BD50" s="13">
        <f t="shared" si="115"/>
        <v>1.1539565389389494</v>
      </c>
      <c r="BE50" s="13">
        <f t="shared" si="115"/>
        <v>-0.51073050016087196</v>
      </c>
      <c r="BF50" s="13">
        <f t="shared" si="115"/>
        <v>1.3700177812745906</v>
      </c>
      <c r="BH50" s="13">
        <f>(POWER(BH48/BH19, 1/29)-1)*100</f>
        <v>0.11381072098970435</v>
      </c>
      <c r="BJ50" s="13">
        <f t="shared" ref="BJ50:BP50" si="116">(POWER(BJ48/BJ19, 1/29)-1)*100</f>
        <v>1.0934038508216171</v>
      </c>
      <c r="BK50" s="13">
        <f t="shared" si="116"/>
        <v>4.5920376330091939</v>
      </c>
      <c r="BL50" s="13">
        <f t="shared" si="116"/>
        <v>-1.4070334220760317</v>
      </c>
      <c r="BM50" s="13">
        <f t="shared" si="116"/>
        <v>-3.584999249678078</v>
      </c>
      <c r="BN50" s="13">
        <f t="shared" si="116"/>
        <v>1.0464269128400927</v>
      </c>
      <c r="BO50" s="13">
        <f t="shared" si="116"/>
        <v>-1.3759303615207497</v>
      </c>
      <c r="BP50" s="13">
        <f t="shared" si="116"/>
        <v>1.2370022258304081</v>
      </c>
      <c r="BR50" s="13">
        <f>(POWER(BR48/BR19, 1/29)-1)*100</f>
        <v>0.10306368888055584</v>
      </c>
      <c r="BT50" s="13">
        <f t="shared" ref="BT50:BZ50" si="117">(POWER(BT48/BT19, 1/29)-1)*100</f>
        <v>0.88002093101031686</v>
      </c>
      <c r="BU50" s="13">
        <f t="shared" si="117"/>
        <v>3.0013088611147154</v>
      </c>
      <c r="BV50" s="13">
        <f t="shared" si="117"/>
        <v>1.8551434974112269E-2</v>
      </c>
      <c r="BW50" s="13">
        <f t="shared" si="117"/>
        <v>-3.6284687379996683</v>
      </c>
      <c r="BX50" s="13">
        <f t="shared" si="117"/>
        <v>0.84440889768266914</v>
      </c>
      <c r="BY50" s="13">
        <f t="shared" si="117"/>
        <v>0.12592803670399277</v>
      </c>
      <c r="BZ50" s="13">
        <f t="shared" si="117"/>
        <v>0.9870661669784786</v>
      </c>
      <c r="CB50" s="13">
        <f>(POWER(CB48/CB19, 1/29)-1)*100</f>
        <v>8.1750119717649561E-2</v>
      </c>
      <c r="CD50" s="13">
        <f t="shared" ref="CD50:CJ50" si="118">(POWER(CD48/CD19, 1/29)-1)*100</f>
        <v>1.3586972673515163</v>
      </c>
      <c r="CE50" s="13">
        <f t="shared" si="118"/>
        <v>4.1897599468815994</v>
      </c>
      <c r="CF50" s="13">
        <f t="shared" si="118"/>
        <v>2.0200721636173702</v>
      </c>
      <c r="CG50" s="13">
        <f t="shared" si="118"/>
        <v>-3.460894368951184</v>
      </c>
      <c r="CH50" s="13">
        <f t="shared" si="118"/>
        <v>1.173931919172766</v>
      </c>
      <c r="CI50" s="13">
        <f t="shared" si="118"/>
        <v>1.8945974883234795</v>
      </c>
      <c r="CJ50" s="13">
        <f t="shared" si="118"/>
        <v>1.5716141396775685</v>
      </c>
      <c r="CL50" s="13">
        <f>(POWER(CL48/CL19, 1/29)-1)*100</f>
        <v>0.12658626568395892</v>
      </c>
      <c r="CN50" s="13">
        <f t="shared" ref="CN50:CT50" si="119">(POWER(CN48/CN19, 1/29)-1)*100</f>
        <v>1.5483775954512558</v>
      </c>
      <c r="CO50" s="13">
        <f t="shared" si="119"/>
        <v>3.1315885265978505</v>
      </c>
      <c r="CP50" s="13">
        <f t="shared" si="119"/>
        <v>0.27629385685266072</v>
      </c>
      <c r="CQ50" s="13">
        <f t="shared" si="119"/>
        <v>-3.4554669532813054</v>
      </c>
      <c r="CR50" s="13">
        <f t="shared" si="119"/>
        <v>0.9824592309283009</v>
      </c>
      <c r="CS50" s="13">
        <f t="shared" si="119"/>
        <v>-0.22928680397469314</v>
      </c>
      <c r="CT50" s="13">
        <f t="shared" si="119"/>
        <v>1.0114690260066173</v>
      </c>
      <c r="CV50" s="13">
        <f>(POWER(CV48/CV19, 1/29)-1)*100</f>
        <v>7.971382949221173E-2</v>
      </c>
      <c r="CX50" s="13">
        <f t="shared" ref="CX50:DD50" si="120">(POWER(CX48/CX19, 1/29)-1)*100</f>
        <v>1.2263381862950284</v>
      </c>
      <c r="CY50" s="13">
        <f t="shared" si="120"/>
        <v>5.0052030897405064</v>
      </c>
      <c r="CZ50" s="13">
        <f t="shared" si="120"/>
        <v>-0.52996077206267644</v>
      </c>
      <c r="DA50" s="13">
        <f t="shared" si="120"/>
        <v>-3.6345471026970944</v>
      </c>
      <c r="DB50" s="13">
        <f t="shared" si="120"/>
        <v>1.0813990054097777</v>
      </c>
      <c r="DC50" s="13">
        <f t="shared" si="120"/>
        <v>-0.49403963682755903</v>
      </c>
      <c r="DD50" s="13">
        <f t="shared" si="120"/>
        <v>1.0251001704725926</v>
      </c>
      <c r="DF50" s="13">
        <f>(POWER(DF48/DF19, 1/29)-1)*100</f>
        <v>8.3754850029427175E-2</v>
      </c>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row>
    <row r="51" spans="1:149">
      <c r="B51" s="267" t="s">
        <v>968</v>
      </c>
      <c r="C51" s="13"/>
      <c r="D51" s="13"/>
      <c r="E51" s="13"/>
      <c r="F51" s="13"/>
      <c r="G51" s="13"/>
      <c r="H51" s="13"/>
      <c r="I51" s="13"/>
      <c r="J51" s="13"/>
      <c r="K51" s="13"/>
      <c r="L51" s="267" t="s">
        <v>968</v>
      </c>
      <c r="M51" s="13"/>
      <c r="N51" s="13"/>
      <c r="O51" s="13"/>
      <c r="P51" s="13"/>
      <c r="Q51" s="13"/>
      <c r="R51" s="13"/>
      <c r="S51" s="13"/>
      <c r="T51" s="13"/>
      <c r="U51" s="13"/>
      <c r="V51" s="267" t="s">
        <v>968</v>
      </c>
      <c r="W51" s="13"/>
      <c r="X51" s="13"/>
      <c r="Y51" s="13"/>
      <c r="Z51" s="13"/>
      <c r="AA51" s="13"/>
      <c r="AB51" s="13"/>
      <c r="AC51" s="13"/>
      <c r="AD51" s="13"/>
      <c r="AE51" s="13"/>
      <c r="AF51" s="267" t="s">
        <v>968</v>
      </c>
      <c r="AG51" s="13"/>
      <c r="AH51" s="13"/>
      <c r="AI51" s="13"/>
      <c r="AJ51" s="13"/>
      <c r="AK51" s="13"/>
      <c r="AL51" s="13"/>
      <c r="AM51" s="13"/>
      <c r="AN51" s="13"/>
      <c r="AO51" s="13"/>
      <c r="AP51" s="267" t="s">
        <v>968</v>
      </c>
      <c r="AQ51" s="13"/>
      <c r="AR51" s="13"/>
      <c r="AS51" s="13"/>
      <c r="AT51" s="13"/>
      <c r="AU51" s="13"/>
      <c r="AV51" s="13"/>
      <c r="AW51" s="13"/>
      <c r="AX51" s="13"/>
      <c r="AY51" s="13"/>
      <c r="AZ51" s="267" t="s">
        <v>968</v>
      </c>
      <c r="BA51" s="13"/>
      <c r="BB51" s="13"/>
      <c r="BC51" s="13"/>
      <c r="BD51" s="13"/>
      <c r="BE51" s="13"/>
      <c r="BF51" s="13"/>
      <c r="BG51" s="13"/>
      <c r="BH51" s="13"/>
      <c r="BI51" s="13"/>
      <c r="BJ51" s="267" t="s">
        <v>968</v>
      </c>
      <c r="BK51" s="13"/>
      <c r="BL51" s="13"/>
      <c r="BM51" s="13"/>
      <c r="BN51" s="13"/>
      <c r="BO51" s="13"/>
      <c r="BP51" s="13"/>
      <c r="BQ51" s="13"/>
      <c r="BR51" s="13"/>
      <c r="BS51" s="13"/>
      <c r="BT51" s="267" t="s">
        <v>968</v>
      </c>
      <c r="BU51" s="13"/>
      <c r="BV51" s="13"/>
      <c r="BW51" s="13"/>
      <c r="BX51" s="13"/>
      <c r="BY51" s="13"/>
      <c r="BZ51" s="13"/>
      <c r="CA51" s="13"/>
      <c r="CB51" s="13"/>
      <c r="CC51" s="13"/>
      <c r="CD51" s="267" t="s">
        <v>968</v>
      </c>
      <c r="CE51" s="13"/>
      <c r="CF51" s="13"/>
      <c r="CG51" s="13"/>
      <c r="CH51" s="13"/>
      <c r="CI51" s="13"/>
      <c r="CJ51" s="13"/>
      <c r="CK51" s="13"/>
      <c r="CL51" s="13"/>
      <c r="CM51" s="13"/>
      <c r="CN51" s="267" t="s">
        <v>968</v>
      </c>
      <c r="CO51" s="13"/>
      <c r="CP51" s="13"/>
      <c r="CQ51" s="13"/>
      <c r="CR51" s="13"/>
      <c r="CS51" s="13"/>
      <c r="CT51" s="13"/>
      <c r="CU51" s="13"/>
      <c r="CV51" s="13"/>
      <c r="CW51" s="13"/>
      <c r="CX51" s="267" t="s">
        <v>968</v>
      </c>
      <c r="CY51" s="13"/>
      <c r="CZ51" s="13"/>
      <c r="DA51" s="13"/>
      <c r="DB51" s="13"/>
      <c r="DC51" s="13"/>
      <c r="DD51" s="13"/>
      <c r="DE51" s="13"/>
      <c r="DF51" s="13"/>
      <c r="DG51" s="13"/>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row>
    <row r="52" spans="1:149" s="252" customFormat="1">
      <c r="A52" s="252" t="s">
        <v>988</v>
      </c>
      <c r="B52" s="271"/>
      <c r="C52" s="271"/>
      <c r="D52" s="271"/>
      <c r="E52" s="271"/>
      <c r="F52" s="271"/>
      <c r="G52" s="271"/>
      <c r="H52" s="271"/>
      <c r="I52" s="271">
        <f>I47-I19</f>
        <v>0.1745028957728057</v>
      </c>
      <c r="J52" s="271"/>
      <c r="K52" s="271">
        <f>K47-K19</f>
        <v>0.19764190638267004</v>
      </c>
      <c r="L52" s="271"/>
      <c r="M52" s="271"/>
      <c r="N52" s="271"/>
      <c r="O52" s="271"/>
      <c r="P52" s="271"/>
      <c r="Q52" s="271"/>
      <c r="R52" s="271"/>
      <c r="S52" s="271">
        <f>S47-S19</f>
        <v>0.63843738939870631</v>
      </c>
      <c r="T52" s="271"/>
      <c r="U52" s="271">
        <f>U47-U19</f>
        <v>0.5988481363054452</v>
      </c>
      <c r="V52" s="271"/>
      <c r="W52" s="271"/>
      <c r="X52" s="271"/>
      <c r="Y52" s="271"/>
      <c r="Z52" s="271"/>
      <c r="AA52" s="271"/>
      <c r="AB52" s="271"/>
      <c r="AC52" s="271">
        <f>AC47-AC19</f>
        <v>0.19188455485075406</v>
      </c>
      <c r="AD52" s="271"/>
      <c r="AE52" s="271">
        <f>AE47-AE19</f>
        <v>0.32527988928545915</v>
      </c>
      <c r="AF52" s="271"/>
      <c r="AG52" s="271"/>
      <c r="AH52" s="271"/>
      <c r="AI52" s="271"/>
      <c r="AJ52" s="271"/>
      <c r="AK52" s="271"/>
      <c r="AL52" s="271"/>
      <c r="AM52" s="271">
        <f>AM47-AM19</f>
        <v>0.1556632186591029</v>
      </c>
      <c r="AN52" s="271"/>
      <c r="AO52" s="271">
        <f>AO47-AO19</f>
        <v>0.23450235013185111</v>
      </c>
      <c r="AP52" s="271"/>
      <c r="AQ52" s="271"/>
      <c r="AR52" s="271"/>
      <c r="AS52" s="271"/>
      <c r="AT52" s="271"/>
      <c r="AU52" s="271"/>
      <c r="AV52" s="271"/>
      <c r="AW52" s="271">
        <f>AW47-AW19</f>
        <v>0.18625473261290282</v>
      </c>
      <c r="AX52" s="271"/>
      <c r="AY52" s="271">
        <f>AY47-AY19</f>
        <v>0.25830416808541679</v>
      </c>
      <c r="AZ52" s="271"/>
      <c r="BA52" s="271"/>
      <c r="BB52" s="271"/>
      <c r="BC52" s="271"/>
      <c r="BD52" s="271"/>
      <c r="BE52" s="271"/>
      <c r="BF52" s="271"/>
      <c r="BG52" s="271">
        <f>BG47-BG19</f>
        <v>0.17028033402998907</v>
      </c>
      <c r="BH52" s="271"/>
      <c r="BI52" s="271">
        <f>BI47-BI19</f>
        <v>0.21708323228697562</v>
      </c>
      <c r="BJ52" s="271"/>
      <c r="BK52" s="271"/>
      <c r="BL52" s="271"/>
      <c r="BM52" s="271"/>
      <c r="BN52" s="271"/>
      <c r="BO52" s="271"/>
      <c r="BP52" s="271"/>
      <c r="BQ52" s="271">
        <f>BQ47-BQ19</f>
        <v>0.148663467509973</v>
      </c>
      <c r="BR52" s="271"/>
      <c r="BS52" s="271">
        <f>BS47-BS19</f>
        <v>0.19524084737123476</v>
      </c>
      <c r="BT52" s="271"/>
      <c r="BU52" s="271"/>
      <c r="BV52" s="271"/>
      <c r="BW52" s="271"/>
      <c r="BX52" s="271"/>
      <c r="BY52" s="271"/>
      <c r="BZ52" s="271"/>
      <c r="CA52" s="271">
        <f>CA47-CA19</f>
        <v>0.12807323082179312</v>
      </c>
      <c r="CB52" s="271"/>
      <c r="CC52" s="271">
        <f>CC47-CC19</f>
        <v>0.15483467360129016</v>
      </c>
      <c r="CD52" s="271"/>
      <c r="CE52" s="271"/>
      <c r="CF52" s="271"/>
      <c r="CG52" s="271"/>
      <c r="CH52" s="271"/>
      <c r="CI52" s="271"/>
      <c r="CJ52" s="271"/>
      <c r="CK52" s="271">
        <f>CK47-CK19</f>
        <v>0.29519326332762086</v>
      </c>
      <c r="CL52" s="271"/>
      <c r="CM52" s="271">
        <f>CM47-CM19</f>
        <v>0.25867211122006017</v>
      </c>
      <c r="CN52" s="271"/>
      <c r="CO52" s="271"/>
      <c r="CP52" s="271"/>
      <c r="CQ52" s="271"/>
      <c r="CR52" s="271"/>
      <c r="CS52" s="271"/>
      <c r="CT52" s="271"/>
      <c r="CU52" s="271">
        <f>CU47-CU19</f>
        <v>0.2684208663890062</v>
      </c>
      <c r="CV52" s="271"/>
      <c r="CW52" s="271">
        <f>CW47-CW19</f>
        <v>0.17381188354908284</v>
      </c>
      <c r="CX52" s="271"/>
      <c r="CY52" s="271"/>
      <c r="CZ52" s="271"/>
      <c r="DA52" s="271"/>
      <c r="DB52" s="271"/>
      <c r="DC52" s="271"/>
      <c r="DD52" s="271"/>
      <c r="DE52" s="271">
        <f>DE47-DE19</f>
        <v>0.16136989610876196</v>
      </c>
      <c r="DF52" s="271"/>
      <c r="DG52" s="271">
        <f>DG47-DG19</f>
        <v>0.16518268296367661</v>
      </c>
      <c r="DH52" s="269"/>
      <c r="DI52" s="269"/>
      <c r="DJ52" s="269"/>
      <c r="DK52" s="269"/>
      <c r="DL52" s="269"/>
      <c r="DM52" s="269"/>
      <c r="DN52" s="269"/>
      <c r="DO52" s="269"/>
      <c r="DP52" s="269"/>
      <c r="DQ52" s="269"/>
      <c r="DR52" s="269"/>
      <c r="DS52" s="269"/>
      <c r="DT52" s="269"/>
      <c r="DU52" s="269"/>
      <c r="DV52" s="269"/>
      <c r="DW52" s="269"/>
      <c r="DX52" s="269"/>
      <c r="DY52" s="269"/>
      <c r="DZ52" s="269"/>
      <c r="EA52" s="269"/>
      <c r="EB52" s="269"/>
      <c r="EC52" s="269"/>
      <c r="ED52" s="269"/>
      <c r="EE52" s="269"/>
      <c r="EF52" s="269"/>
      <c r="EG52" s="269"/>
      <c r="EH52" s="269"/>
      <c r="EI52" s="269"/>
      <c r="EJ52" s="269"/>
      <c r="EK52" s="269"/>
      <c r="EL52" s="269"/>
      <c r="EM52" s="269"/>
      <c r="EN52" s="269"/>
      <c r="EO52" s="269"/>
      <c r="EP52" s="269"/>
      <c r="EQ52" s="269"/>
      <c r="ER52" s="269"/>
      <c r="ES52" s="269"/>
    </row>
    <row r="53" spans="1:149">
      <c r="B53" s="1" t="s">
        <v>613</v>
      </c>
      <c r="L53" s="1" t="s">
        <v>380</v>
      </c>
      <c r="V53" s="1" t="s">
        <v>380</v>
      </c>
      <c r="AF53" s="1" t="s">
        <v>380</v>
      </c>
      <c r="AP53" s="1" t="s">
        <v>380</v>
      </c>
      <c r="AZ53" s="1" t="s">
        <v>380</v>
      </c>
      <c r="BJ53" s="1" t="s">
        <v>380</v>
      </c>
      <c r="BT53" s="1" t="s">
        <v>380</v>
      </c>
      <c r="CD53" s="1" t="s">
        <v>380</v>
      </c>
      <c r="CN53" s="1" t="s">
        <v>380</v>
      </c>
      <c r="CX53" s="1" t="s">
        <v>380</v>
      </c>
    </row>
    <row r="54" spans="1:149">
      <c r="B54" s="1" t="s">
        <v>614</v>
      </c>
      <c r="H54" s="136"/>
      <c r="I54" s="136"/>
    </row>
    <row r="55" spans="1:149">
      <c r="B55" s="1" t="s">
        <v>1045</v>
      </c>
    </row>
    <row r="56" spans="1:149">
      <c r="B56" s="1">
        <f>(B48-B19)/B19</f>
        <v>0.47856121416742703</v>
      </c>
      <c r="C56" s="1">
        <f>(C48-C19)/C19</f>
        <v>1.8461465870525053</v>
      </c>
      <c r="F56" s="1">
        <f>(F48-F19)/F19</f>
        <v>0.38131325198436689</v>
      </c>
      <c r="H56" s="1">
        <f>(H48-H19)/H19</f>
        <v>0.44207734322711595</v>
      </c>
      <c r="I56" s="1">
        <f>(I48-I19)/I19</f>
        <v>0.72481834841574222</v>
      </c>
      <c r="L56" s="1">
        <f>(L48-L19)/L19</f>
        <v>0.98727694270488697</v>
      </c>
      <c r="P56" s="1">
        <f>(P48-P19)/P19</f>
        <v>0.59980655708212449</v>
      </c>
      <c r="R56" s="1">
        <f>(R48-R19)/R19</f>
        <v>1.8714304945587632</v>
      </c>
      <c r="S56" s="1">
        <f>(S48-S19)/S19</f>
        <v>3.6072672896701095</v>
      </c>
      <c r="W56" s="1">
        <f>(W48-W19)/W19</f>
        <v>4.3436403320295334</v>
      </c>
      <c r="Z56" s="1">
        <f>(Z48-Z19)/Z19</f>
        <v>0.59621863803403319</v>
      </c>
      <c r="AC56" s="1">
        <f>(AC48-AC19)/AC19</f>
        <v>2.4157071617296104</v>
      </c>
      <c r="AJ56" s="1">
        <f>(AJ48-AJ19)/AJ19</f>
        <v>0.47833490784567179</v>
      </c>
      <c r="AM56" s="1">
        <f>(AM48-AM19)/AM19</f>
        <v>1.1672006790396037</v>
      </c>
      <c r="AT56" s="1">
        <f>(AT48-AT19)/AT19</f>
        <v>0.51930868485647019</v>
      </c>
      <c r="AW56" s="1">
        <f>(AW48-AW19)/AW19</f>
        <v>1.1915122858386544</v>
      </c>
      <c r="BA56" s="1">
        <f>(BA48-BA19)/BA19</f>
        <v>3.7508636464129639</v>
      </c>
      <c r="BD56" s="1">
        <f>(BD48-BD19)/BD19</f>
        <v>0.39477244515145671</v>
      </c>
      <c r="BG56" s="1">
        <f>(BG48-BG19)/BG19</f>
        <v>0.87520523820528495</v>
      </c>
      <c r="BN56" s="1">
        <f>(BN48-BN19)/BN19</f>
        <v>0.35240843862878724</v>
      </c>
      <c r="BQ56" s="1">
        <f>(BQ48-BQ19)/BQ19</f>
        <v>0.78069429094747289</v>
      </c>
      <c r="BT56" s="1">
        <f>(BT48-BT19)/BT19</f>
        <v>0.28928742422441595</v>
      </c>
      <c r="BX56" s="1">
        <f>(BX48-BX19)/BX19</f>
        <v>0.27615350015987949</v>
      </c>
      <c r="BZ56" s="1">
        <f>(BZ48-BZ19)/BZ19</f>
        <v>0.32955683788533868</v>
      </c>
      <c r="CA56" s="1">
        <f>(CA48-CA19)/CA19</f>
        <v>0.5492940104652434</v>
      </c>
      <c r="CH56" s="1">
        <f>(CH48-CH19)/CH19</f>
        <v>0.40278211626520916</v>
      </c>
      <c r="CI56" s="1">
        <f>(CI48-CI19)/CI19</f>
        <v>0.72339006084353263</v>
      </c>
      <c r="CK56" s="1">
        <f>(CK48-CK19)/CK19</f>
        <v>0.84064714038280419</v>
      </c>
      <c r="CP56" s="1">
        <f>(CP48-CP19)/CP19</f>
        <v>8.3303026154578103E-2</v>
      </c>
      <c r="CR56" s="1">
        <f>(CR48-CR19)/CR19</f>
        <v>0.32779901955104085</v>
      </c>
      <c r="CU56" s="1">
        <f>(CU48-CU19)/CU19</f>
        <v>0.43343337058306108</v>
      </c>
      <c r="DB56" s="1">
        <f>(DB48-DB19)/DB19</f>
        <v>0.36604837392090855</v>
      </c>
      <c r="DE56" s="1">
        <f>(DE48-DE19)/DE19</f>
        <v>0.52302614644216261</v>
      </c>
    </row>
    <row r="57" spans="1:149">
      <c r="C57" s="1" t="s">
        <v>572</v>
      </c>
      <c r="D57" s="136">
        <f>MAX(H19:H48,R19:R48,AB19:AB48,AL19:AL48,AV19:AV48,BF19:BF48,BP19:BP48,BZ19:BZ48,CJ19:CJ48,CT19:CT48,DD19:DD48)</f>
        <v>384531.48325448629</v>
      </c>
      <c r="F57" s="1" t="s">
        <v>572</v>
      </c>
      <c r="H57" s="134">
        <f>MAX(J19:J48,T19:T48,AD19:AD48,AN19:AN48,AX19:AX48,BH19:BH48,BR19:BR48,CB19:CB48,CL19:CL48,CV19:CV48,DF19:DF48)</f>
        <v>12.85978094560174</v>
      </c>
    </row>
    <row r="58" spans="1:149">
      <c r="C58" s="1" t="s">
        <v>573</v>
      </c>
      <c r="D58" s="136">
        <f>MIN(H19:H48,R19:R48,AB19:AB48,AL19:AL48,AV19:AV48,BF19:BF48,BP19:BP48,BZ19:BZ48,CJ19:CJ48,CT19:CT48,DD19:DD48)</f>
        <v>87350.1639328194</v>
      </c>
      <c r="F58" s="1" t="s">
        <v>573</v>
      </c>
      <c r="H58" s="134">
        <f>MIN(J19:J48,T19:T48,AD19:AD48,AN19:AN48,AX19:AX48,BH19:BH48,BR19:BR48,CB19:CB48,CL19:CL48,CV19:CV48,DF19:DF48)</f>
        <v>11.377680192295639</v>
      </c>
    </row>
    <row r="59" spans="1:149">
      <c r="C59" s="1" t="s">
        <v>574</v>
      </c>
      <c r="D59" s="141">
        <f>D57-D58</f>
        <v>297181.3193216669</v>
      </c>
      <c r="F59" s="1" t="s">
        <v>574</v>
      </c>
      <c r="H59" s="134">
        <f>H57-H58</f>
        <v>1.482100753306101</v>
      </c>
    </row>
    <row r="60" spans="1:149">
      <c r="C60" s="1" t="s">
        <v>575</v>
      </c>
      <c r="D60" s="141">
        <f>D59/10</f>
        <v>29718.131932166689</v>
      </c>
      <c r="F60" s="1" t="s">
        <v>575</v>
      </c>
      <c r="H60" s="134">
        <f>H59/10</f>
        <v>0.14821007533061009</v>
      </c>
    </row>
    <row r="61" spans="1:149">
      <c r="C61" s="1" t="s">
        <v>576</v>
      </c>
      <c r="D61" s="141">
        <f>D57+D60</f>
        <v>414249.61518665298</v>
      </c>
      <c r="F61" s="1" t="s">
        <v>576</v>
      </c>
      <c r="H61" s="134">
        <f>H57+H60</f>
        <v>13.00799102093235</v>
      </c>
    </row>
    <row r="62" spans="1:149">
      <c r="C62" s="1" t="s">
        <v>577</v>
      </c>
      <c r="D62" s="141">
        <f>D58-D60</f>
        <v>57632.032000652711</v>
      </c>
      <c r="F62" s="1" t="s">
        <v>577</v>
      </c>
      <c r="H62" s="134">
        <f>H58-H60</f>
        <v>11.229470116965029</v>
      </c>
    </row>
    <row r="63" spans="1:149">
      <c r="C63" s="1" t="s">
        <v>578</v>
      </c>
      <c r="D63" s="141">
        <f>D61-D62</f>
        <v>356617.58318600029</v>
      </c>
      <c r="F63" s="1" t="s">
        <v>578</v>
      </c>
      <c r="H63" s="134">
        <f>H61-H62</f>
        <v>1.7785209039673209</v>
      </c>
    </row>
    <row r="66" spans="2:102" ht="15">
      <c r="B66" s="66">
        <f t="shared" ref="B66:H66" si="121">100*(POWER(B$27/B$19, 1/8)-1)</f>
        <v>1.5933962652483702</v>
      </c>
      <c r="C66" s="66">
        <f t="shared" si="121"/>
        <v>5.2456785220222235</v>
      </c>
      <c r="D66" s="66">
        <f t="shared" si="121"/>
        <v>-5.9074730841227048</v>
      </c>
      <c r="E66" s="66">
        <f t="shared" si="121"/>
        <v>1.0345761251699725</v>
      </c>
      <c r="F66" s="66">
        <f t="shared" si="121"/>
        <v>0.95366402206278345</v>
      </c>
      <c r="G66" s="66">
        <f t="shared" si="121"/>
        <v>0.59006209919389985</v>
      </c>
      <c r="H66" s="66">
        <f t="shared" si="121"/>
        <v>0.24709817550101487</v>
      </c>
      <c r="I66" s="67"/>
      <c r="J66" s="67"/>
      <c r="K66" s="67"/>
      <c r="L66" s="66">
        <f>100*(POWER(L$27/L$19, 1/8)-1)</f>
        <v>2.472640148833416</v>
      </c>
      <c r="N66" s="66">
        <f>100*(POWER(N$27/N$19, 1/8)-1)</f>
        <v>-3.3849758957319565</v>
      </c>
      <c r="R66" s="66">
        <f>100*(POWER(R$27/R$19, 1/8)-1)</f>
        <v>1.4912568491278311</v>
      </c>
      <c r="V66" s="66">
        <f>100*(POWER(V$27/V$19, 1/8)-1)</f>
        <v>2.1443518676083295</v>
      </c>
      <c r="AF66" s="66">
        <f>100*(POWER(AF$27/AF$19, 1/8)-1)</f>
        <v>2.4031399924594243</v>
      </c>
      <c r="AP66" s="66">
        <f>100*(POWER(AP$27/AP$19, 1/8)-1)</f>
        <v>1.0622027914734433</v>
      </c>
      <c r="AZ66" s="66">
        <f>100*(POWER(AZ$27/AZ$19, 1/8)-1)</f>
        <v>1.9646499184011956</v>
      </c>
      <c r="BJ66" s="66">
        <f>100*(POWER(BJ$27/BJ$19, 1/8)-1)</f>
        <v>1.8508578214014415</v>
      </c>
      <c r="BT66" s="66">
        <f>100*(POWER(BT$27/BT$19, 1/8)-1)</f>
        <v>0.69754009209936907</v>
      </c>
      <c r="CD66" s="66">
        <f>100*(POWER(CD$27/CD$19, 1/8)-1)</f>
        <v>1.3501244650767408</v>
      </c>
      <c r="CN66" s="66">
        <f>100*(POWER(CN$27/CN$19, 1/8)-1)</f>
        <v>1.0671034282032199</v>
      </c>
      <c r="CP66" s="66">
        <f>100*(POWER(CP$27/CP$19, 1/8)-1)</f>
        <v>-10.438737809133801</v>
      </c>
      <c r="CT66" s="66">
        <f>100*(POWER(CT$27/CT$19, 1/8)-1)</f>
        <v>-3.287060238431605</v>
      </c>
      <c r="CX66" s="66">
        <f>100*(POWER(CX$27/CX$19, 1/8)-1)</f>
        <v>0.64399342485002009</v>
      </c>
    </row>
    <row r="67" spans="2:102" ht="15">
      <c r="B67" s="66">
        <f t="shared" ref="B67:H67" si="122">100*(POWER(B$38/B$27, 1/11)-1)</f>
        <v>0.80765976471761647</v>
      </c>
      <c r="C67" s="66">
        <f t="shared" si="122"/>
        <v>3.515190681249436</v>
      </c>
      <c r="D67" s="66">
        <f t="shared" si="122"/>
        <v>3.7493263902916851</v>
      </c>
      <c r="E67" s="66">
        <f t="shared" si="122"/>
        <v>-3.8040235602124883</v>
      </c>
      <c r="F67" s="66">
        <f t="shared" si="122"/>
        <v>1.3806505862726581</v>
      </c>
      <c r="G67" s="66">
        <f t="shared" si="122"/>
        <v>0.23319540365815961</v>
      </c>
      <c r="H67" s="66">
        <f t="shared" si="122"/>
        <v>1.7548320723524968</v>
      </c>
      <c r="I67" s="136"/>
      <c r="J67" s="136"/>
      <c r="K67" s="136"/>
      <c r="L67" s="66">
        <f>100*(POWER(L$38/L$27, 1/11)-1)</f>
        <v>2.4673854907761861</v>
      </c>
      <c r="N67" s="66">
        <f>100*(POWER(N$38/N$27, 1/11)-1)</f>
        <v>13.820399181776777</v>
      </c>
      <c r="R67" s="66">
        <f>100*(POWER(R$38/R$27, 1/11)-1)</f>
        <v>4.2515114048389924</v>
      </c>
      <c r="V67" s="66">
        <f>100*(POWER(V$38/V$27, 1/11)-1)</f>
        <v>2.1702765621622877</v>
      </c>
      <c r="AF67" s="66">
        <f>100*(POWER(AF$38/AF$27, 1/11)-1)</f>
        <v>1.1525855879831459</v>
      </c>
      <c r="AP67" s="66">
        <f>100*(POWER(AP$38/AP$27, 1/11)-1)</f>
        <v>1.3184548505572824</v>
      </c>
      <c r="AZ67" s="66">
        <f>100*(POWER(AZ$38/AZ$27, 1/11)-1)</f>
        <v>0.88448467563597699</v>
      </c>
      <c r="BJ67" s="66">
        <f>100*(POWER(BJ$38/BJ$27, 1/11)-1)</f>
        <v>0.5509407284675083</v>
      </c>
      <c r="BT67" s="66">
        <f>100*(POWER(BT$38/BT$27, 1/11)-1)</f>
        <v>0.65159773394356524</v>
      </c>
      <c r="CD67" s="66">
        <f>100*(POWER(CD$38/CD$27, 1/11)-1)</f>
        <v>1.3253534709020132</v>
      </c>
      <c r="CN67" s="66">
        <f>100*(POWER(CN$38/CN$27, 1/11)-1)</f>
        <v>1.0075982288403118</v>
      </c>
      <c r="CP67" s="66">
        <f>100*(POWER(CP$38/CP$27, 1/11)-1)</f>
        <v>6.0505618362154179</v>
      </c>
      <c r="CT67" s="66">
        <f>100*(POWER(CT$38/CT$27, 1/11)-1)</f>
        <v>2.8167103555844175</v>
      </c>
      <c r="CX67" s="66">
        <f>100*(POWER(CX$38/CX$27, 1/11)-1)</f>
        <v>0.68576129876758429</v>
      </c>
    </row>
    <row r="68" spans="2:102" ht="15">
      <c r="B68" s="66">
        <f t="shared" ref="B68:H68" si="123">100*(POWER(B$46/B$38, 1/8)-1)</f>
        <v>2.0299468134459486</v>
      </c>
      <c r="C68" s="66">
        <f t="shared" si="123"/>
        <v>3.4050184988395849</v>
      </c>
      <c r="D68" s="66">
        <f t="shared" si="123"/>
        <v>7.6336800021443274</v>
      </c>
      <c r="E68" s="66">
        <f t="shared" si="123"/>
        <v>-24.164858474116691</v>
      </c>
      <c r="F68" s="66">
        <f t="shared" si="123"/>
        <v>1.0065982130450735</v>
      </c>
      <c r="G68" s="66">
        <f t="shared" si="123"/>
        <v>-0.74891863617581045</v>
      </c>
      <c r="H68" s="66">
        <f t="shared" si="123"/>
        <v>2.8515118789511851</v>
      </c>
      <c r="I68" s="136"/>
      <c r="J68" s="136"/>
      <c r="K68" s="136"/>
      <c r="L68" s="66">
        <f>100*(POWER(L$46/L$38, 1/8)-1)</f>
        <v>2.336358066600952</v>
      </c>
      <c r="N68" s="66">
        <f>100*(POWER(N$46/N$38, 1/8)-1)</f>
        <v>13.698930919609564</v>
      </c>
      <c r="R68" s="66">
        <f>100*(POWER(R$46/R$38, 1/8)-1)</f>
        <v>5.9607829728296258</v>
      </c>
      <c r="V68" s="66">
        <f>100*(POWER(V$46/V$38, 1/8)-1)</f>
        <v>2.6657061090970879</v>
      </c>
      <c r="AF68" s="66">
        <f>100*(POWER(AF$46/AF$38, 1/8)-1)</f>
        <v>1.9477834543888406</v>
      </c>
      <c r="AP68" s="66">
        <f>100*(POWER(AP$46/AP$38, 1/8)-1)</f>
        <v>2.8400897321775309</v>
      </c>
      <c r="AZ68" s="66">
        <f>100*(POWER(AZ$46/AZ$38, 1/8)-1)</f>
        <v>1.7734960638299047</v>
      </c>
      <c r="BJ68" s="66">
        <f>100*(POWER(BJ$46/BJ$38, 1/8)-1)</f>
        <v>1.2417955935711156</v>
      </c>
      <c r="BT68" s="66">
        <f>100*(POWER(BT$46/BT$38, 1/8)-1)</f>
        <v>1.2233545888832298</v>
      </c>
      <c r="CD68" s="66">
        <f>100*(POWER(CD$46/CD$38, 1/8)-1)</f>
        <v>1.3524873289952</v>
      </c>
      <c r="CN68" s="66">
        <f>100*(POWER(CN$46/CN$38, 1/8)-1)</f>
        <v>3.3301042862939889</v>
      </c>
      <c r="CP68" s="66">
        <f>100*(POWER(CP$46/CP$38, 1/8)-1)</f>
        <v>6.349522185252221</v>
      </c>
      <c r="CT68" s="66">
        <f>100*(POWER(CT$46/CT$38, 1/8)-1)</f>
        <v>4.3016083281587125</v>
      </c>
      <c r="CX68" s="66">
        <f>100*(POWER(CX$46/CX$38, 1/8)-1)</f>
        <v>2.5545459437510187</v>
      </c>
    </row>
    <row r="69" spans="2:102">
      <c r="B69" s="136"/>
      <c r="C69" s="136"/>
      <c r="D69" s="136"/>
      <c r="E69" s="136"/>
      <c r="F69" s="136"/>
      <c r="G69" s="136"/>
      <c r="H69" s="136"/>
      <c r="I69" s="136"/>
      <c r="J69" s="136"/>
      <c r="K69" s="136"/>
      <c r="L69" s="136"/>
    </row>
    <row r="70" spans="2:102">
      <c r="B70" s="136"/>
      <c r="C70" s="136"/>
      <c r="D70" s="136"/>
      <c r="E70" s="136"/>
      <c r="F70" s="136"/>
      <c r="G70" s="136"/>
      <c r="H70" s="136"/>
      <c r="I70" s="136"/>
      <c r="J70" s="136"/>
      <c r="K70" s="136"/>
      <c r="L70" s="136"/>
    </row>
    <row r="71" spans="2:102">
      <c r="B71" s="136"/>
      <c r="C71" s="136"/>
      <c r="D71" s="136"/>
      <c r="E71" s="136"/>
      <c r="F71" s="136"/>
      <c r="G71" s="136"/>
      <c r="H71" s="136"/>
      <c r="I71" s="136"/>
      <c r="J71" s="136"/>
      <c r="K71" s="136"/>
      <c r="L71" s="136"/>
    </row>
    <row r="72" spans="2:102">
      <c r="B72" s="136"/>
      <c r="C72" s="136"/>
      <c r="D72" s="136"/>
      <c r="E72" s="136"/>
      <c r="F72" s="136"/>
      <c r="G72" s="136"/>
      <c r="H72" s="136"/>
      <c r="I72" s="136"/>
      <c r="J72" s="136"/>
      <c r="K72" s="136"/>
      <c r="L72" s="136"/>
    </row>
    <row r="73" spans="2:102">
      <c r="B73" s="136"/>
      <c r="C73" s="136"/>
      <c r="D73" s="136"/>
      <c r="E73" s="136"/>
      <c r="F73" s="136"/>
      <c r="G73" s="136"/>
      <c r="H73" s="136"/>
      <c r="I73" s="136"/>
      <c r="J73" s="136"/>
      <c r="K73" s="136"/>
      <c r="L73" s="136"/>
    </row>
    <row r="74" spans="2:102">
      <c r="B74" s="136"/>
      <c r="C74" s="136"/>
      <c r="D74" s="136"/>
      <c r="E74" s="136"/>
      <c r="F74" s="136"/>
      <c r="G74" s="136"/>
      <c r="H74" s="136"/>
      <c r="I74" s="136"/>
      <c r="J74" s="136"/>
      <c r="K74" s="136"/>
      <c r="L74" s="136"/>
    </row>
    <row r="75" spans="2:102">
      <c r="B75" s="136"/>
      <c r="C75" s="136"/>
      <c r="D75" s="136"/>
      <c r="E75" s="136"/>
      <c r="F75" s="136"/>
      <c r="G75" s="136"/>
      <c r="H75" s="136"/>
      <c r="I75" s="136"/>
      <c r="J75" s="136"/>
      <c r="K75" s="136"/>
      <c r="L75" s="136"/>
    </row>
    <row r="76" spans="2:102">
      <c r="B76" s="136"/>
      <c r="C76" s="136"/>
      <c r="D76" s="136"/>
      <c r="E76" s="136"/>
      <c r="F76" s="136"/>
      <c r="G76" s="136"/>
      <c r="H76" s="136"/>
      <c r="I76" s="136"/>
      <c r="J76" s="136"/>
      <c r="K76" s="136"/>
      <c r="L76" s="136"/>
    </row>
    <row r="77" spans="2:102">
      <c r="B77" s="136"/>
      <c r="C77" s="136"/>
      <c r="D77" s="136"/>
      <c r="E77" s="136"/>
      <c r="F77" s="136"/>
      <c r="G77" s="136"/>
      <c r="H77" s="136"/>
      <c r="I77" s="136"/>
      <c r="J77" s="136"/>
      <c r="K77" s="136"/>
      <c r="L77" s="136"/>
    </row>
    <row r="78" spans="2:102">
      <c r="B78" s="136"/>
      <c r="C78" s="136"/>
      <c r="D78" s="136"/>
      <c r="E78" s="136"/>
      <c r="F78" s="136"/>
      <c r="G78" s="136"/>
      <c r="H78" s="136"/>
      <c r="I78" s="136"/>
      <c r="J78" s="136"/>
      <c r="K78" s="136"/>
      <c r="L78" s="136"/>
    </row>
    <row r="79" spans="2:102">
      <c r="B79" s="136"/>
      <c r="C79" s="136"/>
      <c r="D79" s="136"/>
      <c r="E79" s="136"/>
      <c r="F79" s="136"/>
      <c r="G79" s="136"/>
      <c r="H79" s="136"/>
      <c r="I79" s="136"/>
      <c r="J79" s="136"/>
      <c r="K79" s="136"/>
      <c r="L79" s="136"/>
    </row>
    <row r="80" spans="2:102">
      <c r="B80" s="136"/>
      <c r="C80" s="136"/>
      <c r="D80" s="136"/>
      <c r="E80" s="136"/>
      <c r="F80" s="136"/>
      <c r="G80" s="136"/>
      <c r="H80" s="136"/>
      <c r="I80" s="136"/>
      <c r="J80" s="136"/>
      <c r="K80" s="136"/>
      <c r="L80" s="136"/>
    </row>
    <row r="81" spans="2:12">
      <c r="B81" s="136"/>
      <c r="C81" s="136"/>
      <c r="D81" s="136"/>
      <c r="E81" s="136"/>
      <c r="F81" s="136"/>
      <c r="G81" s="136"/>
      <c r="H81" s="136"/>
      <c r="I81" s="136"/>
      <c r="J81" s="136"/>
      <c r="K81" s="136"/>
      <c r="L81" s="136"/>
    </row>
    <row r="82" spans="2:12">
      <c r="B82" s="136"/>
      <c r="C82" s="136"/>
      <c r="D82" s="136"/>
      <c r="E82" s="136"/>
      <c r="F82" s="136"/>
      <c r="G82" s="136"/>
      <c r="H82" s="136"/>
      <c r="I82" s="136"/>
      <c r="J82" s="136"/>
      <c r="K82" s="136"/>
      <c r="L82" s="136"/>
    </row>
    <row r="83" spans="2:12">
      <c r="B83" s="136"/>
      <c r="C83" s="136"/>
      <c r="D83" s="136"/>
      <c r="E83" s="136"/>
      <c r="F83" s="136"/>
      <c r="G83" s="136"/>
      <c r="H83" s="136"/>
      <c r="I83" s="136"/>
      <c r="J83" s="136"/>
      <c r="K83" s="136"/>
      <c r="L83" s="136"/>
    </row>
    <row r="84" spans="2:12">
      <c r="B84" s="136"/>
      <c r="C84" s="136"/>
      <c r="D84" s="136"/>
      <c r="E84" s="136"/>
      <c r="F84" s="136"/>
      <c r="G84" s="136"/>
      <c r="H84" s="136"/>
      <c r="I84" s="136"/>
      <c r="J84" s="136"/>
      <c r="K84" s="136"/>
      <c r="L84" s="136"/>
    </row>
    <row r="85" spans="2:12">
      <c r="B85" s="136"/>
      <c r="C85" s="136"/>
      <c r="D85" s="136"/>
      <c r="E85" s="136"/>
      <c r="F85" s="136"/>
      <c r="G85" s="136"/>
      <c r="H85" s="136"/>
      <c r="I85" s="136"/>
      <c r="J85" s="136"/>
      <c r="K85" s="136"/>
      <c r="L85" s="136"/>
    </row>
    <row r="86" spans="2:12">
      <c r="B86" s="136"/>
      <c r="C86" s="136"/>
      <c r="D86" s="136"/>
      <c r="E86" s="136"/>
      <c r="F86" s="136"/>
      <c r="G86" s="136"/>
      <c r="H86" s="136"/>
      <c r="I86" s="136"/>
      <c r="J86" s="136"/>
      <c r="K86" s="136"/>
      <c r="L86" s="136"/>
    </row>
    <row r="87" spans="2:12">
      <c r="B87" s="136"/>
      <c r="C87" s="136"/>
      <c r="D87" s="136"/>
      <c r="E87" s="136"/>
      <c r="F87" s="136"/>
      <c r="G87" s="136"/>
      <c r="H87" s="136"/>
      <c r="I87" s="136"/>
      <c r="J87" s="136"/>
      <c r="K87" s="136"/>
      <c r="L87" s="136"/>
    </row>
    <row r="88" spans="2:12">
      <c r="B88" s="136"/>
      <c r="C88" s="136"/>
      <c r="D88" s="136"/>
      <c r="E88" s="136"/>
      <c r="F88" s="136"/>
      <c r="G88" s="136"/>
      <c r="H88" s="136"/>
      <c r="I88" s="136"/>
      <c r="J88" s="136"/>
      <c r="K88" s="136"/>
      <c r="L88" s="136"/>
    </row>
    <row r="89" spans="2:12">
      <c r="B89" s="136"/>
      <c r="C89" s="136"/>
      <c r="D89" s="136"/>
      <c r="E89" s="136"/>
      <c r="F89" s="136"/>
      <c r="G89" s="136"/>
      <c r="H89" s="136"/>
      <c r="I89" s="136"/>
      <c r="J89" s="136"/>
      <c r="K89" s="136"/>
      <c r="L89" s="136"/>
    </row>
    <row r="90" spans="2:12">
      <c r="B90" s="136"/>
      <c r="C90" s="136"/>
      <c r="D90" s="136"/>
      <c r="E90" s="136"/>
      <c r="F90" s="136"/>
      <c r="G90" s="136"/>
      <c r="H90" s="136"/>
      <c r="I90" s="136"/>
      <c r="J90" s="136"/>
      <c r="K90" s="136"/>
      <c r="L90" s="136"/>
    </row>
    <row r="91" spans="2:12">
      <c r="B91" s="136"/>
      <c r="C91" s="136"/>
      <c r="D91" s="136"/>
      <c r="E91" s="136"/>
      <c r="F91" s="136"/>
      <c r="G91" s="136"/>
      <c r="H91" s="136"/>
      <c r="I91" s="136"/>
      <c r="J91" s="136"/>
      <c r="K91" s="136"/>
      <c r="L91" s="136"/>
    </row>
    <row r="92" spans="2:12">
      <c r="B92" s="136"/>
      <c r="C92" s="136"/>
      <c r="D92" s="136"/>
      <c r="E92" s="136"/>
      <c r="F92" s="136"/>
      <c r="G92" s="136"/>
      <c r="H92" s="136"/>
      <c r="I92" s="136"/>
      <c r="J92" s="136"/>
      <c r="K92" s="136"/>
      <c r="L92" s="136"/>
    </row>
    <row r="93" spans="2:12">
      <c r="B93" s="136"/>
      <c r="C93" s="136"/>
      <c r="D93" s="136"/>
      <c r="E93" s="136"/>
      <c r="F93" s="136"/>
      <c r="G93" s="136"/>
      <c r="H93" s="136"/>
      <c r="I93" s="136"/>
      <c r="J93" s="136"/>
      <c r="K93" s="136"/>
      <c r="L93" s="136"/>
    </row>
    <row r="94" spans="2:12">
      <c r="B94" s="136"/>
      <c r="C94" s="136"/>
      <c r="D94" s="136"/>
      <c r="E94" s="136"/>
      <c r="F94" s="136"/>
      <c r="G94" s="136"/>
      <c r="H94" s="136"/>
      <c r="I94" s="136"/>
      <c r="J94" s="136"/>
      <c r="K94" s="136"/>
      <c r="L94" s="136"/>
    </row>
    <row r="95" spans="2:12">
      <c r="B95" s="136"/>
      <c r="C95" s="136"/>
      <c r="D95" s="136"/>
      <c r="E95" s="136"/>
      <c r="F95" s="136"/>
      <c r="G95" s="136"/>
      <c r="H95" s="136"/>
      <c r="I95" s="136"/>
      <c r="J95" s="136"/>
      <c r="K95" s="136"/>
      <c r="L95" s="136"/>
    </row>
    <row r="96" spans="2:12">
      <c r="B96" s="136"/>
      <c r="C96" s="136"/>
      <c r="D96" s="136"/>
      <c r="E96" s="136"/>
      <c r="F96" s="136"/>
      <c r="G96" s="136"/>
      <c r="H96" s="136"/>
      <c r="I96" s="136"/>
      <c r="J96" s="136"/>
      <c r="K96" s="136"/>
      <c r="L96" s="136"/>
    </row>
    <row r="97" spans="2:12">
      <c r="B97" s="136"/>
      <c r="C97" s="136"/>
      <c r="D97" s="136"/>
      <c r="E97" s="136"/>
      <c r="F97" s="136"/>
      <c r="G97" s="136"/>
      <c r="H97" s="136"/>
      <c r="I97" s="136"/>
      <c r="J97" s="136"/>
      <c r="K97" s="136"/>
      <c r="L97" s="136"/>
    </row>
    <row r="98" spans="2:12">
      <c r="B98" s="136"/>
      <c r="C98" s="136"/>
      <c r="D98" s="136"/>
      <c r="E98" s="136"/>
      <c r="F98" s="136"/>
      <c r="G98" s="136"/>
      <c r="H98" s="136"/>
      <c r="I98" s="136"/>
      <c r="J98" s="136"/>
      <c r="K98" s="136"/>
      <c r="L98" s="136"/>
    </row>
    <row r="99" spans="2:12">
      <c r="B99" s="136"/>
      <c r="C99" s="136"/>
      <c r="D99" s="136"/>
      <c r="E99" s="136"/>
      <c r="F99" s="136"/>
      <c r="G99" s="136"/>
      <c r="H99" s="136"/>
      <c r="I99" s="136"/>
      <c r="J99" s="136"/>
      <c r="K99" s="136"/>
      <c r="L99" s="136"/>
    </row>
    <row r="100" spans="2:12">
      <c r="B100" s="136"/>
      <c r="C100" s="136"/>
      <c r="D100" s="136"/>
      <c r="E100" s="136"/>
      <c r="F100" s="136"/>
      <c r="G100" s="136"/>
      <c r="H100" s="136"/>
      <c r="I100" s="136"/>
      <c r="J100" s="136"/>
      <c r="K100" s="136"/>
      <c r="L100" s="136"/>
    </row>
    <row r="101" spans="2:12">
      <c r="B101" s="136"/>
      <c r="C101" s="136"/>
      <c r="D101" s="136"/>
      <c r="E101" s="136"/>
      <c r="F101" s="136"/>
      <c r="G101" s="136"/>
      <c r="H101" s="136"/>
      <c r="I101" s="136"/>
      <c r="J101" s="136"/>
      <c r="K101" s="136"/>
      <c r="L101" s="136"/>
    </row>
    <row r="102" spans="2:12">
      <c r="B102" s="136"/>
      <c r="C102" s="136"/>
      <c r="D102" s="136"/>
      <c r="E102" s="136"/>
      <c r="F102" s="136"/>
      <c r="G102" s="136"/>
      <c r="H102" s="136"/>
      <c r="I102" s="136"/>
      <c r="J102" s="136"/>
      <c r="K102" s="136"/>
      <c r="L102" s="136"/>
    </row>
    <row r="105" spans="2:12" ht="15">
      <c r="B105" s="66"/>
      <c r="C105" s="66"/>
      <c r="D105" s="67"/>
      <c r="E105" s="67"/>
      <c r="F105" s="67"/>
      <c r="G105" s="67"/>
      <c r="H105" s="67"/>
      <c r="I105" s="67"/>
      <c r="J105" s="67"/>
      <c r="K105" s="67"/>
      <c r="L105" s="67"/>
    </row>
    <row r="106" spans="2:12">
      <c r="B106" s="134"/>
      <c r="C106" s="134"/>
      <c r="D106" s="134"/>
      <c r="E106" s="134"/>
      <c r="F106" s="134"/>
      <c r="G106" s="134"/>
      <c r="H106" s="134"/>
      <c r="I106" s="134"/>
      <c r="J106" s="134"/>
      <c r="K106" s="134"/>
      <c r="L106" s="134"/>
    </row>
    <row r="107" spans="2:12">
      <c r="B107" s="134"/>
      <c r="C107" s="134"/>
      <c r="D107" s="134"/>
      <c r="E107" s="134"/>
      <c r="F107" s="134"/>
      <c r="G107" s="134"/>
      <c r="H107" s="134"/>
      <c r="I107" s="134"/>
      <c r="J107" s="134"/>
      <c r="K107" s="134"/>
      <c r="L107" s="134"/>
    </row>
    <row r="108" spans="2:12">
      <c r="B108" s="134"/>
      <c r="C108" s="134"/>
      <c r="D108" s="134"/>
      <c r="E108" s="134"/>
      <c r="F108" s="134"/>
      <c r="G108" s="134"/>
      <c r="H108" s="134"/>
      <c r="I108" s="134"/>
      <c r="J108" s="134"/>
      <c r="K108" s="134"/>
      <c r="L108" s="134"/>
    </row>
    <row r="109" spans="2:12">
      <c r="B109" s="134"/>
      <c r="C109" s="134"/>
      <c r="D109" s="134"/>
      <c r="E109" s="134"/>
      <c r="F109" s="134"/>
      <c r="G109" s="134"/>
      <c r="H109" s="134"/>
      <c r="I109" s="134"/>
      <c r="J109" s="134"/>
      <c r="K109" s="134"/>
      <c r="L109" s="134"/>
    </row>
    <row r="110" spans="2:12">
      <c r="B110" s="134"/>
      <c r="C110" s="134"/>
      <c r="D110" s="134"/>
      <c r="E110" s="134"/>
      <c r="F110" s="134"/>
      <c r="G110" s="134"/>
      <c r="H110" s="134"/>
      <c r="I110" s="134"/>
      <c r="J110" s="134"/>
      <c r="K110" s="134"/>
      <c r="L110" s="134"/>
    </row>
    <row r="111" spans="2:12">
      <c r="B111" s="134"/>
      <c r="C111" s="134"/>
      <c r="D111" s="134"/>
      <c r="E111" s="134"/>
      <c r="F111" s="134"/>
      <c r="G111" s="134"/>
      <c r="H111" s="134"/>
      <c r="I111" s="134"/>
      <c r="J111" s="134"/>
      <c r="K111" s="134"/>
      <c r="L111" s="134"/>
    </row>
    <row r="112" spans="2:12">
      <c r="B112" s="134"/>
      <c r="C112" s="134"/>
      <c r="D112" s="134"/>
      <c r="E112" s="134"/>
      <c r="F112" s="134"/>
      <c r="G112" s="134"/>
      <c r="H112" s="134"/>
      <c r="I112" s="134"/>
      <c r="J112" s="134"/>
      <c r="K112" s="134"/>
      <c r="L112" s="134"/>
    </row>
    <row r="113" spans="2:12">
      <c r="B113" s="134"/>
      <c r="C113" s="134"/>
      <c r="D113" s="134"/>
      <c r="E113" s="134"/>
      <c r="F113" s="134"/>
      <c r="G113" s="134"/>
      <c r="H113" s="134"/>
      <c r="I113" s="134"/>
      <c r="J113" s="134"/>
      <c r="K113" s="134"/>
      <c r="L113" s="134"/>
    </row>
    <row r="114" spans="2:12">
      <c r="B114" s="134"/>
      <c r="C114" s="134"/>
      <c r="D114" s="134"/>
      <c r="E114" s="134"/>
      <c r="F114" s="134"/>
      <c r="G114" s="134"/>
      <c r="H114" s="134"/>
      <c r="I114" s="134"/>
      <c r="J114" s="134"/>
      <c r="K114" s="134"/>
      <c r="L114" s="134"/>
    </row>
    <row r="115" spans="2:12">
      <c r="B115" s="134"/>
      <c r="C115" s="134"/>
      <c r="D115" s="134"/>
      <c r="E115" s="134"/>
      <c r="F115" s="134"/>
      <c r="G115" s="134"/>
      <c r="H115" s="134"/>
      <c r="I115" s="134"/>
      <c r="J115" s="134"/>
      <c r="K115" s="134"/>
      <c r="L115" s="134"/>
    </row>
    <row r="116" spans="2:12">
      <c r="B116" s="134"/>
      <c r="C116" s="134"/>
      <c r="D116" s="134"/>
      <c r="E116" s="134"/>
      <c r="F116" s="134"/>
      <c r="G116" s="134"/>
      <c r="H116" s="134"/>
      <c r="I116" s="134"/>
      <c r="J116" s="134"/>
      <c r="K116" s="134"/>
      <c r="L116" s="134"/>
    </row>
    <row r="117" spans="2:12">
      <c r="B117" s="134"/>
      <c r="C117" s="134"/>
      <c r="D117" s="134"/>
      <c r="E117" s="134"/>
      <c r="F117" s="134"/>
      <c r="G117" s="134"/>
      <c r="H117" s="134"/>
      <c r="I117" s="134"/>
      <c r="J117" s="134"/>
      <c r="K117" s="134"/>
      <c r="L117" s="134"/>
    </row>
    <row r="118" spans="2:12">
      <c r="B118" s="134"/>
      <c r="C118" s="134"/>
      <c r="D118" s="134"/>
      <c r="E118" s="134"/>
      <c r="F118" s="134"/>
      <c r="G118" s="134"/>
      <c r="H118" s="134"/>
      <c r="I118" s="134"/>
      <c r="J118" s="134"/>
      <c r="K118" s="134"/>
      <c r="L118" s="134"/>
    </row>
    <row r="119" spans="2:12">
      <c r="B119" s="134"/>
      <c r="C119" s="134"/>
      <c r="D119" s="134"/>
      <c r="E119" s="134"/>
      <c r="F119" s="134"/>
      <c r="G119" s="134"/>
      <c r="H119" s="134"/>
      <c r="I119" s="134"/>
      <c r="J119" s="134"/>
      <c r="K119" s="134"/>
      <c r="L119" s="134"/>
    </row>
    <row r="120" spans="2:12">
      <c r="B120" s="134"/>
      <c r="C120" s="134"/>
      <c r="D120" s="134"/>
      <c r="E120" s="134"/>
      <c r="F120" s="134"/>
      <c r="G120" s="134"/>
      <c r="H120" s="134"/>
      <c r="I120" s="134"/>
      <c r="J120" s="134"/>
      <c r="K120" s="134"/>
      <c r="L120" s="134"/>
    </row>
    <row r="121" spans="2:12">
      <c r="B121" s="134"/>
      <c r="C121" s="134"/>
      <c r="D121" s="134"/>
      <c r="E121" s="134"/>
      <c r="F121" s="134"/>
      <c r="G121" s="134"/>
      <c r="H121" s="134"/>
      <c r="I121" s="134"/>
      <c r="J121" s="134"/>
      <c r="K121" s="134"/>
      <c r="L121" s="134"/>
    </row>
    <row r="122" spans="2:12">
      <c r="B122" s="134"/>
      <c r="C122" s="134"/>
      <c r="D122" s="134"/>
      <c r="E122" s="134"/>
      <c r="F122" s="134"/>
      <c r="G122" s="134"/>
      <c r="H122" s="134"/>
      <c r="I122" s="134"/>
      <c r="J122" s="134"/>
      <c r="K122" s="134"/>
      <c r="L122" s="134"/>
    </row>
    <row r="123" spans="2:12">
      <c r="B123" s="134"/>
      <c r="C123" s="134"/>
      <c r="D123" s="134"/>
      <c r="E123" s="134"/>
      <c r="F123" s="134"/>
      <c r="G123" s="134"/>
      <c r="H123" s="134"/>
      <c r="I123" s="134"/>
      <c r="J123" s="134"/>
      <c r="K123" s="134"/>
      <c r="L123" s="134"/>
    </row>
    <row r="124" spans="2:12">
      <c r="B124" s="134"/>
      <c r="C124" s="134"/>
      <c r="D124" s="134"/>
      <c r="E124" s="134"/>
      <c r="F124" s="134"/>
      <c r="G124" s="134"/>
      <c r="H124" s="134"/>
      <c r="I124" s="134"/>
      <c r="J124" s="134"/>
      <c r="K124" s="134"/>
      <c r="L124" s="134"/>
    </row>
    <row r="125" spans="2:12">
      <c r="B125" s="134"/>
      <c r="C125" s="134"/>
      <c r="D125" s="134"/>
      <c r="E125" s="134"/>
      <c r="F125" s="134"/>
      <c r="G125" s="134"/>
      <c r="H125" s="134"/>
      <c r="I125" s="134"/>
      <c r="J125" s="134"/>
      <c r="K125" s="134"/>
      <c r="L125" s="134"/>
    </row>
    <row r="126" spans="2:12">
      <c r="B126" s="134"/>
      <c r="C126" s="134"/>
      <c r="D126" s="134"/>
      <c r="E126" s="134"/>
      <c r="F126" s="134"/>
      <c r="G126" s="134"/>
      <c r="H126" s="134"/>
      <c r="I126" s="134"/>
      <c r="J126" s="134"/>
      <c r="K126" s="134"/>
      <c r="L126" s="134"/>
    </row>
    <row r="127" spans="2:12">
      <c r="B127" s="134"/>
      <c r="C127" s="134"/>
      <c r="D127" s="134"/>
      <c r="E127" s="134"/>
      <c r="F127" s="134"/>
      <c r="G127" s="134"/>
      <c r="H127" s="134"/>
      <c r="I127" s="134"/>
      <c r="J127" s="134"/>
      <c r="K127" s="134"/>
      <c r="L127" s="134"/>
    </row>
    <row r="128" spans="2:12">
      <c r="B128" s="134"/>
      <c r="C128" s="134"/>
      <c r="D128" s="134"/>
      <c r="E128" s="134"/>
      <c r="F128" s="134"/>
      <c r="G128" s="134"/>
      <c r="H128" s="134"/>
      <c r="I128" s="134"/>
      <c r="J128" s="134"/>
      <c r="K128" s="134"/>
      <c r="L128" s="134"/>
    </row>
    <row r="129" spans="2:12">
      <c r="B129" s="134"/>
      <c r="C129" s="134"/>
      <c r="D129" s="134"/>
      <c r="E129" s="134"/>
      <c r="F129" s="134"/>
      <c r="G129" s="134"/>
      <c r="H129" s="134"/>
      <c r="I129" s="134"/>
      <c r="J129" s="134"/>
      <c r="K129" s="134"/>
      <c r="L129" s="134"/>
    </row>
    <row r="130" spans="2:12">
      <c r="B130" s="134"/>
      <c r="C130" s="134"/>
      <c r="D130" s="134"/>
      <c r="E130" s="134"/>
      <c r="F130" s="134"/>
      <c r="G130" s="134"/>
      <c r="H130" s="134"/>
      <c r="I130" s="134"/>
      <c r="J130" s="134"/>
      <c r="K130" s="134"/>
      <c r="L130" s="134"/>
    </row>
    <row r="131" spans="2:12">
      <c r="B131" s="134"/>
      <c r="C131" s="134"/>
      <c r="D131" s="134"/>
      <c r="E131" s="134"/>
      <c r="F131" s="134"/>
      <c r="G131" s="134"/>
      <c r="H131" s="134"/>
      <c r="I131" s="134"/>
      <c r="J131" s="134"/>
      <c r="K131" s="134"/>
      <c r="L131" s="134"/>
    </row>
    <row r="132" spans="2:12">
      <c r="B132" s="134"/>
      <c r="C132" s="134"/>
      <c r="D132" s="134"/>
      <c r="E132" s="134"/>
      <c r="F132" s="134"/>
      <c r="G132" s="134"/>
      <c r="H132" s="134"/>
      <c r="I132" s="134"/>
      <c r="J132" s="134"/>
      <c r="K132" s="134"/>
      <c r="L132" s="134"/>
    </row>
    <row r="133" spans="2:12">
      <c r="B133" s="134"/>
      <c r="C133" s="134"/>
      <c r="D133" s="134"/>
      <c r="E133" s="134"/>
      <c r="F133" s="134"/>
      <c r="G133" s="134"/>
      <c r="H133" s="134"/>
      <c r="I133" s="134"/>
      <c r="J133" s="134"/>
      <c r="K133" s="134"/>
      <c r="L133" s="134"/>
    </row>
    <row r="134" spans="2:12">
      <c r="B134" s="134"/>
      <c r="C134" s="134"/>
      <c r="D134" s="134"/>
      <c r="E134" s="134"/>
      <c r="F134" s="134"/>
      <c r="G134" s="134"/>
      <c r="H134" s="134"/>
      <c r="I134" s="134"/>
      <c r="J134" s="134"/>
      <c r="K134" s="134"/>
      <c r="L134" s="134"/>
    </row>
    <row r="135" spans="2:12">
      <c r="B135" s="134"/>
      <c r="C135" s="134"/>
      <c r="D135" s="134"/>
      <c r="E135" s="134"/>
      <c r="F135" s="134"/>
      <c r="G135" s="134"/>
      <c r="H135" s="134"/>
      <c r="I135" s="134"/>
      <c r="J135" s="134"/>
      <c r="K135" s="134"/>
      <c r="L135" s="134"/>
    </row>
    <row r="136" spans="2:12">
      <c r="B136" s="134"/>
      <c r="C136" s="134"/>
      <c r="D136" s="134"/>
      <c r="E136" s="134"/>
      <c r="F136" s="134"/>
      <c r="G136" s="134"/>
      <c r="H136" s="134"/>
      <c r="I136" s="134"/>
      <c r="J136" s="134"/>
      <c r="K136" s="134"/>
      <c r="L136" s="134"/>
    </row>
    <row r="137" spans="2:12">
      <c r="B137" s="134"/>
      <c r="C137" s="134"/>
      <c r="D137" s="134"/>
      <c r="E137" s="134"/>
      <c r="F137" s="134"/>
      <c r="G137" s="134"/>
      <c r="H137" s="134"/>
      <c r="I137" s="134"/>
      <c r="J137" s="134"/>
      <c r="K137" s="134"/>
      <c r="L137" s="134"/>
    </row>
    <row r="138" spans="2:12">
      <c r="B138" s="134"/>
      <c r="C138" s="134"/>
      <c r="D138" s="134"/>
      <c r="E138" s="134"/>
      <c r="F138" s="134"/>
      <c r="G138" s="134"/>
      <c r="H138" s="134"/>
      <c r="I138" s="134"/>
      <c r="J138" s="134"/>
      <c r="K138" s="134"/>
      <c r="L138" s="134"/>
    </row>
    <row r="139" spans="2:12">
      <c r="B139" s="134"/>
      <c r="C139" s="134"/>
      <c r="D139" s="134"/>
      <c r="E139" s="134"/>
      <c r="F139" s="134"/>
      <c r="G139" s="134"/>
      <c r="H139" s="134"/>
      <c r="I139" s="134"/>
      <c r="J139" s="134"/>
      <c r="K139" s="134"/>
      <c r="L139" s="134"/>
    </row>
    <row r="140" spans="2:12">
      <c r="B140" s="134"/>
      <c r="C140" s="134"/>
      <c r="D140" s="134"/>
      <c r="E140" s="134"/>
      <c r="F140" s="134"/>
      <c r="G140" s="134"/>
      <c r="H140" s="134"/>
      <c r="I140" s="134"/>
      <c r="J140" s="134"/>
      <c r="K140" s="134"/>
      <c r="L140" s="134"/>
    </row>
    <row r="141" spans="2:12">
      <c r="B141" s="134"/>
      <c r="C141" s="134"/>
      <c r="D141" s="134"/>
      <c r="E141" s="134"/>
      <c r="F141" s="134"/>
      <c r="G141" s="134"/>
      <c r="H141" s="134"/>
      <c r="I141" s="134"/>
      <c r="J141" s="134"/>
      <c r="K141" s="134"/>
      <c r="L141" s="134"/>
    </row>
  </sheetData>
  <phoneticPr fontId="0" type="noConversion"/>
  <pageMargins left="0.15748031496062992" right="0.15748031496062992" top="0.39370078740157483" bottom="0.39370078740157483" header="0.51181102362204722" footer="0.51181102362204722"/>
  <pageSetup scale="85" orientation="landscape" r:id="rId1"/>
  <headerFooter alignWithMargins="0"/>
  <colBreaks count="10" manualBreakCount="10">
    <brk id="11" max="42" man="1"/>
    <brk id="21" max="1048575" man="1"/>
    <brk id="31" max="42" man="1"/>
    <brk id="41" max="1048575" man="1"/>
    <brk id="51" max="42" man="1"/>
    <brk id="61" max="1048575" man="1"/>
    <brk id="71" max="42" man="1"/>
    <brk id="81" max="1048575" man="1"/>
    <brk id="91" max="42" man="1"/>
    <brk id="101" max="1048575" man="1"/>
  </colBreaks>
</worksheet>
</file>

<file path=xl/worksheets/sheet30.xml><?xml version="1.0" encoding="utf-8"?>
<worksheet xmlns="http://schemas.openxmlformats.org/spreadsheetml/2006/main" xmlns:r="http://schemas.openxmlformats.org/officeDocument/2006/relationships">
  <dimension ref="A1:EH109"/>
  <sheetViews>
    <sheetView view="pageBreakPreview" zoomScaleSheetLayoutView="100" workbookViewId="0">
      <pane xSplit="1" ySplit="6" topLeftCell="B7" activePane="bottomRight" state="frozen"/>
      <selection activeCell="E9" sqref="E9"/>
      <selection pane="topRight" activeCell="E9" sqref="E9"/>
      <selection pane="bottomLeft" activeCell="E9" sqref="E9"/>
      <selection pane="bottomRight" activeCell="E9" sqref="E9"/>
    </sheetView>
  </sheetViews>
  <sheetFormatPr defaultRowHeight="12.75"/>
  <cols>
    <col min="1" max="1" width="8.875" style="1" customWidth="1"/>
    <col min="2" max="6" width="11.375" style="1" customWidth="1"/>
    <col min="7" max="7" width="9.875" style="1" customWidth="1"/>
    <col min="8" max="84" width="11.375" style="1" customWidth="1"/>
    <col min="85" max="16384" width="9" style="1"/>
  </cols>
  <sheetData>
    <row r="1" spans="1:78" ht="15.75">
      <c r="B1" s="2" t="s">
        <v>695</v>
      </c>
      <c r="P1" s="2" t="s">
        <v>703</v>
      </c>
      <c r="AD1" s="2" t="s">
        <v>704</v>
      </c>
      <c r="AR1" s="2" t="s">
        <v>705</v>
      </c>
      <c r="BF1" s="2" t="s">
        <v>706</v>
      </c>
      <c r="BT1" s="2" t="s">
        <v>707</v>
      </c>
    </row>
    <row r="3" spans="1:78" s="3" customFormat="1" ht="15">
      <c r="B3" s="3" t="s">
        <v>321</v>
      </c>
      <c r="I3" s="3" t="s">
        <v>370</v>
      </c>
      <c r="P3" s="3" t="s">
        <v>371</v>
      </c>
      <c r="W3" s="3" t="s">
        <v>372</v>
      </c>
      <c r="AD3" s="3" t="s">
        <v>373</v>
      </c>
      <c r="AK3" s="3" t="s">
        <v>374</v>
      </c>
      <c r="AR3" s="3" t="s">
        <v>375</v>
      </c>
      <c r="AY3" s="3" t="s">
        <v>376</v>
      </c>
      <c r="BF3" s="3" t="s">
        <v>377</v>
      </c>
      <c r="BM3" s="3" t="s">
        <v>378</v>
      </c>
      <c r="BT3" s="3" t="s">
        <v>379</v>
      </c>
    </row>
    <row r="4" spans="1:78" s="4" customFormat="1" ht="38.25">
      <c r="B4" s="4" t="s">
        <v>424</v>
      </c>
      <c r="C4" s="4" t="s">
        <v>425</v>
      </c>
      <c r="D4" s="4" t="s">
        <v>426</v>
      </c>
      <c r="E4" s="4" t="s">
        <v>427</v>
      </c>
      <c r="F4" s="4" t="s">
        <v>428</v>
      </c>
      <c r="G4" s="4" t="s">
        <v>429</v>
      </c>
      <c r="H4" s="4" t="s">
        <v>708</v>
      </c>
      <c r="I4" s="4" t="s">
        <v>424</v>
      </c>
      <c r="J4" s="4" t="s">
        <v>425</v>
      </c>
      <c r="K4" s="4" t="s">
        <v>426</v>
      </c>
      <c r="L4" s="4" t="s">
        <v>427</v>
      </c>
      <c r="M4" s="4" t="s">
        <v>428</v>
      </c>
      <c r="N4" s="4" t="s">
        <v>429</v>
      </c>
      <c r="O4" s="4" t="s">
        <v>708</v>
      </c>
      <c r="P4" s="4" t="s">
        <v>424</v>
      </c>
      <c r="Q4" s="4" t="s">
        <v>425</v>
      </c>
      <c r="R4" s="4" t="s">
        <v>426</v>
      </c>
      <c r="S4" s="4" t="s">
        <v>427</v>
      </c>
      <c r="T4" s="4" t="s">
        <v>428</v>
      </c>
      <c r="U4" s="4" t="s">
        <v>429</v>
      </c>
      <c r="V4" s="4" t="s">
        <v>708</v>
      </c>
      <c r="W4" s="4" t="s">
        <v>424</v>
      </c>
      <c r="X4" s="4" t="s">
        <v>425</v>
      </c>
      <c r="Y4" s="4" t="s">
        <v>426</v>
      </c>
      <c r="Z4" s="4" t="s">
        <v>427</v>
      </c>
      <c r="AA4" s="4" t="s">
        <v>428</v>
      </c>
      <c r="AB4" s="4" t="s">
        <v>429</v>
      </c>
      <c r="AC4" s="4" t="s">
        <v>708</v>
      </c>
      <c r="AD4" s="4" t="s">
        <v>424</v>
      </c>
      <c r="AE4" s="4" t="s">
        <v>425</v>
      </c>
      <c r="AF4" s="4" t="s">
        <v>426</v>
      </c>
      <c r="AG4" s="4" t="s">
        <v>427</v>
      </c>
      <c r="AH4" s="4" t="s">
        <v>428</v>
      </c>
      <c r="AI4" s="4" t="s">
        <v>429</v>
      </c>
      <c r="AJ4" s="4" t="s">
        <v>708</v>
      </c>
      <c r="AK4" s="4" t="s">
        <v>424</v>
      </c>
      <c r="AL4" s="4" t="s">
        <v>425</v>
      </c>
      <c r="AM4" s="4" t="s">
        <v>426</v>
      </c>
      <c r="AN4" s="4" t="s">
        <v>427</v>
      </c>
      <c r="AO4" s="4" t="s">
        <v>428</v>
      </c>
      <c r="AP4" s="4" t="s">
        <v>429</v>
      </c>
      <c r="AQ4" s="4" t="s">
        <v>708</v>
      </c>
      <c r="AR4" s="4" t="s">
        <v>424</v>
      </c>
      <c r="AS4" s="4" t="s">
        <v>425</v>
      </c>
      <c r="AT4" s="4" t="s">
        <v>426</v>
      </c>
      <c r="AU4" s="4" t="s">
        <v>427</v>
      </c>
      <c r="AV4" s="4" t="s">
        <v>428</v>
      </c>
      <c r="AW4" s="4" t="s">
        <v>429</v>
      </c>
      <c r="AX4" s="4" t="s">
        <v>708</v>
      </c>
      <c r="AY4" s="4" t="s">
        <v>424</v>
      </c>
      <c r="AZ4" s="4" t="s">
        <v>425</v>
      </c>
      <c r="BA4" s="4" t="s">
        <v>426</v>
      </c>
      <c r="BB4" s="4" t="s">
        <v>427</v>
      </c>
      <c r="BC4" s="4" t="s">
        <v>428</v>
      </c>
      <c r="BD4" s="4" t="s">
        <v>429</v>
      </c>
      <c r="BE4" s="4" t="s">
        <v>708</v>
      </c>
      <c r="BF4" s="4" t="s">
        <v>424</v>
      </c>
      <c r="BG4" s="4" t="s">
        <v>425</v>
      </c>
      <c r="BH4" s="4" t="s">
        <v>426</v>
      </c>
      <c r="BI4" s="4" t="s">
        <v>427</v>
      </c>
      <c r="BJ4" s="4" t="s">
        <v>428</v>
      </c>
      <c r="BK4" s="4" t="s">
        <v>429</v>
      </c>
      <c r="BL4" s="4" t="s">
        <v>708</v>
      </c>
      <c r="BM4" s="4" t="s">
        <v>424</v>
      </c>
      <c r="BN4" s="4" t="s">
        <v>425</v>
      </c>
      <c r="BO4" s="4" t="s">
        <v>426</v>
      </c>
      <c r="BP4" s="4" t="s">
        <v>427</v>
      </c>
      <c r="BQ4" s="4" t="s">
        <v>428</v>
      </c>
      <c r="BR4" s="4" t="s">
        <v>429</v>
      </c>
      <c r="BS4" s="4" t="s">
        <v>708</v>
      </c>
      <c r="BT4" s="4" t="s">
        <v>424</v>
      </c>
      <c r="BU4" s="4" t="s">
        <v>425</v>
      </c>
      <c r="BV4" s="4" t="s">
        <v>426</v>
      </c>
      <c r="BW4" s="4" t="s">
        <v>427</v>
      </c>
      <c r="BX4" s="4" t="s">
        <v>428</v>
      </c>
      <c r="BY4" s="4" t="s">
        <v>429</v>
      </c>
      <c r="BZ4" s="4" t="s">
        <v>708</v>
      </c>
    </row>
    <row r="5" spans="1:78" s="4" customFormat="1"/>
    <row r="6" spans="1:78" s="4" customFormat="1" ht="25.5">
      <c r="B6" s="4" t="s">
        <v>105</v>
      </c>
      <c r="C6" s="4" t="s">
        <v>106</v>
      </c>
      <c r="D6" s="4" t="s">
        <v>107</v>
      </c>
      <c r="E6" s="4" t="s">
        <v>108</v>
      </c>
      <c r="F6" s="4" t="s">
        <v>109</v>
      </c>
      <c r="G6" s="4" t="s">
        <v>196</v>
      </c>
      <c r="H6" s="4" t="s">
        <v>198</v>
      </c>
      <c r="I6" s="4" t="s">
        <v>112</v>
      </c>
      <c r="J6" s="4" t="s">
        <v>138</v>
      </c>
      <c r="K6" s="4" t="s">
        <v>113</v>
      </c>
      <c r="L6" s="4" t="s">
        <v>114</v>
      </c>
      <c r="M6" s="4" t="s">
        <v>115</v>
      </c>
      <c r="N6" s="4" t="s">
        <v>197</v>
      </c>
      <c r="O6" s="4" t="s">
        <v>199</v>
      </c>
      <c r="P6" s="4" t="s">
        <v>105</v>
      </c>
      <c r="Q6" s="4" t="s">
        <v>106</v>
      </c>
      <c r="R6" s="4" t="s">
        <v>107</v>
      </c>
      <c r="S6" s="4" t="s">
        <v>108</v>
      </c>
      <c r="T6" s="4" t="s">
        <v>109</v>
      </c>
      <c r="U6" s="4" t="s">
        <v>196</v>
      </c>
      <c r="V6" s="4" t="s">
        <v>198</v>
      </c>
      <c r="W6" s="4" t="s">
        <v>112</v>
      </c>
      <c r="X6" s="4" t="s">
        <v>138</v>
      </c>
      <c r="Y6" s="4" t="s">
        <v>113</v>
      </c>
      <c r="Z6" s="4" t="s">
        <v>114</v>
      </c>
      <c r="AA6" s="4" t="s">
        <v>115</v>
      </c>
      <c r="AB6" s="4" t="s">
        <v>197</v>
      </c>
      <c r="AC6" s="4" t="s">
        <v>199</v>
      </c>
      <c r="AD6" s="4" t="s">
        <v>105</v>
      </c>
      <c r="AE6" s="4" t="s">
        <v>106</v>
      </c>
      <c r="AF6" s="4" t="s">
        <v>107</v>
      </c>
      <c r="AG6" s="4" t="s">
        <v>108</v>
      </c>
      <c r="AH6" s="4" t="s">
        <v>109</v>
      </c>
      <c r="AI6" s="4" t="s">
        <v>196</v>
      </c>
      <c r="AJ6" s="4" t="s">
        <v>198</v>
      </c>
      <c r="AK6" s="4" t="s">
        <v>112</v>
      </c>
      <c r="AL6" s="4" t="s">
        <v>138</v>
      </c>
      <c r="AM6" s="4" t="s">
        <v>113</v>
      </c>
      <c r="AN6" s="4" t="s">
        <v>114</v>
      </c>
      <c r="AO6" s="4" t="s">
        <v>115</v>
      </c>
      <c r="AP6" s="4" t="s">
        <v>197</v>
      </c>
      <c r="AQ6" s="4" t="s">
        <v>199</v>
      </c>
      <c r="AR6" s="4" t="s">
        <v>105</v>
      </c>
      <c r="AS6" s="4" t="s">
        <v>106</v>
      </c>
      <c r="AT6" s="4" t="s">
        <v>107</v>
      </c>
      <c r="AU6" s="4" t="s">
        <v>108</v>
      </c>
      <c r="AV6" s="4" t="s">
        <v>109</v>
      </c>
      <c r="AW6" s="4" t="s">
        <v>196</v>
      </c>
      <c r="AX6" s="4" t="s">
        <v>198</v>
      </c>
      <c r="AY6" s="4" t="s">
        <v>112</v>
      </c>
      <c r="AZ6" s="4" t="s">
        <v>138</v>
      </c>
      <c r="BA6" s="4" t="s">
        <v>113</v>
      </c>
      <c r="BB6" s="4" t="s">
        <v>114</v>
      </c>
      <c r="BC6" s="4" t="s">
        <v>115</v>
      </c>
      <c r="BD6" s="4" t="s">
        <v>197</v>
      </c>
      <c r="BE6" s="4" t="s">
        <v>199</v>
      </c>
      <c r="BF6" s="4" t="s">
        <v>105</v>
      </c>
      <c r="BG6" s="4" t="s">
        <v>106</v>
      </c>
      <c r="BH6" s="4" t="s">
        <v>107</v>
      </c>
      <c r="BI6" s="4" t="s">
        <v>108</v>
      </c>
      <c r="BJ6" s="4" t="s">
        <v>109</v>
      </c>
      <c r="BK6" s="4" t="s">
        <v>196</v>
      </c>
      <c r="BL6" s="4" t="s">
        <v>198</v>
      </c>
      <c r="BM6" s="4" t="s">
        <v>112</v>
      </c>
      <c r="BN6" s="4" t="s">
        <v>138</v>
      </c>
      <c r="BO6" s="4" t="s">
        <v>113</v>
      </c>
      <c r="BP6" s="4" t="s">
        <v>114</v>
      </c>
      <c r="BQ6" s="4" t="s">
        <v>115</v>
      </c>
      <c r="BR6" s="4" t="s">
        <v>197</v>
      </c>
      <c r="BS6" s="4" t="s">
        <v>199</v>
      </c>
      <c r="BT6" s="4" t="s">
        <v>105</v>
      </c>
      <c r="BU6" s="4" t="s">
        <v>106</v>
      </c>
      <c r="BV6" s="4" t="s">
        <v>107</v>
      </c>
      <c r="BW6" s="4" t="s">
        <v>108</v>
      </c>
      <c r="BX6" s="4" t="s">
        <v>109</v>
      </c>
      <c r="BY6" s="4" t="s">
        <v>196</v>
      </c>
      <c r="BZ6" s="4" t="s">
        <v>198</v>
      </c>
    </row>
    <row r="7" spans="1:78" s="4" customFormat="1" hidden="1"/>
    <row r="8" spans="1:78" hidden="1">
      <c r="A8" s="1">
        <v>1971</v>
      </c>
      <c r="B8" s="117">
        <f t="shared" ref="B8:B16" si="0">B9*B99/B100</f>
        <v>108862.31214723164</v>
      </c>
      <c r="C8" s="117">
        <f t="shared" ref="C8:C16" si="1">C9*C99/C100</f>
        <v>10517.721969408285</v>
      </c>
      <c r="D8" s="7"/>
      <c r="E8" s="7"/>
      <c r="F8" s="7">
        <v>9324.0990532998494</v>
      </c>
      <c r="G8" s="7">
        <f>B8-C8+F8</f>
        <v>107668.68923112321</v>
      </c>
      <c r="H8" s="7">
        <f>G8*1000000/'a1'!F8</f>
        <v>4902.4921387567056</v>
      </c>
      <c r="I8" s="117">
        <f t="shared" ref="I8:I16" si="2">I9*I99/I100</f>
        <v>1641.4048430662529</v>
      </c>
      <c r="J8" s="117">
        <f t="shared" ref="J8:J16" si="3">J9*J99/J100</f>
        <v>189.33578278888038</v>
      </c>
      <c r="K8" s="7"/>
      <c r="L8" s="7"/>
      <c r="M8" s="7">
        <v>391.54212985642693</v>
      </c>
      <c r="N8" s="7">
        <f t="shared" ref="N8:N39" si="4">I8-J8+M8</f>
        <v>1843.6111901337995</v>
      </c>
      <c r="O8" s="7">
        <f>N8*1000000/'a1'!L8</f>
        <v>3472.9156983535954</v>
      </c>
      <c r="P8" s="117">
        <f t="shared" ref="P8:P16" si="5">P9*P99/P100</f>
        <v>519.01958260549793</v>
      </c>
      <c r="Q8" s="117">
        <f t="shared" ref="Q8:Q16" si="6">Q9*Q99/Q100</f>
        <v>90.283418116530527</v>
      </c>
      <c r="R8" s="7"/>
      <c r="S8" s="7"/>
      <c r="T8" s="7">
        <v>83.650465956752427</v>
      </c>
      <c r="U8" s="7">
        <f t="shared" ref="U8:U39" si="7">P8-Q8+T8</f>
        <v>512.38663044571979</v>
      </c>
      <c r="V8" s="7">
        <f>U8*1000000/'a1'!R8</f>
        <v>4550.8666806913498</v>
      </c>
      <c r="W8" s="117">
        <f t="shared" ref="W8:W16" si="8">W9*W99/W100</f>
        <v>4858.6668696356855</v>
      </c>
      <c r="X8" s="117">
        <f t="shared" ref="X8:X16" si="9">X9*X99/X100</f>
        <v>444.54066536768426</v>
      </c>
      <c r="Y8" s="7"/>
      <c r="Z8" s="7"/>
      <c r="AA8" s="7">
        <v>305.78927252027228</v>
      </c>
      <c r="AB8" s="7">
        <f>W8-X8+AA8</f>
        <v>4719.9154767882728</v>
      </c>
      <c r="AC8" s="7">
        <f>AB8*1000000/'a1'!X8</f>
        <v>5919.9184702108296</v>
      </c>
      <c r="AD8" s="117">
        <f t="shared" ref="AD8:AD16" si="10">AD9*AD99/AD100</f>
        <v>2874.3125875138821</v>
      </c>
      <c r="AE8" s="117">
        <f t="shared" ref="AE8:AE16" si="11">AE9*AE99/AE100</f>
        <v>363.05715627183997</v>
      </c>
      <c r="AF8" s="7"/>
      <c r="AG8" s="7"/>
      <c r="AH8" s="7">
        <v>315.88764528232809</v>
      </c>
      <c r="AI8" s="7">
        <f>AD8-AE8+AH8</f>
        <v>2827.1430765243704</v>
      </c>
      <c r="AJ8" s="7">
        <f>AI8*1000000/'a1'!AD8</f>
        <v>4400.4213054353741</v>
      </c>
      <c r="AK8" s="117">
        <f t="shared" ref="AK8:AK16" si="12">AK9*AK99/AK100</f>
        <v>25231.807291327288</v>
      </c>
      <c r="AL8" s="117">
        <f t="shared" ref="AL8:AL16" si="13">AL9*AL99/AL100</f>
        <v>2311.3700795642899</v>
      </c>
      <c r="AM8" s="7"/>
      <c r="AN8" s="7"/>
      <c r="AO8" s="7">
        <v>3350.2888155614951</v>
      </c>
      <c r="AP8" s="7">
        <f>AK8-AL8+AO8</f>
        <v>26270.726027324494</v>
      </c>
      <c r="AQ8" s="7">
        <f>AP8*1000000/'a1'!AJ8</f>
        <v>4280.4986923942179</v>
      </c>
      <c r="AR8" s="117">
        <f t="shared" ref="AR8:AR16" si="14">AR9*AR99/AR100</f>
        <v>43793.696527376553</v>
      </c>
      <c r="AS8" s="117">
        <f t="shared" ref="AS8:AS16" si="15">AS9*AS99/AS100</f>
        <v>3660.1268732187177</v>
      </c>
      <c r="AT8" s="7"/>
      <c r="AU8" s="7"/>
      <c r="AV8" s="7">
        <v>3661.5521503934451</v>
      </c>
      <c r="AW8" s="7">
        <f>AR8-AS8+AV8</f>
        <v>43795.12180455128</v>
      </c>
      <c r="AX8" s="7">
        <f>AW8/'a1'!AP8*1000000</f>
        <v>5579.6880052204278</v>
      </c>
      <c r="AY8" s="117">
        <f t="shared" ref="AY8:AY16" si="16">AY9*AY99/AY100</f>
        <v>4768.2879366242578</v>
      </c>
      <c r="AZ8" s="117">
        <f t="shared" ref="AZ8:AZ16" si="17">AZ9*AZ99/AZ100</f>
        <v>538.55098512481402</v>
      </c>
      <c r="BA8" s="7"/>
      <c r="BB8" s="7"/>
      <c r="BC8" s="7">
        <v>500.26469971920704</v>
      </c>
      <c r="BD8" s="7">
        <f>AY8-AZ8+BC8</f>
        <v>4730.0016512186503</v>
      </c>
      <c r="BE8" s="7">
        <f>BD8*1000000/'a1'!AV8</f>
        <v>4735.3241555695104</v>
      </c>
      <c r="BF8" s="117">
        <f t="shared" ref="BF8:BF16" si="18">BF9*BF99/BF100</f>
        <v>4134.1791673138823</v>
      </c>
      <c r="BG8" s="117">
        <f t="shared" ref="BG8:BG16" si="19">BG9*BG99/BG100</f>
        <v>592.01146150135946</v>
      </c>
      <c r="BH8" s="7"/>
      <c r="BI8" s="7"/>
      <c r="BJ8" s="7">
        <v>423.69426076401771</v>
      </c>
      <c r="BK8" s="7">
        <f>BF8-BG8+BJ8</f>
        <v>3965.8619665765405</v>
      </c>
      <c r="BL8" s="7">
        <f>BK8*1000000/'a1'!BB8</f>
        <v>4255.0432134489583</v>
      </c>
      <c r="BM8" s="117">
        <f t="shared" ref="BM8:BM16" si="20">BM9*BM99/BM100</f>
        <v>8470.839157602406</v>
      </c>
      <c r="BN8" s="117">
        <f t="shared" ref="BN8:BN16" si="21">BN9*BN99/BN100</f>
        <v>1100.5619155004692</v>
      </c>
      <c r="BO8" s="7"/>
      <c r="BP8" s="7"/>
      <c r="BQ8" s="7">
        <v>872.87177588294992</v>
      </c>
      <c r="BR8" s="7">
        <f>BM8-BN8+BQ8</f>
        <v>8243.1490179848861</v>
      </c>
      <c r="BS8" s="7">
        <f>BR8/'a1'!BH8*1000000</f>
        <v>4948.709185284707</v>
      </c>
      <c r="BT8" s="117">
        <f t="shared" ref="BT8:BT16" si="22">BT9*BT99/BT100</f>
        <v>10386.087491570701</v>
      </c>
      <c r="BU8" s="117">
        <f t="shared" ref="BU8:BU16" si="23">BU9*BU99/BU100</f>
        <v>1156.0979379230403</v>
      </c>
      <c r="BV8" s="7"/>
      <c r="BW8" s="7"/>
      <c r="BX8" s="7">
        <v>1221.0865718761245</v>
      </c>
      <c r="BY8" s="7">
        <f>BT8-BU8+BX8</f>
        <v>10451.076125523787</v>
      </c>
      <c r="BZ8" s="7">
        <f>BY8*1000000/'a1'!BN8</f>
        <v>4664.6802347381517</v>
      </c>
    </row>
    <row r="9" spans="1:78" hidden="1">
      <c r="A9" s="1">
        <v>1972</v>
      </c>
      <c r="B9" s="117">
        <f t="shared" si="0"/>
        <v>112266.75085361225</v>
      </c>
      <c r="C9" s="117">
        <f t="shared" si="1"/>
        <v>10745.616558210137</v>
      </c>
      <c r="D9" s="7"/>
      <c r="E9" s="7"/>
      <c r="F9" s="7">
        <v>9563.9321997483639</v>
      </c>
      <c r="G9" s="7">
        <f t="shared" ref="G9:G39" si="24">B9-C9+F9</f>
        <v>111085.06649515047</v>
      </c>
      <c r="H9" s="7">
        <f>G9*1000000/'a1'!F9</f>
        <v>4999.6737620937356</v>
      </c>
      <c r="I9" s="117">
        <f t="shared" si="2"/>
        <v>1614.4985628172067</v>
      </c>
      <c r="J9" s="117">
        <f t="shared" si="3"/>
        <v>200.87962001276847</v>
      </c>
      <c r="K9" s="7"/>
      <c r="L9" s="7"/>
      <c r="M9" s="7">
        <v>396.43137373809441</v>
      </c>
      <c r="N9" s="7">
        <f t="shared" si="4"/>
        <v>1810.0503165425325</v>
      </c>
      <c r="O9" s="7">
        <f>N9*1000000/'a1'!L9</f>
        <v>3357.3914656786424</v>
      </c>
      <c r="P9" s="117">
        <f t="shared" si="5"/>
        <v>562.1364742030471</v>
      </c>
      <c r="Q9" s="117">
        <f t="shared" si="6"/>
        <v>91.434013929400507</v>
      </c>
      <c r="R9" s="7"/>
      <c r="S9" s="7"/>
      <c r="T9" s="7">
        <v>57.866986280993622</v>
      </c>
      <c r="U9" s="7">
        <f t="shared" si="7"/>
        <v>528.56944655464019</v>
      </c>
      <c r="V9" s="7">
        <f>U9*1000000/'a1'!R9</f>
        <v>4658.641341042131</v>
      </c>
      <c r="W9" s="117">
        <f t="shared" si="8"/>
        <v>4725.3256189484582</v>
      </c>
      <c r="X9" s="117">
        <f t="shared" si="9"/>
        <v>442.1666164204604</v>
      </c>
      <c r="Y9" s="7"/>
      <c r="Z9" s="7"/>
      <c r="AA9" s="7">
        <v>340.55367203235113</v>
      </c>
      <c r="AB9" s="7">
        <f t="shared" ref="AB9:AB39" si="25">W9-X9+AA9</f>
        <v>4623.7126745603482</v>
      </c>
      <c r="AC9" s="7">
        <f>AB9*1000000/'a1'!X9</f>
        <v>5763.3952727753003</v>
      </c>
      <c r="AD9" s="117">
        <f t="shared" si="10"/>
        <v>2922.2377359076077</v>
      </c>
      <c r="AE9" s="117">
        <f t="shared" si="11"/>
        <v>366.35186431331533</v>
      </c>
      <c r="AF9" s="7"/>
      <c r="AG9" s="7"/>
      <c r="AH9" s="7">
        <v>299.030087498917</v>
      </c>
      <c r="AI9" s="7">
        <f t="shared" ref="AI9:AI39" si="26">AD9-AE9+AH9</f>
        <v>2854.9159590932095</v>
      </c>
      <c r="AJ9" s="7">
        <f>AI9*1000000/'a1'!AD9</f>
        <v>4400.5122918838742</v>
      </c>
      <c r="AK9" s="117">
        <f t="shared" si="12"/>
        <v>25881.125487705285</v>
      </c>
      <c r="AL9" s="117">
        <f t="shared" si="13"/>
        <v>2390.2113240464505</v>
      </c>
      <c r="AM9" s="7"/>
      <c r="AN9" s="7"/>
      <c r="AO9" s="7">
        <v>3285.9494214922161</v>
      </c>
      <c r="AP9" s="7">
        <f t="shared" ref="AP9:AP39" si="27">AK9-AL9+AO9</f>
        <v>26776.863585151052</v>
      </c>
      <c r="AQ9" s="7">
        <f>AP9*1000000/'a1'!AJ9</f>
        <v>4336.884810176879</v>
      </c>
      <c r="AR9" s="117">
        <f t="shared" si="14"/>
        <v>45048.267228029115</v>
      </c>
      <c r="AS9" s="117">
        <f t="shared" si="15"/>
        <v>3742.0560747663549</v>
      </c>
      <c r="AT9" s="7"/>
      <c r="AU9" s="7"/>
      <c r="AV9" s="7">
        <v>3610.1295217421666</v>
      </c>
      <c r="AW9" s="7">
        <f t="shared" ref="AW9:AW39" si="28">AR9-AS9+AV9</f>
        <v>44916.340675004925</v>
      </c>
      <c r="AX9" s="7">
        <f>AW9/'a1'!AP9*1000000</f>
        <v>5640.5476241282058</v>
      </c>
      <c r="AY9" s="117">
        <f t="shared" si="16"/>
        <v>4828.069935218854</v>
      </c>
      <c r="AZ9" s="117">
        <f t="shared" si="17"/>
        <v>551.43002187738659</v>
      </c>
      <c r="BA9" s="7"/>
      <c r="BB9" s="7"/>
      <c r="BC9" s="7">
        <v>527.12599158557339</v>
      </c>
      <c r="BD9" s="7">
        <f t="shared" ref="BD9:BD39" si="29">AY9-AZ9+BC9</f>
        <v>4803.7659049270405</v>
      </c>
      <c r="BE9" s="7">
        <f>BD9*1000000/'a1'!AV9</f>
        <v>4795.8431720068847</v>
      </c>
      <c r="BF9" s="117">
        <f t="shared" si="18"/>
        <v>4275.1967539587231</v>
      </c>
      <c r="BG9" s="117">
        <f t="shared" si="19"/>
        <v>594.15480517775575</v>
      </c>
      <c r="BH9" s="7"/>
      <c r="BI9" s="7"/>
      <c r="BJ9" s="7">
        <v>406.69308991095085</v>
      </c>
      <c r="BK9" s="7">
        <f t="shared" ref="BK9:BK39" si="30">BF9-BG9+BJ9</f>
        <v>4087.7350386919179</v>
      </c>
      <c r="BL9" s="7">
        <f>BK9*1000000/'a1'!BB9</f>
        <v>4439.4263979364432</v>
      </c>
      <c r="BM9" s="117">
        <f t="shared" si="20"/>
        <v>8618.6877215597797</v>
      </c>
      <c r="BN9" s="117">
        <f t="shared" si="21"/>
        <v>1111.1979028140127</v>
      </c>
      <c r="BO9" s="7"/>
      <c r="BP9" s="7"/>
      <c r="BQ9" s="7">
        <v>903.94925397166173</v>
      </c>
      <c r="BR9" s="7">
        <f t="shared" ref="BR9:BR39" si="31">BM9-BN9+BQ9</f>
        <v>8411.4390727174286</v>
      </c>
      <c r="BS9" s="7">
        <f>BR9/'a1'!BH9*1000000</f>
        <v>4965.1665925171792</v>
      </c>
      <c r="BT9" s="117">
        <f t="shared" si="22"/>
        <v>11000.91896172841</v>
      </c>
      <c r="BU9" s="117">
        <f t="shared" si="23"/>
        <v>1178.3368869936032</v>
      </c>
      <c r="BV9" s="7"/>
      <c r="BW9" s="7"/>
      <c r="BX9" s="7">
        <v>1418.3481011738122</v>
      </c>
      <c r="BY9" s="7">
        <f t="shared" ref="BY9:BY39" si="32">BT9-BU9+BX9</f>
        <v>11240.930175908619</v>
      </c>
      <c r="BZ9" s="7">
        <f>BY9*1000000/'a1'!BN9</f>
        <v>4882.9323387174154</v>
      </c>
    </row>
    <row r="10" spans="1:78" hidden="1">
      <c r="A10" s="1">
        <v>1973</v>
      </c>
      <c r="B10" s="117">
        <f t="shared" si="0"/>
        <v>117545.35627182419</v>
      </c>
      <c r="C10" s="117">
        <f t="shared" si="1"/>
        <v>11254.605713488754</v>
      </c>
      <c r="D10" s="7"/>
      <c r="E10" s="7"/>
      <c r="F10" s="7">
        <v>9420.6717882366847</v>
      </c>
      <c r="G10" s="7">
        <f t="shared" si="24"/>
        <v>115711.42234657212</v>
      </c>
      <c r="H10" s="7">
        <f>G10*1000000/'a1'!F10</f>
        <v>5144.610065561832</v>
      </c>
      <c r="I10" s="117">
        <f t="shared" si="2"/>
        <v>1670.921925862458</v>
      </c>
      <c r="J10" s="117">
        <f t="shared" si="3"/>
        <v>214.65756180047248</v>
      </c>
      <c r="K10" s="7"/>
      <c r="L10" s="7"/>
      <c r="M10" s="7">
        <v>413.98560227162722</v>
      </c>
      <c r="N10" s="7">
        <f t="shared" si="4"/>
        <v>1870.2499663336127</v>
      </c>
      <c r="O10" s="7">
        <f>N10*1000000/'a1'!L10</f>
        <v>3428.1225496940078</v>
      </c>
      <c r="P10" s="117">
        <f t="shared" si="5"/>
        <v>613.52564352010097</v>
      </c>
      <c r="Q10" s="117">
        <f t="shared" si="6"/>
        <v>91.543699646686278</v>
      </c>
      <c r="R10" s="7"/>
      <c r="S10" s="7"/>
      <c r="T10" s="7">
        <v>68.873358242167669</v>
      </c>
      <c r="U10" s="7">
        <f t="shared" si="7"/>
        <v>590.85530211558239</v>
      </c>
      <c r="V10" s="7">
        <f>U10*1000000/'a1'!R10</f>
        <v>5154.9057940637094</v>
      </c>
      <c r="W10" s="117">
        <f t="shared" si="8"/>
        <v>4825.1559952316265</v>
      </c>
      <c r="X10" s="117">
        <f t="shared" si="9"/>
        <v>456.31849421088481</v>
      </c>
      <c r="Y10" s="7"/>
      <c r="Z10" s="7"/>
      <c r="AA10" s="7">
        <v>453.271840245112</v>
      </c>
      <c r="AB10" s="7">
        <f t="shared" si="25"/>
        <v>4822.1093412658538</v>
      </c>
      <c r="AC10" s="7">
        <f>AB10*1000000/'a1'!X10</f>
        <v>5935.7366341441802</v>
      </c>
      <c r="AD10" s="117">
        <f t="shared" si="10"/>
        <v>2820.4947490405734</v>
      </c>
      <c r="AE10" s="117">
        <f t="shared" si="11"/>
        <v>385.97735477969661</v>
      </c>
      <c r="AF10" s="7"/>
      <c r="AG10" s="7"/>
      <c r="AH10" s="7">
        <v>366.11580597131871</v>
      </c>
      <c r="AI10" s="7">
        <f t="shared" si="26"/>
        <v>2800.6332002321956</v>
      </c>
      <c r="AJ10" s="7">
        <f>AI10*1000000/'a1'!AD10</f>
        <v>4264.5772935683326</v>
      </c>
      <c r="AK10" s="117">
        <f t="shared" si="12"/>
        <v>28440.915379311624</v>
      </c>
      <c r="AL10" s="117">
        <f t="shared" si="13"/>
        <v>2529.0490385018506</v>
      </c>
      <c r="AM10" s="7"/>
      <c r="AN10" s="7"/>
      <c r="AO10" s="7">
        <v>3171.1960441267242</v>
      </c>
      <c r="AP10" s="7">
        <f t="shared" si="27"/>
        <v>29083.0623849365</v>
      </c>
      <c r="AQ10" s="7">
        <f>AP10*1000000/'a1'!AJ10</f>
        <v>4680.8892535711766</v>
      </c>
      <c r="AR10" s="117">
        <f t="shared" si="14"/>
        <v>46374.744814425627</v>
      </c>
      <c r="AS10" s="117">
        <f t="shared" si="15"/>
        <v>3925.328004627559</v>
      </c>
      <c r="AT10" s="7"/>
      <c r="AU10" s="7"/>
      <c r="AV10" s="7">
        <v>3328.2595937949072</v>
      </c>
      <c r="AW10" s="7">
        <f t="shared" si="28"/>
        <v>45777.676403592974</v>
      </c>
      <c r="AX10" s="7">
        <f>AW10/'a1'!AP10*1000000</f>
        <v>5668.6780974208896</v>
      </c>
      <c r="AY10" s="117">
        <f t="shared" si="16"/>
        <v>5098.7423499808319</v>
      </c>
      <c r="AZ10" s="117">
        <f t="shared" si="17"/>
        <v>577.57267358635306</v>
      </c>
      <c r="BA10" s="7"/>
      <c r="BB10" s="7"/>
      <c r="BC10" s="7">
        <v>497.2117952845519</v>
      </c>
      <c r="BD10" s="7">
        <f t="shared" si="29"/>
        <v>5018.3814716790312</v>
      </c>
      <c r="BE10" s="7">
        <f>BD10*1000000/'a1'!AV10</f>
        <v>4981.7259322693935</v>
      </c>
      <c r="BF10" s="117">
        <f t="shared" si="18"/>
        <v>4186.7867704840428</v>
      </c>
      <c r="BG10" s="117">
        <f t="shared" si="19"/>
        <v>604.01937152091796</v>
      </c>
      <c r="BH10" s="7"/>
      <c r="BI10" s="7"/>
      <c r="BJ10" s="7">
        <v>395.78321910096133</v>
      </c>
      <c r="BK10" s="7">
        <f t="shared" si="30"/>
        <v>3978.5506180640859</v>
      </c>
      <c r="BL10" s="7">
        <f>BK10*1000000/'a1'!BB10</f>
        <v>4362.7472271265297</v>
      </c>
      <c r="BM10" s="117">
        <f t="shared" si="20"/>
        <v>9241.4268316897196</v>
      </c>
      <c r="BN10" s="117">
        <f t="shared" si="21"/>
        <v>1144.1205886205053</v>
      </c>
      <c r="BO10" s="7"/>
      <c r="BP10" s="7"/>
      <c r="BQ10" s="7">
        <v>918.82499594596209</v>
      </c>
      <c r="BR10" s="7">
        <f t="shared" si="31"/>
        <v>9016.1312390151761</v>
      </c>
      <c r="BS10" s="7">
        <f>BR10/'a1'!BH10*1000000</f>
        <v>5225.7521264172965</v>
      </c>
      <c r="BT10" s="117">
        <f t="shared" si="22"/>
        <v>11623.153950189053</v>
      </c>
      <c r="BU10" s="117">
        <f t="shared" si="23"/>
        <v>1241.5991880466051</v>
      </c>
      <c r="BV10" s="7"/>
      <c r="BW10" s="7"/>
      <c r="BX10" s="7">
        <v>1316.8820634735757</v>
      </c>
      <c r="BY10" s="7">
        <f t="shared" si="32"/>
        <v>11698.436825616023</v>
      </c>
      <c r="BZ10" s="7">
        <f>BY10*1000000/'a1'!BN10</f>
        <v>4941.7395919673008</v>
      </c>
    </row>
    <row r="11" spans="1:78" hidden="1">
      <c r="A11" s="1">
        <v>1974</v>
      </c>
      <c r="B11" s="117">
        <f t="shared" si="0"/>
        <v>125014.6543354212</v>
      </c>
      <c r="C11" s="117">
        <f t="shared" si="1"/>
        <v>12306.870306527011</v>
      </c>
      <c r="D11" s="7"/>
      <c r="E11" s="7"/>
      <c r="F11" s="7">
        <v>10317.786174793175</v>
      </c>
      <c r="G11" s="7">
        <f t="shared" si="24"/>
        <v>123025.57020368737</v>
      </c>
      <c r="H11" s="7">
        <f>G11*1000000/'a1'!F11</f>
        <v>5393.973054053492</v>
      </c>
      <c r="I11" s="117">
        <f t="shared" si="2"/>
        <v>1831.6497714107491</v>
      </c>
      <c r="J11" s="117">
        <f t="shared" si="3"/>
        <v>249.13022049890947</v>
      </c>
      <c r="K11" s="7"/>
      <c r="L11" s="7"/>
      <c r="M11" s="7">
        <v>429.03722022142188</v>
      </c>
      <c r="N11" s="7">
        <f t="shared" si="4"/>
        <v>2011.5567711332615</v>
      </c>
      <c r="O11" s="7">
        <f>N11*1000000/'a1'!L11</f>
        <v>3660.0111555470148</v>
      </c>
      <c r="P11" s="117">
        <f t="shared" si="5"/>
        <v>646.07534361786691</v>
      </c>
      <c r="Q11" s="117">
        <f t="shared" si="6"/>
        <v>98.739507052439265</v>
      </c>
      <c r="R11" s="7"/>
      <c r="S11" s="7"/>
      <c r="T11" s="7">
        <v>47.830907457322546</v>
      </c>
      <c r="U11" s="7">
        <f t="shared" si="7"/>
        <v>595.16674402275009</v>
      </c>
      <c r="V11" s="7">
        <f>U11*1000000/'a1'!R11</f>
        <v>5132.4291062826624</v>
      </c>
      <c r="W11" s="117">
        <f t="shared" si="8"/>
        <v>5227.7703004694476</v>
      </c>
      <c r="X11" s="117">
        <f t="shared" si="9"/>
        <v>501.37008600341863</v>
      </c>
      <c r="Y11" s="7"/>
      <c r="Z11" s="7"/>
      <c r="AA11" s="7">
        <v>458.42694300518127</v>
      </c>
      <c r="AB11" s="7">
        <f t="shared" si="25"/>
        <v>5184.8271574712098</v>
      </c>
      <c r="AC11" s="7">
        <f>AB11*1000000/'a1'!X11</f>
        <v>6332.6055876221335</v>
      </c>
      <c r="AD11" s="117">
        <f t="shared" si="10"/>
        <v>2883.0231298431536</v>
      </c>
      <c r="AE11" s="117">
        <f t="shared" si="11"/>
        <v>427.27288248995859</v>
      </c>
      <c r="AF11" s="7"/>
      <c r="AG11" s="7"/>
      <c r="AH11" s="7">
        <v>467.58664723032052</v>
      </c>
      <c r="AI11" s="7">
        <f t="shared" si="26"/>
        <v>2923.3368945835155</v>
      </c>
      <c r="AJ11" s="7">
        <f>AI11*1000000/'a1'!AD11</f>
        <v>4397.6882748599692</v>
      </c>
      <c r="AK11" s="117">
        <f t="shared" si="12"/>
        <v>29265.630965892855</v>
      </c>
      <c r="AL11" s="117">
        <f t="shared" si="13"/>
        <v>2793.8416081333144</v>
      </c>
      <c r="AM11" s="7"/>
      <c r="AN11" s="7"/>
      <c r="AO11" s="7">
        <v>3220.9517791778744</v>
      </c>
      <c r="AP11" s="7">
        <f t="shared" si="27"/>
        <v>29692.741136937413</v>
      </c>
      <c r="AQ11" s="7">
        <f>AP11*1000000/'a1'!AJ11</f>
        <v>4736.7639509766123</v>
      </c>
      <c r="AR11" s="117">
        <f t="shared" si="14"/>
        <v>47408.965528688022</v>
      </c>
      <c r="AS11" s="117">
        <f t="shared" si="15"/>
        <v>4252.5847667546104</v>
      </c>
      <c r="AT11" s="7"/>
      <c r="AU11" s="7"/>
      <c r="AV11" s="7">
        <v>3535.2889564600978</v>
      </c>
      <c r="AW11" s="7">
        <f t="shared" si="28"/>
        <v>46691.66971839351</v>
      </c>
      <c r="AX11" s="7">
        <f>AW11/'a1'!AP11*1000000</f>
        <v>5691.1390364649542</v>
      </c>
      <c r="AY11" s="117">
        <f t="shared" si="16"/>
        <v>5645.8730135665373</v>
      </c>
      <c r="AZ11" s="117">
        <f t="shared" si="17"/>
        <v>625.26320899503173</v>
      </c>
      <c r="BA11" s="7"/>
      <c r="BB11" s="7"/>
      <c r="BC11" s="7">
        <v>402.64123875926276</v>
      </c>
      <c r="BD11" s="7">
        <f t="shared" si="29"/>
        <v>5423.251043330768</v>
      </c>
      <c r="BE11" s="7">
        <f>BD11*1000000/'a1'!AV11</f>
        <v>5326.2807755314425</v>
      </c>
      <c r="BF11" s="117">
        <f t="shared" si="18"/>
        <v>4662.6865125045551</v>
      </c>
      <c r="BG11" s="117">
        <f t="shared" si="19"/>
        <v>649.64756473619934</v>
      </c>
      <c r="BH11" s="7"/>
      <c r="BI11" s="7"/>
      <c r="BJ11" s="7">
        <v>471.94715359828137</v>
      </c>
      <c r="BK11" s="7">
        <f t="shared" si="30"/>
        <v>4484.9861013666368</v>
      </c>
      <c r="BL11" s="7">
        <f>BK11*1000000/'a1'!BB11</f>
        <v>4936.9272308613808</v>
      </c>
      <c r="BM11" s="117">
        <f t="shared" si="20"/>
        <v>9676.9515965314222</v>
      </c>
      <c r="BN11" s="117">
        <f t="shared" si="21"/>
        <v>1244.2762095745575</v>
      </c>
      <c r="BO11" s="7"/>
      <c r="BP11" s="7"/>
      <c r="BQ11" s="7">
        <v>1131.3372446910637</v>
      </c>
      <c r="BR11" s="7">
        <f t="shared" si="31"/>
        <v>9564.0126316479273</v>
      </c>
      <c r="BS11" s="7">
        <f>BR11/'a1'!BH11*1000000</f>
        <v>5450.7569621291022</v>
      </c>
      <c r="BT11" s="117">
        <f t="shared" si="22"/>
        <v>13056.483961660244</v>
      </c>
      <c r="BU11" s="117">
        <f t="shared" si="23"/>
        <v>1367.7186577027148</v>
      </c>
      <c r="BV11" s="7"/>
      <c r="BW11" s="7"/>
      <c r="BX11" s="7">
        <v>1383.1228217314322</v>
      </c>
      <c r="BY11" s="7">
        <f t="shared" si="32"/>
        <v>13071.888125688962</v>
      </c>
      <c r="BZ11" s="7">
        <f>BY11*1000000/'a1'!BN11</f>
        <v>5351.6768454022595</v>
      </c>
    </row>
    <row r="12" spans="1:78" hidden="1">
      <c r="A12" s="1">
        <v>1975</v>
      </c>
      <c r="B12" s="117">
        <f t="shared" si="0"/>
        <v>133383.55242069726</v>
      </c>
      <c r="C12" s="117">
        <f t="shared" si="1"/>
        <v>12734.005395366303</v>
      </c>
      <c r="D12" s="7"/>
      <c r="E12" s="7"/>
      <c r="F12" s="7">
        <v>10876.179395206897</v>
      </c>
      <c r="G12" s="7">
        <f t="shared" si="24"/>
        <v>131525.72642053786</v>
      </c>
      <c r="H12" s="7">
        <f>G12*1000000/'a1'!F12</f>
        <v>5683.1077892190215</v>
      </c>
      <c r="I12" s="117">
        <f t="shared" si="2"/>
        <v>2032.9092667505536</v>
      </c>
      <c r="J12" s="117">
        <f t="shared" si="3"/>
        <v>263.80772397987863</v>
      </c>
      <c r="K12" s="7"/>
      <c r="L12" s="7"/>
      <c r="M12" s="7">
        <v>468.82222142515548</v>
      </c>
      <c r="N12" s="7">
        <f t="shared" si="4"/>
        <v>2237.9237641958307</v>
      </c>
      <c r="O12" s="7">
        <f>N12*1000000/'a1'!L12</f>
        <v>4021.4552560949778</v>
      </c>
      <c r="P12" s="117">
        <f t="shared" si="5"/>
        <v>705.46226797438601</v>
      </c>
      <c r="Q12" s="117">
        <f t="shared" si="6"/>
        <v>97.689669468209374</v>
      </c>
      <c r="R12" s="7"/>
      <c r="S12" s="7"/>
      <c r="T12" s="7">
        <v>75.537835557600857</v>
      </c>
      <c r="U12" s="7">
        <f t="shared" si="7"/>
        <v>683.31043406377751</v>
      </c>
      <c r="V12" s="7">
        <f>U12*1000000/'a1'!R12</f>
        <v>5804.3426494493697</v>
      </c>
      <c r="W12" s="117">
        <f t="shared" si="8"/>
        <v>5609.576640837483</v>
      </c>
      <c r="X12" s="117">
        <f t="shared" si="9"/>
        <v>514.41114716548975</v>
      </c>
      <c r="Y12" s="7"/>
      <c r="Z12" s="7"/>
      <c r="AA12" s="7">
        <v>399.4929914907957</v>
      </c>
      <c r="AB12" s="7">
        <f t="shared" si="25"/>
        <v>5494.6584851627886</v>
      </c>
      <c r="AC12" s="7">
        <f>AB12*1000000/'a1'!X12</f>
        <v>6647.7105231060568</v>
      </c>
      <c r="AD12" s="117">
        <f t="shared" si="10"/>
        <v>3208.7355484751947</v>
      </c>
      <c r="AE12" s="117">
        <f t="shared" si="11"/>
        <v>443.60550078944436</v>
      </c>
      <c r="AF12" s="7"/>
      <c r="AG12" s="7"/>
      <c r="AH12" s="7">
        <v>463.66116724738663</v>
      </c>
      <c r="AI12" s="7">
        <f t="shared" si="26"/>
        <v>3228.7912149331369</v>
      </c>
      <c r="AJ12" s="7">
        <f>AI12*1000000/'a1'!AD12</f>
        <v>4769.2068851965369</v>
      </c>
      <c r="AK12" s="117">
        <f t="shared" si="12"/>
        <v>30644.015148359857</v>
      </c>
      <c r="AL12" s="117">
        <f t="shared" si="13"/>
        <v>2901.9804478088845</v>
      </c>
      <c r="AM12" s="7"/>
      <c r="AN12" s="7"/>
      <c r="AO12" s="7">
        <v>3424.1085194030115</v>
      </c>
      <c r="AP12" s="7">
        <f t="shared" si="27"/>
        <v>31166.143219953985</v>
      </c>
      <c r="AQ12" s="7">
        <f>AP12*1000000/'a1'!AJ12</f>
        <v>4923.3256638669563</v>
      </c>
      <c r="AR12" s="117">
        <f t="shared" si="14"/>
        <v>50255.416873871276</v>
      </c>
      <c r="AS12" s="117">
        <f t="shared" si="15"/>
        <v>4397.102212855636</v>
      </c>
      <c r="AT12" s="7"/>
      <c r="AU12" s="7"/>
      <c r="AV12" s="7">
        <v>3354.7019437136782</v>
      </c>
      <c r="AW12" s="7">
        <f t="shared" si="28"/>
        <v>49213.016604729317</v>
      </c>
      <c r="AX12" s="7">
        <f>AW12/'a1'!AP12*1000000</f>
        <v>5915.1717806423494</v>
      </c>
      <c r="AY12" s="117">
        <f t="shared" si="16"/>
        <v>5826.8586465366006</v>
      </c>
      <c r="AZ12" s="117">
        <f t="shared" si="17"/>
        <v>638.90835848408938</v>
      </c>
      <c r="BA12" s="7"/>
      <c r="BB12" s="7"/>
      <c r="BC12" s="7">
        <v>400.58458577109133</v>
      </c>
      <c r="BD12" s="7">
        <f t="shared" si="29"/>
        <v>5588.5348738236025</v>
      </c>
      <c r="BE12" s="7">
        <f>BD12*1000000/'a1'!AV12</f>
        <v>5452.3621296359452</v>
      </c>
      <c r="BF12" s="117">
        <f t="shared" si="18"/>
        <v>5372.2305094990952</v>
      </c>
      <c r="BG12" s="117">
        <f t="shared" si="19"/>
        <v>666.54544887812972</v>
      </c>
      <c r="BH12" s="7"/>
      <c r="BI12" s="7"/>
      <c r="BJ12" s="7">
        <v>599.75658194266157</v>
      </c>
      <c r="BK12" s="7">
        <f t="shared" si="30"/>
        <v>5305.4416425636273</v>
      </c>
      <c r="BL12" s="7">
        <f>BK12*1000000/'a1'!BB12</f>
        <v>5783.0334609349393</v>
      </c>
      <c r="BM12" s="117">
        <f t="shared" si="20"/>
        <v>10431.549989798003</v>
      </c>
      <c r="BN12" s="117">
        <f t="shared" si="21"/>
        <v>1285.4941546165483</v>
      </c>
      <c r="BO12" s="7"/>
      <c r="BP12" s="7"/>
      <c r="BQ12" s="7">
        <v>1426.3535315040647</v>
      </c>
      <c r="BR12" s="7">
        <f t="shared" si="31"/>
        <v>10572.409366685519</v>
      </c>
      <c r="BS12" s="7">
        <f>BR12/'a1'!BH12*1000000</f>
        <v>5845.3439848893422</v>
      </c>
      <c r="BT12" s="117">
        <f t="shared" si="22"/>
        <v>14307.061966469177</v>
      </c>
      <c r="BU12" s="117">
        <f t="shared" si="23"/>
        <v>1422.0047690541373</v>
      </c>
      <c r="BV12" s="7"/>
      <c r="BW12" s="7"/>
      <c r="BX12" s="7">
        <v>1380.0599158453056</v>
      </c>
      <c r="BY12" s="7">
        <f t="shared" si="32"/>
        <v>14265.117113260345</v>
      </c>
      <c r="BZ12" s="7">
        <f>BY12*1000000/'a1'!BN12</f>
        <v>5707.0421534557008</v>
      </c>
    </row>
    <row r="13" spans="1:78" hidden="1">
      <c r="A13" s="1">
        <v>1976</v>
      </c>
      <c r="B13" s="117">
        <f t="shared" si="0"/>
        <v>135947.88846132997</v>
      </c>
      <c r="C13" s="117">
        <f t="shared" si="1"/>
        <v>12687.976661748342</v>
      </c>
      <c r="D13" s="7"/>
      <c r="E13" s="7"/>
      <c r="F13" s="7">
        <v>10535.736239296468</v>
      </c>
      <c r="G13" s="7">
        <f t="shared" si="24"/>
        <v>133795.64803887811</v>
      </c>
      <c r="H13" s="7">
        <f>G13*1000000/'a1'!F13</f>
        <v>5705.6180604497113</v>
      </c>
      <c r="I13" s="117">
        <f t="shared" si="2"/>
        <v>2194.6470094751012</v>
      </c>
      <c r="J13" s="117">
        <f t="shared" si="3"/>
        <v>265.9420954293301</v>
      </c>
      <c r="K13" s="7"/>
      <c r="L13" s="7"/>
      <c r="M13" s="7">
        <v>401.23034091685457</v>
      </c>
      <c r="N13" s="7">
        <f t="shared" si="4"/>
        <v>2329.9352549626255</v>
      </c>
      <c r="O13" s="7">
        <f>N13*1000000/'a1'!L13</f>
        <v>4141.0838121115412</v>
      </c>
      <c r="P13" s="117">
        <f t="shared" si="5"/>
        <v>785.35648638681744</v>
      </c>
      <c r="Q13" s="117">
        <f t="shared" si="6"/>
        <v>101.17476820388855</v>
      </c>
      <c r="R13" s="7"/>
      <c r="S13" s="7"/>
      <c r="T13" s="7">
        <v>42.775608295166506</v>
      </c>
      <c r="U13" s="7">
        <f t="shared" si="7"/>
        <v>726.95732647809541</v>
      </c>
      <c r="V13" s="7">
        <f>U13*1000000/'a1'!R13</f>
        <v>6127.0086851703818</v>
      </c>
      <c r="W13" s="117">
        <f t="shared" si="8"/>
        <v>6118.4666652357864</v>
      </c>
      <c r="X13" s="117">
        <f t="shared" si="9"/>
        <v>507.91095672801998</v>
      </c>
      <c r="Y13" s="7"/>
      <c r="Z13" s="7"/>
      <c r="AA13" s="7">
        <v>372.70483171152944</v>
      </c>
      <c r="AB13" s="7">
        <f t="shared" si="25"/>
        <v>5983.2605402192958</v>
      </c>
      <c r="AC13" s="7">
        <f>AB13*1000000/'a1'!X13</f>
        <v>7164.1572336748568</v>
      </c>
      <c r="AD13" s="117">
        <f t="shared" si="10"/>
        <v>3466.6556591587191</v>
      </c>
      <c r="AE13" s="117">
        <f t="shared" si="11"/>
        <v>440.12738419834096</v>
      </c>
      <c r="AF13" s="7"/>
      <c r="AG13" s="7"/>
      <c r="AH13" s="7">
        <v>464.72173552347755</v>
      </c>
      <c r="AI13" s="7">
        <f t="shared" si="26"/>
        <v>3491.2500104838555</v>
      </c>
      <c r="AJ13" s="7">
        <f>AI13*1000000/'a1'!AD13</f>
        <v>5063.4958541827127</v>
      </c>
      <c r="AK13" s="117">
        <f t="shared" si="12"/>
        <v>32475.085418406437</v>
      </c>
      <c r="AL13" s="117">
        <f t="shared" si="13"/>
        <v>2898.169573944394</v>
      </c>
      <c r="AM13" s="7"/>
      <c r="AN13" s="7"/>
      <c r="AO13" s="7">
        <v>3091.8500107816944</v>
      </c>
      <c r="AP13" s="7">
        <f t="shared" si="27"/>
        <v>32668.765855243739</v>
      </c>
      <c r="AQ13" s="7">
        <f>AP13*1000000/'a1'!AJ13</f>
        <v>5107.0793258093809</v>
      </c>
      <c r="AR13" s="117">
        <f t="shared" si="14"/>
        <v>49621.676679482131</v>
      </c>
      <c r="AS13" s="117">
        <f t="shared" si="15"/>
        <v>4375.7004470268648</v>
      </c>
      <c r="AT13" s="7"/>
      <c r="AU13" s="7"/>
      <c r="AV13" s="7">
        <v>3051.9727960416189</v>
      </c>
      <c r="AW13" s="7">
        <f t="shared" si="28"/>
        <v>48297.949028496885</v>
      </c>
      <c r="AX13" s="7">
        <f>AW13/'a1'!AP13*1000000</f>
        <v>5740.339629611959</v>
      </c>
      <c r="AY13" s="117">
        <f t="shared" si="16"/>
        <v>6112.4825052943088</v>
      </c>
      <c r="AZ13" s="117">
        <f t="shared" si="17"/>
        <v>622.96023535217091</v>
      </c>
      <c r="BA13" s="7"/>
      <c r="BB13" s="7"/>
      <c r="BC13" s="7">
        <v>442.69455570390136</v>
      </c>
      <c r="BD13" s="7">
        <f t="shared" si="29"/>
        <v>5932.2168256460391</v>
      </c>
      <c r="BE13" s="7">
        <f>BD13*1000000/'a1'!AV13</f>
        <v>5749.6203815681965</v>
      </c>
      <c r="BF13" s="117">
        <f t="shared" si="18"/>
        <v>5306.6185936418369</v>
      </c>
      <c r="BG13" s="117">
        <f t="shared" si="19"/>
        <v>662.14807872169399</v>
      </c>
      <c r="BH13" s="7"/>
      <c r="BI13" s="7"/>
      <c r="BJ13" s="7">
        <v>658.93542963098787</v>
      </c>
      <c r="BK13" s="7">
        <f t="shared" si="30"/>
        <v>5303.4059445511302</v>
      </c>
      <c r="BL13" s="7">
        <f>BK13*1000000/'a1'!BB13</f>
        <v>5692.7196564139686</v>
      </c>
      <c r="BM13" s="117">
        <f t="shared" si="20"/>
        <v>10910.371906627119</v>
      </c>
      <c r="BN13" s="117">
        <f t="shared" si="21"/>
        <v>1277.9116204377676</v>
      </c>
      <c r="BO13" s="7"/>
      <c r="BP13" s="7"/>
      <c r="BQ13" s="7">
        <v>1380.2461702145692</v>
      </c>
      <c r="BR13" s="7">
        <f t="shared" si="31"/>
        <v>11012.706456403921</v>
      </c>
      <c r="BS13" s="7">
        <f>BR13/'a1'!BH13*1000000</f>
        <v>5891.3941285655555</v>
      </c>
      <c r="BT13" s="117">
        <f t="shared" si="22"/>
        <v>14545.232329865488</v>
      </c>
      <c r="BU13" s="117">
        <f t="shared" si="23"/>
        <v>1433.1879482616926</v>
      </c>
      <c r="BV13" s="7"/>
      <c r="BW13" s="7"/>
      <c r="BX13" s="7">
        <v>1543.7045666077988</v>
      </c>
      <c r="BY13" s="7">
        <f t="shared" si="32"/>
        <v>14655.748948211594</v>
      </c>
      <c r="BZ13" s="7">
        <f>BY13*1000000/'a1'!BN13</f>
        <v>5783.872580640189</v>
      </c>
    </row>
    <row r="14" spans="1:78" hidden="1">
      <c r="A14" s="1">
        <v>1977</v>
      </c>
      <c r="B14" s="117">
        <f t="shared" si="0"/>
        <v>142305.77591613308</v>
      </c>
      <c r="C14" s="117">
        <f t="shared" si="1"/>
        <v>13226.229384466797</v>
      </c>
      <c r="D14" s="7"/>
      <c r="E14" s="7"/>
      <c r="F14" s="7">
        <v>10848.077485576767</v>
      </c>
      <c r="G14" s="7">
        <f t="shared" si="24"/>
        <v>139927.62401724304</v>
      </c>
      <c r="H14" s="7">
        <f>G14*1000000/'a1'!F14</f>
        <v>5897.6881882444823</v>
      </c>
      <c r="I14" s="117">
        <f t="shared" si="2"/>
        <v>2272.7654130052724</v>
      </c>
      <c r="J14" s="117">
        <f t="shared" si="3"/>
        <v>278.44654601315341</v>
      </c>
      <c r="K14" s="7"/>
      <c r="L14" s="7"/>
      <c r="M14" s="7">
        <v>349.01736163272318</v>
      </c>
      <c r="N14" s="7">
        <f t="shared" si="4"/>
        <v>2343.3362286248421</v>
      </c>
      <c r="O14" s="7">
        <f>N14*1000000/'a1'!L14</f>
        <v>4144.9447572554291</v>
      </c>
      <c r="P14" s="117">
        <f t="shared" si="5"/>
        <v>815.52131506849298</v>
      </c>
      <c r="Q14" s="117">
        <f t="shared" si="6"/>
        <v>102.28141285466124</v>
      </c>
      <c r="R14" s="7"/>
      <c r="S14" s="7"/>
      <c r="T14" s="7">
        <v>53.135758193194881</v>
      </c>
      <c r="U14" s="7">
        <f t="shared" si="7"/>
        <v>766.37566040702666</v>
      </c>
      <c r="V14" s="7">
        <f>U14*1000000/'a1'!R14</f>
        <v>6391.6837117564901</v>
      </c>
      <c r="W14" s="117">
        <f t="shared" si="8"/>
        <v>6184.3187191460984</v>
      </c>
      <c r="X14" s="117">
        <f t="shared" si="9"/>
        <v>524.73118279569906</v>
      </c>
      <c r="Y14" s="7"/>
      <c r="Z14" s="7"/>
      <c r="AA14" s="7">
        <v>311.70857899522309</v>
      </c>
      <c r="AB14" s="7">
        <f t="shared" si="25"/>
        <v>5971.2961153456226</v>
      </c>
      <c r="AC14" s="7">
        <f>AB14*1000000/'a1'!X14</f>
        <v>7108.448903305155</v>
      </c>
      <c r="AD14" s="117">
        <f t="shared" si="10"/>
        <v>3675.861781959049</v>
      </c>
      <c r="AE14" s="117">
        <f t="shared" si="11"/>
        <v>457.56681758434354</v>
      </c>
      <c r="AF14" s="7"/>
      <c r="AG14" s="7"/>
      <c r="AH14" s="7">
        <v>472.45958200865158</v>
      </c>
      <c r="AI14" s="7">
        <f t="shared" si="26"/>
        <v>3690.7545463833571</v>
      </c>
      <c r="AJ14" s="7">
        <f>AI14*1000000/'a1'!AD14</f>
        <v>5304.0047056352614</v>
      </c>
      <c r="AK14" s="117">
        <f t="shared" si="12"/>
        <v>35198.418455428065</v>
      </c>
      <c r="AL14" s="117">
        <f t="shared" si="13"/>
        <v>3027.8150100952876</v>
      </c>
      <c r="AM14" s="7"/>
      <c r="AN14" s="7"/>
      <c r="AO14" s="7">
        <v>3270.5813061238987</v>
      </c>
      <c r="AP14" s="7">
        <f t="shared" si="27"/>
        <v>35441.184751456676</v>
      </c>
      <c r="AQ14" s="7">
        <f>AP14*1000000/'a1'!AJ14</f>
        <v>5509.1640032091163</v>
      </c>
      <c r="AR14" s="117">
        <f t="shared" si="14"/>
        <v>51382.626063286829</v>
      </c>
      <c r="AS14" s="117">
        <f t="shared" si="15"/>
        <v>4547.5068493150675</v>
      </c>
      <c r="AT14" s="7"/>
      <c r="AU14" s="7"/>
      <c r="AV14" s="7">
        <v>3026.8272795060716</v>
      </c>
      <c r="AW14" s="7">
        <f t="shared" si="28"/>
        <v>49861.94649347783</v>
      </c>
      <c r="AX14" s="7">
        <f>AW14/'a1'!AP14*1000000</f>
        <v>5863.2969696284408</v>
      </c>
      <c r="AY14" s="117">
        <f t="shared" si="16"/>
        <v>6170.7468140981337</v>
      </c>
      <c r="AZ14" s="117">
        <f t="shared" si="17"/>
        <v>643.66922553687709</v>
      </c>
      <c r="BA14" s="7"/>
      <c r="BB14" s="7"/>
      <c r="BC14" s="7">
        <v>459.57218469735551</v>
      </c>
      <c r="BD14" s="7">
        <f t="shared" si="29"/>
        <v>5986.6497732586122</v>
      </c>
      <c r="BE14" s="7">
        <f>BD14*1000000/'a1'!AV14</f>
        <v>5770.9935165390643</v>
      </c>
      <c r="BF14" s="117">
        <f t="shared" si="18"/>
        <v>5539.6811492418192</v>
      </c>
      <c r="BG14" s="117">
        <f t="shared" si="19"/>
        <v>689.20607048789702</v>
      </c>
      <c r="BH14" s="7"/>
      <c r="BI14" s="7"/>
      <c r="BJ14" s="7">
        <v>610.82806351888462</v>
      </c>
      <c r="BK14" s="7">
        <f t="shared" si="30"/>
        <v>5461.3031422728072</v>
      </c>
      <c r="BL14" s="7">
        <f>BK14*1000000/'a1'!BB14</f>
        <v>5781.4754724622962</v>
      </c>
      <c r="BM14" s="117">
        <f t="shared" si="20"/>
        <v>11412.668087774295</v>
      </c>
      <c r="BN14" s="117">
        <f t="shared" si="21"/>
        <v>1340.596879260718</v>
      </c>
      <c r="BO14" s="7"/>
      <c r="BP14" s="7"/>
      <c r="BQ14" s="7">
        <v>1549.2346876106803</v>
      </c>
      <c r="BR14" s="7">
        <f t="shared" si="31"/>
        <v>11621.305896124257</v>
      </c>
      <c r="BS14" s="7">
        <f>BR14/'a1'!BH14*1000000</f>
        <v>5964.9574498536685</v>
      </c>
      <c r="BT14" s="117">
        <f t="shared" si="22"/>
        <v>14947.063299367986</v>
      </c>
      <c r="BU14" s="117">
        <f t="shared" si="23"/>
        <v>1506.8520255863539</v>
      </c>
      <c r="BV14" s="7"/>
      <c r="BW14" s="7"/>
      <c r="BX14" s="7">
        <v>1605.07921004233</v>
      </c>
      <c r="BY14" s="7">
        <f t="shared" si="32"/>
        <v>15045.290483823963</v>
      </c>
      <c r="BZ14" s="7">
        <f>BY14*1000000/'a1'!BN14</f>
        <v>5853.481181809997</v>
      </c>
    </row>
    <row r="15" spans="1:78" hidden="1">
      <c r="A15" s="1">
        <v>1978</v>
      </c>
      <c r="B15" s="117">
        <f t="shared" si="0"/>
        <v>144816.56433642775</v>
      </c>
      <c r="C15" s="117">
        <f t="shared" si="1"/>
        <v>13761.045353858955</v>
      </c>
      <c r="D15" s="7"/>
      <c r="E15" s="7"/>
      <c r="F15" s="7">
        <v>10872.531084681514</v>
      </c>
      <c r="G15" s="7">
        <f t="shared" si="24"/>
        <v>141928.05006725033</v>
      </c>
      <c r="H15" s="7">
        <f>G15*1000000/'a1'!F15</f>
        <v>5922.7495617864743</v>
      </c>
      <c r="I15" s="117">
        <f t="shared" si="2"/>
        <v>2481.4819195502787</v>
      </c>
      <c r="J15" s="117">
        <f t="shared" si="3"/>
        <v>294.22128555138403</v>
      </c>
      <c r="K15" s="7"/>
      <c r="L15" s="7"/>
      <c r="M15" s="7">
        <v>397.92553242835601</v>
      </c>
      <c r="N15" s="7">
        <f t="shared" si="4"/>
        <v>2585.1861664272506</v>
      </c>
      <c r="O15" s="7">
        <f>N15*1000000/'a1'!L15</f>
        <v>4554.2786285425254</v>
      </c>
      <c r="P15" s="117">
        <f t="shared" si="5"/>
        <v>749.85160825173841</v>
      </c>
      <c r="Q15" s="117">
        <f t="shared" si="6"/>
        <v>103.81408627383128</v>
      </c>
      <c r="R15" s="7"/>
      <c r="S15" s="7"/>
      <c r="T15" s="7">
        <v>82.41633284954041</v>
      </c>
      <c r="U15" s="7">
        <f t="shared" si="7"/>
        <v>728.45385482744746</v>
      </c>
      <c r="V15" s="7">
        <f>U15*1000000/'a1'!R15</f>
        <v>5986.4390949298795</v>
      </c>
      <c r="W15" s="117">
        <f t="shared" si="8"/>
        <v>6510.1911834828188</v>
      </c>
      <c r="X15" s="117">
        <f t="shared" si="9"/>
        <v>542.19836792814522</v>
      </c>
      <c r="Y15" s="7"/>
      <c r="Z15" s="7"/>
      <c r="AA15" s="7">
        <v>381.23881670430893</v>
      </c>
      <c r="AB15" s="7">
        <f t="shared" si="25"/>
        <v>6349.2316322589822</v>
      </c>
      <c r="AC15" s="7">
        <f>AB15*1000000/'a1'!X15</f>
        <v>7517.1929325797664</v>
      </c>
      <c r="AD15" s="117">
        <f t="shared" si="10"/>
        <v>3759.2301434808796</v>
      </c>
      <c r="AE15" s="117">
        <f t="shared" si="11"/>
        <v>479.18077464682204</v>
      </c>
      <c r="AF15" s="7"/>
      <c r="AG15" s="7"/>
      <c r="AH15" s="7">
        <v>447.84757509157504</v>
      </c>
      <c r="AI15" s="7">
        <f t="shared" si="26"/>
        <v>3727.8969439256325</v>
      </c>
      <c r="AJ15" s="7">
        <f>AI15*1000000/'a1'!AD15</f>
        <v>5329.2670967637996</v>
      </c>
      <c r="AK15" s="117">
        <f t="shared" si="12"/>
        <v>36247.845509090606</v>
      </c>
      <c r="AL15" s="117">
        <f t="shared" si="13"/>
        <v>3156.6934194664041</v>
      </c>
      <c r="AM15" s="7"/>
      <c r="AN15" s="7"/>
      <c r="AO15" s="7">
        <v>3059.7482538767931</v>
      </c>
      <c r="AP15" s="7">
        <f t="shared" si="27"/>
        <v>36150.900343500994</v>
      </c>
      <c r="AQ15" s="7">
        <f>AP15*1000000/'a1'!AJ15</f>
        <v>5613.0937784870603</v>
      </c>
      <c r="AR15" s="117">
        <f t="shared" si="14"/>
        <v>50693.794951218049</v>
      </c>
      <c r="AS15" s="117">
        <f t="shared" si="15"/>
        <v>4713.342791357537</v>
      </c>
      <c r="AT15" s="7"/>
      <c r="AU15" s="7"/>
      <c r="AV15" s="7">
        <v>2959.6790646728855</v>
      </c>
      <c r="AW15" s="7">
        <f t="shared" si="28"/>
        <v>48940.131224533397</v>
      </c>
      <c r="AX15" s="7">
        <f>AW15/'a1'!AP15*1000000</f>
        <v>5697.2422376776685</v>
      </c>
      <c r="AY15" s="117">
        <f t="shared" si="16"/>
        <v>6028.2396480981079</v>
      </c>
      <c r="AZ15" s="117">
        <f t="shared" si="17"/>
        <v>665.16129362214917</v>
      </c>
      <c r="BA15" s="7"/>
      <c r="BB15" s="7"/>
      <c r="BC15" s="7">
        <v>467.21302340442531</v>
      </c>
      <c r="BD15" s="7">
        <f t="shared" si="29"/>
        <v>5830.2913778803841</v>
      </c>
      <c r="BE15" s="7">
        <f>BD15*1000000/'a1'!AV15</f>
        <v>5601.3044506340157</v>
      </c>
      <c r="BF15" s="117">
        <f t="shared" si="18"/>
        <v>5599.8132509142742</v>
      </c>
      <c r="BG15" s="117">
        <f t="shared" si="19"/>
        <v>712.38051513842265</v>
      </c>
      <c r="BH15" s="7"/>
      <c r="BI15" s="7"/>
      <c r="BJ15" s="7">
        <v>562.91597588843899</v>
      </c>
      <c r="BK15" s="7">
        <f t="shared" si="30"/>
        <v>5450.3487116642909</v>
      </c>
      <c r="BL15" s="7">
        <f>BK15*1000000/'a1'!BB15</f>
        <v>5722.5714348186129</v>
      </c>
      <c r="BM15" s="117">
        <f t="shared" si="20"/>
        <v>12238.638487208011</v>
      </c>
      <c r="BN15" s="117">
        <f t="shared" si="21"/>
        <v>1406.2773472720362</v>
      </c>
      <c r="BO15" s="7"/>
      <c r="BP15" s="7"/>
      <c r="BQ15" s="7">
        <v>1597.1315365899306</v>
      </c>
      <c r="BR15" s="7">
        <f t="shared" si="31"/>
        <v>12429.492676525904</v>
      </c>
      <c r="BS15" s="7">
        <f>BR15/'a1'!BH15*1000000</f>
        <v>6146.3953487867693</v>
      </c>
      <c r="BT15" s="117">
        <f t="shared" si="22"/>
        <v>15946.251438459551</v>
      </c>
      <c r="BU15" s="117">
        <f t="shared" si="23"/>
        <v>1574.7814408433212</v>
      </c>
      <c r="BV15" s="7"/>
      <c r="BW15" s="7"/>
      <c r="BX15" s="7">
        <v>1539.335186160871</v>
      </c>
      <c r="BY15" s="7">
        <f t="shared" si="32"/>
        <v>15910.805183777102</v>
      </c>
      <c r="BZ15" s="7">
        <f>BY15*1000000/'a1'!BN15</f>
        <v>6084.0610194615483</v>
      </c>
    </row>
    <row r="16" spans="1:78" hidden="1">
      <c r="A16" s="1">
        <v>1979</v>
      </c>
      <c r="B16" s="117">
        <f t="shared" si="0"/>
        <v>146338.50670114666</v>
      </c>
      <c r="C16" s="117">
        <f t="shared" si="1"/>
        <v>14340.6423281686</v>
      </c>
      <c r="D16" s="7"/>
      <c r="E16" s="7"/>
      <c r="F16" s="7">
        <v>10626.757692227771</v>
      </c>
      <c r="G16" s="7">
        <f t="shared" si="24"/>
        <v>142624.62206520583</v>
      </c>
      <c r="H16" s="7">
        <f>G16*1000000/'a1'!F16</f>
        <v>5893.2034280625157</v>
      </c>
      <c r="I16" s="117">
        <f t="shared" si="2"/>
        <v>2499.0588501390384</v>
      </c>
      <c r="J16" s="117">
        <f t="shared" si="3"/>
        <v>310.57440862022105</v>
      </c>
      <c r="K16" s="7"/>
      <c r="L16" s="7"/>
      <c r="M16" s="7">
        <v>380.58367600668026</v>
      </c>
      <c r="N16" s="7">
        <f t="shared" si="4"/>
        <v>2569.0681175254977</v>
      </c>
      <c r="O16" s="7">
        <f>N16*1000000/'a1'!L16</f>
        <v>4506.5440819637724</v>
      </c>
      <c r="P16" s="117">
        <f t="shared" si="5"/>
        <v>719.69638091717525</v>
      </c>
      <c r="Q16" s="117">
        <f t="shared" si="6"/>
        <v>106.6176592108786</v>
      </c>
      <c r="R16" s="7"/>
      <c r="S16" s="7"/>
      <c r="T16" s="7">
        <v>98.226879352419502</v>
      </c>
      <c r="U16" s="7">
        <f t="shared" si="7"/>
        <v>711.30560105871609</v>
      </c>
      <c r="V16" s="7">
        <f>U16*1000000/'a1'!R16</f>
        <v>5788.3842703236041</v>
      </c>
      <c r="W16" s="117">
        <f t="shared" si="8"/>
        <v>6432.0252082948919</v>
      </c>
      <c r="X16" s="117">
        <f t="shared" si="9"/>
        <v>563.46987629107593</v>
      </c>
      <c r="Y16" s="7"/>
      <c r="Z16" s="7"/>
      <c r="AA16" s="7">
        <v>375.81609404880601</v>
      </c>
      <c r="AB16" s="7">
        <f t="shared" si="25"/>
        <v>6244.3714260526222</v>
      </c>
      <c r="AC16" s="7">
        <f>AB16*1000000/'a1'!X16</f>
        <v>7351.5432449088785</v>
      </c>
      <c r="AD16" s="117">
        <f t="shared" si="10"/>
        <v>3652.2512687068024</v>
      </c>
      <c r="AE16" s="117">
        <f t="shared" si="11"/>
        <v>497.9799788830959</v>
      </c>
      <c r="AF16" s="7"/>
      <c r="AG16" s="7"/>
      <c r="AH16" s="7">
        <v>444.65944569625952</v>
      </c>
      <c r="AI16" s="7">
        <f t="shared" si="26"/>
        <v>3598.9307355199658</v>
      </c>
      <c r="AJ16" s="7">
        <f>AI16*1000000/'a1'!AD16</f>
        <v>5118.2390522755422</v>
      </c>
      <c r="AK16" s="117">
        <f t="shared" si="12"/>
        <v>38091.038414256283</v>
      </c>
      <c r="AL16" s="117">
        <f t="shared" si="13"/>
        <v>3288.2284733688325</v>
      </c>
      <c r="AM16" s="7"/>
      <c r="AN16" s="7"/>
      <c r="AO16" s="7">
        <v>2675.9955292477462</v>
      </c>
      <c r="AP16" s="7">
        <f t="shared" si="27"/>
        <v>37478.805470135194</v>
      </c>
      <c r="AQ16" s="7">
        <f>AP16*1000000/'a1'!AJ16</f>
        <v>5796.2927088317392</v>
      </c>
      <c r="AR16" s="117">
        <f t="shared" si="14"/>
        <v>49588.699911520416</v>
      </c>
      <c r="AS16" s="117">
        <f t="shared" si="15"/>
        <v>4892.8890816159701</v>
      </c>
      <c r="AT16" s="7"/>
      <c r="AU16" s="7"/>
      <c r="AV16" s="7">
        <v>2793.3475792824643</v>
      </c>
      <c r="AW16" s="7">
        <f t="shared" si="28"/>
        <v>47489.158409186908</v>
      </c>
      <c r="AX16" s="7">
        <f>AW16/'a1'!AP16*1000000</f>
        <v>5482.4146798308793</v>
      </c>
      <c r="AY16" s="117">
        <f t="shared" si="16"/>
        <v>5996.7126761199834</v>
      </c>
      <c r="AZ16" s="117">
        <f t="shared" si="17"/>
        <v>687.09268133334513</v>
      </c>
      <c r="BA16" s="7"/>
      <c r="BB16" s="7"/>
      <c r="BC16" s="7">
        <v>444.30054541702293</v>
      </c>
      <c r="BD16" s="7">
        <f t="shared" si="29"/>
        <v>5753.9205402036605</v>
      </c>
      <c r="BE16" s="7">
        <f>BD16*1000000/'a1'!AV16</f>
        <v>5547.1665486040893</v>
      </c>
      <c r="BF16" s="117">
        <f t="shared" si="18"/>
        <v>5635.5969287617345</v>
      </c>
      <c r="BG16" s="117">
        <f t="shared" si="19"/>
        <v>746.01963255463079</v>
      </c>
      <c r="BH16" s="7"/>
      <c r="BI16" s="7"/>
      <c r="BJ16" s="7">
        <v>612.78690353644356</v>
      </c>
      <c r="BK16" s="7">
        <f t="shared" si="30"/>
        <v>5502.3641997435479</v>
      </c>
      <c r="BL16" s="7">
        <f>BK16*1000000/'a1'!BB16</f>
        <v>5733.2119801232093</v>
      </c>
      <c r="BM16" s="117">
        <f t="shared" si="20"/>
        <v>13143.549558899847</v>
      </c>
      <c r="BN16" s="117">
        <f t="shared" si="21"/>
        <v>1494.4937038982168</v>
      </c>
      <c r="BO16" s="7"/>
      <c r="BP16" s="7"/>
      <c r="BQ16" s="7">
        <v>1735.4685046282436</v>
      </c>
      <c r="BR16" s="7">
        <f t="shared" si="31"/>
        <v>13384.524359629873</v>
      </c>
      <c r="BS16" s="7">
        <f>BR16/'a1'!BH16*1000000</f>
        <v>6382.8046614155282</v>
      </c>
      <c r="BT16" s="117">
        <f t="shared" si="22"/>
        <v>16164.949504053908</v>
      </c>
      <c r="BU16" s="117">
        <f t="shared" si="23"/>
        <v>1635.3129747511236</v>
      </c>
      <c r="BV16" s="7"/>
      <c r="BW16" s="7"/>
      <c r="BX16" s="7">
        <v>1410.6136997104704</v>
      </c>
      <c r="BY16" s="7">
        <f t="shared" si="32"/>
        <v>15940.250229013254</v>
      </c>
      <c r="BZ16" s="7">
        <f>BY16*1000000/'a1'!BN16</f>
        <v>5980.7980484344189</v>
      </c>
    </row>
    <row r="17" spans="1:78" hidden="1">
      <c r="A17" s="1">
        <v>1980</v>
      </c>
      <c r="B17" s="117">
        <f>B19*B108/B109</f>
        <v>151327.9549695332</v>
      </c>
      <c r="C17" s="117">
        <f>C19*C108/C109</f>
        <v>14827.020333319555</v>
      </c>
      <c r="D17" s="7"/>
      <c r="E17" s="7"/>
      <c r="F17" s="7">
        <v>11232.81435799704</v>
      </c>
      <c r="G17" s="7">
        <f t="shared" si="24"/>
        <v>147733.74899421068</v>
      </c>
      <c r="H17" s="7">
        <f>G17*1000000/'a1'!F17</f>
        <v>6026.0954349808499</v>
      </c>
      <c r="I17" s="117">
        <f>I19*I108/I109</f>
        <v>2665.1255580899674</v>
      </c>
      <c r="J17" s="117">
        <f>J19*J108/J109</f>
        <v>325.84170278134974</v>
      </c>
      <c r="K17" s="7"/>
      <c r="L17" s="7"/>
      <c r="M17" s="7">
        <v>311.44796604356026</v>
      </c>
      <c r="N17" s="7">
        <f t="shared" si="4"/>
        <v>2650.731821352178</v>
      </c>
      <c r="O17" s="7">
        <f>N17*1000000/'a1'!L17</f>
        <v>4628.0055334829804</v>
      </c>
      <c r="P17" s="117">
        <f>P19*P108/P109</f>
        <v>770.29213640338071</v>
      </c>
      <c r="Q17" s="117">
        <f>Q19*Q108/Q109</f>
        <v>111.01775308307357</v>
      </c>
      <c r="R17" s="7"/>
      <c r="S17" s="7"/>
      <c r="T17" s="7">
        <v>93.709532977611516</v>
      </c>
      <c r="U17" s="7">
        <f t="shared" si="7"/>
        <v>752.98391629791865</v>
      </c>
      <c r="V17" s="7">
        <f>U17*1000000/'a1'!R17</f>
        <v>6085.4561465868082</v>
      </c>
      <c r="W17" s="117">
        <f>W19*W108/W109</f>
        <v>6610.0656721502273</v>
      </c>
      <c r="X17" s="117">
        <f>X19*X108/X109</f>
        <v>583.84808968199491</v>
      </c>
      <c r="Y17" s="7"/>
      <c r="Z17" s="7"/>
      <c r="AA17" s="7">
        <v>311.07542561065878</v>
      </c>
      <c r="AB17" s="7">
        <f t="shared" si="25"/>
        <v>6337.293008078891</v>
      </c>
      <c r="AC17" s="7">
        <f>AB17*1000000/'a1'!X17</f>
        <v>7432.3885727810193</v>
      </c>
      <c r="AD17" s="117">
        <f>AD19*AD108/AD109</f>
        <v>3908.0318289394663</v>
      </c>
      <c r="AE17" s="117">
        <f>AE19*AE108/AE109</f>
        <v>520.43789949939242</v>
      </c>
      <c r="AF17" s="7"/>
      <c r="AG17" s="7"/>
      <c r="AH17" s="7">
        <v>416.76201166180755</v>
      </c>
      <c r="AI17" s="7">
        <f t="shared" si="26"/>
        <v>3804.3559411018819</v>
      </c>
      <c r="AJ17" s="7">
        <f>AI17*1000000/'a1'!AD17</f>
        <v>5386.9351307482266</v>
      </c>
      <c r="AK17" s="117">
        <f>AK19*AK108/AK109</f>
        <v>39234.159822350754</v>
      </c>
      <c r="AL17" s="117">
        <f>AL19*AL108/AL109</f>
        <v>3394.7820069743857</v>
      </c>
      <c r="AM17" s="7"/>
      <c r="AN17" s="7"/>
      <c r="AO17" s="7">
        <v>2852.5212310101751</v>
      </c>
      <c r="AP17" s="7">
        <f t="shared" si="27"/>
        <v>38691.899046386548</v>
      </c>
      <c r="AQ17" s="7">
        <f>AP17*1000000/'a1'!AJ17</f>
        <v>5947.1129553835563</v>
      </c>
      <c r="AR17" s="117">
        <f>AR19*AR108/AR109</f>
        <v>50157.231624593674</v>
      </c>
      <c r="AS17" s="117">
        <f>AS19*AS108/AS109</f>
        <v>5018.1288254153305</v>
      </c>
      <c r="AT17" s="7"/>
      <c r="AU17" s="7"/>
      <c r="AV17" s="7">
        <v>2779.0088678772631</v>
      </c>
      <c r="AW17" s="7">
        <f t="shared" si="28"/>
        <v>47918.111667055608</v>
      </c>
      <c r="AX17" s="7">
        <f>AW17/'a1'!AP17*1000000</f>
        <v>5478.8520971848102</v>
      </c>
      <c r="AY17" s="117">
        <f>AY19*AY108/AY109</f>
        <v>6105.8752576864817</v>
      </c>
      <c r="AZ17" s="117">
        <f>AZ19*AZ108/AZ109</f>
        <v>706.36230376883759</v>
      </c>
      <c r="BA17" s="7"/>
      <c r="BB17" s="7"/>
      <c r="BC17" s="7">
        <v>432.30478551901393</v>
      </c>
      <c r="BD17" s="7">
        <f t="shared" si="29"/>
        <v>5831.8177394366585</v>
      </c>
      <c r="BE17" s="7">
        <f>BD17*1000000/'a1'!AV17</f>
        <v>5637.6840878708272</v>
      </c>
      <c r="BF17" s="117">
        <f>BF19*BF108/BF109</f>
        <v>6013.9335382316476</v>
      </c>
      <c r="BG17" s="117">
        <f>BG19*BG108/BG109</f>
        <v>771.01067165513382</v>
      </c>
      <c r="BH17" s="7"/>
      <c r="BI17" s="7"/>
      <c r="BJ17" s="7">
        <v>574.42710695105097</v>
      </c>
      <c r="BK17" s="7">
        <f t="shared" si="30"/>
        <v>5817.3499735275655</v>
      </c>
      <c r="BL17" s="7">
        <f>BK17*1000000/'a1'!BB17</f>
        <v>6012.4665376059538</v>
      </c>
      <c r="BM17" s="117">
        <f>BM19*BM108/BM109</f>
        <v>13698.921790168744</v>
      </c>
      <c r="BN17" s="117">
        <f>BN19*BN108/BN109</f>
        <v>1585.7617594092078</v>
      </c>
      <c r="BO17" s="7"/>
      <c r="BP17" s="7"/>
      <c r="BQ17" s="7">
        <v>2140.0493465504028</v>
      </c>
      <c r="BR17" s="7">
        <f t="shared" si="31"/>
        <v>14253.209377309939</v>
      </c>
      <c r="BS17" s="7">
        <f>BR17/'a1'!BH17*1000000</f>
        <v>6505.2582039352001</v>
      </c>
      <c r="BT17" s="117">
        <f>BT19*BT108/BT109</f>
        <v>17288.540022119094</v>
      </c>
      <c r="BU17" s="117">
        <f>BU19*BU108/BU109</f>
        <v>1688.1564215397175</v>
      </c>
      <c r="BV17" s="7"/>
      <c r="BW17" s="7"/>
      <c r="BX17" s="7">
        <v>1522.9704236391228</v>
      </c>
      <c r="BY17" s="7">
        <f t="shared" si="32"/>
        <v>17123.354024218501</v>
      </c>
      <c r="BZ17" s="7">
        <f>BY17*1000000/'a1'!BN17</f>
        <v>6236.060027881419</v>
      </c>
    </row>
    <row r="18" spans="1:78" hidden="1">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row>
    <row r="19" spans="1:78" ht="18.75" customHeight="1">
      <c r="A19" s="1">
        <v>1981</v>
      </c>
      <c r="B19" s="7">
        <v>153690</v>
      </c>
      <c r="C19" s="7">
        <f>C64/P64*100</f>
        <v>15458.41784989858</v>
      </c>
      <c r="D19" s="7">
        <v>12221</v>
      </c>
      <c r="E19" s="7">
        <v>-386</v>
      </c>
      <c r="F19" s="7">
        <f>D19+E19</f>
        <v>11835</v>
      </c>
      <c r="G19" s="7">
        <f t="shared" si="24"/>
        <v>150066.58215010143</v>
      </c>
      <c r="H19" s="7">
        <f>G19*1000000/'a1'!F19</f>
        <v>6046.2166026798013</v>
      </c>
      <c r="I19" s="7">
        <v>2789</v>
      </c>
      <c r="J19" s="7">
        <f>D64/Q64*100</f>
        <v>376.55417406749558</v>
      </c>
      <c r="K19" s="7">
        <v>237</v>
      </c>
      <c r="L19" s="7">
        <v>0</v>
      </c>
      <c r="M19" s="7">
        <f>K19+L19</f>
        <v>237</v>
      </c>
      <c r="N19" s="7">
        <f t="shared" si="4"/>
        <v>2649.4458259325042</v>
      </c>
      <c r="O19" s="7">
        <f>N19*1000000/'a1'!L19</f>
        <v>4605.3130806645977</v>
      </c>
      <c r="P19" s="7">
        <v>792</v>
      </c>
      <c r="Q19" s="7">
        <f>E64/R64*100</f>
        <v>101.91082802547771</v>
      </c>
      <c r="R19" s="7">
        <v>72</v>
      </c>
      <c r="S19" s="7">
        <v>1</v>
      </c>
      <c r="T19" s="7">
        <f>R19+S19</f>
        <v>73</v>
      </c>
      <c r="U19" s="7">
        <f t="shared" si="7"/>
        <v>763.08917197452229</v>
      </c>
      <c r="V19" s="7">
        <f>U19*1000000/'a1'!R19</f>
        <v>6176.3091514801354</v>
      </c>
      <c r="W19" s="7">
        <v>6692</v>
      </c>
      <c r="X19" s="7">
        <f>F64/S64*100</f>
        <v>564.51612903225805</v>
      </c>
      <c r="Y19" s="7">
        <v>387</v>
      </c>
      <c r="Z19" s="7">
        <v>2</v>
      </c>
      <c r="AA19" s="7">
        <f>Y19+Z19</f>
        <v>389</v>
      </c>
      <c r="AB19" s="7">
        <f t="shared" si="25"/>
        <v>6516.4838709677424</v>
      </c>
      <c r="AC19" s="7">
        <f>AB19*1000000/'a1'!X19</f>
        <v>7622.7686644742216</v>
      </c>
      <c r="AD19" s="7">
        <v>3956</v>
      </c>
      <c r="AE19" s="7">
        <f>G64/T64*100</f>
        <v>495.93495934959344</v>
      </c>
      <c r="AF19" s="7">
        <v>381</v>
      </c>
      <c r="AG19" s="7">
        <v>1</v>
      </c>
      <c r="AH19" s="7">
        <f>AF19+AG19</f>
        <v>382</v>
      </c>
      <c r="AI19" s="7">
        <f t="shared" si="26"/>
        <v>3842.0650406504064</v>
      </c>
      <c r="AJ19" s="7">
        <f>AI19*1000000/'a1'!AD19</f>
        <v>5438.644354706862</v>
      </c>
      <c r="AK19" s="7">
        <v>39419</v>
      </c>
      <c r="AL19" s="7">
        <f>H64/U64*100</f>
        <v>3514.5067698259181</v>
      </c>
      <c r="AM19" s="7">
        <v>2410</v>
      </c>
      <c r="AN19" s="148">
        <v>55</v>
      </c>
      <c r="AO19" s="7">
        <f>AM19+AN19</f>
        <v>2465</v>
      </c>
      <c r="AP19" s="7">
        <f t="shared" si="27"/>
        <v>38369.493230174085</v>
      </c>
      <c r="AQ19" s="7">
        <f>AP19*1000000/'a1'!AJ19</f>
        <v>5860.4368595912865</v>
      </c>
      <c r="AR19" s="7">
        <v>51740</v>
      </c>
      <c r="AS19" s="7">
        <f>I64/V64*100</f>
        <v>5200</v>
      </c>
      <c r="AT19" s="7">
        <v>3025</v>
      </c>
      <c r="AU19" s="148">
        <v>-457</v>
      </c>
      <c r="AV19" s="7">
        <f>AT19+AU19</f>
        <v>2568</v>
      </c>
      <c r="AW19" s="7">
        <f t="shared" si="28"/>
        <v>49108</v>
      </c>
      <c r="AX19" s="7">
        <f>AW19/'a1'!AP19*1000000</f>
        <v>5572.6743321766908</v>
      </c>
      <c r="AY19" s="7">
        <v>6363</v>
      </c>
      <c r="AZ19" s="7">
        <f>J64/W64*100</f>
        <v>747.96747967479678</v>
      </c>
      <c r="BA19" s="148">
        <v>403</v>
      </c>
      <c r="BB19" s="148">
        <v>2</v>
      </c>
      <c r="BC19" s="7">
        <f>BA19+BB19</f>
        <v>405</v>
      </c>
      <c r="BD19" s="7">
        <f t="shared" si="29"/>
        <v>6020.0325203252032</v>
      </c>
      <c r="BE19" s="7">
        <f>BD19*1000000/'a1'!AV19</f>
        <v>5813.3953814901361</v>
      </c>
      <c r="BF19" s="148">
        <v>6168</v>
      </c>
      <c r="BG19" s="7">
        <f>K64/X64*100</f>
        <v>767.59061833688702</v>
      </c>
      <c r="BH19" s="7">
        <v>579</v>
      </c>
      <c r="BI19" s="148">
        <v>2</v>
      </c>
      <c r="BJ19" s="7">
        <f>BH19+BI19</f>
        <v>581</v>
      </c>
      <c r="BK19" s="7">
        <f t="shared" si="30"/>
        <v>5981.409381663113</v>
      </c>
      <c r="BL19" s="7">
        <f>BK19*1000000/'a1'!BB19</f>
        <v>6130.006878402467</v>
      </c>
      <c r="BM19" s="7">
        <v>15130</v>
      </c>
      <c r="BN19" s="7">
        <f>L64/Y64*100</f>
        <v>1734.9896480331263</v>
      </c>
      <c r="BO19" s="7">
        <v>3064</v>
      </c>
      <c r="BP19" s="7">
        <v>8</v>
      </c>
      <c r="BQ19" s="7">
        <f>BO19+BP19</f>
        <v>3072</v>
      </c>
      <c r="BR19" s="7">
        <f t="shared" si="31"/>
        <v>16467.010351966874</v>
      </c>
      <c r="BS19" s="7">
        <f>BR19/'a1'!BH19*1000000</f>
        <v>7187.3692123827086</v>
      </c>
      <c r="BT19" s="7">
        <v>18407</v>
      </c>
      <c r="BU19" s="7">
        <f>M64/Z64*100</f>
        <v>1825.1599147121535</v>
      </c>
      <c r="BV19" s="7">
        <v>1592</v>
      </c>
      <c r="BW19" s="7">
        <v>9</v>
      </c>
      <c r="BX19" s="7">
        <f>BV19+BW19</f>
        <v>1601</v>
      </c>
      <c r="BY19" s="7">
        <f t="shared" si="32"/>
        <v>18182.840085287848</v>
      </c>
      <c r="BZ19" s="7">
        <f>BY19*1000000/'a1'!BN19</f>
        <v>6432.8558215638413</v>
      </c>
    </row>
    <row r="20" spans="1:78" ht="18.75" customHeight="1">
      <c r="A20" s="1">
        <v>1982</v>
      </c>
      <c r="B20" s="7">
        <v>156764</v>
      </c>
      <c r="C20" s="7">
        <f t="shared" ref="C20:C45" si="33">C65/P65*100</f>
        <v>15450.90909090909</v>
      </c>
      <c r="D20" s="7">
        <v>12741</v>
      </c>
      <c r="E20" s="7">
        <v>125</v>
      </c>
      <c r="F20" s="7">
        <f t="shared" ref="F20:F40" si="34">D20+E20</f>
        <v>12866</v>
      </c>
      <c r="G20" s="7">
        <f t="shared" si="24"/>
        <v>154179.09090909091</v>
      </c>
      <c r="H20" s="7">
        <f>G20*1000000/'a1'!F20</f>
        <v>6138.4499318862509</v>
      </c>
      <c r="I20" s="7">
        <v>2937</v>
      </c>
      <c r="J20" s="7">
        <f t="shared" ref="J20:J45" si="35">D65/Q65*100</f>
        <v>373.99678972712684</v>
      </c>
      <c r="K20" s="7">
        <v>293</v>
      </c>
      <c r="L20" s="7">
        <v>0</v>
      </c>
      <c r="M20" s="7">
        <f t="shared" ref="M20:M39" si="36">K20+L20</f>
        <v>293</v>
      </c>
      <c r="N20" s="7">
        <f t="shared" si="4"/>
        <v>2856.0032102728733</v>
      </c>
      <c r="O20" s="7">
        <f>N20*1000000/'a1'!L20</f>
        <v>4977.3929892607521</v>
      </c>
      <c r="P20" s="7">
        <v>795</v>
      </c>
      <c r="Q20" s="7">
        <f t="shared" ref="Q20:Q45" si="37">E65/R65*100</f>
        <v>99.047619047619051</v>
      </c>
      <c r="R20" s="7">
        <v>57</v>
      </c>
      <c r="S20" s="7">
        <v>1</v>
      </c>
      <c r="T20" s="7">
        <f t="shared" ref="T20:T39" si="38">R20+S20</f>
        <v>58</v>
      </c>
      <c r="U20" s="7">
        <f t="shared" si="7"/>
        <v>753.95238095238096</v>
      </c>
      <c r="V20" s="7">
        <f>U20*1000000/'a1'!R20</f>
        <v>6100.5306417482361</v>
      </c>
      <c r="W20" s="7">
        <v>6614</v>
      </c>
      <c r="X20" s="7">
        <f t="shared" ref="X20:X46" si="39">F65/S65*100</f>
        <v>567.02898550724638</v>
      </c>
      <c r="Y20" s="7">
        <v>366</v>
      </c>
      <c r="Z20" s="7">
        <v>2</v>
      </c>
      <c r="AA20" s="7">
        <f t="shared" ref="AA20:AA39" si="40">Y20+Z20</f>
        <v>368</v>
      </c>
      <c r="AB20" s="7">
        <f t="shared" si="25"/>
        <v>6414.971014492754</v>
      </c>
      <c r="AC20" s="7">
        <f>AB20*1000000/'a1'!X20</f>
        <v>7467.6219381363271</v>
      </c>
      <c r="AD20" s="7">
        <v>4172</v>
      </c>
      <c r="AE20" s="7">
        <f t="shared" ref="AE20:AE46" si="41">G65/T65*100</f>
        <v>486.43761301989156</v>
      </c>
      <c r="AF20" s="7">
        <v>440</v>
      </c>
      <c r="AG20" s="7">
        <v>1</v>
      </c>
      <c r="AH20" s="7">
        <f t="shared" ref="AH20:AH39" si="42">AF20+AG20</f>
        <v>441</v>
      </c>
      <c r="AI20" s="7">
        <f t="shared" si="26"/>
        <v>4126.5623869801084</v>
      </c>
      <c r="AJ20" s="7">
        <f>AI20*1000000/'a1'!AD20</f>
        <v>5832.9515249408914</v>
      </c>
      <c r="AK20" s="7">
        <v>39332</v>
      </c>
      <c r="AL20" s="7">
        <f t="shared" ref="AL20:AL46" si="43">H65/U65*100</f>
        <v>3482.5783972125437</v>
      </c>
      <c r="AM20" s="7">
        <v>2214</v>
      </c>
      <c r="AN20" s="148">
        <v>53</v>
      </c>
      <c r="AO20" s="7">
        <f t="shared" ref="AO20:AO39" si="44">AM20+AN20</f>
        <v>2267</v>
      </c>
      <c r="AP20" s="7">
        <f t="shared" si="27"/>
        <v>38116.421602787457</v>
      </c>
      <c r="AQ20" s="7">
        <f>AP20*1000000/'a1'!AJ20</f>
        <v>5792.2137866091352</v>
      </c>
      <c r="AR20" s="7">
        <v>53004</v>
      </c>
      <c r="AS20" s="7">
        <f t="shared" ref="AS20:AS46" si="45">I65/V65*100</f>
        <v>5181.4814814814818</v>
      </c>
      <c r="AT20" s="7">
        <v>3230</v>
      </c>
      <c r="AU20" s="148">
        <v>40</v>
      </c>
      <c r="AV20" s="7">
        <f t="shared" ref="AV20:AV39" si="46">AT20+AU20</f>
        <v>3270</v>
      </c>
      <c r="AW20" s="7">
        <f t="shared" si="28"/>
        <v>51092.518518518518</v>
      </c>
      <c r="AX20" s="7">
        <f>AW20/'a1'!AP20*1000000</f>
        <v>5727.6758910159087</v>
      </c>
      <c r="AY20" s="7">
        <v>6686</v>
      </c>
      <c r="AZ20" s="7">
        <f t="shared" ref="AZ20:AZ46" si="47">J65/W65*100</f>
        <v>730.90909090909099</v>
      </c>
      <c r="BA20" s="148">
        <v>402</v>
      </c>
      <c r="BB20" s="148">
        <v>3</v>
      </c>
      <c r="BC20" s="7">
        <f t="shared" ref="BC20:BC39" si="48">BA20+BB20</f>
        <v>405</v>
      </c>
      <c r="BD20" s="7">
        <f t="shared" si="29"/>
        <v>6360.090909090909</v>
      </c>
      <c r="BE20" s="7">
        <f>BD20*1000000/'a1'!AV20</f>
        <v>6084.9070716811984</v>
      </c>
      <c r="BF20" s="148">
        <v>6362</v>
      </c>
      <c r="BG20" s="7">
        <f t="shared" ref="BG20:BG46" si="49">K65/X65*100</f>
        <v>749.52919020715626</v>
      </c>
      <c r="BH20" s="7">
        <v>543</v>
      </c>
      <c r="BI20" s="148">
        <v>2</v>
      </c>
      <c r="BJ20" s="7">
        <f t="shared" ref="BJ20:BJ39" si="50">BH20+BI20</f>
        <v>545</v>
      </c>
      <c r="BK20" s="7">
        <f t="shared" si="30"/>
        <v>6157.4708097928433</v>
      </c>
      <c r="BL20" s="7">
        <f>BK20*1000000/'a1'!BB20</f>
        <v>6241.2154385472704</v>
      </c>
      <c r="BM20" s="7">
        <v>15640</v>
      </c>
      <c r="BN20" s="7">
        <f t="shared" ref="BN20:BN46" si="51">L65/Y65*100</f>
        <v>1829.0441176470588</v>
      </c>
      <c r="BO20" s="7">
        <v>3751</v>
      </c>
      <c r="BP20" s="7">
        <v>8</v>
      </c>
      <c r="BQ20" s="7">
        <f t="shared" ref="BQ20:BQ39" si="52">BO20+BP20</f>
        <v>3759</v>
      </c>
      <c r="BR20" s="7">
        <f t="shared" si="31"/>
        <v>17569.955882352941</v>
      </c>
      <c r="BS20" s="7">
        <f>BR20/'a1'!BH20*1000000</f>
        <v>7414.0246871830477</v>
      </c>
      <c r="BT20" s="7">
        <v>18924</v>
      </c>
      <c r="BU20" s="7">
        <f t="shared" ref="BU20:BU46" si="53">M65/Z65*100</f>
        <v>1795.8412098298677</v>
      </c>
      <c r="BV20" s="7">
        <v>1407</v>
      </c>
      <c r="BW20" s="7">
        <v>9</v>
      </c>
      <c r="BX20" s="7">
        <f t="shared" ref="BX20:BX39" si="54">BV20+BW20</f>
        <v>1416</v>
      </c>
      <c r="BY20" s="7">
        <f t="shared" si="32"/>
        <v>18544.158790170131</v>
      </c>
      <c r="BZ20" s="7">
        <f>BY20*1000000/'a1'!BN20</f>
        <v>6446.7495158791671</v>
      </c>
    </row>
    <row r="21" spans="1:78" ht="18.75" customHeight="1">
      <c r="A21" s="1">
        <v>1983</v>
      </c>
      <c r="B21" s="7">
        <v>159462</v>
      </c>
      <c r="C21" s="7">
        <f t="shared" si="33"/>
        <v>15516.351118760758</v>
      </c>
      <c r="D21" s="7">
        <v>12393</v>
      </c>
      <c r="E21" s="7">
        <v>-70</v>
      </c>
      <c r="F21" s="7">
        <f t="shared" si="34"/>
        <v>12323</v>
      </c>
      <c r="G21" s="7">
        <f t="shared" si="24"/>
        <v>156268.64888123923</v>
      </c>
      <c r="H21" s="7">
        <f>G21*1000000/'a1'!F21</f>
        <v>6160.4458929331195</v>
      </c>
      <c r="I21" s="7">
        <v>3124</v>
      </c>
      <c r="J21" s="7">
        <f t="shared" si="35"/>
        <v>380.43478260869563</v>
      </c>
      <c r="K21" s="7">
        <v>341</v>
      </c>
      <c r="L21" s="7">
        <v>0</v>
      </c>
      <c r="M21" s="7">
        <f t="shared" si="36"/>
        <v>341</v>
      </c>
      <c r="N21" s="7">
        <f t="shared" si="4"/>
        <v>3084.5652173913045</v>
      </c>
      <c r="O21" s="7">
        <f>N21*1000000/'a1'!L21</f>
        <v>5325.8925233462451</v>
      </c>
      <c r="P21" s="7">
        <v>830</v>
      </c>
      <c r="Q21" s="7">
        <f t="shared" si="37"/>
        <v>96.892138939670929</v>
      </c>
      <c r="R21" s="7">
        <v>51</v>
      </c>
      <c r="S21" s="7">
        <v>0</v>
      </c>
      <c r="T21" s="7">
        <f t="shared" si="38"/>
        <v>51</v>
      </c>
      <c r="U21" s="7">
        <f t="shared" si="7"/>
        <v>784.10786106032901</v>
      </c>
      <c r="V21" s="7">
        <f>U21*1000000/'a1'!R21</f>
        <v>6267.7484057835127</v>
      </c>
      <c r="W21" s="7">
        <v>6490</v>
      </c>
      <c r="X21" s="7">
        <f t="shared" si="39"/>
        <v>556.49241146711631</v>
      </c>
      <c r="Y21" s="7">
        <v>339</v>
      </c>
      <c r="Z21" s="7">
        <v>-1</v>
      </c>
      <c r="AA21" s="7">
        <f t="shared" si="40"/>
        <v>338</v>
      </c>
      <c r="AB21" s="7">
        <f t="shared" si="25"/>
        <v>6271.5075885328833</v>
      </c>
      <c r="AC21" s="7">
        <f>AB21*1000000/'a1'!X21</f>
        <v>7222.8343196019796</v>
      </c>
      <c r="AD21" s="7">
        <v>4129</v>
      </c>
      <c r="AE21" s="7">
        <f t="shared" si="41"/>
        <v>482.23350253807109</v>
      </c>
      <c r="AF21" s="7">
        <v>421</v>
      </c>
      <c r="AG21" s="7">
        <v>-1</v>
      </c>
      <c r="AH21" s="7">
        <f t="shared" si="42"/>
        <v>420</v>
      </c>
      <c r="AI21" s="7">
        <f t="shared" si="26"/>
        <v>4066.7664974619288</v>
      </c>
      <c r="AJ21" s="7">
        <f>AI21*1000000/'a1'!AD21</f>
        <v>5689.0424701709317</v>
      </c>
      <c r="AK21" s="7">
        <v>39904</v>
      </c>
      <c r="AL21" s="7">
        <f t="shared" si="43"/>
        <v>3532.7731092436979</v>
      </c>
      <c r="AM21" s="7">
        <v>2470</v>
      </c>
      <c r="AN21" s="148">
        <v>-28</v>
      </c>
      <c r="AO21" s="7">
        <f t="shared" si="44"/>
        <v>2442</v>
      </c>
      <c r="AP21" s="7">
        <f t="shared" si="27"/>
        <v>38813.226890756305</v>
      </c>
      <c r="AQ21" s="7">
        <f>AP21*1000000/'a1'!AJ21</f>
        <v>5878.1414457293649</v>
      </c>
      <c r="AR21" s="7">
        <v>53813</v>
      </c>
      <c r="AS21" s="7">
        <f t="shared" si="45"/>
        <v>5142.608695652174</v>
      </c>
      <c r="AT21" s="7">
        <v>3205</v>
      </c>
      <c r="AU21" s="148">
        <v>-24</v>
      </c>
      <c r="AV21" s="7">
        <f t="shared" si="46"/>
        <v>3181</v>
      </c>
      <c r="AW21" s="7">
        <f t="shared" si="28"/>
        <v>51851.391304347824</v>
      </c>
      <c r="AX21" s="7">
        <f>AW21/'a1'!AP21*1000000</f>
        <v>5736.0500245750591</v>
      </c>
      <c r="AY21" s="7">
        <v>6773</v>
      </c>
      <c r="AZ21" s="7">
        <f t="shared" si="47"/>
        <v>699.15966386554624</v>
      </c>
      <c r="BA21" s="148">
        <v>450</v>
      </c>
      <c r="BB21" s="148">
        <v>-2</v>
      </c>
      <c r="BC21" s="7">
        <f t="shared" si="48"/>
        <v>448</v>
      </c>
      <c r="BD21" s="7">
        <f t="shared" si="29"/>
        <v>6521.8403361344535</v>
      </c>
      <c r="BE21" s="7">
        <f>BD21*1000000/'a1'!AV21</f>
        <v>6154.119394098293</v>
      </c>
      <c r="BF21" s="148">
        <v>6263</v>
      </c>
      <c r="BG21" s="7">
        <f t="shared" si="49"/>
        <v>735.08771929824559</v>
      </c>
      <c r="BH21" s="7">
        <v>559</v>
      </c>
      <c r="BI21" s="148">
        <v>-1</v>
      </c>
      <c r="BJ21" s="7">
        <f t="shared" si="50"/>
        <v>558</v>
      </c>
      <c r="BK21" s="7">
        <f t="shared" si="30"/>
        <v>6085.9122807017548</v>
      </c>
      <c r="BL21" s="7">
        <f>BK21*1000000/'a1'!BB21</f>
        <v>6078.3204584491514</v>
      </c>
      <c r="BM21" s="7">
        <v>16822</v>
      </c>
      <c r="BN21" s="7">
        <f t="shared" si="51"/>
        <v>1899.1452991452991</v>
      </c>
      <c r="BO21" s="7">
        <v>2964</v>
      </c>
      <c r="BP21" s="7">
        <v>-5</v>
      </c>
      <c r="BQ21" s="7">
        <f t="shared" si="52"/>
        <v>2959</v>
      </c>
      <c r="BR21" s="7">
        <f t="shared" si="31"/>
        <v>17881.854700854703</v>
      </c>
      <c r="BS21" s="7">
        <f>BR21/'a1'!BH21*1000000</f>
        <v>7470.735219089468</v>
      </c>
      <c r="BT21" s="7">
        <v>18960</v>
      </c>
      <c r="BU21" s="7">
        <f t="shared" si="53"/>
        <v>1811.9349005424954</v>
      </c>
      <c r="BV21" s="7">
        <v>1519</v>
      </c>
      <c r="BW21" s="7">
        <v>-5</v>
      </c>
      <c r="BX21" s="7">
        <f t="shared" si="54"/>
        <v>1514</v>
      </c>
      <c r="BY21" s="7">
        <f t="shared" si="32"/>
        <v>18662.065099457504</v>
      </c>
      <c r="BZ21" s="7">
        <f>BY21*1000000/'a1'!BN21</f>
        <v>6418.5906319092828</v>
      </c>
    </row>
    <row r="22" spans="1:78" ht="18.75" customHeight="1">
      <c r="A22" s="1">
        <v>1984</v>
      </c>
      <c r="B22" s="7">
        <v>161292</v>
      </c>
      <c r="C22" s="7">
        <f t="shared" si="33"/>
        <v>15862.582781456953</v>
      </c>
      <c r="D22" s="7">
        <v>13025</v>
      </c>
      <c r="E22" s="7">
        <v>30</v>
      </c>
      <c r="F22" s="7">
        <f t="shared" si="34"/>
        <v>13055</v>
      </c>
      <c r="G22" s="7">
        <f t="shared" si="24"/>
        <v>158484.41721854304</v>
      </c>
      <c r="H22" s="7">
        <f>G22*1000000/'a1'!F22</f>
        <v>6189.0924042896713</v>
      </c>
      <c r="I22" s="7">
        <v>3217</v>
      </c>
      <c r="J22" s="7">
        <f t="shared" si="35"/>
        <v>396.08433734939752</v>
      </c>
      <c r="K22" s="7">
        <v>385</v>
      </c>
      <c r="L22" s="7">
        <v>0</v>
      </c>
      <c r="M22" s="7">
        <f t="shared" si="36"/>
        <v>385</v>
      </c>
      <c r="N22" s="7">
        <f t="shared" si="4"/>
        <v>3205.9156626506024</v>
      </c>
      <c r="O22" s="7">
        <f>N22*1000000/'a1'!L22</f>
        <v>5526.8214125151535</v>
      </c>
      <c r="P22" s="7">
        <v>879</v>
      </c>
      <c r="Q22" s="7">
        <f t="shared" si="37"/>
        <v>98.073555166374788</v>
      </c>
      <c r="R22" s="7">
        <v>75</v>
      </c>
      <c r="S22" s="7">
        <v>0</v>
      </c>
      <c r="T22" s="7">
        <f t="shared" si="38"/>
        <v>75</v>
      </c>
      <c r="U22" s="7">
        <f t="shared" si="7"/>
        <v>855.92644483362517</v>
      </c>
      <c r="V22" s="7">
        <f>U22*1000000/'a1'!R22</f>
        <v>6762.8488960725108</v>
      </c>
      <c r="W22" s="7">
        <v>6809</v>
      </c>
      <c r="X22" s="7">
        <f t="shared" si="39"/>
        <v>560.70287539936101</v>
      </c>
      <c r="Y22" s="7">
        <v>445</v>
      </c>
      <c r="Z22" s="7">
        <v>0</v>
      </c>
      <c r="AA22" s="7">
        <f t="shared" si="40"/>
        <v>445</v>
      </c>
      <c r="AB22" s="7">
        <f t="shared" si="25"/>
        <v>6693.2971246006391</v>
      </c>
      <c r="AC22" s="7">
        <f>AB22*1000000/'a1'!X22</f>
        <v>7627.9411223854004</v>
      </c>
      <c r="AD22" s="7">
        <v>4093</v>
      </c>
      <c r="AE22" s="7">
        <f t="shared" si="41"/>
        <v>482.37179487179492</v>
      </c>
      <c r="AF22" s="7">
        <v>469</v>
      </c>
      <c r="AG22" s="7">
        <v>0</v>
      </c>
      <c r="AH22" s="7">
        <f t="shared" si="42"/>
        <v>469</v>
      </c>
      <c r="AI22" s="7">
        <f t="shared" si="26"/>
        <v>4079.6282051282051</v>
      </c>
      <c r="AJ22" s="7">
        <f>AI22*1000000/'a1'!AD22</f>
        <v>5662.3124953201241</v>
      </c>
      <c r="AK22" s="7">
        <v>40127</v>
      </c>
      <c r="AL22" s="7">
        <f t="shared" si="43"/>
        <v>3584.5410628019322</v>
      </c>
      <c r="AM22" s="7">
        <v>2743</v>
      </c>
      <c r="AN22" s="148">
        <v>11</v>
      </c>
      <c r="AO22" s="7">
        <f t="shared" si="44"/>
        <v>2754</v>
      </c>
      <c r="AP22" s="7">
        <f t="shared" si="27"/>
        <v>39296.458937198069</v>
      </c>
      <c r="AQ22" s="7">
        <f>AP22*1000000/'a1'!AJ22</f>
        <v>5925.9772616800628</v>
      </c>
      <c r="AR22" s="7">
        <v>55227</v>
      </c>
      <c r="AS22" s="7">
        <f t="shared" si="45"/>
        <v>5227.0450751252083</v>
      </c>
      <c r="AT22" s="7">
        <v>3644</v>
      </c>
      <c r="AU22" s="148">
        <v>9</v>
      </c>
      <c r="AV22" s="7">
        <f t="shared" si="46"/>
        <v>3653</v>
      </c>
      <c r="AW22" s="7">
        <f t="shared" si="28"/>
        <v>53652.954924874794</v>
      </c>
      <c r="AX22" s="7">
        <f>AW22/'a1'!AP22*1000000</f>
        <v>5852.5277955079928</v>
      </c>
      <c r="AY22" s="7">
        <v>6860</v>
      </c>
      <c r="AZ22" s="7">
        <f t="shared" si="47"/>
        <v>704.83870967741939</v>
      </c>
      <c r="BA22" s="148">
        <v>558</v>
      </c>
      <c r="BB22" s="148">
        <v>1</v>
      </c>
      <c r="BC22" s="7">
        <f t="shared" si="48"/>
        <v>559</v>
      </c>
      <c r="BD22" s="7">
        <f t="shared" si="29"/>
        <v>6714.1612903225805</v>
      </c>
      <c r="BE22" s="7">
        <f>BD22*1000000/'a1'!AV22</f>
        <v>6264.320439557926</v>
      </c>
      <c r="BF22" s="148">
        <v>6337</v>
      </c>
      <c r="BG22" s="7">
        <f t="shared" si="49"/>
        <v>741.23539232053429</v>
      </c>
      <c r="BH22" s="7">
        <v>585</v>
      </c>
      <c r="BI22" s="148">
        <v>1</v>
      </c>
      <c r="BJ22" s="7">
        <f t="shared" si="50"/>
        <v>586</v>
      </c>
      <c r="BK22" s="7">
        <f t="shared" si="30"/>
        <v>6181.7646076794654</v>
      </c>
      <c r="BL22" s="7">
        <f>BK22*1000000/'a1'!BB22</f>
        <v>6092.7195120114184</v>
      </c>
      <c r="BM22" s="7">
        <v>16561</v>
      </c>
      <c r="BN22" s="7">
        <f t="shared" si="51"/>
        <v>2023.4505862646565</v>
      </c>
      <c r="BO22" s="7">
        <v>2343</v>
      </c>
      <c r="BP22" s="7">
        <v>3</v>
      </c>
      <c r="BQ22" s="7">
        <f t="shared" si="52"/>
        <v>2346</v>
      </c>
      <c r="BR22" s="7">
        <f t="shared" si="31"/>
        <v>16883.549413735345</v>
      </c>
      <c r="BS22" s="7">
        <f>BR22/'a1'!BH22*1000000</f>
        <v>7052.7173418747443</v>
      </c>
      <c r="BT22" s="7">
        <v>18761</v>
      </c>
      <c r="BU22" s="7">
        <f t="shared" si="53"/>
        <v>1877.6595744680851</v>
      </c>
      <c r="BV22" s="7">
        <v>1544</v>
      </c>
      <c r="BW22" s="7">
        <v>3</v>
      </c>
      <c r="BX22" s="7">
        <f t="shared" si="54"/>
        <v>1547</v>
      </c>
      <c r="BY22" s="7">
        <f t="shared" si="32"/>
        <v>18430.340425531915</v>
      </c>
      <c r="BZ22" s="7">
        <f>BY22*1000000/'a1'!BN22</f>
        <v>6253.5488745115799</v>
      </c>
    </row>
    <row r="23" spans="1:78" ht="18.75" customHeight="1">
      <c r="A23" s="1">
        <v>1985</v>
      </c>
      <c r="B23" s="7">
        <v>168328</v>
      </c>
      <c r="C23" s="7">
        <f t="shared" si="33"/>
        <v>16372.20447284345</v>
      </c>
      <c r="D23" s="7">
        <v>14624</v>
      </c>
      <c r="E23" s="7">
        <v>-95</v>
      </c>
      <c r="F23" s="7">
        <f t="shared" si="34"/>
        <v>14529</v>
      </c>
      <c r="G23" s="7">
        <f t="shared" si="24"/>
        <v>166484.79552715656</v>
      </c>
      <c r="H23" s="7">
        <f>G23*1000000/'a1'!F23</f>
        <v>6442.3824862931715</v>
      </c>
      <c r="I23" s="7">
        <v>3395</v>
      </c>
      <c r="J23" s="7">
        <f t="shared" si="35"/>
        <v>415.79731743666173</v>
      </c>
      <c r="K23" s="7">
        <v>339</v>
      </c>
      <c r="L23" s="7">
        <v>0</v>
      </c>
      <c r="M23" s="7">
        <f t="shared" si="36"/>
        <v>339</v>
      </c>
      <c r="N23" s="7">
        <f t="shared" si="4"/>
        <v>3318.2026825633384</v>
      </c>
      <c r="O23" s="7">
        <f>N23*1000000/'a1'!L23</f>
        <v>5728.1993570641553</v>
      </c>
      <c r="P23" s="7">
        <v>890</v>
      </c>
      <c r="Q23" s="7">
        <f t="shared" si="37"/>
        <v>100.99337748344371</v>
      </c>
      <c r="R23" s="7">
        <v>84</v>
      </c>
      <c r="S23" s="7">
        <v>-1</v>
      </c>
      <c r="T23" s="7">
        <f t="shared" si="38"/>
        <v>83</v>
      </c>
      <c r="U23" s="7">
        <f t="shared" si="7"/>
        <v>872.00662251655626</v>
      </c>
      <c r="V23" s="7">
        <f>U23*1000000/'a1'!R23</f>
        <v>6832.8902633350544</v>
      </c>
      <c r="W23" s="7">
        <v>7593</v>
      </c>
      <c r="X23" s="7">
        <f t="shared" si="39"/>
        <v>588.69701726844585</v>
      </c>
      <c r="Y23" s="7">
        <v>373</v>
      </c>
      <c r="Z23" s="7">
        <v>-2</v>
      </c>
      <c r="AA23" s="7">
        <f t="shared" si="40"/>
        <v>371</v>
      </c>
      <c r="AB23" s="7">
        <f t="shared" si="25"/>
        <v>7375.302982731554</v>
      </c>
      <c r="AC23" s="7">
        <f>AB23*1000000/'a1'!X23</f>
        <v>8325.6980686659044</v>
      </c>
      <c r="AD23" s="7">
        <v>4347</v>
      </c>
      <c r="AE23" s="7">
        <f t="shared" si="41"/>
        <v>496.12403100775191</v>
      </c>
      <c r="AF23" s="7">
        <v>474</v>
      </c>
      <c r="AG23" s="7">
        <v>-1</v>
      </c>
      <c r="AH23" s="7">
        <f t="shared" si="42"/>
        <v>473</v>
      </c>
      <c r="AI23" s="7">
        <f t="shared" si="26"/>
        <v>4323.8759689922481</v>
      </c>
      <c r="AJ23" s="7">
        <f>AI23*1000000/'a1'!AD23</f>
        <v>5978.0916413432687</v>
      </c>
      <c r="AK23" s="7">
        <v>41367</v>
      </c>
      <c r="AL23" s="7">
        <f t="shared" si="43"/>
        <v>3657.4074074074078</v>
      </c>
      <c r="AM23" s="7">
        <v>3483</v>
      </c>
      <c r="AN23" s="148">
        <v>-41</v>
      </c>
      <c r="AO23" s="7">
        <f t="shared" si="44"/>
        <v>3442</v>
      </c>
      <c r="AP23" s="7">
        <f t="shared" si="27"/>
        <v>41151.592592592591</v>
      </c>
      <c r="AQ23" s="7">
        <f>AP23*1000000/'a1'!AJ23</f>
        <v>6173.539596974616</v>
      </c>
      <c r="AR23" s="7">
        <v>57692</v>
      </c>
      <c r="AS23" s="7">
        <f t="shared" si="45"/>
        <v>5318.5419968304277</v>
      </c>
      <c r="AT23" s="7">
        <v>3986</v>
      </c>
      <c r="AU23" s="148">
        <v>-30</v>
      </c>
      <c r="AV23" s="7">
        <f t="shared" si="46"/>
        <v>3956</v>
      </c>
      <c r="AW23" s="7">
        <f t="shared" si="28"/>
        <v>56329.458003169573</v>
      </c>
      <c r="AX23" s="7">
        <f>AW23/'a1'!AP23*1000000</f>
        <v>6060.4127729694137</v>
      </c>
      <c r="AY23" s="7">
        <v>7289</v>
      </c>
      <c r="AZ23" s="7">
        <f t="shared" si="47"/>
        <v>724.56964006259784</v>
      </c>
      <c r="BA23" s="148">
        <v>622</v>
      </c>
      <c r="BB23" s="148">
        <v>-2</v>
      </c>
      <c r="BC23" s="7">
        <f t="shared" si="48"/>
        <v>620</v>
      </c>
      <c r="BD23" s="7">
        <f t="shared" si="29"/>
        <v>7184.4303599374025</v>
      </c>
      <c r="BE23" s="7">
        <f>BD23*1000000/'a1'!AV23</f>
        <v>6636.9178240429774</v>
      </c>
      <c r="BF23" s="148">
        <v>6594</v>
      </c>
      <c r="BG23" s="7">
        <f t="shared" si="49"/>
        <v>759.67741935483866</v>
      </c>
      <c r="BH23" s="7">
        <v>581</v>
      </c>
      <c r="BI23" s="148">
        <v>-2</v>
      </c>
      <c r="BJ23" s="7">
        <f t="shared" si="50"/>
        <v>579</v>
      </c>
      <c r="BK23" s="7">
        <f t="shared" si="30"/>
        <v>6413.322580645161</v>
      </c>
      <c r="BL23" s="7">
        <f>BK23*1000000/'a1'!BB23</f>
        <v>6257.3396186319042</v>
      </c>
      <c r="BM23" s="7">
        <v>17324</v>
      </c>
      <c r="BN23" s="7">
        <f t="shared" si="51"/>
        <v>2149.6710526315792</v>
      </c>
      <c r="BO23" s="7">
        <v>2522</v>
      </c>
      <c r="BP23" s="7">
        <v>-6</v>
      </c>
      <c r="BQ23" s="7">
        <f t="shared" si="52"/>
        <v>2516</v>
      </c>
      <c r="BR23" s="7">
        <f t="shared" si="31"/>
        <v>17690.32894736842</v>
      </c>
      <c r="BS23" s="7">
        <f>BR23/'a1'!BH23*1000000</f>
        <v>7357.206287973092</v>
      </c>
      <c r="BT23" s="7">
        <v>19217</v>
      </c>
      <c r="BU23" s="7">
        <f t="shared" si="53"/>
        <v>1998.2300884955753</v>
      </c>
      <c r="BV23" s="7">
        <v>1944</v>
      </c>
      <c r="BW23" s="7">
        <v>-6</v>
      </c>
      <c r="BX23" s="7">
        <f t="shared" si="54"/>
        <v>1938</v>
      </c>
      <c r="BY23" s="7">
        <f t="shared" si="32"/>
        <v>19156.769911504423</v>
      </c>
      <c r="BZ23" s="7">
        <f>BY23*1000000/'a1'!BN23</f>
        <v>6438.966859443979</v>
      </c>
    </row>
    <row r="24" spans="1:78" ht="18.75" customHeight="1">
      <c r="A24" s="1">
        <v>1986</v>
      </c>
      <c r="B24" s="7">
        <v>171359</v>
      </c>
      <c r="C24" s="7">
        <f t="shared" si="33"/>
        <v>16521.671826625388</v>
      </c>
      <c r="D24" s="7">
        <v>14877</v>
      </c>
      <c r="E24" s="7">
        <v>-49</v>
      </c>
      <c r="F24" s="7">
        <f t="shared" si="34"/>
        <v>14828</v>
      </c>
      <c r="G24" s="7">
        <f t="shared" si="24"/>
        <v>169665.32817337461</v>
      </c>
      <c r="H24" s="7">
        <f>G24*1000000/'a1'!F24</f>
        <v>6500.5180471018202</v>
      </c>
      <c r="I24" s="7">
        <v>3429</v>
      </c>
      <c r="J24" s="7">
        <f t="shared" si="35"/>
        <v>418.74084919472915</v>
      </c>
      <c r="K24" s="7">
        <v>399</v>
      </c>
      <c r="L24" s="7">
        <v>0</v>
      </c>
      <c r="M24" s="7">
        <f t="shared" si="36"/>
        <v>399</v>
      </c>
      <c r="N24" s="7">
        <f t="shared" si="4"/>
        <v>3409.259150805271</v>
      </c>
      <c r="O24" s="7">
        <f>N24*1000000/'a1'!L24</f>
        <v>5915.7099714479309</v>
      </c>
      <c r="P24" s="7">
        <v>872</v>
      </c>
      <c r="Q24" s="7">
        <f t="shared" si="37"/>
        <v>98.569157392686805</v>
      </c>
      <c r="R24" s="7">
        <v>86</v>
      </c>
      <c r="S24" s="7">
        <v>0</v>
      </c>
      <c r="T24" s="7">
        <f t="shared" si="38"/>
        <v>86</v>
      </c>
      <c r="U24" s="7">
        <f t="shared" si="7"/>
        <v>859.43084260731325</v>
      </c>
      <c r="V24" s="7">
        <f>U24*1000000/'a1'!R24</f>
        <v>6691.5105002282326</v>
      </c>
      <c r="W24" s="7">
        <v>7603</v>
      </c>
      <c r="X24" s="7">
        <f t="shared" si="39"/>
        <v>598.77488514548236</v>
      </c>
      <c r="Y24" s="7">
        <v>481</v>
      </c>
      <c r="Z24" s="7">
        <v>-1</v>
      </c>
      <c r="AA24" s="7">
        <f t="shared" si="40"/>
        <v>480</v>
      </c>
      <c r="AB24" s="7">
        <f t="shared" si="25"/>
        <v>7484.2251148545174</v>
      </c>
      <c r="AC24" s="7">
        <f>AB24*1000000/'a1'!X24</f>
        <v>8417.8771198482445</v>
      </c>
      <c r="AD24" s="7">
        <v>4345</v>
      </c>
      <c r="AE24" s="7">
        <f t="shared" si="41"/>
        <v>502.29007633587787</v>
      </c>
      <c r="AF24" s="7">
        <v>507</v>
      </c>
      <c r="AG24" s="7">
        <v>-1</v>
      </c>
      <c r="AH24" s="7">
        <f t="shared" si="42"/>
        <v>506</v>
      </c>
      <c r="AI24" s="7">
        <f t="shared" si="26"/>
        <v>4348.7099236641225</v>
      </c>
      <c r="AJ24" s="7">
        <f>AI24*1000000/'a1'!AD24</f>
        <v>5998.0633937374369</v>
      </c>
      <c r="AK24" s="7">
        <v>43289</v>
      </c>
      <c r="AL24" s="7">
        <f t="shared" si="43"/>
        <v>3726.4437689969604</v>
      </c>
      <c r="AM24" s="7">
        <v>3226</v>
      </c>
      <c r="AN24" s="148">
        <v>-20</v>
      </c>
      <c r="AO24" s="7">
        <f t="shared" si="44"/>
        <v>3206</v>
      </c>
      <c r="AP24" s="7">
        <f t="shared" si="27"/>
        <v>42768.556231003036</v>
      </c>
      <c r="AQ24" s="7">
        <f>AP24*1000000/'a1'!AJ24</f>
        <v>6375.5921854996277</v>
      </c>
      <c r="AR24" s="7">
        <v>58593</v>
      </c>
      <c r="AS24" s="7">
        <f t="shared" si="45"/>
        <v>5335.3566009104698</v>
      </c>
      <c r="AT24" s="7">
        <v>4100</v>
      </c>
      <c r="AU24" s="148">
        <v>-17</v>
      </c>
      <c r="AV24" s="7">
        <f t="shared" si="46"/>
        <v>4083</v>
      </c>
      <c r="AW24" s="7">
        <f t="shared" si="28"/>
        <v>57340.643399089531</v>
      </c>
      <c r="AX24" s="7">
        <f>AW24/'a1'!AP24*1000000</f>
        <v>6075.9205408090893</v>
      </c>
      <c r="AY24" s="7">
        <v>7372</v>
      </c>
      <c r="AZ24" s="7">
        <f t="shared" si="47"/>
        <v>730.59360730593608</v>
      </c>
      <c r="BA24" s="148">
        <v>683</v>
      </c>
      <c r="BB24" s="148">
        <v>-1</v>
      </c>
      <c r="BC24" s="7">
        <f t="shared" si="48"/>
        <v>682</v>
      </c>
      <c r="BD24" s="7">
        <f t="shared" si="29"/>
        <v>7323.4063926940635</v>
      </c>
      <c r="BE24" s="7">
        <f>BD24*1000000/'a1'!AV24</f>
        <v>6709.1685899472159</v>
      </c>
      <c r="BF24" s="148">
        <v>6681</v>
      </c>
      <c r="BG24" s="7">
        <f t="shared" si="49"/>
        <v>758.99843505477304</v>
      </c>
      <c r="BH24" s="7">
        <v>692</v>
      </c>
      <c r="BI24" s="148">
        <v>-1</v>
      </c>
      <c r="BJ24" s="7">
        <f t="shared" si="50"/>
        <v>691</v>
      </c>
      <c r="BK24" s="7">
        <f t="shared" si="30"/>
        <v>6613.0015649452271</v>
      </c>
      <c r="BL24" s="7">
        <f>BK24*1000000/'a1'!BB24</f>
        <v>6428.3972802483349</v>
      </c>
      <c r="BM24" s="7">
        <v>17071</v>
      </c>
      <c r="BN24" s="7">
        <f t="shared" si="51"/>
        <v>2194.2675159235669</v>
      </c>
      <c r="BO24" s="7">
        <v>2620</v>
      </c>
      <c r="BP24" s="7">
        <v>-3</v>
      </c>
      <c r="BQ24" s="7">
        <f t="shared" si="52"/>
        <v>2617</v>
      </c>
      <c r="BR24" s="7">
        <f t="shared" si="31"/>
        <v>17493.732484076434</v>
      </c>
      <c r="BS24" s="7">
        <f>BR24/'a1'!BH24*1000000</f>
        <v>7190.3969633636952</v>
      </c>
      <c r="BT24" s="7">
        <v>19411</v>
      </c>
      <c r="BU24" s="7">
        <f t="shared" si="53"/>
        <v>1993.1623931623931</v>
      </c>
      <c r="BV24" s="7">
        <v>1746</v>
      </c>
      <c r="BW24" s="7">
        <v>-3</v>
      </c>
      <c r="BX24" s="7">
        <f t="shared" si="54"/>
        <v>1743</v>
      </c>
      <c r="BY24" s="7">
        <f t="shared" si="32"/>
        <v>19160.837606837606</v>
      </c>
      <c r="BZ24" s="7">
        <f>BY24*1000000/'a1'!BN24</f>
        <v>6379.24611888038</v>
      </c>
    </row>
    <row r="25" spans="1:78" ht="18.75" customHeight="1">
      <c r="A25" s="1">
        <v>1987</v>
      </c>
      <c r="B25" s="7">
        <v>173666</v>
      </c>
      <c r="C25" s="7">
        <f t="shared" si="33"/>
        <v>16767.407407407409</v>
      </c>
      <c r="D25" s="7">
        <v>15481</v>
      </c>
      <c r="E25" s="7">
        <v>-51</v>
      </c>
      <c r="F25" s="7">
        <f t="shared" si="34"/>
        <v>15430</v>
      </c>
      <c r="G25" s="7">
        <f t="shared" si="24"/>
        <v>172328.59259259258</v>
      </c>
      <c r="H25" s="7">
        <f>G25*1000000/'a1'!F25</f>
        <v>6516.0960606087938</v>
      </c>
      <c r="I25" s="7">
        <v>3514</v>
      </c>
      <c r="J25" s="7">
        <f t="shared" si="35"/>
        <v>433.42776203966008</v>
      </c>
      <c r="K25" s="7">
        <v>374</v>
      </c>
      <c r="L25" s="7">
        <v>0</v>
      </c>
      <c r="M25" s="7">
        <f t="shared" si="36"/>
        <v>374</v>
      </c>
      <c r="N25" s="7">
        <f t="shared" si="4"/>
        <v>3454.5722379603399</v>
      </c>
      <c r="O25" s="7">
        <f>N25*1000000/'a1'!L25</f>
        <v>6005.4242179123567</v>
      </c>
      <c r="P25" s="7">
        <v>902</v>
      </c>
      <c r="Q25" s="7">
        <f t="shared" si="37"/>
        <v>99.397590361445779</v>
      </c>
      <c r="R25" s="7">
        <v>72</v>
      </c>
      <c r="S25" s="7">
        <v>0</v>
      </c>
      <c r="T25" s="7">
        <f t="shared" si="38"/>
        <v>72</v>
      </c>
      <c r="U25" s="7">
        <f t="shared" si="7"/>
        <v>874.60240963855426</v>
      </c>
      <c r="V25" s="7">
        <f>U25*1000000/'a1'!R25</f>
        <v>6798.7842883571666</v>
      </c>
      <c r="W25" s="7">
        <v>7630</v>
      </c>
      <c r="X25" s="7">
        <f t="shared" si="39"/>
        <v>611.85185185185185</v>
      </c>
      <c r="Y25" s="7">
        <v>435</v>
      </c>
      <c r="Z25" s="7">
        <v>-1</v>
      </c>
      <c r="AA25" s="7">
        <f t="shared" si="40"/>
        <v>434</v>
      </c>
      <c r="AB25" s="7">
        <f t="shared" si="25"/>
        <v>7452.1481481481478</v>
      </c>
      <c r="AC25" s="7">
        <f>AB25*1000000/'a1'!X25</f>
        <v>8339.4114947170765</v>
      </c>
      <c r="AD25" s="7">
        <v>4492</v>
      </c>
      <c r="AE25" s="7">
        <f t="shared" si="41"/>
        <v>513.90922401171304</v>
      </c>
      <c r="AF25" s="7">
        <v>580</v>
      </c>
      <c r="AG25" s="7">
        <v>-1</v>
      </c>
      <c r="AH25" s="7">
        <f t="shared" si="42"/>
        <v>579</v>
      </c>
      <c r="AI25" s="7">
        <f t="shared" si="26"/>
        <v>4557.0907759882866</v>
      </c>
      <c r="AJ25" s="7">
        <f>AI25*1000000/'a1'!AD25</f>
        <v>6261.7355750572806</v>
      </c>
      <c r="AK25" s="7">
        <v>42908</v>
      </c>
      <c r="AL25" s="7">
        <f t="shared" si="43"/>
        <v>3808.4179970972423</v>
      </c>
      <c r="AM25" s="7">
        <v>3108</v>
      </c>
      <c r="AN25" s="148">
        <v>-20</v>
      </c>
      <c r="AO25" s="7">
        <f t="shared" si="44"/>
        <v>3088</v>
      </c>
      <c r="AP25" s="7">
        <f t="shared" si="27"/>
        <v>42187.58200290276</v>
      </c>
      <c r="AQ25" s="7">
        <f>AP25*1000000/'a1'!AJ25</f>
        <v>6220.5369406508134</v>
      </c>
      <c r="AR25" s="7">
        <v>60305</v>
      </c>
      <c r="AS25" s="7">
        <f t="shared" si="45"/>
        <v>5604.9204052098412</v>
      </c>
      <c r="AT25" s="7">
        <v>4899</v>
      </c>
      <c r="AU25" s="148">
        <v>-18</v>
      </c>
      <c r="AV25" s="7">
        <f t="shared" si="46"/>
        <v>4881</v>
      </c>
      <c r="AW25" s="7">
        <f t="shared" si="28"/>
        <v>59581.079594790157</v>
      </c>
      <c r="AX25" s="7">
        <f>AW25/'a1'!AP25*1000000</f>
        <v>6181.9277444299751</v>
      </c>
      <c r="AY25" s="7">
        <v>7502</v>
      </c>
      <c r="AZ25" s="7">
        <f t="shared" si="47"/>
        <v>733.23615160349857</v>
      </c>
      <c r="BA25" s="148">
        <v>614</v>
      </c>
      <c r="BB25" s="148">
        <v>-2</v>
      </c>
      <c r="BC25" s="7">
        <f t="shared" si="48"/>
        <v>612</v>
      </c>
      <c r="BD25" s="7">
        <f t="shared" si="29"/>
        <v>7380.7638483965011</v>
      </c>
      <c r="BE25" s="7">
        <f>BD25*1000000/'a1'!AV25</f>
        <v>6719.7243999957227</v>
      </c>
      <c r="BF25" s="148">
        <v>6647</v>
      </c>
      <c r="BG25" s="7">
        <f t="shared" si="49"/>
        <v>778.28746177370022</v>
      </c>
      <c r="BH25" s="7">
        <v>686</v>
      </c>
      <c r="BI25" s="148">
        <v>-1</v>
      </c>
      <c r="BJ25" s="7">
        <f t="shared" si="50"/>
        <v>685</v>
      </c>
      <c r="BK25" s="7">
        <f t="shared" si="30"/>
        <v>6553.7125382263002</v>
      </c>
      <c r="BL25" s="7">
        <f>BK25*1000000/'a1'!BB25</f>
        <v>6345.5837372289288</v>
      </c>
      <c r="BM25" s="7">
        <v>17415</v>
      </c>
      <c r="BN25" s="7">
        <f t="shared" si="51"/>
        <v>2120.1848998459168</v>
      </c>
      <c r="BO25" s="7">
        <v>2431</v>
      </c>
      <c r="BP25" s="7">
        <v>-3</v>
      </c>
      <c r="BQ25" s="7">
        <f t="shared" si="52"/>
        <v>2428</v>
      </c>
      <c r="BR25" s="7">
        <f t="shared" si="31"/>
        <v>17722.815100154083</v>
      </c>
      <c r="BS25" s="7">
        <f>BR25/'a1'!BH25*1000000</f>
        <v>7260.8390755265764</v>
      </c>
      <c r="BT25" s="7">
        <v>19547</v>
      </c>
      <c r="BU25" s="7">
        <f t="shared" si="53"/>
        <v>1887.2549019607841</v>
      </c>
      <c r="BV25" s="7">
        <v>1917</v>
      </c>
      <c r="BW25" s="7">
        <v>-3</v>
      </c>
      <c r="BX25" s="7">
        <f t="shared" si="54"/>
        <v>1914</v>
      </c>
      <c r="BY25" s="7">
        <f t="shared" si="32"/>
        <v>19573.745098039217</v>
      </c>
      <c r="BZ25" s="7">
        <f>BY25*1000000/'a1'!BN25</f>
        <v>6420.4610819799364</v>
      </c>
    </row>
    <row r="26" spans="1:78" ht="18.75" customHeight="1">
      <c r="A26" s="1">
        <v>1988</v>
      </c>
      <c r="B26" s="7">
        <v>181668</v>
      </c>
      <c r="C26" s="7">
        <f t="shared" si="33"/>
        <v>17408.571428571428</v>
      </c>
      <c r="D26" s="7">
        <v>16274</v>
      </c>
      <c r="E26" s="7">
        <v>87</v>
      </c>
      <c r="F26" s="7">
        <f t="shared" si="34"/>
        <v>16361</v>
      </c>
      <c r="G26" s="7">
        <f t="shared" si="24"/>
        <v>180620.42857142858</v>
      </c>
      <c r="H26" s="7">
        <f>G26*1000000/'a1'!F26</f>
        <v>6741.644304547538</v>
      </c>
      <c r="I26" s="7">
        <v>3818</v>
      </c>
      <c r="J26" s="7">
        <f t="shared" si="35"/>
        <v>431.10504774897686</v>
      </c>
      <c r="K26" s="7">
        <v>423</v>
      </c>
      <c r="L26" s="7">
        <v>0</v>
      </c>
      <c r="M26" s="7">
        <f t="shared" si="36"/>
        <v>423</v>
      </c>
      <c r="N26" s="7">
        <f t="shared" si="4"/>
        <v>3809.8949522510229</v>
      </c>
      <c r="O26" s="7">
        <f>N26*1000000/'a1'!L26</f>
        <v>6626.1116908894937</v>
      </c>
      <c r="P26" s="7">
        <v>962</v>
      </c>
      <c r="Q26" s="7">
        <f t="shared" si="37"/>
        <v>101.44927536231884</v>
      </c>
      <c r="R26" s="7">
        <v>103</v>
      </c>
      <c r="S26" s="7">
        <v>1</v>
      </c>
      <c r="T26" s="7">
        <f t="shared" si="38"/>
        <v>104</v>
      </c>
      <c r="U26" s="7">
        <f t="shared" si="7"/>
        <v>964.55072463768113</v>
      </c>
      <c r="V26" s="7">
        <f>U26*1000000/'a1'!R26</f>
        <v>7460.4237378097214</v>
      </c>
      <c r="W26" s="7">
        <v>7888</v>
      </c>
      <c r="X26" s="7">
        <f t="shared" si="39"/>
        <v>626.43678160919546</v>
      </c>
      <c r="Y26" s="7">
        <v>541</v>
      </c>
      <c r="Z26" s="7">
        <v>1</v>
      </c>
      <c r="AA26" s="7">
        <f t="shared" si="40"/>
        <v>542</v>
      </c>
      <c r="AB26" s="7">
        <f t="shared" si="25"/>
        <v>7803.5632183908046</v>
      </c>
      <c r="AC26" s="7">
        <f>AB26*1000000/'a1'!X26</f>
        <v>8697.5301581679378</v>
      </c>
      <c r="AD26" s="7">
        <v>4810</v>
      </c>
      <c r="AE26" s="7">
        <f t="shared" si="41"/>
        <v>519.09476661951908</v>
      </c>
      <c r="AF26" s="7">
        <v>509</v>
      </c>
      <c r="AG26" s="7">
        <v>1</v>
      </c>
      <c r="AH26" s="7">
        <f t="shared" si="42"/>
        <v>510</v>
      </c>
      <c r="AI26" s="7">
        <f t="shared" si="26"/>
        <v>4800.9052333804811</v>
      </c>
      <c r="AJ26" s="7">
        <f>AI26*1000000/'a1'!AD26</f>
        <v>6573.4398669409838</v>
      </c>
      <c r="AK26" s="7">
        <v>44816</v>
      </c>
      <c r="AL26" s="7">
        <f t="shared" si="43"/>
        <v>3904.7619047619046</v>
      </c>
      <c r="AM26" s="7">
        <v>3426</v>
      </c>
      <c r="AN26" s="148">
        <v>44</v>
      </c>
      <c r="AO26" s="7">
        <f t="shared" si="44"/>
        <v>3470</v>
      </c>
      <c r="AP26" s="7">
        <f t="shared" si="27"/>
        <v>44381.238095238092</v>
      </c>
      <c r="AQ26" s="7">
        <f>AP26*1000000/'a1'!AJ26</f>
        <v>6491.2590709799069</v>
      </c>
      <c r="AR26" s="7">
        <v>63288</v>
      </c>
      <c r="AS26" s="7">
        <f t="shared" si="45"/>
        <v>5857.3407202216067</v>
      </c>
      <c r="AT26" s="7">
        <v>5601</v>
      </c>
      <c r="AU26" s="148">
        <v>27</v>
      </c>
      <c r="AV26" s="7">
        <f t="shared" si="46"/>
        <v>5628</v>
      </c>
      <c r="AW26" s="7">
        <f t="shared" si="28"/>
        <v>63058.659279778396</v>
      </c>
      <c r="AX26" s="7">
        <f>AW26/'a1'!AP26*1000000</f>
        <v>6409.2991984423006</v>
      </c>
      <c r="AY26" s="7">
        <v>7519</v>
      </c>
      <c r="AZ26" s="7">
        <f t="shared" si="47"/>
        <v>757.66016713091926</v>
      </c>
      <c r="BA26" s="148">
        <v>634</v>
      </c>
      <c r="BB26" s="148">
        <v>2</v>
      </c>
      <c r="BC26" s="7">
        <f t="shared" si="48"/>
        <v>636</v>
      </c>
      <c r="BD26" s="7">
        <f t="shared" si="29"/>
        <v>7397.339832869081</v>
      </c>
      <c r="BE26" s="7">
        <f>BD26*1000000/'a1'!AV26</f>
        <v>6711.723821096437</v>
      </c>
      <c r="BF26" s="148">
        <v>6663</v>
      </c>
      <c r="BG26" s="7">
        <f t="shared" si="49"/>
        <v>774.66863033873335</v>
      </c>
      <c r="BH26" s="7">
        <v>652</v>
      </c>
      <c r="BI26" s="148">
        <v>2</v>
      </c>
      <c r="BJ26" s="7">
        <f t="shared" si="50"/>
        <v>654</v>
      </c>
      <c r="BK26" s="7">
        <f t="shared" si="30"/>
        <v>6542.3313696612668</v>
      </c>
      <c r="BL26" s="7">
        <f>BK26*1000000/'a1'!BB26</f>
        <v>6362.7429499003292</v>
      </c>
      <c r="BM26" s="7">
        <v>18002</v>
      </c>
      <c r="BN26" s="7">
        <f t="shared" si="51"/>
        <v>2144.5603576751118</v>
      </c>
      <c r="BO26" s="7">
        <v>2312</v>
      </c>
      <c r="BP26" s="7">
        <v>4</v>
      </c>
      <c r="BQ26" s="7">
        <f t="shared" si="52"/>
        <v>2316</v>
      </c>
      <c r="BR26" s="7">
        <f t="shared" si="31"/>
        <v>18173.439642324887</v>
      </c>
      <c r="BS26" s="7">
        <f>BR26/'a1'!BH26*1000000</f>
        <v>7397.759535004232</v>
      </c>
      <c r="BT26" s="7">
        <v>20820</v>
      </c>
      <c r="BU26" s="7">
        <f t="shared" si="53"/>
        <v>2084.2607313195549</v>
      </c>
      <c r="BV26" s="7">
        <v>1697</v>
      </c>
      <c r="BW26" s="7">
        <v>2</v>
      </c>
      <c r="BX26" s="7">
        <f t="shared" si="54"/>
        <v>1699</v>
      </c>
      <c r="BY26" s="7">
        <f t="shared" si="32"/>
        <v>20434.739268680445</v>
      </c>
      <c r="BZ26" s="7">
        <f>BY26*1000000/'a1'!BN26</f>
        <v>6560.6122809038789</v>
      </c>
    </row>
    <row r="27" spans="1:78" ht="18.75" customHeight="1">
      <c r="A27" s="1">
        <v>1989</v>
      </c>
      <c r="B27" s="7">
        <v>186756</v>
      </c>
      <c r="C27" s="7">
        <f t="shared" si="33"/>
        <v>17879.403794037942</v>
      </c>
      <c r="D27" s="7">
        <v>18146</v>
      </c>
      <c r="E27" s="7">
        <v>-2</v>
      </c>
      <c r="F27" s="7">
        <f t="shared" si="34"/>
        <v>18144</v>
      </c>
      <c r="G27" s="7">
        <f t="shared" si="24"/>
        <v>187020.59620596207</v>
      </c>
      <c r="H27" s="7">
        <f>G27*1000000/'a1'!F27</f>
        <v>6856.4027480354835</v>
      </c>
      <c r="I27" s="7">
        <v>3898</v>
      </c>
      <c r="J27" s="7">
        <f t="shared" si="35"/>
        <v>424.71042471042466</v>
      </c>
      <c r="K27" s="7">
        <v>507</v>
      </c>
      <c r="L27" s="7">
        <v>0</v>
      </c>
      <c r="M27" s="7">
        <f t="shared" si="36"/>
        <v>507</v>
      </c>
      <c r="N27" s="7">
        <f t="shared" si="4"/>
        <v>3980.2895752895752</v>
      </c>
      <c r="O27" s="7">
        <f>N27*1000000/'a1'!L27</f>
        <v>6903.6209724544315</v>
      </c>
      <c r="P27" s="7">
        <v>994</v>
      </c>
      <c r="Q27" s="7">
        <f t="shared" si="37"/>
        <v>103.73443983402491</v>
      </c>
      <c r="R27" s="7">
        <v>96</v>
      </c>
      <c r="S27" s="7">
        <v>0</v>
      </c>
      <c r="T27" s="7">
        <f t="shared" si="38"/>
        <v>96</v>
      </c>
      <c r="U27" s="7">
        <f t="shared" si="7"/>
        <v>986.2655601659751</v>
      </c>
      <c r="V27" s="7">
        <f>U27*1000000/'a1'!R27</f>
        <v>7577.7397383538992</v>
      </c>
      <c r="W27" s="7">
        <v>7793</v>
      </c>
      <c r="X27" s="7">
        <f t="shared" si="39"/>
        <v>614.55525606468996</v>
      </c>
      <c r="Y27" s="7">
        <v>657</v>
      </c>
      <c r="Z27" s="7">
        <v>0</v>
      </c>
      <c r="AA27" s="7">
        <f t="shared" si="40"/>
        <v>657</v>
      </c>
      <c r="AB27" s="7">
        <f t="shared" si="25"/>
        <v>7835.4447439353098</v>
      </c>
      <c r="AC27" s="7">
        <f>AB27*1000000/'a1'!X27</f>
        <v>8669.0521274597068</v>
      </c>
      <c r="AD27" s="7">
        <v>4907</v>
      </c>
      <c r="AE27" s="7">
        <f t="shared" si="41"/>
        <v>518.42105263157896</v>
      </c>
      <c r="AF27" s="7">
        <v>539</v>
      </c>
      <c r="AG27" s="7">
        <v>0</v>
      </c>
      <c r="AH27" s="7">
        <f t="shared" si="42"/>
        <v>539</v>
      </c>
      <c r="AI27" s="7">
        <f t="shared" si="26"/>
        <v>4927.5789473684208</v>
      </c>
      <c r="AJ27" s="7">
        <f>AI27*1000000/'a1'!AD27</f>
        <v>6703.0125969298188</v>
      </c>
      <c r="AK27" s="7">
        <v>45814</v>
      </c>
      <c r="AL27" s="7">
        <f t="shared" si="43"/>
        <v>4006.6844919786099</v>
      </c>
      <c r="AM27" s="7">
        <v>3921</v>
      </c>
      <c r="AN27" s="148">
        <v>-1</v>
      </c>
      <c r="AO27" s="7">
        <f t="shared" si="44"/>
        <v>3920</v>
      </c>
      <c r="AP27" s="7">
        <f t="shared" si="27"/>
        <v>45727.315508021391</v>
      </c>
      <c r="AQ27" s="7">
        <f>AP27*1000000/'a1'!AJ27</f>
        <v>6603.1004059450443</v>
      </c>
      <c r="AR27" s="7">
        <v>65956</v>
      </c>
      <c r="AS27" s="7">
        <f t="shared" si="45"/>
        <v>6055.1181102362198</v>
      </c>
      <c r="AT27" s="7">
        <v>6019</v>
      </c>
      <c r="AU27" s="148">
        <v>0</v>
      </c>
      <c r="AV27" s="7">
        <f t="shared" si="46"/>
        <v>6019</v>
      </c>
      <c r="AW27" s="7">
        <f t="shared" si="28"/>
        <v>65919.881889763783</v>
      </c>
      <c r="AX27" s="7">
        <f>AW27/'a1'!AP27*1000000</f>
        <v>6524.5859537808456</v>
      </c>
      <c r="AY27" s="7">
        <v>7683</v>
      </c>
      <c r="AZ27" s="7">
        <f t="shared" si="47"/>
        <v>768.21192052980132</v>
      </c>
      <c r="BA27" s="148">
        <v>608</v>
      </c>
      <c r="BB27" s="148">
        <v>0</v>
      </c>
      <c r="BC27" s="7">
        <f t="shared" si="48"/>
        <v>608</v>
      </c>
      <c r="BD27" s="7">
        <f t="shared" si="29"/>
        <v>7522.7880794701987</v>
      </c>
      <c r="BE27" s="7">
        <f>BD27*1000000/'a1'!AV27</f>
        <v>6815.4036987677009</v>
      </c>
      <c r="BF27" s="148">
        <v>6824</v>
      </c>
      <c r="BG27" s="7">
        <f t="shared" si="49"/>
        <v>786.01398601398603</v>
      </c>
      <c r="BH27" s="7">
        <v>744</v>
      </c>
      <c r="BI27" s="148">
        <v>0</v>
      </c>
      <c r="BJ27" s="7">
        <f t="shared" si="50"/>
        <v>744</v>
      </c>
      <c r="BK27" s="7">
        <f t="shared" si="30"/>
        <v>6781.9860139860139</v>
      </c>
      <c r="BL27" s="7">
        <f>BK27*1000000/'a1'!BB27</f>
        <v>6652.6648617386754</v>
      </c>
      <c r="BM27" s="7">
        <v>18432</v>
      </c>
      <c r="BN27" s="7">
        <f t="shared" si="51"/>
        <v>2252.136752136752</v>
      </c>
      <c r="BO27" s="7">
        <v>2275</v>
      </c>
      <c r="BP27" s="7">
        <v>0</v>
      </c>
      <c r="BQ27" s="7">
        <f t="shared" si="52"/>
        <v>2275</v>
      </c>
      <c r="BR27" s="7">
        <f t="shared" si="31"/>
        <v>18454.86324786325</v>
      </c>
      <c r="BS27" s="7">
        <f>BR27/'a1'!BH27*1000000</f>
        <v>7386.8945184726772</v>
      </c>
      <c r="BT27" s="7">
        <v>21210</v>
      </c>
      <c r="BU27" s="7">
        <f t="shared" si="53"/>
        <v>2131.5396113602392</v>
      </c>
      <c r="BV27" s="7">
        <v>2333</v>
      </c>
      <c r="BW27" s="7">
        <v>0</v>
      </c>
      <c r="BX27" s="7">
        <f t="shared" si="54"/>
        <v>2333</v>
      </c>
      <c r="BY27" s="7">
        <f t="shared" si="32"/>
        <v>21411.46038863976</v>
      </c>
      <c r="BZ27" s="7">
        <f>BY27*1000000/'a1'!BN27</f>
        <v>6697.9362906223587</v>
      </c>
    </row>
    <row r="28" spans="1:78" ht="18.75" customHeight="1">
      <c r="A28" s="1">
        <v>1990</v>
      </c>
      <c r="B28" s="7">
        <v>193634</v>
      </c>
      <c r="C28" s="7">
        <f t="shared" si="33"/>
        <v>18202.824133504491</v>
      </c>
      <c r="D28" s="7">
        <v>19451</v>
      </c>
      <c r="E28" s="7">
        <v>90</v>
      </c>
      <c r="F28" s="7">
        <f t="shared" si="34"/>
        <v>19541</v>
      </c>
      <c r="G28" s="7">
        <f t="shared" si="24"/>
        <v>194972.1758664955</v>
      </c>
      <c r="H28" s="7">
        <f>G28*1000000/'a1'!F28</f>
        <v>7040.9593085880215</v>
      </c>
      <c r="I28" s="7">
        <v>4004</v>
      </c>
      <c r="J28" s="7">
        <f t="shared" si="35"/>
        <v>435.10506798516684</v>
      </c>
      <c r="K28" s="7">
        <v>501</v>
      </c>
      <c r="L28" s="7">
        <v>0</v>
      </c>
      <c r="M28" s="7">
        <f t="shared" si="36"/>
        <v>501</v>
      </c>
      <c r="N28" s="7">
        <f t="shared" si="4"/>
        <v>4069.8949320148331</v>
      </c>
      <c r="O28" s="7">
        <f>N28*1000000/'a1'!L28</f>
        <v>7049.0483227591985</v>
      </c>
      <c r="P28" s="7">
        <v>1005</v>
      </c>
      <c r="Q28" s="7">
        <f t="shared" si="37"/>
        <v>103.2258064516129</v>
      </c>
      <c r="R28" s="7">
        <v>88</v>
      </c>
      <c r="S28" s="7">
        <v>1</v>
      </c>
      <c r="T28" s="7">
        <f t="shared" si="38"/>
        <v>89</v>
      </c>
      <c r="U28" s="7">
        <f t="shared" si="7"/>
        <v>990.77419354838707</v>
      </c>
      <c r="V28" s="7">
        <f>U28*1000000/'a1'!R28</f>
        <v>7597.7285478082504</v>
      </c>
      <c r="W28" s="7">
        <v>7935</v>
      </c>
      <c r="X28" s="7">
        <f t="shared" si="39"/>
        <v>615.77608142493648</v>
      </c>
      <c r="Y28" s="7">
        <v>612</v>
      </c>
      <c r="Z28" s="7">
        <v>2</v>
      </c>
      <c r="AA28" s="7">
        <f t="shared" si="40"/>
        <v>614</v>
      </c>
      <c r="AB28" s="7">
        <f t="shared" si="25"/>
        <v>7933.2239185750632</v>
      </c>
      <c r="AC28" s="7">
        <f>AB28*1000000/'a1'!X28</f>
        <v>8713.5100280795596</v>
      </c>
      <c r="AD28" s="7">
        <v>5162</v>
      </c>
      <c r="AE28" s="7">
        <f t="shared" si="41"/>
        <v>527.04402515723268</v>
      </c>
      <c r="AF28" s="7">
        <v>630</v>
      </c>
      <c r="AG28" s="7">
        <v>1</v>
      </c>
      <c r="AH28" s="7">
        <f t="shared" si="42"/>
        <v>631</v>
      </c>
      <c r="AI28" s="7">
        <f t="shared" si="26"/>
        <v>5265.9559748427673</v>
      </c>
      <c r="AJ28" s="7">
        <f>AI28*1000000/'a1'!AD28</f>
        <v>7114.6568761757899</v>
      </c>
      <c r="AK28" s="7">
        <v>47181</v>
      </c>
      <c r="AL28" s="7">
        <f t="shared" si="43"/>
        <v>4112.3737373737367</v>
      </c>
      <c r="AM28" s="7">
        <v>4098</v>
      </c>
      <c r="AN28" s="148">
        <v>36</v>
      </c>
      <c r="AO28" s="7">
        <f t="shared" si="44"/>
        <v>4134</v>
      </c>
      <c r="AP28" s="7">
        <f t="shared" si="27"/>
        <v>47202.626262626261</v>
      </c>
      <c r="AQ28" s="7">
        <f>AP28*1000000/'a1'!AJ28</f>
        <v>6746.1370170851078</v>
      </c>
      <c r="AR28" s="7">
        <v>68923</v>
      </c>
      <c r="AS28" s="7">
        <f t="shared" si="45"/>
        <v>6037.2208436724568</v>
      </c>
      <c r="AT28" s="7">
        <v>6903</v>
      </c>
      <c r="AU28" s="148">
        <v>31</v>
      </c>
      <c r="AV28" s="7">
        <f t="shared" si="46"/>
        <v>6934</v>
      </c>
      <c r="AW28" s="7">
        <f t="shared" si="28"/>
        <v>69819.779156327539</v>
      </c>
      <c r="AX28" s="7">
        <f>AW28/'a1'!AP28*1000000</f>
        <v>6781.3634834297545</v>
      </c>
      <c r="AY28" s="7">
        <v>7829</v>
      </c>
      <c r="AZ28" s="7">
        <f t="shared" si="47"/>
        <v>761.36363636363637</v>
      </c>
      <c r="BA28" s="148">
        <v>649</v>
      </c>
      <c r="BB28" s="148">
        <v>3</v>
      </c>
      <c r="BC28" s="7">
        <f t="shared" si="48"/>
        <v>652</v>
      </c>
      <c r="BD28" s="7">
        <f t="shared" si="29"/>
        <v>7719.636363636364</v>
      </c>
      <c r="BE28" s="7">
        <f>BD28*1000000/'a1'!AV28</f>
        <v>6983.4355993204072</v>
      </c>
      <c r="BF28" s="148">
        <v>7071</v>
      </c>
      <c r="BG28" s="7">
        <f t="shared" si="49"/>
        <v>790.45092838196285</v>
      </c>
      <c r="BH28" s="7">
        <v>714</v>
      </c>
      <c r="BI28" s="148">
        <v>2</v>
      </c>
      <c r="BJ28" s="7">
        <f t="shared" si="50"/>
        <v>716</v>
      </c>
      <c r="BK28" s="7">
        <f t="shared" si="30"/>
        <v>6996.5490716180375</v>
      </c>
      <c r="BL28" s="7">
        <f>BK28*1000000/'a1'!BB28</f>
        <v>6942.9012734778735</v>
      </c>
      <c r="BM28" s="7">
        <v>19061</v>
      </c>
      <c r="BN28" s="7">
        <f t="shared" si="51"/>
        <v>2313.858695652174</v>
      </c>
      <c r="BO28" s="7">
        <v>2543</v>
      </c>
      <c r="BP28" s="7">
        <v>5</v>
      </c>
      <c r="BQ28" s="7">
        <f t="shared" si="52"/>
        <v>2548</v>
      </c>
      <c r="BR28" s="7">
        <f t="shared" si="31"/>
        <v>19295.141304347824</v>
      </c>
      <c r="BS28" s="7">
        <f>BR28/'a1'!BH28*1000000</f>
        <v>7573.2915393069688</v>
      </c>
      <c r="BT28" s="7">
        <v>22127</v>
      </c>
      <c r="BU28" s="7">
        <f t="shared" si="53"/>
        <v>2292.7864214992928</v>
      </c>
      <c r="BV28" s="7">
        <v>2322</v>
      </c>
      <c r="BW28" s="7">
        <v>5</v>
      </c>
      <c r="BX28" s="7">
        <f t="shared" si="54"/>
        <v>2327</v>
      </c>
      <c r="BY28" s="7">
        <f t="shared" si="32"/>
        <v>22161.213578500709</v>
      </c>
      <c r="BZ28" s="7">
        <f>BY28*1000000/'a1'!BN28</f>
        <v>6731.6118984143332</v>
      </c>
    </row>
    <row r="29" spans="1:78" ht="18.75" customHeight="1">
      <c r="A29" s="1">
        <v>1991</v>
      </c>
      <c r="B29" s="7">
        <v>199283</v>
      </c>
      <c r="C29" s="7">
        <f t="shared" si="33"/>
        <v>17570.900123304564</v>
      </c>
      <c r="D29" s="7">
        <v>20750</v>
      </c>
      <c r="E29" s="7">
        <v>-45</v>
      </c>
      <c r="F29" s="7">
        <f t="shared" si="34"/>
        <v>20705</v>
      </c>
      <c r="G29" s="7">
        <f t="shared" si="24"/>
        <v>202417.09987669543</v>
      </c>
      <c r="H29" s="7">
        <f>G29*1000000/'a1'!F29</f>
        <v>7219.5337472811489</v>
      </c>
      <c r="I29" s="7">
        <v>4031</v>
      </c>
      <c r="J29" s="7">
        <f t="shared" si="35"/>
        <v>426.47058823529409</v>
      </c>
      <c r="K29" s="7">
        <v>425</v>
      </c>
      <c r="L29" s="7">
        <v>0</v>
      </c>
      <c r="M29" s="7">
        <f t="shared" si="36"/>
        <v>425</v>
      </c>
      <c r="N29" s="7">
        <f t="shared" si="4"/>
        <v>4029.5294117647059</v>
      </c>
      <c r="O29" s="7">
        <f>N29*1000000/'a1'!L29</f>
        <v>6951.7314278500353</v>
      </c>
      <c r="P29" s="7">
        <v>983</v>
      </c>
      <c r="Q29" s="7">
        <f t="shared" si="37"/>
        <v>100.88272383354351</v>
      </c>
      <c r="R29" s="7">
        <v>105</v>
      </c>
      <c r="S29" s="7">
        <v>0</v>
      </c>
      <c r="T29" s="7">
        <f t="shared" si="38"/>
        <v>105</v>
      </c>
      <c r="U29" s="7">
        <f t="shared" si="7"/>
        <v>987.11727616645646</v>
      </c>
      <c r="V29" s="7">
        <f>U29*1000000/'a1'!R29</f>
        <v>7571.7177869467159</v>
      </c>
      <c r="W29" s="7">
        <v>7954</v>
      </c>
      <c r="X29" s="7">
        <f t="shared" si="39"/>
        <v>605.9850374064838</v>
      </c>
      <c r="Y29" s="7">
        <v>579</v>
      </c>
      <c r="Z29" s="7">
        <v>-1</v>
      </c>
      <c r="AA29" s="7">
        <f t="shared" si="40"/>
        <v>578</v>
      </c>
      <c r="AB29" s="7">
        <f t="shared" si="25"/>
        <v>7926.0149625935164</v>
      </c>
      <c r="AC29" s="7">
        <f>AB29*1000000/'a1'!X29</f>
        <v>8662.6049216897136</v>
      </c>
      <c r="AD29" s="7">
        <v>5255</v>
      </c>
      <c r="AE29" s="7">
        <f t="shared" si="41"/>
        <v>519.70443349753691</v>
      </c>
      <c r="AF29" s="7">
        <v>625</v>
      </c>
      <c r="AG29" s="7">
        <v>-1</v>
      </c>
      <c r="AH29" s="7">
        <f t="shared" si="42"/>
        <v>624</v>
      </c>
      <c r="AI29" s="7">
        <f t="shared" si="26"/>
        <v>5359.2955665024629</v>
      </c>
      <c r="AJ29" s="7">
        <f>AI29*1000000/'a1'!AD29</f>
        <v>7188.2145622089802</v>
      </c>
      <c r="AK29" s="7">
        <v>48403</v>
      </c>
      <c r="AL29" s="7">
        <f t="shared" si="43"/>
        <v>3960.9279609279602</v>
      </c>
      <c r="AM29" s="7">
        <v>4421</v>
      </c>
      <c r="AN29" s="148">
        <v>-17</v>
      </c>
      <c r="AO29" s="7">
        <f t="shared" si="44"/>
        <v>4404</v>
      </c>
      <c r="AP29" s="7">
        <f t="shared" si="27"/>
        <v>48846.072039072038</v>
      </c>
      <c r="AQ29" s="7">
        <f>AP29*1000000/'a1'!AJ29</f>
        <v>6911.4666900046404</v>
      </c>
      <c r="AR29" s="7">
        <v>71482</v>
      </c>
      <c r="AS29" s="7">
        <f t="shared" si="45"/>
        <v>5841.607565011821</v>
      </c>
      <c r="AT29" s="7">
        <v>7876</v>
      </c>
      <c r="AU29" s="148">
        <v>-15</v>
      </c>
      <c r="AV29" s="7">
        <f t="shared" si="46"/>
        <v>7861</v>
      </c>
      <c r="AW29" s="7">
        <f t="shared" si="28"/>
        <v>73501.392434988185</v>
      </c>
      <c r="AX29" s="7">
        <f>AW29/'a1'!AP29*1000000</f>
        <v>7046.2243148408297</v>
      </c>
      <c r="AY29" s="7">
        <v>7992</v>
      </c>
      <c r="AZ29" s="7">
        <f t="shared" si="47"/>
        <v>744.47174447174439</v>
      </c>
      <c r="BA29" s="148">
        <v>714</v>
      </c>
      <c r="BB29" s="148">
        <v>-1</v>
      </c>
      <c r="BC29" s="7">
        <f t="shared" si="48"/>
        <v>713</v>
      </c>
      <c r="BD29" s="7">
        <f t="shared" si="29"/>
        <v>7960.5282555282556</v>
      </c>
      <c r="BE29" s="7">
        <f>BD29*1000000/'a1'!AV29</f>
        <v>7174.2065237041825</v>
      </c>
      <c r="BF29" s="148">
        <v>7086</v>
      </c>
      <c r="BG29" s="7">
        <f t="shared" si="49"/>
        <v>770.02583979328165</v>
      </c>
      <c r="BH29" s="7">
        <v>610</v>
      </c>
      <c r="BI29" s="148">
        <v>-1</v>
      </c>
      <c r="BJ29" s="7">
        <f t="shared" si="50"/>
        <v>609</v>
      </c>
      <c r="BK29" s="7">
        <f t="shared" si="30"/>
        <v>6924.9741602067188</v>
      </c>
      <c r="BL29" s="7">
        <f>BK29*1000000/'a1'!BB29</f>
        <v>6906.2375377667577</v>
      </c>
      <c r="BM29" s="7">
        <v>19192</v>
      </c>
      <c r="BN29" s="7">
        <f t="shared" si="51"/>
        <v>2236.3636363636365</v>
      </c>
      <c r="BO29" s="7">
        <v>2312</v>
      </c>
      <c r="BP29" s="7">
        <v>-3</v>
      </c>
      <c r="BQ29" s="7">
        <f t="shared" si="52"/>
        <v>2309</v>
      </c>
      <c r="BR29" s="7">
        <f t="shared" si="31"/>
        <v>19264.636363636364</v>
      </c>
      <c r="BS29" s="7">
        <f>BR29/'a1'!BH29*1000000</f>
        <v>7431.4669501348853</v>
      </c>
      <c r="BT29" s="7">
        <v>23526</v>
      </c>
      <c r="BU29" s="7">
        <f t="shared" si="53"/>
        <v>2153.2258064516127</v>
      </c>
      <c r="BV29" s="7">
        <v>2692</v>
      </c>
      <c r="BW29" s="7">
        <v>-3</v>
      </c>
      <c r="BX29" s="7">
        <f t="shared" si="54"/>
        <v>2689</v>
      </c>
      <c r="BY29" s="7">
        <f t="shared" si="32"/>
        <v>24061.774193548386</v>
      </c>
      <c r="BZ29" s="7">
        <f>BY29*1000000/'a1'!BN29</f>
        <v>7131.9778615390915</v>
      </c>
    </row>
    <row r="30" spans="1:78" ht="18.75" customHeight="1">
      <c r="A30" s="1">
        <v>1992</v>
      </c>
      <c r="B30" s="7">
        <v>201461</v>
      </c>
      <c r="C30" s="7">
        <f t="shared" si="33"/>
        <v>17571.770334928231</v>
      </c>
      <c r="D30" s="7">
        <v>20827</v>
      </c>
      <c r="E30" s="7">
        <v>-49</v>
      </c>
      <c r="F30" s="7">
        <f t="shared" si="34"/>
        <v>20778</v>
      </c>
      <c r="G30" s="7">
        <f t="shared" si="24"/>
        <v>204667.22966507176</v>
      </c>
      <c r="H30" s="7">
        <f>G30*1000000/'a1'!F30</f>
        <v>7213.8918331263549</v>
      </c>
      <c r="I30" s="7">
        <v>4126</v>
      </c>
      <c r="J30" s="7">
        <f t="shared" si="35"/>
        <v>434.25814234016889</v>
      </c>
      <c r="K30" s="7">
        <v>427</v>
      </c>
      <c r="L30" s="7">
        <v>0</v>
      </c>
      <c r="M30" s="7">
        <f t="shared" si="36"/>
        <v>427</v>
      </c>
      <c r="N30" s="7">
        <f t="shared" si="4"/>
        <v>4118.7418576598311</v>
      </c>
      <c r="O30" s="7">
        <f>N30*1000000/'a1'!L30</f>
        <v>7099.9447649662925</v>
      </c>
      <c r="P30" s="7">
        <v>935</v>
      </c>
      <c r="Q30" s="7">
        <f t="shared" si="37"/>
        <v>98.159509202453989</v>
      </c>
      <c r="R30" s="7">
        <v>131</v>
      </c>
      <c r="S30" s="7">
        <v>-1</v>
      </c>
      <c r="T30" s="7">
        <f t="shared" si="38"/>
        <v>130</v>
      </c>
      <c r="U30" s="7">
        <f t="shared" si="7"/>
        <v>966.84049079754595</v>
      </c>
      <c r="V30" s="7">
        <f>U30*1000000/'a1'!R30</f>
        <v>7390.2213671302243</v>
      </c>
      <c r="W30" s="7">
        <v>8055</v>
      </c>
      <c r="X30" s="7">
        <f t="shared" si="39"/>
        <v>598.29059829059815</v>
      </c>
      <c r="Y30" s="7">
        <v>585</v>
      </c>
      <c r="Z30" s="7">
        <v>-1</v>
      </c>
      <c r="AA30" s="7">
        <f t="shared" si="40"/>
        <v>584</v>
      </c>
      <c r="AB30" s="7">
        <f t="shared" si="25"/>
        <v>8040.7094017094023</v>
      </c>
      <c r="AC30" s="7">
        <f>AB30*1000000/'a1'!X30</f>
        <v>8745.1200789486356</v>
      </c>
      <c r="AD30" s="7">
        <v>5342</v>
      </c>
      <c r="AE30" s="7">
        <f t="shared" si="41"/>
        <v>519.90349819059111</v>
      </c>
      <c r="AF30" s="7">
        <v>619</v>
      </c>
      <c r="AG30" s="7">
        <v>-1</v>
      </c>
      <c r="AH30" s="7">
        <f t="shared" si="42"/>
        <v>618</v>
      </c>
      <c r="AI30" s="7">
        <f t="shared" si="26"/>
        <v>5440.0965018094084</v>
      </c>
      <c r="AJ30" s="7">
        <f>AI30*1000000/'a1'!AD30</f>
        <v>7271.6799846674649</v>
      </c>
      <c r="AK30" s="7">
        <v>49595</v>
      </c>
      <c r="AL30" s="7">
        <f t="shared" si="43"/>
        <v>4023.7247924080662</v>
      </c>
      <c r="AM30" s="7">
        <v>4359</v>
      </c>
      <c r="AN30" s="148">
        <v>-18</v>
      </c>
      <c r="AO30" s="7">
        <f t="shared" si="44"/>
        <v>4341</v>
      </c>
      <c r="AP30" s="7">
        <f t="shared" si="27"/>
        <v>49912.275207591934</v>
      </c>
      <c r="AQ30" s="7">
        <f>AP30*1000000/'a1'!AJ30</f>
        <v>7020.0007043016722</v>
      </c>
      <c r="AR30" s="7">
        <v>71805</v>
      </c>
      <c r="AS30" s="7">
        <f t="shared" si="45"/>
        <v>5773.8231917336398</v>
      </c>
      <c r="AT30" s="7">
        <v>7978</v>
      </c>
      <c r="AU30" s="148">
        <v>-17</v>
      </c>
      <c r="AV30" s="7">
        <f t="shared" si="46"/>
        <v>7961</v>
      </c>
      <c r="AW30" s="7">
        <f t="shared" si="28"/>
        <v>73992.176808266362</v>
      </c>
      <c r="AX30" s="7">
        <f>AW30/'a1'!AP30*1000000</f>
        <v>6998.7459388336083</v>
      </c>
      <c r="AY30" s="7">
        <v>7820</v>
      </c>
      <c r="AZ30" s="7">
        <f t="shared" si="47"/>
        <v>745.80335731414868</v>
      </c>
      <c r="BA30" s="148">
        <v>767</v>
      </c>
      <c r="BB30" s="148">
        <v>-1</v>
      </c>
      <c r="BC30" s="7">
        <f t="shared" si="48"/>
        <v>766</v>
      </c>
      <c r="BD30" s="7">
        <f t="shared" si="29"/>
        <v>7840.1966426858517</v>
      </c>
      <c r="BE30" s="7">
        <f>BD30*1000000/'a1'!AV30</f>
        <v>7046.170711390022</v>
      </c>
      <c r="BF30" s="148">
        <v>6741</v>
      </c>
      <c r="BG30" s="7">
        <f t="shared" si="49"/>
        <v>766.49746192893406</v>
      </c>
      <c r="BH30" s="7">
        <v>560</v>
      </c>
      <c r="BI30" s="148">
        <v>-1</v>
      </c>
      <c r="BJ30" s="7">
        <f t="shared" si="50"/>
        <v>559</v>
      </c>
      <c r="BK30" s="7">
        <f t="shared" si="30"/>
        <v>6533.5025380710658</v>
      </c>
      <c r="BL30" s="7">
        <f>BK30*1000000/'a1'!BB30</f>
        <v>6507.5050553748433</v>
      </c>
      <c r="BM30" s="7">
        <v>19338</v>
      </c>
      <c r="BN30" s="7">
        <f t="shared" si="51"/>
        <v>2247.7876106194694</v>
      </c>
      <c r="BO30" s="7">
        <v>2299</v>
      </c>
      <c r="BP30" s="7">
        <v>-3</v>
      </c>
      <c r="BQ30" s="7">
        <f t="shared" si="52"/>
        <v>2296</v>
      </c>
      <c r="BR30" s="7">
        <f t="shared" si="31"/>
        <v>19386.212389380529</v>
      </c>
      <c r="BS30" s="7">
        <f>BR30/'a1'!BH30*1000000</f>
        <v>7363.7021206517666</v>
      </c>
      <c r="BT30" s="7">
        <v>24375</v>
      </c>
      <c r="BU30" s="7">
        <f t="shared" si="53"/>
        <v>2170.5128205128203</v>
      </c>
      <c r="BV30" s="7">
        <v>2733</v>
      </c>
      <c r="BW30" s="7">
        <v>-3</v>
      </c>
      <c r="BX30" s="7">
        <f t="shared" si="54"/>
        <v>2730</v>
      </c>
      <c r="BY30" s="7">
        <f t="shared" si="32"/>
        <v>24934.48717948718</v>
      </c>
      <c r="BZ30" s="7">
        <f>BY30*1000000/'a1'!BN30</f>
        <v>7188.2128698862543</v>
      </c>
    </row>
    <row r="31" spans="1:78" ht="18.75" customHeight="1">
      <c r="A31" s="1">
        <v>1993</v>
      </c>
      <c r="B31" s="7">
        <v>201594</v>
      </c>
      <c r="C31" s="7">
        <f t="shared" si="33"/>
        <v>18042.502951593859</v>
      </c>
      <c r="D31" s="7">
        <v>20549</v>
      </c>
      <c r="E31" s="7">
        <v>-4</v>
      </c>
      <c r="F31" s="7">
        <f t="shared" si="34"/>
        <v>20545</v>
      </c>
      <c r="G31" s="7">
        <f t="shared" si="24"/>
        <v>204096.49704840613</v>
      </c>
      <c r="H31" s="7">
        <f>G31*1000000/'a1'!F31</f>
        <v>7115.1534329655324</v>
      </c>
      <c r="I31" s="7">
        <v>4039</v>
      </c>
      <c r="J31" s="7">
        <f t="shared" si="35"/>
        <v>441.38755980861248</v>
      </c>
      <c r="K31" s="7">
        <v>455</v>
      </c>
      <c r="L31" s="7">
        <v>0</v>
      </c>
      <c r="M31" s="7">
        <f t="shared" si="36"/>
        <v>455</v>
      </c>
      <c r="N31" s="7">
        <f t="shared" si="4"/>
        <v>4052.6124401913876</v>
      </c>
      <c r="O31" s="7">
        <f>N31*1000000/'a1'!L31</f>
        <v>6987.539920016462</v>
      </c>
      <c r="P31" s="7">
        <v>910</v>
      </c>
      <c r="Q31" s="7">
        <f t="shared" si="37"/>
        <v>101.91846522781773</v>
      </c>
      <c r="R31" s="7">
        <v>123</v>
      </c>
      <c r="S31" s="7">
        <v>0</v>
      </c>
      <c r="T31" s="7">
        <f t="shared" si="38"/>
        <v>123</v>
      </c>
      <c r="U31" s="7">
        <f t="shared" si="7"/>
        <v>931.08153477218229</v>
      </c>
      <c r="V31" s="7">
        <f>U31*1000000/'a1'!R31</f>
        <v>7044.2023557213615</v>
      </c>
      <c r="W31" s="7">
        <v>8203</v>
      </c>
      <c r="X31" s="7">
        <f t="shared" si="39"/>
        <v>612.59079903147699</v>
      </c>
      <c r="Y31" s="7">
        <v>690</v>
      </c>
      <c r="Z31" s="7">
        <v>0</v>
      </c>
      <c r="AA31" s="7">
        <f t="shared" si="40"/>
        <v>690</v>
      </c>
      <c r="AB31" s="7">
        <f t="shared" si="25"/>
        <v>8280.4092009685228</v>
      </c>
      <c r="AC31" s="7">
        <f>AB31*1000000/'a1'!X31</f>
        <v>8962.2092712812428</v>
      </c>
      <c r="AD31" s="7">
        <v>5418</v>
      </c>
      <c r="AE31" s="7">
        <f t="shared" si="41"/>
        <v>543.6081242532855</v>
      </c>
      <c r="AF31" s="7">
        <v>677</v>
      </c>
      <c r="AG31" s="7">
        <v>0</v>
      </c>
      <c r="AH31" s="7">
        <f t="shared" si="42"/>
        <v>677</v>
      </c>
      <c r="AI31" s="7">
        <f t="shared" si="26"/>
        <v>5551.3918757467145</v>
      </c>
      <c r="AJ31" s="7">
        <f>AI31*1000000/'a1'!AD31</f>
        <v>7413.5989751055204</v>
      </c>
      <c r="AK31" s="7">
        <v>49503</v>
      </c>
      <c r="AL31" s="7">
        <f t="shared" si="43"/>
        <v>4119.1588785046733</v>
      </c>
      <c r="AM31" s="7">
        <v>4648</v>
      </c>
      <c r="AN31" s="148">
        <v>-2</v>
      </c>
      <c r="AO31" s="7">
        <f t="shared" si="44"/>
        <v>4646</v>
      </c>
      <c r="AP31" s="7">
        <f t="shared" si="27"/>
        <v>50029.841121495323</v>
      </c>
      <c r="AQ31" s="7">
        <f>AP31*1000000/'a1'!AJ31</f>
        <v>6990.7891374690471</v>
      </c>
      <c r="AR31" s="7">
        <v>72067</v>
      </c>
      <c r="AS31" s="7">
        <f t="shared" si="45"/>
        <v>5994.318181818182</v>
      </c>
      <c r="AT31" s="7">
        <v>7266</v>
      </c>
      <c r="AU31" s="148">
        <v>-1</v>
      </c>
      <c r="AV31" s="7">
        <f t="shared" si="46"/>
        <v>7265</v>
      </c>
      <c r="AW31" s="7">
        <f t="shared" si="28"/>
        <v>73337.681818181823</v>
      </c>
      <c r="AX31" s="7">
        <f>AW31/'a1'!AP31*1000000</f>
        <v>6860.3761575199096</v>
      </c>
      <c r="AY31" s="7">
        <v>7836</v>
      </c>
      <c r="AZ31" s="7">
        <f t="shared" si="47"/>
        <v>767.10684273709489</v>
      </c>
      <c r="BA31" s="148">
        <v>688</v>
      </c>
      <c r="BB31" s="148">
        <v>0</v>
      </c>
      <c r="BC31" s="7">
        <f t="shared" si="48"/>
        <v>688</v>
      </c>
      <c r="BD31" s="7">
        <f t="shared" si="29"/>
        <v>7756.8931572629053</v>
      </c>
      <c r="BE31" s="7">
        <f>BD31*1000000/'a1'!AV31</f>
        <v>6940.5585425994441</v>
      </c>
      <c r="BF31" s="148">
        <v>6887</v>
      </c>
      <c r="BG31" s="7">
        <f t="shared" si="49"/>
        <v>768.84422110552771</v>
      </c>
      <c r="BH31" s="7">
        <v>637</v>
      </c>
      <c r="BI31" s="148">
        <v>0</v>
      </c>
      <c r="BJ31" s="7">
        <f t="shared" si="50"/>
        <v>637</v>
      </c>
      <c r="BK31" s="7">
        <f t="shared" si="30"/>
        <v>6755.155778894472</v>
      </c>
      <c r="BL31" s="7">
        <f>BK31*1000000/'a1'!BB31</f>
        <v>6708.8646130643283</v>
      </c>
      <c r="BM31" s="7">
        <v>18995</v>
      </c>
      <c r="BN31" s="7">
        <f t="shared" si="51"/>
        <v>2243.8423645320195</v>
      </c>
      <c r="BO31" s="7">
        <v>2143</v>
      </c>
      <c r="BP31" s="7">
        <v>0</v>
      </c>
      <c r="BQ31" s="7">
        <f t="shared" si="52"/>
        <v>2143</v>
      </c>
      <c r="BR31" s="7">
        <f t="shared" si="31"/>
        <v>18894.157635467982</v>
      </c>
      <c r="BS31" s="7">
        <f>BR31/'a1'!BH31*1000000</f>
        <v>7083.6479978449988</v>
      </c>
      <c r="BT31" s="7">
        <v>24739</v>
      </c>
      <c r="BU31" s="7">
        <f t="shared" si="53"/>
        <v>2235.8133669609083</v>
      </c>
      <c r="BV31" s="7">
        <v>2785</v>
      </c>
      <c r="BW31" s="7">
        <v>0</v>
      </c>
      <c r="BX31" s="7">
        <f t="shared" si="54"/>
        <v>2785</v>
      </c>
      <c r="BY31" s="7">
        <f t="shared" si="32"/>
        <v>25288.186633039091</v>
      </c>
      <c r="BZ31" s="7">
        <f>BY31*1000000/'a1'!BN31</f>
        <v>7087.9491831426149</v>
      </c>
    </row>
    <row r="32" spans="1:78" ht="18.75" customHeight="1">
      <c r="A32" s="1">
        <v>1994</v>
      </c>
      <c r="B32" s="7">
        <v>199137</v>
      </c>
      <c r="C32" s="7">
        <f t="shared" si="33"/>
        <v>18815.116279069767</v>
      </c>
      <c r="D32" s="7">
        <v>22071</v>
      </c>
      <c r="E32" s="7">
        <v>0</v>
      </c>
      <c r="F32" s="7">
        <f t="shared" si="34"/>
        <v>22071</v>
      </c>
      <c r="G32" s="7">
        <f t="shared" si="24"/>
        <v>202392.88372093023</v>
      </c>
      <c r="H32" s="7">
        <f>G32*1000000/'a1'!F32</f>
        <v>6978.9054036775033</v>
      </c>
      <c r="I32" s="7">
        <v>4031</v>
      </c>
      <c r="J32" s="7">
        <f t="shared" si="35"/>
        <v>454.86518171160617</v>
      </c>
      <c r="K32" s="7">
        <v>408</v>
      </c>
      <c r="L32" s="7">
        <v>0</v>
      </c>
      <c r="M32" s="7">
        <f t="shared" si="36"/>
        <v>408</v>
      </c>
      <c r="N32" s="7">
        <f t="shared" si="4"/>
        <v>3984.1348182883939</v>
      </c>
      <c r="O32" s="7">
        <f>N32*1000000/'a1'!L32</f>
        <v>6935.3709676262724</v>
      </c>
      <c r="P32" s="7">
        <v>920</v>
      </c>
      <c r="Q32" s="7">
        <f t="shared" si="37"/>
        <v>109.7708082026538</v>
      </c>
      <c r="R32" s="7">
        <v>89</v>
      </c>
      <c r="S32" s="7">
        <v>0</v>
      </c>
      <c r="T32" s="7">
        <f t="shared" si="38"/>
        <v>89</v>
      </c>
      <c r="U32" s="7">
        <f t="shared" si="7"/>
        <v>899.22919179734618</v>
      </c>
      <c r="V32" s="7">
        <f>U32*1000000/'a1'!R32</f>
        <v>6738.9793820105833</v>
      </c>
      <c r="W32" s="7">
        <v>7992</v>
      </c>
      <c r="X32" s="7">
        <f t="shared" si="39"/>
        <v>635.39192399049875</v>
      </c>
      <c r="Y32" s="7">
        <v>668</v>
      </c>
      <c r="Z32" s="7">
        <v>0</v>
      </c>
      <c r="AA32" s="7">
        <f t="shared" si="40"/>
        <v>668</v>
      </c>
      <c r="AB32" s="7">
        <f t="shared" si="25"/>
        <v>8024.608076009501</v>
      </c>
      <c r="AC32" s="7">
        <f>AB32*1000000/'a1'!X32</f>
        <v>8657.7399400882132</v>
      </c>
      <c r="AD32" s="7">
        <v>5399</v>
      </c>
      <c r="AE32" s="7">
        <f t="shared" si="41"/>
        <v>565.6213704994193</v>
      </c>
      <c r="AF32" s="7">
        <v>646</v>
      </c>
      <c r="AG32" s="7">
        <v>0</v>
      </c>
      <c r="AH32" s="7">
        <f t="shared" si="42"/>
        <v>646</v>
      </c>
      <c r="AI32" s="7">
        <f t="shared" si="26"/>
        <v>5479.3786295005812</v>
      </c>
      <c r="AJ32" s="7">
        <f>AI32*1000000/'a1'!AD32</f>
        <v>7304.0365103282265</v>
      </c>
      <c r="AK32" s="7">
        <v>49064</v>
      </c>
      <c r="AL32" s="7">
        <f t="shared" si="43"/>
        <v>4308.4004602991936</v>
      </c>
      <c r="AM32" s="7">
        <v>4934</v>
      </c>
      <c r="AN32" s="148">
        <v>0</v>
      </c>
      <c r="AO32" s="7">
        <f t="shared" si="44"/>
        <v>4934</v>
      </c>
      <c r="AP32" s="7">
        <f t="shared" si="27"/>
        <v>49689.599539700808</v>
      </c>
      <c r="AQ32" s="7">
        <f>AP32*1000000/'a1'!AJ32</f>
        <v>6908.6228260152839</v>
      </c>
      <c r="AR32" s="7">
        <v>71871</v>
      </c>
      <c r="AS32" s="7">
        <f t="shared" si="45"/>
        <v>6363.9455782312925</v>
      </c>
      <c r="AT32" s="7">
        <v>8243</v>
      </c>
      <c r="AU32" s="148">
        <v>0</v>
      </c>
      <c r="AV32" s="7">
        <f t="shared" si="46"/>
        <v>8243</v>
      </c>
      <c r="AW32" s="7">
        <f t="shared" si="28"/>
        <v>73750.054421768698</v>
      </c>
      <c r="AX32" s="7">
        <f>AW32/'a1'!AP32*1000000</f>
        <v>6816.6243825315514</v>
      </c>
      <c r="AY32" s="7">
        <v>7579</v>
      </c>
      <c r="AZ32" s="7">
        <f t="shared" si="47"/>
        <v>788.48413631022333</v>
      </c>
      <c r="BA32" s="148">
        <v>799</v>
      </c>
      <c r="BB32" s="148">
        <v>0</v>
      </c>
      <c r="BC32" s="7">
        <f t="shared" si="48"/>
        <v>799</v>
      </c>
      <c r="BD32" s="7">
        <f t="shared" si="29"/>
        <v>7589.5158636897768</v>
      </c>
      <c r="BE32" s="7">
        <f>BD32*1000000/'a1'!AV32</f>
        <v>6756.8671275604966</v>
      </c>
      <c r="BF32" s="148">
        <v>6625</v>
      </c>
      <c r="BG32" s="7">
        <f t="shared" si="49"/>
        <v>772.22898903775888</v>
      </c>
      <c r="BH32" s="7">
        <v>651</v>
      </c>
      <c r="BI32" s="148">
        <v>0</v>
      </c>
      <c r="BJ32" s="7">
        <f t="shared" si="50"/>
        <v>651</v>
      </c>
      <c r="BK32" s="7">
        <f t="shared" si="30"/>
        <v>6503.7710109622412</v>
      </c>
      <c r="BL32" s="7">
        <f>BK32*1000000/'a1'!BB32</f>
        <v>6442.0880181880902</v>
      </c>
      <c r="BM32" s="7">
        <v>17916</v>
      </c>
      <c r="BN32" s="7">
        <f t="shared" si="51"/>
        <v>2287.4396135265702</v>
      </c>
      <c r="BO32" s="7">
        <v>1906</v>
      </c>
      <c r="BP32" s="7">
        <v>0</v>
      </c>
      <c r="BQ32" s="7">
        <f t="shared" si="52"/>
        <v>1906</v>
      </c>
      <c r="BR32" s="7">
        <f t="shared" si="31"/>
        <v>17534.560386473429</v>
      </c>
      <c r="BS32" s="7">
        <f>BR32/'a1'!BH32*1000000</f>
        <v>6492.8243462665159</v>
      </c>
      <c r="BT32" s="7">
        <v>24848</v>
      </c>
      <c r="BU32" s="7">
        <f t="shared" si="53"/>
        <v>2278.985507246377</v>
      </c>
      <c r="BV32" s="7">
        <v>3317</v>
      </c>
      <c r="BW32" s="7">
        <v>0</v>
      </c>
      <c r="BX32" s="7">
        <f t="shared" si="54"/>
        <v>3317</v>
      </c>
      <c r="BY32" s="7">
        <f t="shared" si="32"/>
        <v>25886.014492753624</v>
      </c>
      <c r="BZ32" s="7">
        <f>BY32*1000000/'a1'!BN32</f>
        <v>7041.7536347200812</v>
      </c>
    </row>
    <row r="33" spans="1:78" ht="18.75" customHeight="1">
      <c r="A33" s="1">
        <v>1995</v>
      </c>
      <c r="B33" s="7">
        <v>198073</v>
      </c>
      <c r="C33" s="7">
        <f t="shared" si="33"/>
        <v>19544.827586206895</v>
      </c>
      <c r="D33" s="7">
        <v>21510</v>
      </c>
      <c r="E33" s="7">
        <v>36</v>
      </c>
      <c r="F33" s="7">
        <f t="shared" si="34"/>
        <v>21546</v>
      </c>
      <c r="G33" s="7">
        <f t="shared" si="24"/>
        <v>200074.1724137931</v>
      </c>
      <c r="H33" s="7">
        <f>G33*1000000/'a1'!F33</f>
        <v>6827.9315038937748</v>
      </c>
      <c r="I33" s="7">
        <v>3938</v>
      </c>
      <c r="J33" s="7">
        <f t="shared" si="35"/>
        <v>463.41463414634154</v>
      </c>
      <c r="K33" s="7">
        <v>335</v>
      </c>
      <c r="L33" s="7">
        <v>0</v>
      </c>
      <c r="M33" s="7">
        <f t="shared" si="36"/>
        <v>335</v>
      </c>
      <c r="N33" s="7">
        <f t="shared" si="4"/>
        <v>3809.5853658536585</v>
      </c>
      <c r="O33" s="7">
        <f>N33*1000000/'a1'!L33</f>
        <v>6714.1443572201806</v>
      </c>
      <c r="P33" s="7">
        <v>952</v>
      </c>
      <c r="Q33" s="7">
        <f t="shared" si="37"/>
        <v>115.66265060240963</v>
      </c>
      <c r="R33" s="7">
        <v>79</v>
      </c>
      <c r="S33" s="7">
        <v>1</v>
      </c>
      <c r="T33" s="7">
        <f t="shared" si="38"/>
        <v>80</v>
      </c>
      <c r="U33" s="7">
        <f t="shared" si="7"/>
        <v>916.3373493975904</v>
      </c>
      <c r="V33" s="7">
        <f>U33*1000000/'a1'!R33</f>
        <v>6817.2253795900042</v>
      </c>
      <c r="W33" s="7">
        <v>7943</v>
      </c>
      <c r="X33" s="7">
        <f t="shared" si="39"/>
        <v>656.47058823529414</v>
      </c>
      <c r="Y33" s="7">
        <v>659</v>
      </c>
      <c r="Z33" s="7">
        <v>1</v>
      </c>
      <c r="AA33" s="7">
        <f t="shared" si="40"/>
        <v>660</v>
      </c>
      <c r="AB33" s="7">
        <f t="shared" si="25"/>
        <v>7946.5294117647063</v>
      </c>
      <c r="AC33" s="7">
        <f>AB33*1000000/'a1'!X33</f>
        <v>8561.9633363839876</v>
      </c>
      <c r="AD33" s="7">
        <v>5270</v>
      </c>
      <c r="AE33" s="7">
        <f t="shared" si="41"/>
        <v>586.95652173913038</v>
      </c>
      <c r="AF33" s="7">
        <v>711</v>
      </c>
      <c r="AG33" s="7">
        <v>1</v>
      </c>
      <c r="AH33" s="7">
        <f t="shared" si="42"/>
        <v>712</v>
      </c>
      <c r="AI33" s="7">
        <f t="shared" si="26"/>
        <v>5395.04347826087</v>
      </c>
      <c r="AJ33" s="7">
        <f>AI33*1000000/'a1'!AD33</f>
        <v>7184.3581713403946</v>
      </c>
      <c r="AK33" s="7">
        <v>48207</v>
      </c>
      <c r="AL33" s="7">
        <f t="shared" si="43"/>
        <v>4498.8636363636369</v>
      </c>
      <c r="AM33" s="7">
        <v>4817</v>
      </c>
      <c r="AN33" s="148">
        <v>12</v>
      </c>
      <c r="AO33" s="7">
        <f t="shared" si="44"/>
        <v>4829</v>
      </c>
      <c r="AP33" s="7">
        <f t="shared" si="27"/>
        <v>48537.13636363636</v>
      </c>
      <c r="AQ33" s="7">
        <f>AP33*1000000/'a1'!AJ33</f>
        <v>6723.3223377260556</v>
      </c>
      <c r="AR33" s="7">
        <v>72112</v>
      </c>
      <c r="AS33" s="7">
        <f t="shared" si="45"/>
        <v>6693.0917327293319</v>
      </c>
      <c r="AT33" s="7">
        <v>8635</v>
      </c>
      <c r="AU33" s="148">
        <v>12</v>
      </c>
      <c r="AV33" s="7">
        <f t="shared" si="46"/>
        <v>8647</v>
      </c>
      <c r="AW33" s="7">
        <f t="shared" si="28"/>
        <v>74065.908267270672</v>
      </c>
      <c r="AX33" s="7">
        <f>AW33/'a1'!AP33*1000000</f>
        <v>6763.9363798028744</v>
      </c>
      <c r="AY33" s="7">
        <v>7650</v>
      </c>
      <c r="AZ33" s="7">
        <f t="shared" si="47"/>
        <v>809.24855491329492</v>
      </c>
      <c r="BA33" s="148">
        <v>742</v>
      </c>
      <c r="BB33" s="148">
        <v>1</v>
      </c>
      <c r="BC33" s="7">
        <f t="shared" si="48"/>
        <v>743</v>
      </c>
      <c r="BD33" s="7">
        <f t="shared" si="29"/>
        <v>7583.7514450867047</v>
      </c>
      <c r="BE33" s="7">
        <f>BD33*1000000/'a1'!AV33</f>
        <v>6716.3365762624144</v>
      </c>
      <c r="BF33" s="148">
        <v>6725</v>
      </c>
      <c r="BG33" s="7">
        <f t="shared" si="49"/>
        <v>778.30750893921333</v>
      </c>
      <c r="BH33" s="7">
        <v>461</v>
      </c>
      <c r="BI33" s="148">
        <v>1</v>
      </c>
      <c r="BJ33" s="7">
        <f t="shared" si="50"/>
        <v>462</v>
      </c>
      <c r="BK33" s="7">
        <f t="shared" si="30"/>
        <v>6408.6924910607868</v>
      </c>
      <c r="BL33" s="7">
        <f>BK33*1000000/'a1'!BB33</f>
        <v>6319.0442108415773</v>
      </c>
      <c r="BM33" s="7">
        <v>18014</v>
      </c>
      <c r="BN33" s="7">
        <f t="shared" si="51"/>
        <v>2369.2493946731238</v>
      </c>
      <c r="BO33" s="7">
        <v>1615</v>
      </c>
      <c r="BP33" s="7">
        <v>2</v>
      </c>
      <c r="BQ33" s="7">
        <f t="shared" si="52"/>
        <v>1617</v>
      </c>
      <c r="BR33" s="7">
        <f t="shared" si="31"/>
        <v>17261.750605326877</v>
      </c>
      <c r="BS33" s="7">
        <f>BR33/'a1'!BH33*1000000</f>
        <v>6312.5363566049009</v>
      </c>
      <c r="BT33" s="7">
        <v>24460</v>
      </c>
      <c r="BU33" s="7">
        <f t="shared" si="53"/>
        <v>2326.7670915411359</v>
      </c>
      <c r="BV33" s="7">
        <v>3017</v>
      </c>
      <c r="BW33" s="7">
        <v>2</v>
      </c>
      <c r="BX33" s="7">
        <f t="shared" si="54"/>
        <v>3019</v>
      </c>
      <c r="BY33" s="7">
        <f t="shared" si="32"/>
        <v>25152.232908458864</v>
      </c>
      <c r="BZ33" s="7">
        <f>BY33*1000000/'a1'!BN33</f>
        <v>6658.6274937083181</v>
      </c>
    </row>
    <row r="34" spans="1:78" ht="18.75" customHeight="1">
      <c r="A34" s="1">
        <v>1996</v>
      </c>
      <c r="B34" s="7">
        <v>195769</v>
      </c>
      <c r="C34" s="7">
        <f t="shared" si="33"/>
        <v>19978.235967926692</v>
      </c>
      <c r="D34" s="7">
        <v>20918</v>
      </c>
      <c r="E34" s="7">
        <v>-2</v>
      </c>
      <c r="F34" s="7">
        <f t="shared" si="34"/>
        <v>20916</v>
      </c>
      <c r="G34" s="7">
        <f t="shared" si="24"/>
        <v>196706.76403207332</v>
      </c>
      <c r="H34" s="7">
        <f>G34*1000000/'a1'!F34</f>
        <v>6643.2055323629611</v>
      </c>
      <c r="I34" s="7">
        <v>3843</v>
      </c>
      <c r="J34" s="7">
        <f t="shared" si="35"/>
        <v>470.31431897555296</v>
      </c>
      <c r="K34" s="7">
        <v>275</v>
      </c>
      <c r="L34" s="7">
        <v>0</v>
      </c>
      <c r="M34" s="7">
        <f t="shared" si="36"/>
        <v>275</v>
      </c>
      <c r="N34" s="7">
        <f t="shared" si="4"/>
        <v>3647.6856810244471</v>
      </c>
      <c r="O34" s="7">
        <f>N34*1000000/'a1'!L34</f>
        <v>6517.2390843355652</v>
      </c>
      <c r="P34" s="7">
        <v>1005</v>
      </c>
      <c r="Q34" s="7">
        <f t="shared" si="37"/>
        <v>119.85472154963681</v>
      </c>
      <c r="R34" s="7">
        <v>82</v>
      </c>
      <c r="S34" s="7">
        <v>0</v>
      </c>
      <c r="T34" s="7">
        <f t="shared" si="38"/>
        <v>82</v>
      </c>
      <c r="U34" s="7">
        <f t="shared" si="7"/>
        <v>967.14527845036321</v>
      </c>
      <c r="V34" s="7">
        <f>U34*1000000/'a1'!R34</f>
        <v>7125.1411070700187</v>
      </c>
      <c r="W34" s="7">
        <v>7607</v>
      </c>
      <c r="X34" s="7">
        <f t="shared" si="39"/>
        <v>665.49707602339186</v>
      </c>
      <c r="Y34" s="7">
        <v>514</v>
      </c>
      <c r="Z34" s="7">
        <v>0</v>
      </c>
      <c r="AA34" s="7">
        <f t="shared" si="40"/>
        <v>514</v>
      </c>
      <c r="AB34" s="7">
        <f t="shared" si="25"/>
        <v>7455.5029239766081</v>
      </c>
      <c r="AC34" s="7">
        <f>AB34*1000000/'a1'!X34</f>
        <v>8005.247269730834</v>
      </c>
      <c r="AD34" s="7">
        <v>5135</v>
      </c>
      <c r="AE34" s="7">
        <f t="shared" si="41"/>
        <v>585.74610244988867</v>
      </c>
      <c r="AF34" s="7">
        <v>705</v>
      </c>
      <c r="AG34" s="7">
        <v>0</v>
      </c>
      <c r="AH34" s="7">
        <f t="shared" si="42"/>
        <v>705</v>
      </c>
      <c r="AI34" s="7">
        <f t="shared" si="26"/>
        <v>5254.2538975501111</v>
      </c>
      <c r="AJ34" s="7">
        <f>AI34*1000000/'a1'!AD34</f>
        <v>6984.5505824388529</v>
      </c>
      <c r="AK34" s="7">
        <v>47982</v>
      </c>
      <c r="AL34" s="7">
        <f t="shared" si="43"/>
        <v>4676.6055045871562</v>
      </c>
      <c r="AM34" s="7">
        <v>4863</v>
      </c>
      <c r="AN34" s="148">
        <v>-1</v>
      </c>
      <c r="AO34" s="7">
        <f t="shared" si="44"/>
        <v>4862</v>
      </c>
      <c r="AP34" s="7">
        <f t="shared" si="27"/>
        <v>48167.394495412846</v>
      </c>
      <c r="AQ34" s="7">
        <f>AP34*1000000/'a1'!AJ34</f>
        <v>6646.6233058663374</v>
      </c>
      <c r="AR34" s="7">
        <v>69918</v>
      </c>
      <c r="AS34" s="7">
        <f t="shared" si="45"/>
        <v>6824.1262683201794</v>
      </c>
      <c r="AT34" s="7">
        <v>8038</v>
      </c>
      <c r="AU34" s="148">
        <v>-1</v>
      </c>
      <c r="AV34" s="7">
        <f t="shared" si="46"/>
        <v>8037</v>
      </c>
      <c r="AW34" s="7">
        <f t="shared" si="28"/>
        <v>71130.873731679822</v>
      </c>
      <c r="AX34" s="7">
        <f>AW34/'a1'!AP34*1000000</f>
        <v>6418.0723887667182</v>
      </c>
      <c r="AY34" s="7">
        <v>7670</v>
      </c>
      <c r="AZ34" s="7">
        <f t="shared" si="47"/>
        <v>818.07780320366135</v>
      </c>
      <c r="BA34" s="148">
        <v>673</v>
      </c>
      <c r="BB34" s="148">
        <v>0</v>
      </c>
      <c r="BC34" s="7">
        <f t="shared" si="48"/>
        <v>673</v>
      </c>
      <c r="BD34" s="7">
        <f t="shared" si="29"/>
        <v>7524.9221967963385</v>
      </c>
      <c r="BE34" s="7">
        <f>BD34*1000000/'a1'!AV34</f>
        <v>6634.5871408436797</v>
      </c>
      <c r="BF34" s="148">
        <v>6771</v>
      </c>
      <c r="BG34" s="7">
        <f t="shared" si="49"/>
        <v>774.11764705882354</v>
      </c>
      <c r="BH34" s="7">
        <v>497</v>
      </c>
      <c r="BI34" s="148">
        <v>0</v>
      </c>
      <c r="BJ34" s="7">
        <f t="shared" si="50"/>
        <v>497</v>
      </c>
      <c r="BK34" s="7">
        <f t="shared" si="30"/>
        <v>6493.8823529411766</v>
      </c>
      <c r="BL34" s="7">
        <f>BK34*1000000/'a1'!BB34</f>
        <v>6373.1431558535314</v>
      </c>
      <c r="BM34" s="7">
        <v>18026</v>
      </c>
      <c r="BN34" s="7">
        <f t="shared" si="51"/>
        <v>2368.7350835322195</v>
      </c>
      <c r="BO34" s="7">
        <v>1653</v>
      </c>
      <c r="BP34" s="7">
        <v>0</v>
      </c>
      <c r="BQ34" s="7">
        <f t="shared" si="52"/>
        <v>1653</v>
      </c>
      <c r="BR34" s="7">
        <f t="shared" si="31"/>
        <v>17310.264916467779</v>
      </c>
      <c r="BS34" s="7">
        <f>BR34/'a1'!BH34*1000000</f>
        <v>6237.634346342239</v>
      </c>
      <c r="BT34" s="7">
        <v>25103</v>
      </c>
      <c r="BU34" s="7">
        <f t="shared" si="53"/>
        <v>2398.1693363844392</v>
      </c>
      <c r="BV34" s="7">
        <v>3276</v>
      </c>
      <c r="BW34" s="7">
        <v>0</v>
      </c>
      <c r="BX34" s="7">
        <f t="shared" si="54"/>
        <v>3276</v>
      </c>
      <c r="BY34" s="7">
        <f t="shared" si="32"/>
        <v>25980.830663615561</v>
      </c>
      <c r="BZ34" s="7">
        <f>BY34*1000000/'a1'!BN34</f>
        <v>6705.9124649881678</v>
      </c>
    </row>
    <row r="35" spans="1:78" ht="18.75" customHeight="1">
      <c r="A35" s="1">
        <v>1997</v>
      </c>
      <c r="B35" s="7">
        <v>193776</v>
      </c>
      <c r="C35" s="7">
        <f t="shared" si="33"/>
        <v>20451.977401129945</v>
      </c>
      <c r="D35" s="7">
        <v>20295</v>
      </c>
      <c r="E35" s="7">
        <v>6</v>
      </c>
      <c r="F35" s="7">
        <f t="shared" si="34"/>
        <v>20301</v>
      </c>
      <c r="G35" s="7">
        <f t="shared" si="24"/>
        <v>193625.02259887004</v>
      </c>
      <c r="H35" s="7">
        <f>G35*1000000/'a1'!F35</f>
        <v>6474.4653003098256</v>
      </c>
      <c r="I35" s="7">
        <v>3763</v>
      </c>
      <c r="J35" s="7">
        <f t="shared" si="35"/>
        <v>475.75057736720555</v>
      </c>
      <c r="K35" s="7">
        <v>266</v>
      </c>
      <c r="L35" s="7">
        <v>0</v>
      </c>
      <c r="M35" s="7">
        <f t="shared" si="36"/>
        <v>266</v>
      </c>
      <c r="N35" s="7">
        <f t="shared" si="4"/>
        <v>3553.2494226327944</v>
      </c>
      <c r="O35" s="7">
        <f>N35*1000000/'a1'!L35</f>
        <v>6449.7703306573922</v>
      </c>
      <c r="P35" s="7">
        <v>996</v>
      </c>
      <c r="Q35" s="7">
        <f t="shared" si="37"/>
        <v>116.52794292508919</v>
      </c>
      <c r="R35" s="7">
        <v>117</v>
      </c>
      <c r="S35" s="7">
        <v>0</v>
      </c>
      <c r="T35" s="7">
        <f t="shared" si="38"/>
        <v>117</v>
      </c>
      <c r="U35" s="7">
        <f t="shared" si="7"/>
        <v>996.47205707491082</v>
      </c>
      <c r="V35" s="7">
        <f>U35*1000000/'a1'!R35</f>
        <v>7321.8858670407499</v>
      </c>
      <c r="W35" s="7">
        <v>7431</v>
      </c>
      <c r="X35" s="7">
        <f t="shared" si="39"/>
        <v>666.28308400460298</v>
      </c>
      <c r="Y35" s="7">
        <v>515</v>
      </c>
      <c r="Z35" s="7">
        <v>0</v>
      </c>
      <c r="AA35" s="7">
        <f t="shared" si="40"/>
        <v>515</v>
      </c>
      <c r="AB35" s="7">
        <f t="shared" si="25"/>
        <v>7279.7169159953974</v>
      </c>
      <c r="AC35" s="7">
        <f>AB35*1000000/'a1'!X35</f>
        <v>7807.4874528319306</v>
      </c>
      <c r="AD35" s="7">
        <v>5206</v>
      </c>
      <c r="AE35" s="7">
        <f t="shared" si="41"/>
        <v>619.47904869762181</v>
      </c>
      <c r="AF35" s="7">
        <v>628</v>
      </c>
      <c r="AG35" s="7">
        <v>0</v>
      </c>
      <c r="AH35" s="7">
        <f t="shared" si="42"/>
        <v>628</v>
      </c>
      <c r="AI35" s="7">
        <f t="shared" si="26"/>
        <v>5214.5209513023783</v>
      </c>
      <c r="AJ35" s="7">
        <f>AI35*1000000/'a1'!AD35</f>
        <v>6929.4946536361313</v>
      </c>
      <c r="AK35" s="7">
        <v>46389</v>
      </c>
      <c r="AL35" s="7">
        <f t="shared" si="43"/>
        <v>4818.5941043083903</v>
      </c>
      <c r="AM35" s="7">
        <v>4791</v>
      </c>
      <c r="AN35" s="148">
        <v>2</v>
      </c>
      <c r="AO35" s="7">
        <f t="shared" si="44"/>
        <v>4793</v>
      </c>
      <c r="AP35" s="7">
        <f t="shared" si="27"/>
        <v>46363.405895691612</v>
      </c>
      <c r="AQ35" s="7">
        <f>AP35*1000000/'a1'!AJ35</f>
        <v>6373.3175417478151</v>
      </c>
      <c r="AR35" s="7">
        <v>69949</v>
      </c>
      <c r="AS35" s="7">
        <f t="shared" si="45"/>
        <v>7007.7951002227182</v>
      </c>
      <c r="AT35" s="7">
        <v>7975</v>
      </c>
      <c r="AU35" s="148">
        <v>4</v>
      </c>
      <c r="AV35" s="7">
        <f t="shared" si="46"/>
        <v>7979</v>
      </c>
      <c r="AW35" s="7">
        <f t="shared" si="28"/>
        <v>70920.20489977728</v>
      </c>
      <c r="AX35" s="7">
        <f>AW35/'a1'!AP35*1000000</f>
        <v>6316.5665640815951</v>
      </c>
      <c r="AY35" s="7">
        <v>7646</v>
      </c>
      <c r="AZ35" s="7">
        <f t="shared" si="47"/>
        <v>842.10526315789468</v>
      </c>
      <c r="BA35" s="148">
        <v>601</v>
      </c>
      <c r="BB35" s="148">
        <v>0</v>
      </c>
      <c r="BC35" s="7">
        <f t="shared" si="48"/>
        <v>601</v>
      </c>
      <c r="BD35" s="7">
        <f t="shared" si="29"/>
        <v>7404.894736842105</v>
      </c>
      <c r="BE35" s="7">
        <f>BD35*1000000/'a1'!AV35</f>
        <v>6517.6588701643695</v>
      </c>
      <c r="BF35" s="148">
        <v>6698</v>
      </c>
      <c r="BG35" s="7">
        <f t="shared" si="49"/>
        <v>778.66972477064223</v>
      </c>
      <c r="BH35" s="7">
        <v>570</v>
      </c>
      <c r="BI35" s="148">
        <v>0</v>
      </c>
      <c r="BJ35" s="7">
        <f t="shared" si="50"/>
        <v>570</v>
      </c>
      <c r="BK35" s="7">
        <f t="shared" si="30"/>
        <v>6489.3302752293575</v>
      </c>
      <c r="BL35" s="7">
        <f>BK35*1000000/'a1'!BB35</f>
        <v>6375.2014194189205</v>
      </c>
      <c r="BM35" s="7">
        <v>18011</v>
      </c>
      <c r="BN35" s="7">
        <f t="shared" si="51"/>
        <v>2359.212050984936</v>
      </c>
      <c r="BO35" s="7">
        <v>1660</v>
      </c>
      <c r="BP35" s="7">
        <v>0</v>
      </c>
      <c r="BQ35" s="7">
        <f t="shared" si="52"/>
        <v>1660</v>
      </c>
      <c r="BR35" s="7">
        <f t="shared" si="31"/>
        <v>17311.787949015066</v>
      </c>
      <c r="BS35" s="7">
        <f>BR35/'a1'!BH35*1000000</f>
        <v>6117.5681340535129</v>
      </c>
      <c r="BT35" s="7">
        <v>24997</v>
      </c>
      <c r="BU35" s="7">
        <f t="shared" si="53"/>
        <v>2474.6906636670415</v>
      </c>
      <c r="BV35" s="7">
        <v>2843</v>
      </c>
      <c r="BW35" s="7">
        <v>0</v>
      </c>
      <c r="BX35" s="7">
        <f t="shared" si="54"/>
        <v>2843</v>
      </c>
      <c r="BY35" s="7">
        <f t="shared" si="32"/>
        <v>25365.309336332957</v>
      </c>
      <c r="BZ35" s="7">
        <f>BY35*1000000/'a1'!BN35</f>
        <v>6423.9017734546696</v>
      </c>
    </row>
    <row r="36" spans="1:78" ht="18.75" customHeight="1">
      <c r="A36" s="1">
        <v>1998</v>
      </c>
      <c r="B36" s="7">
        <v>200032</v>
      </c>
      <c r="C36" s="7">
        <f t="shared" si="33"/>
        <v>20836.871508379889</v>
      </c>
      <c r="D36" s="7">
        <v>20213</v>
      </c>
      <c r="E36" s="7">
        <v>-30</v>
      </c>
      <c r="F36" s="7">
        <f t="shared" si="34"/>
        <v>20183</v>
      </c>
      <c r="G36" s="7">
        <f t="shared" si="24"/>
        <v>199378.12849162013</v>
      </c>
      <c r="H36" s="7">
        <f>G36*1000000/'a1'!F36</f>
        <v>6611.7388380302154</v>
      </c>
      <c r="I36" s="7">
        <v>4068</v>
      </c>
      <c r="J36" s="7">
        <f t="shared" si="35"/>
        <v>483.27566320645906</v>
      </c>
      <c r="K36" s="7">
        <v>365</v>
      </c>
      <c r="L36" s="7">
        <v>0</v>
      </c>
      <c r="M36" s="7">
        <f t="shared" si="36"/>
        <v>365</v>
      </c>
      <c r="N36" s="7">
        <f t="shared" si="4"/>
        <v>3949.7243367935407</v>
      </c>
      <c r="O36" s="7">
        <f>N36*1000000/'a1'!L36</f>
        <v>7316.4315121128557</v>
      </c>
      <c r="P36" s="7">
        <v>1068</v>
      </c>
      <c r="Q36" s="7">
        <f t="shared" si="37"/>
        <v>118.80046136101498</v>
      </c>
      <c r="R36" s="7">
        <v>112</v>
      </c>
      <c r="S36" s="7">
        <v>-1</v>
      </c>
      <c r="T36" s="7">
        <f t="shared" si="38"/>
        <v>111</v>
      </c>
      <c r="U36" s="7">
        <f t="shared" si="7"/>
        <v>1060.1995386389849</v>
      </c>
      <c r="V36" s="7">
        <f>U36*1000000/'a1'!R36</f>
        <v>7806.8358711008877</v>
      </c>
      <c r="W36" s="7">
        <v>7653</v>
      </c>
      <c r="X36" s="7">
        <f t="shared" si="39"/>
        <v>671.6077537058153</v>
      </c>
      <c r="Y36" s="7">
        <v>412</v>
      </c>
      <c r="Z36" s="7">
        <v>-1</v>
      </c>
      <c r="AA36" s="7">
        <f t="shared" si="40"/>
        <v>411</v>
      </c>
      <c r="AB36" s="7">
        <f t="shared" si="25"/>
        <v>7392.3922462941846</v>
      </c>
      <c r="AC36" s="7">
        <f>AB36*1000000/'a1'!X36</f>
        <v>7933.1472987673633</v>
      </c>
      <c r="AD36" s="7">
        <v>5582</v>
      </c>
      <c r="AE36" s="7">
        <f t="shared" si="41"/>
        <v>631.4606741573034</v>
      </c>
      <c r="AF36" s="7">
        <v>615</v>
      </c>
      <c r="AG36" s="7">
        <v>-1</v>
      </c>
      <c r="AH36" s="7">
        <f t="shared" si="42"/>
        <v>614</v>
      </c>
      <c r="AI36" s="7">
        <f t="shared" si="26"/>
        <v>5564.5393258426966</v>
      </c>
      <c r="AJ36" s="7">
        <f>AI36*1000000/'a1'!AD36</f>
        <v>7414.1464376409949</v>
      </c>
      <c r="AK36" s="7">
        <v>47076</v>
      </c>
      <c r="AL36" s="7">
        <f t="shared" si="43"/>
        <v>4962.6696832579182</v>
      </c>
      <c r="AM36" s="7">
        <v>5067</v>
      </c>
      <c r="AN36" s="148">
        <v>-11</v>
      </c>
      <c r="AO36" s="7">
        <f t="shared" si="44"/>
        <v>5056</v>
      </c>
      <c r="AP36" s="7">
        <f t="shared" si="27"/>
        <v>47169.330316742082</v>
      </c>
      <c r="AQ36" s="7">
        <f>AP36*1000000/'a1'!AJ36</f>
        <v>6465.1522137658958</v>
      </c>
      <c r="AR36" s="7">
        <v>72038</v>
      </c>
      <c r="AS36" s="7">
        <f t="shared" si="45"/>
        <v>7130.4824561403511</v>
      </c>
      <c r="AT36" s="7">
        <v>7556</v>
      </c>
      <c r="AU36" s="148">
        <v>-9</v>
      </c>
      <c r="AV36" s="7">
        <f t="shared" si="46"/>
        <v>7547</v>
      </c>
      <c r="AW36" s="7">
        <f t="shared" si="28"/>
        <v>72454.517543859649</v>
      </c>
      <c r="AX36" s="7">
        <f>AW36/'a1'!AP36*1000000</f>
        <v>6374.7271372379237</v>
      </c>
      <c r="AY36" s="7">
        <v>7658</v>
      </c>
      <c r="AZ36" s="7">
        <f t="shared" si="47"/>
        <v>845.89426321709777</v>
      </c>
      <c r="BA36" s="148">
        <v>627</v>
      </c>
      <c r="BB36" s="148">
        <v>-1</v>
      </c>
      <c r="BC36" s="7">
        <f t="shared" si="48"/>
        <v>626</v>
      </c>
      <c r="BD36" s="7">
        <f t="shared" si="29"/>
        <v>7438.1057367829026</v>
      </c>
      <c r="BE36" s="7">
        <f>BD36*1000000/'a1'!AV36</f>
        <v>6539.0572891543588</v>
      </c>
      <c r="BF36" s="148">
        <v>7005</v>
      </c>
      <c r="BG36" s="7">
        <f t="shared" si="49"/>
        <v>780.652418447694</v>
      </c>
      <c r="BH36" s="7">
        <v>639</v>
      </c>
      <c r="BI36" s="148">
        <v>-1</v>
      </c>
      <c r="BJ36" s="7">
        <f t="shared" si="50"/>
        <v>638</v>
      </c>
      <c r="BK36" s="7">
        <f t="shared" si="30"/>
        <v>6862.3475815523061</v>
      </c>
      <c r="BL36" s="7">
        <f>BK36*1000000/'a1'!BB36</f>
        <v>6745.4356901702749</v>
      </c>
      <c r="BM36" s="7">
        <v>19335</v>
      </c>
      <c r="BN36" s="7">
        <f t="shared" si="51"/>
        <v>2377.7267508610794</v>
      </c>
      <c r="BO36" s="7">
        <v>1860</v>
      </c>
      <c r="BP36" s="7">
        <v>-2</v>
      </c>
      <c r="BQ36" s="7">
        <f t="shared" si="52"/>
        <v>1858</v>
      </c>
      <c r="BR36" s="7">
        <f t="shared" si="31"/>
        <v>18815.273249138922</v>
      </c>
      <c r="BS36" s="7">
        <f>BR36/'a1'!BH36*1000000</f>
        <v>6490.1155231163839</v>
      </c>
      <c r="BT36" s="7">
        <v>25686</v>
      </c>
      <c r="BU36" s="7">
        <f t="shared" si="53"/>
        <v>2537.6940133037692</v>
      </c>
      <c r="BV36" s="7">
        <v>2644</v>
      </c>
      <c r="BW36" s="7">
        <v>-2</v>
      </c>
      <c r="BX36" s="7">
        <f t="shared" si="54"/>
        <v>2642</v>
      </c>
      <c r="BY36" s="7">
        <f t="shared" si="32"/>
        <v>25790.305986696232</v>
      </c>
      <c r="BZ36" s="7">
        <f>BY36*1000000/'a1'!BN36</f>
        <v>6474.9119562252517</v>
      </c>
    </row>
    <row r="37" spans="1:78" ht="18.75" customHeight="1">
      <c r="A37" s="1">
        <v>1999</v>
      </c>
      <c r="B37" s="7">
        <v>204343</v>
      </c>
      <c r="C37" s="7">
        <f t="shared" si="33"/>
        <v>21138.461538461539</v>
      </c>
      <c r="D37" s="7">
        <v>23507</v>
      </c>
      <c r="E37" s="7">
        <v>-3</v>
      </c>
      <c r="F37" s="7">
        <f t="shared" si="34"/>
        <v>23504</v>
      </c>
      <c r="G37" s="7">
        <f t="shared" si="24"/>
        <v>206708.53846153847</v>
      </c>
      <c r="H37" s="7">
        <f>G37*1000000/'a1'!F37</f>
        <v>6799.3353459303817</v>
      </c>
      <c r="I37" s="7">
        <v>4131</v>
      </c>
      <c r="J37" s="7">
        <f t="shared" si="35"/>
        <v>487.0349492671927</v>
      </c>
      <c r="K37" s="7">
        <v>503</v>
      </c>
      <c r="L37" s="7">
        <v>0</v>
      </c>
      <c r="M37" s="7">
        <f t="shared" si="36"/>
        <v>503</v>
      </c>
      <c r="N37" s="7">
        <f t="shared" si="4"/>
        <v>4146.9650507328079</v>
      </c>
      <c r="O37" s="7">
        <f>N37*1000000/'a1'!L37</f>
        <v>7775.6226470580214</v>
      </c>
      <c r="P37" s="7">
        <v>1144</v>
      </c>
      <c r="Q37" s="7">
        <f t="shared" si="37"/>
        <v>121.89616252821671</v>
      </c>
      <c r="R37" s="7">
        <v>115</v>
      </c>
      <c r="S37" s="7">
        <v>0</v>
      </c>
      <c r="T37" s="7">
        <f t="shared" si="38"/>
        <v>115</v>
      </c>
      <c r="U37" s="7">
        <f t="shared" si="7"/>
        <v>1137.1038374717832</v>
      </c>
      <c r="V37" s="7">
        <f>U37*1000000/'a1'!R37</f>
        <v>8343.8178283970847</v>
      </c>
      <c r="W37" s="7">
        <v>7805</v>
      </c>
      <c r="X37" s="7">
        <f t="shared" si="39"/>
        <v>655.24861878453044</v>
      </c>
      <c r="Y37" s="7">
        <v>420</v>
      </c>
      <c r="Z37" s="7">
        <v>0</v>
      </c>
      <c r="AA37" s="7">
        <f t="shared" si="40"/>
        <v>420</v>
      </c>
      <c r="AB37" s="7">
        <f t="shared" si="25"/>
        <v>7569.7513812154693</v>
      </c>
      <c r="AC37" s="7">
        <f>AB37*1000000/'a1'!X37</f>
        <v>8106.5336107873654</v>
      </c>
      <c r="AD37" s="7">
        <v>5749</v>
      </c>
      <c r="AE37" s="7">
        <f t="shared" si="41"/>
        <v>644.66446644664461</v>
      </c>
      <c r="AF37" s="7">
        <v>773</v>
      </c>
      <c r="AG37" s="7">
        <v>0</v>
      </c>
      <c r="AH37" s="7">
        <f t="shared" si="42"/>
        <v>773</v>
      </c>
      <c r="AI37" s="7">
        <f t="shared" si="26"/>
        <v>5877.3355335533552</v>
      </c>
      <c r="AJ37" s="7">
        <f>AI37*1000000/'a1'!AD37</f>
        <v>7830.1727996010595</v>
      </c>
      <c r="AK37" s="7">
        <v>48328</v>
      </c>
      <c r="AL37" s="7">
        <f t="shared" si="43"/>
        <v>5008.8397790055251</v>
      </c>
      <c r="AM37" s="7">
        <v>5263</v>
      </c>
      <c r="AN37" s="148">
        <v>-2</v>
      </c>
      <c r="AO37" s="7">
        <f t="shared" si="44"/>
        <v>5261</v>
      </c>
      <c r="AP37" s="7">
        <f t="shared" si="27"/>
        <v>48580.160220994476</v>
      </c>
      <c r="AQ37" s="7">
        <f>AP37*1000000/'a1'!AJ37</f>
        <v>6633.6886247218754</v>
      </c>
      <c r="AR37" s="7">
        <v>73775</v>
      </c>
      <c r="AS37" s="7">
        <f t="shared" si="45"/>
        <v>7300.6535947712418</v>
      </c>
      <c r="AT37" s="7">
        <v>9172</v>
      </c>
      <c r="AU37" s="148">
        <v>-1</v>
      </c>
      <c r="AV37" s="7">
        <f t="shared" si="46"/>
        <v>9171</v>
      </c>
      <c r="AW37" s="7">
        <f t="shared" si="28"/>
        <v>75645.34640522876</v>
      </c>
      <c r="AX37" s="7">
        <f>AW37/'a1'!AP37*1000000</f>
        <v>6575.1352466599919</v>
      </c>
      <c r="AY37" s="7">
        <v>8079</v>
      </c>
      <c r="AZ37" s="7">
        <f t="shared" si="47"/>
        <v>845.47461368653421</v>
      </c>
      <c r="BA37" s="148">
        <v>805</v>
      </c>
      <c r="BB37" s="148">
        <v>0</v>
      </c>
      <c r="BC37" s="7">
        <f t="shared" si="48"/>
        <v>805</v>
      </c>
      <c r="BD37" s="7">
        <f t="shared" si="29"/>
        <v>8038.5253863134658</v>
      </c>
      <c r="BE37" s="7">
        <f>BD37*1000000/'a1'!AV37</f>
        <v>7036.2286828927581</v>
      </c>
      <c r="BF37" s="148">
        <v>6978</v>
      </c>
      <c r="BG37" s="7">
        <f t="shared" si="49"/>
        <v>784.46389496717723</v>
      </c>
      <c r="BH37" s="7">
        <v>689</v>
      </c>
      <c r="BI37" s="148">
        <v>0</v>
      </c>
      <c r="BJ37" s="7">
        <f t="shared" si="50"/>
        <v>689</v>
      </c>
      <c r="BK37" s="7">
        <f t="shared" si="30"/>
        <v>6882.5361050328229</v>
      </c>
      <c r="BL37" s="7">
        <f>BK37*1000000/'a1'!BB37</f>
        <v>6784.005213314641</v>
      </c>
      <c r="BM37" s="7">
        <v>19809</v>
      </c>
      <c r="BN37" s="7">
        <f t="shared" si="51"/>
        <v>2400.2242152466365</v>
      </c>
      <c r="BO37" s="7">
        <v>2203</v>
      </c>
      <c r="BP37" s="7">
        <v>0</v>
      </c>
      <c r="BQ37" s="7">
        <f t="shared" si="52"/>
        <v>2203</v>
      </c>
      <c r="BR37" s="7">
        <f t="shared" si="31"/>
        <v>19611.775784753365</v>
      </c>
      <c r="BS37" s="7">
        <f>BR37/'a1'!BH37*1000000</f>
        <v>6641.9984829956402</v>
      </c>
      <c r="BT37" s="7">
        <v>25565</v>
      </c>
      <c r="BU37" s="7">
        <f t="shared" si="53"/>
        <v>2600.8771929824561</v>
      </c>
      <c r="BV37" s="7">
        <v>3219</v>
      </c>
      <c r="BW37" s="7">
        <v>0</v>
      </c>
      <c r="BX37" s="7">
        <f t="shared" si="54"/>
        <v>3219</v>
      </c>
      <c r="BY37" s="7">
        <f t="shared" si="32"/>
        <v>26183.122807017542</v>
      </c>
      <c r="BZ37" s="7">
        <f>BY37*1000000/'a1'!BN37</f>
        <v>6527.2189229422693</v>
      </c>
    </row>
    <row r="38" spans="1:78" ht="18.75" customHeight="1">
      <c r="A38" s="1">
        <v>2000</v>
      </c>
      <c r="B38" s="7">
        <v>210654</v>
      </c>
      <c r="C38" s="7">
        <f t="shared" si="33"/>
        <v>21227.608008429925</v>
      </c>
      <c r="D38" s="7">
        <v>24874</v>
      </c>
      <c r="E38" s="5">
        <v>26</v>
      </c>
      <c r="F38" s="7">
        <f t="shared" si="34"/>
        <v>24900</v>
      </c>
      <c r="G38" s="7">
        <f t="shared" si="24"/>
        <v>214326.39199157007</v>
      </c>
      <c r="H38" s="7">
        <f>G38*1000000/'a1'!F38</f>
        <v>6984.5622702008413</v>
      </c>
      <c r="I38" s="7">
        <v>4201</v>
      </c>
      <c r="J38" s="7">
        <f t="shared" si="35"/>
        <v>473.62869198312234</v>
      </c>
      <c r="K38" s="7">
        <v>528</v>
      </c>
      <c r="L38" s="7">
        <v>0</v>
      </c>
      <c r="M38" s="7">
        <f t="shared" si="36"/>
        <v>528</v>
      </c>
      <c r="N38" s="7">
        <f t="shared" si="4"/>
        <v>4255.3713080168782</v>
      </c>
      <c r="O38" s="7">
        <f>N38*1000000/'a1'!L38</f>
        <v>8059.9343670177213</v>
      </c>
      <c r="P38" s="7">
        <v>1118</v>
      </c>
      <c r="Q38" s="7">
        <f t="shared" si="37"/>
        <v>118.57292759706191</v>
      </c>
      <c r="R38" s="7">
        <v>121</v>
      </c>
      <c r="S38" s="5">
        <v>1</v>
      </c>
      <c r="T38" s="7">
        <f t="shared" si="38"/>
        <v>122</v>
      </c>
      <c r="U38" s="7">
        <f t="shared" si="7"/>
        <v>1121.4270724029379</v>
      </c>
      <c r="V38" s="7">
        <f>U38*1000000/'a1'!R38</f>
        <v>8217.3889675601804</v>
      </c>
      <c r="W38" s="7">
        <v>7860</v>
      </c>
      <c r="X38" s="7">
        <f t="shared" si="39"/>
        <v>632.13530655391116</v>
      </c>
      <c r="Y38" s="7">
        <v>517</v>
      </c>
      <c r="Z38" s="5">
        <v>1</v>
      </c>
      <c r="AA38" s="7">
        <f t="shared" si="40"/>
        <v>518</v>
      </c>
      <c r="AB38" s="7">
        <f t="shared" si="25"/>
        <v>7745.8646934460885</v>
      </c>
      <c r="AC38" s="7">
        <f>AB38*1000000/'a1'!X38</f>
        <v>8294.8067064738188</v>
      </c>
      <c r="AD38" s="7">
        <v>5575</v>
      </c>
      <c r="AE38" s="7">
        <f t="shared" si="41"/>
        <v>648.53556485355648</v>
      </c>
      <c r="AF38" s="7">
        <v>741</v>
      </c>
      <c r="AG38" s="5">
        <v>1</v>
      </c>
      <c r="AH38" s="7">
        <f t="shared" si="42"/>
        <v>742</v>
      </c>
      <c r="AI38" s="7">
        <f t="shared" si="26"/>
        <v>5668.4644351464431</v>
      </c>
      <c r="AJ38" s="7">
        <f>AI38*1000000/'a1'!AD38</f>
        <v>7552.746220467282</v>
      </c>
      <c r="AK38" s="7">
        <v>49754</v>
      </c>
      <c r="AL38" s="7">
        <f t="shared" si="43"/>
        <v>4989.4957983193272</v>
      </c>
      <c r="AM38" s="7">
        <v>5381</v>
      </c>
      <c r="AN38" s="5">
        <v>9</v>
      </c>
      <c r="AO38" s="7">
        <f t="shared" si="44"/>
        <v>5390</v>
      </c>
      <c r="AP38" s="7">
        <f t="shared" si="27"/>
        <v>50154.504201680669</v>
      </c>
      <c r="AQ38" s="7">
        <f>AP38*1000000/'a1'!AJ38</f>
        <v>6817.2948551214586</v>
      </c>
      <c r="AR38" s="7">
        <v>76174</v>
      </c>
      <c r="AS38" s="7">
        <f t="shared" si="45"/>
        <v>7383.2460732984291</v>
      </c>
      <c r="AT38" s="7">
        <v>9944</v>
      </c>
      <c r="AU38" s="5">
        <v>8</v>
      </c>
      <c r="AV38" s="7">
        <f t="shared" si="46"/>
        <v>9952</v>
      </c>
      <c r="AW38" s="7">
        <f t="shared" si="28"/>
        <v>78742.753926701567</v>
      </c>
      <c r="AX38" s="7">
        <f>AW38/'a1'!AP38*1000000</f>
        <v>6739.7756904691714</v>
      </c>
      <c r="AY38" s="7">
        <v>8242</v>
      </c>
      <c r="AZ38" s="7">
        <f t="shared" si="47"/>
        <v>828.27225130890054</v>
      </c>
      <c r="BA38" s="7">
        <v>741</v>
      </c>
      <c r="BB38" s="5">
        <v>1</v>
      </c>
      <c r="BC38" s="7">
        <f t="shared" si="48"/>
        <v>742</v>
      </c>
      <c r="BD38" s="7">
        <f t="shared" si="29"/>
        <v>8155.7277486910998</v>
      </c>
      <c r="BE38" s="7">
        <f>BD38*1000000/'a1'!AV38</f>
        <v>7108.546446079753</v>
      </c>
      <c r="BF38" s="7">
        <v>7067</v>
      </c>
      <c r="BG38" s="7">
        <f t="shared" si="49"/>
        <v>788.13559322033893</v>
      </c>
      <c r="BH38" s="7">
        <v>689</v>
      </c>
      <c r="BI38" s="5">
        <v>1</v>
      </c>
      <c r="BJ38" s="7">
        <f t="shared" si="50"/>
        <v>690</v>
      </c>
      <c r="BK38" s="7">
        <f t="shared" si="30"/>
        <v>6968.8644067796613</v>
      </c>
      <c r="BL38" s="7">
        <f>BK38*1000000/'a1'!BB38</f>
        <v>6916.5407758106539</v>
      </c>
      <c r="BM38" s="7">
        <v>21019</v>
      </c>
      <c r="BN38" s="7">
        <f t="shared" si="51"/>
        <v>2417.0258620689656</v>
      </c>
      <c r="BO38" s="7">
        <v>2591</v>
      </c>
      <c r="BP38" s="5">
        <v>2</v>
      </c>
      <c r="BQ38" s="7">
        <f t="shared" si="52"/>
        <v>2593</v>
      </c>
      <c r="BR38" s="7">
        <f t="shared" si="31"/>
        <v>21194.974137931036</v>
      </c>
      <c r="BS38" s="7">
        <f>BR38/'a1'!BH38*1000000</f>
        <v>7055.1189162402197</v>
      </c>
      <c r="BT38" s="7">
        <v>26632</v>
      </c>
      <c r="BU38" s="7">
        <f t="shared" si="53"/>
        <v>2635.9788359788363</v>
      </c>
      <c r="BV38" s="7">
        <v>3278</v>
      </c>
      <c r="BW38" s="5">
        <v>2</v>
      </c>
      <c r="BX38" s="7">
        <f t="shared" si="54"/>
        <v>3280</v>
      </c>
      <c r="BY38" s="7">
        <f t="shared" si="32"/>
        <v>27276.021164021164</v>
      </c>
      <c r="BZ38" s="7">
        <f>BY38*1000000/'a1'!BN38</f>
        <v>6752.7774263959127</v>
      </c>
    </row>
    <row r="39" spans="1:78" ht="18.75" customHeight="1">
      <c r="A39" s="1">
        <v>2001</v>
      </c>
      <c r="B39" s="7">
        <v>218932</v>
      </c>
      <c r="C39" s="7">
        <f t="shared" si="33"/>
        <v>21596.690796277144</v>
      </c>
      <c r="D39" s="7">
        <v>27893</v>
      </c>
      <c r="E39" s="5">
        <v>15</v>
      </c>
      <c r="F39" s="7">
        <f t="shared" si="34"/>
        <v>27908</v>
      </c>
      <c r="G39" s="7">
        <f t="shared" si="24"/>
        <v>225243.30920372286</v>
      </c>
      <c r="H39" s="7">
        <f>G39*1000000/'a1'!F39</f>
        <v>7261.4579443103903</v>
      </c>
      <c r="I39" s="7">
        <v>4314</v>
      </c>
      <c r="J39" s="7">
        <f t="shared" si="35"/>
        <v>477.31958762886597</v>
      </c>
      <c r="K39" s="7">
        <v>535</v>
      </c>
      <c r="L39" s="7">
        <v>0</v>
      </c>
      <c r="M39" s="7">
        <f t="shared" si="36"/>
        <v>535</v>
      </c>
      <c r="N39" s="7">
        <f t="shared" si="4"/>
        <v>4371.6804123711336</v>
      </c>
      <c r="O39" s="7">
        <f>N39*1000000/'a1'!L39</f>
        <v>8374.3372782393708</v>
      </c>
      <c r="P39" s="7">
        <v>1162</v>
      </c>
      <c r="Q39" s="7">
        <f t="shared" si="37"/>
        <v>123.15789473684211</v>
      </c>
      <c r="R39" s="7">
        <v>152</v>
      </c>
      <c r="S39" s="5">
        <v>0</v>
      </c>
      <c r="T39" s="7">
        <f t="shared" si="38"/>
        <v>152</v>
      </c>
      <c r="U39" s="7">
        <f t="shared" si="7"/>
        <v>1190.8421052631579</v>
      </c>
      <c r="V39" s="7">
        <f>U39*1000000/'a1'!R39</f>
        <v>8713.7126015319282</v>
      </c>
      <c r="W39" s="7">
        <v>8019</v>
      </c>
      <c r="X39" s="7">
        <f t="shared" si="39"/>
        <v>634.19689119170982</v>
      </c>
      <c r="Y39" s="7">
        <v>601</v>
      </c>
      <c r="Z39" s="5">
        <v>0</v>
      </c>
      <c r="AA39" s="7">
        <f t="shared" si="40"/>
        <v>601</v>
      </c>
      <c r="AB39" s="7">
        <f t="shared" si="25"/>
        <v>7985.8031088082898</v>
      </c>
      <c r="AC39" s="7">
        <f>AB39*1000000/'a1'!X39</f>
        <v>8564.2863978365585</v>
      </c>
      <c r="AD39" s="7">
        <v>5617</v>
      </c>
      <c r="AE39" s="7">
        <f t="shared" si="41"/>
        <v>662.53869969040238</v>
      </c>
      <c r="AF39" s="7">
        <v>660</v>
      </c>
      <c r="AG39" s="5">
        <v>0</v>
      </c>
      <c r="AH39" s="7">
        <f t="shared" si="42"/>
        <v>660</v>
      </c>
      <c r="AI39" s="7">
        <f t="shared" si="26"/>
        <v>5614.4613003095974</v>
      </c>
      <c r="AJ39" s="7">
        <f>AI39*1000000/'a1'!AD39</f>
        <v>7487.9351992189886</v>
      </c>
      <c r="AK39" s="7">
        <v>51648</v>
      </c>
      <c r="AL39" s="7">
        <f t="shared" si="43"/>
        <v>5078.593588417787</v>
      </c>
      <c r="AM39" s="7">
        <v>6378</v>
      </c>
      <c r="AN39" s="5">
        <v>9</v>
      </c>
      <c r="AO39" s="7">
        <f t="shared" si="44"/>
        <v>6387</v>
      </c>
      <c r="AP39" s="7">
        <f t="shared" si="27"/>
        <v>52956.406411582211</v>
      </c>
      <c r="AQ39" s="7">
        <f>AP39*1000000/'a1'!AJ39</f>
        <v>7159.8210533820366</v>
      </c>
      <c r="AR39" s="7">
        <v>79371</v>
      </c>
      <c r="AS39" s="7">
        <f t="shared" si="45"/>
        <v>7605.9979317476727</v>
      </c>
      <c r="AT39" s="7">
        <v>10748</v>
      </c>
      <c r="AU39" s="5">
        <v>5</v>
      </c>
      <c r="AV39" s="7">
        <f t="shared" si="46"/>
        <v>10753</v>
      </c>
      <c r="AW39" s="7">
        <f t="shared" si="28"/>
        <v>82518.002068252332</v>
      </c>
      <c r="AX39" s="7">
        <f>AW39/'a1'!AP39*1000000</f>
        <v>6936.2309471363806</v>
      </c>
      <c r="AY39" s="7">
        <v>8543</v>
      </c>
      <c r="AZ39" s="7">
        <f t="shared" si="47"/>
        <v>831.10195674562317</v>
      </c>
      <c r="BA39" s="7">
        <v>788</v>
      </c>
      <c r="BB39" s="5">
        <v>0</v>
      </c>
      <c r="BC39" s="7">
        <f t="shared" si="48"/>
        <v>788</v>
      </c>
      <c r="BD39" s="7">
        <f t="shared" si="29"/>
        <v>8499.8980432543758</v>
      </c>
      <c r="BE39" s="7">
        <f>BD39*1000000/'a1'!AV39</f>
        <v>7381.9785878838356</v>
      </c>
      <c r="BF39" s="7">
        <v>7323</v>
      </c>
      <c r="BG39" s="7">
        <f t="shared" si="49"/>
        <v>794.81865284974094</v>
      </c>
      <c r="BH39" s="7">
        <v>905</v>
      </c>
      <c r="BI39" s="5">
        <v>0</v>
      </c>
      <c r="BJ39" s="7">
        <f t="shared" si="50"/>
        <v>905</v>
      </c>
      <c r="BK39" s="7">
        <f t="shared" si="30"/>
        <v>7433.1813471502592</v>
      </c>
      <c r="BL39" s="7">
        <f>BK39*1000000/'a1'!BB39</f>
        <v>7431.5389770363336</v>
      </c>
      <c r="BM39" s="7">
        <v>21887</v>
      </c>
      <c r="BN39" s="7">
        <f t="shared" si="51"/>
        <v>2430.0626304801672</v>
      </c>
      <c r="BO39" s="7">
        <v>3321</v>
      </c>
      <c r="BP39" s="5">
        <v>1</v>
      </c>
      <c r="BQ39" s="7">
        <f t="shared" si="52"/>
        <v>3322</v>
      </c>
      <c r="BR39" s="7">
        <f t="shared" si="31"/>
        <v>22778.937369519834</v>
      </c>
      <c r="BS39" s="7">
        <f>BR39/'a1'!BH39*1000000</f>
        <v>7448.9243746911261</v>
      </c>
      <c r="BT39" s="7">
        <v>27932</v>
      </c>
      <c r="BU39" s="7">
        <f t="shared" si="53"/>
        <v>2659.7938144329896</v>
      </c>
      <c r="BV39" s="7">
        <v>3344</v>
      </c>
      <c r="BW39" s="5">
        <v>1</v>
      </c>
      <c r="BX39" s="7">
        <f t="shared" si="54"/>
        <v>3345</v>
      </c>
      <c r="BY39" s="7">
        <f t="shared" si="32"/>
        <v>28617.206185567011</v>
      </c>
      <c r="BZ39" s="7">
        <f>BY39*1000000/'a1'!BN39</f>
        <v>7020.4496533018983</v>
      </c>
    </row>
    <row r="40" spans="1:78" ht="18.75" customHeight="1">
      <c r="A40" s="1">
        <v>2002</v>
      </c>
      <c r="B40" s="7">
        <v>224428</v>
      </c>
      <c r="C40" s="7">
        <f t="shared" si="33"/>
        <v>21830</v>
      </c>
      <c r="D40" s="7">
        <v>28589</v>
      </c>
      <c r="E40" s="5">
        <v>-45</v>
      </c>
      <c r="F40" s="7">
        <f t="shared" si="34"/>
        <v>28544</v>
      </c>
      <c r="G40" s="7">
        <f t="shared" ref="G40:G46" si="55">B40-C40+F40</f>
        <v>231142</v>
      </c>
      <c r="H40" s="7">
        <f>G40*1000000/'a1'!F40</f>
        <v>7372.0908336814055</v>
      </c>
      <c r="I40" s="7">
        <v>4421</v>
      </c>
      <c r="J40" s="7">
        <f t="shared" si="35"/>
        <v>491</v>
      </c>
      <c r="K40" s="7">
        <v>642</v>
      </c>
      <c r="L40" s="7">
        <v>0</v>
      </c>
      <c r="M40" s="7">
        <f t="shared" ref="M40:M46" si="56">K40+L40</f>
        <v>642</v>
      </c>
      <c r="N40" s="7">
        <f t="shared" ref="N40:N41" si="57">I40-J40+M40</f>
        <v>4572</v>
      </c>
      <c r="O40" s="7">
        <f>N40*1000000/'a1'!L40</f>
        <v>8800.2448362080413</v>
      </c>
      <c r="P40" s="7">
        <v>1182</v>
      </c>
      <c r="Q40" s="7">
        <f t="shared" si="37"/>
        <v>124</v>
      </c>
      <c r="R40" s="7">
        <v>166</v>
      </c>
      <c r="S40" s="5">
        <v>-2</v>
      </c>
      <c r="T40" s="7">
        <f t="shared" ref="T40:T46" si="58">R40+S40</f>
        <v>164</v>
      </c>
      <c r="U40" s="7">
        <f t="shared" ref="U40:U42" si="59">P40-Q40+T40</f>
        <v>1222</v>
      </c>
      <c r="V40" s="7">
        <f>U40*1000000/'a1'!R40</f>
        <v>8927.7886554253491</v>
      </c>
      <c r="W40" s="7">
        <v>8178</v>
      </c>
      <c r="X40" s="7">
        <f t="shared" si="39"/>
        <v>644</v>
      </c>
      <c r="Y40" s="7">
        <v>810</v>
      </c>
      <c r="Z40" s="5">
        <v>-2</v>
      </c>
      <c r="AA40" s="7">
        <f t="shared" ref="AA40:AA42" si="60">Y40+Z40</f>
        <v>808</v>
      </c>
      <c r="AB40" s="7">
        <f t="shared" ref="AB40:AB42" si="61">W40-X40+AA40</f>
        <v>8342</v>
      </c>
      <c r="AC40" s="7">
        <f>AB40*1000000/'a1'!X40</f>
        <v>8921.7820034972701</v>
      </c>
      <c r="AD40" s="7">
        <v>5717</v>
      </c>
      <c r="AE40" s="7">
        <f t="shared" si="41"/>
        <v>661</v>
      </c>
      <c r="AF40" s="7">
        <v>594</v>
      </c>
      <c r="AG40" s="5">
        <v>-2</v>
      </c>
      <c r="AH40" s="7">
        <f t="shared" ref="AH40:AH42" si="62">AF40+AG40</f>
        <v>592</v>
      </c>
      <c r="AI40" s="7">
        <f t="shared" ref="AI40:AI42" si="63">AD40-AE40+AH40</f>
        <v>5648</v>
      </c>
      <c r="AJ40" s="7">
        <f>AI40*1000000/'a1'!AD40</f>
        <v>7537.3900185632247</v>
      </c>
      <c r="AK40" s="7">
        <v>52800</v>
      </c>
      <c r="AL40" s="7">
        <f t="shared" si="43"/>
        <v>5197</v>
      </c>
      <c r="AM40" s="7">
        <v>6704</v>
      </c>
      <c r="AN40" s="5">
        <v>-16</v>
      </c>
      <c r="AO40" s="7">
        <f t="shared" ref="AO40:AO42" si="64">AM40+AN40</f>
        <v>6688</v>
      </c>
      <c r="AP40" s="7">
        <f t="shared" ref="AP40:AP42" si="65">AK40-AL40+AO40</f>
        <v>54291</v>
      </c>
      <c r="AQ40" s="7">
        <f>AP40*1000000/'a1'!AJ40</f>
        <v>7296.1222274843049</v>
      </c>
      <c r="AR40" s="7">
        <v>81779</v>
      </c>
      <c r="AS40" s="7">
        <f t="shared" si="45"/>
        <v>7634</v>
      </c>
      <c r="AT40" s="7">
        <v>11065</v>
      </c>
      <c r="AU40" s="5">
        <v>-13</v>
      </c>
      <c r="AV40" s="7">
        <f t="shared" ref="AV40:AV42" si="66">AT40+AU40</f>
        <v>11052</v>
      </c>
      <c r="AW40" s="7">
        <f t="shared" ref="AW40:AW42" si="67">AR40-AS40+AV40</f>
        <v>85197</v>
      </c>
      <c r="AX40" s="7">
        <f>AW40/'a1'!AP40*1000000</f>
        <v>7046.2985408437944</v>
      </c>
      <c r="AY40" s="7">
        <v>8758</v>
      </c>
      <c r="AZ40" s="7">
        <f t="shared" si="47"/>
        <v>819</v>
      </c>
      <c r="BA40" s="7">
        <v>750</v>
      </c>
      <c r="BB40" s="5">
        <v>-2</v>
      </c>
      <c r="BC40" s="7">
        <f t="shared" ref="BC40:BC42" si="68">BA40+BB40</f>
        <v>748</v>
      </c>
      <c r="BD40" s="7">
        <f t="shared" ref="BD40:BD42" si="69">AY40-AZ40+BC40</f>
        <v>8687</v>
      </c>
      <c r="BE40" s="7">
        <f>BD40*1000000/'a1'!AV40</f>
        <v>7510.7231200064325</v>
      </c>
      <c r="BF40" s="7">
        <v>7506</v>
      </c>
      <c r="BG40" s="7">
        <f t="shared" si="49"/>
        <v>807</v>
      </c>
      <c r="BH40" s="7">
        <v>871</v>
      </c>
      <c r="BI40" s="5">
        <v>-2</v>
      </c>
      <c r="BJ40" s="7">
        <f t="shared" ref="BJ40:BJ42" si="70">BH40+BI40</f>
        <v>869</v>
      </c>
      <c r="BK40" s="7">
        <f t="shared" ref="BK40:BK42" si="71">BF40-BG40+BJ40</f>
        <v>7568</v>
      </c>
      <c r="BL40" s="7">
        <f>BK40*1000000/'a1'!BB40</f>
        <v>7592.2877284432898</v>
      </c>
      <c r="BM40" s="7">
        <v>22621</v>
      </c>
      <c r="BN40" s="7">
        <f t="shared" si="51"/>
        <v>2461</v>
      </c>
      <c r="BO40" s="7">
        <v>3501</v>
      </c>
      <c r="BP40" s="5">
        <v>-3</v>
      </c>
      <c r="BQ40" s="7">
        <f t="shared" ref="BQ40:BQ42" si="72">BO40+BP40</f>
        <v>3498</v>
      </c>
      <c r="BR40" s="7">
        <f t="shared" ref="BR40:BR42" si="73">BM40-BN40+BQ40</f>
        <v>23658</v>
      </c>
      <c r="BS40" s="7">
        <f>BR40/'a1'!BH40*1000000</f>
        <v>7562.4192069720784</v>
      </c>
      <c r="BT40" s="7">
        <v>28260</v>
      </c>
      <c r="BU40" s="7">
        <f t="shared" si="53"/>
        <v>2677</v>
      </c>
      <c r="BV40" s="7">
        <v>3019</v>
      </c>
      <c r="BW40" s="5">
        <v>-3</v>
      </c>
      <c r="BX40" s="7">
        <f t="shared" ref="BX40:BX42" si="74">BV40+BW40</f>
        <v>3016</v>
      </c>
      <c r="BY40" s="7">
        <f t="shared" ref="BY40:BY42" si="75">BT40-BU40+BX40</f>
        <v>28599</v>
      </c>
      <c r="BZ40" s="7">
        <f>BY40*1000000/'a1'!BN40</f>
        <v>6978.4670163179835</v>
      </c>
    </row>
    <row r="41" spans="1:78" ht="18.75" customHeight="1">
      <c r="A41" s="1">
        <v>2003</v>
      </c>
      <c r="B41" s="7">
        <v>231509</v>
      </c>
      <c r="C41" s="7">
        <f t="shared" si="33"/>
        <v>21579.61165048544</v>
      </c>
      <c r="D41" s="7">
        <v>30239</v>
      </c>
      <c r="E41" s="5">
        <v>15</v>
      </c>
      <c r="F41" s="7">
        <f>D41+E41</f>
        <v>30254</v>
      </c>
      <c r="G41" s="7">
        <f t="shared" si="55"/>
        <v>240183.38834951457</v>
      </c>
      <c r="H41" s="7">
        <f>G41*1000000/'a1'!F41</f>
        <v>7591.2102859958577</v>
      </c>
      <c r="I41" s="7">
        <v>4556</v>
      </c>
      <c r="J41" s="7">
        <f t="shared" si="35"/>
        <v>489.32038834951453</v>
      </c>
      <c r="K41" s="7">
        <v>416</v>
      </c>
      <c r="L41" s="7">
        <v>0</v>
      </c>
      <c r="M41" s="7">
        <f t="shared" si="56"/>
        <v>416</v>
      </c>
      <c r="N41" s="7">
        <f t="shared" si="57"/>
        <v>4482.6796116504856</v>
      </c>
      <c r="O41" s="7">
        <f>N41*1000000/'a1'!L41</f>
        <v>8645.1431220598733</v>
      </c>
      <c r="P41" s="7">
        <v>1229</v>
      </c>
      <c r="Q41" s="7">
        <f t="shared" si="37"/>
        <v>126.10837438423646</v>
      </c>
      <c r="R41" s="7">
        <v>153</v>
      </c>
      <c r="S41" s="5">
        <v>1</v>
      </c>
      <c r="T41" s="7">
        <f t="shared" si="58"/>
        <v>154</v>
      </c>
      <c r="U41" s="7">
        <f t="shared" si="59"/>
        <v>1256.8916256157636</v>
      </c>
      <c r="V41" s="7">
        <f>U41*1000000/'a1'!R41</f>
        <v>9159.6156974206842</v>
      </c>
      <c r="W41" s="7">
        <v>8277</v>
      </c>
      <c r="X41" s="7">
        <f t="shared" si="39"/>
        <v>656.49606299212599</v>
      </c>
      <c r="Y41" s="7">
        <v>842</v>
      </c>
      <c r="Z41" s="5">
        <v>1</v>
      </c>
      <c r="AA41" s="7">
        <f t="shared" si="60"/>
        <v>843</v>
      </c>
      <c r="AB41" s="7">
        <f t="shared" si="61"/>
        <v>8463.5039370078739</v>
      </c>
      <c r="AC41" s="7">
        <f>AB41*1000000/'a1'!X41</f>
        <v>9027.8241999207185</v>
      </c>
      <c r="AD41" s="7">
        <v>5812</v>
      </c>
      <c r="AE41" s="7">
        <f t="shared" si="41"/>
        <v>650.1457725947522</v>
      </c>
      <c r="AF41" s="7">
        <v>622</v>
      </c>
      <c r="AG41" s="5">
        <v>1</v>
      </c>
      <c r="AH41" s="7">
        <f t="shared" si="62"/>
        <v>623</v>
      </c>
      <c r="AI41" s="7">
        <f t="shared" si="63"/>
        <v>5784.8542274052479</v>
      </c>
      <c r="AJ41" s="7">
        <f>AI41*1000000/'a1'!AD41</f>
        <v>7719.4277303313065</v>
      </c>
      <c r="AK41" s="7">
        <v>54600</v>
      </c>
      <c r="AL41" s="7">
        <f t="shared" si="43"/>
        <v>5025.8373205741627</v>
      </c>
      <c r="AM41" s="7">
        <v>6947</v>
      </c>
      <c r="AN41" s="5">
        <v>4</v>
      </c>
      <c r="AO41" s="7">
        <f t="shared" si="64"/>
        <v>6951</v>
      </c>
      <c r="AP41" s="7">
        <f t="shared" si="65"/>
        <v>56525.162679425834</v>
      </c>
      <c r="AQ41" s="7">
        <f>AP41*1000000/'a1'!AJ41</f>
        <v>7550.9465579439247</v>
      </c>
      <c r="AR41" s="7">
        <v>84965</v>
      </c>
      <c r="AS41" s="7">
        <f t="shared" si="45"/>
        <v>7552.9640427599606</v>
      </c>
      <c r="AT41" s="7">
        <v>12849</v>
      </c>
      <c r="AU41" s="5">
        <v>4</v>
      </c>
      <c r="AV41" s="7">
        <f t="shared" si="66"/>
        <v>12853</v>
      </c>
      <c r="AW41" s="7">
        <f t="shared" si="67"/>
        <v>90265.035957240034</v>
      </c>
      <c r="AX41" s="7">
        <f>AW41/'a1'!AP41*1000000</f>
        <v>7373.2252137523838</v>
      </c>
      <c r="AY41" s="7">
        <v>9131</v>
      </c>
      <c r="AZ41" s="7">
        <f t="shared" si="47"/>
        <v>811.57998037291463</v>
      </c>
      <c r="BA41" s="7">
        <v>819</v>
      </c>
      <c r="BB41" s="5">
        <v>1</v>
      </c>
      <c r="BC41" s="7">
        <f t="shared" si="68"/>
        <v>820</v>
      </c>
      <c r="BD41" s="7">
        <f t="shared" si="69"/>
        <v>9139.4200196270849</v>
      </c>
      <c r="BE41" s="7">
        <f>BD41*1000000/'a1'!AV41</f>
        <v>7852.9565332986358</v>
      </c>
      <c r="BF41" s="7">
        <v>7636</v>
      </c>
      <c r="BG41" s="7">
        <f t="shared" si="49"/>
        <v>801.16959064327489</v>
      </c>
      <c r="BH41" s="7">
        <v>805</v>
      </c>
      <c r="BI41" s="5">
        <v>1</v>
      </c>
      <c r="BJ41" s="7">
        <f t="shared" si="70"/>
        <v>806</v>
      </c>
      <c r="BK41" s="7">
        <f t="shared" si="71"/>
        <v>7640.8304093567249</v>
      </c>
      <c r="BL41" s="7">
        <f>BK41*1000000/'a1'!BB41</f>
        <v>7667.7980551165701</v>
      </c>
      <c r="BM41" s="7">
        <v>23687</v>
      </c>
      <c r="BN41" s="7">
        <f t="shared" si="51"/>
        <v>2474.7081712062259</v>
      </c>
      <c r="BO41" s="7">
        <v>3080</v>
      </c>
      <c r="BP41" s="5">
        <v>1</v>
      </c>
      <c r="BQ41" s="7">
        <f t="shared" si="72"/>
        <v>3081</v>
      </c>
      <c r="BR41" s="7">
        <f t="shared" si="73"/>
        <v>24293.291828793775</v>
      </c>
      <c r="BS41" s="7">
        <f>BR41/'a1'!BH41*1000000</f>
        <v>7631.2503467346742</v>
      </c>
      <c r="BT41" s="7">
        <v>28359</v>
      </c>
      <c r="BU41" s="7">
        <f t="shared" si="53"/>
        <v>2676.1811023622049</v>
      </c>
      <c r="BV41" s="7">
        <v>3236</v>
      </c>
      <c r="BW41" s="5">
        <v>1</v>
      </c>
      <c r="BX41" s="7">
        <f t="shared" si="74"/>
        <v>3237</v>
      </c>
      <c r="BY41" s="7">
        <f t="shared" si="75"/>
        <v>28919.818897637793</v>
      </c>
      <c r="BZ41" s="7">
        <f>BY41*1000000/'a1'!BN41</f>
        <v>7015.2937509248977</v>
      </c>
    </row>
    <row r="42" spans="1:78" ht="18.75" customHeight="1">
      <c r="A42" s="1">
        <v>2004</v>
      </c>
      <c r="B42" s="7">
        <v>236221</v>
      </c>
      <c r="C42" s="7">
        <f t="shared" si="33"/>
        <v>22232.824427480919</v>
      </c>
      <c r="D42" s="7">
        <v>32217</v>
      </c>
      <c r="E42" s="5">
        <v>20</v>
      </c>
      <c r="F42" s="7">
        <f>D42+E42</f>
        <v>32237</v>
      </c>
      <c r="G42" s="7">
        <f t="shared" si="55"/>
        <v>246225.17557251907</v>
      </c>
      <c r="H42" s="7">
        <f>G42*1000000/'a1'!F42</f>
        <v>7708.82794003856</v>
      </c>
      <c r="I42" s="7">
        <v>4595</v>
      </c>
      <c r="J42" s="7">
        <f t="shared" si="35"/>
        <v>495.23809523809524</v>
      </c>
      <c r="K42" s="7">
        <v>323</v>
      </c>
      <c r="L42" s="7">
        <v>0</v>
      </c>
      <c r="M42" s="7">
        <f t="shared" si="56"/>
        <v>323</v>
      </c>
      <c r="N42" s="7">
        <f>I42-J42+M42</f>
        <v>4422.7619047619046</v>
      </c>
      <c r="O42" s="7">
        <f>N42*1000000/'a1'!L42</f>
        <v>8547.2751890761847</v>
      </c>
      <c r="P42" s="7">
        <v>1231</v>
      </c>
      <c r="Q42" s="7">
        <f t="shared" si="37"/>
        <v>125.84053794428436</v>
      </c>
      <c r="R42" s="7">
        <v>117</v>
      </c>
      <c r="S42" s="5">
        <v>1</v>
      </c>
      <c r="T42" s="7">
        <f t="shared" si="58"/>
        <v>118</v>
      </c>
      <c r="U42" s="7">
        <f t="shared" si="59"/>
        <v>1223.1594620557157</v>
      </c>
      <c r="V42" s="7">
        <f>U42*1000000/'a1'!R42</f>
        <v>8884.4622953914022</v>
      </c>
      <c r="W42" s="7">
        <v>8450</v>
      </c>
      <c r="X42" s="7">
        <f t="shared" si="39"/>
        <v>667.94995187680456</v>
      </c>
      <c r="Y42" s="7">
        <v>754</v>
      </c>
      <c r="Z42" s="5">
        <v>1</v>
      </c>
      <c r="AA42" s="7">
        <f t="shared" si="60"/>
        <v>755</v>
      </c>
      <c r="AB42" s="7">
        <f t="shared" si="61"/>
        <v>8537.0500481231957</v>
      </c>
      <c r="AC42" s="7">
        <f>AB42*1000000/'a1'!X42</f>
        <v>9088.0010220861459</v>
      </c>
      <c r="AD42" s="7">
        <v>5913</v>
      </c>
      <c r="AE42" s="7">
        <f t="shared" si="41"/>
        <v>652.62172284644203</v>
      </c>
      <c r="AF42" s="7">
        <v>719</v>
      </c>
      <c r="AG42" s="5">
        <v>1</v>
      </c>
      <c r="AH42" s="7">
        <f t="shared" si="62"/>
        <v>720</v>
      </c>
      <c r="AI42" s="7">
        <f t="shared" si="63"/>
        <v>5980.378277153558</v>
      </c>
      <c r="AJ42" s="7">
        <f>AI42*1000000/'a1'!AD42</f>
        <v>7980.5520072935469</v>
      </c>
      <c r="AK42" s="7">
        <v>55184</v>
      </c>
      <c r="AL42" s="7">
        <f t="shared" si="43"/>
        <v>5255.0335570469797</v>
      </c>
      <c r="AM42" s="7">
        <v>7771</v>
      </c>
      <c r="AN42" s="5">
        <v>5</v>
      </c>
      <c r="AO42" s="7">
        <f t="shared" si="64"/>
        <v>7776</v>
      </c>
      <c r="AP42" s="7">
        <f t="shared" si="65"/>
        <v>57704.966442953024</v>
      </c>
      <c r="AQ42" s="7">
        <f>AP42*1000000/'a1'!AJ42</f>
        <v>7657.3129129737054</v>
      </c>
      <c r="AR42" s="7">
        <v>88253</v>
      </c>
      <c r="AS42" s="7">
        <f t="shared" si="45"/>
        <v>7747.3884140550808</v>
      </c>
      <c r="AT42" s="7">
        <v>13215</v>
      </c>
      <c r="AU42" s="5">
        <v>6</v>
      </c>
      <c r="AV42" s="7">
        <f t="shared" si="66"/>
        <v>13221</v>
      </c>
      <c r="AW42" s="7">
        <f t="shared" si="67"/>
        <v>93726.61158594492</v>
      </c>
      <c r="AX42" s="7">
        <f>AW42/'a1'!AP42*1000000</f>
        <v>7564.3325706807982</v>
      </c>
      <c r="AY42" s="7">
        <v>9267</v>
      </c>
      <c r="AZ42" s="7">
        <f t="shared" si="47"/>
        <v>820.09569377990431</v>
      </c>
      <c r="BA42" s="7">
        <v>835</v>
      </c>
      <c r="BB42" s="5">
        <v>1</v>
      </c>
      <c r="BC42" s="7">
        <f t="shared" si="68"/>
        <v>836</v>
      </c>
      <c r="BD42" s="7">
        <f t="shared" si="69"/>
        <v>9282.9043062200963</v>
      </c>
      <c r="BE42" s="7">
        <f>BD42*1000000/'a1'!AV42</f>
        <v>7909.9976534937932</v>
      </c>
      <c r="BF42" s="7">
        <v>7815</v>
      </c>
      <c r="BG42" s="7">
        <f t="shared" si="49"/>
        <v>812.5</v>
      </c>
      <c r="BH42" s="7">
        <v>853</v>
      </c>
      <c r="BI42" s="5">
        <v>1</v>
      </c>
      <c r="BJ42" s="7">
        <f t="shared" si="70"/>
        <v>854</v>
      </c>
      <c r="BK42" s="7">
        <f t="shared" si="71"/>
        <v>7856.5</v>
      </c>
      <c r="BL42" s="7">
        <f>BK42*1000000/'a1'!BB42</f>
        <v>7876.608982732917</v>
      </c>
      <c r="BM42" s="7">
        <v>23862</v>
      </c>
      <c r="BN42" s="7">
        <f t="shared" si="51"/>
        <v>2546.2264150943397</v>
      </c>
      <c r="BO42" s="7">
        <v>3251</v>
      </c>
      <c r="BP42" s="5">
        <v>2</v>
      </c>
      <c r="BQ42" s="7">
        <f t="shared" si="72"/>
        <v>3253</v>
      </c>
      <c r="BR42" s="7">
        <f t="shared" si="73"/>
        <v>24568.773584905659</v>
      </c>
      <c r="BS42" s="7">
        <f>BR42/'a1'!BH42*1000000</f>
        <v>7584.1930935346109</v>
      </c>
      <c r="BT42" s="7">
        <v>28356</v>
      </c>
      <c r="BU42" s="7">
        <f t="shared" si="53"/>
        <v>2779.6116504854367</v>
      </c>
      <c r="BV42" s="7">
        <v>3872</v>
      </c>
      <c r="BW42" s="5">
        <v>2</v>
      </c>
      <c r="BX42" s="7">
        <f t="shared" si="74"/>
        <v>3874</v>
      </c>
      <c r="BY42" s="7">
        <f t="shared" si="75"/>
        <v>29450.388349514564</v>
      </c>
      <c r="BZ42" s="7">
        <f>BY42*1000000/'a1'!BN42</f>
        <v>7087.6494462355486</v>
      </c>
    </row>
    <row r="43" spans="1:78" ht="18.75" customHeight="1">
      <c r="A43" s="1">
        <v>2005</v>
      </c>
      <c r="B43" s="7">
        <v>239660</v>
      </c>
      <c r="C43" s="7">
        <f t="shared" si="33"/>
        <v>22696.774193548386</v>
      </c>
      <c r="D43" s="7">
        <v>36008</v>
      </c>
      <c r="E43" s="5">
        <v>24</v>
      </c>
      <c r="F43" s="7">
        <f>D43+E43</f>
        <v>36032</v>
      </c>
      <c r="G43" s="7">
        <f t="shared" si="55"/>
        <v>252995.22580645161</v>
      </c>
      <c r="H43" s="7">
        <f>G43*1000000/'a1'!F43</f>
        <v>7845.9787873122978</v>
      </c>
      <c r="I43" s="7">
        <v>4612</v>
      </c>
      <c r="J43" s="7">
        <f t="shared" si="35"/>
        <v>497.22222222222223</v>
      </c>
      <c r="K43" s="7">
        <v>412</v>
      </c>
      <c r="L43" s="148">
        <v>0</v>
      </c>
      <c r="M43" s="7">
        <f t="shared" si="56"/>
        <v>412</v>
      </c>
      <c r="N43" s="7">
        <f t="shared" ref="N43:N46" si="76">I43-J43+M43</f>
        <v>4526.7777777777774</v>
      </c>
      <c r="O43" s="7">
        <f>N43*1000000/'a1'!L43</f>
        <v>8800.7453447813659</v>
      </c>
      <c r="P43" s="7">
        <v>1243</v>
      </c>
      <c r="Q43" s="7">
        <f t="shared" si="37"/>
        <v>130.84112149532709</v>
      </c>
      <c r="R43" s="7">
        <v>186</v>
      </c>
      <c r="S43" s="5">
        <v>1</v>
      </c>
      <c r="T43" s="7">
        <f t="shared" si="58"/>
        <v>187</v>
      </c>
      <c r="U43" s="7">
        <f t="shared" ref="U43:U46" si="77">P43-Q43+T43</f>
        <v>1299.1588785046729</v>
      </c>
      <c r="V43" s="7">
        <f>U43*1000000/'a1'!R43</f>
        <v>9410.4442324050033</v>
      </c>
      <c r="W43" s="7">
        <v>8823</v>
      </c>
      <c r="X43" s="7">
        <f t="shared" si="39"/>
        <v>663.27474560592043</v>
      </c>
      <c r="Y43" s="7">
        <v>771</v>
      </c>
      <c r="Z43" s="5">
        <v>1</v>
      </c>
      <c r="AA43" s="7">
        <f t="shared" ref="AA43:AA46" si="78">Y43+Z43</f>
        <v>772</v>
      </c>
      <c r="AB43" s="7">
        <f t="shared" ref="AB43:AB46" si="79">W43-X43+AA43</f>
        <v>8931.7252543940795</v>
      </c>
      <c r="AC43" s="7">
        <f>AB43*1000000/'a1'!X43</f>
        <v>9522.6941293685632</v>
      </c>
      <c r="AD43" s="7">
        <v>6028</v>
      </c>
      <c r="AE43" s="7">
        <f t="shared" si="41"/>
        <v>651.43369175627242</v>
      </c>
      <c r="AF43" s="7">
        <v>800</v>
      </c>
      <c r="AG43" s="5">
        <v>1</v>
      </c>
      <c r="AH43" s="7">
        <f t="shared" ref="AH43:AH46" si="80">AF43+AG43</f>
        <v>801</v>
      </c>
      <c r="AI43" s="7">
        <f t="shared" ref="AI43:AI46" si="81">AD43-AE43+AH43</f>
        <v>6177.5663082437277</v>
      </c>
      <c r="AJ43" s="7">
        <f>AI43*1000000/'a1'!AD43</f>
        <v>8259.2201564839397</v>
      </c>
      <c r="AK43" s="7">
        <v>55663</v>
      </c>
      <c r="AL43" s="7">
        <f t="shared" si="43"/>
        <v>5362.9629629629626</v>
      </c>
      <c r="AM43" s="7">
        <v>8712</v>
      </c>
      <c r="AN43" s="5">
        <v>8</v>
      </c>
      <c r="AO43" s="7">
        <f t="shared" ref="AO43:AO46" si="82">AM43+AN43</f>
        <v>8720</v>
      </c>
      <c r="AP43" s="7">
        <f t="shared" ref="AP43:AP46" si="83">AK43-AL43+AO43</f>
        <v>59020.037037037036</v>
      </c>
      <c r="AQ43" s="7">
        <f>AP43*1000000/'a1'!AJ43</f>
        <v>7784.3220577288539</v>
      </c>
      <c r="AR43" s="7">
        <v>89192</v>
      </c>
      <c r="AS43" s="7">
        <f t="shared" si="45"/>
        <v>7832.876712328768</v>
      </c>
      <c r="AT43" s="7">
        <v>13997</v>
      </c>
      <c r="AU43" s="5">
        <v>7</v>
      </c>
      <c r="AV43" s="7">
        <f t="shared" ref="AV43:AV45" si="84">AT43+AU43</f>
        <v>14004</v>
      </c>
      <c r="AW43" s="7">
        <f t="shared" ref="AW43:AW47" si="85">AR43-AS43+AV43</f>
        <v>95363.123287671231</v>
      </c>
      <c r="AX43" s="7">
        <f>AW43/'a1'!AP43*1000000</f>
        <v>7611.7073489897602</v>
      </c>
      <c r="AY43" s="7">
        <v>9346</v>
      </c>
      <c r="AZ43" s="7">
        <f t="shared" si="47"/>
        <v>821.26489459211734</v>
      </c>
      <c r="BA43" s="7">
        <v>930</v>
      </c>
      <c r="BB43" s="5">
        <v>1</v>
      </c>
      <c r="BC43" s="7">
        <f t="shared" ref="BC43:BC45" si="86">BA43+BB43</f>
        <v>931</v>
      </c>
      <c r="BD43" s="7">
        <f t="shared" ref="BD43:BD46" si="87">AY43-AZ43+BC43</f>
        <v>9455.7351054078827</v>
      </c>
      <c r="BE43" s="7">
        <f>BD43*1000000/'a1'!AV43</f>
        <v>8024.8893155550941</v>
      </c>
      <c r="BF43" s="7">
        <v>7981</v>
      </c>
      <c r="BG43" s="7">
        <f t="shared" si="49"/>
        <v>832.87419651056018</v>
      </c>
      <c r="BH43" s="7">
        <v>991</v>
      </c>
      <c r="BI43" s="5">
        <v>1</v>
      </c>
      <c r="BJ43" s="7">
        <f t="shared" ref="BJ43:BJ46" si="88">BH43+BI43</f>
        <v>992</v>
      </c>
      <c r="BK43" s="7">
        <f t="shared" ref="BK43:BK46" si="89">BF43-BG43+BJ43</f>
        <v>8140.1258034894399</v>
      </c>
      <c r="BL43" s="7">
        <f>BK43*1000000/'a1'!BB43</f>
        <v>8192.7313313681552</v>
      </c>
      <c r="BM43" s="7">
        <v>24762</v>
      </c>
      <c r="BN43" s="7">
        <f t="shared" si="51"/>
        <v>2635.5394378966457</v>
      </c>
      <c r="BO43" s="7">
        <v>3945</v>
      </c>
      <c r="BP43" s="5">
        <v>2</v>
      </c>
      <c r="BQ43" s="7">
        <f t="shared" ref="BQ43:BQ46" si="90">BO43+BP43</f>
        <v>3947</v>
      </c>
      <c r="BR43" s="7">
        <f t="shared" ref="BR43:BR46" si="91">BM43-BN43+BQ43</f>
        <v>26073.460562103355</v>
      </c>
      <c r="BS43" s="7">
        <f>BR43/'a1'!BH43*1000000</f>
        <v>7848.2513280667499</v>
      </c>
      <c r="BT43" s="7">
        <v>28634</v>
      </c>
      <c r="BU43" s="7">
        <f t="shared" si="53"/>
        <v>2926.4565425023879</v>
      </c>
      <c r="BV43" s="7">
        <v>4781</v>
      </c>
      <c r="BW43" s="5">
        <v>2</v>
      </c>
      <c r="BX43" s="7">
        <f t="shared" ref="BX43:BX46" si="92">BV43+BW43</f>
        <v>4783</v>
      </c>
      <c r="BY43" s="7">
        <f t="shared" ref="BY43:BY46" si="93">BT43-BU43+BX43</f>
        <v>30490.543457497613</v>
      </c>
      <c r="BZ43" s="7">
        <f>BY43*1000000/'a1'!BN43</f>
        <v>7265.2093595143742</v>
      </c>
    </row>
    <row r="44" spans="1:78" ht="18.75" customHeight="1">
      <c r="A44" s="1">
        <v>2006</v>
      </c>
      <c r="B44" s="7">
        <v>247003</v>
      </c>
      <c r="C44" s="7">
        <f t="shared" si="33"/>
        <v>23550.222222222223</v>
      </c>
      <c r="D44" s="7">
        <v>38637</v>
      </c>
      <c r="E44" s="5">
        <v>-33</v>
      </c>
      <c r="F44" s="7">
        <f t="shared" ref="F44:F46" si="94">D44+E44</f>
        <v>38604</v>
      </c>
      <c r="G44" s="7">
        <f t="shared" si="55"/>
        <v>262056.77777777778</v>
      </c>
      <c r="H44" s="7">
        <f>G44*1000000/'a1'!F44</f>
        <v>8044.4555036858574</v>
      </c>
      <c r="I44" s="7">
        <v>4654</v>
      </c>
      <c r="J44" s="7">
        <f t="shared" si="35"/>
        <v>366.0302830809743</v>
      </c>
      <c r="K44" s="7">
        <v>459</v>
      </c>
      <c r="L44" s="148">
        <v>0</v>
      </c>
      <c r="M44" s="7">
        <f t="shared" si="56"/>
        <v>459</v>
      </c>
      <c r="N44" s="7">
        <f t="shared" si="76"/>
        <v>4746.9697169190258</v>
      </c>
      <c r="O44" s="7">
        <f>N44*1000000/'a1'!L44</f>
        <v>9302.0748382248257</v>
      </c>
      <c r="P44" s="7">
        <v>1259</v>
      </c>
      <c r="Q44" s="7">
        <f t="shared" si="37"/>
        <v>137.77372262773724</v>
      </c>
      <c r="R44" s="7">
        <v>229</v>
      </c>
      <c r="S44" s="5">
        <v>-2</v>
      </c>
      <c r="T44" s="7">
        <f t="shared" si="58"/>
        <v>227</v>
      </c>
      <c r="U44" s="7">
        <f t="shared" si="77"/>
        <v>1348.2262773722628</v>
      </c>
      <c r="V44" s="7">
        <f>U44*1000000/'a1'!R44</f>
        <v>9775.4225447524841</v>
      </c>
      <c r="W44" s="7">
        <v>8771</v>
      </c>
      <c r="X44" s="7">
        <f t="shared" si="39"/>
        <v>680.90909090909099</v>
      </c>
      <c r="Y44" s="7">
        <v>854</v>
      </c>
      <c r="Z44" s="5">
        <v>-2</v>
      </c>
      <c r="AA44" s="7">
        <f t="shared" si="78"/>
        <v>852</v>
      </c>
      <c r="AB44" s="7">
        <f t="shared" si="79"/>
        <v>8942.0909090909081</v>
      </c>
      <c r="AC44" s="7">
        <f>AB44*1000000/'a1'!X44</f>
        <v>9533.0443269164589</v>
      </c>
      <c r="AD44" s="7">
        <v>6126</v>
      </c>
      <c r="AE44" s="7">
        <f t="shared" si="41"/>
        <v>671.58992180712426</v>
      </c>
      <c r="AF44" s="7">
        <v>908</v>
      </c>
      <c r="AG44" s="5">
        <v>-2</v>
      </c>
      <c r="AH44" s="7">
        <f t="shared" si="80"/>
        <v>906</v>
      </c>
      <c r="AI44" s="7">
        <f t="shared" si="81"/>
        <v>6360.4100781928755</v>
      </c>
      <c r="AJ44" s="7">
        <f>AI44*1000000/'a1'!AD44</f>
        <v>8529.7463478582813</v>
      </c>
      <c r="AK44" s="7">
        <v>57330</v>
      </c>
      <c r="AL44" s="7">
        <f t="shared" si="43"/>
        <v>5593.6073059360733</v>
      </c>
      <c r="AM44" s="7">
        <v>8561</v>
      </c>
      <c r="AN44" s="5">
        <v>-9</v>
      </c>
      <c r="AO44" s="7">
        <f t="shared" si="82"/>
        <v>8552</v>
      </c>
      <c r="AP44" s="7">
        <f t="shared" si="83"/>
        <v>60288.392694063929</v>
      </c>
      <c r="AQ44" s="7">
        <f>AP44*1000000/'a1'!AJ44</f>
        <v>7899.8862477860239</v>
      </c>
      <c r="AR44" s="7">
        <v>93329</v>
      </c>
      <c r="AS44" s="7">
        <f t="shared" si="45"/>
        <v>8161.7777777777774</v>
      </c>
      <c r="AT44" s="7">
        <v>14900</v>
      </c>
      <c r="AU44" s="5">
        <v>-10</v>
      </c>
      <c r="AV44" s="7">
        <f t="shared" si="84"/>
        <v>14890</v>
      </c>
      <c r="AW44" s="7">
        <f t="shared" si="85"/>
        <v>100057.22222222222</v>
      </c>
      <c r="AX44" s="7">
        <f>AW44/'a1'!AP44*1000000</f>
        <v>7900.078073052423</v>
      </c>
      <c r="AY44" s="7">
        <v>9450</v>
      </c>
      <c r="AZ44" s="7">
        <f t="shared" si="47"/>
        <v>851.32743362831854</v>
      </c>
      <c r="BA44" s="7">
        <v>1210</v>
      </c>
      <c r="BB44" s="5">
        <v>-2</v>
      </c>
      <c r="BC44" s="7">
        <f t="shared" si="86"/>
        <v>1208</v>
      </c>
      <c r="BD44" s="7">
        <f t="shared" si="87"/>
        <v>9806.6725663716807</v>
      </c>
      <c r="BE44" s="7">
        <f>BD44*1000000/'a1'!AV44</f>
        <v>8282.445785939457</v>
      </c>
      <c r="BF44" s="7">
        <v>8187</v>
      </c>
      <c r="BG44" s="7">
        <f t="shared" si="49"/>
        <v>881.93202146690521</v>
      </c>
      <c r="BH44" s="7">
        <v>1067</v>
      </c>
      <c r="BI44" s="5">
        <v>-2</v>
      </c>
      <c r="BJ44" s="7">
        <f t="shared" si="88"/>
        <v>1065</v>
      </c>
      <c r="BK44" s="7">
        <f t="shared" si="89"/>
        <v>8370.067978533094</v>
      </c>
      <c r="BL44" s="7">
        <f>BK44*1000000/'a1'!BB44</f>
        <v>8436.5309695109008</v>
      </c>
      <c r="BM44" s="7">
        <v>25447</v>
      </c>
      <c r="BN44" s="7">
        <f t="shared" si="51"/>
        <v>2820.3125</v>
      </c>
      <c r="BO44" s="7">
        <v>5022</v>
      </c>
      <c r="BP44" s="5">
        <v>-2</v>
      </c>
      <c r="BQ44" s="7">
        <f t="shared" si="90"/>
        <v>5020</v>
      </c>
      <c r="BR44" s="7">
        <f t="shared" si="91"/>
        <v>27646.6875</v>
      </c>
      <c r="BS44" s="7">
        <f>BR44/'a1'!BH44*1000000</f>
        <v>8080.8661329635661</v>
      </c>
      <c r="BT44" s="7">
        <v>29134</v>
      </c>
      <c r="BU44" s="7">
        <f t="shared" si="53"/>
        <v>3057.9710144927535</v>
      </c>
      <c r="BV44" s="7">
        <v>4941</v>
      </c>
      <c r="BW44" s="5">
        <v>-2</v>
      </c>
      <c r="BX44" s="7">
        <f t="shared" si="92"/>
        <v>4939</v>
      </c>
      <c r="BY44" s="7">
        <f t="shared" si="93"/>
        <v>31015.028985507248</v>
      </c>
      <c r="BZ44" s="7">
        <f>BY44*1000000/'a1'!BN44</f>
        <v>7308.6943065777596</v>
      </c>
    </row>
    <row r="45" spans="1:78" ht="18.75" customHeight="1">
      <c r="A45" s="1">
        <v>2007</v>
      </c>
      <c r="B45" s="7">
        <v>253946</v>
      </c>
      <c r="C45" s="7">
        <f t="shared" si="33"/>
        <v>24740.932642487049</v>
      </c>
      <c r="D45" s="7">
        <v>41331</v>
      </c>
      <c r="E45" s="5">
        <v>14</v>
      </c>
      <c r="F45" s="7">
        <f t="shared" si="94"/>
        <v>41345</v>
      </c>
      <c r="G45" s="7">
        <f t="shared" si="55"/>
        <v>270550.06735751295</v>
      </c>
      <c r="H45" s="7">
        <f>G45*1000000/'a1'!F45</f>
        <v>8215.981203294692</v>
      </c>
      <c r="I45" s="7">
        <v>4754</v>
      </c>
      <c r="J45" s="7">
        <f t="shared" si="35"/>
        <v>439.72706595905987</v>
      </c>
      <c r="K45" s="7">
        <v>553</v>
      </c>
      <c r="L45" s="148">
        <v>0</v>
      </c>
      <c r="M45" s="7">
        <f t="shared" si="56"/>
        <v>553</v>
      </c>
      <c r="N45" s="7">
        <f t="shared" si="76"/>
        <v>4867.2729340409405</v>
      </c>
      <c r="O45" s="7">
        <f>N45*1000000/'a1'!L45</f>
        <v>9611.9170306054166</v>
      </c>
      <c r="P45" s="7">
        <v>1308</v>
      </c>
      <c r="Q45" s="7">
        <f t="shared" si="37"/>
        <v>143.23374340949033</v>
      </c>
      <c r="R45" s="7">
        <v>170</v>
      </c>
      <c r="S45" s="5">
        <v>1</v>
      </c>
      <c r="T45" s="7">
        <f t="shared" si="58"/>
        <v>171</v>
      </c>
      <c r="U45" s="7">
        <f t="shared" si="77"/>
        <v>1335.7662565905098</v>
      </c>
      <c r="V45" s="7">
        <f>U45*1000000/'a1'!R45</f>
        <v>9668.1860770442454</v>
      </c>
      <c r="W45" s="7">
        <v>9019</v>
      </c>
      <c r="X45" s="7">
        <f t="shared" si="39"/>
        <v>692.17238346525937</v>
      </c>
      <c r="Y45" s="7">
        <v>841</v>
      </c>
      <c r="Z45" s="5">
        <v>1</v>
      </c>
      <c r="AA45" s="7">
        <f t="shared" si="78"/>
        <v>842</v>
      </c>
      <c r="AB45" s="7">
        <f t="shared" si="79"/>
        <v>9168.8276165347415</v>
      </c>
      <c r="AC45" s="7">
        <f>AB45*1000000/'a1'!X45</f>
        <v>9797.9123787230328</v>
      </c>
      <c r="AD45" s="7">
        <v>6192</v>
      </c>
      <c r="AE45" s="7">
        <f t="shared" si="41"/>
        <v>685.88137009189643</v>
      </c>
      <c r="AF45" s="7">
        <v>1243</v>
      </c>
      <c r="AG45" s="5">
        <v>1</v>
      </c>
      <c r="AH45" s="7">
        <f t="shared" si="80"/>
        <v>1244</v>
      </c>
      <c r="AI45" s="7">
        <f t="shared" si="81"/>
        <v>6750.1186299081037</v>
      </c>
      <c r="AJ45" s="7">
        <f>AI45*1000000/'a1'!AD45</f>
        <v>9054.3029045801941</v>
      </c>
      <c r="AK45" s="7">
        <v>57571</v>
      </c>
      <c r="AL45" s="7">
        <f t="shared" si="43"/>
        <v>5662.0209059233457</v>
      </c>
      <c r="AM45" s="7">
        <v>9449</v>
      </c>
      <c r="AN45" s="5">
        <v>3</v>
      </c>
      <c r="AO45" s="7">
        <f t="shared" si="82"/>
        <v>9452</v>
      </c>
      <c r="AP45" s="7">
        <f t="shared" si="83"/>
        <v>61360.979094076654</v>
      </c>
      <c r="AQ45" s="7">
        <f>AP45*1000000/'a1'!AJ45</f>
        <v>7981.9959294651344</v>
      </c>
      <c r="AR45" s="7">
        <v>96298</v>
      </c>
      <c r="AS45" s="7">
        <f t="shared" si="45"/>
        <v>8527.6338514680483</v>
      </c>
      <c r="AT45" s="7">
        <v>15427</v>
      </c>
      <c r="AU45" s="5">
        <v>4</v>
      </c>
      <c r="AV45" s="7">
        <f t="shared" si="84"/>
        <v>15431</v>
      </c>
      <c r="AW45" s="7">
        <f t="shared" si="85"/>
        <v>103201.36614853195</v>
      </c>
      <c r="AX45" s="7">
        <f>AW45/'a1'!AP45*1000000</f>
        <v>8067.0581078083906</v>
      </c>
      <c r="AY45" s="7">
        <v>9797</v>
      </c>
      <c r="AZ45" s="7">
        <f t="shared" si="47"/>
        <v>905.37084398976992</v>
      </c>
      <c r="BA45" s="7">
        <v>1333</v>
      </c>
      <c r="BB45" s="5">
        <v>1</v>
      </c>
      <c r="BC45" s="7">
        <f t="shared" si="86"/>
        <v>1334</v>
      </c>
      <c r="BD45" s="7">
        <f t="shared" si="87"/>
        <v>10225.629156010231</v>
      </c>
      <c r="BE45" s="7">
        <f>BD45*1000000/'a1'!AV45</f>
        <v>8567.3500207029992</v>
      </c>
      <c r="BF45" s="7">
        <v>8541</v>
      </c>
      <c r="BG45" s="7">
        <f t="shared" si="49"/>
        <v>924.85055508112737</v>
      </c>
      <c r="BH45" s="7">
        <v>974</v>
      </c>
      <c r="BI45" s="5">
        <v>1</v>
      </c>
      <c r="BJ45" s="7">
        <f t="shared" si="88"/>
        <v>975</v>
      </c>
      <c r="BK45" s="7">
        <f t="shared" si="89"/>
        <v>8591.1494449188722</v>
      </c>
      <c r="BL45" s="7">
        <f>BK45*1000000/'a1'!BB45</f>
        <v>8588.9420868025645</v>
      </c>
      <c r="BM45" s="7">
        <v>26744</v>
      </c>
      <c r="BN45" s="7">
        <f t="shared" si="51"/>
        <v>3078.2828282828282</v>
      </c>
      <c r="BO45" s="7">
        <v>5797</v>
      </c>
      <c r="BP45" s="5">
        <v>1</v>
      </c>
      <c r="BQ45" s="7">
        <f t="shared" si="90"/>
        <v>5798</v>
      </c>
      <c r="BR45" s="7">
        <f t="shared" si="91"/>
        <v>29463.717171717173</v>
      </c>
      <c r="BS45" s="7">
        <f>BR45/'a1'!BH45*1000000</f>
        <v>8387.7907768480563</v>
      </c>
      <c r="BT45" s="7">
        <v>30367</v>
      </c>
      <c r="BU45" s="7">
        <f t="shared" si="53"/>
        <v>3311.9429590017821</v>
      </c>
      <c r="BV45" s="7">
        <v>5064</v>
      </c>
      <c r="BW45" s="5">
        <v>1</v>
      </c>
      <c r="BX45" s="7">
        <f t="shared" si="92"/>
        <v>5065</v>
      </c>
      <c r="BY45" s="7">
        <f t="shared" si="93"/>
        <v>32120.057040998217</v>
      </c>
      <c r="BZ45" s="7">
        <f>BY45*1000000/'a1'!BN45</f>
        <v>7453.0857950280251</v>
      </c>
    </row>
    <row r="46" spans="1:78" ht="18.75" customHeight="1">
      <c r="A46" s="1">
        <v>2008</v>
      </c>
      <c r="B46" s="7">
        <v>264095</v>
      </c>
      <c r="C46" s="7">
        <f>C91/P91*100</f>
        <v>26570.351758793971</v>
      </c>
      <c r="D46" s="7">
        <v>43714</v>
      </c>
      <c r="E46" s="5">
        <v>25</v>
      </c>
      <c r="F46" s="7">
        <f t="shared" si="94"/>
        <v>43739</v>
      </c>
      <c r="G46" s="7">
        <f t="shared" si="55"/>
        <v>281263.64824120601</v>
      </c>
      <c r="H46" s="7">
        <f>G46*1000000/'a1'!F46</f>
        <v>8442.3055245689338</v>
      </c>
      <c r="I46" s="7">
        <v>5074</v>
      </c>
      <c r="J46" s="7">
        <f>D91/Q91*100</f>
        <v>530.41988003427582</v>
      </c>
      <c r="K46" s="7">
        <v>656</v>
      </c>
      <c r="L46" s="148">
        <f>L45</f>
        <v>0</v>
      </c>
      <c r="M46" s="7">
        <f t="shared" si="56"/>
        <v>656</v>
      </c>
      <c r="N46" s="7">
        <f t="shared" si="76"/>
        <v>5199.5801199657244</v>
      </c>
      <c r="O46" s="7">
        <f>N46*1000000/'a1'!L46</f>
        <v>10271.93208907615</v>
      </c>
      <c r="P46" s="7">
        <v>1337</v>
      </c>
      <c r="Q46" s="7">
        <f>E91/R91*100</f>
        <v>153.58649789029533</v>
      </c>
      <c r="R46" s="7">
        <v>164</v>
      </c>
      <c r="S46" s="5">
        <v>1</v>
      </c>
      <c r="T46" s="7">
        <f t="shared" si="58"/>
        <v>165</v>
      </c>
      <c r="U46" s="7">
        <f t="shared" si="77"/>
        <v>1348.4135021097047</v>
      </c>
      <c r="V46" s="7">
        <f>U46*1000000/'a1'!R46</f>
        <v>9662.9295360615197</v>
      </c>
      <c r="W46" s="7">
        <v>9450</v>
      </c>
      <c r="X46" s="7">
        <f t="shared" si="39"/>
        <v>707.37913486005084</v>
      </c>
      <c r="Y46" s="7">
        <v>770</v>
      </c>
      <c r="Z46" s="5">
        <v>1</v>
      </c>
      <c r="AA46" s="7">
        <f t="shared" si="78"/>
        <v>771</v>
      </c>
      <c r="AB46" s="7">
        <f t="shared" si="79"/>
        <v>9513.6208651399484</v>
      </c>
      <c r="AC46" s="7">
        <f>AB46*1000000/'a1'!X46</f>
        <v>10156.127990182888</v>
      </c>
      <c r="AD46" s="7">
        <v>6366</v>
      </c>
      <c r="AE46" s="7">
        <f t="shared" si="41"/>
        <v>713.25878594249195</v>
      </c>
      <c r="AF46" s="7">
        <v>876</v>
      </c>
      <c r="AG46" s="5">
        <v>1</v>
      </c>
      <c r="AH46" s="7">
        <f t="shared" si="80"/>
        <v>877</v>
      </c>
      <c r="AI46" s="7">
        <f t="shared" si="81"/>
        <v>6529.7412140575079</v>
      </c>
      <c r="AJ46" s="7">
        <f>AI46*1000000/'a1'!AD46</f>
        <v>8742.4336982060668</v>
      </c>
      <c r="AK46" s="7">
        <v>59446</v>
      </c>
      <c r="AL46" s="7">
        <f t="shared" si="43"/>
        <v>6129.2808219178087</v>
      </c>
      <c r="AM46" s="7">
        <v>10866</v>
      </c>
      <c r="AN46" s="5">
        <v>9</v>
      </c>
      <c r="AO46" s="7">
        <f t="shared" si="82"/>
        <v>10875</v>
      </c>
      <c r="AP46" s="7">
        <f t="shared" si="83"/>
        <v>64191.719178082189</v>
      </c>
      <c r="AQ46" s="7">
        <f>AP46*1000000/'a1'!AJ46</f>
        <v>8281.3791459431995</v>
      </c>
      <c r="AR46" s="7">
        <v>100143</v>
      </c>
      <c r="AS46" s="7">
        <f t="shared" si="45"/>
        <v>9108.5141903171952</v>
      </c>
      <c r="AT46" s="7">
        <v>15127</v>
      </c>
      <c r="AU46" s="5">
        <v>7</v>
      </c>
      <c r="AV46" s="7">
        <f>AT46+AU46</f>
        <v>15134</v>
      </c>
      <c r="AW46" s="7">
        <f t="shared" si="85"/>
        <v>106168.48580968281</v>
      </c>
      <c r="AX46" s="7">
        <f>AW46/'a1'!AP46*1000000</f>
        <v>8209.561364828136</v>
      </c>
      <c r="AY46" s="7">
        <v>9975</v>
      </c>
      <c r="AZ46" s="7">
        <f t="shared" si="47"/>
        <v>965.54552912223141</v>
      </c>
      <c r="BA46" s="7">
        <v>1385</v>
      </c>
      <c r="BB46" s="5">
        <v>1</v>
      </c>
      <c r="BC46" s="7">
        <f>BA46+BB46</f>
        <v>1386</v>
      </c>
      <c r="BD46" s="7">
        <f t="shared" si="87"/>
        <v>10395.454470877768</v>
      </c>
      <c r="BE46" s="7">
        <f>BD46*1000000/'a1'!AV46</f>
        <v>8623.2334101284068</v>
      </c>
      <c r="BF46" s="7">
        <v>8752</v>
      </c>
      <c r="BG46" s="7">
        <f t="shared" si="49"/>
        <v>983.60655737704917</v>
      </c>
      <c r="BH46" s="7">
        <v>1423</v>
      </c>
      <c r="BI46" s="5">
        <v>1</v>
      </c>
      <c r="BJ46" s="7">
        <f t="shared" si="88"/>
        <v>1424</v>
      </c>
      <c r="BK46" s="7">
        <f t="shared" si="89"/>
        <v>9192.3934426229498</v>
      </c>
      <c r="BL46" s="7">
        <f>BK46*1000000/'a1'!BB46</f>
        <v>9067.3367343823484</v>
      </c>
      <c r="BM46" s="7">
        <v>28661</v>
      </c>
      <c r="BN46" s="7">
        <f t="shared" si="51"/>
        <v>3342.0843277645181</v>
      </c>
      <c r="BO46" s="7">
        <v>6690</v>
      </c>
      <c r="BP46" s="5">
        <v>2</v>
      </c>
      <c r="BQ46" s="7">
        <f t="shared" si="90"/>
        <v>6692</v>
      </c>
      <c r="BR46" s="7">
        <f t="shared" si="91"/>
        <v>32010.915672235482</v>
      </c>
      <c r="BS46" s="7">
        <f>BR46/'a1'!BH46*1000000</f>
        <v>8913.2360336803977</v>
      </c>
      <c r="BT46" s="7">
        <v>31522</v>
      </c>
      <c r="BU46" s="7">
        <f t="shared" si="53"/>
        <v>3545.7685664939554</v>
      </c>
      <c r="BV46" s="7">
        <v>5268</v>
      </c>
      <c r="BW46" s="5">
        <v>2</v>
      </c>
      <c r="BX46" s="7">
        <f t="shared" si="92"/>
        <v>5270</v>
      </c>
      <c r="BY46" s="7">
        <f t="shared" si="93"/>
        <v>33246.231433506044</v>
      </c>
      <c r="BZ46" s="7">
        <f>BY46*1000000/'a1'!BN46</f>
        <v>7583.7803747168118</v>
      </c>
    </row>
    <row r="47" spans="1:78" ht="18.75" customHeight="1">
      <c r="A47" s="1">
        <v>2009</v>
      </c>
      <c r="B47" s="148">
        <v>273382</v>
      </c>
      <c r="C47" s="7">
        <f>C92/P92*100</f>
        <v>27649.996406062735</v>
      </c>
      <c r="D47" s="7">
        <v>49395</v>
      </c>
      <c r="E47" s="5">
        <v>-2</v>
      </c>
      <c r="F47" s="7">
        <f t="shared" ref="F47:F48" si="95">D47+E47</f>
        <v>49393</v>
      </c>
      <c r="G47" s="7">
        <f t="shared" ref="G47:G48" si="96">B47-C47+F47</f>
        <v>295125.00359393726</v>
      </c>
      <c r="H47" s="7">
        <f>G47*1000000/'a1'!F47</f>
        <v>8752.1765478485304</v>
      </c>
      <c r="I47" s="7">
        <v>5251</v>
      </c>
      <c r="J47" s="7">
        <f>D92/Q92*100</f>
        <v>532.5967701404212</v>
      </c>
      <c r="K47" s="7">
        <v>680</v>
      </c>
      <c r="L47" s="148">
        <f>L46</f>
        <v>0</v>
      </c>
      <c r="M47" s="7">
        <f t="shared" ref="M47" si="97">K47+L47</f>
        <v>680</v>
      </c>
      <c r="N47" s="7">
        <f t="shared" ref="N47" si="98">I47-J47+M47</f>
        <v>5398.4032298595785</v>
      </c>
      <c r="O47" s="7">
        <f>N47*1000000/'a1'!L47</f>
        <v>10623.787457191338</v>
      </c>
      <c r="P47" s="7">
        <v>1385</v>
      </c>
      <c r="Q47" s="7">
        <f>E92/R92*100</f>
        <v>159.14723912975063</v>
      </c>
      <c r="R47" s="7">
        <v>231</v>
      </c>
      <c r="S47" s="5">
        <v>0</v>
      </c>
      <c r="T47" s="7">
        <f t="shared" ref="T47" si="99">R47+S47</f>
        <v>231</v>
      </c>
      <c r="U47" s="7">
        <f t="shared" ref="U47" si="100">P47-Q47+T47</f>
        <v>1456.8527608702493</v>
      </c>
      <c r="V47" s="7">
        <f>U47*1000000/'a1'!R47</f>
        <v>10325.185942084165</v>
      </c>
      <c r="W47" s="7">
        <v>9647</v>
      </c>
      <c r="X47" s="7">
        <f t="shared" ref="X47:X48" si="101">F92/S92*100</f>
        <v>723.74745082493973</v>
      </c>
      <c r="Y47" s="7">
        <v>940</v>
      </c>
      <c r="Z47" s="5">
        <v>0</v>
      </c>
      <c r="AA47" s="7">
        <f t="shared" ref="AA47" si="102">Y47+Z47</f>
        <v>940</v>
      </c>
      <c r="AB47" s="7">
        <f t="shared" ref="AB47" si="103">W47-X47+AA47</f>
        <v>9863.2525491750603</v>
      </c>
      <c r="AC47" s="7">
        <f>AB47*1000000/'a1'!X47</f>
        <v>10502.609398945251</v>
      </c>
      <c r="AD47" s="7">
        <v>6585</v>
      </c>
      <c r="AE47" s="7">
        <f t="shared" ref="AE47:AE48" si="104">G92/T92*100</f>
        <v>734.54881776296702</v>
      </c>
      <c r="AF47" s="7">
        <v>931</v>
      </c>
      <c r="AG47" s="5">
        <v>0</v>
      </c>
      <c r="AH47" s="7">
        <f t="shared" ref="AH47" si="105">AF47+AG47</f>
        <v>931</v>
      </c>
      <c r="AI47" s="7">
        <f t="shared" ref="AI47" si="106">AD47-AE47+AH47</f>
        <v>6781.4511822370332</v>
      </c>
      <c r="AJ47" s="7">
        <f>AI47*1000000/'a1'!AD47</f>
        <v>9050.092059292152</v>
      </c>
      <c r="AK47" s="7">
        <v>61797</v>
      </c>
      <c r="AL47" s="7">
        <f t="shared" ref="AL47:AL48" si="107">H92/U92*100</f>
        <v>6357.7152584307296</v>
      </c>
      <c r="AM47" s="7">
        <v>12638</v>
      </c>
      <c r="AN47" s="5">
        <v>-1</v>
      </c>
      <c r="AO47" s="7">
        <f t="shared" ref="AO47" si="108">AM47+AN47</f>
        <v>12637</v>
      </c>
      <c r="AP47" s="7">
        <f t="shared" ref="AP47" si="109">AK47-AL47+AO47</f>
        <v>68076.284741569267</v>
      </c>
      <c r="AQ47" s="7">
        <f>AP47*1000000/'a1'!AJ47</f>
        <v>8696.113979161817</v>
      </c>
      <c r="AR47" s="7">
        <v>103471</v>
      </c>
      <c r="AS47" s="7">
        <f t="shared" ref="AS47:AS48" si="110">I92/V92*100</f>
        <v>9494.5319210433499</v>
      </c>
      <c r="AT47" s="7">
        <v>17074</v>
      </c>
      <c r="AU47" s="5">
        <v>-1</v>
      </c>
      <c r="AV47" s="7">
        <f t="shared" ref="AV47" si="111">AT47+AU47</f>
        <v>17073</v>
      </c>
      <c r="AW47" s="7">
        <f t="shared" si="85"/>
        <v>111049.46807895665</v>
      </c>
      <c r="AX47" s="7">
        <f>AW47/'a1'!AP47*1000000</f>
        <v>8499.8329936667451</v>
      </c>
      <c r="AY47" s="7">
        <v>10256</v>
      </c>
      <c r="AZ47" s="7">
        <f t="shared" ref="AZ47:AZ48" si="112">J92/W92*100</f>
        <v>1007.2403540414301</v>
      </c>
      <c r="BA47" s="7">
        <v>1624</v>
      </c>
      <c r="BB47" s="5">
        <v>0</v>
      </c>
      <c r="BC47" s="7">
        <f t="shared" ref="BC47" si="113">BA47+BB47</f>
        <v>1624</v>
      </c>
      <c r="BD47" s="7">
        <f t="shared" ref="BD47" si="114">AY47-AZ47+BC47</f>
        <v>10872.759645958569</v>
      </c>
      <c r="BE47" s="7">
        <f>BD47*1000000/'a1'!AV47</f>
        <v>8915.2988088826714</v>
      </c>
      <c r="BF47" s="7">
        <v>8867</v>
      </c>
      <c r="BG47" s="7">
        <f t="shared" ref="BG47:BG48" si="115">K92/X92*100</f>
        <v>1033.8054155550446</v>
      </c>
      <c r="BH47" s="7">
        <v>1329</v>
      </c>
      <c r="BI47" s="5">
        <v>0</v>
      </c>
      <c r="BJ47" s="7">
        <f t="shared" ref="BJ47" si="116">BH47+BI47</f>
        <v>1329</v>
      </c>
      <c r="BK47" s="7">
        <f t="shared" ref="BK47" si="117">BF47-BG47+BJ47</f>
        <v>9162.1945844449547</v>
      </c>
      <c r="BL47" s="7">
        <f>BK47*1000000/'a1'!BB47</f>
        <v>8902.9063401931689</v>
      </c>
      <c r="BM47" s="7">
        <v>30261</v>
      </c>
      <c r="BN47" s="7">
        <f t="shared" ref="BN47:BN48" si="118">L92/Y92*100</f>
        <v>3583.5609456302427</v>
      </c>
      <c r="BO47" s="7">
        <v>7616</v>
      </c>
      <c r="BP47" s="5">
        <v>0</v>
      </c>
      <c r="BQ47" s="7">
        <f t="shared" ref="BQ47" si="119">BO47+BP47</f>
        <v>7616</v>
      </c>
      <c r="BR47" s="7">
        <f t="shared" ref="BR47" si="120">BM47-BN47+BQ47</f>
        <v>34293.439054369759</v>
      </c>
      <c r="BS47" s="7">
        <f>BR47/'a1'!BH47*1000000</f>
        <v>9342.3724833752294</v>
      </c>
      <c r="BT47" s="7">
        <v>32396</v>
      </c>
      <c r="BU47" s="7">
        <f t="shared" ref="BU47:BU48" si="121">M92/Z92*100</f>
        <v>3775.4697497182351</v>
      </c>
      <c r="BV47" s="7">
        <v>5668</v>
      </c>
      <c r="BW47" s="5">
        <v>0</v>
      </c>
      <c r="BX47" s="7">
        <f t="shared" ref="BX47" si="122">BV47+BW47</f>
        <v>5668</v>
      </c>
      <c r="BY47" s="7">
        <f t="shared" ref="BY47" si="123">BT47-BU47+BX47</f>
        <v>34288.530250281765</v>
      </c>
      <c r="BZ47" s="7">
        <f>BY47*1000000/'a1'!BN47</f>
        <v>7687.5079591833373</v>
      </c>
    </row>
    <row r="48" spans="1:78" ht="18.75" customHeight="1">
      <c r="A48" s="1">
        <v>2010</v>
      </c>
      <c r="B48" s="211">
        <f>B47*POWER(B47/B42, 1/5)</f>
        <v>281488.2032417985</v>
      </c>
      <c r="C48" s="7">
        <f>C93/P93*100</f>
        <v>29052.54704830964</v>
      </c>
      <c r="D48" s="117">
        <f>D47*POWER(D47/D42, 1/5)</f>
        <v>53802.513891661154</v>
      </c>
      <c r="E48" s="323">
        <f>E47</f>
        <v>-2</v>
      </c>
      <c r="F48" s="7">
        <f t="shared" si="95"/>
        <v>53800.513891661154</v>
      </c>
      <c r="G48" s="7">
        <f t="shared" si="96"/>
        <v>306236.17008514999</v>
      </c>
      <c r="H48" s="7">
        <f>G48*1000000/'a1'!F48</f>
        <v>8978.2285228480359</v>
      </c>
      <c r="I48" s="211">
        <f>I47*POWER(I47/I42, 1/5)</f>
        <v>5393.0359933809514</v>
      </c>
      <c r="J48" s="7">
        <f>D93/Q93*100</f>
        <v>539.33621388168876</v>
      </c>
      <c r="K48" s="117">
        <f>K47*POWER(K47/K42, 1/5)</f>
        <v>789.16931572015358</v>
      </c>
      <c r="L48" s="211">
        <f>L47</f>
        <v>0</v>
      </c>
      <c r="M48" s="7">
        <f t="shared" ref="M48" si="124">K48+L48</f>
        <v>789.16931572015358</v>
      </c>
      <c r="N48" s="7">
        <f t="shared" ref="N48" si="125">I48-J48+M48</f>
        <v>5642.8690952194156</v>
      </c>
      <c r="O48" s="7">
        <f>N48*1000000/'a1'!L48</f>
        <v>11070.114500203861</v>
      </c>
      <c r="P48" s="211">
        <f>P47*POWER(P47/P42, 1/5)</f>
        <v>1418.0388112148996</v>
      </c>
      <c r="Q48" s="7">
        <f>E93/R93*100</f>
        <v>165.23141647805184</v>
      </c>
      <c r="R48" s="117">
        <f>R47*POWER(R47/R42, 1/5)</f>
        <v>264.66542090677672</v>
      </c>
      <c r="S48" s="323">
        <f>S47</f>
        <v>0</v>
      </c>
      <c r="T48" s="7">
        <f t="shared" ref="T48" si="126">R48+S48</f>
        <v>264.66542090677672</v>
      </c>
      <c r="U48" s="7">
        <f t="shared" ref="U48" si="127">P48-Q48+T48</f>
        <v>1517.4728156436245</v>
      </c>
      <c r="V48" s="7">
        <f>U48*1000000/'a1'!R48</f>
        <v>10666.447469132643</v>
      </c>
      <c r="W48" s="211">
        <f>W47*POWER(W47/W42, 1/5)</f>
        <v>9906.0243785596667</v>
      </c>
      <c r="X48" s="7">
        <f t="shared" si="101"/>
        <v>734.7181872842857</v>
      </c>
      <c r="Y48" s="117">
        <f>Y47*POWER(Y47/Y42, 1/5)</f>
        <v>982.37919232267723</v>
      </c>
      <c r="Z48" s="323">
        <f>Z47</f>
        <v>0</v>
      </c>
      <c r="AA48" s="7">
        <f t="shared" ref="AA48" si="128">Y48+Z48</f>
        <v>982.37919232267723</v>
      </c>
      <c r="AB48" s="7">
        <f t="shared" ref="AB48" si="129">W48-X48+AA48</f>
        <v>10153.685383598058</v>
      </c>
      <c r="AC48" s="7">
        <f>AB48*1000000/'a1'!X48</f>
        <v>10773.072408661652</v>
      </c>
      <c r="AD48" s="211">
        <f>AD47*POWER(AD47/AD42, 1/5)</f>
        <v>6728.3001844625614</v>
      </c>
      <c r="AE48" s="7">
        <f t="shared" si="104"/>
        <v>749.61248329813736</v>
      </c>
      <c r="AF48" s="117">
        <f>AF47*POWER(AF47/AF42, 1/5)</f>
        <v>980.3786368601983</v>
      </c>
      <c r="AG48" s="323">
        <f>AG47</f>
        <v>0</v>
      </c>
      <c r="AH48" s="7">
        <f t="shared" ref="AH48" si="130">AF48+AG48</f>
        <v>980.3786368601983</v>
      </c>
      <c r="AI48" s="7">
        <f t="shared" ref="AI48" si="131">AD48-AE48+AH48</f>
        <v>6959.0663380246224</v>
      </c>
      <c r="AJ48" s="7">
        <f>AI48*1000000/'a1'!AD48</f>
        <v>9257.0935185327962</v>
      </c>
      <c r="AK48" s="211">
        <f>AK47*POWER(AK47/AK42, 1/5)</f>
        <v>63211.811358574363</v>
      </c>
      <c r="AL48" s="7">
        <f t="shared" si="107"/>
        <v>6579.1850295518298</v>
      </c>
      <c r="AM48" s="117">
        <f>AM47*POWER(AM47/AM42, 1/5)</f>
        <v>13928.95833940113</v>
      </c>
      <c r="AN48" s="323">
        <f>AN47</f>
        <v>-1</v>
      </c>
      <c r="AO48" s="7">
        <f t="shared" ref="AO48" si="132">AM48+AN48</f>
        <v>13927.95833940113</v>
      </c>
      <c r="AP48" s="7">
        <f t="shared" ref="AP48" si="133">AK48-AL48+AO48</f>
        <v>70560.58466842366</v>
      </c>
      <c r="AQ48" s="7">
        <f>AP48*1000000/'a1'!AJ48</f>
        <v>8923.3891991240653</v>
      </c>
      <c r="AR48" s="211">
        <f>AR47*POWER(AR47/AR42, 1/5)</f>
        <v>106816.04168979646</v>
      </c>
      <c r="AS48" s="7">
        <f t="shared" si="110"/>
        <v>9850.3695505705964</v>
      </c>
      <c r="AT48" s="117">
        <f>AT47*POWER(AT47/AT42, 1/5)</f>
        <v>17971.689185692398</v>
      </c>
      <c r="AU48" s="323">
        <f>AU47</f>
        <v>-1</v>
      </c>
      <c r="AV48" s="7">
        <f t="shared" ref="AV48" si="134">AT48+AU48</f>
        <v>17970.689185692398</v>
      </c>
      <c r="AW48" s="7">
        <f t="shared" ref="AW48" si="135">AR48-AS48+AV48</f>
        <v>114936.36132491825</v>
      </c>
      <c r="AX48" s="7">
        <f>AW48/'a1'!AP48*1000000</f>
        <v>8700.2693599738941</v>
      </c>
      <c r="AY48" s="211">
        <f>AY47*POWER(AY47/AY42, 1/5)</f>
        <v>10466.121738530777</v>
      </c>
      <c r="AZ48" s="7">
        <f t="shared" si="112"/>
        <v>1042.1999751021308</v>
      </c>
      <c r="BA48" s="117">
        <f>BA47*POWER(BA47/BA42, 1/5)</f>
        <v>1855.0940598892439</v>
      </c>
      <c r="BB48" s="323">
        <f>BB47</f>
        <v>0</v>
      </c>
      <c r="BC48" s="7">
        <f t="shared" ref="BC48" si="136">BA48+BB48</f>
        <v>1855.0940598892439</v>
      </c>
      <c r="BD48" s="7">
        <f t="shared" ref="BD48" si="137">AY48-AZ48+BC48</f>
        <v>11279.015823317892</v>
      </c>
      <c r="BE48" s="7">
        <f>BD48*1000000/'a1'!AV48</f>
        <v>9129.7606169584651</v>
      </c>
      <c r="BF48" s="211">
        <f>BF47*POWER(BF47/BF42, 1/5)</f>
        <v>9093.8179062947293</v>
      </c>
      <c r="BG48" s="7">
        <f t="shared" si="115"/>
        <v>1077.7365371330061</v>
      </c>
      <c r="BH48" s="117">
        <f>BH47*POWER(BH47/BH42, 1/5)</f>
        <v>1452.2459396379963</v>
      </c>
      <c r="BI48" s="323">
        <f>BI47</f>
        <v>0</v>
      </c>
      <c r="BJ48" s="7">
        <f t="shared" ref="BJ48" si="138">BH48+BI48</f>
        <v>1452.2459396379963</v>
      </c>
      <c r="BK48" s="7">
        <f t="shared" ref="BK48" si="139">BF48-BG48+BJ48</f>
        <v>9468.3273087997186</v>
      </c>
      <c r="BL48" s="7">
        <f>BK48*1000000/'a1'!BB48</f>
        <v>9055.2104955707891</v>
      </c>
      <c r="BM48" s="211">
        <f>BM47*POWER(BM47/BM42, 1/5)</f>
        <v>31733.542947576436</v>
      </c>
      <c r="BN48" s="7">
        <f t="shared" si="118"/>
        <v>3805.5907480030355</v>
      </c>
      <c r="BO48" s="117">
        <f>BO47*POWER(BO47/BO42, 1/5)</f>
        <v>9029.6086599616192</v>
      </c>
      <c r="BP48" s="323">
        <f>BP47</f>
        <v>0</v>
      </c>
      <c r="BQ48" s="7">
        <f t="shared" ref="BQ48" si="140">BO48+BP48</f>
        <v>9029.6086599616192</v>
      </c>
      <c r="BR48" s="7">
        <f t="shared" ref="BR48" si="141">BM48-BN48+BQ48</f>
        <v>36957.56085953502</v>
      </c>
      <c r="BS48" s="7">
        <f>BR48/'a1'!BH48*1000000</f>
        <v>9932.3023928686453</v>
      </c>
      <c r="BT48" s="211">
        <f>BT47*POWER(BT47/BT42, 1/5)</f>
        <v>33270.603205045692</v>
      </c>
      <c r="BU48" s="7">
        <f t="shared" si="121"/>
        <v>3989.2422299735813</v>
      </c>
      <c r="BV48" s="117">
        <f>BV47*POWER(BV47/BV42, 1/5)</f>
        <v>6116.8628097733617</v>
      </c>
      <c r="BW48" s="323">
        <f>BW47</f>
        <v>0</v>
      </c>
      <c r="BX48" s="7">
        <f t="shared" ref="BX48" si="142">BV48+BW48</f>
        <v>6116.8628097733617</v>
      </c>
      <c r="BY48" s="7">
        <f t="shared" ref="BY48" si="143">BT48-BU48+BX48</f>
        <v>35398.223784845475</v>
      </c>
      <c r="BZ48" s="7">
        <f>BY48*1000000/'a1'!BN48</f>
        <v>7812.521802188824</v>
      </c>
    </row>
    <row r="49" spans="1:138" ht="18.75" customHeight="1">
      <c r="B49" s="172" t="s">
        <v>435</v>
      </c>
      <c r="C49" s="7"/>
      <c r="D49" s="117"/>
      <c r="E49" s="211"/>
      <c r="F49" s="7"/>
      <c r="G49" s="7"/>
      <c r="H49" s="7"/>
      <c r="I49" s="211"/>
      <c r="J49" s="7"/>
      <c r="K49" s="117"/>
      <c r="L49" s="211"/>
      <c r="M49" s="7"/>
      <c r="N49" s="7"/>
      <c r="O49" s="7"/>
      <c r="P49" s="172" t="s">
        <v>435</v>
      </c>
      <c r="Q49" s="7"/>
      <c r="R49" s="117"/>
      <c r="S49" s="211"/>
      <c r="T49" s="7"/>
      <c r="U49" s="7"/>
      <c r="V49" s="7"/>
      <c r="W49" s="117"/>
      <c r="X49" s="7"/>
      <c r="Y49" s="117"/>
      <c r="Z49" s="211"/>
      <c r="AA49" s="7"/>
      <c r="AB49" s="7"/>
      <c r="AC49" s="7"/>
      <c r="AD49" s="172" t="s">
        <v>435</v>
      </c>
      <c r="AE49" s="7"/>
      <c r="AF49" s="117"/>
      <c r="AG49" s="211"/>
      <c r="AH49" s="7"/>
      <c r="AI49" s="7"/>
      <c r="AJ49" s="7"/>
      <c r="AK49" s="117"/>
      <c r="AL49" s="7"/>
      <c r="AM49" s="117"/>
      <c r="AN49" s="211"/>
      <c r="AO49" s="7"/>
      <c r="AP49" s="7"/>
      <c r="AQ49" s="7"/>
      <c r="AR49" s="172" t="s">
        <v>435</v>
      </c>
      <c r="AS49" s="7"/>
      <c r="AT49" s="117"/>
      <c r="AU49" s="211"/>
      <c r="AV49" s="7"/>
      <c r="AW49" s="7"/>
      <c r="AX49" s="7"/>
      <c r="AY49" s="117"/>
      <c r="AZ49" s="7"/>
      <c r="BA49" s="117"/>
      <c r="BB49" s="211"/>
      <c r="BC49" s="7"/>
      <c r="BD49" s="7"/>
      <c r="BE49" s="7"/>
      <c r="BF49" s="172" t="s">
        <v>435</v>
      </c>
      <c r="BG49" s="7"/>
      <c r="BH49" s="117"/>
      <c r="BI49" s="211"/>
      <c r="BJ49" s="7"/>
      <c r="BK49" s="7"/>
      <c r="BL49" s="7"/>
      <c r="BM49" s="117"/>
      <c r="BN49" s="7"/>
      <c r="BO49" s="117"/>
      <c r="BP49" s="117"/>
      <c r="BQ49" s="7"/>
      <c r="BR49" s="7"/>
      <c r="BS49" s="7"/>
      <c r="BT49" s="172" t="s">
        <v>435</v>
      </c>
      <c r="BU49" s="7"/>
      <c r="BV49" s="117"/>
      <c r="BW49" s="117"/>
      <c r="BX49" s="7"/>
      <c r="BY49" s="7"/>
      <c r="BZ49" s="7"/>
    </row>
    <row r="50" spans="1:138" s="252" customFormat="1" ht="18.75" customHeight="1">
      <c r="A50" s="252" t="s">
        <v>988</v>
      </c>
      <c r="B50" s="271">
        <f>(POWER(B48/B19, 1/29)-1)*100</f>
        <v>2.1086588591051836</v>
      </c>
      <c r="C50" s="271">
        <f>(POWER(C48/C19, 1/29)-1)*100</f>
        <v>2.1995390305829643</v>
      </c>
      <c r="D50" s="271">
        <f>(POWER(D48/D19, 1/29)-1)*100</f>
        <v>5.2437726454369171</v>
      </c>
      <c r="E50" s="271" t="s">
        <v>681</v>
      </c>
      <c r="F50" s="271">
        <f t="shared" ref="F50:K50" si="144">(POWER(F48/F19, 1/29)-1)*100</f>
        <v>5.360176220504731</v>
      </c>
      <c r="G50" s="271">
        <f t="shared" si="144"/>
        <v>2.4900748054167643</v>
      </c>
      <c r="H50" s="271">
        <f t="shared" si="144"/>
        <v>1.3726803050924108</v>
      </c>
      <c r="I50" s="271">
        <f t="shared" si="144"/>
        <v>2.2999303642895041</v>
      </c>
      <c r="J50" s="271">
        <f t="shared" si="144"/>
        <v>1.2465929752931038</v>
      </c>
      <c r="K50" s="271">
        <f t="shared" si="144"/>
        <v>4.2352341626865186</v>
      </c>
      <c r="L50" s="271" t="s">
        <v>681</v>
      </c>
      <c r="M50" s="271">
        <f t="shared" ref="M50:R50" si="145">(POWER(M48/M19, 1/29)-1)*100</f>
        <v>4.2352341626865186</v>
      </c>
      <c r="N50" s="271">
        <f t="shared" si="145"/>
        <v>2.6413224714437744</v>
      </c>
      <c r="O50" s="271">
        <f t="shared" si="145"/>
        <v>3.0704660433843234</v>
      </c>
      <c r="P50" s="271">
        <f t="shared" si="145"/>
        <v>2.0288190483554569</v>
      </c>
      <c r="Q50" s="271">
        <f t="shared" si="145"/>
        <v>1.6803367142911974</v>
      </c>
      <c r="R50" s="271">
        <f t="shared" si="145"/>
        <v>4.5912455015118425</v>
      </c>
      <c r="S50" s="271" t="s">
        <v>681</v>
      </c>
      <c r="T50" s="271">
        <f t="shared" ref="T50:Y50" si="146">(POWER(T48/T19, 1/29)-1)*100</f>
        <v>4.5415104081273139</v>
      </c>
      <c r="U50" s="271">
        <f t="shared" si="146"/>
        <v>2.3987551141398278</v>
      </c>
      <c r="V50" s="271">
        <f t="shared" si="146"/>
        <v>1.9019372526469791</v>
      </c>
      <c r="W50" s="271">
        <f t="shared" si="146"/>
        <v>1.361706222300274</v>
      </c>
      <c r="X50" s="271">
        <f t="shared" si="146"/>
        <v>0.91282399347603072</v>
      </c>
      <c r="Y50" s="271">
        <f t="shared" si="146"/>
        <v>3.2644002987691323</v>
      </c>
      <c r="Z50" s="271" t="s">
        <v>681</v>
      </c>
      <c r="AA50" s="271">
        <f t="shared" ref="AA50:AF50" si="147">(POWER(AA48/AA19, 1/29)-1)*100</f>
        <v>3.2460470367670524</v>
      </c>
      <c r="AB50" s="271">
        <f t="shared" si="147"/>
        <v>1.5410703852920982</v>
      </c>
      <c r="AC50" s="271">
        <f t="shared" si="147"/>
        <v>1.1999355272630963</v>
      </c>
      <c r="AD50" s="271">
        <f t="shared" si="147"/>
        <v>1.8482137115342301</v>
      </c>
      <c r="AE50" s="271">
        <f t="shared" si="147"/>
        <v>1.4347174220393777</v>
      </c>
      <c r="AF50" s="271">
        <f t="shared" si="147"/>
        <v>3.3127920821647505</v>
      </c>
      <c r="AG50" s="271" t="s">
        <v>681</v>
      </c>
      <c r="AH50" s="271">
        <f t="shared" ref="AH50:AM50" si="148">(POWER(AH48/AH19, 1/29)-1)*100</f>
        <v>3.303454333505762</v>
      </c>
      <c r="AI50" s="271">
        <f t="shared" si="148"/>
        <v>2.0695213247273969</v>
      </c>
      <c r="AJ50" s="271">
        <f t="shared" si="148"/>
        <v>1.8509220990523545</v>
      </c>
      <c r="AK50" s="271">
        <f t="shared" si="148"/>
        <v>1.6417560643623652</v>
      </c>
      <c r="AL50" s="271">
        <f t="shared" si="148"/>
        <v>2.1856522203517637</v>
      </c>
      <c r="AM50" s="271">
        <f t="shared" si="148"/>
        <v>6.2361855645531206</v>
      </c>
      <c r="AN50" s="271" t="s">
        <v>681</v>
      </c>
      <c r="AO50" s="271">
        <f t="shared" ref="AO50:AT50" si="149">(POWER(AO48/AO19, 1/29)-1)*100</f>
        <v>6.1532919497806704</v>
      </c>
      <c r="AP50" s="271">
        <f t="shared" si="149"/>
        <v>2.1229411543020271</v>
      </c>
      <c r="AQ50" s="271">
        <f t="shared" si="149"/>
        <v>1.4603944383922318</v>
      </c>
      <c r="AR50" s="271">
        <f t="shared" si="149"/>
        <v>2.531076971772972</v>
      </c>
      <c r="AS50" s="271">
        <f t="shared" si="149"/>
        <v>2.2273759449433772</v>
      </c>
      <c r="AT50" s="271">
        <f t="shared" si="149"/>
        <v>6.3371334960009573</v>
      </c>
      <c r="AU50" s="271" t="s">
        <v>681</v>
      </c>
      <c r="AV50" s="271">
        <f t="shared" ref="AV50:BA50" si="150">(POWER(AV48/AV19, 1/29)-1)*100</f>
        <v>6.9391891168951725</v>
      </c>
      <c r="AW50" s="271">
        <f t="shared" si="150"/>
        <v>2.9756784491260957</v>
      </c>
      <c r="AX50" s="271">
        <f t="shared" si="150"/>
        <v>1.5479933807041935</v>
      </c>
      <c r="AY50" s="271">
        <f t="shared" si="150"/>
        <v>1.7308204022024931</v>
      </c>
      <c r="AZ50" s="271">
        <f t="shared" si="150"/>
        <v>1.1504627336460294</v>
      </c>
      <c r="BA50" s="271">
        <f t="shared" si="150"/>
        <v>5.4057174308441702</v>
      </c>
      <c r="BB50" s="271" t="s">
        <v>681</v>
      </c>
      <c r="BC50" s="271">
        <f t="shared" ref="BC50:BH50" si="151">(POWER(BC48/BC19, 1/29)-1)*100</f>
        <v>5.3877254649099315</v>
      </c>
      <c r="BD50" s="271">
        <f t="shared" si="151"/>
        <v>2.1886108659239456</v>
      </c>
      <c r="BE50" s="271">
        <f t="shared" si="151"/>
        <v>1.5686403817269046</v>
      </c>
      <c r="BF50" s="271">
        <f t="shared" si="151"/>
        <v>1.3476909065370801</v>
      </c>
      <c r="BG50" s="271">
        <f t="shared" si="151"/>
        <v>1.1770868133913259</v>
      </c>
      <c r="BH50" s="271">
        <f t="shared" si="151"/>
        <v>3.2217196173190077</v>
      </c>
      <c r="BI50" s="271" t="s">
        <v>681</v>
      </c>
      <c r="BJ50" s="271">
        <f t="shared" ref="BJ50:BO50" si="152">(POWER(BJ48/BJ19, 1/29)-1)*100</f>
        <v>3.2094466464170912</v>
      </c>
      <c r="BK50" s="271">
        <f t="shared" si="152"/>
        <v>1.5963877034738339</v>
      </c>
      <c r="BL50" s="271">
        <f t="shared" si="152"/>
        <v>1.3544159680457302</v>
      </c>
      <c r="BM50" s="271">
        <f t="shared" si="152"/>
        <v>2.5870168802825777</v>
      </c>
      <c r="BN50" s="271">
        <f t="shared" si="152"/>
        <v>2.745530237991578</v>
      </c>
      <c r="BO50" s="271">
        <f t="shared" si="152"/>
        <v>3.7971724523382155</v>
      </c>
      <c r="BP50" s="271" t="s">
        <v>681</v>
      </c>
      <c r="BQ50" s="271">
        <f t="shared" ref="BQ50:BV50" si="153">(POWER(BQ48/BQ19, 1/29)-1)*100</f>
        <v>3.7878398474836317</v>
      </c>
      <c r="BR50" s="271">
        <f t="shared" si="153"/>
        <v>2.8268428104480048</v>
      </c>
      <c r="BS50" s="271">
        <f t="shared" si="153"/>
        <v>1.1216476284658494</v>
      </c>
      <c r="BT50" s="271">
        <f t="shared" si="153"/>
        <v>2.0621580415031815</v>
      </c>
      <c r="BU50" s="271">
        <f t="shared" si="153"/>
        <v>2.7330027776934385</v>
      </c>
      <c r="BV50" s="271">
        <f t="shared" si="153"/>
        <v>4.750987736757839</v>
      </c>
      <c r="BW50" s="271" t="s">
        <v>681</v>
      </c>
      <c r="BX50" s="271">
        <f>(POWER(BX48/BX19, 1/29)-1)*100</f>
        <v>4.7306270391112015</v>
      </c>
      <c r="BY50" s="271">
        <f>(POWER(BY48/BY19, 1/29)-1)*100</f>
        <v>2.3237724289095762</v>
      </c>
      <c r="BZ50" s="271">
        <f>(POWER(BZ48/BZ19, 1/29)-1)*100</f>
        <v>0.67228154836778131</v>
      </c>
      <c r="CA50" s="271"/>
      <c r="CB50" s="271"/>
      <c r="CC50" s="271"/>
      <c r="CD50" s="271"/>
      <c r="CE50" s="271"/>
      <c r="CF50" s="271"/>
      <c r="CG50" s="271"/>
      <c r="CH50" s="269"/>
      <c r="CI50" s="269"/>
      <c r="CJ50" s="269"/>
      <c r="CK50" s="269"/>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c r="B51" s="1" t="s">
        <v>984</v>
      </c>
      <c r="P51" s="1" t="s">
        <v>380</v>
      </c>
      <c r="AD51" s="1" t="s">
        <v>380</v>
      </c>
      <c r="AR51" s="1" t="s">
        <v>380</v>
      </c>
      <c r="BF51" s="1" t="s">
        <v>380</v>
      </c>
      <c r="BT51" s="1" t="s">
        <v>380</v>
      </c>
    </row>
    <row r="52" spans="1:138">
      <c r="B52" s="1" t="s">
        <v>709</v>
      </c>
    </row>
    <row r="53" spans="1:138">
      <c r="B53" s="1" t="s">
        <v>1023</v>
      </c>
    </row>
    <row r="54" spans="1:138">
      <c r="B54" s="1" t="s">
        <v>1024</v>
      </c>
    </row>
    <row r="55" spans="1:138">
      <c r="B55" s="1" t="s">
        <v>1025</v>
      </c>
    </row>
    <row r="56" spans="1:138">
      <c r="B56" s="164" t="s">
        <v>1026</v>
      </c>
    </row>
    <row r="57" spans="1:138">
      <c r="B57" s="1" t="s">
        <v>1027</v>
      </c>
    </row>
    <row r="58" spans="1:138">
      <c r="B58" s="1" t="s">
        <v>443</v>
      </c>
    </row>
    <row r="59" spans="1:138">
      <c r="B59" s="1" t="s">
        <v>1000</v>
      </c>
    </row>
    <row r="60" spans="1:138">
      <c r="Q60" s="1" t="s">
        <v>1022</v>
      </c>
    </row>
    <row r="61" spans="1:138">
      <c r="D61" s="1" t="s">
        <v>1017</v>
      </c>
      <c r="O61" s="1" t="s">
        <v>77</v>
      </c>
      <c r="Q61" s="1" t="s">
        <v>1021</v>
      </c>
      <c r="AO61" s="1" t="s">
        <v>77</v>
      </c>
    </row>
    <row r="62" spans="1:138">
      <c r="B62" s="1" t="s">
        <v>699</v>
      </c>
      <c r="O62" s="1" t="s">
        <v>680</v>
      </c>
      <c r="Q62" s="1" t="s">
        <v>1020</v>
      </c>
    </row>
    <row r="63" spans="1:138">
      <c r="B63" s="1" t="s">
        <v>76</v>
      </c>
      <c r="C63" s="1" t="s">
        <v>700</v>
      </c>
      <c r="D63" s="1" t="s">
        <v>701</v>
      </c>
      <c r="E63" s="1" t="s">
        <v>450</v>
      </c>
      <c r="F63" s="1" t="s">
        <v>451</v>
      </c>
      <c r="G63" s="1" t="s">
        <v>452</v>
      </c>
      <c r="H63" s="1" t="s">
        <v>80</v>
      </c>
      <c r="I63" s="1" t="s">
        <v>454</v>
      </c>
      <c r="J63" s="1" t="s">
        <v>81</v>
      </c>
      <c r="K63" s="1" t="s">
        <v>82</v>
      </c>
      <c r="L63" s="1" t="s">
        <v>702</v>
      </c>
      <c r="M63" s="1" t="s">
        <v>458</v>
      </c>
      <c r="O63" s="1" t="s">
        <v>76</v>
      </c>
      <c r="P63" s="1" t="s">
        <v>700</v>
      </c>
      <c r="Q63" s="1" t="s">
        <v>701</v>
      </c>
      <c r="R63" s="1" t="s">
        <v>450</v>
      </c>
      <c r="S63" s="1" t="s">
        <v>451</v>
      </c>
      <c r="T63" s="1" t="s">
        <v>452</v>
      </c>
      <c r="U63" s="1" t="s">
        <v>80</v>
      </c>
      <c r="V63" s="1" t="s">
        <v>454</v>
      </c>
      <c r="W63" s="1" t="s">
        <v>81</v>
      </c>
      <c r="X63" s="1" t="s">
        <v>82</v>
      </c>
      <c r="Y63" s="1" t="s">
        <v>702</v>
      </c>
      <c r="Z63" s="1" t="s">
        <v>458</v>
      </c>
    </row>
    <row r="64" spans="1:138">
      <c r="B64" s="123">
        <v>1981</v>
      </c>
      <c r="C64" s="1">
        <v>7621</v>
      </c>
      <c r="D64" s="1">
        <v>212</v>
      </c>
      <c r="E64" s="1">
        <v>48</v>
      </c>
      <c r="F64" s="1">
        <v>280</v>
      </c>
      <c r="G64" s="1">
        <v>244</v>
      </c>
      <c r="H64" s="1">
        <v>1817</v>
      </c>
      <c r="I64" s="1">
        <v>2522</v>
      </c>
      <c r="J64" s="1">
        <v>368</v>
      </c>
      <c r="K64" s="1">
        <v>360</v>
      </c>
      <c r="L64" s="1">
        <v>838</v>
      </c>
      <c r="M64" s="1">
        <v>856</v>
      </c>
      <c r="O64" s="1">
        <v>1981</v>
      </c>
      <c r="P64" s="1">
        <v>49.3</v>
      </c>
      <c r="Q64" s="1">
        <v>56.3</v>
      </c>
      <c r="R64" s="1">
        <v>47.1</v>
      </c>
      <c r="S64" s="1">
        <v>49.6</v>
      </c>
      <c r="T64" s="1">
        <v>49.2</v>
      </c>
      <c r="U64" s="1">
        <v>51.7</v>
      </c>
      <c r="V64" s="1">
        <v>48.5</v>
      </c>
      <c r="W64" s="1">
        <v>49.2</v>
      </c>
      <c r="X64" s="1">
        <v>46.9</v>
      </c>
      <c r="Y64" s="1">
        <v>48.3</v>
      </c>
      <c r="Z64" s="1">
        <v>46.9</v>
      </c>
      <c r="AC64" s="124"/>
      <c r="AD64" s="124"/>
      <c r="AE64" s="124"/>
      <c r="AF64" s="124"/>
      <c r="AG64" s="124"/>
      <c r="AH64" s="124"/>
      <c r="AI64" s="124"/>
      <c r="AJ64" s="124"/>
      <c r="AK64" s="124"/>
      <c r="AL64" s="124"/>
      <c r="AM64" s="124"/>
    </row>
    <row r="65" spans="2:39">
      <c r="B65" s="123">
        <v>1982</v>
      </c>
      <c r="C65" s="1">
        <v>8498</v>
      </c>
      <c r="D65" s="1">
        <v>233</v>
      </c>
      <c r="E65" s="1">
        <v>52</v>
      </c>
      <c r="F65" s="1">
        <v>313</v>
      </c>
      <c r="G65" s="1">
        <v>269</v>
      </c>
      <c r="H65" s="1">
        <v>1999</v>
      </c>
      <c r="I65" s="1">
        <v>2798</v>
      </c>
      <c r="J65" s="1">
        <v>402</v>
      </c>
      <c r="K65" s="1">
        <v>398</v>
      </c>
      <c r="L65" s="1">
        <v>995</v>
      </c>
      <c r="M65" s="1">
        <v>950</v>
      </c>
      <c r="O65" s="1">
        <v>1982</v>
      </c>
      <c r="P65" s="1">
        <v>55</v>
      </c>
      <c r="Q65" s="1">
        <v>62.3</v>
      </c>
      <c r="R65" s="1">
        <v>52.5</v>
      </c>
      <c r="S65" s="1">
        <v>55.2</v>
      </c>
      <c r="T65" s="1">
        <v>55.3</v>
      </c>
      <c r="U65" s="1">
        <v>57.4</v>
      </c>
      <c r="V65" s="1">
        <v>54</v>
      </c>
      <c r="W65" s="1">
        <v>55</v>
      </c>
      <c r="X65" s="1">
        <v>53.1</v>
      </c>
      <c r="Y65" s="1">
        <v>54.4</v>
      </c>
      <c r="Z65" s="1">
        <v>52.9</v>
      </c>
      <c r="AC65" s="124"/>
      <c r="AD65" s="124"/>
      <c r="AE65" s="124"/>
      <c r="AF65" s="124"/>
      <c r="AG65" s="124"/>
      <c r="AH65" s="124"/>
      <c r="AI65" s="124"/>
      <c r="AJ65" s="124"/>
      <c r="AK65" s="124"/>
      <c r="AL65" s="124"/>
      <c r="AM65" s="124"/>
    </row>
    <row r="66" spans="2:39">
      <c r="B66" s="123">
        <v>1983</v>
      </c>
      <c r="C66" s="1">
        <v>9015</v>
      </c>
      <c r="D66" s="1">
        <v>245</v>
      </c>
      <c r="E66" s="1">
        <v>53</v>
      </c>
      <c r="F66" s="1">
        <v>330</v>
      </c>
      <c r="G66" s="1">
        <v>285</v>
      </c>
      <c r="H66" s="1">
        <v>2102</v>
      </c>
      <c r="I66" s="1">
        <v>2957</v>
      </c>
      <c r="J66" s="1">
        <v>416</v>
      </c>
      <c r="K66" s="1">
        <v>419</v>
      </c>
      <c r="L66" s="1">
        <v>1111</v>
      </c>
      <c r="M66" s="1">
        <v>1002</v>
      </c>
      <c r="O66" s="1">
        <v>1983</v>
      </c>
      <c r="P66" s="1">
        <v>58.1</v>
      </c>
      <c r="Q66" s="1">
        <v>64.400000000000006</v>
      </c>
      <c r="R66" s="1">
        <v>54.7</v>
      </c>
      <c r="S66" s="1">
        <v>59.3</v>
      </c>
      <c r="T66" s="1">
        <v>59.1</v>
      </c>
      <c r="U66" s="1">
        <v>59.5</v>
      </c>
      <c r="V66" s="1">
        <v>57.5</v>
      </c>
      <c r="W66" s="1">
        <v>59.5</v>
      </c>
      <c r="X66" s="1">
        <v>57</v>
      </c>
      <c r="Y66" s="1">
        <v>58.5</v>
      </c>
      <c r="Z66" s="1">
        <v>55.3</v>
      </c>
      <c r="AC66" s="124"/>
      <c r="AD66" s="124"/>
      <c r="AE66" s="124"/>
      <c r="AF66" s="124"/>
      <c r="AG66" s="124"/>
      <c r="AH66" s="124"/>
      <c r="AI66" s="124"/>
      <c r="AJ66" s="124"/>
      <c r="AK66" s="124"/>
      <c r="AL66" s="124"/>
      <c r="AM66" s="124"/>
    </row>
    <row r="67" spans="2:39">
      <c r="B67" s="1">
        <v>1984</v>
      </c>
      <c r="C67" s="1">
        <v>9581</v>
      </c>
      <c r="D67" s="1">
        <v>263</v>
      </c>
      <c r="E67" s="1">
        <v>56</v>
      </c>
      <c r="F67" s="1">
        <v>351</v>
      </c>
      <c r="G67" s="1">
        <v>301</v>
      </c>
      <c r="H67" s="1">
        <v>2226</v>
      </c>
      <c r="I67" s="1">
        <v>3131</v>
      </c>
      <c r="J67" s="1">
        <v>437</v>
      </c>
      <c r="K67" s="1">
        <v>444</v>
      </c>
      <c r="L67" s="1">
        <v>1208</v>
      </c>
      <c r="M67" s="1">
        <v>1059</v>
      </c>
      <c r="O67" s="1">
        <v>1984</v>
      </c>
      <c r="P67" s="1">
        <v>60.4</v>
      </c>
      <c r="Q67" s="1">
        <v>66.400000000000006</v>
      </c>
      <c r="R67" s="1">
        <v>57.1</v>
      </c>
      <c r="S67" s="1">
        <v>62.6</v>
      </c>
      <c r="T67" s="1">
        <v>62.4</v>
      </c>
      <c r="U67" s="1">
        <v>62.1</v>
      </c>
      <c r="V67" s="1">
        <v>59.9</v>
      </c>
      <c r="W67" s="1">
        <v>62</v>
      </c>
      <c r="X67" s="1">
        <v>59.9</v>
      </c>
      <c r="Y67" s="1">
        <v>59.7</v>
      </c>
      <c r="Z67" s="1">
        <v>56.4</v>
      </c>
      <c r="AC67" s="124"/>
      <c r="AD67" s="124"/>
      <c r="AE67" s="124"/>
      <c r="AF67" s="124"/>
      <c r="AG67" s="124"/>
      <c r="AH67" s="124"/>
      <c r="AI67" s="124"/>
      <c r="AJ67" s="124"/>
      <c r="AK67" s="124"/>
      <c r="AL67" s="124"/>
      <c r="AM67" s="124"/>
    </row>
    <row r="68" spans="2:39">
      <c r="B68" s="1">
        <v>1985</v>
      </c>
      <c r="C68" s="1">
        <v>10249</v>
      </c>
      <c r="D68" s="1">
        <v>279</v>
      </c>
      <c r="E68" s="1">
        <v>61</v>
      </c>
      <c r="F68" s="1">
        <v>375</v>
      </c>
      <c r="G68" s="1">
        <v>320</v>
      </c>
      <c r="H68" s="1">
        <v>2370</v>
      </c>
      <c r="I68" s="1">
        <v>3356</v>
      </c>
      <c r="J68" s="1">
        <v>463</v>
      </c>
      <c r="K68" s="1">
        <v>471</v>
      </c>
      <c r="L68" s="1">
        <v>1307</v>
      </c>
      <c r="M68" s="1">
        <v>1129</v>
      </c>
      <c r="O68" s="1">
        <v>1985</v>
      </c>
      <c r="P68" s="1">
        <v>62.6</v>
      </c>
      <c r="Q68" s="1">
        <v>67.099999999999994</v>
      </c>
      <c r="R68" s="1">
        <v>60.4</v>
      </c>
      <c r="S68" s="1">
        <v>63.7</v>
      </c>
      <c r="T68" s="1">
        <v>64.5</v>
      </c>
      <c r="U68" s="1">
        <v>64.8</v>
      </c>
      <c r="V68" s="1">
        <v>63.1</v>
      </c>
      <c r="W68" s="1">
        <v>63.9</v>
      </c>
      <c r="X68" s="1">
        <v>62</v>
      </c>
      <c r="Y68" s="1">
        <v>60.8</v>
      </c>
      <c r="Z68" s="1">
        <v>56.5</v>
      </c>
      <c r="AC68" s="124"/>
      <c r="AD68" s="124"/>
      <c r="AE68" s="124"/>
      <c r="AF68" s="124"/>
      <c r="AG68" s="124"/>
      <c r="AH68" s="124"/>
      <c r="AI68" s="124"/>
      <c r="AJ68" s="124"/>
      <c r="AK68" s="124"/>
      <c r="AL68" s="124"/>
      <c r="AM68" s="124"/>
    </row>
    <row r="69" spans="2:39">
      <c r="B69" s="1">
        <v>1986</v>
      </c>
      <c r="C69" s="1">
        <v>10673</v>
      </c>
      <c r="D69" s="1">
        <v>286</v>
      </c>
      <c r="E69" s="1">
        <v>62</v>
      </c>
      <c r="F69" s="1">
        <v>391</v>
      </c>
      <c r="G69" s="1">
        <v>329</v>
      </c>
      <c r="H69" s="1">
        <v>2452</v>
      </c>
      <c r="I69" s="1">
        <v>3516</v>
      </c>
      <c r="J69" s="1">
        <v>480</v>
      </c>
      <c r="K69" s="1">
        <v>485</v>
      </c>
      <c r="L69" s="1">
        <v>1378</v>
      </c>
      <c r="M69" s="1">
        <v>1166</v>
      </c>
      <c r="O69" s="1">
        <v>1986</v>
      </c>
      <c r="P69" s="1">
        <v>64.599999999999994</v>
      </c>
      <c r="Q69" s="1">
        <v>68.3</v>
      </c>
      <c r="R69" s="1">
        <v>62.9</v>
      </c>
      <c r="S69" s="1">
        <v>65.3</v>
      </c>
      <c r="T69" s="1">
        <v>65.5</v>
      </c>
      <c r="U69" s="1">
        <v>65.8</v>
      </c>
      <c r="V69" s="1">
        <v>65.900000000000006</v>
      </c>
      <c r="W69" s="1">
        <v>65.7</v>
      </c>
      <c r="X69" s="1">
        <v>63.9</v>
      </c>
      <c r="Y69" s="1">
        <v>62.8</v>
      </c>
      <c r="Z69" s="1">
        <v>58.5</v>
      </c>
      <c r="AC69" s="124"/>
      <c r="AD69" s="124"/>
      <c r="AE69" s="124"/>
      <c r="AF69" s="124"/>
      <c r="AG69" s="124"/>
      <c r="AH69" s="124"/>
      <c r="AI69" s="124"/>
      <c r="AJ69" s="124"/>
      <c r="AK69" s="124"/>
      <c r="AL69" s="124"/>
      <c r="AM69" s="124"/>
    </row>
    <row r="70" spans="2:39">
      <c r="B70" s="1">
        <v>1987</v>
      </c>
      <c r="C70" s="1">
        <v>11318</v>
      </c>
      <c r="D70" s="1">
        <v>306</v>
      </c>
      <c r="E70" s="1">
        <v>66</v>
      </c>
      <c r="F70" s="1">
        <v>413</v>
      </c>
      <c r="G70" s="1">
        <v>351</v>
      </c>
      <c r="H70" s="1">
        <v>2624</v>
      </c>
      <c r="I70" s="1">
        <v>3873</v>
      </c>
      <c r="J70" s="1">
        <v>503</v>
      </c>
      <c r="K70" s="1">
        <v>509</v>
      </c>
      <c r="L70" s="1">
        <v>1376</v>
      </c>
      <c r="M70" s="1">
        <v>1155</v>
      </c>
      <c r="O70" s="1">
        <v>1987</v>
      </c>
      <c r="P70" s="1">
        <v>67.5</v>
      </c>
      <c r="Q70" s="1">
        <v>70.599999999999994</v>
      </c>
      <c r="R70" s="1">
        <v>66.400000000000006</v>
      </c>
      <c r="S70" s="1">
        <v>67.5</v>
      </c>
      <c r="T70" s="1">
        <v>68.3</v>
      </c>
      <c r="U70" s="1">
        <v>68.900000000000006</v>
      </c>
      <c r="V70" s="1">
        <v>69.099999999999994</v>
      </c>
      <c r="W70" s="1">
        <v>68.599999999999994</v>
      </c>
      <c r="X70" s="1">
        <v>65.400000000000006</v>
      </c>
      <c r="Y70" s="1">
        <v>64.900000000000006</v>
      </c>
      <c r="Z70" s="1">
        <v>61.2</v>
      </c>
      <c r="AC70" s="124"/>
      <c r="AD70" s="124"/>
      <c r="AE70" s="124"/>
      <c r="AF70" s="124"/>
      <c r="AG70" s="124"/>
      <c r="AH70" s="124"/>
      <c r="AI70" s="124"/>
      <c r="AJ70" s="124"/>
      <c r="AK70" s="124"/>
      <c r="AL70" s="124"/>
      <c r="AM70" s="124"/>
    </row>
    <row r="71" spans="2:39">
      <c r="B71" s="1">
        <v>1988</v>
      </c>
      <c r="C71" s="1">
        <v>12186</v>
      </c>
      <c r="D71" s="1">
        <v>316</v>
      </c>
      <c r="E71" s="1">
        <v>70</v>
      </c>
      <c r="F71" s="1">
        <v>436</v>
      </c>
      <c r="G71" s="1">
        <v>367</v>
      </c>
      <c r="H71" s="1">
        <v>2788</v>
      </c>
      <c r="I71" s="1">
        <v>4229</v>
      </c>
      <c r="J71" s="1">
        <v>544</v>
      </c>
      <c r="K71" s="1">
        <v>526</v>
      </c>
      <c r="L71" s="1">
        <v>1439</v>
      </c>
      <c r="M71" s="1">
        <v>1311</v>
      </c>
      <c r="O71" s="1">
        <v>1988</v>
      </c>
      <c r="P71" s="1">
        <v>70</v>
      </c>
      <c r="Q71" s="1">
        <v>73.3</v>
      </c>
      <c r="R71" s="1">
        <v>69</v>
      </c>
      <c r="S71" s="1">
        <v>69.599999999999994</v>
      </c>
      <c r="T71" s="1">
        <v>70.7</v>
      </c>
      <c r="U71" s="1">
        <v>71.400000000000006</v>
      </c>
      <c r="V71" s="1">
        <v>72.2</v>
      </c>
      <c r="W71" s="1">
        <v>71.8</v>
      </c>
      <c r="X71" s="1">
        <v>67.900000000000006</v>
      </c>
      <c r="Y71" s="1">
        <v>67.099999999999994</v>
      </c>
      <c r="Z71" s="1">
        <v>62.9</v>
      </c>
      <c r="AC71" s="124"/>
      <c r="AD71" s="124"/>
      <c r="AE71" s="124"/>
      <c r="AF71" s="124"/>
      <c r="AG71" s="124"/>
      <c r="AH71" s="124"/>
      <c r="AI71" s="124"/>
      <c r="AJ71" s="124"/>
      <c r="AK71" s="124"/>
      <c r="AL71" s="124"/>
      <c r="AM71" s="124"/>
    </row>
    <row r="72" spans="2:39">
      <c r="B72" s="1">
        <v>1989</v>
      </c>
      <c r="C72" s="1">
        <v>13195</v>
      </c>
      <c r="D72" s="1">
        <v>330</v>
      </c>
      <c r="E72" s="1">
        <v>75</v>
      </c>
      <c r="F72" s="1">
        <v>456</v>
      </c>
      <c r="G72" s="1">
        <v>394</v>
      </c>
      <c r="H72" s="1">
        <v>2997</v>
      </c>
      <c r="I72" s="1">
        <v>4614</v>
      </c>
      <c r="J72" s="1">
        <v>580</v>
      </c>
      <c r="K72" s="1">
        <v>562</v>
      </c>
      <c r="L72" s="1">
        <v>1581</v>
      </c>
      <c r="M72" s="1">
        <v>1426</v>
      </c>
      <c r="O72" s="1">
        <v>1989</v>
      </c>
      <c r="P72" s="1">
        <v>73.8</v>
      </c>
      <c r="Q72" s="1">
        <v>77.7</v>
      </c>
      <c r="R72" s="1">
        <v>72.3</v>
      </c>
      <c r="S72" s="1">
        <v>74.2</v>
      </c>
      <c r="T72" s="1">
        <v>76</v>
      </c>
      <c r="U72" s="1">
        <v>74.8</v>
      </c>
      <c r="V72" s="1">
        <v>76.2</v>
      </c>
      <c r="W72" s="1">
        <v>75.5</v>
      </c>
      <c r="X72" s="1">
        <v>71.5</v>
      </c>
      <c r="Y72" s="1">
        <v>70.2</v>
      </c>
      <c r="Z72" s="1">
        <v>66.900000000000006</v>
      </c>
      <c r="AC72" s="124"/>
      <c r="AD72" s="124"/>
      <c r="AE72" s="124"/>
      <c r="AF72" s="124"/>
      <c r="AG72" s="124"/>
      <c r="AH72" s="124"/>
      <c r="AI72" s="124"/>
      <c r="AJ72" s="124"/>
      <c r="AK72" s="124"/>
      <c r="AL72" s="124"/>
      <c r="AM72" s="124"/>
    </row>
    <row r="73" spans="2:39">
      <c r="B73" s="1">
        <v>1990</v>
      </c>
      <c r="C73" s="1">
        <v>14180</v>
      </c>
      <c r="D73" s="1">
        <v>352</v>
      </c>
      <c r="E73" s="1">
        <v>80</v>
      </c>
      <c r="F73" s="1">
        <v>484</v>
      </c>
      <c r="G73" s="1">
        <v>419</v>
      </c>
      <c r="H73" s="1">
        <v>3257</v>
      </c>
      <c r="I73" s="1">
        <v>4866</v>
      </c>
      <c r="J73" s="1">
        <v>603</v>
      </c>
      <c r="K73" s="1">
        <v>596</v>
      </c>
      <c r="L73" s="1">
        <v>1703</v>
      </c>
      <c r="M73" s="1">
        <v>1621</v>
      </c>
      <c r="O73" s="1">
        <v>1990</v>
      </c>
      <c r="P73" s="1">
        <v>77.900000000000006</v>
      </c>
      <c r="Q73" s="1">
        <v>80.900000000000006</v>
      </c>
      <c r="R73" s="1">
        <v>77.5</v>
      </c>
      <c r="S73" s="1">
        <v>78.599999999999994</v>
      </c>
      <c r="T73" s="1">
        <v>79.5</v>
      </c>
      <c r="U73" s="1">
        <v>79.2</v>
      </c>
      <c r="V73" s="1">
        <v>80.599999999999994</v>
      </c>
      <c r="W73" s="1">
        <v>79.2</v>
      </c>
      <c r="X73" s="1">
        <v>75.400000000000006</v>
      </c>
      <c r="Y73" s="1">
        <v>73.599999999999994</v>
      </c>
      <c r="Z73" s="1">
        <v>70.7</v>
      </c>
      <c r="AC73" s="124"/>
      <c r="AD73" s="124"/>
      <c r="AE73" s="124"/>
      <c r="AF73" s="124"/>
      <c r="AG73" s="124"/>
      <c r="AH73" s="124"/>
      <c r="AI73" s="124"/>
      <c r="AJ73" s="124"/>
      <c r="AK73" s="124"/>
      <c r="AL73" s="124"/>
      <c r="AM73" s="124"/>
    </row>
    <row r="74" spans="2:39">
      <c r="B74" s="1">
        <v>1991</v>
      </c>
      <c r="C74" s="1">
        <v>14250</v>
      </c>
      <c r="D74" s="1">
        <v>348</v>
      </c>
      <c r="E74" s="1">
        <v>80</v>
      </c>
      <c r="F74" s="1">
        <v>486</v>
      </c>
      <c r="G74" s="1">
        <v>422</v>
      </c>
      <c r="H74" s="1">
        <v>3244</v>
      </c>
      <c r="I74" s="1">
        <v>4942</v>
      </c>
      <c r="J74" s="1">
        <v>606</v>
      </c>
      <c r="K74" s="1">
        <v>596</v>
      </c>
      <c r="L74" s="1">
        <v>1722</v>
      </c>
      <c r="M74" s="1">
        <v>1602</v>
      </c>
      <c r="O74" s="1">
        <v>1991</v>
      </c>
      <c r="P74" s="1">
        <v>81.099999999999994</v>
      </c>
      <c r="Q74" s="1">
        <v>81.599999999999994</v>
      </c>
      <c r="R74" s="1">
        <v>79.3</v>
      </c>
      <c r="S74" s="1">
        <v>80.2</v>
      </c>
      <c r="T74" s="1">
        <v>81.2</v>
      </c>
      <c r="U74" s="1">
        <v>81.900000000000006</v>
      </c>
      <c r="V74" s="1">
        <v>84.6</v>
      </c>
      <c r="W74" s="1">
        <v>81.400000000000006</v>
      </c>
      <c r="X74" s="1">
        <v>77.400000000000006</v>
      </c>
      <c r="Y74" s="1">
        <v>77</v>
      </c>
      <c r="Z74" s="1">
        <v>74.400000000000006</v>
      </c>
      <c r="AC74" s="124"/>
      <c r="AD74" s="124"/>
      <c r="AE74" s="124"/>
      <c r="AF74" s="124"/>
      <c r="AG74" s="124"/>
      <c r="AH74" s="124"/>
      <c r="AI74" s="124"/>
      <c r="AJ74" s="124"/>
      <c r="AK74" s="124"/>
      <c r="AL74" s="124"/>
      <c r="AM74" s="124"/>
    </row>
    <row r="75" spans="2:39">
      <c r="B75" s="1">
        <v>1992</v>
      </c>
      <c r="C75" s="1">
        <v>14690</v>
      </c>
      <c r="D75" s="1">
        <v>360</v>
      </c>
      <c r="E75" s="1">
        <v>80</v>
      </c>
      <c r="F75" s="1">
        <v>490</v>
      </c>
      <c r="G75" s="1">
        <v>431</v>
      </c>
      <c r="H75" s="1">
        <v>3392</v>
      </c>
      <c r="I75" s="1">
        <v>5029</v>
      </c>
      <c r="J75" s="1">
        <v>622</v>
      </c>
      <c r="K75" s="1">
        <v>604</v>
      </c>
      <c r="L75" s="1">
        <v>1778</v>
      </c>
      <c r="M75" s="1">
        <v>1693</v>
      </c>
      <c r="O75" s="1">
        <v>1992</v>
      </c>
      <c r="P75" s="1">
        <v>83.6</v>
      </c>
      <c r="Q75" s="1">
        <v>82.9</v>
      </c>
      <c r="R75" s="1">
        <v>81.5</v>
      </c>
      <c r="S75" s="1">
        <v>81.900000000000006</v>
      </c>
      <c r="T75" s="1">
        <v>82.9</v>
      </c>
      <c r="U75" s="1">
        <v>84.3</v>
      </c>
      <c r="V75" s="1">
        <v>87.1</v>
      </c>
      <c r="W75" s="1">
        <v>83.4</v>
      </c>
      <c r="X75" s="1">
        <v>78.8</v>
      </c>
      <c r="Y75" s="1">
        <v>79.099999999999994</v>
      </c>
      <c r="Z75" s="1">
        <v>78</v>
      </c>
      <c r="AC75" s="124"/>
      <c r="AD75" s="124"/>
      <c r="AE75" s="124"/>
      <c r="AF75" s="124"/>
      <c r="AG75" s="124"/>
      <c r="AH75" s="124"/>
      <c r="AI75" s="124"/>
      <c r="AJ75" s="124"/>
      <c r="AK75" s="124"/>
      <c r="AL75" s="124"/>
      <c r="AM75" s="124"/>
    </row>
    <row r="76" spans="2:39">
      <c r="B76" s="1">
        <v>1993</v>
      </c>
      <c r="C76" s="1">
        <v>15282</v>
      </c>
      <c r="D76" s="1">
        <v>369</v>
      </c>
      <c r="E76" s="1">
        <v>85</v>
      </c>
      <c r="F76" s="1">
        <v>506</v>
      </c>
      <c r="G76" s="1">
        <v>455</v>
      </c>
      <c r="H76" s="1">
        <v>3526</v>
      </c>
      <c r="I76" s="1">
        <v>5275</v>
      </c>
      <c r="J76" s="1">
        <v>639</v>
      </c>
      <c r="K76" s="1">
        <v>612</v>
      </c>
      <c r="L76" s="1">
        <v>1822</v>
      </c>
      <c r="M76" s="1">
        <v>1773</v>
      </c>
      <c r="O76" s="1">
        <v>1993</v>
      </c>
      <c r="P76" s="1">
        <v>84.7</v>
      </c>
      <c r="Q76" s="1">
        <v>83.6</v>
      </c>
      <c r="R76" s="1">
        <v>83.4</v>
      </c>
      <c r="S76" s="1">
        <v>82.6</v>
      </c>
      <c r="T76" s="1">
        <v>83.7</v>
      </c>
      <c r="U76" s="1">
        <v>85.6</v>
      </c>
      <c r="V76" s="1">
        <v>88</v>
      </c>
      <c r="W76" s="1">
        <v>83.3</v>
      </c>
      <c r="X76" s="1">
        <v>79.599999999999994</v>
      </c>
      <c r="Y76" s="1">
        <v>81.2</v>
      </c>
      <c r="Z76" s="1">
        <v>79.3</v>
      </c>
      <c r="AC76" s="124"/>
      <c r="AD76" s="124"/>
      <c r="AE76" s="124"/>
      <c r="AF76" s="124"/>
      <c r="AG76" s="124"/>
      <c r="AH76" s="124"/>
      <c r="AI76" s="124"/>
      <c r="AJ76" s="124"/>
      <c r="AK76" s="124"/>
      <c r="AL76" s="124"/>
      <c r="AM76" s="124"/>
    </row>
    <row r="77" spans="2:39">
      <c r="B77" s="1">
        <v>1994</v>
      </c>
      <c r="C77" s="1">
        <v>16181</v>
      </c>
      <c r="D77" s="1">
        <v>388</v>
      </c>
      <c r="E77" s="1">
        <v>91</v>
      </c>
      <c r="F77" s="1">
        <v>535</v>
      </c>
      <c r="G77" s="1">
        <v>487</v>
      </c>
      <c r="H77" s="1">
        <v>3744</v>
      </c>
      <c r="I77" s="1">
        <v>5613</v>
      </c>
      <c r="J77" s="1">
        <v>671</v>
      </c>
      <c r="K77" s="1">
        <v>634</v>
      </c>
      <c r="L77" s="1">
        <v>1894</v>
      </c>
      <c r="M77" s="1">
        <v>1887</v>
      </c>
      <c r="O77" s="1">
        <v>1994</v>
      </c>
      <c r="P77" s="1">
        <v>86</v>
      </c>
      <c r="Q77" s="1">
        <v>85.3</v>
      </c>
      <c r="R77" s="1">
        <v>82.9</v>
      </c>
      <c r="S77" s="1">
        <v>84.2</v>
      </c>
      <c r="T77" s="1">
        <v>86.1</v>
      </c>
      <c r="U77" s="1">
        <v>86.9</v>
      </c>
      <c r="V77" s="1">
        <v>88.2</v>
      </c>
      <c r="W77" s="1">
        <v>85.1</v>
      </c>
      <c r="X77" s="1">
        <v>82.1</v>
      </c>
      <c r="Y77" s="1">
        <v>82.8</v>
      </c>
      <c r="Z77" s="1">
        <v>82.8</v>
      </c>
      <c r="AC77" s="124"/>
      <c r="AD77" s="124"/>
      <c r="AE77" s="124"/>
      <c r="AF77" s="124"/>
      <c r="AG77" s="124"/>
      <c r="AH77" s="124"/>
      <c r="AI77" s="124"/>
      <c r="AJ77" s="124"/>
      <c r="AK77" s="124"/>
      <c r="AL77" s="124"/>
      <c r="AM77" s="124"/>
    </row>
    <row r="78" spans="2:39">
      <c r="B78" s="1">
        <v>1995</v>
      </c>
      <c r="C78" s="1">
        <v>17004</v>
      </c>
      <c r="D78" s="1">
        <v>399</v>
      </c>
      <c r="E78" s="1">
        <v>96</v>
      </c>
      <c r="F78" s="1">
        <v>558</v>
      </c>
      <c r="G78" s="1">
        <v>513</v>
      </c>
      <c r="H78" s="1">
        <v>3959</v>
      </c>
      <c r="I78" s="1">
        <v>5910</v>
      </c>
      <c r="J78" s="1">
        <v>700</v>
      </c>
      <c r="K78" s="1">
        <v>653</v>
      </c>
      <c r="L78" s="1">
        <v>1957</v>
      </c>
      <c r="M78" s="1">
        <v>2008</v>
      </c>
      <c r="O78" s="1">
        <v>1995</v>
      </c>
      <c r="P78" s="1">
        <v>87</v>
      </c>
      <c r="Q78" s="1">
        <v>86.1</v>
      </c>
      <c r="R78" s="1">
        <v>83</v>
      </c>
      <c r="S78" s="1">
        <v>85</v>
      </c>
      <c r="T78" s="1">
        <v>87.4</v>
      </c>
      <c r="U78" s="1">
        <v>88</v>
      </c>
      <c r="V78" s="1">
        <v>88.3</v>
      </c>
      <c r="W78" s="1">
        <v>86.5</v>
      </c>
      <c r="X78" s="1">
        <v>83.9</v>
      </c>
      <c r="Y78" s="1">
        <v>82.6</v>
      </c>
      <c r="Z78" s="1">
        <v>86.3</v>
      </c>
      <c r="AC78" s="124"/>
      <c r="AD78" s="124"/>
      <c r="AE78" s="124"/>
      <c r="AF78" s="124"/>
      <c r="AG78" s="124"/>
      <c r="AH78" s="124"/>
      <c r="AI78" s="124"/>
      <c r="AJ78" s="124"/>
      <c r="AK78" s="124"/>
      <c r="AL78" s="124"/>
      <c r="AM78" s="124"/>
    </row>
    <row r="79" spans="2:39">
      <c r="B79" s="1">
        <v>1996</v>
      </c>
      <c r="C79" s="1">
        <v>17441</v>
      </c>
      <c r="D79" s="1">
        <v>404</v>
      </c>
      <c r="E79" s="1">
        <v>99</v>
      </c>
      <c r="F79" s="1">
        <v>569</v>
      </c>
      <c r="G79" s="1">
        <v>526</v>
      </c>
      <c r="H79" s="1">
        <v>4078</v>
      </c>
      <c r="I79" s="1">
        <v>6053</v>
      </c>
      <c r="J79" s="1">
        <v>715</v>
      </c>
      <c r="K79" s="1">
        <v>658</v>
      </c>
      <c r="L79" s="1">
        <v>1985</v>
      </c>
      <c r="M79" s="1">
        <v>2096</v>
      </c>
      <c r="O79" s="1">
        <v>1996</v>
      </c>
      <c r="P79" s="1">
        <v>87.3</v>
      </c>
      <c r="Q79" s="1">
        <v>85.9</v>
      </c>
      <c r="R79" s="1">
        <v>82.6</v>
      </c>
      <c r="S79" s="1">
        <v>85.5</v>
      </c>
      <c r="T79" s="1">
        <v>89.8</v>
      </c>
      <c r="U79" s="1">
        <v>87.2</v>
      </c>
      <c r="V79" s="1">
        <v>88.7</v>
      </c>
      <c r="W79" s="1">
        <v>87.4</v>
      </c>
      <c r="X79" s="1">
        <v>85</v>
      </c>
      <c r="Y79" s="1">
        <v>83.8</v>
      </c>
      <c r="Z79" s="1">
        <v>87.4</v>
      </c>
      <c r="AC79" s="124"/>
      <c r="AD79" s="124"/>
      <c r="AE79" s="124"/>
      <c r="AF79" s="124"/>
      <c r="AG79" s="124"/>
      <c r="AH79" s="124"/>
      <c r="AI79" s="124"/>
      <c r="AJ79" s="124"/>
      <c r="AK79" s="124"/>
      <c r="AL79" s="124"/>
      <c r="AM79" s="124"/>
    </row>
    <row r="80" spans="2:39">
      <c r="B80" s="1">
        <v>1997</v>
      </c>
      <c r="C80" s="1">
        <v>18100</v>
      </c>
      <c r="D80" s="1">
        <v>412</v>
      </c>
      <c r="E80" s="1">
        <v>98</v>
      </c>
      <c r="F80" s="1">
        <v>579</v>
      </c>
      <c r="G80" s="1">
        <v>547</v>
      </c>
      <c r="H80" s="1">
        <v>4250</v>
      </c>
      <c r="I80" s="1">
        <v>6293</v>
      </c>
      <c r="J80" s="1">
        <v>736</v>
      </c>
      <c r="K80" s="1">
        <v>679</v>
      </c>
      <c r="L80" s="1">
        <v>2036</v>
      </c>
      <c r="M80" s="1">
        <v>2200</v>
      </c>
      <c r="O80" s="1">
        <v>1997</v>
      </c>
      <c r="P80" s="1">
        <v>88.5</v>
      </c>
      <c r="Q80" s="1">
        <v>86.6</v>
      </c>
      <c r="R80" s="1">
        <v>84.1</v>
      </c>
      <c r="S80" s="1">
        <v>86.9</v>
      </c>
      <c r="T80" s="1">
        <v>88.3</v>
      </c>
      <c r="U80" s="1">
        <v>88.2</v>
      </c>
      <c r="V80" s="1">
        <v>89.8</v>
      </c>
      <c r="W80" s="1">
        <v>87.4</v>
      </c>
      <c r="X80" s="1">
        <v>87.2</v>
      </c>
      <c r="Y80" s="1">
        <v>86.3</v>
      </c>
      <c r="Z80" s="1">
        <v>88.9</v>
      </c>
      <c r="AC80" s="124"/>
      <c r="AD80" s="124"/>
      <c r="AE80" s="124"/>
      <c r="AF80" s="124"/>
      <c r="AG80" s="124"/>
      <c r="AH80" s="124"/>
      <c r="AI80" s="124"/>
      <c r="AJ80" s="124"/>
      <c r="AK80" s="124"/>
      <c r="AL80" s="124"/>
      <c r="AM80" s="124"/>
    </row>
    <row r="81" spans="2:39">
      <c r="B81" s="1">
        <v>1998</v>
      </c>
      <c r="C81" s="1">
        <v>18649</v>
      </c>
      <c r="D81" s="1">
        <v>419</v>
      </c>
      <c r="E81" s="1">
        <v>103</v>
      </c>
      <c r="F81" s="1">
        <v>589</v>
      </c>
      <c r="G81" s="1">
        <v>562</v>
      </c>
      <c r="H81" s="1">
        <v>4387</v>
      </c>
      <c r="I81" s="1">
        <v>6503</v>
      </c>
      <c r="J81" s="1">
        <v>752</v>
      </c>
      <c r="K81" s="1">
        <v>694</v>
      </c>
      <c r="L81" s="1">
        <v>2071</v>
      </c>
      <c r="M81" s="1">
        <v>2289</v>
      </c>
      <c r="O81" s="1">
        <v>1998</v>
      </c>
      <c r="P81" s="1">
        <v>89.5</v>
      </c>
      <c r="Q81" s="1">
        <v>86.7</v>
      </c>
      <c r="R81" s="1">
        <v>86.7</v>
      </c>
      <c r="S81" s="1">
        <v>87.7</v>
      </c>
      <c r="T81" s="1">
        <v>89</v>
      </c>
      <c r="U81" s="1">
        <v>88.4</v>
      </c>
      <c r="V81" s="1">
        <v>91.2</v>
      </c>
      <c r="W81" s="1">
        <v>88.9</v>
      </c>
      <c r="X81" s="1">
        <v>88.9</v>
      </c>
      <c r="Y81" s="1">
        <v>87.1</v>
      </c>
      <c r="Z81" s="1">
        <v>90.2</v>
      </c>
      <c r="AC81" s="124"/>
      <c r="AD81" s="124"/>
      <c r="AE81" s="124"/>
      <c r="AF81" s="124"/>
      <c r="AG81" s="124"/>
      <c r="AH81" s="124"/>
      <c r="AI81" s="124"/>
      <c r="AJ81" s="124"/>
      <c r="AK81" s="124"/>
      <c r="AL81" s="124"/>
      <c r="AM81" s="124"/>
    </row>
    <row r="82" spans="2:39">
      <c r="B82" s="1">
        <v>1999</v>
      </c>
      <c r="C82" s="1">
        <v>19236</v>
      </c>
      <c r="D82" s="1">
        <v>432</v>
      </c>
      <c r="E82" s="1">
        <v>108</v>
      </c>
      <c r="F82" s="1">
        <v>593</v>
      </c>
      <c r="G82" s="1">
        <v>586</v>
      </c>
      <c r="H82" s="1">
        <v>4533</v>
      </c>
      <c r="I82" s="1">
        <v>6702</v>
      </c>
      <c r="J82" s="1">
        <v>766</v>
      </c>
      <c r="K82" s="1">
        <v>717</v>
      </c>
      <c r="L82" s="1">
        <v>2141</v>
      </c>
      <c r="M82" s="1">
        <v>2372</v>
      </c>
      <c r="O82" s="1">
        <v>1999</v>
      </c>
      <c r="P82" s="1">
        <v>91</v>
      </c>
      <c r="Q82" s="1">
        <v>88.7</v>
      </c>
      <c r="R82" s="1">
        <v>88.6</v>
      </c>
      <c r="S82" s="1">
        <v>90.5</v>
      </c>
      <c r="T82" s="1">
        <v>90.9</v>
      </c>
      <c r="U82" s="1">
        <v>90.5</v>
      </c>
      <c r="V82" s="1">
        <v>91.8</v>
      </c>
      <c r="W82" s="1">
        <v>90.6</v>
      </c>
      <c r="X82" s="1">
        <v>91.4</v>
      </c>
      <c r="Y82" s="1">
        <v>89.2</v>
      </c>
      <c r="Z82" s="1">
        <v>91.2</v>
      </c>
      <c r="AC82" s="124"/>
      <c r="AD82" s="124"/>
      <c r="AE82" s="124"/>
      <c r="AF82" s="124"/>
      <c r="AG82" s="124"/>
      <c r="AH82" s="124"/>
      <c r="AI82" s="124"/>
      <c r="AJ82" s="124"/>
      <c r="AK82" s="124"/>
      <c r="AL82" s="124"/>
      <c r="AM82" s="124"/>
    </row>
    <row r="83" spans="2:39">
      <c r="B83" s="1">
        <v>2000</v>
      </c>
      <c r="C83" s="199">
        <v>20145</v>
      </c>
      <c r="D83" s="199">
        <v>449</v>
      </c>
      <c r="E83" s="199">
        <v>113</v>
      </c>
      <c r="F83" s="199">
        <v>598</v>
      </c>
      <c r="G83" s="199">
        <v>620</v>
      </c>
      <c r="H83" s="199">
        <v>4750</v>
      </c>
      <c r="I83" s="199">
        <v>7051</v>
      </c>
      <c r="J83" s="199">
        <v>791</v>
      </c>
      <c r="K83" s="199">
        <v>744</v>
      </c>
      <c r="L83" s="199">
        <v>2243</v>
      </c>
      <c r="M83" s="199">
        <v>2491</v>
      </c>
      <c r="O83" s="1">
        <v>2000</v>
      </c>
      <c r="P83" s="1">
        <v>94.9</v>
      </c>
      <c r="Q83" s="137">
        <v>94.8</v>
      </c>
      <c r="R83" s="137">
        <v>95.3</v>
      </c>
      <c r="S83" s="137">
        <v>94.6</v>
      </c>
      <c r="T83" s="137">
        <v>95.6</v>
      </c>
      <c r="U83" s="137">
        <v>95.2</v>
      </c>
      <c r="V83" s="137">
        <v>95.5</v>
      </c>
      <c r="W83" s="137">
        <v>95.5</v>
      </c>
      <c r="X83" s="137">
        <v>94.4</v>
      </c>
      <c r="Y83" s="137">
        <v>92.8</v>
      </c>
      <c r="Z83" s="137">
        <v>94.5</v>
      </c>
      <c r="AC83" s="124"/>
      <c r="AD83" s="124"/>
      <c r="AE83" s="124"/>
      <c r="AF83" s="124"/>
      <c r="AG83" s="124"/>
      <c r="AH83" s="124"/>
      <c r="AI83" s="124"/>
      <c r="AJ83" s="124"/>
      <c r="AK83" s="124"/>
      <c r="AL83" s="124"/>
      <c r="AM83" s="124"/>
    </row>
    <row r="84" spans="2:39">
      <c r="B84" s="1">
        <v>2001</v>
      </c>
      <c r="C84" s="199">
        <v>20884</v>
      </c>
      <c r="D84" s="199">
        <v>463</v>
      </c>
      <c r="E84" s="199">
        <v>117</v>
      </c>
      <c r="F84" s="199">
        <v>612</v>
      </c>
      <c r="G84" s="199">
        <v>642</v>
      </c>
      <c r="H84" s="199">
        <v>4911</v>
      </c>
      <c r="I84" s="199">
        <v>7355</v>
      </c>
      <c r="J84" s="199">
        <v>807</v>
      </c>
      <c r="K84" s="199">
        <v>767</v>
      </c>
      <c r="L84" s="199">
        <v>2328</v>
      </c>
      <c r="M84" s="199">
        <v>2580</v>
      </c>
      <c r="O84" s="1">
        <v>2001</v>
      </c>
      <c r="P84" s="1">
        <v>96.7</v>
      </c>
      <c r="Q84" s="137">
        <v>97</v>
      </c>
      <c r="R84" s="137">
        <v>95</v>
      </c>
      <c r="S84" s="137">
        <v>96.5</v>
      </c>
      <c r="T84" s="137">
        <v>96.9</v>
      </c>
      <c r="U84" s="137">
        <v>96.7</v>
      </c>
      <c r="V84" s="137">
        <v>96.7</v>
      </c>
      <c r="W84" s="137">
        <v>97.1</v>
      </c>
      <c r="X84" s="137">
        <v>96.5</v>
      </c>
      <c r="Y84" s="137">
        <v>95.8</v>
      </c>
      <c r="Z84" s="137">
        <v>97</v>
      </c>
      <c r="AC84" s="124"/>
      <c r="AD84" s="124"/>
      <c r="AE84" s="124"/>
      <c r="AF84" s="124"/>
      <c r="AG84" s="124"/>
      <c r="AH84" s="124"/>
      <c r="AI84" s="124"/>
      <c r="AJ84" s="124"/>
      <c r="AK84" s="124"/>
      <c r="AL84" s="124"/>
      <c r="AM84" s="124"/>
    </row>
    <row r="85" spans="2:39">
      <c r="B85" s="1">
        <v>2002</v>
      </c>
      <c r="C85" s="199">
        <v>21830</v>
      </c>
      <c r="D85" s="199">
        <v>491</v>
      </c>
      <c r="E85" s="199">
        <v>124</v>
      </c>
      <c r="F85" s="199">
        <v>644</v>
      </c>
      <c r="G85" s="199">
        <v>661</v>
      </c>
      <c r="H85" s="199">
        <v>5197</v>
      </c>
      <c r="I85" s="199">
        <v>7634</v>
      </c>
      <c r="J85" s="199">
        <v>819</v>
      </c>
      <c r="K85" s="199">
        <v>807</v>
      </c>
      <c r="L85" s="199">
        <v>2461</v>
      </c>
      <c r="M85" s="199">
        <v>2677</v>
      </c>
      <c r="O85" s="1">
        <v>2002</v>
      </c>
      <c r="P85" s="1">
        <v>100</v>
      </c>
      <c r="Q85" s="137">
        <v>100</v>
      </c>
      <c r="R85" s="137">
        <v>100</v>
      </c>
      <c r="S85" s="137">
        <v>100</v>
      </c>
      <c r="T85" s="137">
        <v>100</v>
      </c>
      <c r="U85" s="137">
        <v>100</v>
      </c>
      <c r="V85" s="137">
        <v>100</v>
      </c>
      <c r="W85" s="137">
        <v>100</v>
      </c>
      <c r="X85" s="137">
        <v>100</v>
      </c>
      <c r="Y85" s="137">
        <v>100</v>
      </c>
      <c r="Z85" s="137">
        <v>100</v>
      </c>
      <c r="AC85" s="124"/>
      <c r="AD85" s="124"/>
      <c r="AE85" s="124"/>
      <c r="AF85" s="124"/>
      <c r="AG85" s="124"/>
      <c r="AH85" s="124"/>
      <c r="AI85" s="124"/>
      <c r="AJ85" s="124"/>
      <c r="AK85" s="124"/>
      <c r="AL85" s="124"/>
      <c r="AM85" s="124"/>
    </row>
    <row r="86" spans="2:39">
      <c r="B86" s="1">
        <v>2003</v>
      </c>
      <c r="C86" s="199">
        <v>22227</v>
      </c>
      <c r="D86" s="199">
        <v>504</v>
      </c>
      <c r="E86" s="199">
        <v>128</v>
      </c>
      <c r="F86" s="199">
        <v>667</v>
      </c>
      <c r="G86" s="199">
        <v>669</v>
      </c>
      <c r="H86" s="199">
        <v>5252</v>
      </c>
      <c r="I86" s="199">
        <v>7772</v>
      </c>
      <c r="J86" s="199">
        <v>827</v>
      </c>
      <c r="K86" s="199">
        <v>822</v>
      </c>
      <c r="L86" s="199">
        <v>2544</v>
      </c>
      <c r="M86" s="199">
        <v>2719</v>
      </c>
      <c r="O86" s="1">
        <v>2003</v>
      </c>
      <c r="P86" s="1">
        <v>103</v>
      </c>
      <c r="Q86" s="137">
        <v>103</v>
      </c>
      <c r="R86" s="137">
        <v>101.5</v>
      </c>
      <c r="S86" s="137">
        <v>101.6</v>
      </c>
      <c r="T86" s="137">
        <v>102.9</v>
      </c>
      <c r="U86" s="137">
        <v>104.5</v>
      </c>
      <c r="V86" s="137">
        <v>102.9</v>
      </c>
      <c r="W86" s="137">
        <v>101.9</v>
      </c>
      <c r="X86" s="137">
        <v>102.6</v>
      </c>
      <c r="Y86" s="137">
        <v>102.8</v>
      </c>
      <c r="Z86" s="137">
        <v>101.6</v>
      </c>
      <c r="AC86" s="124"/>
      <c r="AD86" s="124"/>
      <c r="AE86" s="124"/>
      <c r="AF86" s="124"/>
      <c r="AG86" s="124"/>
      <c r="AH86" s="124"/>
      <c r="AI86" s="124"/>
      <c r="AJ86" s="124"/>
      <c r="AK86" s="124"/>
      <c r="AL86" s="124"/>
      <c r="AM86" s="124"/>
    </row>
    <row r="87" spans="2:39">
      <c r="B87" s="1">
        <v>2004</v>
      </c>
      <c r="C87" s="199">
        <v>23300</v>
      </c>
      <c r="D87" s="199">
        <v>520</v>
      </c>
      <c r="E87" s="199">
        <v>131</v>
      </c>
      <c r="F87" s="199">
        <v>694</v>
      </c>
      <c r="G87" s="199">
        <v>697</v>
      </c>
      <c r="H87" s="199">
        <v>5481</v>
      </c>
      <c r="I87" s="199">
        <v>8158</v>
      </c>
      <c r="J87" s="199">
        <v>857</v>
      </c>
      <c r="K87" s="199">
        <v>858</v>
      </c>
      <c r="L87" s="199">
        <v>2699</v>
      </c>
      <c r="M87" s="199">
        <v>2863</v>
      </c>
      <c r="O87" s="1">
        <v>2004</v>
      </c>
      <c r="P87" s="1">
        <v>104.8</v>
      </c>
      <c r="Q87" s="137">
        <v>105</v>
      </c>
      <c r="R87" s="137">
        <v>104.1</v>
      </c>
      <c r="S87" s="137">
        <v>103.9</v>
      </c>
      <c r="T87" s="137">
        <v>106.8</v>
      </c>
      <c r="U87" s="137">
        <v>104.3</v>
      </c>
      <c r="V87" s="137">
        <v>105.3</v>
      </c>
      <c r="W87" s="137">
        <v>104.5</v>
      </c>
      <c r="X87" s="137">
        <v>105.6</v>
      </c>
      <c r="Y87" s="137">
        <v>106</v>
      </c>
      <c r="Z87" s="137">
        <v>103</v>
      </c>
      <c r="AC87" s="124"/>
      <c r="AD87" s="124"/>
      <c r="AE87" s="124"/>
      <c r="AF87" s="124"/>
      <c r="AG87" s="124"/>
      <c r="AH87" s="124"/>
      <c r="AI87" s="124"/>
      <c r="AJ87" s="124"/>
      <c r="AK87" s="124"/>
      <c r="AL87" s="124"/>
      <c r="AM87" s="124"/>
    </row>
    <row r="88" spans="2:39">
      <c r="B88" s="1">
        <v>2005</v>
      </c>
      <c r="C88" s="199">
        <v>24626</v>
      </c>
      <c r="D88" s="199">
        <v>537</v>
      </c>
      <c r="E88" s="199">
        <v>140</v>
      </c>
      <c r="F88" s="199">
        <v>717</v>
      </c>
      <c r="G88" s="199">
        <v>727</v>
      </c>
      <c r="H88" s="199">
        <v>5792</v>
      </c>
      <c r="I88" s="199">
        <v>8577</v>
      </c>
      <c r="J88" s="199">
        <v>896</v>
      </c>
      <c r="K88" s="199">
        <v>907</v>
      </c>
      <c r="L88" s="199">
        <v>2907</v>
      </c>
      <c r="M88" s="199">
        <v>3064</v>
      </c>
      <c r="N88" s="124"/>
      <c r="O88" s="1">
        <v>2005</v>
      </c>
      <c r="P88" s="1">
        <v>108.5</v>
      </c>
      <c r="Q88" s="137">
        <v>108</v>
      </c>
      <c r="R88" s="137">
        <v>107</v>
      </c>
      <c r="S88" s="137">
        <v>108.1</v>
      </c>
      <c r="T88" s="137">
        <v>111.6</v>
      </c>
      <c r="U88" s="137">
        <v>108</v>
      </c>
      <c r="V88" s="137">
        <v>109.5</v>
      </c>
      <c r="W88" s="137">
        <v>109.1</v>
      </c>
      <c r="X88" s="137">
        <v>108.9</v>
      </c>
      <c r="Y88" s="137">
        <v>110.3</v>
      </c>
      <c r="Z88" s="137">
        <v>104.7</v>
      </c>
      <c r="AA88" s="124"/>
      <c r="AC88" s="124"/>
      <c r="AD88" s="124"/>
      <c r="AE88" s="124"/>
      <c r="AF88" s="124"/>
      <c r="AG88" s="124"/>
      <c r="AH88" s="124"/>
      <c r="AI88" s="124"/>
      <c r="AJ88" s="124"/>
      <c r="AK88" s="124"/>
      <c r="AL88" s="124"/>
      <c r="AM88" s="124"/>
    </row>
    <row r="89" spans="2:39">
      <c r="B89" s="1">
        <v>2006</v>
      </c>
      <c r="C89" s="199">
        <v>26494</v>
      </c>
      <c r="D89" s="199">
        <v>556</v>
      </c>
      <c r="E89" s="199">
        <v>151</v>
      </c>
      <c r="F89" s="199">
        <v>749</v>
      </c>
      <c r="G89" s="199">
        <v>773</v>
      </c>
      <c r="H89" s="199">
        <v>6125</v>
      </c>
      <c r="I89" s="199">
        <v>9182</v>
      </c>
      <c r="J89" s="199">
        <v>962</v>
      </c>
      <c r="K89" s="199">
        <v>986</v>
      </c>
      <c r="L89" s="199">
        <v>3249</v>
      </c>
      <c r="M89" s="199">
        <v>3376</v>
      </c>
      <c r="O89" s="1">
        <v>2006</v>
      </c>
      <c r="P89" s="1">
        <v>112.5</v>
      </c>
      <c r="Q89" s="137">
        <v>151.9</v>
      </c>
      <c r="R89" s="137">
        <v>109.6</v>
      </c>
      <c r="S89" s="137">
        <v>110</v>
      </c>
      <c r="T89" s="137">
        <v>115.1</v>
      </c>
      <c r="U89" s="137">
        <v>109.5</v>
      </c>
      <c r="V89" s="137">
        <v>112.5</v>
      </c>
      <c r="W89" s="137">
        <v>113</v>
      </c>
      <c r="X89" s="137">
        <v>111.8</v>
      </c>
      <c r="Y89" s="137">
        <v>115.2</v>
      </c>
      <c r="Z89" s="137">
        <v>110.4</v>
      </c>
      <c r="AC89" s="124"/>
      <c r="AD89" s="124"/>
      <c r="AE89" s="124"/>
      <c r="AF89" s="124"/>
      <c r="AG89" s="124"/>
      <c r="AH89" s="124"/>
      <c r="AI89" s="124"/>
      <c r="AJ89" s="124"/>
      <c r="AK89" s="124"/>
      <c r="AL89" s="124"/>
      <c r="AM89" s="124"/>
    </row>
    <row r="90" spans="2:39">
      <c r="B90" s="1">
        <v>2007</v>
      </c>
      <c r="C90" s="199">
        <v>28650</v>
      </c>
      <c r="D90" s="199">
        <v>580</v>
      </c>
      <c r="E90" s="199">
        <v>163</v>
      </c>
      <c r="F90" s="199">
        <v>787</v>
      </c>
      <c r="G90" s="199">
        <v>821</v>
      </c>
      <c r="H90" s="199">
        <v>6500</v>
      </c>
      <c r="I90" s="199">
        <v>9875</v>
      </c>
      <c r="J90" s="199">
        <v>1062</v>
      </c>
      <c r="K90" s="199">
        <v>1083</v>
      </c>
      <c r="L90" s="199">
        <v>3657</v>
      </c>
      <c r="M90" s="199">
        <v>3716</v>
      </c>
      <c r="O90" s="1">
        <v>2007</v>
      </c>
      <c r="P90" s="1">
        <v>115.8</v>
      </c>
      <c r="Q90" s="137">
        <v>131.9</v>
      </c>
      <c r="R90" s="137">
        <v>113.8</v>
      </c>
      <c r="S90" s="137">
        <v>113.7</v>
      </c>
      <c r="T90" s="137">
        <v>119.7</v>
      </c>
      <c r="U90" s="137">
        <v>114.8</v>
      </c>
      <c r="V90" s="137">
        <v>115.8</v>
      </c>
      <c r="W90" s="137">
        <v>117.3</v>
      </c>
      <c r="X90" s="137">
        <v>117.1</v>
      </c>
      <c r="Y90" s="137">
        <v>118.8</v>
      </c>
      <c r="Z90" s="137">
        <v>112.2</v>
      </c>
      <c r="AB90" s="1">
        <v>2007</v>
      </c>
      <c r="AC90" s="165">
        <f t="shared" ref="AC90:AM90" si="154">C90/P90*100</f>
        <v>24740.932642487049</v>
      </c>
      <c r="AD90" s="165">
        <f t="shared" si="154"/>
        <v>439.72706595905987</v>
      </c>
      <c r="AE90" s="165">
        <f t="shared" si="154"/>
        <v>143.23374340949033</v>
      </c>
      <c r="AF90" s="165">
        <f t="shared" si="154"/>
        <v>692.17238346525937</v>
      </c>
      <c r="AG90" s="165">
        <f t="shared" si="154"/>
        <v>685.88137009189643</v>
      </c>
      <c r="AH90" s="165">
        <f t="shared" si="154"/>
        <v>5662.0209059233457</v>
      </c>
      <c r="AI90" s="165">
        <f t="shared" si="154"/>
        <v>8527.6338514680483</v>
      </c>
      <c r="AJ90" s="165">
        <f t="shared" si="154"/>
        <v>905.37084398976992</v>
      </c>
      <c r="AK90" s="165">
        <f t="shared" si="154"/>
        <v>924.85055508112737</v>
      </c>
      <c r="AL90" s="165">
        <f t="shared" si="154"/>
        <v>3078.2828282828282</v>
      </c>
      <c r="AM90" s="165">
        <f t="shared" si="154"/>
        <v>3311.9429590017821</v>
      </c>
    </row>
    <row r="91" spans="2:39">
      <c r="B91" s="1">
        <v>2008</v>
      </c>
      <c r="C91" s="199">
        <v>31725</v>
      </c>
      <c r="D91" s="199">
        <v>619</v>
      </c>
      <c r="E91" s="199">
        <v>182</v>
      </c>
      <c r="F91" s="199">
        <v>834</v>
      </c>
      <c r="G91" s="199">
        <v>893</v>
      </c>
      <c r="H91" s="199">
        <v>7159</v>
      </c>
      <c r="I91" s="199">
        <v>10912</v>
      </c>
      <c r="J91" s="199">
        <v>1177</v>
      </c>
      <c r="K91" s="199">
        <v>1200</v>
      </c>
      <c r="L91" s="199">
        <v>4201</v>
      </c>
      <c r="M91" s="199">
        <v>4106</v>
      </c>
      <c r="O91" s="1">
        <v>2008</v>
      </c>
      <c r="P91" s="1">
        <v>119.4</v>
      </c>
      <c r="Q91" s="137">
        <v>116.7</v>
      </c>
      <c r="R91" s="137">
        <v>118.5</v>
      </c>
      <c r="S91" s="137">
        <v>117.9</v>
      </c>
      <c r="T91" s="137">
        <v>125.2</v>
      </c>
      <c r="U91" s="137">
        <v>116.8</v>
      </c>
      <c r="V91" s="137">
        <v>119.8</v>
      </c>
      <c r="W91" s="137">
        <v>121.9</v>
      </c>
      <c r="X91" s="137">
        <v>122</v>
      </c>
      <c r="Y91" s="137">
        <v>125.7</v>
      </c>
      <c r="Z91" s="137">
        <v>115.8</v>
      </c>
      <c r="AC91" s="165"/>
      <c r="AD91" s="165"/>
      <c r="AE91" s="165"/>
      <c r="AF91" s="165"/>
      <c r="AG91" s="165"/>
      <c r="AH91" s="165"/>
      <c r="AI91" s="165"/>
      <c r="AJ91" s="165"/>
      <c r="AK91" s="165"/>
      <c r="AL91" s="165"/>
      <c r="AM91" s="165"/>
    </row>
    <row r="92" spans="2:39">
      <c r="B92" s="1">
        <v>2009</v>
      </c>
      <c r="C92" s="212">
        <f>C91*POWER(C$91/C$86,1/5)</f>
        <v>34064.795572269293</v>
      </c>
      <c r="D92" s="212">
        <f t="shared" ref="D92:M93" si="155">D91*POWER(D$91/D$86,1/5)</f>
        <v>644.97468864004998</v>
      </c>
      <c r="E92" s="212">
        <f t="shared" si="155"/>
        <v>195.273662412204</v>
      </c>
      <c r="F92" s="212">
        <f t="shared" si="155"/>
        <v>872.11567824405233</v>
      </c>
      <c r="G92" s="212">
        <f t="shared" si="155"/>
        <v>946.09887727870159</v>
      </c>
      <c r="H92" s="212">
        <f t="shared" si="155"/>
        <v>7616.5428796000142</v>
      </c>
      <c r="I92" s="212">
        <f t="shared" si="155"/>
        <v>11678.27426288332</v>
      </c>
      <c r="J92" s="212">
        <f t="shared" si="155"/>
        <v>1263.0794039679533</v>
      </c>
      <c r="K92" s="212">
        <f t="shared" si="155"/>
        <v>1294.3243802749159</v>
      </c>
      <c r="L92" s="212">
        <f t="shared" si="155"/>
        <v>4644.2949855367942</v>
      </c>
      <c r="M92" s="212">
        <f t="shared" si="155"/>
        <v>4458.8297744172351</v>
      </c>
      <c r="O92" s="1">
        <v>2009</v>
      </c>
      <c r="P92" s="1">
        <v>123.2</v>
      </c>
      <c r="Q92" s="137">
        <v>121.1</v>
      </c>
      <c r="R92" s="137">
        <v>122.7</v>
      </c>
      <c r="S92" s="137">
        <v>120.5</v>
      </c>
      <c r="T92" s="137">
        <v>128.80000000000001</v>
      </c>
      <c r="U92" s="137">
        <v>119.8</v>
      </c>
      <c r="V92" s="137">
        <v>123</v>
      </c>
      <c r="W92" s="137">
        <v>125.4</v>
      </c>
      <c r="X92" s="137">
        <v>125.2</v>
      </c>
      <c r="Y92" s="137">
        <v>129.6</v>
      </c>
      <c r="Z92" s="137">
        <v>118.1</v>
      </c>
      <c r="AC92" s="165"/>
      <c r="AD92" s="165"/>
      <c r="AE92" s="165"/>
      <c r="AF92" s="165"/>
      <c r="AG92" s="165"/>
      <c r="AH92" s="165"/>
      <c r="AI92" s="165"/>
      <c r="AJ92" s="165"/>
      <c r="AK92" s="165"/>
      <c r="AL92" s="165"/>
      <c r="AM92" s="165"/>
    </row>
    <row r="93" spans="2:39">
      <c r="B93" s="1">
        <v>2010</v>
      </c>
      <c r="C93" s="212">
        <f>C92*POWER(C$91/C$86,1/5)</f>
        <v>36577.156733821837</v>
      </c>
      <c r="D93" s="212">
        <f t="shared" si="155"/>
        <v>672.0393360037632</v>
      </c>
      <c r="E93" s="212">
        <f t="shared" si="155"/>
        <v>209.51540237294185</v>
      </c>
      <c r="F93" s="212">
        <f t="shared" si="155"/>
        <v>911.97332882384103</v>
      </c>
      <c r="G93" s="212">
        <f t="shared" si="155"/>
        <v>1002.3550790459348</v>
      </c>
      <c r="H93" s="212">
        <f t="shared" si="155"/>
        <v>8103.3280397800918</v>
      </c>
      <c r="I93" s="212">
        <f t="shared" si="155"/>
        <v>12498.358665608775</v>
      </c>
      <c r="J93" s="212">
        <f t="shared" si="155"/>
        <v>1355.4541892336792</v>
      </c>
      <c r="K93" s="212">
        <f t="shared" si="155"/>
        <v>1396.0630011450376</v>
      </c>
      <c r="L93" s="212">
        <f t="shared" si="155"/>
        <v>5134.3670346779836</v>
      </c>
      <c r="M93" s="212">
        <f t="shared" si="155"/>
        <v>4841.9783139867632</v>
      </c>
      <c r="O93" s="1">
        <v>2010</v>
      </c>
      <c r="P93" s="1">
        <v>125.9</v>
      </c>
      <c r="Q93" s="213">
        <f t="shared" ref="Q93:Z93" si="156">Q92*POWER(Q92/Q87,1/5)</f>
        <v>124.60489741027938</v>
      </c>
      <c r="R93" s="213">
        <f t="shared" si="156"/>
        <v>126.80119001507947</v>
      </c>
      <c r="S93" s="213">
        <f>S92*POWER(S92/S87,1/5)</f>
        <v>124.12559599140148</v>
      </c>
      <c r="T93" s="213">
        <f t="shared" si="156"/>
        <v>133.71643367460786</v>
      </c>
      <c r="U93" s="213">
        <f t="shared" si="156"/>
        <v>123.16613689054563</v>
      </c>
      <c r="V93" s="213">
        <f t="shared" si="156"/>
        <v>126.8821296647169</v>
      </c>
      <c r="W93" s="213">
        <f t="shared" si="156"/>
        <v>130.05701608281569</v>
      </c>
      <c r="X93" s="213">
        <f t="shared" si="156"/>
        <v>129.53657531727032</v>
      </c>
      <c r="Y93" s="213">
        <f t="shared" si="156"/>
        <v>134.91642624399947</v>
      </c>
      <c r="Z93" s="213">
        <f t="shared" si="156"/>
        <v>121.37589133109195</v>
      </c>
      <c r="AC93" s="165"/>
      <c r="AD93" s="165"/>
      <c r="AE93" s="165"/>
      <c r="AF93" s="165"/>
      <c r="AG93" s="165"/>
      <c r="AH93" s="165"/>
      <c r="AI93" s="165"/>
      <c r="AJ93" s="165"/>
      <c r="AK93" s="165"/>
      <c r="AL93" s="165"/>
      <c r="AM93" s="165"/>
    </row>
    <row r="94" spans="2:39">
      <c r="C94" s="1" t="s">
        <v>1018</v>
      </c>
    </row>
    <row r="95" spans="2:39">
      <c r="P95" s="1" t="s">
        <v>1019</v>
      </c>
    </row>
    <row r="96" spans="2:39">
      <c r="B96" s="1" t="s">
        <v>698</v>
      </c>
    </row>
    <row r="97" spans="1:73" ht="51">
      <c r="B97" s="204" t="s">
        <v>696</v>
      </c>
      <c r="C97" s="204" t="s">
        <v>697</v>
      </c>
      <c r="I97" s="204" t="s">
        <v>696</v>
      </c>
      <c r="J97" s="204" t="s">
        <v>697</v>
      </c>
      <c r="P97" s="204" t="s">
        <v>696</v>
      </c>
      <c r="Q97" s="204" t="s">
        <v>697</v>
      </c>
      <c r="W97" s="204" t="s">
        <v>696</v>
      </c>
      <c r="X97" s="204" t="s">
        <v>697</v>
      </c>
      <c r="AD97" s="204" t="s">
        <v>696</v>
      </c>
      <c r="AE97" s="204" t="s">
        <v>697</v>
      </c>
      <c r="AK97" s="204" t="s">
        <v>696</v>
      </c>
      <c r="AL97" s="204" t="s">
        <v>697</v>
      </c>
      <c r="AR97" s="204" t="s">
        <v>696</v>
      </c>
      <c r="AS97" s="204" t="s">
        <v>697</v>
      </c>
      <c r="AY97" s="204" t="s">
        <v>696</v>
      </c>
      <c r="AZ97" s="204" t="s">
        <v>697</v>
      </c>
      <c r="BF97" s="204" t="s">
        <v>696</v>
      </c>
      <c r="BG97" s="204" t="s">
        <v>697</v>
      </c>
      <c r="BM97" s="204" t="s">
        <v>696</v>
      </c>
      <c r="BN97" s="204" t="s">
        <v>697</v>
      </c>
      <c r="BT97" s="204" t="s">
        <v>696</v>
      </c>
      <c r="BU97" s="204" t="s">
        <v>697</v>
      </c>
    </row>
    <row r="99" spans="1:73">
      <c r="A99" s="1">
        <v>1971</v>
      </c>
      <c r="B99" s="136">
        <v>96492.142199029084</v>
      </c>
      <c r="C99" s="136">
        <v>9309.2224971602936</v>
      </c>
      <c r="I99" s="136">
        <v>1431.3003149290519</v>
      </c>
      <c r="J99" s="136">
        <v>163.99391647713793</v>
      </c>
      <c r="P99" s="136">
        <v>437.10361312862</v>
      </c>
      <c r="Q99" s="136">
        <v>75.799447295696766</v>
      </c>
      <c r="W99" s="136">
        <v>4258.230901137671</v>
      </c>
      <c r="X99" s="136">
        <v>386.1509107221915</v>
      </c>
      <c r="AD99" s="136">
        <v>2542.2699048814652</v>
      </c>
      <c r="AE99" s="136">
        <v>320.68962457045831</v>
      </c>
      <c r="AK99" s="136">
        <v>22314.265556786337</v>
      </c>
      <c r="AL99" s="136">
        <v>2035.7382131767263</v>
      </c>
      <c r="AR99" s="136">
        <v>39284.824834269966</v>
      </c>
      <c r="AS99" s="136">
        <v>3281.2597661942291</v>
      </c>
      <c r="AY99" s="136">
        <v>4173.2823383719142</v>
      </c>
      <c r="AZ99" s="136">
        <v>470.63425343056576</v>
      </c>
      <c r="BF99" s="136">
        <v>3609.363621268687</v>
      </c>
      <c r="BG99" s="136">
        <v>516.08434097423333</v>
      </c>
      <c r="BM99" s="136">
        <v>7324.2245776440641</v>
      </c>
      <c r="BN99" s="136">
        <v>949.23465211915459</v>
      </c>
      <c r="BT99" s="136">
        <v>9251.3875434233323</v>
      </c>
      <c r="BU99" s="136">
        <v>1026.9127516778524</v>
      </c>
    </row>
    <row r="100" spans="1:73">
      <c r="A100" s="1">
        <v>1972</v>
      </c>
      <c r="B100" s="136">
        <v>99509.729987534549</v>
      </c>
      <c r="C100" s="136">
        <v>9510.9317113062771</v>
      </c>
      <c r="I100" s="136">
        <v>1407.8381157301706</v>
      </c>
      <c r="J100" s="136">
        <v>173.99265548798252</v>
      </c>
      <c r="P100" s="136">
        <v>473.41543976443478</v>
      </c>
      <c r="Q100" s="136">
        <v>76.765455545004713</v>
      </c>
      <c r="W100" s="136">
        <v>4141.3680148136145</v>
      </c>
      <c r="X100" s="136">
        <v>384.08868957013715</v>
      </c>
      <c r="AD100" s="136">
        <v>2584.6587052428517</v>
      </c>
      <c r="AE100" s="136">
        <v>323.59985142217442</v>
      </c>
      <c r="AK100" s="136">
        <v>22888.503402595041</v>
      </c>
      <c r="AL100" s="136">
        <v>2105.1776056763465</v>
      </c>
      <c r="AR100" s="136">
        <v>40410.228582422023</v>
      </c>
      <c r="AS100" s="136">
        <v>3354.708311019745</v>
      </c>
      <c r="AY100" s="136">
        <v>4225.6045056158728</v>
      </c>
      <c r="AZ100" s="136">
        <v>481.88911325697018</v>
      </c>
      <c r="BF100" s="136">
        <v>3732.4796563015125</v>
      </c>
      <c r="BG100" s="136">
        <v>517.95279484826654</v>
      </c>
      <c r="BM100" s="136">
        <v>7452.0603287141475</v>
      </c>
      <c r="BN100" s="136">
        <v>958.40819117708588</v>
      </c>
      <c r="BT100" s="136">
        <v>9799.0474980441722</v>
      </c>
      <c r="BU100" s="136">
        <v>1046.666666666667</v>
      </c>
    </row>
    <row r="101" spans="1:73">
      <c r="A101" s="1">
        <v>1973</v>
      </c>
      <c r="B101" s="136">
        <v>104188.52042088311</v>
      </c>
      <c r="C101" s="136">
        <v>9961.43737298017</v>
      </c>
      <c r="I101" s="136">
        <v>1457.0391264601997</v>
      </c>
      <c r="J101" s="136">
        <v>185.92647275948616</v>
      </c>
      <c r="P101" s="136">
        <v>516.69394473220621</v>
      </c>
      <c r="Q101" s="136">
        <v>76.857544623153728</v>
      </c>
      <c r="W101" s="136">
        <v>4228.8613138125356</v>
      </c>
      <c r="X101" s="136">
        <v>396.38173927950754</v>
      </c>
      <c r="AD101" s="136">
        <v>2494.6691422884146</v>
      </c>
      <c r="AE101" s="136">
        <v>340.93511409624909</v>
      </c>
      <c r="AK101" s="136">
        <v>25152.306020908254</v>
      </c>
      <c r="AL101" s="136">
        <v>2227.458863552738</v>
      </c>
      <c r="AR101" s="136">
        <v>41600.135892383783</v>
      </c>
      <c r="AS101" s="136">
        <v>3519.0093941670352</v>
      </c>
      <c r="AY101" s="136">
        <v>4462.501358956978</v>
      </c>
      <c r="AZ101" s="136">
        <v>504.73491190850029</v>
      </c>
      <c r="BF101" s="136">
        <v>3655.2929246200674</v>
      </c>
      <c r="BG101" s="136">
        <v>526.5522030544804</v>
      </c>
      <c r="BM101" s="136">
        <v>7990.5053411873714</v>
      </c>
      <c r="BN101" s="136">
        <v>986.80400768518575</v>
      </c>
      <c r="BT101" s="136">
        <v>10353.302122415373</v>
      </c>
      <c r="BU101" s="136">
        <v>1102.8598848368524</v>
      </c>
    </row>
    <row r="102" spans="1:73">
      <c r="A102" s="1">
        <v>1974</v>
      </c>
      <c r="B102" s="136">
        <v>110809.07216798161</v>
      </c>
      <c r="C102" s="136">
        <v>10892.795441863223</v>
      </c>
      <c r="I102" s="136">
        <v>1597.1933467446902</v>
      </c>
      <c r="J102" s="136">
        <v>215.78509867828618</v>
      </c>
      <c r="P102" s="136">
        <v>544.1063815569662</v>
      </c>
      <c r="Q102" s="136">
        <v>82.8989444237057</v>
      </c>
      <c r="W102" s="136">
        <v>4581.7203843773623</v>
      </c>
      <c r="X102" s="136">
        <v>435.51587155463324</v>
      </c>
      <c r="AD102" s="136">
        <v>2549.9741990195134</v>
      </c>
      <c r="AE102" s="136">
        <v>377.41159458718067</v>
      </c>
      <c r="AK102" s="136">
        <v>25881.660141099233</v>
      </c>
      <c r="AL102" s="136">
        <v>2460.6748064819831</v>
      </c>
      <c r="AR102" s="136">
        <v>42527.87624822183</v>
      </c>
      <c r="AS102" s="136">
        <v>3812.3911494935046</v>
      </c>
      <c r="AY102" s="136">
        <v>4941.3589207216792</v>
      </c>
      <c r="AZ102" s="136">
        <v>546.41118796723902</v>
      </c>
      <c r="BF102" s="136">
        <v>4070.7793239035395</v>
      </c>
      <c r="BG102" s="136">
        <v>566.32845327374991</v>
      </c>
      <c r="BM102" s="136">
        <v>8367.0773817464687</v>
      </c>
      <c r="BN102" s="136">
        <v>1073.1882307580559</v>
      </c>
      <c r="BT102" s="136">
        <v>11630.038085260032</v>
      </c>
      <c r="BU102" s="136">
        <v>1214.8864592094196</v>
      </c>
    </row>
    <row r="103" spans="1:73">
      <c r="A103" s="1">
        <v>1975</v>
      </c>
      <c r="B103" s="136">
        <v>118227.00118460479</v>
      </c>
      <c r="C103" s="136">
        <v>11270.852172200333</v>
      </c>
      <c r="I103" s="136">
        <v>1772.6910493859252</v>
      </c>
      <c r="J103" s="136">
        <v>228.49807477026408</v>
      </c>
      <c r="P103" s="136">
        <v>594.12036961984279</v>
      </c>
      <c r="Q103" s="136">
        <v>82.017529981330867</v>
      </c>
      <c r="W103" s="136">
        <v>4916.3429465797726</v>
      </c>
      <c r="X103" s="136">
        <v>446.84400874620468</v>
      </c>
      <c r="AD103" s="136">
        <v>2838.0600819299057</v>
      </c>
      <c r="AE103" s="136">
        <v>391.83825204381799</v>
      </c>
      <c r="AK103" s="136">
        <v>27100.662423881196</v>
      </c>
      <c r="AL103" s="136">
        <v>2555.9180434705177</v>
      </c>
      <c r="AR103" s="136">
        <v>45081.265237089057</v>
      </c>
      <c r="AS103" s="136">
        <v>3941.9493035766795</v>
      </c>
      <c r="AY103" s="136">
        <v>5099.7604593057249</v>
      </c>
      <c r="AZ103" s="136">
        <v>558.33554595767657</v>
      </c>
      <c r="BF103" s="136">
        <v>4690.2498854819441</v>
      </c>
      <c r="BG103" s="136">
        <v>581.05913666141782</v>
      </c>
      <c r="BM103" s="136">
        <v>9019.5331769026743</v>
      </c>
      <c r="BN103" s="136">
        <v>1108.7387083567728</v>
      </c>
      <c r="BT103" s="136">
        <v>12743.988048146284</v>
      </c>
      <c r="BU103" s="136">
        <v>1263.10650887574</v>
      </c>
    </row>
    <row r="104" spans="1:73">
      <c r="A104" s="1">
        <v>1976</v>
      </c>
      <c r="B104" s="136">
        <v>120499.94829548533</v>
      </c>
      <c r="C104" s="136">
        <v>11230.112197920882</v>
      </c>
      <c r="I104" s="136">
        <v>1913.7258971113106</v>
      </c>
      <c r="J104" s="136">
        <v>230.34676881032743</v>
      </c>
      <c r="P104" s="136">
        <v>661.40502073233245</v>
      </c>
      <c r="Q104" s="136">
        <v>84.943521967970597</v>
      </c>
      <c r="W104" s="136">
        <v>5362.3441410053629</v>
      </c>
      <c r="X104" s="136">
        <v>441.19760864640602</v>
      </c>
      <c r="AD104" s="136">
        <v>3066.1850736593424</v>
      </c>
      <c r="AE104" s="136">
        <v>388.76601979458479</v>
      </c>
      <c r="AK104" s="136">
        <v>28720.006919786567</v>
      </c>
      <c r="AL104" s="136">
        <v>2552.5616179373974</v>
      </c>
      <c r="AR104" s="136">
        <v>44512.773090931667</v>
      </c>
      <c r="AS104" s="136">
        <v>3922.7628776488536</v>
      </c>
      <c r="AY104" s="136">
        <v>5349.7430570460483</v>
      </c>
      <c r="AZ104" s="136">
        <v>544.39864261681714</v>
      </c>
      <c r="BF104" s="136">
        <v>4632.9671087485885</v>
      </c>
      <c r="BG104" s="136">
        <v>577.22574148787066</v>
      </c>
      <c r="BM104" s="136">
        <v>9433.541657798809</v>
      </c>
      <c r="BN104" s="136">
        <v>1102.1987726275745</v>
      </c>
      <c r="BT104" s="136">
        <v>12956.137843237604</v>
      </c>
      <c r="BU104" s="136">
        <v>1273.0400525279056</v>
      </c>
    </row>
    <row r="105" spans="1:73">
      <c r="A105" s="1">
        <v>1977</v>
      </c>
      <c r="B105" s="136">
        <v>126135.38050589594</v>
      </c>
      <c r="C105" s="136">
        <v>11706.519006359298</v>
      </c>
      <c r="I105" s="136">
        <v>1981.8449209138835</v>
      </c>
      <c r="J105" s="136">
        <v>241.1775467775467</v>
      </c>
      <c r="P105" s="136">
        <v>686.80898630136971</v>
      </c>
      <c r="Q105" s="136">
        <v>85.87263004375302</v>
      </c>
      <c r="W105" s="136">
        <v>5420.0581721147446</v>
      </c>
      <c r="X105" s="136">
        <v>455.80852305896087</v>
      </c>
      <c r="AD105" s="136">
        <v>3251.2235528500287</v>
      </c>
      <c r="AE105" s="136">
        <v>404.17033079263376</v>
      </c>
      <c r="AK105" s="136">
        <v>31128.442268314207</v>
      </c>
      <c r="AL105" s="136">
        <v>2666.7467806120344</v>
      </c>
      <c r="AR105" s="136">
        <v>46092.420244981287</v>
      </c>
      <c r="AS105" s="136">
        <v>4076.7852530828245</v>
      </c>
      <c r="AY105" s="136">
        <v>5400.7369177608844</v>
      </c>
      <c r="AZ105" s="136">
        <v>562.49601947449992</v>
      </c>
      <c r="BF105" s="136">
        <v>4836.4434158020749</v>
      </c>
      <c r="BG105" s="136">
        <v>600.81347036956072</v>
      </c>
      <c r="BM105" s="136">
        <v>9867.8469216300946</v>
      </c>
      <c r="BN105" s="136">
        <v>1156.2648083623692</v>
      </c>
      <c r="BT105" s="136">
        <v>13314.068009802659</v>
      </c>
      <c r="BU105" s="136">
        <v>1338.4727272727278</v>
      </c>
    </row>
    <row r="106" spans="1:73">
      <c r="A106" s="1">
        <v>1978</v>
      </c>
      <c r="B106" s="136">
        <v>128360.86468406669</v>
      </c>
      <c r="C106" s="136">
        <v>12179.883948747691</v>
      </c>
      <c r="I106" s="136">
        <v>2163.8451159362771</v>
      </c>
      <c r="J106" s="136">
        <v>254.84089810066033</v>
      </c>
      <c r="P106" s="136">
        <v>631.50381654534033</v>
      </c>
      <c r="Q106" s="136">
        <v>87.159420026692572</v>
      </c>
      <c r="W106" s="136">
        <v>5705.6591887517543</v>
      </c>
      <c r="X106" s="136">
        <v>470.98141942619958</v>
      </c>
      <c r="AD106" s="136">
        <v>3324.9611405560158</v>
      </c>
      <c r="AE106" s="136">
        <v>423.26201279396128</v>
      </c>
      <c r="AK106" s="136">
        <v>32056.524576788041</v>
      </c>
      <c r="AL106" s="136">
        <v>2780.2563847770552</v>
      </c>
      <c r="AR106" s="136">
        <v>45474.509181887966</v>
      </c>
      <c r="AS106" s="136">
        <v>4225.4551826403058</v>
      </c>
      <c r="AY106" s="136">
        <v>5276.0123527044416</v>
      </c>
      <c r="AZ106" s="136">
        <v>581.2777201813451</v>
      </c>
      <c r="BF106" s="136">
        <v>4888.9420162408187</v>
      </c>
      <c r="BG106" s="136">
        <v>621.01572788089254</v>
      </c>
      <c r="BM106" s="136">
        <v>10582.01379310345</v>
      </c>
      <c r="BN106" s="136">
        <v>1212.9142120221311</v>
      </c>
      <c r="BT106" s="136">
        <v>14204.092931220885</v>
      </c>
      <c r="BU106" s="136">
        <v>1398.8115449915113</v>
      </c>
    </row>
    <row r="107" spans="1:73">
      <c r="A107" s="1">
        <v>1979</v>
      </c>
      <c r="B107" s="136">
        <v>129709.86670486307</v>
      </c>
      <c r="C107" s="136">
        <v>12692.884502310806</v>
      </c>
      <c r="I107" s="136">
        <v>2179.1721489918036</v>
      </c>
      <c r="J107" s="136">
        <v>269.00521854336068</v>
      </c>
      <c r="P107" s="136">
        <v>606.10793695928783</v>
      </c>
      <c r="Q107" s="136">
        <v>89.513221904320545</v>
      </c>
      <c r="W107" s="136">
        <v>5637.1529956140985</v>
      </c>
      <c r="X107" s="136">
        <v>489.45894683077694</v>
      </c>
      <c r="AD107" s="136">
        <v>3230.3405432773261</v>
      </c>
      <c r="AE107" s="136">
        <v>439.86741402241142</v>
      </c>
      <c r="AK107" s="136">
        <v>33686.589973347582</v>
      </c>
      <c r="AL107" s="136">
        <v>2896.1058274815791</v>
      </c>
      <c r="AR107" s="136">
        <v>44483.191515141036</v>
      </c>
      <c r="AS107" s="136">
        <v>4386.416274646479</v>
      </c>
      <c r="AY107" s="136">
        <v>5248.4194394644328</v>
      </c>
      <c r="AZ107" s="136">
        <v>600.4433378614666</v>
      </c>
      <c r="BF107" s="136">
        <v>4920.1831163070592</v>
      </c>
      <c r="BG107" s="136">
        <v>650.34053469911123</v>
      </c>
      <c r="BM107" s="136">
        <v>11364.435910742088</v>
      </c>
      <c r="BN107" s="136">
        <v>1289.0008196122119</v>
      </c>
      <c r="BT107" s="136">
        <v>14398.897814335192</v>
      </c>
      <c r="BU107" s="136">
        <v>1452.5791385573432</v>
      </c>
    </row>
    <row r="108" spans="1:73">
      <c r="A108" s="1">
        <v>1980</v>
      </c>
      <c r="B108" s="136">
        <v>134132.35730157871</v>
      </c>
      <c r="C108" s="136">
        <v>13123.377063422873</v>
      </c>
      <c r="I108" s="136">
        <v>2323.9818419773396</v>
      </c>
      <c r="J108" s="136">
        <v>282.22904410138443</v>
      </c>
      <c r="P108" s="136">
        <v>648.71825123870576</v>
      </c>
      <c r="Q108" s="136">
        <v>93.207418363863908</v>
      </c>
      <c r="W108" s="136">
        <v>5793.1911487090683</v>
      </c>
      <c r="X108" s="136">
        <v>507.16051222814264</v>
      </c>
      <c r="AD108" s="136">
        <v>3456.573146981596</v>
      </c>
      <c r="AE108" s="136">
        <v>459.70457190969665</v>
      </c>
      <c r="AK108" s="136">
        <v>34697.532803139846</v>
      </c>
      <c r="AL108" s="136">
        <v>2989.9528068241189</v>
      </c>
      <c r="AR108" s="136">
        <v>44993.188855668079</v>
      </c>
      <c r="AS108" s="136">
        <v>4498.692200233706</v>
      </c>
      <c r="AY108" s="136">
        <v>5343.9602876089921</v>
      </c>
      <c r="AZ108" s="136">
        <v>617.28286581575139</v>
      </c>
      <c r="BF108" s="136">
        <v>5250.4915861506843</v>
      </c>
      <c r="BG108" s="136">
        <v>672.12640335735648</v>
      </c>
      <c r="BM108" s="136">
        <v>11844.632839325017</v>
      </c>
      <c r="BN108" s="136">
        <v>1367.7195174904416</v>
      </c>
      <c r="BT108" s="136">
        <v>15399.733916589596</v>
      </c>
      <c r="BU108" s="136">
        <v>1499.5177304964539</v>
      </c>
    </row>
    <row r="109" spans="1:73">
      <c r="A109" s="1">
        <v>1981</v>
      </c>
      <c r="B109" s="1">
        <v>136226</v>
      </c>
      <c r="C109" s="1">
        <v>13682.226211849193</v>
      </c>
      <c r="I109" s="1">
        <v>2432</v>
      </c>
      <c r="J109" s="1">
        <v>326.15384615384613</v>
      </c>
      <c r="P109" s="1">
        <v>667</v>
      </c>
      <c r="Q109" s="1">
        <v>85.561497326203209</v>
      </c>
      <c r="W109" s="1">
        <v>5865</v>
      </c>
      <c r="X109" s="1">
        <v>490.36777583187387</v>
      </c>
      <c r="AD109" s="1">
        <v>3499</v>
      </c>
      <c r="AE109" s="1">
        <v>438.06104129263906</v>
      </c>
      <c r="AK109" s="1">
        <v>34861</v>
      </c>
      <c r="AL109" s="1">
        <v>3095.4003407155024</v>
      </c>
      <c r="AR109" s="1">
        <v>46413</v>
      </c>
      <c r="AS109" s="1">
        <v>4661.7375231053602</v>
      </c>
      <c r="AY109" s="1">
        <v>5569</v>
      </c>
      <c r="AZ109" s="1">
        <v>653.64120781527527</v>
      </c>
      <c r="BF109" s="1">
        <v>5385</v>
      </c>
      <c r="BG109" s="1">
        <v>669.14498141263948</v>
      </c>
      <c r="BM109" s="1">
        <v>13082</v>
      </c>
      <c r="BN109" s="1">
        <v>1496.4285714285713</v>
      </c>
      <c r="BT109" s="1">
        <v>16396</v>
      </c>
      <c r="BU109" s="1">
        <v>1621.2121212121215</v>
      </c>
    </row>
  </sheetData>
  <phoneticPr fontId="0" type="noConversion"/>
  <pageMargins left="0.35433070866141736" right="0.35433070866141736" top="0.59055118110236227" bottom="0.59055118110236227" header="0.51181102362204722" footer="0.51181102362204722"/>
  <pageSetup scale="67" orientation="landscape" r:id="rId1"/>
  <headerFooter alignWithMargins="0"/>
  <rowBreaks count="1" manualBreakCount="1">
    <brk id="60" max="16383" man="1"/>
  </rowBreaks>
  <colBreaks count="5" manualBreakCount="5">
    <brk id="15" max="1048575" man="1"/>
    <brk id="29" max="58" man="1"/>
    <brk id="43" max="1048575" man="1"/>
    <brk id="57" max="1048575" man="1"/>
    <brk id="71" max="1048575" man="1"/>
  </colBreaks>
</worksheet>
</file>

<file path=xl/worksheets/sheet31.xml><?xml version="1.0" encoding="utf-8"?>
<worksheet xmlns="http://schemas.openxmlformats.org/spreadsheetml/2006/main" xmlns:r="http://schemas.openxmlformats.org/officeDocument/2006/relationships">
  <dimension ref="A1:EH68"/>
  <sheetViews>
    <sheetView view="pageBreakPreview" zoomScaleSheetLayoutView="100" workbookViewId="0">
      <pane xSplit="1" ySplit="6" topLeftCell="S7" activePane="bottomRight" state="frozen"/>
      <selection activeCell="E9" sqref="E9"/>
      <selection pane="topRight" activeCell="E9" sqref="E9"/>
      <selection pane="bottomLeft" activeCell="E9" sqref="E9"/>
      <selection pane="bottomRight" activeCell="E9" sqref="E9"/>
    </sheetView>
  </sheetViews>
  <sheetFormatPr defaultRowHeight="12.75"/>
  <cols>
    <col min="1" max="1" width="8.875" style="1" customWidth="1"/>
    <col min="2" max="6" width="10" style="1" customWidth="1"/>
    <col min="7" max="7" width="9.875" style="1" customWidth="1"/>
    <col min="8" max="83" width="10" style="1" customWidth="1"/>
    <col min="84" max="16384" width="9" style="1"/>
  </cols>
  <sheetData>
    <row r="1" spans="1:34" ht="15.75">
      <c r="B1" s="2" t="s">
        <v>710</v>
      </c>
      <c r="Q1" s="2" t="s">
        <v>711</v>
      </c>
      <c r="AF1" s="2" t="s">
        <v>712</v>
      </c>
    </row>
    <row r="3" spans="1:34" s="3" customFormat="1" ht="15">
      <c r="B3" s="3" t="s">
        <v>321</v>
      </c>
      <c r="E3" s="3" t="s">
        <v>370</v>
      </c>
      <c r="H3" s="3" t="s">
        <v>371</v>
      </c>
      <c r="K3" s="3" t="s">
        <v>372</v>
      </c>
      <c r="N3" s="3" t="s">
        <v>373</v>
      </c>
      <c r="Q3" s="3" t="s">
        <v>374</v>
      </c>
      <c r="T3" s="3" t="s">
        <v>375</v>
      </c>
      <c r="W3" s="3" t="s">
        <v>376</v>
      </c>
      <c r="Z3" s="3" t="s">
        <v>377</v>
      </c>
      <c r="AC3" s="3" t="s">
        <v>378</v>
      </c>
      <c r="AF3" s="3" t="s">
        <v>379</v>
      </c>
    </row>
    <row r="4" spans="1:34" s="4" customFormat="1" ht="38.25">
      <c r="B4" s="4" t="s">
        <v>469</v>
      </c>
      <c r="C4" s="4" t="s">
        <v>468</v>
      </c>
      <c r="D4" s="4" t="s">
        <v>713</v>
      </c>
      <c r="E4" s="4" t="s">
        <v>469</v>
      </c>
      <c r="F4" s="4" t="s">
        <v>468</v>
      </c>
      <c r="G4" s="4" t="s">
        <v>713</v>
      </c>
      <c r="H4" s="4" t="s">
        <v>469</v>
      </c>
      <c r="I4" s="4" t="s">
        <v>468</v>
      </c>
      <c r="J4" s="4" t="s">
        <v>713</v>
      </c>
      <c r="K4" s="4" t="s">
        <v>469</v>
      </c>
      <c r="L4" s="4" t="s">
        <v>468</v>
      </c>
      <c r="M4" s="4" t="s">
        <v>713</v>
      </c>
      <c r="N4" s="4" t="s">
        <v>469</v>
      </c>
      <c r="O4" s="4" t="s">
        <v>468</v>
      </c>
      <c r="P4" s="4" t="s">
        <v>713</v>
      </c>
      <c r="Q4" s="4" t="s">
        <v>469</v>
      </c>
      <c r="R4" s="4" t="s">
        <v>468</v>
      </c>
      <c r="S4" s="4" t="s">
        <v>713</v>
      </c>
      <c r="T4" s="4" t="s">
        <v>469</v>
      </c>
      <c r="U4" s="4" t="s">
        <v>468</v>
      </c>
      <c r="V4" s="4" t="s">
        <v>713</v>
      </c>
      <c r="W4" s="4" t="s">
        <v>469</v>
      </c>
      <c r="X4" s="4" t="s">
        <v>468</v>
      </c>
      <c r="Y4" s="4" t="s">
        <v>713</v>
      </c>
      <c r="Z4" s="4" t="s">
        <v>469</v>
      </c>
      <c r="AA4" s="4" t="s">
        <v>468</v>
      </c>
      <c r="AB4" s="4" t="s">
        <v>713</v>
      </c>
      <c r="AC4" s="4" t="s">
        <v>469</v>
      </c>
      <c r="AD4" s="4" t="s">
        <v>468</v>
      </c>
      <c r="AE4" s="4" t="s">
        <v>713</v>
      </c>
      <c r="AF4" s="4" t="s">
        <v>469</v>
      </c>
      <c r="AG4" s="4" t="s">
        <v>468</v>
      </c>
      <c r="AH4" s="4" t="s">
        <v>713</v>
      </c>
    </row>
    <row r="5" spans="1:34" s="4" customFormat="1">
      <c r="B5" s="4" t="s">
        <v>918</v>
      </c>
      <c r="C5" s="4" t="s">
        <v>918</v>
      </c>
      <c r="E5" s="4" t="s">
        <v>918</v>
      </c>
      <c r="F5" s="4" t="s">
        <v>918</v>
      </c>
      <c r="H5" s="4" t="s">
        <v>918</v>
      </c>
      <c r="I5" s="4" t="s">
        <v>918</v>
      </c>
      <c r="K5" s="4" t="s">
        <v>918</v>
      </c>
      <c r="L5" s="4" t="s">
        <v>918</v>
      </c>
      <c r="N5" s="4" t="s">
        <v>918</v>
      </c>
      <c r="O5" s="4" t="s">
        <v>918</v>
      </c>
      <c r="Q5" s="4" t="s">
        <v>918</v>
      </c>
      <c r="R5" s="4" t="s">
        <v>918</v>
      </c>
      <c r="T5" s="4" t="s">
        <v>918</v>
      </c>
      <c r="U5" s="4" t="s">
        <v>918</v>
      </c>
      <c r="W5" s="4" t="s">
        <v>918</v>
      </c>
      <c r="X5" s="4" t="s">
        <v>918</v>
      </c>
      <c r="Z5" s="4" t="s">
        <v>918</v>
      </c>
      <c r="AA5" s="4" t="s">
        <v>918</v>
      </c>
      <c r="AC5" s="4" t="s">
        <v>918</v>
      </c>
      <c r="AD5" s="4" t="s">
        <v>918</v>
      </c>
      <c r="AF5" s="4" t="s">
        <v>918</v>
      </c>
      <c r="AG5" s="4" t="s">
        <v>918</v>
      </c>
    </row>
    <row r="6" spans="1:34" s="4" customFormat="1" ht="38.25">
      <c r="B6" s="4" t="s">
        <v>105</v>
      </c>
      <c r="C6" s="4" t="s">
        <v>106</v>
      </c>
      <c r="D6" s="4" t="s">
        <v>216</v>
      </c>
      <c r="E6" s="4" t="s">
        <v>108</v>
      </c>
      <c r="F6" s="4" t="s">
        <v>109</v>
      </c>
      <c r="G6" s="4" t="s">
        <v>217</v>
      </c>
      <c r="H6" s="4" t="s">
        <v>111</v>
      </c>
      <c r="I6" s="4" t="s">
        <v>112</v>
      </c>
      <c r="J6" s="4" t="s">
        <v>218</v>
      </c>
      <c r="K6" s="4" t="s">
        <v>113</v>
      </c>
      <c r="L6" s="4" t="s">
        <v>114</v>
      </c>
      <c r="M6" s="4" t="s">
        <v>219</v>
      </c>
      <c r="N6" s="4" t="s">
        <v>116</v>
      </c>
      <c r="O6" s="4" t="s">
        <v>139</v>
      </c>
      <c r="P6" s="4" t="s">
        <v>220</v>
      </c>
      <c r="Q6" s="4" t="s">
        <v>105</v>
      </c>
      <c r="R6" s="4" t="s">
        <v>106</v>
      </c>
      <c r="S6" s="4" t="s">
        <v>216</v>
      </c>
      <c r="T6" s="4" t="s">
        <v>108</v>
      </c>
      <c r="U6" s="4" t="s">
        <v>109</v>
      </c>
      <c r="V6" s="4" t="s">
        <v>217</v>
      </c>
      <c r="W6" s="4" t="s">
        <v>111</v>
      </c>
      <c r="X6" s="4" t="s">
        <v>112</v>
      </c>
      <c r="Y6" s="4" t="s">
        <v>218</v>
      </c>
      <c r="Z6" s="4" t="s">
        <v>113</v>
      </c>
      <c r="AA6" s="4" t="s">
        <v>114</v>
      </c>
      <c r="AB6" s="4" t="s">
        <v>219</v>
      </c>
      <c r="AC6" s="4" t="s">
        <v>116</v>
      </c>
      <c r="AD6" s="4" t="s">
        <v>139</v>
      </c>
      <c r="AE6" s="4" t="s">
        <v>220</v>
      </c>
      <c r="AF6" s="4" t="s">
        <v>105</v>
      </c>
      <c r="AG6" s="4" t="s">
        <v>106</v>
      </c>
      <c r="AH6" s="4" t="s">
        <v>216</v>
      </c>
    </row>
    <row r="7" spans="1:34" s="4" customFormat="1" hidden="1"/>
    <row r="8" spans="1:34" hidden="1">
      <c r="A8" s="1">
        <v>1971</v>
      </c>
      <c r="B8" s="159">
        <v>549444.69679999992</v>
      </c>
      <c r="C8" s="7">
        <v>322252.5</v>
      </c>
      <c r="D8" s="7">
        <f>(B8+C8)*1000000/'a1'!F8</f>
        <v>39691.099475676929</v>
      </c>
      <c r="E8" s="7">
        <v>13845.831499999998</v>
      </c>
      <c r="F8" s="7">
        <v>3727.7</v>
      </c>
      <c r="G8" s="7">
        <f>(E8+F8)*1000000/'a1'!L8</f>
        <v>33104.265014486082</v>
      </c>
      <c r="H8" s="7">
        <v>1738.7524999999998</v>
      </c>
      <c r="I8" s="7">
        <v>875.8</v>
      </c>
      <c r="J8" s="7">
        <f>(H8+I8)*1000000/'a1'!R8</f>
        <v>23221.682905383201</v>
      </c>
      <c r="K8" s="7">
        <v>16070.7338</v>
      </c>
      <c r="L8" s="7">
        <v>8494.7000000000007</v>
      </c>
      <c r="M8" s="7">
        <f>(K8+L8)*1000000/'a1'!X8</f>
        <v>30811.010492992547</v>
      </c>
      <c r="N8" s="7">
        <v>13471.3015</v>
      </c>
      <c r="O8" s="7">
        <v>4888.6000000000004</v>
      </c>
      <c r="P8" s="7">
        <f>(N8+O8)*1000000/'a1'!AD8</f>
        <v>28577.012036340941</v>
      </c>
      <c r="Q8" s="7">
        <v>123426.39940000001</v>
      </c>
      <c r="R8" s="7">
        <v>90009.2</v>
      </c>
      <c r="S8" s="7">
        <f>(Q8+R8)*1000000/'a1'!AJ8</f>
        <v>34776.762667001232</v>
      </c>
      <c r="T8" s="7">
        <v>190673.6329</v>
      </c>
      <c r="U8" s="7">
        <v>139633</v>
      </c>
      <c r="V8" s="7">
        <f>(T8+U8)*1000000/'a1'!AP8</f>
        <v>42082.494161378214</v>
      </c>
      <c r="W8" s="7">
        <v>26948.427</v>
      </c>
      <c r="X8" s="7">
        <v>12432.2</v>
      </c>
      <c r="Y8" s="7">
        <f>(W8+X8)*1000000/'a1'!AV8</f>
        <v>39424.940633271799</v>
      </c>
      <c r="Z8" s="7">
        <v>27706.7981</v>
      </c>
      <c r="AA8" s="7">
        <v>10651.4</v>
      </c>
      <c r="AB8" s="7">
        <f>(Z8+AA8)*1000000/'a1'!BB8</f>
        <v>41155.186912979945</v>
      </c>
      <c r="AC8" s="7">
        <v>60348.246100000004</v>
      </c>
      <c r="AD8" s="7">
        <v>27040.2</v>
      </c>
      <c r="AE8" s="7">
        <f>(AC8+AD8)*1000000/'a1'!BH8</f>
        <v>52462.961055209256</v>
      </c>
      <c r="AF8" s="7">
        <v>70048.401700000002</v>
      </c>
      <c r="AG8" s="7">
        <v>23738.9</v>
      </c>
      <c r="AH8" s="7">
        <f>(AF8+AG8)*1000000/'a1'!BN8</f>
        <v>41860.547876115284</v>
      </c>
    </row>
    <row r="9" spans="1:34" hidden="1">
      <c r="A9" s="1">
        <v>1972</v>
      </c>
      <c r="B9" s="159">
        <v>569948.25620000006</v>
      </c>
      <c r="C9" s="7">
        <v>339785.9</v>
      </c>
      <c r="D9" s="7">
        <f>(B9+C9)*1000000/'a1'!F9</f>
        <v>40944.963483747735</v>
      </c>
      <c r="E9" s="7">
        <v>14820.800800000001</v>
      </c>
      <c r="F9" s="7">
        <v>4012.6</v>
      </c>
      <c r="G9" s="7">
        <f>(E9+F9)*1000000/'a1'!L9</f>
        <v>34933.33778499937</v>
      </c>
      <c r="H9" s="7">
        <v>1746.0428000000002</v>
      </c>
      <c r="I9" s="7">
        <v>973.1</v>
      </c>
      <c r="J9" s="7">
        <f>(H9+I9)*1000000/'a1'!R9</f>
        <v>23965.651330865505</v>
      </c>
      <c r="K9" s="7">
        <v>16618.2048</v>
      </c>
      <c r="L9" s="7">
        <v>8896.4</v>
      </c>
      <c r="M9" s="7">
        <f>(K9+L9)*1000000/'a1'!X9</f>
        <v>31803.609575509035</v>
      </c>
      <c r="N9" s="7">
        <v>13670.878199999999</v>
      </c>
      <c r="O9" s="7">
        <v>5316.4</v>
      </c>
      <c r="P9" s="7">
        <f>(N9+O9)*1000000/'a1'!AD9</f>
        <v>29266.623713525154</v>
      </c>
      <c r="Q9" s="7">
        <v>128271.47259999998</v>
      </c>
      <c r="R9" s="7">
        <v>93939.1</v>
      </c>
      <c r="S9" s="7">
        <f>(Q9+R9)*1000000/'a1'!AJ9</f>
        <v>35990.087259661792</v>
      </c>
      <c r="T9" s="7">
        <v>197957.6599</v>
      </c>
      <c r="U9" s="7">
        <v>147580.9</v>
      </c>
      <c r="V9" s="7">
        <f>(T9+U9)*1000000/'a1'!AP9</f>
        <v>43392.375108892658</v>
      </c>
      <c r="W9" s="7">
        <v>27692.551600000003</v>
      </c>
      <c r="X9" s="7">
        <v>13058.3</v>
      </c>
      <c r="Y9" s="7">
        <f>(W9+X9)*1000000/'a1'!AV9</f>
        <v>40683.642223047529</v>
      </c>
      <c r="Z9" s="7">
        <v>27844.473399999999</v>
      </c>
      <c r="AA9" s="7">
        <v>10945.5</v>
      </c>
      <c r="AB9" s="7">
        <f>(Z9+AA9)*1000000/'a1'!BB9</f>
        <v>42127.297943048288</v>
      </c>
      <c r="AC9" s="7">
        <v>62218.121800000001</v>
      </c>
      <c r="AD9" s="7">
        <v>28757.3</v>
      </c>
      <c r="AE9" s="7">
        <f>(AC9+AD9)*1000000/'a1'!BH9</f>
        <v>53701.646193531633</v>
      </c>
      <c r="AF9" s="7">
        <v>72613.027000000002</v>
      </c>
      <c r="AG9" s="7">
        <v>25489.599999999999</v>
      </c>
      <c r="AH9" s="7">
        <f>(AF9+AG9)*1000000/'a1'!BN9</f>
        <v>42614.666437309475</v>
      </c>
    </row>
    <row r="10" spans="1:34" hidden="1">
      <c r="A10" s="1">
        <v>1973</v>
      </c>
      <c r="B10" s="159">
        <v>594576.22429999989</v>
      </c>
      <c r="C10" s="7">
        <v>358546.9</v>
      </c>
      <c r="D10" s="7">
        <f>(B10+C10)*1000000/'a1'!F10</f>
        <v>42376.514950330507</v>
      </c>
      <c r="E10" s="7">
        <v>15438.274600000001</v>
      </c>
      <c r="F10" s="7">
        <v>4389.1000000000004</v>
      </c>
      <c r="G10" s="7">
        <f>(E10+F10)*1000000/'a1'!L10</f>
        <v>36343.093806192162</v>
      </c>
      <c r="H10" s="7">
        <v>1823.5903999999998</v>
      </c>
      <c r="I10" s="7">
        <v>1136.8</v>
      </c>
      <c r="J10" s="7">
        <f>(H10+I10)*1000000/'a1'!R10</f>
        <v>25827.869481765836</v>
      </c>
      <c r="K10" s="7">
        <v>17575.221800000003</v>
      </c>
      <c r="L10" s="7">
        <v>9414.6</v>
      </c>
      <c r="M10" s="7">
        <f>(K10+L10)*1000000/'a1'!X10</f>
        <v>33222.903644326718</v>
      </c>
      <c r="N10" s="7">
        <v>14112.856100000001</v>
      </c>
      <c r="O10" s="7">
        <v>5802.5</v>
      </c>
      <c r="P10" s="7">
        <f>(N10+O10)*1000000/'a1'!AD10</f>
        <v>30325.490467779266</v>
      </c>
      <c r="Q10" s="7">
        <v>134361.19949999999</v>
      </c>
      <c r="R10" s="7">
        <v>98203.1</v>
      </c>
      <c r="S10" s="7">
        <f>(Q10+R10)*1000000/'a1'!AJ10</f>
        <v>37430.98700835921</v>
      </c>
      <c r="T10" s="7">
        <v>206184.10549999998</v>
      </c>
      <c r="U10" s="7">
        <v>156074.9</v>
      </c>
      <c r="V10" s="7">
        <f>(T10+U10)*1000000/'a1'!AP10</f>
        <v>44858.757617285861</v>
      </c>
      <c r="W10" s="7">
        <v>28690.589800000002</v>
      </c>
      <c r="X10" s="7">
        <v>13652.8</v>
      </c>
      <c r="Y10" s="7">
        <f>(W10+X10)*1000000/'a1'!AV10</f>
        <v>42034.10287107464</v>
      </c>
      <c r="Z10" s="7">
        <v>28129.4787</v>
      </c>
      <c r="AA10" s="7">
        <v>11357.1</v>
      </c>
      <c r="AB10" s="7">
        <f>(Z10+AA10)*1000000/'a1'!BB10</f>
        <v>43299.678267248724</v>
      </c>
      <c r="AC10" s="7">
        <v>64922.366199999997</v>
      </c>
      <c r="AD10" s="7">
        <v>30282.2</v>
      </c>
      <c r="AE10" s="7">
        <f>(AC10+AD10)*1000000/'a1'!BH10</f>
        <v>55180.592548542969</v>
      </c>
      <c r="AF10" s="7">
        <v>75596.238799999992</v>
      </c>
      <c r="AG10" s="7">
        <v>27363.200000000001</v>
      </c>
      <c r="AH10" s="7">
        <f>(AF10+AG10)*1000000/'a1'!BN10</f>
        <v>43492.882225989328</v>
      </c>
    </row>
    <row r="11" spans="1:34" hidden="1">
      <c r="A11" s="1">
        <v>1974</v>
      </c>
      <c r="B11" s="159">
        <v>621125.03049999999</v>
      </c>
      <c r="C11" s="7">
        <v>377751</v>
      </c>
      <c r="D11" s="7">
        <f>(B11+C11)*1000000/'a1'!F11</f>
        <v>43795.045078323281</v>
      </c>
      <c r="E11" s="7">
        <v>15728.2538</v>
      </c>
      <c r="F11" s="7">
        <v>4832.8999999999996</v>
      </c>
      <c r="G11" s="7">
        <f>(E11+F11)*1000000/'a1'!L11</f>
        <v>37410.851813305577</v>
      </c>
      <c r="H11" s="7">
        <v>1853.4864</v>
      </c>
      <c r="I11" s="7">
        <v>1251.3</v>
      </c>
      <c r="J11" s="7">
        <f>(H11+I11)*1000000/'a1'!R11</f>
        <v>26774.170849071248</v>
      </c>
      <c r="K11" s="7">
        <v>18131.123100000001</v>
      </c>
      <c r="L11" s="7">
        <v>9937.5</v>
      </c>
      <c r="M11" s="7">
        <f>(K11+L11)*1000000/'a1'!X11</f>
        <v>34282.245884279837</v>
      </c>
      <c r="N11" s="7">
        <v>15284.996900000002</v>
      </c>
      <c r="O11" s="7">
        <v>6264.3</v>
      </c>
      <c r="P11" s="7">
        <f>(N11+O11)*1000000/'a1'!AD11</f>
        <v>32417.437238997267</v>
      </c>
      <c r="Q11" s="7">
        <v>140940.16889999999</v>
      </c>
      <c r="R11" s="7">
        <v>102776.5</v>
      </c>
      <c r="S11" s="7">
        <f>(Q11+R11)*1000000/'a1'!AJ11</f>
        <v>38879.143093378058</v>
      </c>
      <c r="T11" s="7">
        <v>215225.91519999999</v>
      </c>
      <c r="U11" s="7">
        <v>164268.9</v>
      </c>
      <c r="V11" s="7">
        <f>(T11+U11)*1000000/'a1'!AP11</f>
        <v>46255.740476763633</v>
      </c>
      <c r="W11" s="7">
        <v>29700.319299999999</v>
      </c>
      <c r="X11" s="7">
        <v>14291.3</v>
      </c>
      <c r="Y11" s="7">
        <f>(W11+X11)*1000000/'a1'!AV11</f>
        <v>43205.028550214789</v>
      </c>
      <c r="Z11" s="7">
        <v>28507.181600000004</v>
      </c>
      <c r="AA11" s="7">
        <v>11955.7</v>
      </c>
      <c r="AB11" s="7">
        <f>(Z11+AA11)*1000000/'a1'!BB11</f>
        <v>44540.227660747849</v>
      </c>
      <c r="AC11" s="7">
        <v>68525.899999999994</v>
      </c>
      <c r="AD11" s="7">
        <v>31928.7</v>
      </c>
      <c r="AE11" s="7">
        <f>(AC11+AD11)*1000000/'a1'!BH11</f>
        <v>57251.452022972473</v>
      </c>
      <c r="AF11" s="7">
        <v>78424.090299999996</v>
      </c>
      <c r="AG11" s="7">
        <v>29320.6</v>
      </c>
      <c r="AH11" s="7">
        <f>(AF11+AG11)*1000000/'a1'!BN11</f>
        <v>44111.05409939825</v>
      </c>
    </row>
    <row r="12" spans="1:34" hidden="1">
      <c r="A12" s="1">
        <v>1975</v>
      </c>
      <c r="B12" s="159">
        <v>648784.54920000001</v>
      </c>
      <c r="C12" s="7">
        <v>395696.9</v>
      </c>
      <c r="D12" s="7">
        <f>(B12+C12)*1000000/'a1'!F12</f>
        <v>45131.099604528747</v>
      </c>
      <c r="E12" s="7">
        <v>15864.4306</v>
      </c>
      <c r="F12" s="7">
        <v>5177.5</v>
      </c>
      <c r="G12" s="7">
        <f>(E12+F12)*1000000/'a1'!L12</f>
        <v>37811.467827262008</v>
      </c>
      <c r="H12" s="7">
        <v>1898.788</v>
      </c>
      <c r="I12" s="7">
        <v>1318.1</v>
      </c>
      <c r="J12" s="7">
        <f>(H12+I12)*1000000/'a1'!R12</f>
        <v>27325.677007237267</v>
      </c>
      <c r="K12" s="7">
        <v>18396.319800000001</v>
      </c>
      <c r="L12" s="7">
        <v>10453</v>
      </c>
      <c r="M12" s="7">
        <f>(K12+L12)*1000000/'a1'!X12</f>
        <v>34903.338822017809</v>
      </c>
      <c r="N12" s="7">
        <v>16562.083500000001</v>
      </c>
      <c r="O12" s="7">
        <v>6698.7</v>
      </c>
      <c r="P12" s="7">
        <f>(N12+O12)*1000000/'a1'!AD12</f>
        <v>34358.21068584123</v>
      </c>
      <c r="Q12" s="7">
        <v>148830.17859999998</v>
      </c>
      <c r="R12" s="7">
        <v>107226.6</v>
      </c>
      <c r="S12" s="7">
        <f>(Q12+R12)*1000000/'a1'!AJ12</f>
        <v>40449.371633553717</v>
      </c>
      <c r="T12" s="7">
        <v>224007.79140000002</v>
      </c>
      <c r="U12" s="7">
        <v>171494.1</v>
      </c>
      <c r="V12" s="7">
        <f>(T12+U12)*1000000/'a1'!AP12</f>
        <v>47537.456319536723</v>
      </c>
      <c r="W12" s="7">
        <v>30572.771199999999</v>
      </c>
      <c r="X12" s="7">
        <v>14775.7</v>
      </c>
      <c r="Y12" s="7">
        <f>(W12+X12)*1000000/'a1'!AV12</f>
        <v>44243.490036342351</v>
      </c>
      <c r="Z12" s="7">
        <v>29518.944100000001</v>
      </c>
      <c r="AA12" s="7">
        <v>12724.5</v>
      </c>
      <c r="AB12" s="7">
        <f>(Z12+AA12)*1000000/'a1'!BB12</f>
        <v>46046.166783843735</v>
      </c>
      <c r="AC12" s="7">
        <v>73000.39959999999</v>
      </c>
      <c r="AD12" s="7">
        <v>33700.5</v>
      </c>
      <c r="AE12" s="7">
        <f>(AC12+AD12)*1000000/'a1'!BH12</f>
        <v>58993.50280783484</v>
      </c>
      <c r="AF12" s="7">
        <v>80410.852100000004</v>
      </c>
      <c r="AG12" s="7">
        <v>31138.6</v>
      </c>
      <c r="AH12" s="7">
        <f>(AF12+AG12)*1000000/'a1'!BN12</f>
        <v>44627.563887141914</v>
      </c>
    </row>
    <row r="13" spans="1:34" hidden="1">
      <c r="A13" s="1">
        <v>1976</v>
      </c>
      <c r="B13" s="159">
        <v>671900.85849999997</v>
      </c>
      <c r="C13" s="7">
        <v>418848.9</v>
      </c>
      <c r="D13" s="7">
        <f>(B13+C13)*1000000/'a1'!F13</f>
        <v>46514.229818001069</v>
      </c>
      <c r="E13" s="7">
        <v>16020.576900000002</v>
      </c>
      <c r="F13" s="7">
        <v>5625.9</v>
      </c>
      <c r="G13" s="7">
        <f>(E13+F13)*1000000/'a1'!L13</f>
        <v>38473.118464948217</v>
      </c>
      <c r="H13" s="7">
        <v>1911.2270000000001</v>
      </c>
      <c r="I13" s="7">
        <v>1380.1</v>
      </c>
      <c r="J13" s="7">
        <f>(H13+I13)*1000000/'a1'!R13</f>
        <v>27740.265322635023</v>
      </c>
      <c r="K13" s="7">
        <v>18598.180500000002</v>
      </c>
      <c r="L13" s="7">
        <v>11040.6</v>
      </c>
      <c r="M13" s="7">
        <f>(K13+L13)*1000000/'a1'!X13</f>
        <v>35488.49031210562</v>
      </c>
      <c r="N13" s="7">
        <v>17383.505700000002</v>
      </c>
      <c r="O13" s="7">
        <v>7170.3</v>
      </c>
      <c r="P13" s="7">
        <f>(N13+O13)*1000000/'a1'!AD13</f>
        <v>35611.340635306471</v>
      </c>
      <c r="Q13" s="7">
        <v>154080.81949999998</v>
      </c>
      <c r="R13" s="7">
        <v>113235.5</v>
      </c>
      <c r="S13" s="7">
        <f>(Q13+R13)*1000000/'a1'!AJ13</f>
        <v>41789.324237688415</v>
      </c>
      <c r="T13" s="7">
        <v>229903.28359999997</v>
      </c>
      <c r="U13" s="7">
        <v>179951.6</v>
      </c>
      <c r="V13" s="7">
        <f>(T13+U13)*1000000/'a1'!AP13</f>
        <v>48712.342408803459</v>
      </c>
      <c r="W13" s="7">
        <v>31465.3469</v>
      </c>
      <c r="X13" s="7">
        <v>15425.2</v>
      </c>
      <c r="Y13" s="7">
        <f>(W13+X13)*1000000/'a1'!AV13</f>
        <v>45447.233653628078</v>
      </c>
      <c r="Z13" s="7">
        <v>30609.128100000002</v>
      </c>
      <c r="AA13" s="7">
        <v>13654</v>
      </c>
      <c r="AB13" s="7">
        <f>(Z13+AA13)*1000000/'a1'!BB13</f>
        <v>47512.406559812451</v>
      </c>
      <c r="AC13" s="7">
        <v>79429.325599999996</v>
      </c>
      <c r="AD13" s="7">
        <v>36986.800000000003</v>
      </c>
      <c r="AE13" s="7">
        <f>(AC13+AD13)*1000000/'a1'!BH13</f>
        <v>62278.358325928551</v>
      </c>
      <c r="AF13" s="7">
        <v>82082.106299999999</v>
      </c>
      <c r="AG13" s="7">
        <v>33329.699999999997</v>
      </c>
      <c r="AH13" s="7">
        <f>(AF13+AG13)*1000000/'a1'!BN13</f>
        <v>45547.121767678982</v>
      </c>
    </row>
    <row r="14" spans="1:34" hidden="1">
      <c r="A14" s="1">
        <v>1977</v>
      </c>
      <c r="B14" s="159">
        <v>692938.25329999998</v>
      </c>
      <c r="C14" s="7">
        <v>441604</v>
      </c>
      <c r="D14" s="7">
        <f>(B14+C14)*1000000/'a1'!F14</f>
        <v>47818.838441272666</v>
      </c>
      <c r="E14" s="7">
        <v>15923.985500000001</v>
      </c>
      <c r="F14" s="7">
        <v>5930.2</v>
      </c>
      <c r="G14" s="7">
        <f>(E14+F14)*1000000/'a1'!L14</f>
        <v>38656.16487543955</v>
      </c>
      <c r="H14" s="7">
        <v>1949.2541000000001</v>
      </c>
      <c r="I14" s="7">
        <v>1446.9</v>
      </c>
      <c r="J14" s="7">
        <f>(H14+I14)*1000000/'a1'!R14</f>
        <v>28324.415772881188</v>
      </c>
      <c r="K14" s="7">
        <v>18747.104899999998</v>
      </c>
      <c r="L14" s="7">
        <v>11598.1</v>
      </c>
      <c r="M14" s="7">
        <f>(K14+L14)*1000000/'a1'!X14</f>
        <v>36124.03979391163</v>
      </c>
      <c r="N14" s="7">
        <v>18086.473600000001</v>
      </c>
      <c r="O14" s="7">
        <v>7463.3</v>
      </c>
      <c r="P14" s="7">
        <f>(N14+O14)*1000000/'a1'!AD14</f>
        <v>36717.727418397539</v>
      </c>
      <c r="Q14" s="7">
        <v>159769.67719999998</v>
      </c>
      <c r="R14" s="7">
        <v>119081.9</v>
      </c>
      <c r="S14" s="7">
        <f>(Q14+R14)*1000000/'a1'!AJ14</f>
        <v>43346.154540874551</v>
      </c>
      <c r="T14" s="7">
        <v>234752.1305</v>
      </c>
      <c r="U14" s="7">
        <v>188305.4</v>
      </c>
      <c r="V14" s="7">
        <f>(T14+U14)*1000000/'a1'!AP14</f>
        <v>49747.595330711847</v>
      </c>
      <c r="W14" s="7">
        <v>32025.815999999999</v>
      </c>
      <c r="X14" s="7">
        <v>16158.4</v>
      </c>
      <c r="Y14" s="7">
        <f>(W14+X14)*1000000/'a1'!AV14</f>
        <v>46448.482651785431</v>
      </c>
      <c r="Z14" s="7">
        <v>31292.153300000002</v>
      </c>
      <c r="AA14" s="7">
        <v>14604.2</v>
      </c>
      <c r="AB14" s="7">
        <f>(Z14+AA14)*1000000/'a1'!BB14</f>
        <v>48587.0558668503</v>
      </c>
      <c r="AC14" s="7">
        <v>85499.812099999996</v>
      </c>
      <c r="AD14" s="7">
        <v>40442.6</v>
      </c>
      <c r="AE14" s="7">
        <f>(AC14+AD14)*1000000/'a1'!BH14</f>
        <v>64643.434741613419</v>
      </c>
      <c r="AF14" s="7">
        <v>84071.754700000005</v>
      </c>
      <c r="AG14" s="7">
        <v>35450.699999999997</v>
      </c>
      <c r="AH14" s="7">
        <f>(AF14+AG14)*1000000/'a1'!BN14</f>
        <v>46501.092161855646</v>
      </c>
    </row>
    <row r="15" spans="1:34" hidden="1">
      <c r="A15" s="1">
        <v>1978</v>
      </c>
      <c r="B15" s="159">
        <v>711869.13199999998</v>
      </c>
      <c r="C15" s="7">
        <v>463826.5</v>
      </c>
      <c r="D15" s="7">
        <f>(B15+C15)*1000000/'a1'!F15</f>
        <v>49062.541096864225</v>
      </c>
      <c r="E15" s="7">
        <v>15945.4704</v>
      </c>
      <c r="F15" s="7">
        <v>6179.9</v>
      </c>
      <c r="G15" s="7">
        <f>(E15+F15)*1000000/'a1'!L15</f>
        <v>38977.889820819219</v>
      </c>
      <c r="H15" s="7">
        <v>2010.846</v>
      </c>
      <c r="I15" s="7">
        <v>1552</v>
      </c>
      <c r="J15" s="7">
        <f>(H15+I15)*1000000/'a1'!R15</f>
        <v>29279.494428191054</v>
      </c>
      <c r="K15" s="7">
        <v>19031.4594</v>
      </c>
      <c r="L15" s="7">
        <v>12222.3</v>
      </c>
      <c r="M15" s="7">
        <f>(K15+L15)*1000000/'a1'!X15</f>
        <v>37002.987587434938</v>
      </c>
      <c r="N15" s="7">
        <v>18815.313099999999</v>
      </c>
      <c r="O15" s="7">
        <v>7848.7</v>
      </c>
      <c r="P15" s="7">
        <f>(N15+O15)*1000000/'a1'!AD15</f>
        <v>38117.912007479477</v>
      </c>
      <c r="Q15" s="7">
        <v>164163.55019999997</v>
      </c>
      <c r="R15" s="7">
        <v>123731.4</v>
      </c>
      <c r="S15" s="7">
        <f>(Q15+R15)*1000000/'a1'!AJ15</f>
        <v>44700.998826325878</v>
      </c>
      <c r="T15" s="7">
        <v>238487.10449999999</v>
      </c>
      <c r="U15" s="7">
        <v>196134.1</v>
      </c>
      <c r="V15" s="7">
        <f>(T15+U15)*1000000/'a1'!AP15</f>
        <v>50595.333966462029</v>
      </c>
      <c r="W15" s="7">
        <v>32312.687300000001</v>
      </c>
      <c r="X15" s="7">
        <v>17029.5</v>
      </c>
      <c r="Y15" s="7">
        <f>(W15+X15)*1000000/'a1'!AV15</f>
        <v>47404.253992531332</v>
      </c>
      <c r="Z15" s="7">
        <v>31873.8338</v>
      </c>
      <c r="AA15" s="7">
        <v>15490.8</v>
      </c>
      <c r="AB15" s="7">
        <f>(Z15+AA15)*1000000/'a1'!BB15</f>
        <v>49730.304379324458</v>
      </c>
      <c r="AC15" s="7">
        <v>91819.612800000003</v>
      </c>
      <c r="AD15" s="7">
        <v>44871</v>
      </c>
      <c r="AE15" s="7">
        <f>(AC15+AD15)*1000000/'a1'!BH15</f>
        <v>67593.63142177416</v>
      </c>
      <c r="AF15" s="7">
        <v>86499.771799999988</v>
      </c>
      <c r="AG15" s="7">
        <v>37554.6</v>
      </c>
      <c r="AH15" s="7">
        <f>(AF15+AG15)*1000000/'a1'!BN15</f>
        <v>47436.591614592136</v>
      </c>
    </row>
    <row r="16" spans="1:34" hidden="1">
      <c r="A16" s="1">
        <v>1979</v>
      </c>
      <c r="B16" s="159">
        <v>736731.00260000001</v>
      </c>
      <c r="C16" s="7">
        <v>484791</v>
      </c>
      <c r="D16" s="7">
        <f>(B16+C16)*1000000/'a1'!F16</f>
        <v>50472.895555754621</v>
      </c>
      <c r="E16" s="7">
        <v>16292.014599999999</v>
      </c>
      <c r="F16" s="7">
        <v>6479.9</v>
      </c>
      <c r="G16" s="7">
        <f>(E16+F16)*1000000/'a1'!L16</f>
        <v>39945.471385344026</v>
      </c>
      <c r="H16" s="7">
        <v>2090.1977999999999</v>
      </c>
      <c r="I16" s="7">
        <v>1645.2</v>
      </c>
      <c r="J16" s="7">
        <f>(H16+I16)*1000000/'a1'!R16</f>
        <v>30397.508239410829</v>
      </c>
      <c r="K16" s="7">
        <v>19396.016500000002</v>
      </c>
      <c r="L16" s="7">
        <v>12767.3</v>
      </c>
      <c r="M16" s="7">
        <f>(K16+L16)*1000000/'a1'!X16</f>
        <v>37866.103089724937</v>
      </c>
      <c r="N16" s="7">
        <v>19866.207899999998</v>
      </c>
      <c r="O16" s="7">
        <v>8279.7000000000007</v>
      </c>
      <c r="P16" s="7">
        <f>(N16+O16)*1000000/'a1'!AD16</f>
        <v>40027.857039242961</v>
      </c>
      <c r="Q16" s="7">
        <v>168457.0135</v>
      </c>
      <c r="R16" s="7">
        <v>128106.9</v>
      </c>
      <c r="S16" s="7">
        <f>(Q16+R16)*1000000/'a1'!AJ16</f>
        <v>45865.15573161505</v>
      </c>
      <c r="T16" s="7">
        <v>242938.3296</v>
      </c>
      <c r="U16" s="7">
        <v>203286.1</v>
      </c>
      <c r="V16" s="7">
        <f>(T16+U16)*1000000/'a1'!AP16</f>
        <v>51514.649770355609</v>
      </c>
      <c r="W16" s="7">
        <v>32545.651700000002</v>
      </c>
      <c r="X16" s="7">
        <v>17541.7</v>
      </c>
      <c r="Y16" s="7">
        <f>(W16+X16)*1000000/'a1'!AV16</f>
        <v>48287.577125382733</v>
      </c>
      <c r="Z16" s="7">
        <v>33272.876700000001</v>
      </c>
      <c r="AA16" s="7">
        <v>16490.7</v>
      </c>
      <c r="AB16" s="7">
        <f>(Z16+AA16)*1000000/'a1'!BB16</f>
        <v>51851.372201701517</v>
      </c>
      <c r="AC16" s="7">
        <v>100319.67480000001</v>
      </c>
      <c r="AD16" s="7">
        <v>49302</v>
      </c>
      <c r="AE16" s="7">
        <f>(AC16+AD16)*1000000/'a1'!BH16</f>
        <v>71351.502504094009</v>
      </c>
      <c r="AF16" s="7">
        <v>90290.841</v>
      </c>
      <c r="AG16" s="7">
        <v>39611.699999999997</v>
      </c>
      <c r="AH16" s="7">
        <f>(AF16+AG16)*1000000/'a1'!BN16</f>
        <v>48739.565097000719</v>
      </c>
    </row>
    <row r="17" spans="1:34" hidden="1">
      <c r="A17" s="1">
        <v>1980</v>
      </c>
      <c r="B17" s="159">
        <v>764899.81949999998</v>
      </c>
      <c r="C17" s="7">
        <v>502619.1</v>
      </c>
      <c r="D17" s="7">
        <f>(B17+C17)*1000000/'a1'!F17</f>
        <v>51702.403997411115</v>
      </c>
      <c r="E17" s="7">
        <v>16447.428900000003</v>
      </c>
      <c r="F17" s="7">
        <v>6859.5</v>
      </c>
      <c r="G17" s="7">
        <f>(E17+F17)*1000000/'a1'!L17</f>
        <v>40692.38353303921</v>
      </c>
      <c r="H17" s="7">
        <v>2200.9198999999999</v>
      </c>
      <c r="I17" s="7">
        <v>1688.5</v>
      </c>
      <c r="J17" s="7">
        <f>(H17+I17)*1000000/'a1'!R17</f>
        <v>31433.465874651472</v>
      </c>
      <c r="K17" s="7">
        <v>19806.535</v>
      </c>
      <c r="L17" s="7">
        <v>13132.6</v>
      </c>
      <c r="M17" s="7">
        <f>(K17+L17)*1000000/'a1'!X17</f>
        <v>38631.076432665352</v>
      </c>
      <c r="N17" s="7">
        <v>20358.177100000001</v>
      </c>
      <c r="O17" s="7">
        <v>8524.6</v>
      </c>
      <c r="P17" s="7">
        <f>(N17+O17)*1000000/'a1'!AD17</f>
        <v>40897.762733656273</v>
      </c>
      <c r="Q17" s="7">
        <v>172631.99509999997</v>
      </c>
      <c r="R17" s="7">
        <v>131453.1</v>
      </c>
      <c r="S17" s="7">
        <f>(Q17+R17)*1000000/'a1'!AJ17</f>
        <v>46739.200018075629</v>
      </c>
      <c r="T17" s="7">
        <v>248550.89060000001</v>
      </c>
      <c r="U17" s="7">
        <v>209295.5</v>
      </c>
      <c r="V17" s="7">
        <f>(T17+U17)*1000000/'a1'!AP17</f>
        <v>52349.155049277892</v>
      </c>
      <c r="W17" s="7">
        <v>32618.715</v>
      </c>
      <c r="X17" s="7">
        <v>17776</v>
      </c>
      <c r="Y17" s="7">
        <f>(W17+X17)*1000000/'a1'!AV17</f>
        <v>48717.140274642683</v>
      </c>
      <c r="Z17" s="7">
        <v>34568.872899999995</v>
      </c>
      <c r="AA17" s="7">
        <v>17308.099999999999</v>
      </c>
      <c r="AB17" s="7">
        <f>(Z17+AA17)*1000000/'a1'!BB17</f>
        <v>53616.950166813418</v>
      </c>
      <c r="AC17" s="7">
        <v>110521.08870000001</v>
      </c>
      <c r="AD17" s="7">
        <v>53037.4</v>
      </c>
      <c r="AE17" s="7">
        <f>(AC17+AD17)*1000000/'a1'!BH17</f>
        <v>74649.166533167765</v>
      </c>
      <c r="AF17" s="7">
        <v>95100.084000000003</v>
      </c>
      <c r="AG17" s="7">
        <v>42214.3</v>
      </c>
      <c r="AH17" s="7">
        <f>(AF17+AG17)*1000000/'a1'!BN17</f>
        <v>50007.76951200371</v>
      </c>
    </row>
    <row r="18" spans="1:34" hidden="1">
      <c r="B18" s="159"/>
      <c r="C18" s="159"/>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row>
    <row r="19" spans="1:34" ht="21.75" customHeight="1">
      <c r="A19" s="1">
        <v>1981</v>
      </c>
      <c r="B19" s="159">
        <v>799353.04020000005</v>
      </c>
      <c r="C19" s="7">
        <v>522560.5</v>
      </c>
      <c r="D19" s="7">
        <f>(B19+C19)*1000000/'a1'!F19</f>
        <v>53260.19610462003</v>
      </c>
      <c r="E19" s="7">
        <v>16708.253800000002</v>
      </c>
      <c r="F19" s="7">
        <v>7161.9</v>
      </c>
      <c r="G19" s="7">
        <f>(E19+F19)*1000000/'a1'!L19</f>
        <v>41491.518889209496</v>
      </c>
      <c r="H19" s="7">
        <v>2246.2586000000001</v>
      </c>
      <c r="I19" s="7">
        <v>1710.1</v>
      </c>
      <c r="J19" s="7">
        <f>(H19+I19)*1000000/'a1'!R19</f>
        <v>32022.068619436508</v>
      </c>
      <c r="K19" s="7">
        <v>20617.0641</v>
      </c>
      <c r="L19" s="7">
        <v>13522.4</v>
      </c>
      <c r="M19" s="7">
        <f>(K19+L19)*1000000/'a1'!X19</f>
        <v>39935.223092139044</v>
      </c>
      <c r="N19" s="7">
        <v>20664.656300000002</v>
      </c>
      <c r="O19" s="7">
        <v>8730.1</v>
      </c>
      <c r="P19" s="7">
        <f>(N19+O19)*1000000/'a1'!AD19</f>
        <v>41609.817563607845</v>
      </c>
      <c r="Q19" s="7">
        <v>176068.86249999999</v>
      </c>
      <c r="R19" s="7">
        <v>135126.20000000001</v>
      </c>
      <c r="S19" s="7">
        <f>(Q19+R19)*1000000/'a1'!AJ19</f>
        <v>47530.964348614609</v>
      </c>
      <c r="T19" s="7">
        <v>256232.36409999998</v>
      </c>
      <c r="U19" s="7">
        <v>216222.8</v>
      </c>
      <c r="V19" s="7">
        <f>(T19+U19)*1000000/'a1'!AP19</f>
        <v>53613.235441972713</v>
      </c>
      <c r="W19" s="7">
        <v>32804.797700000003</v>
      </c>
      <c r="X19" s="7">
        <v>18119.3</v>
      </c>
      <c r="Y19" s="7">
        <f>(W19+X19)*1000000/'a1'!AV19</f>
        <v>49176.132085037345</v>
      </c>
      <c r="Z19" s="7">
        <v>36508.133000000002</v>
      </c>
      <c r="AA19" s="7">
        <v>17985.8</v>
      </c>
      <c r="AB19" s="7">
        <f>(Z19+AA19)*1000000/'a1'!BB19</f>
        <v>55847.738017276817</v>
      </c>
      <c r="AC19" s="7">
        <v>123355.44899999999</v>
      </c>
      <c r="AD19" s="7">
        <v>57005.7</v>
      </c>
      <c r="AE19" s="7">
        <f>(AC19+AD19)*1000000/'a1'!BH19</f>
        <v>78722.375326480149</v>
      </c>
      <c r="AF19" s="7">
        <v>100286.34730000001</v>
      </c>
      <c r="AG19" s="7">
        <v>45614.8</v>
      </c>
      <c r="AH19" s="7">
        <f>(AF19+AG19)*1000000/'a1'!BN19</f>
        <v>51617.956291715935</v>
      </c>
    </row>
    <row r="20" spans="1:34" ht="21.75" customHeight="1">
      <c r="A20" s="1">
        <v>1982</v>
      </c>
      <c r="B20" s="159">
        <v>818649.60849999997</v>
      </c>
      <c r="C20" s="7">
        <v>537483.5</v>
      </c>
      <c r="D20" s="7">
        <f>(B20+C20)*1000000/'a1'!F20</f>
        <v>53992.763470170852</v>
      </c>
      <c r="E20" s="7">
        <v>17347.0605</v>
      </c>
      <c r="F20" s="7">
        <v>7447.3</v>
      </c>
      <c r="G20" s="7">
        <f>(E20+F20)*1000000/'a1'!L20</f>
        <v>43211.18256520186</v>
      </c>
      <c r="H20" s="7">
        <v>2275.1118000000001</v>
      </c>
      <c r="I20" s="7">
        <v>1735</v>
      </c>
      <c r="J20" s="7">
        <f>(H20+I20)*1000000/'a1'!R20</f>
        <v>32447.420461533482</v>
      </c>
      <c r="K20" s="7">
        <v>21670.298300000002</v>
      </c>
      <c r="L20" s="7">
        <v>13940.9</v>
      </c>
      <c r="M20" s="7">
        <f>(K20+L20)*1000000/'a1'!X20</f>
        <v>41454.741583026596</v>
      </c>
      <c r="N20" s="7">
        <v>21035.904600000002</v>
      </c>
      <c r="O20" s="7">
        <v>8944.1</v>
      </c>
      <c r="P20" s="7">
        <f>(N20+O20)*1000000/'a1'!AD20</f>
        <v>42377.140377436364</v>
      </c>
      <c r="Q20" s="7">
        <v>177215.47869999998</v>
      </c>
      <c r="R20" s="7">
        <v>137796.29999999999</v>
      </c>
      <c r="S20" s="7">
        <f>(Q20+R20)*1000000/'a1'!AJ20</f>
        <v>47869.5399726865</v>
      </c>
      <c r="T20" s="7">
        <v>259880.8284</v>
      </c>
      <c r="U20" s="7">
        <v>221564.5</v>
      </c>
      <c r="V20" s="7">
        <f>(T20+U20)*1000000/'a1'!AP20</f>
        <v>53971.948932590516</v>
      </c>
      <c r="W20" s="7">
        <v>32225.876999999997</v>
      </c>
      <c r="X20" s="7">
        <v>18352.2</v>
      </c>
      <c r="Y20" s="7">
        <f>(W20+X20)*1000000/'a1'!AV20</f>
        <v>48389.701154967741</v>
      </c>
      <c r="Z20" s="7">
        <v>36887.165999999997</v>
      </c>
      <c r="AA20" s="7">
        <v>18570.5</v>
      </c>
      <c r="AB20" s="7">
        <f>(Z20+AA20)*1000000/'a1'!BB20</f>
        <v>56211.917509137609</v>
      </c>
      <c r="AC20" s="7">
        <v>132126.00169999999</v>
      </c>
      <c r="AD20" s="7">
        <v>59970.8</v>
      </c>
      <c r="AE20" s="7">
        <f>(AC20+AD20)*1000000/'a1'!BH20</f>
        <v>81059.419822628406</v>
      </c>
      <c r="AF20" s="7">
        <v>102151.5763</v>
      </c>
      <c r="AG20" s="7">
        <v>47769.2</v>
      </c>
      <c r="AH20" s="7">
        <f>(AF20+AG20)*1000000/'a1'!BN20</f>
        <v>52118.928821110836</v>
      </c>
    </row>
    <row r="21" spans="1:34" ht="21.75" customHeight="1">
      <c r="A21" s="1">
        <v>1983</v>
      </c>
      <c r="B21" s="159">
        <v>826965.87550000008</v>
      </c>
      <c r="C21" s="7">
        <v>556927</v>
      </c>
      <c r="D21" s="7">
        <f>(B21+C21)*1000000/'a1'!F21</f>
        <v>54556.030542073073</v>
      </c>
      <c r="E21" s="7">
        <v>17880.362499999999</v>
      </c>
      <c r="F21" s="7">
        <v>7800.4</v>
      </c>
      <c r="G21" s="7">
        <f>(E21+F21)*1000000/'a1'!L21</f>
        <v>44341.089052496347</v>
      </c>
      <c r="H21" s="7">
        <v>2292.6537999999996</v>
      </c>
      <c r="I21" s="7">
        <v>1781.3</v>
      </c>
      <c r="J21" s="7">
        <f>(H21+I21)*1000000/'a1'!R21</f>
        <v>32565.057313232399</v>
      </c>
      <c r="K21" s="7">
        <v>22825.715</v>
      </c>
      <c r="L21" s="7">
        <v>14537.8</v>
      </c>
      <c r="M21" s="7">
        <f>(K21+L21)*1000000/'a1'!X21</f>
        <v>43031.19698625688</v>
      </c>
      <c r="N21" s="7">
        <v>20774.488600000001</v>
      </c>
      <c r="O21" s="7">
        <v>9348.2000000000007</v>
      </c>
      <c r="P21" s="7">
        <f>(N21+O21)*1000000/'a1'!AD21</f>
        <v>42138.946228677109</v>
      </c>
      <c r="Q21" s="7">
        <v>177356.4903</v>
      </c>
      <c r="R21" s="7">
        <v>142536.70000000001</v>
      </c>
      <c r="S21" s="7">
        <f>(Q21+R21)*1000000/'a1'!AJ21</f>
        <v>48446.820085367566</v>
      </c>
      <c r="T21" s="7">
        <v>261813.10750000001</v>
      </c>
      <c r="U21" s="7">
        <v>229283</v>
      </c>
      <c r="V21" s="7">
        <f>(T21+U21)*1000000/'a1'!AP21</f>
        <v>54327.410868488798</v>
      </c>
      <c r="W21" s="7">
        <v>31722.226699999999</v>
      </c>
      <c r="X21" s="7">
        <v>18915.599999999999</v>
      </c>
      <c r="Y21" s="7">
        <f>(W21+X21)*1000000/'a1'!AV21</f>
        <v>47782.713974590282</v>
      </c>
      <c r="Z21" s="7">
        <v>37307.726900000001</v>
      </c>
      <c r="AA21" s="7">
        <v>19372</v>
      </c>
      <c r="AB21" s="7">
        <f>(Z21+AA21)*1000000/'a1'!BB21</f>
        <v>56609.02223123319</v>
      </c>
      <c r="AC21" s="7">
        <v>135013.0619</v>
      </c>
      <c r="AD21" s="7">
        <v>62025</v>
      </c>
      <c r="AE21" s="7">
        <f>(AC21+AD21)*1000000/'a1'!BH21</f>
        <v>82319.156103371221</v>
      </c>
      <c r="AF21" s="7">
        <v>102846.1581</v>
      </c>
      <c r="AG21" s="7">
        <v>49911</v>
      </c>
      <c r="AH21" s="7">
        <f>(AF21+AG21)*1000000/'a1'!BN21</f>
        <v>52538.969225128647</v>
      </c>
    </row>
    <row r="22" spans="1:34" ht="21.75" customHeight="1">
      <c r="A22" s="1">
        <v>1984</v>
      </c>
      <c r="B22" s="159">
        <v>834996.5983999999</v>
      </c>
      <c r="C22" s="7">
        <v>576241.9</v>
      </c>
      <c r="D22" s="7">
        <f>(B22+C22)*1000000/'a1'!F22</f>
        <v>55111.32024446546</v>
      </c>
      <c r="E22" s="7">
        <v>18443.063399999999</v>
      </c>
      <c r="F22" s="7">
        <v>8117.4</v>
      </c>
      <c r="G22" s="7">
        <f>(E22+F22)*1000000/'a1'!L22</f>
        <v>45788.770913604509</v>
      </c>
      <c r="H22" s="7">
        <v>2313.8782999999999</v>
      </c>
      <c r="I22" s="7">
        <v>1848</v>
      </c>
      <c r="J22" s="7">
        <f>(H22+I22)*1000000/'a1'!R22</f>
        <v>32883.84677986458</v>
      </c>
      <c r="K22" s="7">
        <v>23387.656899999998</v>
      </c>
      <c r="L22" s="7">
        <v>15150.1</v>
      </c>
      <c r="M22" s="7">
        <f>(K22+L22)*1000000/'a1'!X22</f>
        <v>43919.123139112293</v>
      </c>
      <c r="N22" s="7">
        <v>20642.441600000002</v>
      </c>
      <c r="O22" s="7">
        <v>9688.4</v>
      </c>
      <c r="P22" s="7">
        <f>(N22+O22)*1000000/'a1'!AD22</f>
        <v>42097.636046679472</v>
      </c>
      <c r="Q22" s="7">
        <v>178735.31890000001</v>
      </c>
      <c r="R22" s="7">
        <v>148009.29999999999</v>
      </c>
      <c r="S22" s="7">
        <f>(Q22+R22)*1000000/'a1'!AJ22</f>
        <v>49273.680996860305</v>
      </c>
      <c r="T22" s="7">
        <v>264992.14600000001</v>
      </c>
      <c r="U22" s="7">
        <v>237788.4</v>
      </c>
      <c r="V22" s="7">
        <f>(T22+U22)*1000000/'a1'!AP22</f>
        <v>54843.896755096597</v>
      </c>
      <c r="W22" s="7">
        <v>31720.174299999999</v>
      </c>
      <c r="X22" s="7">
        <v>19516.900000000001</v>
      </c>
      <c r="Y22" s="7">
        <f>(W22+X22)*1000000/'a1'!AV22</f>
        <v>47804.251033298809</v>
      </c>
      <c r="Z22" s="7">
        <v>37654.439700000003</v>
      </c>
      <c r="AA22" s="7">
        <v>20059.7</v>
      </c>
      <c r="AB22" s="7">
        <f>(Z22+AA22)*1000000/'a1'!BB22</f>
        <v>56882.797612887647</v>
      </c>
      <c r="AC22" s="7">
        <v>136042.46739999999</v>
      </c>
      <c r="AD22" s="7">
        <v>62998.3</v>
      </c>
      <c r="AE22" s="7">
        <f>(AC22+AD22)*1000000/'a1'!BH22</f>
        <v>83144.736783843313</v>
      </c>
      <c r="AF22" s="7">
        <v>103165.24619999999</v>
      </c>
      <c r="AG22" s="7">
        <v>51615.1</v>
      </c>
      <c r="AH22" s="7">
        <f>(AF22+AG22)*1000000/'a1'!BN22</f>
        <v>52518.099906317257</v>
      </c>
    </row>
    <row r="23" spans="1:34" ht="21.75" customHeight="1">
      <c r="A23" s="1">
        <v>1985</v>
      </c>
      <c r="B23" s="159">
        <v>847996.79020000005</v>
      </c>
      <c r="C23" s="7">
        <v>597687.6</v>
      </c>
      <c r="D23" s="7">
        <f>(B23+C23)*1000000/'a1'!F23</f>
        <v>55942.957233068686</v>
      </c>
      <c r="E23" s="7">
        <v>18770.236799999999</v>
      </c>
      <c r="F23" s="7">
        <v>8462.1</v>
      </c>
      <c r="G23" s="7">
        <f>(E23+F23)*1000000/'a1'!L23</f>
        <v>47011.06866341547</v>
      </c>
      <c r="H23" s="7">
        <v>2339.9456</v>
      </c>
      <c r="I23" s="7">
        <v>1921.4</v>
      </c>
      <c r="J23" s="7">
        <f>(H23+I23)*1000000/'a1'!R23</f>
        <v>33391.153354907969</v>
      </c>
      <c r="K23" s="7">
        <v>23653.1525</v>
      </c>
      <c r="L23" s="7">
        <v>15933.4</v>
      </c>
      <c r="M23" s="7">
        <f>(K23+L23)*1000000/'a1'!X23</f>
        <v>44687.748349603993</v>
      </c>
      <c r="N23" s="7">
        <v>20640.094799999999</v>
      </c>
      <c r="O23" s="7">
        <v>10101.6</v>
      </c>
      <c r="P23" s="7">
        <f>(N23+O23)*1000000/'a1'!AD23</f>
        <v>42502.761421123287</v>
      </c>
      <c r="Q23" s="7">
        <v>181229.07689999999</v>
      </c>
      <c r="R23" s="7">
        <v>153764.9</v>
      </c>
      <c r="S23" s="7">
        <f>(Q23+R23)*1000000/'a1'!AJ23</f>
        <v>50255.614688225061</v>
      </c>
      <c r="T23" s="7">
        <v>270701.36489999999</v>
      </c>
      <c r="U23" s="7">
        <v>247590.39999999999</v>
      </c>
      <c r="V23" s="7">
        <f>(T23+U23)*1000000/'a1'!AP23</f>
        <v>55762.333661156074</v>
      </c>
      <c r="W23" s="7">
        <v>32035.312099999999</v>
      </c>
      <c r="X23" s="7">
        <v>20255</v>
      </c>
      <c r="Y23" s="7">
        <f>(W23+X23)*1000000/'a1'!AV23</f>
        <v>48305.361318066127</v>
      </c>
      <c r="Z23" s="7">
        <v>38232.154899999994</v>
      </c>
      <c r="AA23" s="7">
        <v>20809.900000000001</v>
      </c>
      <c r="AB23" s="7">
        <f>(Z23+AA23)*1000000/'a1'!BB23</f>
        <v>57606.051254332007</v>
      </c>
      <c r="AC23" s="7">
        <v>138314.2549</v>
      </c>
      <c r="AD23" s="7">
        <v>63981.3</v>
      </c>
      <c r="AE23" s="7">
        <f>(AC23+AD23)*1000000/'a1'!BH23</f>
        <v>84132.416811881107</v>
      </c>
      <c r="AF23" s="7">
        <v>104153.0382</v>
      </c>
      <c r="AG23" s="7">
        <v>53361.599999999999</v>
      </c>
      <c r="AH23" s="7">
        <f>(AF23+AG23)*1000000/'a1'!BN23</f>
        <v>52943.765568642186</v>
      </c>
    </row>
    <row r="24" spans="1:34" ht="21.75" customHeight="1">
      <c r="A24" s="1">
        <v>1986</v>
      </c>
      <c r="B24" s="159">
        <v>859097.99199999997</v>
      </c>
      <c r="C24" s="7">
        <v>623426.19999999995</v>
      </c>
      <c r="D24" s="7">
        <f>(B24+C24)*1000000/'a1'!F24</f>
        <v>56801.088172317541</v>
      </c>
      <c r="E24" s="7">
        <v>19052.966100000001</v>
      </c>
      <c r="F24" s="7">
        <v>8814.6</v>
      </c>
      <c r="G24" s="7">
        <f>(E24+F24)*1000000/'a1'!L24</f>
        <v>48355.502285244307</v>
      </c>
      <c r="H24" s="7">
        <v>2370.4197000000004</v>
      </c>
      <c r="I24" s="7">
        <v>2024.3</v>
      </c>
      <c r="J24" s="7">
        <f>(H24+I24)*1000000/'a1'!R24</f>
        <v>34217.195334641387</v>
      </c>
      <c r="K24" s="7">
        <v>23773.605599999999</v>
      </c>
      <c r="L24" s="7">
        <v>16762.8</v>
      </c>
      <c r="M24" s="7">
        <f>(K24+L24)*1000000/'a1'!X24</f>
        <v>45593.294694444972</v>
      </c>
      <c r="N24" s="7">
        <v>20455.831600000001</v>
      </c>
      <c r="O24" s="7">
        <v>10643.2</v>
      </c>
      <c r="P24" s="7">
        <f>(N24+O24)*1000000/'a1'!AD24</f>
        <v>42894.091878971456</v>
      </c>
      <c r="Q24" s="7">
        <v>183286.93549999999</v>
      </c>
      <c r="R24" s="7">
        <v>161029.9</v>
      </c>
      <c r="S24" s="7">
        <f>(Q24+R24)*1000000/'a1'!AJ24</f>
        <v>51327.982967038697</v>
      </c>
      <c r="T24" s="7">
        <v>279850.33119999996</v>
      </c>
      <c r="U24" s="7">
        <v>259449.3</v>
      </c>
      <c r="V24" s="7">
        <f>(T24+U24)*1000000/'a1'!AP24</f>
        <v>57145.185554560332</v>
      </c>
      <c r="W24" s="7">
        <v>32582.472399999999</v>
      </c>
      <c r="X24" s="7">
        <v>21261.8</v>
      </c>
      <c r="Y24" s="7">
        <f>(W24+X24)*1000000/'a1'!AV24</f>
        <v>49328.178959866316</v>
      </c>
      <c r="Z24" s="7">
        <v>38320.933799999999</v>
      </c>
      <c r="AA24" s="7">
        <v>21565.5</v>
      </c>
      <c r="AB24" s="7">
        <f>(Z24+AA24)*1000000/'a1'!BB24</f>
        <v>58214.682755315604</v>
      </c>
      <c r="AC24" s="7">
        <v>138501.19019999998</v>
      </c>
      <c r="AD24" s="7">
        <v>64963.8</v>
      </c>
      <c r="AE24" s="7">
        <f>(AC24+AD24)*1000000/'a1'!BH24</f>
        <v>83629.611291734662</v>
      </c>
      <c r="AF24" s="7">
        <v>103567.58570000001</v>
      </c>
      <c r="AG24" s="7">
        <v>55345.3</v>
      </c>
      <c r="AH24" s="7">
        <f>(AF24+AG24)*1000000/'a1'!BN24</f>
        <v>52907.103026646837</v>
      </c>
    </row>
    <row r="25" spans="1:34" ht="21.75" customHeight="1">
      <c r="A25" s="1">
        <v>1987</v>
      </c>
      <c r="B25" s="159">
        <v>873635.58600000001</v>
      </c>
      <c r="C25" s="7">
        <v>655926.30000000005</v>
      </c>
      <c r="D25" s="7">
        <f>(B25+C25)*1000000/'a1'!F25</f>
        <v>57835.858982407604</v>
      </c>
      <c r="E25" s="7">
        <v>18988.5785</v>
      </c>
      <c r="F25" s="7">
        <v>9138.7999999999993</v>
      </c>
      <c r="G25" s="7">
        <f>(E25+F25)*1000000/'a1'!L25</f>
        <v>48896.600908834887</v>
      </c>
      <c r="H25" s="7">
        <v>2415.5671000000002</v>
      </c>
      <c r="I25" s="7">
        <v>2119.6999999999998</v>
      </c>
      <c r="J25" s="7">
        <f>(H25+I25)*1000000/'a1'!R25</f>
        <v>35255.222673953096</v>
      </c>
      <c r="K25" s="7">
        <v>23690.461800000001</v>
      </c>
      <c r="L25" s="7">
        <v>17564.5</v>
      </c>
      <c r="M25" s="7">
        <f>(K25+L25)*1000000/'a1'!X25</f>
        <v>46166.83616716988</v>
      </c>
      <c r="N25" s="7">
        <v>20375.794899999997</v>
      </c>
      <c r="O25" s="7">
        <v>11108.6</v>
      </c>
      <c r="P25" s="7">
        <f>(N25+O25)*1000000/'a1'!AD25</f>
        <v>43261.581850259972</v>
      </c>
      <c r="Q25" s="7">
        <v>186879.19540000003</v>
      </c>
      <c r="R25" s="7">
        <v>170269.5</v>
      </c>
      <c r="S25" s="7">
        <f>(Q25+R25)*1000000/'a1'!AJ25</f>
        <v>52661.388673284986</v>
      </c>
      <c r="T25" s="7">
        <v>290424.9473</v>
      </c>
      <c r="U25" s="7">
        <v>274957.5</v>
      </c>
      <c r="V25" s="7">
        <f>(T25+U25)*1000000/'a1'!AP25</f>
        <v>58662.136721054128</v>
      </c>
      <c r="W25" s="7">
        <v>32786.339599999999</v>
      </c>
      <c r="X25" s="7">
        <v>22245</v>
      </c>
      <c r="Y25" s="7">
        <f>(W25+X25)*1000000/'a1'!AV25</f>
        <v>50102.596840963859</v>
      </c>
      <c r="Z25" s="7">
        <v>38766.518100000001</v>
      </c>
      <c r="AA25" s="7">
        <v>22560.799999999999</v>
      </c>
      <c r="AB25" s="7">
        <f>(Z25+AA25)*1000000/'a1'!BB25</f>
        <v>59379.722579127214</v>
      </c>
      <c r="AC25" s="7">
        <v>138985.2151</v>
      </c>
      <c r="AD25" s="7">
        <v>66503.5</v>
      </c>
      <c r="AE25" s="7">
        <f>(AC25+AD25)*1000000/'a1'!BH25</f>
        <v>84186.427706107279</v>
      </c>
      <c r="AF25" s="7">
        <v>103881.34759999999</v>
      </c>
      <c r="AG25" s="7">
        <v>57854.9</v>
      </c>
      <c r="AH25" s="7">
        <f>(AF25+AG25)*1000000/'a1'!BN25</f>
        <v>53051.742426404337</v>
      </c>
    </row>
    <row r="26" spans="1:34" ht="21.75" customHeight="1">
      <c r="A26" s="1">
        <v>1988</v>
      </c>
      <c r="B26" s="159">
        <v>899569.36960000009</v>
      </c>
      <c r="C26" s="7">
        <v>688221.5</v>
      </c>
      <c r="D26" s="7">
        <f>(B26+C26)*1000000/'a1'!F26</f>
        <v>59264.178241157621</v>
      </c>
      <c r="E26" s="7">
        <v>18981.6312</v>
      </c>
      <c r="F26" s="7">
        <v>9594.2000000000007</v>
      </c>
      <c r="G26" s="7">
        <f>(E26+F26)*1000000/'a1'!L26</f>
        <v>49698.653523066809</v>
      </c>
      <c r="H26" s="7">
        <v>2510.9003999999995</v>
      </c>
      <c r="I26" s="7">
        <v>2234.5</v>
      </c>
      <c r="J26" s="7">
        <f>(H26+I26)*1000000/'a1'!R26</f>
        <v>36703.821670830468</v>
      </c>
      <c r="K26" s="7">
        <v>24110.8534</v>
      </c>
      <c r="L26" s="7">
        <v>18267.7</v>
      </c>
      <c r="M26" s="7">
        <f>(K26+L26)*1000000/'a1'!X26</f>
        <v>47233.390175832807</v>
      </c>
      <c r="N26" s="7">
        <v>20628.395499999999</v>
      </c>
      <c r="O26" s="7">
        <v>11581</v>
      </c>
      <c r="P26" s="7">
        <f>(N26+O26)*1000000/'a1'!AD26</f>
        <v>44101.375506778269</v>
      </c>
      <c r="Q26" s="7">
        <v>192044.69820000001</v>
      </c>
      <c r="R26" s="7">
        <v>178792.7</v>
      </c>
      <c r="S26" s="7">
        <f>(Q26+R26)*1000000/'a1'!AJ26</f>
        <v>54239.172412421285</v>
      </c>
      <c r="T26" s="7">
        <v>304920.20850000001</v>
      </c>
      <c r="U26" s="7">
        <v>290603.09999999998</v>
      </c>
      <c r="V26" s="7">
        <f>(T26+U26)*1000000/'a1'!AP26</f>
        <v>60529.150277173016</v>
      </c>
      <c r="W26" s="7">
        <v>33221.692199999998</v>
      </c>
      <c r="X26" s="7">
        <v>23085</v>
      </c>
      <c r="Y26" s="7">
        <f>(W26+X26)*1000000/'a1'!AV26</f>
        <v>51087.955381834814</v>
      </c>
      <c r="Z26" s="7">
        <v>39442.830099999999</v>
      </c>
      <c r="AA26" s="7">
        <v>23293.8</v>
      </c>
      <c r="AB26" s="7">
        <f>(Z26+AA26)*1000000/'a1'!BB26</f>
        <v>61014.495951761521</v>
      </c>
      <c r="AC26" s="7">
        <v>142050.03840000002</v>
      </c>
      <c r="AD26" s="7">
        <v>68464.3</v>
      </c>
      <c r="AE26" s="7">
        <f>(AC26+AD26)*1000000/'a1'!BH26</f>
        <v>85692.883945137495</v>
      </c>
      <c r="AF26" s="7">
        <v>105848.1015</v>
      </c>
      <c r="AG26" s="7">
        <v>60649.3</v>
      </c>
      <c r="AH26" s="7">
        <f>(AF26+AG26)*1000000/'a1'!BN26</f>
        <v>53454.310459133143</v>
      </c>
    </row>
    <row r="27" spans="1:34" ht="21.75" customHeight="1">
      <c r="A27" s="1">
        <v>1989</v>
      </c>
      <c r="B27" s="159">
        <v>926628.95849999995</v>
      </c>
      <c r="C27" s="7">
        <v>721987.8</v>
      </c>
      <c r="D27" s="7">
        <f>(B27+C27)*1000000/'a1'!F27</f>
        <v>60440.297500647161</v>
      </c>
      <c r="E27" s="7">
        <v>18953.524100000002</v>
      </c>
      <c r="F27" s="7">
        <v>10130.9</v>
      </c>
      <c r="G27" s="7">
        <f>(E27+F27)*1000000/'a1'!L27</f>
        <v>50445.535780876286</v>
      </c>
      <c r="H27" s="7">
        <v>2601.7656999999999</v>
      </c>
      <c r="I27" s="7">
        <v>2337</v>
      </c>
      <c r="J27" s="7">
        <f>(H27+I27)*1000000/'a1'!R27</f>
        <v>37945.846042734323</v>
      </c>
      <c r="K27" s="7">
        <v>24784.594300000001</v>
      </c>
      <c r="L27" s="7">
        <v>18862.400000000001</v>
      </c>
      <c r="M27" s="7">
        <f>(K27+L27)*1000000/'a1'!X27</f>
        <v>48290.566924934814</v>
      </c>
      <c r="N27" s="7">
        <v>21240.6008</v>
      </c>
      <c r="O27" s="7">
        <v>12046</v>
      </c>
      <c r="P27" s="7">
        <f>(N27+O27)*1000000/'a1'!AD27</f>
        <v>45279.945152483444</v>
      </c>
      <c r="Q27" s="7">
        <v>198741.40209999998</v>
      </c>
      <c r="R27" s="7">
        <v>185851.7</v>
      </c>
      <c r="S27" s="7">
        <f>(Q27+R27)*1000000/'a1'!AJ27</f>
        <v>55535.883538903538</v>
      </c>
      <c r="T27" s="7">
        <v>318820.22210000001</v>
      </c>
      <c r="U27" s="7">
        <v>308447.59999999998</v>
      </c>
      <c r="V27" s="7">
        <f>(T27+U27)*1000000/'a1'!AP27</f>
        <v>62085.408893426458</v>
      </c>
      <c r="W27" s="7">
        <v>33695.622299999995</v>
      </c>
      <c r="X27" s="7">
        <v>23688.6</v>
      </c>
      <c r="Y27" s="7">
        <f>(W27+X27)*1000000/'a1'!AV27</f>
        <v>51988.257117282963</v>
      </c>
      <c r="Z27" s="7">
        <v>39622.397100000002</v>
      </c>
      <c r="AA27" s="7">
        <v>23758.9</v>
      </c>
      <c r="AB27" s="7">
        <f>(Z27+AA27)*1000000/'a1'!BB27</f>
        <v>62172.721565488471</v>
      </c>
      <c r="AC27" s="7">
        <v>143288.54120000001</v>
      </c>
      <c r="AD27" s="7">
        <v>70815.899999999994</v>
      </c>
      <c r="AE27" s="7">
        <f>(AC27+AD27)*1000000/'a1'!BH27</f>
        <v>85699.194940610207</v>
      </c>
      <c r="AF27" s="7">
        <v>109375.45970000001</v>
      </c>
      <c r="AG27" s="7">
        <v>64328.2</v>
      </c>
      <c r="AH27" s="7">
        <f>(AF27+AG27)*1000000/'a1'!BN27</f>
        <v>54338.005208455535</v>
      </c>
    </row>
    <row r="28" spans="1:34" ht="21.75" customHeight="1">
      <c r="A28" s="1">
        <v>1990</v>
      </c>
      <c r="B28" s="159">
        <v>948290.24679999996</v>
      </c>
      <c r="C28" s="7">
        <v>751178.5</v>
      </c>
      <c r="D28" s="7">
        <f>(B28+C28)*1000000/'a1'!F28</f>
        <v>61372.297043191211</v>
      </c>
      <c r="E28" s="7">
        <v>18807.459500000001</v>
      </c>
      <c r="F28" s="7">
        <v>10632.1</v>
      </c>
      <c r="G28" s="7">
        <f>(E28+F28)*1000000/'a1'!L28</f>
        <v>50989.246892796284</v>
      </c>
      <c r="H28" s="7">
        <v>2656.2467999999999</v>
      </c>
      <c r="I28" s="7">
        <v>2417.4</v>
      </c>
      <c r="J28" s="7">
        <f>(H28+I28)*1000000/'a1'!R28</f>
        <v>38907.140885248918</v>
      </c>
      <c r="K28" s="7">
        <v>25157.670499999997</v>
      </c>
      <c r="L28" s="7">
        <v>19588.900000000001</v>
      </c>
      <c r="M28" s="7">
        <f>(K28+L28)*1000000/'a1'!X28</f>
        <v>49147.697679501696</v>
      </c>
      <c r="N28" s="7">
        <v>21617.852600000002</v>
      </c>
      <c r="O28" s="7">
        <v>12406.3</v>
      </c>
      <c r="P28" s="7">
        <f>(N28+O28)*1000000/'a1'!AD28</f>
        <v>45968.893854808986</v>
      </c>
      <c r="Q28" s="7">
        <v>204536.10090000002</v>
      </c>
      <c r="R28" s="7">
        <v>192880.2</v>
      </c>
      <c r="S28" s="7">
        <f>(Q28+R28)*1000000/'a1'!AJ28</f>
        <v>56798.212959122691</v>
      </c>
      <c r="T28" s="7">
        <v>328793.22899999999</v>
      </c>
      <c r="U28" s="7">
        <v>321155.8</v>
      </c>
      <c r="V28" s="7">
        <f>(T28+U28)*1000000/'a1'!AP28</f>
        <v>63127.392618682978</v>
      </c>
      <c r="W28" s="7">
        <v>34183.642099999997</v>
      </c>
      <c r="X28" s="7">
        <v>24187.3</v>
      </c>
      <c r="Y28" s="7">
        <f>(W28+X28)*1000000/'a1'!AV28</f>
        <v>52804.263805373703</v>
      </c>
      <c r="Z28" s="7">
        <v>40224.1181</v>
      </c>
      <c r="AA28" s="7">
        <v>23979.1</v>
      </c>
      <c r="AB28" s="7">
        <f>(Z28+AA28)*1000000/'a1'!BB28</f>
        <v>63710.923791860296</v>
      </c>
      <c r="AC28" s="7">
        <v>145102.05230000004</v>
      </c>
      <c r="AD28" s="7">
        <v>73586.100000000006</v>
      </c>
      <c r="AE28" s="7">
        <f>(AC28+AD28)*1000000/'a1'!BH28</f>
        <v>85834.51696137985</v>
      </c>
      <c r="AF28" s="7">
        <v>112452.424</v>
      </c>
      <c r="AG28" s="7">
        <v>68562.399999999994</v>
      </c>
      <c r="AH28" s="7">
        <f>(AF28+AG28)*1000000/'a1'!BN28</f>
        <v>54984.423064714407</v>
      </c>
    </row>
    <row r="29" spans="1:34" ht="21.75" customHeight="1">
      <c r="A29" s="1">
        <v>1991</v>
      </c>
      <c r="B29" s="159">
        <v>964505.58039999998</v>
      </c>
      <c r="C29" s="7">
        <v>772300.80000000005</v>
      </c>
      <c r="D29" s="7">
        <f>(B29+C29)*1000000/'a1'!F29</f>
        <v>61946.012878503097</v>
      </c>
      <c r="E29" s="7">
        <v>18789.109499999999</v>
      </c>
      <c r="F29" s="7">
        <v>11010.5</v>
      </c>
      <c r="G29" s="7">
        <f>(E29+F29)*1000000/'a1'!L29</f>
        <v>51410.19229044034</v>
      </c>
      <c r="H29" s="7">
        <v>2795.0072</v>
      </c>
      <c r="I29" s="7">
        <v>2499.3000000000002</v>
      </c>
      <c r="J29" s="7">
        <f>(H29+I29)*1000000/'a1'!R29</f>
        <v>40610.16959553268</v>
      </c>
      <c r="K29" s="7">
        <v>25364.141599999999</v>
      </c>
      <c r="L29" s="7">
        <v>20097.5</v>
      </c>
      <c r="M29" s="7">
        <f>(K29+L29)*1000000/'a1'!X29</f>
        <v>49686.537576682924</v>
      </c>
      <c r="N29" s="7">
        <v>21918.658199999998</v>
      </c>
      <c r="O29" s="7">
        <v>12719.4</v>
      </c>
      <c r="P29" s="7">
        <f>(N29+O29)*1000000/'a1'!AD29</f>
        <v>46458.679367514924</v>
      </c>
      <c r="Q29" s="7">
        <v>208322.12789999999</v>
      </c>
      <c r="R29" s="7">
        <v>197755.1</v>
      </c>
      <c r="S29" s="7">
        <f>(Q29+R29)*1000000/'a1'!AJ29</f>
        <v>57457.828583540526</v>
      </c>
      <c r="T29" s="7">
        <v>336861.49539999996</v>
      </c>
      <c r="U29" s="7">
        <v>330006.90000000002</v>
      </c>
      <c r="V29" s="7">
        <f>(T29+U29)*1000000/'a1'!AP29</f>
        <v>63929.459657822656</v>
      </c>
      <c r="W29" s="7">
        <v>34413.051899999999</v>
      </c>
      <c r="X29" s="7">
        <v>24374.2</v>
      </c>
      <c r="Y29" s="7">
        <f>(W29+X29)*1000000/'a1'!AV29</f>
        <v>52980.389310060164</v>
      </c>
      <c r="Z29" s="7">
        <v>41034.389700000007</v>
      </c>
      <c r="AA29" s="7">
        <v>23968.400000000001</v>
      </c>
      <c r="AB29" s="7">
        <f>(Z29+AA29)*1000000/'a1'!BB29</f>
        <v>64826.914281554149</v>
      </c>
      <c r="AC29" s="7">
        <v>145667.55230000001</v>
      </c>
      <c r="AD29" s="7">
        <v>75702</v>
      </c>
      <c r="AE29" s="7">
        <f>(AC29+AD29)*1000000/'a1'!BH29</f>
        <v>85394.83853372249</v>
      </c>
      <c r="AF29" s="7">
        <v>115435.14859999999</v>
      </c>
      <c r="AG29" s="7">
        <v>72335.8</v>
      </c>
      <c r="AH29" s="7">
        <f>(AF29+AG29)*1000000/'a1'!BN29</f>
        <v>55655.839743291443</v>
      </c>
    </row>
    <row r="30" spans="1:34" ht="21.75" customHeight="1">
      <c r="A30" s="1">
        <v>1992</v>
      </c>
      <c r="B30" s="159">
        <v>968227.7378</v>
      </c>
      <c r="C30" s="7">
        <v>795371.7</v>
      </c>
      <c r="D30" s="7">
        <f>(B30+C30)*1000000/'a1'!F30</f>
        <v>62161.468653634889</v>
      </c>
      <c r="E30" s="7">
        <v>18823.412100000001</v>
      </c>
      <c r="F30" s="7">
        <v>11304.7</v>
      </c>
      <c r="G30" s="7">
        <f>(E30+F30)*1000000/'a1'!L30</f>
        <v>51935.260614815496</v>
      </c>
      <c r="H30" s="7">
        <v>2843.6483999999996</v>
      </c>
      <c r="I30" s="7">
        <v>2567.6</v>
      </c>
      <c r="J30" s="7">
        <f>(H30+I30)*1000000/'a1'!R30</f>
        <v>41361.862612457669</v>
      </c>
      <c r="K30" s="7">
        <v>25039.172899999998</v>
      </c>
      <c r="L30" s="7">
        <v>20629.3</v>
      </c>
      <c r="M30" s="7">
        <f>(K30+L30)*1000000/'a1'!X30</f>
        <v>49669.284061902152</v>
      </c>
      <c r="N30" s="7">
        <v>22000.219799999999</v>
      </c>
      <c r="O30" s="7">
        <v>13063.3</v>
      </c>
      <c r="P30" s="7">
        <f>(N30+O30)*1000000/'a1'!AD30</f>
        <v>46868.781654304577</v>
      </c>
      <c r="Q30" s="7">
        <v>209756.29680000001</v>
      </c>
      <c r="R30" s="7">
        <v>202411.9</v>
      </c>
      <c r="S30" s="7">
        <f>(Q30+R30)*1000000/'a1'!AJ30</f>
        <v>57970.128987160366</v>
      </c>
      <c r="T30" s="7">
        <v>339537.60649999999</v>
      </c>
      <c r="U30" s="7">
        <v>338982.40000000002</v>
      </c>
      <c r="V30" s="7">
        <f>(T30+U30)*1000000/'a1'!AP30</f>
        <v>64179.611206933652</v>
      </c>
      <c r="W30" s="7">
        <v>34539.511099999996</v>
      </c>
      <c r="X30" s="7">
        <v>24565.200000000001</v>
      </c>
      <c r="Y30" s="7">
        <f>(W30+X30)*1000000/'a1'!AV30</f>
        <v>53118.805973636838</v>
      </c>
      <c r="Z30" s="7">
        <v>41030.093100000006</v>
      </c>
      <c r="AA30" s="7">
        <v>24114.400000000001</v>
      </c>
      <c r="AB30" s="7">
        <f>(Z30+AA30)*1000000/'a1'!BB30</f>
        <v>64885.276420699316</v>
      </c>
      <c r="AC30" s="7">
        <v>145149.90549999999</v>
      </c>
      <c r="AD30" s="7">
        <v>78666.399999999994</v>
      </c>
      <c r="AE30" s="7">
        <f>(AC30+AD30)*1000000/'a1'!BH30</f>
        <v>85014.884307653978</v>
      </c>
      <c r="AF30" s="7">
        <v>116384.17190000002</v>
      </c>
      <c r="AG30" s="7">
        <v>77161.8</v>
      </c>
      <c r="AH30" s="7">
        <f>(AF30+AG30)*1000000/'a1'!BN30</f>
        <v>55796.200503805063</v>
      </c>
    </row>
    <row r="31" spans="1:34" ht="21.75" customHeight="1">
      <c r="A31" s="1">
        <v>1993</v>
      </c>
      <c r="B31" s="159">
        <v>968714.22510000004</v>
      </c>
      <c r="C31" s="7">
        <v>816005.4</v>
      </c>
      <c r="D31" s="7">
        <f>(B31+C31)*1000000/'a1'!F31</f>
        <v>62218.382730985693</v>
      </c>
      <c r="E31" s="7">
        <v>19191.0167</v>
      </c>
      <c r="F31" s="7">
        <v>11583.6</v>
      </c>
      <c r="G31" s="7">
        <f>(E31+F31)*1000000/'a1'!L31</f>
        <v>53061.788139874516</v>
      </c>
      <c r="H31" s="7">
        <v>2876.2335000000003</v>
      </c>
      <c r="I31" s="7">
        <v>2636.8</v>
      </c>
      <c r="J31" s="7">
        <f>(H31+I31)*1000000/'a1'!R31</f>
        <v>41709.47668656423</v>
      </c>
      <c r="K31" s="7">
        <v>24698.731</v>
      </c>
      <c r="L31" s="7">
        <v>21161.599999999999</v>
      </c>
      <c r="M31" s="7">
        <f>(K31+L31)*1000000/'a1'!X31</f>
        <v>49636.421787482752</v>
      </c>
      <c r="N31" s="7">
        <v>21786.2209</v>
      </c>
      <c r="O31" s="7">
        <v>13402.5</v>
      </c>
      <c r="P31" s="7">
        <f>(N31+O31)*1000000/'a1'!AD31</f>
        <v>46992.731019267856</v>
      </c>
      <c r="Q31" s="7">
        <v>210514.80469999998</v>
      </c>
      <c r="R31" s="7">
        <v>206541.2</v>
      </c>
      <c r="S31" s="7">
        <f>(Q31+R31)*1000000/'a1'!AJ31</f>
        <v>58276.231185558041</v>
      </c>
      <c r="T31" s="7">
        <v>338494.9277</v>
      </c>
      <c r="U31" s="7">
        <v>346308.7</v>
      </c>
      <c r="V31" s="7">
        <f>(T31+U31)*1000000/'a1'!AP31</f>
        <v>64059.980675466271</v>
      </c>
      <c r="W31" s="7">
        <v>34566.48079999999</v>
      </c>
      <c r="X31" s="7">
        <v>24853.7</v>
      </c>
      <c r="Y31" s="7">
        <f>(W31+X31)*1000000/'a1'!AV31</f>
        <v>53166.807263304625</v>
      </c>
      <c r="Z31" s="7">
        <v>40890.915699999998</v>
      </c>
      <c r="AA31" s="7">
        <v>24172.9</v>
      </c>
      <c r="AB31" s="7">
        <f>(Z31+AA31)*1000000/'a1'!BB31</f>
        <v>64617.951832356739</v>
      </c>
      <c r="AC31" s="7">
        <v>146433.86060000001</v>
      </c>
      <c r="AD31" s="7">
        <v>81196.899999999994</v>
      </c>
      <c r="AE31" s="7">
        <f>(AC31+AD31)*1000000/'a1'!BH31</f>
        <v>85341.522637941409</v>
      </c>
      <c r="AF31" s="7">
        <v>116885.40179999999</v>
      </c>
      <c r="AG31" s="7">
        <v>82140.5</v>
      </c>
      <c r="AH31" s="7">
        <f>(AF31+AG31)*1000000/'a1'!BN31</f>
        <v>55784.366770073873</v>
      </c>
    </row>
    <row r="32" spans="1:34" ht="21.75" customHeight="1">
      <c r="A32" s="1">
        <v>1994</v>
      </c>
      <c r="B32" s="159">
        <v>976576.1925</v>
      </c>
      <c r="C32" s="7">
        <v>837820.7</v>
      </c>
      <c r="D32" s="7">
        <f>(B32+C32)*1000000/'a1'!F32</f>
        <v>62563.979744187229</v>
      </c>
      <c r="E32" s="7">
        <v>19865.707000000002</v>
      </c>
      <c r="F32" s="7">
        <v>11866.9</v>
      </c>
      <c r="G32" s="7">
        <f>(E32+F32)*1000000/'a1'!L32</f>
        <v>55238.442309901722</v>
      </c>
      <c r="H32" s="7">
        <v>3001.3788999999997</v>
      </c>
      <c r="I32" s="7">
        <v>2694</v>
      </c>
      <c r="J32" s="7">
        <f>(H32+I32)*1000000/'a1'!R32</f>
        <v>42682.156373419668</v>
      </c>
      <c r="K32" s="7">
        <v>24426.263300000002</v>
      </c>
      <c r="L32" s="7">
        <v>21682.6</v>
      </c>
      <c r="M32" s="7">
        <f>(K32+L32)*1000000/'a1'!X32</f>
        <v>49746.796803438665</v>
      </c>
      <c r="N32" s="7">
        <v>21563.020700000001</v>
      </c>
      <c r="O32" s="7">
        <v>13747.2</v>
      </c>
      <c r="P32" s="7">
        <f>(N32+O32)*1000000/'a1'!AD32</f>
        <v>47068.68399128216</v>
      </c>
      <c r="Q32" s="7">
        <v>211702.3334</v>
      </c>
      <c r="R32" s="7">
        <v>211644.5</v>
      </c>
      <c r="S32" s="7">
        <f>(Q32+R32)*1000000/'a1'!AJ32</f>
        <v>58860.277072905956</v>
      </c>
      <c r="T32" s="7">
        <v>339614.2549</v>
      </c>
      <c r="U32" s="7">
        <v>353714.4</v>
      </c>
      <c r="V32" s="7">
        <f>(T32+U32)*1000000/'a1'!AP32</f>
        <v>64083.491885588752</v>
      </c>
      <c r="W32" s="7">
        <v>34449.908299999996</v>
      </c>
      <c r="X32" s="7">
        <v>25227.5</v>
      </c>
      <c r="Y32" s="7">
        <f>(W32+X32)*1000000/'a1'!AV32</f>
        <v>53130.176633458854</v>
      </c>
      <c r="Z32" s="7">
        <v>41099.204399999995</v>
      </c>
      <c r="AA32" s="7">
        <v>24297.9</v>
      </c>
      <c r="AB32" s="7">
        <f>(Z32+AA32)*1000000/'a1'!BB32</f>
        <v>64776.865908922075</v>
      </c>
      <c r="AC32" s="7">
        <v>149557.8315</v>
      </c>
      <c r="AD32" s="7">
        <v>83639.199999999997</v>
      </c>
      <c r="AE32" s="7">
        <f>(AC32+AD32)*1000000/'a1'!BH32</f>
        <v>86349.890172798245</v>
      </c>
      <c r="AF32" s="7">
        <v>119516.67849999999</v>
      </c>
      <c r="AG32" s="7">
        <v>87172.4</v>
      </c>
      <c r="AH32" s="7">
        <f>(AF32+AG32)*1000000/'a1'!BN32</f>
        <v>56225.479213563376</v>
      </c>
    </row>
    <row r="33" spans="1:34" ht="21.75" customHeight="1">
      <c r="A33" s="1">
        <v>1995</v>
      </c>
      <c r="B33" s="159">
        <v>983589.43260000006</v>
      </c>
      <c r="C33" s="7">
        <v>853034.1</v>
      </c>
      <c r="D33" s="7">
        <f>(B33+C33)*1000000/'a1'!F33</f>
        <v>62678.453334277969</v>
      </c>
      <c r="E33" s="7">
        <v>20508.591600000003</v>
      </c>
      <c r="F33" s="7">
        <v>12045.1</v>
      </c>
      <c r="G33" s="7">
        <f>(E33+F33)*1000000/'a1'!L33</f>
        <v>57373.746424461184</v>
      </c>
      <c r="H33" s="7">
        <v>3153.2673999999997</v>
      </c>
      <c r="I33" s="7">
        <v>2754.7</v>
      </c>
      <c r="J33" s="7">
        <f>(H33+I33)*1000000/'a1'!R33</f>
        <v>43953.185284380466</v>
      </c>
      <c r="K33" s="7">
        <v>24033.616600000001</v>
      </c>
      <c r="L33" s="7">
        <v>22153.4</v>
      </c>
      <c r="M33" s="7">
        <f>(K33+L33)*1000000/'a1'!X33</f>
        <v>49764.057018488988</v>
      </c>
      <c r="N33" s="7">
        <v>21676.9241</v>
      </c>
      <c r="O33" s="7">
        <v>13953.7</v>
      </c>
      <c r="P33" s="7">
        <f>(N33+O33)*1000000/'a1'!AD33</f>
        <v>47447.841047855829</v>
      </c>
      <c r="Q33" s="7">
        <v>211876.1355</v>
      </c>
      <c r="R33" s="7">
        <v>214126.4</v>
      </c>
      <c r="S33" s="7">
        <f>(Q33+R33)*1000000/'a1'!AJ33</f>
        <v>59009.504421461657</v>
      </c>
      <c r="T33" s="7">
        <v>341479.07760000002</v>
      </c>
      <c r="U33" s="7">
        <v>358863.6</v>
      </c>
      <c r="V33" s="7">
        <f>(T33+U33)*1000000/'a1'!AP33</f>
        <v>63957.540333579935</v>
      </c>
      <c r="W33" s="7">
        <v>34535.601999999999</v>
      </c>
      <c r="X33" s="7">
        <v>25462</v>
      </c>
      <c r="Y33" s="7">
        <f>(W33+X33)*1000000/'a1'!AV33</f>
        <v>53135.191958552896</v>
      </c>
      <c r="Z33" s="7">
        <v>41309.837599999999</v>
      </c>
      <c r="AA33" s="7">
        <v>24446.1</v>
      </c>
      <c r="AB33" s="7">
        <f>(Z33+AA33)*1000000/'a1'!BB33</f>
        <v>64836.107739499726</v>
      </c>
      <c r="AC33" s="7">
        <v>152408.74249999999</v>
      </c>
      <c r="AD33" s="7">
        <v>85459.4</v>
      </c>
      <c r="AE33" s="7">
        <f>(AC33+AD33)*1000000/'a1'!BH33</f>
        <v>86987.196834251285</v>
      </c>
      <c r="AF33" s="7">
        <v>121202.943</v>
      </c>
      <c r="AG33" s="7">
        <v>91536.2</v>
      </c>
      <c r="AH33" s="7">
        <f>(AF33+AG33)*1000000/'a1'!BN33</f>
        <v>56319.083547105271</v>
      </c>
    </row>
    <row r="34" spans="1:34" ht="21.75" customHeight="1">
      <c r="A34" s="1">
        <v>1996</v>
      </c>
      <c r="B34" s="159">
        <v>989240.73990000004</v>
      </c>
      <c r="C34" s="7">
        <v>870394.7</v>
      </c>
      <c r="D34" s="7">
        <f>(B34+C34)*1000000/'a1'!F34</f>
        <v>62803.841562395792</v>
      </c>
      <c r="E34" s="7">
        <v>20354.311800000003</v>
      </c>
      <c r="F34" s="7">
        <v>12229.5</v>
      </c>
      <c r="G34" s="7">
        <f>(E34+F34)*1000000/'a1'!L34</f>
        <v>58216.773688667825</v>
      </c>
      <c r="H34" s="7">
        <v>3315.471</v>
      </c>
      <c r="I34" s="7">
        <v>2809.5</v>
      </c>
      <c r="J34" s="7">
        <f>(H34+I34)*1000000/'a1'!R34</f>
        <v>45123.812961830597</v>
      </c>
      <c r="K34" s="7">
        <v>23632.238699999998</v>
      </c>
      <c r="L34" s="7">
        <v>22626.799999999999</v>
      </c>
      <c r="M34" s="7">
        <f>(K34+L34)*1000000/'a1'!X34</f>
        <v>49670.028572134172</v>
      </c>
      <c r="N34" s="7">
        <v>21877.771000000001</v>
      </c>
      <c r="O34" s="7">
        <v>14224.5</v>
      </c>
      <c r="P34" s="7">
        <f>(N34+O34)*1000000/'a1'!AD34</f>
        <v>47991.235836164771</v>
      </c>
      <c r="Q34" s="7">
        <v>211811.61000000002</v>
      </c>
      <c r="R34" s="7">
        <v>217435.5</v>
      </c>
      <c r="S34" s="7">
        <f>(Q34+R34)*1000000/'a1'!AJ34</f>
        <v>59231.849162476021</v>
      </c>
      <c r="T34" s="7">
        <v>344281.46430000005</v>
      </c>
      <c r="U34" s="7">
        <v>365072.2</v>
      </c>
      <c r="V34" s="7">
        <f>(T34+U34)*1000000/'a1'!AP34</f>
        <v>64004.319472975636</v>
      </c>
      <c r="W34" s="7">
        <v>34686.536400000005</v>
      </c>
      <c r="X34" s="7">
        <v>25706</v>
      </c>
      <c r="Y34" s="7">
        <f>(W34+X34)*1000000/'a1'!AV34</f>
        <v>53247.001752783479</v>
      </c>
      <c r="Z34" s="7">
        <v>41942.977399999996</v>
      </c>
      <c r="AA34" s="7">
        <v>24698.6</v>
      </c>
      <c r="AB34" s="7">
        <f>(Z34+AA34)*1000000/'a1'!BB34</f>
        <v>65402.526534798242</v>
      </c>
      <c r="AC34" s="7">
        <v>154583.11199999999</v>
      </c>
      <c r="AD34" s="7">
        <v>87613.4</v>
      </c>
      <c r="AE34" s="7">
        <f>(AC34+AD34)*1000000/'a1'!BH34</f>
        <v>87273.83948805336</v>
      </c>
      <c r="AF34" s="7">
        <v>121742.0482</v>
      </c>
      <c r="AG34" s="7">
        <v>95666.1</v>
      </c>
      <c r="AH34" s="7">
        <f>(AF34+AG34)*1000000/'a1'!BN34</f>
        <v>56115.219327690531</v>
      </c>
    </row>
    <row r="35" spans="1:34" ht="21.75" customHeight="1">
      <c r="A35" s="1">
        <v>1997</v>
      </c>
      <c r="B35" s="159">
        <v>1009384.2327000001</v>
      </c>
      <c r="C35" s="7">
        <v>891820.7</v>
      </c>
      <c r="D35" s="7">
        <f>(B35+C35)*1000000/'a1'!F35</f>
        <v>63572.802731416508</v>
      </c>
      <c r="E35" s="7">
        <v>20484.170899999997</v>
      </c>
      <c r="F35" s="7">
        <v>12465.9</v>
      </c>
      <c r="G35" s="7">
        <f>(E35+F35)*1000000/'a1'!L35</f>
        <v>59810.152456567397</v>
      </c>
      <c r="H35" s="7">
        <v>3322.7487999999998</v>
      </c>
      <c r="I35" s="7">
        <v>2879.9</v>
      </c>
      <c r="J35" s="7">
        <f>(H35+I35)*1000000/'a1'!R35</f>
        <v>45575.875675079908</v>
      </c>
      <c r="K35" s="7">
        <v>24112.8851</v>
      </c>
      <c r="L35" s="7">
        <v>23147.5</v>
      </c>
      <c r="M35" s="7">
        <f>(K35+L35)*1000000/'a1'!X35</f>
        <v>50686.704983472795</v>
      </c>
      <c r="N35" s="7">
        <v>21753.590100000001</v>
      </c>
      <c r="O35" s="7">
        <v>14564.6</v>
      </c>
      <c r="P35" s="7">
        <f>(N35+O35)*1000000/'a1'!AD35</f>
        <v>48262.670047348147</v>
      </c>
      <c r="Q35" s="7">
        <v>212702.038</v>
      </c>
      <c r="R35" s="7">
        <v>220626.5</v>
      </c>
      <c r="S35" s="7">
        <f>(Q35+R35)*1000000/'a1'!AJ35</f>
        <v>59567.245313873143</v>
      </c>
      <c r="T35" s="7">
        <v>350512.77980000002</v>
      </c>
      <c r="U35" s="7">
        <v>373337.7</v>
      </c>
      <c r="V35" s="7">
        <f>(T35+U35)*1000000/'a1'!AP35</f>
        <v>64470.340216310615</v>
      </c>
      <c r="W35" s="7">
        <v>35495.4781</v>
      </c>
      <c r="X35" s="7">
        <v>26008.7</v>
      </c>
      <c r="Y35" s="7">
        <f>(W35+X35)*1000000/'a1'!AV35</f>
        <v>54134.902141308026</v>
      </c>
      <c r="Z35" s="7">
        <v>44333.224600000001</v>
      </c>
      <c r="AA35" s="7">
        <v>25024.5</v>
      </c>
      <c r="AB35" s="7">
        <f>(Z35+AA35)*1000000/'a1'!BB35</f>
        <v>68137.919563965886</v>
      </c>
      <c r="AC35" s="7">
        <v>161827.03969999999</v>
      </c>
      <c r="AD35" s="7">
        <v>91053.3</v>
      </c>
      <c r="AE35" s="7">
        <f>(AC35+AD35)*1000000/'a1'!BH35</f>
        <v>89361.810139625872</v>
      </c>
      <c r="AF35" s="7">
        <v>123997.4535</v>
      </c>
      <c r="AG35" s="7">
        <v>100340.6</v>
      </c>
      <c r="AH35" s="7">
        <f>(AF35+AG35)*1000000/'a1'!BN35</f>
        <v>56814.825343673918</v>
      </c>
    </row>
    <row r="36" spans="1:34" ht="21.75" customHeight="1">
      <c r="A36" s="1">
        <v>1998</v>
      </c>
      <c r="B36" s="159">
        <v>1027555.2984000001</v>
      </c>
      <c r="C36" s="7">
        <v>911900.3</v>
      </c>
      <c r="D36" s="7">
        <f>(B36+C36)*1000000/'a1'!F36</f>
        <v>64315.850497690728</v>
      </c>
      <c r="E36" s="7">
        <v>20508.864600000001</v>
      </c>
      <c r="F36" s="7">
        <v>12700.1</v>
      </c>
      <c r="G36" s="7">
        <f>(E36+F36)*1000000/'a1'!L36</f>
        <v>61515.967790635426</v>
      </c>
      <c r="H36" s="7">
        <v>3337.5042000000003</v>
      </c>
      <c r="I36" s="7">
        <v>2942.9</v>
      </c>
      <c r="J36" s="7">
        <f>(H36+I36)*1000000/'a1'!R36</f>
        <v>46246.091425878476</v>
      </c>
      <c r="K36" s="7">
        <v>24752.065100000003</v>
      </c>
      <c r="L36" s="7">
        <v>23528.2</v>
      </c>
      <c r="M36" s="7">
        <f>(K36+L36)*1000000/'a1'!X36</f>
        <v>51811.976678299623</v>
      </c>
      <c r="N36" s="7">
        <v>21955.054199999999</v>
      </c>
      <c r="O36" s="7">
        <v>14861.7</v>
      </c>
      <c r="P36" s="7">
        <f>(N36+O36)*1000000/'a1'!AD36</f>
        <v>49054.340532690221</v>
      </c>
      <c r="Q36" s="7">
        <v>214529.69779999999</v>
      </c>
      <c r="R36" s="7">
        <v>223629.8</v>
      </c>
      <c r="S36" s="7">
        <f>(Q36+R36)*1000000/'a1'!AJ36</f>
        <v>60055.29076122526</v>
      </c>
      <c r="T36" s="7">
        <v>355830.61560000002</v>
      </c>
      <c r="U36" s="7">
        <v>381199.1</v>
      </c>
      <c r="V36" s="7">
        <f>(T36+U36)*1000000/'a1'!AP36</f>
        <v>64845.692004531804</v>
      </c>
      <c r="W36" s="7">
        <v>36035.611700000001</v>
      </c>
      <c r="X36" s="7">
        <v>26351.1</v>
      </c>
      <c r="Y36" s="7">
        <f>(W36+X36)*1000000/'a1'!AV36</f>
        <v>54845.991213980968</v>
      </c>
      <c r="Z36" s="7">
        <v>45153.730200000005</v>
      </c>
      <c r="AA36" s="7">
        <v>25372.6</v>
      </c>
      <c r="AB36" s="7">
        <f>(Z36+AA36)*1000000/'a1'!BB36</f>
        <v>69324.79288963681</v>
      </c>
      <c r="AC36" s="7">
        <v>170207.3302</v>
      </c>
      <c r="AD36" s="7">
        <v>94831.5</v>
      </c>
      <c r="AE36" s="7">
        <f>(AC36+AD36)*1000000/'a1'!BH36</f>
        <v>91422.144304406989</v>
      </c>
      <c r="AF36" s="7">
        <v>124480.78609999998</v>
      </c>
      <c r="AG36" s="7">
        <v>104016.8</v>
      </c>
      <c r="AH36" s="7">
        <f>(AF36+AG36)*1000000/'a1'!BN36</f>
        <v>57366.583900582285</v>
      </c>
    </row>
    <row r="37" spans="1:34" ht="21.75" customHeight="1">
      <c r="A37" s="1">
        <v>1999</v>
      </c>
      <c r="B37" s="159">
        <v>1049320.8197000001</v>
      </c>
      <c r="C37" s="7">
        <v>932932.3</v>
      </c>
      <c r="D37" s="7">
        <f>(B37+C37)*1000000/'a1'!F37</f>
        <v>65202.936471174289</v>
      </c>
      <c r="E37" s="7">
        <v>21339.366100000003</v>
      </c>
      <c r="F37" s="7">
        <v>12933.6</v>
      </c>
      <c r="G37" s="7">
        <f>(E37+F37)*1000000/'a1'!L37</f>
        <v>64262.333568960254</v>
      </c>
      <c r="H37" s="7">
        <v>3390.7787999999996</v>
      </c>
      <c r="I37" s="7">
        <v>3023</v>
      </c>
      <c r="J37" s="7">
        <f>(H37+I37)*1000000/'a1'!R37</f>
        <v>47062.897982844268</v>
      </c>
      <c r="K37" s="7">
        <v>26067.148800000003</v>
      </c>
      <c r="L37" s="7">
        <v>24064.6</v>
      </c>
      <c r="M37" s="7">
        <f>(K37+L37)*1000000/'a1'!X37</f>
        <v>53686.665010323588</v>
      </c>
      <c r="N37" s="7">
        <v>22905.993899999998</v>
      </c>
      <c r="O37" s="7">
        <v>15182.8</v>
      </c>
      <c r="P37" s="7">
        <f>(N37+O37)*1000000/'a1'!AD37</f>
        <v>50744.395357853238</v>
      </c>
      <c r="Q37" s="7">
        <v>217612.11670000001</v>
      </c>
      <c r="R37" s="7">
        <v>226801.4</v>
      </c>
      <c r="S37" s="7">
        <f>(Q37+R37)*1000000/'a1'!AJ37</f>
        <v>60685.285453862707</v>
      </c>
      <c r="T37" s="7">
        <v>363235.86849999998</v>
      </c>
      <c r="U37" s="7">
        <v>390887.6</v>
      </c>
      <c r="V37" s="7">
        <f>(T37+U37)*1000000/'a1'!AP37</f>
        <v>65548.827967626261</v>
      </c>
      <c r="W37" s="7">
        <v>36743.943799999994</v>
      </c>
      <c r="X37" s="7">
        <v>26653.3</v>
      </c>
      <c r="Y37" s="7">
        <f>(W37+X37)*1000000/'a1'!AV37</f>
        <v>55492.454623755308</v>
      </c>
      <c r="Z37" s="7">
        <v>45850.930499999995</v>
      </c>
      <c r="AA37" s="7">
        <v>25708.6</v>
      </c>
      <c r="AB37" s="7">
        <f>(Z37+AA37)*1000000/'a1'!BB37</f>
        <v>70535.079012423565</v>
      </c>
      <c r="AC37" s="7">
        <v>175999.48680000001</v>
      </c>
      <c r="AD37" s="7">
        <v>98222.3</v>
      </c>
      <c r="AE37" s="7">
        <f>(AC37+AD37)*1000000/'a1'!BH37</f>
        <v>92871.788456093622</v>
      </c>
      <c r="AF37" s="7">
        <v>125618.10790000002</v>
      </c>
      <c r="AG37" s="7">
        <v>106890.6</v>
      </c>
      <c r="AH37" s="7">
        <f>(AF37+AG37)*1000000/'a1'!BN37</f>
        <v>57962.346551992778</v>
      </c>
    </row>
    <row r="38" spans="1:34" ht="21.75" customHeight="1">
      <c r="A38" s="1">
        <v>2000</v>
      </c>
      <c r="B38" s="159">
        <v>1070008.8999999999</v>
      </c>
      <c r="C38" s="7">
        <v>956235.9</v>
      </c>
      <c r="D38" s="7">
        <f>(B38+C38)*1000000/'a1'!F38</f>
        <v>66032.152404391221</v>
      </c>
      <c r="E38" s="7">
        <v>21611.6783</v>
      </c>
      <c r="F38" s="7">
        <v>13211.7</v>
      </c>
      <c r="G38" s="7">
        <f>(E38+F38)*1000000/'a1'!L38</f>
        <v>65957.61526310406</v>
      </c>
      <c r="H38" s="7">
        <v>3425.0041999999999</v>
      </c>
      <c r="I38" s="7">
        <v>3133</v>
      </c>
      <c r="J38" s="7">
        <f>(H38+I38)*1000000/'a1'!R38</f>
        <v>48054.548252363151</v>
      </c>
      <c r="K38" s="7">
        <v>26426.300600000002</v>
      </c>
      <c r="L38" s="7">
        <v>24726.9</v>
      </c>
      <c r="M38" s="7">
        <f>(K38+L38)*1000000/'a1'!X38</f>
        <v>54778.378939861068</v>
      </c>
      <c r="N38" s="7">
        <v>23584.1816</v>
      </c>
      <c r="O38" s="7">
        <v>15665.9</v>
      </c>
      <c r="P38" s="7">
        <f>(N38+O38)*1000000/'a1'!AD38</f>
        <v>52297.391797920631</v>
      </c>
      <c r="Q38" s="7">
        <v>220004.83439999999</v>
      </c>
      <c r="R38" s="7">
        <v>230127</v>
      </c>
      <c r="S38" s="7">
        <f>(Q38+R38)*1000000/'a1'!AJ38</f>
        <v>61184.563333370032</v>
      </c>
      <c r="T38" s="7">
        <v>368564.77830000001</v>
      </c>
      <c r="U38" s="7">
        <v>401987.7</v>
      </c>
      <c r="V38" s="7">
        <f>(T38+U38)*1000000/'a1'!AP38</f>
        <v>65953.381136649026</v>
      </c>
      <c r="W38" s="7">
        <v>37069.577700000002</v>
      </c>
      <c r="X38" s="7">
        <v>26994.5</v>
      </c>
      <c r="Y38" s="7">
        <f>(W38+X38)*1000000/'a1'!AV38</f>
        <v>55838.361196988095</v>
      </c>
      <c r="Z38" s="7">
        <v>46359.432800000002</v>
      </c>
      <c r="AA38" s="7">
        <v>26046.2</v>
      </c>
      <c r="AB38" s="7">
        <f>(Z38+AA38)*1000000/'a1'!BB38</f>
        <v>71861.996794251492</v>
      </c>
      <c r="AC38" s="7">
        <v>185662.90269999998</v>
      </c>
      <c r="AD38" s="7">
        <v>101811.9</v>
      </c>
      <c r="AE38" s="7">
        <f>(AC38+AD38)*1000000/'a1'!BH38</f>
        <v>95691.030584535372</v>
      </c>
      <c r="AF38" s="7">
        <v>126753.7081</v>
      </c>
      <c r="AG38" s="7">
        <v>109866</v>
      </c>
      <c r="AH38" s="7">
        <f>(AF38+AG38)*1000000/'a1'!BN38</f>
        <v>58580.399754408638</v>
      </c>
    </row>
    <row r="39" spans="1:34" ht="21.75" customHeight="1">
      <c r="A39" s="124">
        <v>2001</v>
      </c>
      <c r="B39" s="159">
        <v>1087174.3999999999</v>
      </c>
      <c r="C39" s="7">
        <v>983609</v>
      </c>
      <c r="D39" s="7">
        <f>(B39+C39)*1000000/'a1'!F39</f>
        <v>66758.50494309621</v>
      </c>
      <c r="E39" s="7">
        <v>21690.056400000001</v>
      </c>
      <c r="F39" s="7">
        <v>13549.5</v>
      </c>
      <c r="G39" s="7">
        <f>(E39+F39)*1000000/'a1'!L39</f>
        <v>67504.461212222217</v>
      </c>
      <c r="H39" s="7">
        <v>3464.9429</v>
      </c>
      <c r="I39" s="7">
        <v>3242.5</v>
      </c>
      <c r="J39" s="7">
        <f>(H39+I39)*1000000/'a1'!R39</f>
        <v>49080.167272780491</v>
      </c>
      <c r="K39" s="7">
        <v>26833.936999999998</v>
      </c>
      <c r="L39" s="7">
        <v>25424.1</v>
      </c>
      <c r="M39" s="7">
        <f>(K39+L39)*1000000/'a1'!X39</f>
        <v>56043.554963569251</v>
      </c>
      <c r="N39" s="7">
        <v>23387.150399999999</v>
      </c>
      <c r="O39" s="7">
        <v>16232.6</v>
      </c>
      <c r="P39" s="7">
        <f>(N39+O39)*1000000/'a1'!AD39</f>
        <v>52840.354173974163</v>
      </c>
      <c r="Q39" s="7">
        <v>220309.17219999997</v>
      </c>
      <c r="R39" s="7">
        <v>234876.5</v>
      </c>
      <c r="S39" s="7">
        <f>(Q39+R39)*1000000/'a1'!AJ39</f>
        <v>61542.090558142947</v>
      </c>
      <c r="T39" s="7">
        <v>371719.35110000003</v>
      </c>
      <c r="U39" s="7">
        <v>414712.8</v>
      </c>
      <c r="V39" s="7">
        <f>(T39+U39)*1000000/'a1'!AP39</f>
        <v>66105.272638217968</v>
      </c>
      <c r="W39" s="7">
        <v>37333.535700000008</v>
      </c>
      <c r="X39" s="7">
        <v>27437.7</v>
      </c>
      <c r="Y39" s="7">
        <f>(W39+X39)*1000000/'a1'!AV39</f>
        <v>56252.424748510348</v>
      </c>
      <c r="Z39" s="7">
        <v>46633.127999999997</v>
      </c>
      <c r="AA39" s="7">
        <v>26387.7</v>
      </c>
      <c r="AB39" s="7">
        <f>(Z39+AA39)*1000000/'a1'!BB39</f>
        <v>73004.693962634265</v>
      </c>
      <c r="AC39" s="7">
        <v>196419.98769999997</v>
      </c>
      <c r="AD39" s="7">
        <v>105841.5</v>
      </c>
      <c r="AE39" s="7">
        <f>(AC39+AD39)*1000000/'a1'!BH39</f>
        <v>98842.31765225633</v>
      </c>
      <c r="AF39" s="7">
        <v>128269.37909999998</v>
      </c>
      <c r="AG39" s="7">
        <v>113135.7</v>
      </c>
      <c r="AH39" s="7">
        <f>(AF39+AG39)*1000000/'a1'!BN39</f>
        <v>59222.140445270466</v>
      </c>
    </row>
    <row r="40" spans="1:34" s="136" customFormat="1" ht="21.75" customHeight="1">
      <c r="A40" s="124">
        <v>2002</v>
      </c>
      <c r="B40" s="159">
        <v>1096280.2</v>
      </c>
      <c r="C40" s="7">
        <v>1017341.7</v>
      </c>
      <c r="D40" s="7">
        <f>(B40+C40)*1000000/'a1'!F40</f>
        <v>67412.294757587442</v>
      </c>
      <c r="E40" s="7">
        <v>21677</v>
      </c>
      <c r="F40" s="7">
        <v>13987.8</v>
      </c>
      <c r="G40" s="7">
        <f>(E40+F40)*1000000/'a1'!L40</f>
        <v>68648.069123882888</v>
      </c>
      <c r="H40" s="7">
        <v>3512</v>
      </c>
      <c r="I40" s="7">
        <v>3357.8</v>
      </c>
      <c r="J40" s="7">
        <f>(H40+I40)*1000000/'a1'!R40</f>
        <v>50189.952950115432</v>
      </c>
      <c r="K40" s="7">
        <v>27420.3</v>
      </c>
      <c r="L40" s="7">
        <v>26186.5</v>
      </c>
      <c r="M40" s="7">
        <f>(K40+L40)*1000000/'a1'!X40</f>
        <v>57332.556162200606</v>
      </c>
      <c r="N40" s="7">
        <v>23112.400000000001</v>
      </c>
      <c r="O40" s="7">
        <v>16903.3</v>
      </c>
      <c r="P40" s="7">
        <f>(N40+O40)*1000000/'a1'!AD40</f>
        <v>53401.901162503622</v>
      </c>
      <c r="Q40" s="7">
        <v>220355</v>
      </c>
      <c r="R40" s="7">
        <v>241904</v>
      </c>
      <c r="S40" s="7">
        <f>(Q40+R40)*1000000/'a1'!AJ40</f>
        <v>62122.601623743663</v>
      </c>
      <c r="T40" s="7">
        <v>373019.2</v>
      </c>
      <c r="U40" s="7">
        <v>429155.1</v>
      </c>
      <c r="V40" s="7">
        <f>(T40+U40)*1000000/'a1'!AP40</f>
        <v>66344.584898439993</v>
      </c>
      <c r="W40" s="7">
        <v>37470.699999999997</v>
      </c>
      <c r="X40" s="7">
        <v>27959</v>
      </c>
      <c r="Y40" s="7">
        <f>(W40+X40)*1000000/'a1'!AV40</f>
        <v>56570.088698639905</v>
      </c>
      <c r="Z40" s="7">
        <v>46394.7</v>
      </c>
      <c r="AA40" s="7">
        <v>26793.599999999999</v>
      </c>
      <c r="AB40" s="7">
        <f>(Z40+AA40)*1000000/'a1'!BB40</f>
        <v>73423.180755235982</v>
      </c>
      <c r="AC40" s="7">
        <v>203294.2</v>
      </c>
      <c r="AD40" s="7">
        <v>110887.7</v>
      </c>
      <c r="AE40" s="7">
        <f>(AC40+AD40)*1000000/'a1'!BH40</f>
        <v>100430.09700917157</v>
      </c>
      <c r="AF40" s="7">
        <v>128621.9</v>
      </c>
      <c r="AG40" s="7">
        <v>117264.1</v>
      </c>
      <c r="AH40" s="7">
        <f>(AF40+AG40)*1000000/'a1'!BN40</f>
        <v>59998.858029104638</v>
      </c>
    </row>
    <row r="41" spans="1:34" s="136" customFormat="1" ht="21.75" customHeight="1">
      <c r="A41" s="124">
        <v>2003</v>
      </c>
      <c r="B41" s="159">
        <v>1112720.3999999999</v>
      </c>
      <c r="C41" s="7">
        <v>1053656.8999999999</v>
      </c>
      <c r="D41" s="7">
        <f>(B41+C41)*1000000/'a1'!F41</f>
        <v>68470.287458750347</v>
      </c>
      <c r="E41" s="7">
        <v>21770.2</v>
      </c>
      <c r="F41" s="7">
        <v>14471.6</v>
      </c>
      <c r="G41" s="7">
        <f>(E41+F41)*1000000/'a1'!L41</f>
        <v>69894.70030085629</v>
      </c>
      <c r="H41" s="7">
        <v>3561.4</v>
      </c>
      <c r="I41" s="7">
        <v>3486.6</v>
      </c>
      <c r="J41" s="7">
        <f>(H41+I41)*1000000/'a1'!R41</f>
        <v>51362.400798711569</v>
      </c>
      <c r="K41" s="7">
        <v>27738.1</v>
      </c>
      <c r="L41" s="7">
        <v>27109.9</v>
      </c>
      <c r="M41" s="7">
        <f>(K41+L41)*1000000/'a1'!X41</f>
        <v>58505.094982245166</v>
      </c>
      <c r="N41" s="7">
        <v>23163.5</v>
      </c>
      <c r="O41" s="7">
        <v>17638.599999999999</v>
      </c>
      <c r="P41" s="7">
        <f>(N41+O41)*1000000/'a1'!AD41</f>
        <v>54447.156283318807</v>
      </c>
      <c r="Q41" s="7">
        <v>221978.1</v>
      </c>
      <c r="R41" s="7">
        <v>250045.6</v>
      </c>
      <c r="S41" s="7">
        <f>(Q41+R41)*1000000/'a1'!AJ41</f>
        <v>63055.559043623442</v>
      </c>
      <c r="T41" s="7">
        <v>376874.5</v>
      </c>
      <c r="U41" s="7">
        <v>443972.8</v>
      </c>
      <c r="V41" s="7">
        <f>(T41+U41)*1000000/'a1'!AP41</f>
        <v>67050.236504283152</v>
      </c>
      <c r="W41" s="7">
        <v>37602.800000000003</v>
      </c>
      <c r="X41" s="7">
        <v>28575.200000000001</v>
      </c>
      <c r="Y41" s="7">
        <f>(W41+X41)*1000000/'a1'!AV41</f>
        <v>56862.793956792251</v>
      </c>
      <c r="Z41" s="7">
        <v>46628.3</v>
      </c>
      <c r="AA41" s="7">
        <v>27277.9</v>
      </c>
      <c r="AB41" s="7">
        <f>(Z41+AA41)*1000000/'a1'!BB41</f>
        <v>74167.045499020067</v>
      </c>
      <c r="AC41" s="7">
        <v>212358.6</v>
      </c>
      <c r="AD41" s="7">
        <v>115846.7</v>
      </c>
      <c r="AE41" s="7">
        <f>(AC41+AD41)*1000000/'a1'!BH41</f>
        <v>103099.11176617675</v>
      </c>
      <c r="AF41" s="7">
        <v>129731.9</v>
      </c>
      <c r="AG41" s="7">
        <v>122138.3</v>
      </c>
      <c r="AH41" s="7">
        <f>(AF41+AG41)*1000000/'a1'!BN41</f>
        <v>61098.011932866226</v>
      </c>
    </row>
    <row r="42" spans="1:34" s="136" customFormat="1" ht="21.75" customHeight="1">
      <c r="A42" s="124">
        <v>2004</v>
      </c>
      <c r="B42" s="159">
        <v>1138951.8999999999</v>
      </c>
      <c r="C42" s="7">
        <v>1093730.3</v>
      </c>
      <c r="D42" s="7">
        <f>(B42+C42)*1000000/'a1'!F42</f>
        <v>69900.906292653293</v>
      </c>
      <c r="E42" s="7">
        <v>22112.3</v>
      </c>
      <c r="F42" s="7">
        <v>15030.4</v>
      </c>
      <c r="G42" s="7">
        <f>(E42+F42)*1000000/'a1'!L42</f>
        <v>71780.684785108431</v>
      </c>
      <c r="H42" s="7">
        <v>3595.5</v>
      </c>
      <c r="I42" s="7">
        <v>3644.7</v>
      </c>
      <c r="J42" s="7">
        <f>(H42+I42)*1000000/'a1'!R42</f>
        <v>52589.45044089661</v>
      </c>
      <c r="K42" s="7">
        <v>27786.9</v>
      </c>
      <c r="L42" s="7">
        <v>28103.7</v>
      </c>
      <c r="M42" s="7">
        <f>(K42+L42)*1000000/'a1'!X42</f>
        <v>59497.581373166875</v>
      </c>
      <c r="N42" s="7">
        <v>23460.6</v>
      </c>
      <c r="O42" s="7">
        <v>18396</v>
      </c>
      <c r="P42" s="7">
        <f>(N42+O42)*1000000/'a1'!AD42</f>
        <v>55855.793340797391</v>
      </c>
      <c r="Q42" s="7">
        <v>226378.4</v>
      </c>
      <c r="R42" s="7">
        <v>260033.4</v>
      </c>
      <c r="S42" s="7">
        <f>(Q42+R42)*1000000/'a1'!AJ42</f>
        <v>64545.698347211073</v>
      </c>
      <c r="T42" s="7">
        <v>382667.3</v>
      </c>
      <c r="U42" s="7">
        <v>459182.3</v>
      </c>
      <c r="V42" s="7">
        <f>(T42+U42)*1000000/'a1'!AP42</f>
        <v>67942.607133036916</v>
      </c>
      <c r="W42" s="7">
        <v>37958.199999999997</v>
      </c>
      <c r="X42" s="7">
        <v>29316.5</v>
      </c>
      <c r="Y42" s="7">
        <f>(W42+X42)*1000000/'a1'!AV42</f>
        <v>57325.024753614198</v>
      </c>
      <c r="Z42" s="7">
        <v>46759.1</v>
      </c>
      <c r="AA42" s="7">
        <v>27820.1</v>
      </c>
      <c r="AB42" s="7">
        <f>(Z42+AA42)*1000000/'a1'!BB42</f>
        <v>74770.088034752727</v>
      </c>
      <c r="AC42" s="7">
        <v>224078.2</v>
      </c>
      <c r="AD42" s="7">
        <v>120689.1</v>
      </c>
      <c r="AE42" s="7">
        <f>(AC42+AD42)*1000000/'a1'!BH42</f>
        <v>106427.03700696814</v>
      </c>
      <c r="AF42" s="7">
        <v>132444.9</v>
      </c>
      <c r="AG42" s="7">
        <v>128245.1</v>
      </c>
      <c r="AH42" s="7">
        <f>(AF42+AG42)*1000000/'a1'!BN42</f>
        <v>62738.708644892991</v>
      </c>
    </row>
    <row r="43" spans="1:34" s="136" customFormat="1" ht="21.75" customHeight="1">
      <c r="A43" s="124">
        <v>2005</v>
      </c>
      <c r="B43" s="159">
        <v>1180323.5</v>
      </c>
      <c r="C43" s="7">
        <v>1135070.7</v>
      </c>
      <c r="D43" s="7">
        <f>(B43+C43)*1000000/'a1'!F43</f>
        <v>71805.836333701547</v>
      </c>
      <c r="E43" s="7">
        <v>22737.7</v>
      </c>
      <c r="F43" s="7">
        <v>15572.5</v>
      </c>
      <c r="G43" s="7">
        <f>(E43+F43)*1000000/'a1'!L43</f>
        <v>74480.862737016461</v>
      </c>
      <c r="H43" s="7">
        <v>3674.7</v>
      </c>
      <c r="I43" s="7">
        <v>3788</v>
      </c>
      <c r="J43" s="7">
        <f>(H43+I43)*1000000/'a1'!R43</f>
        <v>54055.992177030894</v>
      </c>
      <c r="K43" s="7">
        <v>27900.6</v>
      </c>
      <c r="L43" s="7">
        <v>29114.1</v>
      </c>
      <c r="M43" s="7">
        <f>(K43+L43)*1000000/'a1'!X43</f>
        <v>60787.085754860913</v>
      </c>
      <c r="N43" s="7">
        <v>23917.599999999999</v>
      </c>
      <c r="O43" s="7">
        <v>19131.3</v>
      </c>
      <c r="P43" s="7">
        <f>(N43+O43)*1000000/'a1'!AD43</f>
        <v>57555.083159527239</v>
      </c>
      <c r="Q43" s="7">
        <v>230987.2</v>
      </c>
      <c r="R43" s="7">
        <v>269669.7</v>
      </c>
      <c r="S43" s="7">
        <f>(Q43+R43)*1000000/'a1'!AJ43</f>
        <v>66033.075302519384</v>
      </c>
      <c r="T43" s="7">
        <v>392176.5</v>
      </c>
      <c r="U43" s="7">
        <v>474523.2</v>
      </c>
      <c r="V43" s="7">
        <f>(T43+U43)*1000000/'a1'!AP43</f>
        <v>69178.360024520138</v>
      </c>
      <c r="W43" s="7">
        <v>38245.699999999997</v>
      </c>
      <c r="X43" s="7">
        <v>30111.7</v>
      </c>
      <c r="Y43" s="7">
        <f>(W43+X43)*1000000/'a1'!AV43</f>
        <v>58013.529649894204</v>
      </c>
      <c r="Z43" s="7">
        <v>47907.5</v>
      </c>
      <c r="AA43" s="7">
        <v>28431.200000000001</v>
      </c>
      <c r="AB43" s="7">
        <f>(Z43+AA43)*1000000/'a1'!BB43</f>
        <v>76832.038519332636</v>
      </c>
      <c r="AC43" s="7">
        <v>243219.6</v>
      </c>
      <c r="AD43" s="7">
        <v>126414.6</v>
      </c>
      <c r="AE43" s="7">
        <f>(AC43+AD43)*1000000/'a1'!BH43</f>
        <v>111261.87466136897</v>
      </c>
      <c r="AF43" s="7">
        <v>137197.20000000001</v>
      </c>
      <c r="AG43" s="7">
        <v>134896.70000000001</v>
      </c>
      <c r="AH43" s="7">
        <f>(AF43+AG43)*1000000/'a1'!BN43</f>
        <v>64833.844359066992</v>
      </c>
    </row>
    <row r="44" spans="1:34" s="136" customFormat="1" ht="21.75" customHeight="1">
      <c r="A44" s="124">
        <v>2006</v>
      </c>
      <c r="B44" s="7">
        <v>1230152.5</v>
      </c>
      <c r="C44" s="7">
        <v>1177516.2</v>
      </c>
      <c r="D44" s="7">
        <f>(B44+C44)*1000000/'a1'!F44</f>
        <v>73909.111945165641</v>
      </c>
      <c r="E44" s="7">
        <v>22880.799999999999</v>
      </c>
      <c r="F44" s="7">
        <v>16099.4</v>
      </c>
      <c r="G44" s="7">
        <f>(E44+F44)*1000000/'a1'!L44</f>
        <v>76384.885354674479</v>
      </c>
      <c r="H44" s="7">
        <v>3813.9</v>
      </c>
      <c r="I44" s="7">
        <v>3915.6</v>
      </c>
      <c r="J44" s="7">
        <f>(H44+I44)*1000000/'a1'!R44</f>
        <v>56043.358468677492</v>
      </c>
      <c r="K44" s="7">
        <v>28006.799999999999</v>
      </c>
      <c r="L44" s="7">
        <v>30161.200000000001</v>
      </c>
      <c r="M44" s="7">
        <f>(K44+L44)*1000000/'a1'!X44</f>
        <v>62012.132066822312</v>
      </c>
      <c r="N44" s="7">
        <v>25065.9</v>
      </c>
      <c r="O44" s="7">
        <v>19851</v>
      </c>
      <c r="P44" s="7">
        <f>(N44+O44)*1000000/'a1'!AD44</f>
        <v>60236.644968176442</v>
      </c>
      <c r="Q44" s="7">
        <v>235612.9</v>
      </c>
      <c r="R44" s="7">
        <v>279020.3</v>
      </c>
      <c r="S44" s="7">
        <f>(Q44+R44)*1000000/'a1'!AJ44</f>
        <v>67434.933287488559</v>
      </c>
      <c r="T44" s="7">
        <v>404367.6</v>
      </c>
      <c r="U44" s="7">
        <v>489761.1</v>
      </c>
      <c r="V44" s="7">
        <f>(T44+U44)*1000000/'a1'!AP44</f>
        <v>70596.468505479439</v>
      </c>
      <c r="W44" s="7">
        <v>39067.4</v>
      </c>
      <c r="X44" s="7">
        <v>30959.4</v>
      </c>
      <c r="Y44" s="7">
        <f>(W44+X44)*1000000/'a1'!AV44</f>
        <v>59142.708256793951</v>
      </c>
      <c r="Z44" s="7">
        <v>49727.7</v>
      </c>
      <c r="AA44" s="7">
        <v>29094.3</v>
      </c>
      <c r="AB44" s="7">
        <f>AB43*POWER(AB43/AB38, 1/5)</f>
        <v>77866.556848088076</v>
      </c>
      <c r="AC44" s="7">
        <v>264935.2</v>
      </c>
      <c r="AD44" s="7">
        <v>132508.29999999999</v>
      </c>
      <c r="AE44" s="7">
        <f>(AC44+AD44)*1000000/'a1'!BH44</f>
        <v>116168.98837940369</v>
      </c>
      <c r="AF44" s="7">
        <v>143552.6</v>
      </c>
      <c r="AG44" s="7">
        <v>142591.79999999999</v>
      </c>
      <c r="AH44" s="7">
        <f>(AF44+AG44)*1000000/'a1'!BN44</f>
        <v>67429.953011372476</v>
      </c>
    </row>
    <row r="45" spans="1:34" s="136" customFormat="1" ht="21.75" customHeight="1">
      <c r="A45" s="124">
        <v>2007</v>
      </c>
      <c r="B45" s="7">
        <v>1276557.5</v>
      </c>
      <c r="C45" s="159">
        <v>1221225.1000000001</v>
      </c>
      <c r="D45" s="7">
        <f>(B45+C45)*1000000/'a1'!F45</f>
        <v>75851.893484833301</v>
      </c>
      <c r="E45" s="7">
        <v>22755.599999999999</v>
      </c>
      <c r="F45" s="7">
        <v>16640.599999999999</v>
      </c>
      <c r="G45" s="7">
        <f>(E45+F45)*1000000/'a1'!L45</f>
        <v>77799.829771771736</v>
      </c>
      <c r="H45" s="7">
        <v>3984.2</v>
      </c>
      <c r="I45" s="7">
        <v>4047.5</v>
      </c>
      <c r="J45" s="7">
        <f>(H45+I45)*1000000/'a1'!R45</f>
        <v>58132.902917610612</v>
      </c>
      <c r="K45" s="7">
        <v>28188.1</v>
      </c>
      <c r="L45" s="7">
        <v>31187</v>
      </c>
      <c r="M45" s="7">
        <f>(K45+L45)*1000000/'a1'!X45</f>
        <v>63448.900078436069</v>
      </c>
      <c r="N45" s="7">
        <v>26307</v>
      </c>
      <c r="O45" s="7">
        <v>20680.900000000001</v>
      </c>
      <c r="P45" s="7">
        <f>(N45+O45)*1000000/'a1'!AD45</f>
        <v>63027.43740903939</v>
      </c>
      <c r="Q45" s="7">
        <v>241567.6</v>
      </c>
      <c r="R45" s="7">
        <v>288973.2</v>
      </c>
      <c r="S45" s="7">
        <f>(Q45+R45)*1000000/'a1'!AJ45</f>
        <v>69014.128661841562</v>
      </c>
      <c r="T45" s="7">
        <v>414008</v>
      </c>
      <c r="U45" s="7">
        <v>505120.5</v>
      </c>
      <c r="V45" s="7">
        <f>(T45+U45)*1000000/'a1'!AP45</f>
        <v>71846.558769108291</v>
      </c>
      <c r="W45" s="7">
        <v>40045.1</v>
      </c>
      <c r="X45" s="7">
        <v>31919.4</v>
      </c>
      <c r="Y45" s="7">
        <f>(W45+X45)*1000000/'a1'!AV45</f>
        <v>60294.095469177031</v>
      </c>
      <c r="Z45" s="7">
        <v>51691.5</v>
      </c>
      <c r="AA45" s="7">
        <v>29913.3</v>
      </c>
      <c r="AB45" s="7">
        <f>AB44*POWER(AB44/AB39, 1/5)</f>
        <v>78877.11336429519</v>
      </c>
      <c r="AC45" s="7">
        <v>284413.40000000002</v>
      </c>
      <c r="AD45" s="7">
        <v>138696.29999999999</v>
      </c>
      <c r="AE45" s="7">
        <f>(AC45+AD45)*1000000/'a1'!BH45</f>
        <v>120451.72774946615</v>
      </c>
      <c r="AF45" s="7">
        <v>149438.79999999999</v>
      </c>
      <c r="AG45" s="7">
        <v>150333.20000000001</v>
      </c>
      <c r="AH45" s="7">
        <f>(AF45+AG45)*1000000/'a1'!BN45</f>
        <v>69558.607324244847</v>
      </c>
    </row>
    <row r="46" spans="1:34" s="136" customFormat="1" ht="21.75" customHeight="1">
      <c r="A46" s="124">
        <v>2008</v>
      </c>
      <c r="B46" s="7">
        <v>1319808.3999999999</v>
      </c>
      <c r="C46" s="159">
        <v>1263815.3999999999</v>
      </c>
      <c r="D46" s="7">
        <f>(B46+C46)*1000000/'a1'!F46</f>
        <v>77549.095364938432</v>
      </c>
      <c r="E46" s="7">
        <v>22915.9</v>
      </c>
      <c r="F46" s="7">
        <v>17246.599999999999</v>
      </c>
      <c r="G46" s="7">
        <f>(E46+F46)*1000000/'a1'!L46</f>
        <v>79342.266684841554</v>
      </c>
      <c r="H46" s="7">
        <v>4097.5</v>
      </c>
      <c r="I46" s="7">
        <v>4179.1000000000004</v>
      </c>
      <c r="J46" s="7">
        <f>(H46+I46)*1000000/'a1'!R46</f>
        <v>59311.333261671862</v>
      </c>
      <c r="K46" s="7">
        <v>27712.6</v>
      </c>
      <c r="L46" s="7">
        <v>32162.9</v>
      </c>
      <c r="M46" s="7">
        <f>(K46+L46)*1000000/'a1'!X46</f>
        <v>63919.221723920375</v>
      </c>
      <c r="N46" s="7">
        <v>27359.8</v>
      </c>
      <c r="O46" s="7">
        <v>21510.3</v>
      </c>
      <c r="P46" s="7">
        <f>(N46+O46)*1000000/'a1'!AD46</f>
        <v>65430.404524288329</v>
      </c>
      <c r="Q46" s="7">
        <v>247468.6</v>
      </c>
      <c r="R46" s="7">
        <v>298409.59999999998</v>
      </c>
      <c r="S46" s="7">
        <f>(Q46+R46)*1000000/'a1'!AJ46</f>
        <v>70423.792968743946</v>
      </c>
      <c r="T46" s="7">
        <v>421261.7</v>
      </c>
      <c r="U46" s="7">
        <v>520175.7</v>
      </c>
      <c r="V46" s="7">
        <f>(T46+U46)*1000000/'a1'!AP46</f>
        <v>72797.384718275498</v>
      </c>
      <c r="W46" s="7">
        <v>41256.300000000003</v>
      </c>
      <c r="X46" s="7">
        <v>32934.800000000003</v>
      </c>
      <c r="Y46" s="7">
        <f>(W46+X46)*1000000/'a1'!AV46</f>
        <v>61542.97284899342</v>
      </c>
      <c r="Z46" s="7">
        <v>54523</v>
      </c>
      <c r="AA46" s="7">
        <v>30857.4</v>
      </c>
      <c r="AB46" s="7">
        <f>AB45*POWER(AB45/AB40, 1/5)</f>
        <v>80015.582522708879</v>
      </c>
      <c r="AC46" s="7">
        <v>302562.5</v>
      </c>
      <c r="AD46" s="7">
        <v>144068.5</v>
      </c>
      <c r="AE46" s="7">
        <f>(AC46+AD46)*1000000/'a1'!BH46</f>
        <v>124361.56352789211</v>
      </c>
      <c r="AF46" s="7">
        <v>155816.29999999999</v>
      </c>
      <c r="AG46" s="7">
        <v>158414.20000000001</v>
      </c>
      <c r="AH46" s="7">
        <f>(AF46+AG46)*1000000/'a1'!BN46</f>
        <v>71678.95416368224</v>
      </c>
    </row>
    <row r="47" spans="1:34" s="136" customFormat="1" ht="21.75" customHeight="1">
      <c r="A47" s="124">
        <v>2009</v>
      </c>
      <c r="B47" s="291">
        <v>1324363</v>
      </c>
      <c r="C47" s="7">
        <v>1298647.5</v>
      </c>
      <c r="D47" s="7">
        <f>(B47+C47)*1000000/'a1'!F47</f>
        <v>77787.550032348576</v>
      </c>
      <c r="E47" s="292">
        <v>22731.599999999999</v>
      </c>
      <c r="F47" s="7">
        <v>17872</v>
      </c>
      <c r="G47" s="7">
        <f>(E47+F47)*1000000/'a1'!L47</f>
        <v>79905.85327358637</v>
      </c>
      <c r="H47" s="293">
        <v>4106.3999999999996</v>
      </c>
      <c r="I47" s="7">
        <v>4323.7</v>
      </c>
      <c r="J47" s="7">
        <f>(H47+I47)*1000000/'a1'!R47</f>
        <v>59746.840825814848</v>
      </c>
      <c r="K47" s="294">
        <v>27293.7</v>
      </c>
      <c r="L47" s="7">
        <v>33036.300000000003</v>
      </c>
      <c r="M47" s="7">
        <f>(K47+L47)*1000000/'a1'!X47</f>
        <v>64240.717945659999</v>
      </c>
      <c r="N47" s="295">
        <v>27594.5</v>
      </c>
      <c r="O47" s="7">
        <v>22238.1</v>
      </c>
      <c r="P47" s="7">
        <f>(N47+O47)*1000000/'a1'!AD47</f>
        <v>66503.408405442766</v>
      </c>
      <c r="Q47" s="296">
        <v>249659.5</v>
      </c>
      <c r="R47" s="7">
        <v>307135.5</v>
      </c>
      <c r="S47" s="7">
        <f>(Q47+R47)*1000000/'a1'!AJ47</f>
        <v>71125.397066076577</v>
      </c>
      <c r="T47" s="297">
        <v>418725.5</v>
      </c>
      <c r="U47" s="7">
        <v>532212.19999999995</v>
      </c>
      <c r="V47" s="7">
        <f>(T47+U47)*1000000/'a1'!AP47</f>
        <v>72785.685309493376</v>
      </c>
      <c r="W47" s="298">
        <v>42242.3</v>
      </c>
      <c r="X47" s="7">
        <v>33870.1</v>
      </c>
      <c r="Y47" s="7">
        <f>(W47+X47)*1000000/'a1'!AV47</f>
        <v>62409.619191152233</v>
      </c>
      <c r="Z47" s="299">
        <v>56395</v>
      </c>
      <c r="AA47" s="7">
        <v>31600.3</v>
      </c>
      <c r="AB47" s="7">
        <f>AB46*POWER(AB46/AB41, 1/5)</f>
        <v>81239.508972360505</v>
      </c>
      <c r="AC47" s="300">
        <v>302641.3</v>
      </c>
      <c r="AD47" s="7">
        <v>147838.1</v>
      </c>
      <c r="AE47" s="7">
        <f>(AC47+AD47)*1000000/'a1'!BH47</f>
        <v>122721.61868090974</v>
      </c>
      <c r="AF47" s="301">
        <v>158191.70000000001</v>
      </c>
      <c r="AG47" s="7">
        <v>164523.29999999999</v>
      </c>
      <c r="AH47" s="7">
        <f>(AF47+AG47)*1000000/'a1'!BN47</f>
        <v>72352.886313272757</v>
      </c>
    </row>
    <row r="48" spans="1:34" s="136" customFormat="1" ht="21.75" customHeight="1">
      <c r="A48" s="124">
        <v>2010</v>
      </c>
      <c r="B48" s="291">
        <v>1345356.8</v>
      </c>
      <c r="C48" s="7">
        <v>1340654.8999999999</v>
      </c>
      <c r="D48" s="7">
        <f>(B48+C48)*1000000/'a1'!F48</f>
        <v>78748.460219242261</v>
      </c>
      <c r="E48" s="292">
        <v>23409.4</v>
      </c>
      <c r="F48" s="7">
        <v>18621.2</v>
      </c>
      <c r="G48" s="7">
        <f>(E48+F48)*1000000/'a1'!L48</f>
        <v>82455.138806330317</v>
      </c>
      <c r="H48" s="293">
        <v>4158.2</v>
      </c>
      <c r="I48" s="7">
        <v>4499.6000000000004</v>
      </c>
      <c r="J48" s="7">
        <f>(H48+I48)*1000000/'a1'!R48</f>
        <v>60856.423882023817</v>
      </c>
      <c r="K48" s="294">
        <v>27130.3</v>
      </c>
      <c r="L48" s="7">
        <v>34132</v>
      </c>
      <c r="M48" s="7">
        <f>(K48+L48)*1000000/'a1'!X48</f>
        <v>64999.374009290128</v>
      </c>
      <c r="N48" s="295">
        <v>28158.6</v>
      </c>
      <c r="O48" s="7">
        <v>23042.3</v>
      </c>
      <c r="P48" s="7">
        <f>(N48+O48)*1000000/'a1'!AD48</f>
        <v>68108.492793529804</v>
      </c>
      <c r="Q48" s="296">
        <v>254812.3</v>
      </c>
      <c r="R48" s="7">
        <v>318142.40000000002</v>
      </c>
      <c r="S48" s="7">
        <f>(Q48+R48)*1000000/'a1'!AJ48</f>
        <v>72458.268388687778</v>
      </c>
      <c r="T48" s="297">
        <v>424281.8</v>
      </c>
      <c r="U48" s="7">
        <v>546582.5</v>
      </c>
      <c r="V48" s="7">
        <f>(T48+U48)*1000000/'a1'!AP48</f>
        <v>73490.937285755514</v>
      </c>
      <c r="W48" s="298">
        <v>43313.1</v>
      </c>
      <c r="X48" s="7">
        <v>35014.699999999997</v>
      </c>
      <c r="Y48" s="7">
        <f>(W48+X48)*1000000/'a1'!AV48</f>
        <v>63402.168669237457</v>
      </c>
      <c r="Z48" s="299">
        <v>58834.3</v>
      </c>
      <c r="AA48" s="7">
        <v>32453.9</v>
      </c>
      <c r="AB48" s="7">
        <f>AB47*POWER(AB47/AB42, 1/5)</f>
        <v>82599.072244394207</v>
      </c>
      <c r="AC48" s="300">
        <v>304425</v>
      </c>
      <c r="AD48" s="7">
        <v>152945.60000000001</v>
      </c>
      <c r="AE48" s="7">
        <f>(AC48+AD48)*1000000/'a1'!BH48</f>
        <v>122917.82788570433</v>
      </c>
      <c r="AF48" s="301">
        <v>161983.1</v>
      </c>
      <c r="AG48" s="7">
        <v>171062.2</v>
      </c>
      <c r="AH48" s="7">
        <f>(AF48+AG48)*1000000/'a1'!BN48</f>
        <v>73504.356692621441</v>
      </c>
    </row>
    <row r="49" spans="1:138" s="136" customFormat="1" ht="21.75" customHeight="1">
      <c r="B49" s="209" t="s">
        <v>435</v>
      </c>
      <c r="C49" s="117"/>
      <c r="D49" s="7"/>
      <c r="E49" s="7"/>
      <c r="F49" s="117"/>
      <c r="G49" s="7"/>
      <c r="H49" s="7"/>
      <c r="I49" s="117"/>
      <c r="J49" s="7"/>
      <c r="K49" s="7"/>
      <c r="L49" s="117"/>
      <c r="M49" s="7"/>
      <c r="N49" s="7"/>
      <c r="O49" s="117"/>
      <c r="P49" s="7"/>
      <c r="Q49" s="209" t="s">
        <v>435</v>
      </c>
      <c r="R49" s="117"/>
      <c r="S49" s="7"/>
      <c r="T49" s="7"/>
      <c r="U49" s="117"/>
      <c r="V49" s="7"/>
      <c r="W49" s="7"/>
      <c r="X49" s="117"/>
      <c r="Y49" s="7"/>
      <c r="Z49" s="7"/>
      <c r="AA49" s="117"/>
      <c r="AB49" s="7"/>
      <c r="AC49" s="7"/>
      <c r="AD49" s="117"/>
      <c r="AE49" s="7"/>
      <c r="AF49" s="209" t="s">
        <v>435</v>
      </c>
      <c r="AG49" s="117"/>
      <c r="AH49" s="7"/>
    </row>
    <row r="50" spans="1:138" s="289" customFormat="1" ht="21.75" customHeight="1">
      <c r="A50" s="289" t="s">
        <v>988</v>
      </c>
      <c r="B50" s="290">
        <f t="shared" ref="B50:AH50" si="0">(POWER(B48/B19, 1/29)-1)*100</f>
        <v>1.8114240373925394</v>
      </c>
      <c r="C50" s="290">
        <f t="shared" si="0"/>
        <v>3.3022235539405198</v>
      </c>
      <c r="D50" s="290">
        <f t="shared" si="0"/>
        <v>1.3576488654022167</v>
      </c>
      <c r="E50" s="290">
        <f t="shared" si="0"/>
        <v>1.1696663893097536</v>
      </c>
      <c r="F50" s="290">
        <f t="shared" si="0"/>
        <v>3.3497986589089646</v>
      </c>
      <c r="G50" s="290">
        <f t="shared" si="0"/>
        <v>2.3964198028731731</v>
      </c>
      <c r="H50" s="290">
        <f t="shared" si="0"/>
        <v>2.1462112831730273</v>
      </c>
      <c r="I50" s="290">
        <f t="shared" si="0"/>
        <v>3.3922565181297548</v>
      </c>
      <c r="J50" s="290">
        <f t="shared" si="0"/>
        <v>2.2388039362957857</v>
      </c>
      <c r="K50" s="290">
        <f t="shared" si="0"/>
        <v>0.95115742574249929</v>
      </c>
      <c r="L50" s="290">
        <f t="shared" si="0"/>
        <v>3.2442304845612169</v>
      </c>
      <c r="M50" s="290">
        <f t="shared" si="0"/>
        <v>1.6939070394085931</v>
      </c>
      <c r="N50" s="290">
        <f t="shared" si="0"/>
        <v>1.0727057688154629</v>
      </c>
      <c r="O50" s="290">
        <f t="shared" si="0"/>
        <v>3.4033741974127674</v>
      </c>
      <c r="P50" s="290">
        <f t="shared" si="0"/>
        <v>1.7137107242355398</v>
      </c>
      <c r="Q50" s="290">
        <f t="shared" si="0"/>
        <v>1.2828205585579955</v>
      </c>
      <c r="R50" s="290">
        <f t="shared" si="0"/>
        <v>2.9967490150671017</v>
      </c>
      <c r="S50" s="290">
        <f t="shared" si="0"/>
        <v>1.4645149642981581</v>
      </c>
      <c r="T50" s="290">
        <f t="shared" si="0"/>
        <v>1.7542196962959444</v>
      </c>
      <c r="U50" s="290">
        <f t="shared" si="0"/>
        <v>3.2495285031487686</v>
      </c>
      <c r="V50" s="290">
        <f t="shared" si="0"/>
        <v>1.0934038508216171</v>
      </c>
      <c r="W50" s="290">
        <f t="shared" si="0"/>
        <v>0.96281362832111306</v>
      </c>
      <c r="X50" s="290">
        <f t="shared" si="0"/>
        <v>2.29769010152161</v>
      </c>
      <c r="Y50" s="290">
        <f t="shared" si="0"/>
        <v>0.88002093101031686</v>
      </c>
      <c r="Z50" s="290">
        <f t="shared" si="0"/>
        <v>1.6590952496244871</v>
      </c>
      <c r="AA50" s="290">
        <f t="shared" si="0"/>
        <v>2.056157208480669</v>
      </c>
      <c r="AB50" s="290">
        <f t="shared" si="0"/>
        <v>1.3586972673515163</v>
      </c>
      <c r="AC50" s="290">
        <f t="shared" si="0"/>
        <v>3.1640406733316251</v>
      </c>
      <c r="AD50" s="290">
        <f t="shared" si="0"/>
        <v>3.461782241377831</v>
      </c>
      <c r="AE50" s="290">
        <f t="shared" si="0"/>
        <v>1.5483775954512558</v>
      </c>
      <c r="AF50" s="290">
        <f t="shared" si="0"/>
        <v>1.6670617131064436</v>
      </c>
      <c r="AG50" s="290">
        <f t="shared" si="0"/>
        <v>4.6633830053556924</v>
      </c>
      <c r="AH50" s="290">
        <f t="shared" si="0"/>
        <v>1.2263381862950284</v>
      </c>
      <c r="AI50" s="261"/>
      <c r="AJ50" s="261"/>
      <c r="AK50" s="261"/>
      <c r="AL50" s="261"/>
      <c r="AM50" s="261"/>
      <c r="AN50" s="261"/>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c r="DI50" s="290"/>
      <c r="DJ50" s="290"/>
      <c r="DK50" s="290"/>
      <c r="DL50" s="290"/>
      <c r="DM50" s="290"/>
      <c r="DN50" s="290"/>
      <c r="DO50" s="290"/>
      <c r="DP50" s="290"/>
      <c r="DQ50" s="290"/>
      <c r="DR50" s="290"/>
      <c r="DS50" s="290"/>
      <c r="DT50" s="290"/>
      <c r="DU50" s="290"/>
      <c r="DV50" s="290"/>
      <c r="DW50" s="290"/>
      <c r="DX50" s="290"/>
      <c r="DY50" s="290"/>
      <c r="DZ50" s="290"/>
      <c r="EA50" s="290"/>
      <c r="EB50" s="290"/>
      <c r="EC50" s="290"/>
      <c r="ED50" s="290"/>
      <c r="EE50" s="290"/>
      <c r="EF50" s="290"/>
      <c r="EG50" s="290"/>
      <c r="EH50" s="290"/>
    </row>
    <row r="51" spans="1:138">
      <c r="B51" s="28" t="s">
        <v>956</v>
      </c>
      <c r="C51" s="117"/>
      <c r="D51" s="7"/>
      <c r="E51" s="7"/>
      <c r="F51" s="117"/>
      <c r="G51" s="7"/>
      <c r="H51" s="7"/>
      <c r="I51" s="117"/>
      <c r="J51" s="7"/>
      <c r="K51" s="7"/>
      <c r="L51" s="117"/>
      <c r="M51" s="7"/>
      <c r="N51" s="7"/>
      <c r="O51" s="117"/>
      <c r="P51" s="7"/>
      <c r="Q51" s="7"/>
      <c r="R51" s="117"/>
      <c r="S51" s="7"/>
      <c r="T51" s="7"/>
      <c r="U51" s="117"/>
      <c r="V51" s="7"/>
      <c r="W51" s="7"/>
      <c r="X51" s="117"/>
      <c r="Y51" s="7"/>
      <c r="Z51" s="7"/>
      <c r="AA51" s="117"/>
      <c r="AB51" s="7"/>
      <c r="AC51" s="7"/>
      <c r="AD51" s="117"/>
      <c r="AE51" s="7"/>
      <c r="AF51" s="7"/>
      <c r="AG51" s="117"/>
      <c r="AH51" s="7"/>
    </row>
    <row r="52" spans="1:138">
      <c r="B52" s="164" t="s">
        <v>714</v>
      </c>
      <c r="Q52" s="1" t="s">
        <v>380</v>
      </c>
      <c r="AF52" s="1" t="s">
        <v>380</v>
      </c>
    </row>
    <row r="53" spans="1:138">
      <c r="B53" s="1" t="s">
        <v>1032</v>
      </c>
    </row>
    <row r="54" spans="1:138">
      <c r="B54" s="1" t="s">
        <v>470</v>
      </c>
    </row>
    <row r="55" spans="1:138">
      <c r="B55" s="1" t="s">
        <v>1031</v>
      </c>
    </row>
    <row r="59" spans="1:138">
      <c r="B59" s="136"/>
    </row>
    <row r="68" spans="1:12" ht="15">
      <c r="A68" s="10"/>
      <c r="B68" s="10"/>
      <c r="D68" s="10"/>
      <c r="E68" s="10"/>
      <c r="F68" s="10"/>
      <c r="G68" s="10"/>
      <c r="H68" s="10"/>
      <c r="I68" s="10"/>
      <c r="J68" s="10"/>
      <c r="K68" s="10"/>
      <c r="L68" s="10"/>
    </row>
  </sheetData>
  <phoneticPr fontId="0" type="noConversion"/>
  <pageMargins left="0.35433070866141736" right="0.35433070866141736" top="0.59055118110236227" bottom="0.59055118110236227" header="0.51181102362204722" footer="0.51181102362204722"/>
  <pageSetup scale="61" orientation="landscape" r:id="rId1"/>
  <headerFooter alignWithMargins="0"/>
  <rowBreaks count="1" manualBreakCount="1">
    <brk id="60" max="16383" man="1"/>
  </rowBreaks>
  <colBreaks count="2" manualBreakCount="2">
    <brk id="16" max="1048575" man="1"/>
    <brk id="34" max="55" man="1"/>
  </colBreaks>
</worksheet>
</file>

<file path=xl/worksheets/sheet32.xml><?xml version="1.0" encoding="utf-8"?>
<worksheet xmlns="http://schemas.openxmlformats.org/spreadsheetml/2006/main" xmlns:r="http://schemas.openxmlformats.org/officeDocument/2006/relationships">
  <dimension ref="A1:EH100"/>
  <sheetViews>
    <sheetView view="pageBreakPreview" zoomScaleSheetLayoutView="100" workbookViewId="0">
      <pane xSplit="1" ySplit="6" topLeftCell="BE7" activePane="bottomRight" state="frozen"/>
      <selection activeCell="E9" sqref="E9"/>
      <selection pane="topRight" activeCell="E9" sqref="E9"/>
      <selection pane="bottomLeft" activeCell="E9" sqref="E9"/>
      <selection pane="bottomRight" activeCell="E9" sqref="E9"/>
    </sheetView>
  </sheetViews>
  <sheetFormatPr defaultRowHeight="12.75"/>
  <cols>
    <col min="1" max="1" width="8.875" style="1" customWidth="1"/>
    <col min="2" max="6" width="11.25" style="1" customWidth="1"/>
    <col min="7" max="7" width="9.875" style="1" customWidth="1"/>
    <col min="8" max="162" width="11.25" style="1" customWidth="1"/>
    <col min="163" max="16384" width="9" style="1"/>
  </cols>
  <sheetData>
    <row r="1" spans="1:67" ht="15.75">
      <c r="B1" s="2" t="s">
        <v>227</v>
      </c>
      <c r="N1" s="2" t="s">
        <v>228</v>
      </c>
      <c r="Z1" s="2" t="s">
        <v>229</v>
      </c>
      <c r="AL1" s="2" t="s">
        <v>230</v>
      </c>
      <c r="AX1" s="2" t="s">
        <v>231</v>
      </c>
      <c r="BJ1" s="2" t="s">
        <v>232</v>
      </c>
    </row>
    <row r="3" spans="1:67" s="3" customFormat="1" ht="15">
      <c r="B3" s="3" t="s">
        <v>321</v>
      </c>
      <c r="H3" s="3" t="s">
        <v>370</v>
      </c>
      <c r="N3" s="3" t="s">
        <v>371</v>
      </c>
      <c r="T3" s="3" t="s">
        <v>372</v>
      </c>
      <c r="Z3" s="3" t="s">
        <v>373</v>
      </c>
      <c r="AF3" s="3" t="s">
        <v>374</v>
      </c>
      <c r="AL3" s="3" t="s">
        <v>375</v>
      </c>
      <c r="AR3" s="3" t="s">
        <v>376</v>
      </c>
      <c r="AX3" s="3" t="s">
        <v>377</v>
      </c>
      <c r="BD3" s="3" t="s">
        <v>378</v>
      </c>
      <c r="BJ3" s="3" t="s">
        <v>379</v>
      </c>
    </row>
    <row r="4" spans="1:67" s="4" customFormat="1" ht="38.25">
      <c r="B4" s="4" t="s">
        <v>472</v>
      </c>
      <c r="C4" s="4" t="s">
        <v>473</v>
      </c>
      <c r="D4" s="4" t="s">
        <v>716</v>
      </c>
      <c r="E4" s="4" t="s">
        <v>474</v>
      </c>
      <c r="F4" s="4" t="s">
        <v>475</v>
      </c>
      <c r="G4" s="4" t="s">
        <v>717</v>
      </c>
      <c r="H4" s="4" t="s">
        <v>472</v>
      </c>
      <c r="I4" s="4" t="s">
        <v>473</v>
      </c>
      <c r="J4" s="4" t="s">
        <v>716</v>
      </c>
      <c r="K4" s="4" t="s">
        <v>474</v>
      </c>
      <c r="L4" s="4" t="s">
        <v>475</v>
      </c>
      <c r="M4" s="4" t="s">
        <v>717</v>
      </c>
      <c r="N4" s="4" t="s">
        <v>472</v>
      </c>
      <c r="O4" s="4" t="s">
        <v>473</v>
      </c>
      <c r="P4" s="4" t="s">
        <v>716</v>
      </c>
      <c r="Q4" s="4" t="s">
        <v>474</v>
      </c>
      <c r="R4" s="4" t="s">
        <v>475</v>
      </c>
      <c r="S4" s="4" t="s">
        <v>717</v>
      </c>
      <c r="T4" s="4" t="s">
        <v>472</v>
      </c>
      <c r="U4" s="4" t="s">
        <v>473</v>
      </c>
      <c r="V4" s="4" t="s">
        <v>716</v>
      </c>
      <c r="W4" s="4" t="s">
        <v>474</v>
      </c>
      <c r="X4" s="4" t="s">
        <v>475</v>
      </c>
      <c r="Y4" s="4" t="s">
        <v>717</v>
      </c>
      <c r="Z4" s="4" t="s">
        <v>472</v>
      </c>
      <c r="AA4" s="4" t="s">
        <v>473</v>
      </c>
      <c r="AB4" s="4" t="s">
        <v>716</v>
      </c>
      <c r="AC4" s="4" t="s">
        <v>474</v>
      </c>
      <c r="AD4" s="4" t="s">
        <v>475</v>
      </c>
      <c r="AE4" s="4" t="s">
        <v>717</v>
      </c>
      <c r="AF4" s="4" t="s">
        <v>472</v>
      </c>
      <c r="AG4" s="4" t="s">
        <v>473</v>
      </c>
      <c r="AH4" s="4" t="s">
        <v>716</v>
      </c>
      <c r="AI4" s="4" t="s">
        <v>474</v>
      </c>
      <c r="AJ4" s="4" t="s">
        <v>475</v>
      </c>
      <c r="AK4" s="4" t="s">
        <v>717</v>
      </c>
      <c r="AL4" s="4" t="s">
        <v>472</v>
      </c>
      <c r="AM4" s="4" t="s">
        <v>473</v>
      </c>
      <c r="AN4" s="4" t="s">
        <v>716</v>
      </c>
      <c r="AO4" s="4" t="s">
        <v>474</v>
      </c>
      <c r="AP4" s="4" t="s">
        <v>475</v>
      </c>
      <c r="AQ4" s="4" t="s">
        <v>717</v>
      </c>
      <c r="AR4" s="4" t="s">
        <v>472</v>
      </c>
      <c r="AS4" s="4" t="s">
        <v>473</v>
      </c>
      <c r="AT4" s="4" t="s">
        <v>716</v>
      </c>
      <c r="AU4" s="4" t="s">
        <v>474</v>
      </c>
      <c r="AV4" s="4" t="s">
        <v>475</v>
      </c>
      <c r="AW4" s="4" t="s">
        <v>717</v>
      </c>
      <c r="AX4" s="4" t="s">
        <v>472</v>
      </c>
      <c r="AY4" s="4" t="s">
        <v>473</v>
      </c>
      <c r="AZ4" s="4" t="s">
        <v>716</v>
      </c>
      <c r="BA4" s="4" t="s">
        <v>474</v>
      </c>
      <c r="BB4" s="4" t="s">
        <v>475</v>
      </c>
      <c r="BC4" s="4" t="s">
        <v>717</v>
      </c>
      <c r="BD4" s="4" t="s">
        <v>472</v>
      </c>
      <c r="BE4" s="4" t="s">
        <v>473</v>
      </c>
      <c r="BF4" s="4" t="s">
        <v>716</v>
      </c>
      <c r="BG4" s="4" t="s">
        <v>474</v>
      </c>
      <c r="BH4" s="4" t="s">
        <v>475</v>
      </c>
      <c r="BI4" s="4" t="s">
        <v>717</v>
      </c>
      <c r="BJ4" s="4" t="s">
        <v>472</v>
      </c>
      <c r="BK4" s="4" t="s">
        <v>473</v>
      </c>
      <c r="BL4" s="4" t="s">
        <v>716</v>
      </c>
      <c r="BM4" s="4" t="s">
        <v>474</v>
      </c>
      <c r="BN4" s="4" t="s">
        <v>475</v>
      </c>
      <c r="BO4" s="4" t="s">
        <v>717</v>
      </c>
    </row>
    <row r="5" spans="1:67" s="4" customFormat="1"/>
    <row r="6" spans="1:67" s="4" customFormat="1" ht="25.5">
      <c r="B6" s="4" t="s">
        <v>105</v>
      </c>
      <c r="C6" s="4" t="s">
        <v>106</v>
      </c>
      <c r="D6" s="4" t="s">
        <v>152</v>
      </c>
      <c r="E6" s="4" t="s">
        <v>223</v>
      </c>
      <c r="F6" s="4" t="s">
        <v>221</v>
      </c>
      <c r="G6" s="4" t="s">
        <v>222</v>
      </c>
      <c r="H6" s="4" t="s">
        <v>111</v>
      </c>
      <c r="I6" s="4" t="s">
        <v>112</v>
      </c>
      <c r="J6" s="4" t="s">
        <v>176</v>
      </c>
      <c r="K6" s="4" t="s">
        <v>224</v>
      </c>
      <c r="L6" s="4" t="s">
        <v>225</v>
      </c>
      <c r="M6" s="4" t="s">
        <v>226</v>
      </c>
      <c r="N6" s="4" t="s">
        <v>105</v>
      </c>
      <c r="O6" s="4" t="s">
        <v>106</v>
      </c>
      <c r="P6" s="4" t="s">
        <v>152</v>
      </c>
      <c r="Q6" s="4" t="s">
        <v>223</v>
      </c>
      <c r="R6" s="4" t="s">
        <v>221</v>
      </c>
      <c r="S6" s="4" t="s">
        <v>222</v>
      </c>
      <c r="T6" s="4" t="s">
        <v>111</v>
      </c>
      <c r="U6" s="4" t="s">
        <v>112</v>
      </c>
      <c r="V6" s="4" t="s">
        <v>176</v>
      </c>
      <c r="W6" s="4" t="s">
        <v>224</v>
      </c>
      <c r="X6" s="4" t="s">
        <v>225</v>
      </c>
      <c r="Y6" s="4" t="s">
        <v>226</v>
      </c>
      <c r="Z6" s="4" t="s">
        <v>105</v>
      </c>
      <c r="AA6" s="4" t="s">
        <v>106</v>
      </c>
      <c r="AB6" s="4" t="s">
        <v>152</v>
      </c>
      <c r="AC6" s="4" t="s">
        <v>223</v>
      </c>
      <c r="AD6" s="4" t="s">
        <v>221</v>
      </c>
      <c r="AE6" s="4" t="s">
        <v>222</v>
      </c>
      <c r="AF6" s="4" t="s">
        <v>111</v>
      </c>
      <c r="AG6" s="4" t="s">
        <v>112</v>
      </c>
      <c r="AH6" s="4" t="s">
        <v>176</v>
      </c>
      <c r="AI6" s="4" t="s">
        <v>224</v>
      </c>
      <c r="AJ6" s="4" t="s">
        <v>225</v>
      </c>
      <c r="AK6" s="4" t="s">
        <v>226</v>
      </c>
      <c r="AL6" s="4" t="s">
        <v>105</v>
      </c>
      <c r="AM6" s="4" t="s">
        <v>106</v>
      </c>
      <c r="AN6" s="4" t="s">
        <v>152</v>
      </c>
      <c r="AO6" s="4" t="s">
        <v>223</v>
      </c>
      <c r="AP6" s="4" t="s">
        <v>221</v>
      </c>
      <c r="AQ6" s="4" t="s">
        <v>222</v>
      </c>
      <c r="AR6" s="4" t="s">
        <v>111</v>
      </c>
      <c r="AS6" s="4" t="s">
        <v>112</v>
      </c>
      <c r="AT6" s="4" t="s">
        <v>176</v>
      </c>
      <c r="AU6" s="4" t="s">
        <v>224</v>
      </c>
      <c r="AV6" s="4" t="s">
        <v>225</v>
      </c>
      <c r="AW6" s="4" t="s">
        <v>226</v>
      </c>
      <c r="AX6" s="4" t="s">
        <v>105</v>
      </c>
      <c r="AY6" s="4" t="s">
        <v>106</v>
      </c>
      <c r="AZ6" s="4" t="s">
        <v>152</v>
      </c>
      <c r="BA6" s="4" t="s">
        <v>223</v>
      </c>
      <c r="BB6" s="4" t="s">
        <v>221</v>
      </c>
      <c r="BC6" s="4" t="s">
        <v>222</v>
      </c>
      <c r="BD6" s="4" t="s">
        <v>111</v>
      </c>
      <c r="BE6" s="4" t="s">
        <v>112</v>
      </c>
      <c r="BF6" s="4" t="s">
        <v>176</v>
      </c>
      <c r="BG6" s="4" t="s">
        <v>224</v>
      </c>
      <c r="BH6" s="4" t="s">
        <v>225</v>
      </c>
      <c r="BI6" s="4" t="s">
        <v>226</v>
      </c>
      <c r="BJ6" s="4" t="s">
        <v>105</v>
      </c>
      <c r="BK6" s="4" t="s">
        <v>106</v>
      </c>
      <c r="BL6" s="4" t="s">
        <v>152</v>
      </c>
      <c r="BM6" s="4" t="s">
        <v>223</v>
      </c>
      <c r="BN6" s="4" t="s">
        <v>221</v>
      </c>
      <c r="BO6" s="4" t="s">
        <v>222</v>
      </c>
    </row>
    <row r="7" spans="1:67" s="4" customFormat="1" hidden="1"/>
    <row r="8" spans="1:67" hidden="1">
      <c r="A8" s="1">
        <v>1971</v>
      </c>
      <c r="B8" s="7">
        <v>1285</v>
      </c>
      <c r="C8" s="121">
        <f t="shared" ref="C8:C16" si="0">C9*C62/C63</f>
        <v>22.647265812619505</v>
      </c>
      <c r="D8" s="7">
        <f>B8/C8*100</f>
        <v>5673.9741151621602</v>
      </c>
      <c r="E8" s="7">
        <f>D8</f>
        <v>5673.9741151621602</v>
      </c>
      <c r="F8" s="7">
        <f>D8</f>
        <v>5673.9741151621602</v>
      </c>
      <c r="G8" s="7">
        <f>F8*1000000/'a1'!F8</f>
        <v>258.35378598675021</v>
      </c>
      <c r="H8" s="117">
        <f t="shared" ref="H8:H15" si="1">H9/POWER(H$22/H$16,1/5)</f>
        <v>5.6909662469755542</v>
      </c>
      <c r="I8" s="121">
        <f t="shared" ref="I8:I16" si="2">I9*I62/I63</f>
        <v>23.423910831234249</v>
      </c>
      <c r="J8" s="7">
        <f>H8/I8*100</f>
        <v>24.295542652881959</v>
      </c>
      <c r="K8" s="7">
        <f>J8</f>
        <v>24.295542652881959</v>
      </c>
      <c r="L8" s="7">
        <f>J8</f>
        <v>24.295542652881959</v>
      </c>
      <c r="M8" s="7">
        <f>L8*1000000/'a1'!L8</f>
        <v>45.766901356836264</v>
      </c>
      <c r="N8" s="117">
        <f t="shared" ref="N8:N15" si="3">N9/POWER(N$22/N$16,1/5)</f>
        <v>1.6493848884661169</v>
      </c>
      <c r="O8" s="121">
        <f t="shared" ref="O8:O16" si="4">O9*O62/O63</f>
        <v>26.941772000000004</v>
      </c>
      <c r="P8" s="7">
        <f>N8/O8*100</f>
        <v>6.1220356569943384</v>
      </c>
      <c r="Q8" s="7">
        <f>P8</f>
        <v>6.1220356569943384</v>
      </c>
      <c r="R8" s="7">
        <f>P8</f>
        <v>6.1220356569943384</v>
      </c>
      <c r="S8" s="7">
        <f>R8*1000000/'a1'!R8</f>
        <v>54.374112113706587</v>
      </c>
      <c r="T8" s="117">
        <f t="shared" ref="T8:T15" si="5">T9/POWER(T$22/T$16,1/5)</f>
        <v>24.708933169232484</v>
      </c>
      <c r="U8" s="121">
        <f t="shared" ref="U8:U16" si="6">U9*U62/U63</f>
        <v>22.263649032258058</v>
      </c>
      <c r="V8" s="7">
        <f>T8/U8*100</f>
        <v>110.98330347119389</v>
      </c>
      <c r="W8" s="7">
        <f>V8</f>
        <v>110.98330347119389</v>
      </c>
      <c r="X8" s="7">
        <f>V8</f>
        <v>110.98330347119389</v>
      </c>
      <c r="Y8" s="7">
        <f>X8*1000000/'a1'!X8</f>
        <v>139.19997324850544</v>
      </c>
      <c r="Z8" s="117">
        <f t="shared" ref="Z8:Z15" si="7">Z9/POWER(Z$22/Z$16,1/5)</f>
        <v>90.345112838847101</v>
      </c>
      <c r="AA8" s="121">
        <f t="shared" ref="AA8:AA16" si="8">AA9*AA62/AA63</f>
        <v>22.97542846153846</v>
      </c>
      <c r="AB8" s="7">
        <f>Z8/AA8*100</f>
        <v>393.22493153974239</v>
      </c>
      <c r="AC8" s="7">
        <f>AB8</f>
        <v>393.22493153974239</v>
      </c>
      <c r="AD8" s="7">
        <f>AB8</f>
        <v>393.22493153974239</v>
      </c>
      <c r="AE8" s="7">
        <f>AD8*1000000/'a1'!AD8</f>
        <v>612.05086539274521</v>
      </c>
      <c r="AF8" s="117">
        <f t="shared" ref="AF8:AF15" si="9">AF9/POWER(AF$22/AF$16,1/5)</f>
        <v>175.06474931802896</v>
      </c>
      <c r="AG8" s="121">
        <f t="shared" ref="AG8:AG16" si="10">AG9*AG62/AG63</f>
        <v>22.331335166240407</v>
      </c>
      <c r="AH8" s="7">
        <f>AF8/AG8*100</f>
        <v>783.94215130801786</v>
      </c>
      <c r="AI8" s="7">
        <f>AH8</f>
        <v>783.94215130801786</v>
      </c>
      <c r="AJ8" s="7">
        <f>AH8</f>
        <v>783.94215130801786</v>
      </c>
      <c r="AK8" s="7">
        <f>AJ8*1000000/'a1'!AJ8</f>
        <v>127.73394043607379</v>
      </c>
      <c r="AL8" s="117">
        <f t="shared" ref="AL8:AL15" si="11">AL9/POWER(AL$22/AL$16,1/5)</f>
        <v>293.37027535347107</v>
      </c>
      <c r="AM8" s="121">
        <f t="shared" ref="AM8:AM16" si="12">AM9*AM62/AM63</f>
        <v>23.660936632390744</v>
      </c>
      <c r="AN8" s="7">
        <f>AL8/AM8*100</f>
        <v>1239.8929083469186</v>
      </c>
      <c r="AO8" s="7">
        <f>AN8</f>
        <v>1239.8929083469186</v>
      </c>
      <c r="AP8" s="7">
        <f>AN8</f>
        <v>1239.8929083469186</v>
      </c>
      <c r="AQ8" s="7">
        <f>AP8*1000000/'a1'!AP8</f>
        <v>157.96772113880084</v>
      </c>
      <c r="AR8" s="117">
        <f t="shared" ref="AR8:AR15" si="13">AR9/POWER(AR$22/AR$16,1/5)</f>
        <v>21.591743151574235</v>
      </c>
      <c r="AS8" s="121">
        <f t="shared" ref="AS8:AS16" si="14">AS9*AS62/AS63</f>
        <v>24.190250000000006</v>
      </c>
      <c r="AT8" s="7">
        <f>AR8/AS8*100</f>
        <v>89.258040539367016</v>
      </c>
      <c r="AU8" s="7">
        <f>AT8</f>
        <v>89.258040539367016</v>
      </c>
      <c r="AV8" s="7">
        <f>AT8</f>
        <v>89.258040539367016</v>
      </c>
      <c r="AW8" s="7">
        <f>AV8*1000000/'a1'!AV8</f>
        <v>89.358479470291627</v>
      </c>
      <c r="AX8" s="117">
        <f t="shared" ref="AX8:AX15" si="15">AX9/POWER(AX$22/AX$16,1/5)</f>
        <v>21.002945373453382</v>
      </c>
      <c r="AY8" s="121">
        <f t="shared" ref="AY8:AY16" si="16">AY9*AY62/AY63</f>
        <v>27.583661034047918</v>
      </c>
      <c r="AZ8" s="7">
        <f>AX8/AY8*100</f>
        <v>76.142703999764123</v>
      </c>
      <c r="BA8" s="7">
        <f>AZ8</f>
        <v>76.142703999764123</v>
      </c>
      <c r="BB8" s="7">
        <f>AZ8</f>
        <v>76.142703999764123</v>
      </c>
      <c r="BC8" s="7">
        <f>BB8*1000000/'a1'!BB8</f>
        <v>81.694849351382814</v>
      </c>
      <c r="BD8" s="117">
        <f t="shared" ref="BD8:BD15" si="17">BD9/POWER(BD$22/BD$16,1/5)</f>
        <v>103.98578132452033</v>
      </c>
      <c r="BE8" s="121">
        <f t="shared" ref="BE8:BE16" si="18">BE9*BE62/BE63</f>
        <v>27.990659605911311</v>
      </c>
      <c r="BF8" s="7">
        <f>BD8/BE8*100</f>
        <v>371.50171803225282</v>
      </c>
      <c r="BG8" s="7">
        <f>BF8</f>
        <v>371.50171803225282</v>
      </c>
      <c r="BH8" s="7">
        <f>BF8</f>
        <v>371.50171803225282</v>
      </c>
      <c r="BI8" s="7">
        <f>BH8*1000000/'a1'!BH8</f>
        <v>223.02811223770476</v>
      </c>
      <c r="BJ8" s="117">
        <f t="shared" ref="BJ8:BJ15" si="19">BJ9/POWER(BJ$22/BJ$16,1/5)</f>
        <v>44.119163977556497</v>
      </c>
      <c r="BK8" s="121">
        <f t="shared" ref="BK8:BK16" si="20">BK9*BK62/BK63</f>
        <v>23.353543206854347</v>
      </c>
      <c r="BL8" s="7">
        <f>BJ8/BK8*100</f>
        <v>188.91850194538088</v>
      </c>
      <c r="BM8" s="7">
        <f>BL8</f>
        <v>188.91850194538088</v>
      </c>
      <c r="BN8" s="7">
        <f>BL8</f>
        <v>188.91850194538088</v>
      </c>
      <c r="BO8" s="7">
        <f>BN8*1000000/'a1'!BN8</f>
        <v>84.320924603043508</v>
      </c>
    </row>
    <row r="9" spans="1:67" hidden="1">
      <c r="A9" s="1">
        <v>1972</v>
      </c>
      <c r="B9" s="7">
        <v>1372</v>
      </c>
      <c r="C9" s="121">
        <f t="shared" si="0"/>
        <v>24.010788871892935</v>
      </c>
      <c r="D9" s="7">
        <f t="shared" ref="D9:D39" si="21">B9/C9*100</f>
        <v>5714.0979720414989</v>
      </c>
      <c r="E9" s="7">
        <f>E8+D9</f>
        <v>11388.072087203658</v>
      </c>
      <c r="F9" s="7">
        <f>(F8*0.8)+D9</f>
        <v>10253.277264171227</v>
      </c>
      <c r="G9" s="7">
        <f>F9*1000000/'a1'!F9</f>
        <v>461.47554239783494</v>
      </c>
      <c r="H9" s="117">
        <f t="shared" si="1"/>
        <v>6.8126199785670742</v>
      </c>
      <c r="I9" s="121">
        <f t="shared" si="2"/>
        <v>24.67133803526448</v>
      </c>
      <c r="J9" s="7">
        <f>H9/I9*100</f>
        <v>27.613500203472213</v>
      </c>
      <c r="K9" s="7">
        <f>K8+J9</f>
        <v>51.909042856354176</v>
      </c>
      <c r="L9" s="7">
        <f>(L8*0.8)+J9</f>
        <v>47.049934325777784</v>
      </c>
      <c r="M9" s="7">
        <f>L9*1000000/'a1'!L9</f>
        <v>87.271081097813834</v>
      </c>
      <c r="N9" s="117">
        <f t="shared" si="3"/>
        <v>1.8946457081379966</v>
      </c>
      <c r="O9" s="121">
        <f t="shared" si="4"/>
        <v>28.319476249999997</v>
      </c>
      <c r="P9" s="7">
        <f>N9/O9*100</f>
        <v>6.6902568797966273</v>
      </c>
      <c r="Q9" s="7">
        <f>Q8+P9</f>
        <v>12.812292536790967</v>
      </c>
      <c r="R9" s="7">
        <f>(R8*0.8)+P9</f>
        <v>11.587885405392099</v>
      </c>
      <c r="S9" s="7">
        <f>R9*1000000/'a1'!R9</f>
        <v>102.13190027667989</v>
      </c>
      <c r="T9" s="117">
        <f t="shared" si="5"/>
        <v>28.527194997039018</v>
      </c>
      <c r="U9" s="121">
        <f t="shared" si="6"/>
        <v>23.486219354838706</v>
      </c>
      <c r="V9" s="7">
        <f>T9/U9*100</f>
        <v>121.46354662723422</v>
      </c>
      <c r="W9" s="7">
        <f>W8+V9</f>
        <v>232.44685009842811</v>
      </c>
      <c r="X9" s="7">
        <f>(X8*0.8)+V9</f>
        <v>210.25018940418934</v>
      </c>
      <c r="Y9" s="7">
        <f>X9*1000000/'a1'!X9</f>
        <v>262.07401562369739</v>
      </c>
      <c r="Z9" s="117">
        <f t="shared" si="7"/>
        <v>86.191719084798464</v>
      </c>
      <c r="AA9" s="121">
        <f t="shared" si="8"/>
        <v>24.319020769230768</v>
      </c>
      <c r="AB9" s="7">
        <f>Z9/AA9*100</f>
        <v>354.42101021539111</v>
      </c>
      <c r="AC9" s="7">
        <f>AC8+AB9</f>
        <v>747.64594175513344</v>
      </c>
      <c r="AD9" s="7">
        <f>(AD8*0.8)+AB9</f>
        <v>669.00095544718511</v>
      </c>
      <c r="AE9" s="7">
        <f>AD9*1000000/'a1'!AD9</f>
        <v>1031.1851451706002</v>
      </c>
      <c r="AF9" s="117">
        <f t="shared" si="9"/>
        <v>203.51689768632167</v>
      </c>
      <c r="AG9" s="121">
        <f t="shared" si="10"/>
        <v>23.5241067774936</v>
      </c>
      <c r="AH9" s="7">
        <f>AF9/AG9*100</f>
        <v>865.14187174593997</v>
      </c>
      <c r="AI9" s="7">
        <f>AI8+AH9</f>
        <v>1649.0840230539579</v>
      </c>
      <c r="AJ9" s="7">
        <f>(AJ8*0.8)+AH9</f>
        <v>1492.2955927923545</v>
      </c>
      <c r="AK9" s="7">
        <f>AJ9*1000000/'a1'!AJ9</f>
        <v>241.69798931432823</v>
      </c>
      <c r="AL9" s="117">
        <f t="shared" si="11"/>
        <v>345.75377038120661</v>
      </c>
      <c r="AM9" s="121">
        <f t="shared" si="12"/>
        <v>24.934471465295626</v>
      </c>
      <c r="AN9" s="7">
        <f>AL9/AM9*100</f>
        <v>1386.6496864087721</v>
      </c>
      <c r="AO9" s="7">
        <f>AO8+AN9</f>
        <v>2626.5425947556905</v>
      </c>
      <c r="AP9" s="7">
        <f>(AP8*0.8)+AN9</f>
        <v>2378.5640130863071</v>
      </c>
      <c r="AQ9" s="7">
        <f>AP9*1000000/'a1'!AP9</f>
        <v>298.69760962777605</v>
      </c>
      <c r="AR9" s="117">
        <f t="shared" si="13"/>
        <v>25.663391460968949</v>
      </c>
      <c r="AS9" s="121">
        <f t="shared" si="14"/>
        <v>25.389183673469397</v>
      </c>
      <c r="AT9" s="7">
        <f>AR9/AS9*100</f>
        <v>101.0800181330213</v>
      </c>
      <c r="AU9" s="7">
        <f>AU8+AT9</f>
        <v>190.33805867238831</v>
      </c>
      <c r="AV9" s="7">
        <f>(AV8*0.8)+AT9</f>
        <v>172.48645056451491</v>
      </c>
      <c r="AW9" s="7">
        <f>AV9*1000000/'a1'!AV9</f>
        <v>172.2019729052754</v>
      </c>
      <c r="AX9" s="117">
        <f t="shared" si="15"/>
        <v>24.234729096680638</v>
      </c>
      <c r="AY9" s="121">
        <f t="shared" si="16"/>
        <v>29.09837074401009</v>
      </c>
      <c r="AZ9" s="7">
        <f>AX9/AY9*100</f>
        <v>83.285519006830881</v>
      </c>
      <c r="BA9" s="7">
        <f>BA8+AZ9</f>
        <v>159.428223006595</v>
      </c>
      <c r="BB9" s="7">
        <f>(BB8*0.8)+AZ9</f>
        <v>144.19968220664219</v>
      </c>
      <c r="BC9" s="7">
        <f>BB9*1000000/'a1'!BB9</f>
        <v>156.60601034627402</v>
      </c>
      <c r="BD9" s="117">
        <f t="shared" si="17"/>
        <v>117.53363977472169</v>
      </c>
      <c r="BE9" s="121">
        <f t="shared" si="18"/>
        <v>29.514506403940867</v>
      </c>
      <c r="BF9" s="7">
        <f>BD9/BE9*100</f>
        <v>398.2232945594111</v>
      </c>
      <c r="BG9" s="7">
        <f>BG8+BF9</f>
        <v>769.72501259166393</v>
      </c>
      <c r="BH9" s="7">
        <f>(BH8*0.8)+BF9</f>
        <v>695.42466898521343</v>
      </c>
      <c r="BI9" s="7">
        <f>BH9*1000000/'a1'!BH9</f>
        <v>410.50042735935716</v>
      </c>
      <c r="BJ9" s="117">
        <f t="shared" si="19"/>
        <v>52.066978521401666</v>
      </c>
      <c r="BK9" s="121">
        <f t="shared" si="20"/>
        <v>24.524472949816406</v>
      </c>
      <c r="BL9" s="7">
        <f>BJ9/BK9*100</f>
        <v>212.30620787628976</v>
      </c>
      <c r="BM9" s="7">
        <f>BM8+BL9</f>
        <v>401.22470982167067</v>
      </c>
      <c r="BN9" s="7">
        <f>(BN8*0.8)+BL9</f>
        <v>363.44100943259446</v>
      </c>
      <c r="BO9" s="7">
        <f>BN9*1000000/'a1'!BN9</f>
        <v>157.87464474941183</v>
      </c>
    </row>
    <row r="10" spans="1:67" hidden="1">
      <c r="A10" s="1">
        <v>1973</v>
      </c>
      <c r="B10" s="7">
        <v>1470</v>
      </c>
      <c r="C10" s="121">
        <f t="shared" si="0"/>
        <v>26.269123938814541</v>
      </c>
      <c r="D10" s="7">
        <f t="shared" si="21"/>
        <v>5595.9231964639985</v>
      </c>
      <c r="E10" s="7">
        <f t="shared" ref="E10:E39" si="22">E9+D10</f>
        <v>16983.995283667657</v>
      </c>
      <c r="F10" s="7">
        <f t="shared" ref="F10:F39" si="23">(F9*0.8)+D10</f>
        <v>13798.54500780098</v>
      </c>
      <c r="G10" s="7">
        <f>F10*1000000/'a1'!F10</f>
        <v>613.49287821060022</v>
      </c>
      <c r="H10" s="117">
        <f t="shared" si="1"/>
        <v>8.1553446213174503</v>
      </c>
      <c r="I10" s="121">
        <f t="shared" si="2"/>
        <v>26.750383375314861</v>
      </c>
      <c r="J10" s="7">
        <f t="shared" ref="J10:J39" si="24">H10/I10*100</f>
        <v>30.486832681595011</v>
      </c>
      <c r="K10" s="7">
        <f t="shared" ref="K10:K39" si="25">K9+J10</f>
        <v>82.395875537949195</v>
      </c>
      <c r="L10" s="7">
        <f t="shared" ref="L10:L39" si="26">(L9*0.8)+J10</f>
        <v>68.126780142217243</v>
      </c>
      <c r="M10" s="7">
        <f>L10*1000000/'a1'!L10</f>
        <v>124.87472554346306</v>
      </c>
      <c r="N10" s="117">
        <f t="shared" si="3"/>
        <v>2.1763764082403094</v>
      </c>
      <c r="O10" s="121">
        <f t="shared" si="4"/>
        <v>30.921806500000002</v>
      </c>
      <c r="P10" s="7">
        <f t="shared" ref="P10:P39" si="27">N10/O10*100</f>
        <v>7.0383223187180519</v>
      </c>
      <c r="Q10" s="7">
        <f t="shared" ref="Q10:Q39" si="28">Q9+P10</f>
        <v>19.850614855509018</v>
      </c>
      <c r="R10" s="7">
        <f t="shared" ref="R10:R39" si="29">(R9*0.8)+P10</f>
        <v>16.308630643031734</v>
      </c>
      <c r="S10" s="7">
        <f>R10*1000000/'a1'!R10</f>
        <v>142.28433644243356</v>
      </c>
      <c r="T10" s="117">
        <f t="shared" si="5"/>
        <v>32.935491339319789</v>
      </c>
      <c r="U10" s="121">
        <f t="shared" si="6"/>
        <v>25.352247741935482</v>
      </c>
      <c r="V10" s="7">
        <f t="shared" ref="V10:V39" si="30">T10/U10*100</f>
        <v>129.91152372198053</v>
      </c>
      <c r="W10" s="7">
        <f t="shared" ref="W10:W39" si="31">W9+V10</f>
        <v>362.35837382040864</v>
      </c>
      <c r="X10" s="7">
        <f t="shared" ref="X10:X39" si="32">(X9*0.8)+V10</f>
        <v>298.11167524533198</v>
      </c>
      <c r="Y10" s="7">
        <f>X10*1000000/'a1'!X10</f>
        <v>366.95816427822734</v>
      </c>
      <c r="Z10" s="117">
        <f t="shared" si="7"/>
        <v>82.229267365510935</v>
      </c>
      <c r="AA10" s="121">
        <f t="shared" si="8"/>
        <v>26.267229615384615</v>
      </c>
      <c r="AB10" s="7">
        <f t="shared" ref="AB10:AB39" si="33">Z10/AA10*100</f>
        <v>313.04887713529399</v>
      </c>
      <c r="AC10" s="7">
        <f t="shared" ref="AC10:AC39" si="34">AC9+AB10</f>
        <v>1060.6948188904275</v>
      </c>
      <c r="AD10" s="7">
        <f t="shared" ref="AD10:AD39" si="35">(AD9*0.8)+AB10</f>
        <v>848.24964149304208</v>
      </c>
      <c r="AE10" s="7">
        <f>AD10*1000000/'a1'!AD10</f>
        <v>1291.6458178417622</v>
      </c>
      <c r="AF10" s="117">
        <f t="shared" si="9"/>
        <v>236.59319083490209</v>
      </c>
      <c r="AG10" s="121">
        <f t="shared" si="10"/>
        <v>25.246999104859331</v>
      </c>
      <c r="AH10" s="7">
        <f t="shared" ref="AH10:AH39" si="36">AF10/AG10*100</f>
        <v>937.11410949178764</v>
      </c>
      <c r="AI10" s="7">
        <f t="shared" ref="AI10:AI39" si="37">AI9+AH10</f>
        <v>2586.1981325457455</v>
      </c>
      <c r="AJ10" s="7">
        <f t="shared" ref="AJ10:AJ39" si="38">(AJ9*0.8)+AH10</f>
        <v>2130.9505837256711</v>
      </c>
      <c r="AK10" s="7">
        <f>AJ10*1000000/'a1'!AJ10</f>
        <v>342.97432489156</v>
      </c>
      <c r="AL10" s="117">
        <f t="shared" si="11"/>
        <v>407.49073705161146</v>
      </c>
      <c r="AM10" s="121">
        <f t="shared" si="12"/>
        <v>26.744231491002562</v>
      </c>
      <c r="AN10" s="7">
        <f t="shared" ref="AN10:AN39" si="39">AL10/AM10*100</f>
        <v>1523.6584277574088</v>
      </c>
      <c r="AO10" s="7">
        <f t="shared" ref="AO10:AO39" si="40">AO9+AN10</f>
        <v>4150.2010225130998</v>
      </c>
      <c r="AP10" s="7">
        <f t="shared" ref="AP10:AP39" si="41">(AP9*0.8)+AN10</f>
        <v>3426.5096382264546</v>
      </c>
      <c r="AQ10" s="7">
        <f>AP10*1000000/'a1'!AP10</f>
        <v>424.30681639602307</v>
      </c>
      <c r="AR10" s="117">
        <f t="shared" si="13"/>
        <v>30.502848086673133</v>
      </c>
      <c r="AS10" s="121">
        <f t="shared" si="14"/>
        <v>27.293372448979607</v>
      </c>
      <c r="AT10" s="7">
        <f t="shared" ref="AT10:AT39" si="42">AR10/AS10*100</f>
        <v>111.75917576214923</v>
      </c>
      <c r="AU10" s="7">
        <f t="shared" ref="AU10:AU39" si="43">AU9+AT10</f>
        <v>302.09723443453754</v>
      </c>
      <c r="AV10" s="7">
        <f t="shared" ref="AV10:AV39" si="44">(AV9*0.8)+AT10</f>
        <v>249.74833621376115</v>
      </c>
      <c r="AW10" s="7">
        <f>AV10*1000000/'a1'!AV10</f>
        <v>247.92411060790818</v>
      </c>
      <c r="AX10" s="117">
        <f t="shared" si="15"/>
        <v>27.963796693574388</v>
      </c>
      <c r="AY10" s="121">
        <f t="shared" si="16"/>
        <v>31.091409836065576</v>
      </c>
      <c r="AZ10" s="7">
        <f t="shared" ref="AZ10:AZ39" si="45">AX10/AY10*100</f>
        <v>89.940587580357317</v>
      </c>
      <c r="BA10" s="7">
        <f t="shared" ref="BA10:BA39" si="46">BA9+AZ10</f>
        <v>249.36881058695232</v>
      </c>
      <c r="BB10" s="7">
        <f t="shared" ref="BB10:BB39" si="47">(BB9*0.8)+AZ10</f>
        <v>205.30033334567108</v>
      </c>
      <c r="BC10" s="7">
        <f>BB10*1000000/'a1'!BB10</f>
        <v>225.12556607054114</v>
      </c>
      <c r="BD10" s="117">
        <f t="shared" si="17"/>
        <v>132.84659020431477</v>
      </c>
      <c r="BE10" s="121">
        <f t="shared" si="18"/>
        <v>31.679972906403918</v>
      </c>
      <c r="BF10" s="7">
        <f t="shared" ref="BF10:BF39" si="48">BD10/BE10*100</f>
        <v>419.33934286118222</v>
      </c>
      <c r="BG10" s="7">
        <f t="shared" ref="BG10:BG39" si="49">BG9+BF10</f>
        <v>1189.064355452846</v>
      </c>
      <c r="BH10" s="7">
        <f t="shared" ref="BH10:BH39" si="50">(BH9*0.8)+BF10</f>
        <v>975.67907804935294</v>
      </c>
      <c r="BI10" s="7">
        <f>BH10*1000000/'a1'!BH10</f>
        <v>565.50385987662219</v>
      </c>
      <c r="BJ10" s="117">
        <f t="shared" si="19"/>
        <v>61.446546306434506</v>
      </c>
      <c r="BK10" s="121">
        <f t="shared" si="20"/>
        <v>26.345919216646273</v>
      </c>
      <c r="BL10" s="7">
        <f t="shared" ref="BL10:BL39" si="51">BJ10/BK10*100</f>
        <v>233.22984406484642</v>
      </c>
      <c r="BM10" s="7">
        <f t="shared" ref="BM10:BM39" si="52">BM9+BL10</f>
        <v>634.45455388651703</v>
      </c>
      <c r="BN10" s="7">
        <f t="shared" ref="BN10:BN39" si="53">(BN9*0.8)+BL10</f>
        <v>523.98265161092195</v>
      </c>
      <c r="BO10" s="7">
        <f>BN10*1000000/'a1'!BN10</f>
        <v>221.34459958784689</v>
      </c>
    </row>
    <row r="11" spans="1:67" hidden="1">
      <c r="A11" s="1">
        <v>1974</v>
      </c>
      <c r="B11" s="7">
        <v>1689</v>
      </c>
      <c r="C11" s="121">
        <f t="shared" si="0"/>
        <v>30.125337590822191</v>
      </c>
      <c r="D11" s="7">
        <f t="shared" si="21"/>
        <v>5606.5761749822204</v>
      </c>
      <c r="E11" s="7">
        <f t="shared" si="22"/>
        <v>22590.571458649876</v>
      </c>
      <c r="F11" s="7">
        <f t="shared" si="23"/>
        <v>16645.412181223004</v>
      </c>
      <c r="G11" s="7">
        <f>F11*1000000/'a1'!F11</f>
        <v>729.80685747262294</v>
      </c>
      <c r="H11" s="117">
        <f t="shared" si="1"/>
        <v>9.7627118644067838</v>
      </c>
      <c r="I11" s="121">
        <f t="shared" si="2"/>
        <v>30.49266498740554</v>
      </c>
      <c r="J11" s="7">
        <f t="shared" si="24"/>
        <v>32.01659109965987</v>
      </c>
      <c r="K11" s="7">
        <f t="shared" si="25"/>
        <v>114.41246663760907</v>
      </c>
      <c r="L11" s="7">
        <f t="shared" si="26"/>
        <v>86.518015213433671</v>
      </c>
      <c r="M11" s="7">
        <f>L11*1000000/'a1'!L11</f>
        <v>157.41882375934978</v>
      </c>
      <c r="N11" s="117">
        <f t="shared" si="3"/>
        <v>2.4999999999999991</v>
      </c>
      <c r="O11" s="121">
        <f t="shared" si="4"/>
        <v>34.672223625000001</v>
      </c>
      <c r="P11" s="7">
        <f t="shared" si="27"/>
        <v>7.2103826597305494</v>
      </c>
      <c r="Q11" s="7">
        <f t="shared" si="28"/>
        <v>27.060997515239567</v>
      </c>
      <c r="R11" s="7">
        <f t="shared" si="29"/>
        <v>20.257287174155937</v>
      </c>
      <c r="S11" s="7">
        <f>R11*1000000/'a1'!R11</f>
        <v>174.6890116948305</v>
      </c>
      <c r="T11" s="117">
        <f t="shared" si="5"/>
        <v>38.025000000000006</v>
      </c>
      <c r="U11" s="121">
        <f t="shared" si="6"/>
        <v>28.183463225806445</v>
      </c>
      <c r="V11" s="7">
        <f t="shared" si="30"/>
        <v>134.91954375990977</v>
      </c>
      <c r="W11" s="7">
        <f t="shared" si="31"/>
        <v>497.27791758031844</v>
      </c>
      <c r="X11" s="7">
        <f t="shared" si="32"/>
        <v>373.40888395617537</v>
      </c>
      <c r="Y11" s="7">
        <f>X11*1000000/'a1'!X11</f>
        <v>456.0713623020618</v>
      </c>
      <c r="Z11" s="117">
        <f t="shared" si="7"/>
        <v>78.448979591836761</v>
      </c>
      <c r="AA11" s="121">
        <f t="shared" si="8"/>
        <v>29.559030769230773</v>
      </c>
      <c r="AB11" s="7">
        <f t="shared" si="33"/>
        <v>265.39767221832449</v>
      </c>
      <c r="AC11" s="7">
        <f t="shared" si="34"/>
        <v>1326.092491108752</v>
      </c>
      <c r="AD11" s="7">
        <f t="shared" si="35"/>
        <v>943.99738541275815</v>
      </c>
      <c r="AE11" s="7">
        <f>AD11*1000000/'a1'!AD11</f>
        <v>1420.0916223580177</v>
      </c>
      <c r="AF11" s="117">
        <f t="shared" si="9"/>
        <v>275.04516129032248</v>
      </c>
      <c r="AG11" s="121">
        <f t="shared" si="10"/>
        <v>28.560253580562652</v>
      </c>
      <c r="AH11" s="7">
        <f t="shared" si="36"/>
        <v>963.03473116748125</v>
      </c>
      <c r="AI11" s="7">
        <f t="shared" si="37"/>
        <v>3549.2328637132268</v>
      </c>
      <c r="AJ11" s="7">
        <f t="shared" si="38"/>
        <v>2667.7951981480182</v>
      </c>
      <c r="AK11" s="7">
        <f>AJ11*1000000/'a1'!AJ11</f>
        <v>425.58267237429686</v>
      </c>
      <c r="AL11" s="117">
        <f t="shared" si="11"/>
        <v>480.25130890052361</v>
      </c>
      <c r="AM11" s="121">
        <f t="shared" si="12"/>
        <v>29.961582647814897</v>
      </c>
      <c r="AN11" s="7">
        <f t="shared" si="39"/>
        <v>1602.8903230702615</v>
      </c>
      <c r="AO11" s="7">
        <f t="shared" si="40"/>
        <v>5753.0913455833615</v>
      </c>
      <c r="AP11" s="7">
        <f t="shared" si="41"/>
        <v>4344.0980336514258</v>
      </c>
      <c r="AQ11" s="7">
        <f>AP11*1000000/'a1'!AP11</f>
        <v>529.49200674665656</v>
      </c>
      <c r="AR11" s="117">
        <f t="shared" si="13"/>
        <v>36.254901960784323</v>
      </c>
      <c r="AS11" s="121">
        <f t="shared" si="14"/>
        <v>30.467020408163279</v>
      </c>
      <c r="AT11" s="7">
        <f t="shared" si="42"/>
        <v>118.99720246706582</v>
      </c>
      <c r="AU11" s="7">
        <f t="shared" si="43"/>
        <v>421.09443690160333</v>
      </c>
      <c r="AV11" s="7">
        <f t="shared" si="44"/>
        <v>318.79587143807476</v>
      </c>
      <c r="AW11" s="7">
        <f>AV11*1000000/'a1'!AV11</f>
        <v>313.09565199780275</v>
      </c>
      <c r="AX11" s="117">
        <f t="shared" si="15"/>
        <v>32.266666666666666</v>
      </c>
      <c r="AY11" s="121">
        <f t="shared" si="16"/>
        <v>34.997766456494332</v>
      </c>
      <c r="AZ11" s="7">
        <f t="shared" si="45"/>
        <v>92.196359749920916</v>
      </c>
      <c r="BA11" s="7">
        <f t="shared" si="46"/>
        <v>341.56517033687322</v>
      </c>
      <c r="BB11" s="7">
        <f t="shared" si="47"/>
        <v>256.43662642645779</v>
      </c>
      <c r="BC11" s="7">
        <f>BB11*1000000/'a1'!BB11</f>
        <v>282.27712090551097</v>
      </c>
      <c r="BD11" s="117">
        <f t="shared" si="17"/>
        <v>150.15459882583161</v>
      </c>
      <c r="BE11" s="121">
        <f t="shared" si="18"/>
        <v>35.529691133004903</v>
      </c>
      <c r="BF11" s="7">
        <f t="shared" si="48"/>
        <v>422.61723656344208</v>
      </c>
      <c r="BG11" s="7">
        <f t="shared" si="49"/>
        <v>1611.6815920162881</v>
      </c>
      <c r="BH11" s="7">
        <f t="shared" si="50"/>
        <v>1203.1604990029246</v>
      </c>
      <c r="BI11" s="7">
        <f>BH11*1000000/'a1'!BH11</f>
        <v>685.70961991388708</v>
      </c>
      <c r="BJ11" s="117">
        <f t="shared" si="19"/>
        <v>72.515789473684194</v>
      </c>
      <c r="BK11" s="121">
        <f t="shared" si="20"/>
        <v>29.793656793145662</v>
      </c>
      <c r="BL11" s="7">
        <f t="shared" si="51"/>
        <v>243.39338395804839</v>
      </c>
      <c r="BM11" s="7">
        <f t="shared" si="52"/>
        <v>877.84793784456542</v>
      </c>
      <c r="BN11" s="7">
        <f t="shared" si="53"/>
        <v>662.57950524678597</v>
      </c>
      <c r="BO11" s="7">
        <f>BN11*1000000/'a1'!BN11</f>
        <v>271.26237329853376</v>
      </c>
    </row>
    <row r="12" spans="1:67" hidden="1">
      <c r="A12" s="1">
        <v>1975</v>
      </c>
      <c r="B12" s="7">
        <v>1901</v>
      </c>
      <c r="C12" s="121">
        <f t="shared" si="0"/>
        <v>33.235874569789679</v>
      </c>
      <c r="D12" s="7">
        <f t="shared" si="21"/>
        <v>5719.7231142758819</v>
      </c>
      <c r="E12" s="7">
        <f t="shared" si="22"/>
        <v>28310.294572925759</v>
      </c>
      <c r="F12" s="7">
        <f t="shared" si="23"/>
        <v>19036.052859254287</v>
      </c>
      <c r="G12" s="7">
        <f>F12*1000000/'a1'!F12</f>
        <v>822.53064267068021</v>
      </c>
      <c r="H12" s="117">
        <f t="shared" si="1"/>
        <v>11.686881103502907</v>
      </c>
      <c r="I12" s="121">
        <f t="shared" si="2"/>
        <v>34.027042065491187</v>
      </c>
      <c r="J12" s="7">
        <f t="shared" si="24"/>
        <v>34.345862567217551</v>
      </c>
      <c r="K12" s="7">
        <f t="shared" si="25"/>
        <v>148.75832920482662</v>
      </c>
      <c r="L12" s="7">
        <f t="shared" si="26"/>
        <v>103.56027473796449</v>
      </c>
      <c r="M12" s="7">
        <f>L12*1000000/'a1'!L12</f>
        <v>186.09347549302151</v>
      </c>
      <c r="N12" s="117">
        <f t="shared" si="3"/>
        <v>2.8717458874925867</v>
      </c>
      <c r="O12" s="121">
        <f t="shared" si="4"/>
        <v>38.575718999999999</v>
      </c>
      <c r="P12" s="7">
        <f t="shared" si="27"/>
        <v>7.4444390459516434</v>
      </c>
      <c r="Q12" s="7">
        <f t="shared" si="28"/>
        <v>34.50543656119121</v>
      </c>
      <c r="R12" s="7">
        <f t="shared" si="29"/>
        <v>23.650268785276396</v>
      </c>
      <c r="S12" s="7">
        <f>R12*1000000/'a1'!R12</f>
        <v>200.89589875706224</v>
      </c>
      <c r="T12" s="117">
        <f t="shared" si="5"/>
        <v>43.900988453565979</v>
      </c>
      <c r="U12" s="121">
        <f t="shared" si="6"/>
        <v>31.336407741935489</v>
      </c>
      <c r="V12" s="7">
        <f t="shared" si="30"/>
        <v>140.09579149947083</v>
      </c>
      <c r="W12" s="7">
        <f t="shared" si="31"/>
        <v>637.37370907978925</v>
      </c>
      <c r="X12" s="7">
        <f t="shared" si="32"/>
        <v>438.82289866441113</v>
      </c>
      <c r="Y12" s="7">
        <f>X12*1000000/'a1'!X12</f>
        <v>530.90972061476225</v>
      </c>
      <c r="Z12" s="117">
        <f t="shared" si="7"/>
        <v>74.842481225628276</v>
      </c>
      <c r="AA12" s="121">
        <f t="shared" si="8"/>
        <v>33.119550384615387</v>
      </c>
      <c r="AB12" s="7">
        <f t="shared" si="33"/>
        <v>225.97674291011489</v>
      </c>
      <c r="AC12" s="7">
        <f t="shared" si="34"/>
        <v>1552.0692340188668</v>
      </c>
      <c r="AD12" s="7">
        <f t="shared" si="35"/>
        <v>981.17465124032151</v>
      </c>
      <c r="AE12" s="7">
        <f>AD12*1000000/'a1'!AD12</f>
        <v>1449.2807341129226</v>
      </c>
      <c r="AF12" s="117">
        <f t="shared" si="9"/>
        <v>319.74648332972941</v>
      </c>
      <c r="AG12" s="121">
        <f t="shared" si="10"/>
        <v>31.674712787723781</v>
      </c>
      <c r="AH12" s="7">
        <f t="shared" si="36"/>
        <v>1009.4692427760673</v>
      </c>
      <c r="AI12" s="7">
        <f t="shared" si="37"/>
        <v>4558.7021064892942</v>
      </c>
      <c r="AJ12" s="7">
        <f t="shared" si="38"/>
        <v>3143.7054012944823</v>
      </c>
      <c r="AK12" s="7">
        <f>AJ12*1000000/'a1'!AJ12</f>
        <v>496.61215289291562</v>
      </c>
      <c r="AL12" s="117">
        <f t="shared" si="11"/>
        <v>566.00383451527114</v>
      </c>
      <c r="AM12" s="121">
        <f t="shared" si="12"/>
        <v>33.111905655526982</v>
      </c>
      <c r="AN12" s="7">
        <f t="shared" si="39"/>
        <v>1709.3665354195487</v>
      </c>
      <c r="AO12" s="7">
        <f t="shared" si="40"/>
        <v>7462.4578810029107</v>
      </c>
      <c r="AP12" s="7">
        <f t="shared" si="41"/>
        <v>5184.6449623406897</v>
      </c>
      <c r="AQ12" s="7">
        <f>AP12*1000000/'a1'!AP12</f>
        <v>623.16979713330556</v>
      </c>
      <c r="AR12" s="117">
        <f t="shared" si="13"/>
        <v>43.09164548999474</v>
      </c>
      <c r="AS12" s="121">
        <f t="shared" si="14"/>
        <v>34.204872448979607</v>
      </c>
      <c r="AT12" s="7">
        <f t="shared" si="42"/>
        <v>125.98101499799699</v>
      </c>
      <c r="AU12" s="7">
        <f t="shared" si="43"/>
        <v>547.07545189960035</v>
      </c>
      <c r="AV12" s="7">
        <f t="shared" si="44"/>
        <v>381.01771214845678</v>
      </c>
      <c r="AW12" s="7">
        <f>AV12*1000000/'a1'!AV12</f>
        <v>371.73366389273571</v>
      </c>
      <c r="AX12" s="117">
        <f t="shared" si="15"/>
        <v>37.231631640957168</v>
      </c>
      <c r="AY12" s="121">
        <f t="shared" si="16"/>
        <v>39.143287767969753</v>
      </c>
      <c r="AZ12" s="7">
        <f t="shared" si="45"/>
        <v>95.116260702615634</v>
      </c>
      <c r="BA12" s="7">
        <f t="shared" si="46"/>
        <v>436.68143103948887</v>
      </c>
      <c r="BB12" s="7">
        <f t="shared" si="47"/>
        <v>300.26556184378188</v>
      </c>
      <c r="BC12" s="7">
        <f>BB12*1000000/'a1'!BB12</f>
        <v>327.29523917069361</v>
      </c>
      <c r="BD12" s="117">
        <f t="shared" si="17"/>
        <v>169.71759315666756</v>
      </c>
      <c r="BE12" s="121">
        <f t="shared" si="18"/>
        <v>40.101231527093574</v>
      </c>
      <c r="BF12" s="7">
        <f t="shared" si="48"/>
        <v>423.22289539163245</v>
      </c>
      <c r="BG12" s="7">
        <f t="shared" si="49"/>
        <v>2034.9044874079204</v>
      </c>
      <c r="BH12" s="7">
        <f t="shared" si="50"/>
        <v>1385.751294593972</v>
      </c>
      <c r="BI12" s="7">
        <f>BH12*1000000/'a1'!BH12</f>
        <v>766.1633893908637</v>
      </c>
      <c r="BJ12" s="117">
        <f t="shared" si="19"/>
        <v>85.579093359735808</v>
      </c>
      <c r="BK12" s="121">
        <f t="shared" si="20"/>
        <v>33.306446022031828</v>
      </c>
      <c r="BL12" s="7">
        <f t="shared" si="51"/>
        <v>256.94453651141953</v>
      </c>
      <c r="BM12" s="7">
        <f t="shared" si="52"/>
        <v>1134.792474355985</v>
      </c>
      <c r="BN12" s="7">
        <f t="shared" si="53"/>
        <v>787.00814070884837</v>
      </c>
      <c r="BO12" s="7">
        <f>BN12*1000000/'a1'!BN12</f>
        <v>314.85816754795968</v>
      </c>
    </row>
    <row r="13" spans="1:67" hidden="1">
      <c r="A13" s="1">
        <v>1976</v>
      </c>
      <c r="B13" s="7">
        <v>2071</v>
      </c>
      <c r="C13" s="121">
        <f t="shared" si="0"/>
        <v>36.282496405353747</v>
      </c>
      <c r="D13" s="7">
        <f t="shared" si="21"/>
        <v>5707.9865091488273</v>
      </c>
      <c r="E13" s="7">
        <f t="shared" si="22"/>
        <v>34018.281082074587</v>
      </c>
      <c r="F13" s="7">
        <f t="shared" si="23"/>
        <v>20936.828796552258</v>
      </c>
      <c r="G13" s="7">
        <f>F13*1000000/'a1'!F13</f>
        <v>892.83583032118031</v>
      </c>
      <c r="H13" s="117">
        <f t="shared" si="1"/>
        <v>13.9902920238149</v>
      </c>
      <c r="I13" s="121">
        <f t="shared" si="2"/>
        <v>36.937705541561719</v>
      </c>
      <c r="J13" s="7">
        <f t="shared" si="24"/>
        <v>37.87536832268384</v>
      </c>
      <c r="K13" s="7">
        <f t="shared" si="25"/>
        <v>186.63369752751046</v>
      </c>
      <c r="L13" s="7">
        <f t="shared" si="26"/>
        <v>120.72358811305544</v>
      </c>
      <c r="M13" s="7">
        <f>L13*1000000/'a1'!L13</f>
        <v>214.5666903877183</v>
      </c>
      <c r="N13" s="117">
        <f t="shared" si="3"/>
        <v>3.2987697769322351</v>
      </c>
      <c r="O13" s="121">
        <f t="shared" si="4"/>
        <v>42.173057875000005</v>
      </c>
      <c r="P13" s="7">
        <f t="shared" si="27"/>
        <v>7.8219838521306997</v>
      </c>
      <c r="Q13" s="7">
        <f t="shared" si="28"/>
        <v>42.32742041332191</v>
      </c>
      <c r="R13" s="7">
        <f t="shared" si="29"/>
        <v>26.742198880351818</v>
      </c>
      <c r="S13" s="7">
        <f>R13*1000000/'a1'!R13</f>
        <v>225.39106331629543</v>
      </c>
      <c r="T13" s="117">
        <f t="shared" si="5"/>
        <v>50.684991116374313</v>
      </c>
      <c r="U13" s="121">
        <f t="shared" si="6"/>
        <v>33.717202580645164</v>
      </c>
      <c r="V13" s="7">
        <f t="shared" si="30"/>
        <v>150.32383245657883</v>
      </c>
      <c r="W13" s="7">
        <f t="shared" si="31"/>
        <v>787.69754153636813</v>
      </c>
      <c r="X13" s="7">
        <f t="shared" si="32"/>
        <v>501.38215138810773</v>
      </c>
      <c r="Y13" s="7">
        <f>X13*1000000/'a1'!X13</f>
        <v>600.33831763758064</v>
      </c>
      <c r="Z13" s="117">
        <f t="shared" si="7"/>
        <v>71.401782727475918</v>
      </c>
      <c r="AA13" s="121">
        <f t="shared" si="8"/>
        <v>35.605196153846158</v>
      </c>
      <c r="AB13" s="7">
        <f t="shared" si="33"/>
        <v>200.53753508043215</v>
      </c>
      <c r="AC13" s="7">
        <f t="shared" si="34"/>
        <v>1752.6067690992991</v>
      </c>
      <c r="AD13" s="7">
        <f t="shared" si="35"/>
        <v>985.47725607268933</v>
      </c>
      <c r="AE13" s="7">
        <f>AD13*1000000/'a1'!AD13</f>
        <v>1429.2760431166757</v>
      </c>
      <c r="AF13" s="117">
        <f t="shared" si="9"/>
        <v>371.71282389444519</v>
      </c>
      <c r="AG13" s="121">
        <f t="shared" si="10"/>
        <v>34.325316368286437</v>
      </c>
      <c r="AH13" s="7">
        <f t="shared" si="36"/>
        <v>1082.9115743791806</v>
      </c>
      <c r="AI13" s="7">
        <f t="shared" si="37"/>
        <v>5641.6136808684751</v>
      </c>
      <c r="AJ13" s="7">
        <f t="shared" si="38"/>
        <v>3597.875895414767</v>
      </c>
      <c r="AK13" s="7">
        <f>AJ13*1000000/'a1'!AJ13</f>
        <v>562.45276248632183</v>
      </c>
      <c r="AL13" s="117">
        <f t="shared" si="11"/>
        <v>667.06812610134489</v>
      </c>
      <c r="AM13" s="121">
        <f t="shared" si="12"/>
        <v>35.658975321336754</v>
      </c>
      <c r="AN13" s="7">
        <f t="shared" si="39"/>
        <v>1870.6878705575164</v>
      </c>
      <c r="AO13" s="7">
        <f t="shared" si="40"/>
        <v>9333.145751560427</v>
      </c>
      <c r="AP13" s="7">
        <f t="shared" si="41"/>
        <v>6018.4038404300682</v>
      </c>
      <c r="AQ13" s="7">
        <f>AP13*1000000/'a1'!AP13</f>
        <v>715.30329480130956</v>
      </c>
      <c r="AR13" s="117">
        <f t="shared" si="13"/>
        <v>51.217623289780725</v>
      </c>
      <c r="AS13" s="121">
        <f t="shared" si="14"/>
        <v>37.025892857142871</v>
      </c>
      <c r="AT13" s="7">
        <f t="shared" si="42"/>
        <v>138.32920515217245</v>
      </c>
      <c r="AU13" s="7">
        <f t="shared" si="43"/>
        <v>685.4046570517728</v>
      </c>
      <c r="AV13" s="7">
        <f t="shared" si="44"/>
        <v>443.14337487093786</v>
      </c>
      <c r="AW13" s="7">
        <f>AV13*1000000/'a1'!AV13</f>
        <v>429.50321186842058</v>
      </c>
      <c r="AX13" s="117">
        <f t="shared" si="15"/>
        <v>42.960570082063732</v>
      </c>
      <c r="AY13" s="121">
        <f t="shared" si="16"/>
        <v>42.730758133669624</v>
      </c>
      <c r="AZ13" s="7">
        <f t="shared" si="45"/>
        <v>100.53781388028551</v>
      </c>
      <c r="BA13" s="7">
        <f t="shared" si="46"/>
        <v>537.21924491977438</v>
      </c>
      <c r="BB13" s="7">
        <f t="shared" si="47"/>
        <v>340.75026335531106</v>
      </c>
      <c r="BC13" s="7">
        <f>BB13*1000000/'a1'!BB13</f>
        <v>365.76414146158595</v>
      </c>
      <c r="BD13" s="117">
        <f t="shared" si="17"/>
        <v>191.82936554812247</v>
      </c>
      <c r="BE13" s="121">
        <f t="shared" si="18"/>
        <v>43.710342364532004</v>
      </c>
      <c r="BF13" s="7">
        <f t="shared" si="48"/>
        <v>438.86493486671714</v>
      </c>
      <c r="BG13" s="7">
        <f t="shared" si="49"/>
        <v>2473.7694222746377</v>
      </c>
      <c r="BH13" s="7">
        <f t="shared" si="50"/>
        <v>1547.4659705418949</v>
      </c>
      <c r="BI13" s="7">
        <f>BH13*1000000/'a1'!BH13</f>
        <v>827.83755011504115</v>
      </c>
      <c r="BJ13" s="117">
        <f t="shared" si="19"/>
        <v>100.99567657512934</v>
      </c>
      <c r="BK13" s="121">
        <f t="shared" si="20"/>
        <v>36.103667074663399</v>
      </c>
      <c r="BL13" s="7">
        <f t="shared" si="51"/>
        <v>279.73800103537252</v>
      </c>
      <c r="BM13" s="7">
        <f t="shared" si="52"/>
        <v>1414.5304753913574</v>
      </c>
      <c r="BN13" s="7">
        <f t="shared" si="53"/>
        <v>909.34451360245134</v>
      </c>
      <c r="BO13" s="7">
        <f>BN13*1000000/'a1'!BN13</f>
        <v>358.87164942345822</v>
      </c>
    </row>
    <row r="14" spans="1:67" hidden="1">
      <c r="A14" s="1">
        <v>1977</v>
      </c>
      <c r="B14" s="7">
        <v>2322</v>
      </c>
      <c r="C14" s="121">
        <f t="shared" si="0"/>
        <v>38.753881950286818</v>
      </c>
      <c r="D14" s="7">
        <f t="shared" si="21"/>
        <v>5991.6578240565523</v>
      </c>
      <c r="E14" s="7">
        <f t="shared" si="22"/>
        <v>40009.938906131138</v>
      </c>
      <c r="F14" s="7">
        <f t="shared" si="23"/>
        <v>22741.120861298361</v>
      </c>
      <c r="G14" s="7">
        <f>F14*1000000/'a1'!F14</f>
        <v>958.49579976139785</v>
      </c>
      <c r="H14" s="117">
        <f t="shared" si="1"/>
        <v>16.747690780644053</v>
      </c>
      <c r="I14" s="121">
        <f t="shared" si="2"/>
        <v>39.155353904282123</v>
      </c>
      <c r="J14" s="7">
        <f t="shared" si="24"/>
        <v>42.772415801897488</v>
      </c>
      <c r="K14" s="7">
        <f t="shared" si="25"/>
        <v>229.40611332940796</v>
      </c>
      <c r="L14" s="7">
        <f t="shared" si="26"/>
        <v>139.35128629234185</v>
      </c>
      <c r="M14" s="7">
        <f>L14*1000000/'a1'!L14</f>
        <v>246.48762583814192</v>
      </c>
      <c r="N14" s="117">
        <f t="shared" si="3"/>
        <v>3.789291416275995</v>
      </c>
      <c r="O14" s="121">
        <f t="shared" si="4"/>
        <v>45.311162000000003</v>
      </c>
      <c r="P14" s="7">
        <f t="shared" si="27"/>
        <v>8.3628210997457852</v>
      </c>
      <c r="Q14" s="7">
        <f t="shared" si="28"/>
        <v>50.690241513067697</v>
      </c>
      <c r="R14" s="7">
        <f t="shared" si="29"/>
        <v>29.756580204027244</v>
      </c>
      <c r="S14" s="7">
        <f>R14*1000000/'a1'!R14</f>
        <v>248.17417727833768</v>
      </c>
      <c r="T14" s="117">
        <f t="shared" si="5"/>
        <v>58.517323070849251</v>
      </c>
      <c r="U14" s="121">
        <f t="shared" si="6"/>
        <v>36.097997419354833</v>
      </c>
      <c r="V14" s="7">
        <f t="shared" si="30"/>
        <v>162.10684041844866</v>
      </c>
      <c r="W14" s="7">
        <f t="shared" si="31"/>
        <v>949.80438195481679</v>
      </c>
      <c r="X14" s="7">
        <f t="shared" si="32"/>
        <v>563.21256152893488</v>
      </c>
      <c r="Y14" s="7">
        <f>X14*1000000/'a1'!X14</f>
        <v>670.46879571744614</v>
      </c>
      <c r="Z14" s="117">
        <f t="shared" si="7"/>
        <v>68.119261857340717</v>
      </c>
      <c r="AA14" s="121">
        <f t="shared" si="8"/>
        <v>37.889303076923085</v>
      </c>
      <c r="AB14" s="7">
        <f t="shared" si="33"/>
        <v>179.7849427819894</v>
      </c>
      <c r="AC14" s="7">
        <f t="shared" si="34"/>
        <v>1932.3917118812885</v>
      </c>
      <c r="AD14" s="7">
        <f t="shared" si="35"/>
        <v>968.16674764014101</v>
      </c>
      <c r="AE14" s="7">
        <f>AD14*1000000/'a1'!AD14</f>
        <v>1391.3580328323214</v>
      </c>
      <c r="AF14" s="117">
        <f t="shared" si="9"/>
        <v>432.12491974492974</v>
      </c>
      <c r="AG14" s="121">
        <f t="shared" si="10"/>
        <v>36.909654859335028</v>
      </c>
      <c r="AH14" s="7">
        <f t="shared" si="36"/>
        <v>1170.7639136474845</v>
      </c>
      <c r="AI14" s="7">
        <f t="shared" si="37"/>
        <v>6812.3775945159596</v>
      </c>
      <c r="AJ14" s="7">
        <f t="shared" si="38"/>
        <v>4049.0646299792984</v>
      </c>
      <c r="AK14" s="7">
        <f>AJ14*1000000/'a1'!AJ14</f>
        <v>629.40788414902954</v>
      </c>
      <c r="AL14" s="117">
        <f t="shared" si="11"/>
        <v>786.17821598583873</v>
      </c>
      <c r="AM14" s="121">
        <f t="shared" si="12"/>
        <v>38.139016838046267</v>
      </c>
      <c r="AN14" s="7">
        <f t="shared" si="39"/>
        <v>2061.3489312644588</v>
      </c>
      <c r="AO14" s="7">
        <f t="shared" si="40"/>
        <v>11394.494682824887</v>
      </c>
      <c r="AP14" s="7">
        <f t="shared" si="41"/>
        <v>6876.0720036085131</v>
      </c>
      <c r="AQ14" s="7">
        <f>AP14*1000000/'a1'!AP14</f>
        <v>808.5615379451408</v>
      </c>
      <c r="AR14" s="117">
        <f t="shared" si="13"/>
        <v>60.87595183764725</v>
      </c>
      <c r="AS14" s="121">
        <f t="shared" si="14"/>
        <v>39.91743877551022</v>
      </c>
      <c r="AT14" s="7">
        <f t="shared" si="42"/>
        <v>152.50465386821185</v>
      </c>
      <c r="AU14" s="7">
        <f t="shared" si="43"/>
        <v>837.90931091998459</v>
      </c>
      <c r="AV14" s="7">
        <f t="shared" si="44"/>
        <v>507.01935376496215</v>
      </c>
      <c r="AW14" s="7">
        <f>AV14*1000000/'a1'!AV14</f>
        <v>488.75506571428502</v>
      </c>
      <c r="AX14" s="117">
        <f t="shared" si="15"/>
        <v>49.571036788664941</v>
      </c>
      <c r="AY14" s="121">
        <f t="shared" si="16"/>
        <v>46.079063808322829</v>
      </c>
      <c r="AZ14" s="7">
        <f t="shared" si="45"/>
        <v>107.5782203277129</v>
      </c>
      <c r="BA14" s="7">
        <f t="shared" si="46"/>
        <v>644.79746524748725</v>
      </c>
      <c r="BB14" s="7">
        <f t="shared" si="47"/>
        <v>380.17843101196172</v>
      </c>
      <c r="BC14" s="7">
        <f>BB14*1000000/'a1'!BB14</f>
        <v>402.46663054490818</v>
      </c>
      <c r="BD14" s="117">
        <f t="shared" si="17"/>
        <v>216.82198528838563</v>
      </c>
      <c r="BE14" s="121">
        <f t="shared" si="18"/>
        <v>46.918440886699493</v>
      </c>
      <c r="BF14" s="7">
        <f t="shared" si="48"/>
        <v>462.12529911634522</v>
      </c>
      <c r="BG14" s="7">
        <f t="shared" si="49"/>
        <v>2935.8947213909828</v>
      </c>
      <c r="BH14" s="7">
        <f t="shared" si="50"/>
        <v>1700.0980755498613</v>
      </c>
      <c r="BI14" s="7">
        <f>BH14*1000000/'a1'!BH14</f>
        <v>872.62247219695757</v>
      </c>
      <c r="BJ14" s="117">
        <f t="shared" si="19"/>
        <v>119.18946890441347</v>
      </c>
      <c r="BK14" s="121">
        <f t="shared" si="20"/>
        <v>38.315423255813947</v>
      </c>
      <c r="BL14" s="7">
        <f t="shared" si="51"/>
        <v>311.07438930960461</v>
      </c>
      <c r="BM14" s="7">
        <f t="shared" si="52"/>
        <v>1725.604864700962</v>
      </c>
      <c r="BN14" s="7">
        <f t="shared" si="53"/>
        <v>1038.5500001915657</v>
      </c>
      <c r="BO14" s="7">
        <f>BN14*1000000/'a1'!BN14</f>
        <v>404.05553412385859</v>
      </c>
    </row>
    <row r="15" spans="1:67" hidden="1">
      <c r="A15" s="1">
        <v>1978</v>
      </c>
      <c r="B15" s="7">
        <v>2609</v>
      </c>
      <c r="C15" s="121">
        <f t="shared" si="0"/>
        <v>41.310487686424487</v>
      </c>
      <c r="D15" s="7">
        <f t="shared" si="21"/>
        <v>6315.5875084412846</v>
      </c>
      <c r="E15" s="7">
        <f t="shared" si="22"/>
        <v>46325.526414572421</v>
      </c>
      <c r="F15" s="7">
        <f t="shared" si="23"/>
        <v>24508.484197479975</v>
      </c>
      <c r="G15" s="7">
        <f>F15*1000000/'a1'!F15</f>
        <v>1022.7549379554968</v>
      </c>
      <c r="H15" s="117">
        <f t="shared" si="1"/>
        <v>20.048555527405391</v>
      </c>
      <c r="I15" s="121">
        <f t="shared" si="2"/>
        <v>41.511605289672559</v>
      </c>
      <c r="J15" s="7">
        <f t="shared" si="24"/>
        <v>48.296266519939088</v>
      </c>
      <c r="K15" s="7">
        <f t="shared" si="25"/>
        <v>277.70237984934704</v>
      </c>
      <c r="L15" s="7">
        <f t="shared" si="26"/>
        <v>159.77729555381256</v>
      </c>
      <c r="M15" s="7">
        <f>L15*1000000/'a1'!L15</f>
        <v>281.47695199556858</v>
      </c>
      <c r="N15" s="117">
        <f t="shared" si="3"/>
        <v>4.3527528164806206</v>
      </c>
      <c r="O15" s="121">
        <f t="shared" si="4"/>
        <v>48.372727000000005</v>
      </c>
      <c r="P15" s="7">
        <f t="shared" si="27"/>
        <v>8.9983614454496657</v>
      </c>
      <c r="Q15" s="7">
        <f t="shared" si="28"/>
        <v>59.688602958517365</v>
      </c>
      <c r="R15" s="7">
        <f t="shared" si="29"/>
        <v>32.80362560867146</v>
      </c>
      <c r="S15" s="7">
        <f>R15*1000000/'a1'!R15</f>
        <v>269.58043463948803</v>
      </c>
      <c r="T15" s="117">
        <f t="shared" si="5"/>
        <v>67.559982234502115</v>
      </c>
      <c r="U15" s="121">
        <f t="shared" si="6"/>
        <v>38.478792258064509</v>
      </c>
      <c r="V15" s="7">
        <f t="shared" si="30"/>
        <v>175.57719010877395</v>
      </c>
      <c r="W15" s="7">
        <f t="shared" si="31"/>
        <v>1125.3815720635907</v>
      </c>
      <c r="X15" s="7">
        <f t="shared" si="32"/>
        <v>626.14723933192181</v>
      </c>
      <c r="Y15" s="7">
        <f>X15*1000000/'a1'!X15</f>
        <v>741.32901032397911</v>
      </c>
      <c r="Z15" s="117">
        <f t="shared" si="7"/>
        <v>64.98764678887153</v>
      </c>
      <c r="AA15" s="121">
        <f t="shared" si="8"/>
        <v>40.643667307692311</v>
      </c>
      <c r="AB15" s="7">
        <f t="shared" si="33"/>
        <v>159.89611935577432</v>
      </c>
      <c r="AC15" s="7">
        <f t="shared" si="34"/>
        <v>2092.2878312370631</v>
      </c>
      <c r="AD15" s="7">
        <f t="shared" si="35"/>
        <v>934.42951746788719</v>
      </c>
      <c r="AE15" s="7">
        <f>AD15*1000000/'a1'!AD15</f>
        <v>1335.8267561019325</v>
      </c>
      <c r="AF15" s="117">
        <f t="shared" si="9"/>
        <v>502.35540519739504</v>
      </c>
      <c r="AG15" s="121">
        <f t="shared" si="10"/>
        <v>39.493993350383633</v>
      </c>
      <c r="AH15" s="7">
        <f t="shared" si="36"/>
        <v>1271.9792621135773</v>
      </c>
      <c r="AI15" s="7">
        <f t="shared" si="37"/>
        <v>8084.3568566295371</v>
      </c>
      <c r="AJ15" s="7">
        <f t="shared" si="38"/>
        <v>4511.2309660970159</v>
      </c>
      <c r="AK15" s="7">
        <f>AJ15*1000000/'a1'!AJ15</f>
        <v>700.45177930594957</v>
      </c>
      <c r="AL15" s="117">
        <f t="shared" si="11"/>
        <v>926.55631877211647</v>
      </c>
      <c r="AM15" s="121">
        <f t="shared" si="12"/>
        <v>40.619058354755772</v>
      </c>
      <c r="AN15" s="7">
        <f t="shared" si="39"/>
        <v>2281.0876379255924</v>
      </c>
      <c r="AO15" s="7">
        <f t="shared" si="40"/>
        <v>13675.58232075048</v>
      </c>
      <c r="AP15" s="7">
        <f t="shared" si="41"/>
        <v>7781.9452408124034</v>
      </c>
      <c r="AQ15" s="7">
        <f>AP15*1000000/'a1'!AP15</f>
        <v>905.91557496735834</v>
      </c>
      <c r="AR15" s="117">
        <f t="shared" si="13"/>
        <v>72.355593135829267</v>
      </c>
      <c r="AS15" s="121">
        <f t="shared" si="14"/>
        <v>42.808984693877569</v>
      </c>
      <c r="AT15" s="7">
        <f t="shared" si="42"/>
        <v>169.01964308015317</v>
      </c>
      <c r="AU15" s="7">
        <f t="shared" si="43"/>
        <v>1006.9289540001378</v>
      </c>
      <c r="AV15" s="7">
        <f t="shared" si="44"/>
        <v>574.63512609212285</v>
      </c>
      <c r="AW15" s="7">
        <f>AV15*1000000/'a1'!AV15</f>
        <v>552.06611139229437</v>
      </c>
      <c r="AX15" s="117">
        <f t="shared" si="15"/>
        <v>57.198675055038521</v>
      </c>
      <c r="AY15" s="121">
        <f t="shared" si="16"/>
        <v>49.586812610340495</v>
      </c>
      <c r="AZ15" s="7">
        <f t="shared" si="45"/>
        <v>115.35057819608816</v>
      </c>
      <c r="BA15" s="7">
        <f t="shared" si="46"/>
        <v>760.14804344357538</v>
      </c>
      <c r="BB15" s="7">
        <f t="shared" si="47"/>
        <v>419.49332300565754</v>
      </c>
      <c r="BC15" s="7">
        <f>BB15*1000000/'a1'!BB15</f>
        <v>440.44530622266996</v>
      </c>
      <c r="BD15" s="117">
        <f t="shared" si="17"/>
        <v>245.07078553936782</v>
      </c>
      <c r="BE15" s="121">
        <f t="shared" si="18"/>
        <v>50.607754187192107</v>
      </c>
      <c r="BF15" s="7">
        <f t="shared" si="48"/>
        <v>484.25540606461198</v>
      </c>
      <c r="BG15" s="7">
        <f t="shared" si="49"/>
        <v>3420.1501274555949</v>
      </c>
      <c r="BH15" s="7">
        <f t="shared" si="50"/>
        <v>1844.3338665045012</v>
      </c>
      <c r="BI15" s="7">
        <f>BH15*1000000/'a1'!BH15</f>
        <v>912.02476188767866</v>
      </c>
      <c r="BJ15" s="117">
        <f t="shared" si="19"/>
        <v>140.66076865328384</v>
      </c>
      <c r="BK15" s="121">
        <f t="shared" si="20"/>
        <v>40.657282741738058</v>
      </c>
      <c r="BL15" s="7">
        <f t="shared" si="51"/>
        <v>345.9669686899266</v>
      </c>
      <c r="BM15" s="7">
        <f t="shared" si="52"/>
        <v>2071.5718333908885</v>
      </c>
      <c r="BN15" s="7">
        <f t="shared" si="53"/>
        <v>1176.8069688431792</v>
      </c>
      <c r="BO15" s="7">
        <f>BN15*1000000/'a1'!BN15</f>
        <v>449.99390815680988</v>
      </c>
    </row>
    <row r="16" spans="1:67" hidden="1">
      <c r="A16" s="1">
        <v>1979</v>
      </c>
      <c r="B16" s="7">
        <v>3044</v>
      </c>
      <c r="C16" s="121">
        <f t="shared" si="0"/>
        <v>45.251921529636718</v>
      </c>
      <c r="D16" s="7">
        <f t="shared" si="21"/>
        <v>6726.7861719560387</v>
      </c>
      <c r="E16" s="7">
        <f t="shared" si="22"/>
        <v>53052.31258652846</v>
      </c>
      <c r="F16" s="7">
        <f t="shared" si="23"/>
        <v>26333.573529940018</v>
      </c>
      <c r="G16" s="7">
        <f>F16*1000000/'a1'!F16</f>
        <v>1088.0947732070324</v>
      </c>
      <c r="H16" s="7">
        <v>24</v>
      </c>
      <c r="I16" s="121">
        <f t="shared" si="2"/>
        <v>45.253886901763224</v>
      </c>
      <c r="J16" s="7">
        <f t="shared" si="24"/>
        <v>53.034118488206353</v>
      </c>
      <c r="K16" s="7">
        <f t="shared" si="25"/>
        <v>330.73649833755337</v>
      </c>
      <c r="L16" s="7">
        <f t="shared" si="26"/>
        <v>180.85595493125641</v>
      </c>
      <c r="M16" s="7">
        <f>L16*1000000/'a1'!L16</f>
        <v>317.2494056593543</v>
      </c>
      <c r="N16" s="7">
        <v>5</v>
      </c>
      <c r="O16" s="121">
        <f t="shared" si="4"/>
        <v>52.50583975</v>
      </c>
      <c r="P16" s="7">
        <f t="shared" si="27"/>
        <v>9.5227502765537633</v>
      </c>
      <c r="Q16" s="7">
        <f t="shared" si="28"/>
        <v>69.21135323507113</v>
      </c>
      <c r="R16" s="7">
        <f t="shared" si="29"/>
        <v>35.765650763490932</v>
      </c>
      <c r="S16" s="7">
        <f>R16*1000000/'a1'!R16</f>
        <v>291.0497681856283</v>
      </c>
      <c r="T16" s="7">
        <v>78</v>
      </c>
      <c r="U16" s="121">
        <f t="shared" si="6"/>
        <v>41.631736774193548</v>
      </c>
      <c r="V16" s="7">
        <f t="shared" si="30"/>
        <v>187.35706469096962</v>
      </c>
      <c r="W16" s="7">
        <f t="shared" si="31"/>
        <v>1312.7386367545603</v>
      </c>
      <c r="X16" s="7">
        <f t="shared" si="32"/>
        <v>688.2748561565071</v>
      </c>
      <c r="Y16" s="7">
        <f>X16*1000000/'a1'!X16</f>
        <v>810.31092229832393</v>
      </c>
      <c r="Z16" s="7">
        <v>62</v>
      </c>
      <c r="AA16" s="121">
        <f t="shared" si="8"/>
        <v>43.733929615384625</v>
      </c>
      <c r="AB16" s="7">
        <f t="shared" si="33"/>
        <v>141.7663597697605</v>
      </c>
      <c r="AC16" s="7">
        <f t="shared" si="34"/>
        <v>2234.0541910068237</v>
      </c>
      <c r="AD16" s="7">
        <f t="shared" si="35"/>
        <v>889.30997374407025</v>
      </c>
      <c r="AE16" s="7">
        <f>AD16*1000000/'a1'!AD16</f>
        <v>1264.7370487771884</v>
      </c>
      <c r="AF16" s="7">
        <v>584</v>
      </c>
      <c r="AG16" s="121">
        <f t="shared" si="10"/>
        <v>42.873512915601019</v>
      </c>
      <c r="AH16" s="7">
        <f t="shared" si="36"/>
        <v>1362.1463703000909</v>
      </c>
      <c r="AI16" s="7">
        <f t="shared" si="37"/>
        <v>9446.503226929628</v>
      </c>
      <c r="AJ16" s="7">
        <f t="shared" si="38"/>
        <v>4971.131143177704</v>
      </c>
      <c r="AK16" s="7">
        <f>AJ16*1000000/'a1'!AJ16</f>
        <v>768.81135453497097</v>
      </c>
      <c r="AL16" s="7">
        <v>1092</v>
      </c>
      <c r="AM16" s="121">
        <f t="shared" si="12"/>
        <v>43.970465809768619</v>
      </c>
      <c r="AN16" s="7">
        <f t="shared" si="39"/>
        <v>2483.4851755366162</v>
      </c>
      <c r="AO16" s="7">
        <f t="shared" si="40"/>
        <v>16159.067496287096</v>
      </c>
      <c r="AP16" s="7">
        <f t="shared" si="41"/>
        <v>8709.0413681865393</v>
      </c>
      <c r="AQ16" s="7">
        <f>AP16*1000000/'a1'!AP16</f>
        <v>1005.4205600527885</v>
      </c>
      <c r="AR16" s="7">
        <v>86</v>
      </c>
      <c r="AS16" s="121">
        <f t="shared" si="14"/>
        <v>46.264734693877557</v>
      </c>
      <c r="AT16" s="7">
        <f t="shared" si="42"/>
        <v>185.88672467061787</v>
      </c>
      <c r="AU16" s="7">
        <f t="shared" si="43"/>
        <v>1192.8156786707557</v>
      </c>
      <c r="AV16" s="7">
        <f t="shared" si="44"/>
        <v>645.59482554431611</v>
      </c>
      <c r="AW16" s="7">
        <f>AV16*1000000/'a1'!AV16</f>
        <v>622.39685014568602</v>
      </c>
      <c r="AX16" s="7">
        <v>66</v>
      </c>
      <c r="AY16" s="121">
        <f t="shared" si="16"/>
        <v>53.732333921815915</v>
      </c>
      <c r="AZ16" s="7">
        <f t="shared" si="45"/>
        <v>122.83106871187532</v>
      </c>
      <c r="BA16" s="7">
        <f t="shared" si="46"/>
        <v>882.97911215545071</v>
      </c>
      <c r="BB16" s="7">
        <f t="shared" si="47"/>
        <v>458.42572711640139</v>
      </c>
      <c r="BC16" s="7">
        <f>BB16*1000000/'a1'!BB16</f>
        <v>477.65865277019321</v>
      </c>
      <c r="BD16" s="7">
        <v>277</v>
      </c>
      <c r="BE16" s="121">
        <f t="shared" si="18"/>
        <v>54.617877339901462</v>
      </c>
      <c r="BF16" s="7">
        <f t="shared" si="48"/>
        <v>507.15995108370089</v>
      </c>
      <c r="BG16" s="7">
        <f t="shared" si="49"/>
        <v>3927.3100785392958</v>
      </c>
      <c r="BH16" s="7">
        <f t="shared" si="50"/>
        <v>1982.6270442873019</v>
      </c>
      <c r="BI16" s="7">
        <f>BH16*1000000/'a1'!BH16</f>
        <v>945.47410129077059</v>
      </c>
      <c r="BJ16" s="7">
        <v>166</v>
      </c>
      <c r="BK16" s="121">
        <f t="shared" si="20"/>
        <v>43.844813708690317</v>
      </c>
      <c r="BL16" s="7">
        <f t="shared" si="51"/>
        <v>378.60806320884825</v>
      </c>
      <c r="BM16" s="7">
        <f t="shared" si="52"/>
        <v>2450.1798965997368</v>
      </c>
      <c r="BN16" s="7">
        <f t="shared" si="53"/>
        <v>1320.0536382833916</v>
      </c>
      <c r="BO16" s="7">
        <f>BN16*1000000/'a1'!BN16</f>
        <v>495.28546354336515</v>
      </c>
    </row>
    <row r="17" spans="1:67" hidden="1">
      <c r="A17" s="1">
        <v>1980</v>
      </c>
      <c r="B17" s="7">
        <v>3575</v>
      </c>
      <c r="C17" s="121">
        <f>C19*C71/C73</f>
        <v>50.215997667304016</v>
      </c>
      <c r="D17" s="7">
        <f t="shared" si="21"/>
        <v>7119.2451929073341</v>
      </c>
      <c r="E17" s="7">
        <f t="shared" si="22"/>
        <v>60171.557779435796</v>
      </c>
      <c r="F17" s="7">
        <f t="shared" si="23"/>
        <v>28186.104016859354</v>
      </c>
      <c r="G17" s="7">
        <f>F17*1000000/'a1'!F17</f>
        <v>1149.7180157023406</v>
      </c>
      <c r="H17" s="7">
        <v>28</v>
      </c>
      <c r="I17" s="121">
        <f>I19*I71/I73</f>
        <v>49.481279093198992</v>
      </c>
      <c r="J17" s="7">
        <f t="shared" si="24"/>
        <v>56.587057798690751</v>
      </c>
      <c r="K17" s="7">
        <f t="shared" si="25"/>
        <v>387.32355613624412</v>
      </c>
      <c r="L17" s="7">
        <f t="shared" si="26"/>
        <v>201.27182174369588</v>
      </c>
      <c r="M17" s="7">
        <f>L17*1000000/'a1'!L17</f>
        <v>351.40752348491407</v>
      </c>
      <c r="N17" s="7">
        <v>5</v>
      </c>
      <c r="O17" s="121">
        <f>O19*O71/O73</f>
        <v>57.787039374999992</v>
      </c>
      <c r="P17" s="7">
        <f t="shared" si="27"/>
        <v>8.6524591916766642</v>
      </c>
      <c r="Q17" s="7">
        <f t="shared" si="28"/>
        <v>77.863812426747799</v>
      </c>
      <c r="R17" s="7">
        <f t="shared" si="29"/>
        <v>37.264979802469412</v>
      </c>
      <c r="S17" s="7">
        <f>R17*1000000/'a1'!R17</f>
        <v>301.16765508925857</v>
      </c>
      <c r="T17" s="7">
        <v>83</v>
      </c>
      <c r="U17" s="121">
        <f>U19*U71/U73</f>
        <v>45.170756129032256</v>
      </c>
      <c r="V17" s="7">
        <f t="shared" si="30"/>
        <v>183.74720087241144</v>
      </c>
      <c r="W17" s="7">
        <f t="shared" si="31"/>
        <v>1496.4858376269717</v>
      </c>
      <c r="X17" s="7">
        <f t="shared" si="32"/>
        <v>734.36708579761716</v>
      </c>
      <c r="Y17" s="7">
        <f>X17*1000000/'a1'!X17</f>
        <v>861.26703148341505</v>
      </c>
      <c r="Z17" s="7">
        <v>35</v>
      </c>
      <c r="AA17" s="121">
        <f>AA19*AA71/AA73</f>
        <v>47.630347307692318</v>
      </c>
      <c r="AB17" s="7">
        <f t="shared" si="33"/>
        <v>73.482563068246805</v>
      </c>
      <c r="AC17" s="7">
        <f t="shared" si="34"/>
        <v>2307.5367540750703</v>
      </c>
      <c r="AD17" s="7">
        <f t="shared" si="35"/>
        <v>784.93054206350303</v>
      </c>
      <c r="AE17" s="7">
        <f>AD17*1000000/'a1'!AD17</f>
        <v>1111.4548632414351</v>
      </c>
      <c r="AF17" s="7">
        <v>670</v>
      </c>
      <c r="AG17" s="121">
        <f>AG19*AG71/AG73</f>
        <v>46.584357928388734</v>
      </c>
      <c r="AH17" s="7">
        <f t="shared" si="36"/>
        <v>1438.2510134194611</v>
      </c>
      <c r="AI17" s="7">
        <f t="shared" si="37"/>
        <v>10884.75424034909</v>
      </c>
      <c r="AJ17" s="7">
        <f t="shared" si="38"/>
        <v>5415.155927961624</v>
      </c>
      <c r="AK17" s="7">
        <f>AJ17*1000000/'a1'!AJ17</f>
        <v>832.3329887735307</v>
      </c>
      <c r="AL17" s="7">
        <v>1312</v>
      </c>
      <c r="AM17" s="121">
        <f>AM19*AM71/AM73</f>
        <v>47.38890141388174</v>
      </c>
      <c r="AN17" s="7">
        <f t="shared" si="39"/>
        <v>2768.5807453972179</v>
      </c>
      <c r="AO17" s="7">
        <f t="shared" si="40"/>
        <v>18927.648241684314</v>
      </c>
      <c r="AP17" s="7">
        <f t="shared" si="41"/>
        <v>9735.8138399464497</v>
      </c>
      <c r="AQ17" s="7">
        <f>AP17*1000000/'a1'!AP17</f>
        <v>1113.1716634707093</v>
      </c>
      <c r="AR17" s="7">
        <v>117</v>
      </c>
      <c r="AS17" s="121">
        <f>AS19*AS71/AS73</f>
        <v>50.073112244897963</v>
      </c>
      <c r="AT17" s="7">
        <f t="shared" si="42"/>
        <v>233.65833429281469</v>
      </c>
      <c r="AU17" s="7">
        <f t="shared" si="43"/>
        <v>1426.4740129635704</v>
      </c>
      <c r="AV17" s="7">
        <f t="shared" si="44"/>
        <v>750.13419472826763</v>
      </c>
      <c r="AW17" s="7">
        <f>AV17*1000000/'a1'!AV17</f>
        <v>725.1631999383892</v>
      </c>
      <c r="AX17" s="7">
        <v>81</v>
      </c>
      <c r="AY17" s="121">
        <f>AY19*AY71/AY73</f>
        <v>58.356184615384635</v>
      </c>
      <c r="AZ17" s="7">
        <f t="shared" si="45"/>
        <v>138.80276877910504</v>
      </c>
      <c r="BA17" s="7">
        <f t="shared" si="46"/>
        <v>1021.7818809345557</v>
      </c>
      <c r="BB17" s="7">
        <f t="shared" si="47"/>
        <v>505.54335047222617</v>
      </c>
      <c r="BC17" s="7">
        <f>BB17*1000000/'a1'!BB17</f>
        <v>522.49950438864653</v>
      </c>
      <c r="BD17" s="7">
        <v>351</v>
      </c>
      <c r="BE17" s="121">
        <f>BE19*BE71/BE73</f>
        <v>59.189417733990133</v>
      </c>
      <c r="BF17" s="7">
        <f t="shared" si="48"/>
        <v>593.0114088593823</v>
      </c>
      <c r="BG17" s="7">
        <f t="shared" si="49"/>
        <v>4520.3214873986781</v>
      </c>
      <c r="BH17" s="7">
        <f t="shared" si="50"/>
        <v>2179.113044289224</v>
      </c>
      <c r="BI17" s="7">
        <f>BH17*1000000/'a1'!BH17</f>
        <v>994.56147969252083</v>
      </c>
      <c r="BJ17" s="7">
        <v>206</v>
      </c>
      <c r="BK17" s="121">
        <f>BK19*BK71/BK73</f>
        <v>47.878016156670732</v>
      </c>
      <c r="BL17" s="7">
        <f t="shared" si="51"/>
        <v>430.2600995954142</v>
      </c>
      <c r="BM17" s="7">
        <f t="shared" si="52"/>
        <v>2880.4399961951513</v>
      </c>
      <c r="BN17" s="7">
        <f t="shared" si="53"/>
        <v>1486.3030102221276</v>
      </c>
      <c r="BO17" s="7">
        <f>BN17*1000000/'a1'!BN17</f>
        <v>541.28851031502597</v>
      </c>
    </row>
    <row r="18" spans="1:67" hidden="1">
      <c r="B18" s="7"/>
      <c r="C18" s="11"/>
      <c r="D18" s="7"/>
      <c r="E18" s="7"/>
      <c r="F18" s="7"/>
      <c r="G18" s="7"/>
      <c r="H18" s="7"/>
      <c r="I18" s="11"/>
      <c r="J18" s="7"/>
      <c r="K18" s="7"/>
      <c r="L18" s="7"/>
      <c r="M18" s="7"/>
      <c r="N18" s="7"/>
      <c r="O18" s="11"/>
      <c r="P18" s="7"/>
      <c r="Q18" s="7"/>
      <c r="R18" s="7"/>
      <c r="S18" s="7"/>
      <c r="T18" s="7"/>
      <c r="U18" s="11"/>
      <c r="V18" s="7"/>
      <c r="W18" s="7"/>
      <c r="X18" s="7"/>
      <c r="Y18" s="7"/>
      <c r="Z18" s="7"/>
      <c r="AA18" s="11"/>
      <c r="AB18" s="7"/>
      <c r="AC18" s="7"/>
      <c r="AD18" s="7"/>
      <c r="AE18" s="7"/>
      <c r="AF18" s="7"/>
      <c r="AG18" s="11"/>
      <c r="AH18" s="7"/>
      <c r="AI18" s="7"/>
      <c r="AJ18" s="7"/>
      <c r="AK18" s="7"/>
      <c r="AL18" s="7"/>
      <c r="AM18" s="11"/>
      <c r="AN18" s="7"/>
      <c r="AO18" s="7"/>
      <c r="AP18" s="7"/>
      <c r="AQ18" s="7"/>
      <c r="AR18" s="7"/>
      <c r="AS18" s="11"/>
      <c r="AT18" s="7"/>
      <c r="AU18" s="7"/>
      <c r="AV18" s="7"/>
      <c r="AW18" s="7"/>
      <c r="AX18" s="7"/>
      <c r="AY18" s="11"/>
      <c r="AZ18" s="7"/>
      <c r="BA18" s="7"/>
      <c r="BB18" s="7"/>
      <c r="BC18" s="7"/>
      <c r="BD18" s="7"/>
      <c r="BE18" s="11"/>
      <c r="BF18" s="7"/>
      <c r="BG18" s="7"/>
      <c r="BH18" s="7"/>
      <c r="BI18" s="7"/>
      <c r="BJ18" s="7"/>
      <c r="BK18" s="11"/>
      <c r="BL18" s="7"/>
      <c r="BM18" s="7"/>
      <c r="BN18" s="7"/>
      <c r="BO18" s="7"/>
    </row>
    <row r="19" spans="1:67" ht="15.75" customHeight="1">
      <c r="A19" s="1">
        <v>1981</v>
      </c>
      <c r="B19" s="7">
        <v>4415</v>
      </c>
      <c r="C19" s="11">
        <v>55.7</v>
      </c>
      <c r="D19" s="7">
        <f t="shared" si="21"/>
        <v>7926.3913824057436</v>
      </c>
      <c r="E19" s="7">
        <f>E17+D19</f>
        <v>68097.949161841534</v>
      </c>
      <c r="F19" s="7">
        <f>(F17*0.8)+D19</f>
        <v>30475.274595893228</v>
      </c>
      <c r="G19" s="7">
        <f>F19*1000000/'a1'!F19</f>
        <v>1227.8557197272121</v>
      </c>
      <c r="H19" s="7">
        <v>38</v>
      </c>
      <c r="I19" s="11">
        <v>55</v>
      </c>
      <c r="J19" s="7">
        <f t="shared" si="24"/>
        <v>69.090909090909093</v>
      </c>
      <c r="K19" s="7">
        <f>K17+J19</f>
        <v>456.41446522715319</v>
      </c>
      <c r="L19" s="7">
        <f>(L17*0.8)+J19</f>
        <v>230.10836648586582</v>
      </c>
      <c r="M19" s="7">
        <f>L19*1000000/'a1'!L19</f>
        <v>399.97838784823591</v>
      </c>
      <c r="N19" s="7">
        <v>7</v>
      </c>
      <c r="O19" s="11">
        <v>50.5</v>
      </c>
      <c r="P19" s="7">
        <f t="shared" si="27"/>
        <v>13.861386138613863</v>
      </c>
      <c r="Q19" s="7">
        <f>Q17+P19</f>
        <v>91.725198565361666</v>
      </c>
      <c r="R19" s="7">
        <f>(R17*0.8)+P19</f>
        <v>43.673369980589399</v>
      </c>
      <c r="S19" s="7">
        <f>R19*1000000/'a1'!R19</f>
        <v>353.48455278054729</v>
      </c>
      <c r="T19" s="7">
        <v>91</v>
      </c>
      <c r="U19" s="11">
        <v>49.9</v>
      </c>
      <c r="V19" s="7">
        <f t="shared" si="30"/>
        <v>182.36472945891785</v>
      </c>
      <c r="W19" s="7">
        <f>W17+V19</f>
        <v>1678.8505670858895</v>
      </c>
      <c r="X19" s="7">
        <f>(X17*0.8)+V19</f>
        <v>769.85839809701156</v>
      </c>
      <c r="Y19" s="7">
        <f>X19*1000000/'a1'!X19</f>
        <v>900.5550522792463</v>
      </c>
      <c r="Z19" s="7">
        <v>37</v>
      </c>
      <c r="AA19" s="11">
        <v>52.4</v>
      </c>
      <c r="AB19" s="7">
        <f t="shared" si="33"/>
        <v>70.610687022900763</v>
      </c>
      <c r="AC19" s="7">
        <f>AC17+AB19</f>
        <v>2378.1474410979713</v>
      </c>
      <c r="AD19" s="7">
        <f>(AD17*0.8)+AB19</f>
        <v>698.55512067370319</v>
      </c>
      <c r="AE19" s="7">
        <f>AD19*1000000/'a1'!AD19</f>
        <v>988.84137132162084</v>
      </c>
      <c r="AF19" s="7">
        <v>822</v>
      </c>
      <c r="AG19" s="11">
        <v>51.9</v>
      </c>
      <c r="AH19" s="7">
        <f t="shared" si="36"/>
        <v>1583.8150289017342</v>
      </c>
      <c r="AI19" s="7">
        <f>AI17+AH19</f>
        <v>12468.569269250824</v>
      </c>
      <c r="AJ19" s="7">
        <f>(AJ17*0.8)+AH19</f>
        <v>5915.9397712710334</v>
      </c>
      <c r="AK19" s="7">
        <f>AJ19*1000000/'a1'!AJ19</f>
        <v>903.58221013495267</v>
      </c>
      <c r="AL19" s="7">
        <v>1667</v>
      </c>
      <c r="AM19" s="11">
        <v>52.1</v>
      </c>
      <c r="AN19" s="7">
        <f t="shared" si="39"/>
        <v>3199.6161228406909</v>
      </c>
      <c r="AO19" s="7">
        <f>AO17+AN19</f>
        <v>22127.264364525006</v>
      </c>
      <c r="AP19" s="7">
        <f>(AP17*0.8)+AN19</f>
        <v>10988.267194797851</v>
      </c>
      <c r="AQ19" s="7">
        <f>AP19*1000000/'a1'!AP19</f>
        <v>1246.9258481621964</v>
      </c>
      <c r="AR19" s="7">
        <v>136</v>
      </c>
      <c r="AS19" s="11">
        <v>55.3</v>
      </c>
      <c r="AT19" s="7">
        <f t="shared" si="42"/>
        <v>245.93128390596749</v>
      </c>
      <c r="AU19" s="7">
        <f>AU17+AT19</f>
        <v>1672.405296869538</v>
      </c>
      <c r="AV19" s="7">
        <f>(AV17*0.8)+AT19</f>
        <v>846.03863968858161</v>
      </c>
      <c r="AW19" s="7">
        <f>AV19*1000000/'a1'!AV19</f>
        <v>816.99843047726711</v>
      </c>
      <c r="AX19" s="7">
        <v>85</v>
      </c>
      <c r="AY19" s="11">
        <v>63.2</v>
      </c>
      <c r="AZ19" s="7">
        <f t="shared" si="45"/>
        <v>134.49367088607593</v>
      </c>
      <c r="BA19" s="7">
        <f>BA17+AZ19</f>
        <v>1156.2755518206316</v>
      </c>
      <c r="BB19" s="7">
        <f>(BB17*0.8)+AZ19</f>
        <v>538.92835126385694</v>
      </c>
      <c r="BC19" s="7">
        <f>BB19*1000000/'a1'!BB19</f>
        <v>552.31706934177078</v>
      </c>
      <c r="BD19" s="7">
        <v>471</v>
      </c>
      <c r="BE19" s="11">
        <v>65.099999999999994</v>
      </c>
      <c r="BF19" s="7">
        <f t="shared" si="48"/>
        <v>723.50230414746545</v>
      </c>
      <c r="BG19" s="7">
        <f>BG17+BF19</f>
        <v>5243.8237915461432</v>
      </c>
      <c r="BH19" s="7">
        <f>(BH17*0.8)+BF19</f>
        <v>2466.7927395788447</v>
      </c>
      <c r="BI19" s="7">
        <f>BH19*1000000/'a1'!BH19</f>
        <v>1076.6830050398605</v>
      </c>
      <c r="BJ19" s="7">
        <v>266</v>
      </c>
      <c r="BK19" s="11">
        <v>53.1</v>
      </c>
      <c r="BL19" s="7">
        <f t="shared" si="51"/>
        <v>500.94161958568736</v>
      </c>
      <c r="BM19" s="7">
        <f>BM17+BL19</f>
        <v>3381.3816157808387</v>
      </c>
      <c r="BN19" s="7">
        <f>(BN17*0.8)+BL19</f>
        <v>1689.9840277633893</v>
      </c>
      <c r="BO19" s="7">
        <f>BN19*1000000/'a1'!BN19</f>
        <v>597.8946930377474</v>
      </c>
    </row>
    <row r="20" spans="1:67" ht="15.75" customHeight="1">
      <c r="A20" s="1">
        <v>1982</v>
      </c>
      <c r="B20" s="7">
        <v>5198</v>
      </c>
      <c r="C20" s="11">
        <v>60.4</v>
      </c>
      <c r="D20" s="7">
        <f t="shared" si="21"/>
        <v>8605.9602649006629</v>
      </c>
      <c r="E20" s="7">
        <f t="shared" si="22"/>
        <v>76703.909426742204</v>
      </c>
      <c r="F20" s="7">
        <f t="shared" si="23"/>
        <v>32986.17994161525</v>
      </c>
      <c r="G20" s="7">
        <f>F20*1000000/'a1'!F20</f>
        <v>1313.3039818945813</v>
      </c>
      <c r="H20" s="7">
        <v>48</v>
      </c>
      <c r="I20" s="11">
        <v>59.3</v>
      </c>
      <c r="J20" s="7">
        <f t="shared" si="24"/>
        <v>80.94435075885329</v>
      </c>
      <c r="K20" s="7">
        <f t="shared" si="25"/>
        <v>537.35881598600645</v>
      </c>
      <c r="L20" s="7">
        <f t="shared" si="26"/>
        <v>265.03104394754598</v>
      </c>
      <c r="M20" s="7">
        <f>L20*1000000/'a1'!L20</f>
        <v>461.89151865656896</v>
      </c>
      <c r="N20" s="7">
        <v>7</v>
      </c>
      <c r="O20" s="11">
        <v>54.1</v>
      </c>
      <c r="P20" s="7">
        <f t="shared" si="27"/>
        <v>12.939001848428836</v>
      </c>
      <c r="Q20" s="7">
        <f t="shared" si="28"/>
        <v>104.6642004137905</v>
      </c>
      <c r="R20" s="7">
        <f t="shared" si="29"/>
        <v>47.87769783290036</v>
      </c>
      <c r="S20" s="7">
        <f>R20*1000000/'a1'!R20</f>
        <v>387.39762624931512</v>
      </c>
      <c r="T20" s="7">
        <v>108</v>
      </c>
      <c r="U20" s="11">
        <v>55.4</v>
      </c>
      <c r="V20" s="7">
        <f t="shared" si="30"/>
        <v>194.94584837545125</v>
      </c>
      <c r="W20" s="7">
        <f t="shared" si="31"/>
        <v>1873.7964154613408</v>
      </c>
      <c r="X20" s="7">
        <f t="shared" si="32"/>
        <v>810.8325668530606</v>
      </c>
      <c r="Y20" s="7">
        <f>X20*1000000/'a1'!X20</f>
        <v>943.88439958774882</v>
      </c>
      <c r="Z20" s="7">
        <v>47</v>
      </c>
      <c r="AA20" s="11">
        <v>57.2</v>
      </c>
      <c r="AB20" s="7">
        <f t="shared" si="33"/>
        <v>82.167832167832159</v>
      </c>
      <c r="AC20" s="7">
        <f t="shared" si="34"/>
        <v>2460.3152732658036</v>
      </c>
      <c r="AD20" s="7">
        <f t="shared" si="35"/>
        <v>641.01192870679483</v>
      </c>
      <c r="AE20" s="7">
        <f>AD20*1000000/'a1'!AD20</f>
        <v>906.07899661293175</v>
      </c>
      <c r="AF20" s="7">
        <v>957</v>
      </c>
      <c r="AG20" s="11">
        <v>57</v>
      </c>
      <c r="AH20" s="7">
        <f t="shared" si="36"/>
        <v>1678.9473684210527</v>
      </c>
      <c r="AI20" s="7">
        <f t="shared" si="37"/>
        <v>14147.516637671877</v>
      </c>
      <c r="AJ20" s="7">
        <f t="shared" si="38"/>
        <v>6411.6991854378794</v>
      </c>
      <c r="AK20" s="7">
        <f>AJ20*1000000/'a1'!AJ20</f>
        <v>974.32893372047147</v>
      </c>
      <c r="AL20" s="7">
        <v>2040</v>
      </c>
      <c r="AM20" s="11">
        <v>56.7</v>
      </c>
      <c r="AN20" s="7">
        <f t="shared" si="39"/>
        <v>3597.8835978835973</v>
      </c>
      <c r="AO20" s="7">
        <f t="shared" si="40"/>
        <v>25725.147962408602</v>
      </c>
      <c r="AP20" s="7">
        <f t="shared" si="41"/>
        <v>12388.497353721879</v>
      </c>
      <c r="AQ20" s="7">
        <f>AP20*1000000/'a1'!AP20</f>
        <v>1388.8001546275052</v>
      </c>
      <c r="AR20" s="7">
        <v>162</v>
      </c>
      <c r="AS20" s="11">
        <v>58.6</v>
      </c>
      <c r="AT20" s="7">
        <f t="shared" si="42"/>
        <v>276.45051194539246</v>
      </c>
      <c r="AU20" s="7">
        <f t="shared" si="43"/>
        <v>1948.8558088149305</v>
      </c>
      <c r="AV20" s="7">
        <f t="shared" si="44"/>
        <v>953.28142369625778</v>
      </c>
      <c r="AW20" s="7">
        <f>AV20*1000000/'a1'!AV20</f>
        <v>912.0355289356711</v>
      </c>
      <c r="AX20" s="7">
        <v>119</v>
      </c>
      <c r="AY20" s="11">
        <v>65.400000000000006</v>
      </c>
      <c r="AZ20" s="7">
        <f t="shared" si="45"/>
        <v>181.95718654434251</v>
      </c>
      <c r="BA20" s="7">
        <f t="shared" si="46"/>
        <v>1338.232738364974</v>
      </c>
      <c r="BB20" s="7">
        <f t="shared" si="47"/>
        <v>613.09986755542809</v>
      </c>
      <c r="BC20" s="7">
        <f>BB20*1000000/'a1'!BB20</f>
        <v>621.43832702748296</v>
      </c>
      <c r="BD20" s="7">
        <v>520</v>
      </c>
      <c r="BE20" s="11">
        <v>71.599999999999994</v>
      </c>
      <c r="BF20" s="7">
        <f t="shared" si="48"/>
        <v>726.25698324022346</v>
      </c>
      <c r="BG20" s="7">
        <f t="shared" si="49"/>
        <v>5970.0807747863664</v>
      </c>
      <c r="BH20" s="7">
        <f t="shared" si="50"/>
        <v>2699.6911749032993</v>
      </c>
      <c r="BI20" s="7">
        <f>BH20*1000000/'a1'!BH20</f>
        <v>1139.1933566894543</v>
      </c>
      <c r="BJ20" s="7">
        <v>299</v>
      </c>
      <c r="BK20" s="11">
        <v>56.8</v>
      </c>
      <c r="BL20" s="7">
        <f t="shared" si="51"/>
        <v>526.4084507042254</v>
      </c>
      <c r="BM20" s="7">
        <f t="shared" si="52"/>
        <v>3907.790066485064</v>
      </c>
      <c r="BN20" s="7">
        <f t="shared" si="53"/>
        <v>1878.3956729149368</v>
      </c>
      <c r="BO20" s="7">
        <f>BN20*1000000/'a1'!BN20</f>
        <v>653.01136233868465</v>
      </c>
    </row>
    <row r="21" spans="1:67" ht="15.75" customHeight="1">
      <c r="A21" s="1">
        <v>1983</v>
      </c>
      <c r="B21" s="7">
        <v>5517</v>
      </c>
      <c r="C21" s="11">
        <v>63.7</v>
      </c>
      <c r="D21" s="7">
        <f t="shared" si="21"/>
        <v>8660.9105180533752</v>
      </c>
      <c r="E21" s="7">
        <f t="shared" si="22"/>
        <v>85364.819944795585</v>
      </c>
      <c r="F21" s="7">
        <f t="shared" si="23"/>
        <v>35049.854471345578</v>
      </c>
      <c r="G21" s="7">
        <f>F21*1000000/'a1'!F21</f>
        <v>1381.7405703046745</v>
      </c>
      <c r="H21" s="7">
        <v>70</v>
      </c>
      <c r="I21" s="11">
        <v>61.4</v>
      </c>
      <c r="J21" s="7">
        <f t="shared" si="24"/>
        <v>114.00651465798046</v>
      </c>
      <c r="K21" s="7">
        <f t="shared" si="25"/>
        <v>651.36533064398691</v>
      </c>
      <c r="L21" s="7">
        <f t="shared" si="26"/>
        <v>326.03134981601727</v>
      </c>
      <c r="M21" s="7">
        <f>L21*1000000/'a1'!L21</f>
        <v>562.93441894872137</v>
      </c>
      <c r="N21" s="7">
        <v>7</v>
      </c>
      <c r="O21" s="11">
        <v>58.1</v>
      </c>
      <c r="P21" s="7">
        <f t="shared" si="27"/>
        <v>12.048192771084338</v>
      </c>
      <c r="Q21" s="7">
        <f t="shared" si="28"/>
        <v>116.71239318487483</v>
      </c>
      <c r="R21" s="7">
        <f t="shared" si="29"/>
        <v>50.350351037404629</v>
      </c>
      <c r="S21" s="7">
        <f>R21*1000000/'a1'!R21</f>
        <v>402.4743891976517</v>
      </c>
      <c r="T21" s="7">
        <v>145</v>
      </c>
      <c r="U21" s="11">
        <v>61</v>
      </c>
      <c r="V21" s="7">
        <f t="shared" si="30"/>
        <v>237.70491803278691</v>
      </c>
      <c r="W21" s="7">
        <f t="shared" si="31"/>
        <v>2111.5013334941277</v>
      </c>
      <c r="X21" s="7">
        <f t="shared" si="32"/>
        <v>886.3709715152354</v>
      </c>
      <c r="Y21" s="7">
        <f>X21*1000000/'a1'!X21</f>
        <v>1020.8248308054524</v>
      </c>
      <c r="Z21" s="7">
        <v>43</v>
      </c>
      <c r="AA21" s="11">
        <v>61</v>
      </c>
      <c r="AB21" s="7">
        <f t="shared" si="33"/>
        <v>70.491803278688522</v>
      </c>
      <c r="AC21" s="7">
        <f t="shared" si="34"/>
        <v>2530.8070765444922</v>
      </c>
      <c r="AD21" s="7">
        <f t="shared" si="35"/>
        <v>583.30134624412437</v>
      </c>
      <c r="AE21" s="7">
        <f>AD21*1000000/'a1'!AD21</f>
        <v>815.98639453770818</v>
      </c>
      <c r="AF21" s="7">
        <v>993</v>
      </c>
      <c r="AG21" s="11">
        <v>60.3</v>
      </c>
      <c r="AH21" s="7">
        <f t="shared" si="36"/>
        <v>1646.7661691542289</v>
      </c>
      <c r="AI21" s="7">
        <f t="shared" si="37"/>
        <v>15794.282806826106</v>
      </c>
      <c r="AJ21" s="7">
        <f t="shared" si="38"/>
        <v>6776.1255175045326</v>
      </c>
      <c r="AK21" s="7">
        <f>AJ21*1000000/'a1'!AJ21</f>
        <v>1026.2229512123824</v>
      </c>
      <c r="AL21" s="7">
        <v>2237</v>
      </c>
      <c r="AM21" s="11">
        <v>60.5</v>
      </c>
      <c r="AN21" s="7">
        <f t="shared" si="39"/>
        <v>3697.5206611570252</v>
      </c>
      <c r="AO21" s="7">
        <f t="shared" si="40"/>
        <v>29422.668623565627</v>
      </c>
      <c r="AP21" s="7">
        <f t="shared" si="41"/>
        <v>13608.318544134529</v>
      </c>
      <c r="AQ21" s="7">
        <f>AP21*1000000/'a1'!AP21</f>
        <v>1505.417578119313</v>
      </c>
      <c r="AR21" s="7">
        <v>190</v>
      </c>
      <c r="AS21" s="11">
        <v>62.5</v>
      </c>
      <c r="AT21" s="7">
        <f t="shared" si="42"/>
        <v>304</v>
      </c>
      <c r="AU21" s="7">
        <f t="shared" si="43"/>
        <v>2252.8558088149302</v>
      </c>
      <c r="AV21" s="7">
        <f t="shared" si="44"/>
        <v>1066.6251389570061</v>
      </c>
      <c r="AW21" s="7">
        <f>AV21*1000000/'a1'!AV21</f>
        <v>1006.4856107438402</v>
      </c>
      <c r="AX21" s="7">
        <v>124</v>
      </c>
      <c r="AY21" s="11">
        <v>67.599999999999994</v>
      </c>
      <c r="AZ21" s="7">
        <f t="shared" si="45"/>
        <v>183.43195266272193</v>
      </c>
      <c r="BA21" s="7">
        <f t="shared" si="46"/>
        <v>1521.6646910276959</v>
      </c>
      <c r="BB21" s="7">
        <f t="shared" si="47"/>
        <v>673.91184670706434</v>
      </c>
      <c r="BC21" s="7">
        <f>BB21*1000000/'a1'!BB21</f>
        <v>673.07118080224234</v>
      </c>
      <c r="BD21" s="7">
        <v>466</v>
      </c>
      <c r="BE21" s="11">
        <v>74.400000000000006</v>
      </c>
      <c r="BF21" s="7">
        <f t="shared" si="48"/>
        <v>626.34408602150529</v>
      </c>
      <c r="BG21" s="7">
        <f t="shared" si="49"/>
        <v>6596.4248608078715</v>
      </c>
      <c r="BH21" s="7">
        <f t="shared" si="50"/>
        <v>2786.0970259441447</v>
      </c>
      <c r="BI21" s="7">
        <f>BH21*1000000/'a1'!BH21</f>
        <v>1163.9840231185015</v>
      </c>
      <c r="BJ21" s="7">
        <v>331</v>
      </c>
      <c r="BK21" s="11">
        <v>59.5</v>
      </c>
      <c r="BL21" s="7">
        <f t="shared" si="51"/>
        <v>556.30252100840335</v>
      </c>
      <c r="BM21" s="7">
        <f t="shared" si="52"/>
        <v>4464.0925874934674</v>
      </c>
      <c r="BN21" s="7">
        <f t="shared" si="53"/>
        <v>2059.0190593403531</v>
      </c>
      <c r="BO21" s="7">
        <f>BN21*1000000/'a1'!BN21</f>
        <v>708.17459776136116</v>
      </c>
    </row>
    <row r="22" spans="1:67" ht="15.75" customHeight="1">
      <c r="A22" s="1">
        <v>1984</v>
      </c>
      <c r="B22" s="7">
        <v>6273</v>
      </c>
      <c r="C22" s="11">
        <v>65.8</v>
      </c>
      <c r="D22" s="7">
        <f t="shared" si="21"/>
        <v>9533.4346504559271</v>
      </c>
      <c r="E22" s="7">
        <f t="shared" si="22"/>
        <v>94898.254595251507</v>
      </c>
      <c r="F22" s="7">
        <f t="shared" si="23"/>
        <v>37573.318227532392</v>
      </c>
      <c r="G22" s="7">
        <f>F22*1000000/'a1'!F22</f>
        <v>1467.3034896882666</v>
      </c>
      <c r="H22" s="7">
        <v>59</v>
      </c>
      <c r="I22" s="11">
        <v>63.6</v>
      </c>
      <c r="J22" s="7">
        <f t="shared" si="24"/>
        <v>92.767295597484278</v>
      </c>
      <c r="K22" s="7">
        <f t="shared" si="25"/>
        <v>744.13262624147114</v>
      </c>
      <c r="L22" s="7">
        <f t="shared" si="26"/>
        <v>353.59237545029811</v>
      </c>
      <c r="M22" s="7">
        <f>L22*1000000/'a1'!L22</f>
        <v>609.5737123430963</v>
      </c>
      <c r="N22" s="7">
        <v>10</v>
      </c>
      <c r="O22" s="11">
        <v>58.2</v>
      </c>
      <c r="P22" s="7">
        <f t="shared" si="27"/>
        <v>17.182130584192439</v>
      </c>
      <c r="Q22" s="7">
        <f t="shared" si="28"/>
        <v>133.89452376906726</v>
      </c>
      <c r="R22" s="7">
        <f t="shared" si="29"/>
        <v>57.462411414116147</v>
      </c>
      <c r="S22" s="7">
        <f>R22*1000000/'a1'!R22</f>
        <v>454.02219775223523</v>
      </c>
      <c r="T22" s="7">
        <v>160</v>
      </c>
      <c r="U22" s="11">
        <v>63.4</v>
      </c>
      <c r="V22" s="7">
        <f t="shared" si="30"/>
        <v>252.36593059936908</v>
      </c>
      <c r="W22" s="7">
        <f t="shared" si="31"/>
        <v>2363.8672640934969</v>
      </c>
      <c r="X22" s="7">
        <f t="shared" si="32"/>
        <v>961.46270781155749</v>
      </c>
      <c r="Y22" s="7">
        <f>X22*1000000/'a1'!X22</f>
        <v>1095.7202093420267</v>
      </c>
      <c r="Z22" s="7">
        <v>49</v>
      </c>
      <c r="AA22" s="11">
        <v>65.5</v>
      </c>
      <c r="AB22" s="7">
        <f t="shared" si="33"/>
        <v>74.809160305343511</v>
      </c>
      <c r="AC22" s="7">
        <f t="shared" si="34"/>
        <v>2605.6162368498358</v>
      </c>
      <c r="AD22" s="7">
        <f t="shared" si="35"/>
        <v>541.45023730064304</v>
      </c>
      <c r="AE22" s="7">
        <f>AD22*1000000/'a1'!AD22</f>
        <v>751.50486517560751</v>
      </c>
      <c r="AF22" s="7">
        <v>1240</v>
      </c>
      <c r="AG22" s="11">
        <v>63.1</v>
      </c>
      <c r="AH22" s="7">
        <f t="shared" si="36"/>
        <v>1965.1347068145799</v>
      </c>
      <c r="AI22" s="7">
        <f t="shared" si="37"/>
        <v>17759.417513640685</v>
      </c>
      <c r="AJ22" s="7">
        <f t="shared" si="38"/>
        <v>7386.0351208182065</v>
      </c>
      <c r="AK22" s="7">
        <f>AJ22*1000000/'a1'!AJ22</f>
        <v>1113.827488881112</v>
      </c>
      <c r="AL22" s="7">
        <v>2483</v>
      </c>
      <c r="AM22" s="11">
        <v>62.6</v>
      </c>
      <c r="AN22" s="7">
        <f t="shared" si="39"/>
        <v>3966.4536741214056</v>
      </c>
      <c r="AO22" s="7">
        <f t="shared" si="40"/>
        <v>33389.122297687034</v>
      </c>
      <c r="AP22" s="7">
        <f t="shared" si="41"/>
        <v>14853.108509429028</v>
      </c>
      <c r="AQ22" s="7">
        <f>AP22*1000000/'a1'!AP22</f>
        <v>1620.1946476731268</v>
      </c>
      <c r="AR22" s="7">
        <v>204</v>
      </c>
      <c r="AS22" s="11">
        <v>65</v>
      </c>
      <c r="AT22" s="7">
        <f t="shared" si="42"/>
        <v>313.84615384615387</v>
      </c>
      <c r="AU22" s="7">
        <f t="shared" si="43"/>
        <v>2566.7019626610841</v>
      </c>
      <c r="AV22" s="7">
        <f t="shared" si="44"/>
        <v>1167.1462650117587</v>
      </c>
      <c r="AW22" s="7">
        <f>AV22*1000000/'a1'!AV22</f>
        <v>1088.9488482210081</v>
      </c>
      <c r="AX22" s="7">
        <v>135</v>
      </c>
      <c r="AY22" s="11">
        <v>70.7</v>
      </c>
      <c r="AZ22" s="7">
        <f t="shared" si="45"/>
        <v>190.94766619519095</v>
      </c>
      <c r="BA22" s="7">
        <f t="shared" si="46"/>
        <v>1712.6123572228869</v>
      </c>
      <c r="BB22" s="7">
        <f t="shared" si="47"/>
        <v>730.07714356084239</v>
      </c>
      <c r="BC22" s="7">
        <f>BB22*1000000/'a1'!BB22</f>
        <v>719.56076300945915</v>
      </c>
      <c r="BD22" s="7">
        <v>511</v>
      </c>
      <c r="BE22" s="11">
        <v>76.2</v>
      </c>
      <c r="BF22" s="7">
        <f t="shared" si="48"/>
        <v>670.60367454068239</v>
      </c>
      <c r="BG22" s="7">
        <f t="shared" si="49"/>
        <v>7267.0285353485542</v>
      </c>
      <c r="BH22" s="7">
        <f t="shared" si="50"/>
        <v>2899.4812952959983</v>
      </c>
      <c r="BI22" s="7">
        <f>BH22*1000000/'a1'!BH22</f>
        <v>1211.1921203689192</v>
      </c>
      <c r="BJ22" s="7">
        <v>380</v>
      </c>
      <c r="BK22" s="11">
        <v>62</v>
      </c>
      <c r="BL22" s="7">
        <f t="shared" si="51"/>
        <v>612.90322580645159</v>
      </c>
      <c r="BM22" s="7">
        <f t="shared" si="52"/>
        <v>5076.9958132999191</v>
      </c>
      <c r="BN22" s="7">
        <f t="shared" si="53"/>
        <v>2260.1184732787342</v>
      </c>
      <c r="BO22" s="7">
        <f>BN22*1000000/'a1'!BN22</f>
        <v>766.87467558956655</v>
      </c>
    </row>
    <row r="23" spans="1:67" ht="15.75" customHeight="1">
      <c r="A23" s="1">
        <v>1985</v>
      </c>
      <c r="B23" s="7">
        <v>6985</v>
      </c>
      <c r="C23" s="11">
        <v>67.8</v>
      </c>
      <c r="D23" s="7">
        <f t="shared" si="21"/>
        <v>10302.359882005901</v>
      </c>
      <c r="E23" s="7">
        <f t="shared" si="22"/>
        <v>105200.6144772574</v>
      </c>
      <c r="F23" s="7">
        <f t="shared" si="23"/>
        <v>40361.014464031818</v>
      </c>
      <c r="G23" s="7">
        <f>F23*1000000/'a1'!F23</f>
        <v>1561.8308680307687</v>
      </c>
      <c r="H23" s="7">
        <v>69</v>
      </c>
      <c r="I23" s="11">
        <v>65.400000000000006</v>
      </c>
      <c r="J23" s="7">
        <f t="shared" si="24"/>
        <v>105.50458715596329</v>
      </c>
      <c r="K23" s="7">
        <f t="shared" si="25"/>
        <v>849.63721339743438</v>
      </c>
      <c r="L23" s="7">
        <f t="shared" si="26"/>
        <v>388.3784875162018</v>
      </c>
      <c r="M23" s="7">
        <f>L23*1000000/'a1'!L23</f>
        <v>670.45615211462916</v>
      </c>
      <c r="N23" s="7">
        <v>9</v>
      </c>
      <c r="O23" s="11">
        <v>60.8</v>
      </c>
      <c r="P23" s="7">
        <f t="shared" si="27"/>
        <v>14.80263157894737</v>
      </c>
      <c r="Q23" s="7">
        <f t="shared" si="28"/>
        <v>148.69715534801463</v>
      </c>
      <c r="R23" s="7">
        <f t="shared" si="29"/>
        <v>60.772560710240292</v>
      </c>
      <c r="S23" s="7">
        <f>R23*1000000/'a1'!R23</f>
        <v>476.20307877541973</v>
      </c>
      <c r="T23" s="7">
        <v>169</v>
      </c>
      <c r="U23" s="11">
        <v>65.5</v>
      </c>
      <c r="V23" s="7">
        <f t="shared" si="30"/>
        <v>258.01526717557255</v>
      </c>
      <c r="W23" s="7">
        <f t="shared" si="31"/>
        <v>2621.8825312690697</v>
      </c>
      <c r="X23" s="7">
        <f t="shared" si="32"/>
        <v>1027.1854334248185</v>
      </c>
      <c r="Y23" s="7">
        <f>X23*1000000/'a1'!X23</f>
        <v>1159.5504346398236</v>
      </c>
      <c r="Z23" s="7">
        <v>91</v>
      </c>
      <c r="AA23" s="11">
        <v>67.5</v>
      </c>
      <c r="AB23" s="7">
        <f t="shared" si="33"/>
        <v>134.81481481481481</v>
      </c>
      <c r="AC23" s="7">
        <f t="shared" si="34"/>
        <v>2740.4310516646506</v>
      </c>
      <c r="AD23" s="7">
        <f t="shared" si="35"/>
        <v>567.97500465532926</v>
      </c>
      <c r="AE23" s="7">
        <f>AD23*1000000/'a1'!AD23</f>
        <v>785.26920109905086</v>
      </c>
      <c r="AF23" s="7">
        <v>1596</v>
      </c>
      <c r="AG23" s="11">
        <v>65.400000000000006</v>
      </c>
      <c r="AH23" s="7">
        <f t="shared" si="36"/>
        <v>2440.3669724770639</v>
      </c>
      <c r="AI23" s="7">
        <f t="shared" si="37"/>
        <v>20199.784486117747</v>
      </c>
      <c r="AJ23" s="7">
        <f t="shared" si="38"/>
        <v>8349.1950691316288</v>
      </c>
      <c r="AK23" s="7">
        <f>AJ23*1000000/'a1'!AJ23</f>
        <v>1252.5417150301837</v>
      </c>
      <c r="AL23" s="7">
        <v>3109</v>
      </c>
      <c r="AM23" s="11">
        <v>65.8</v>
      </c>
      <c r="AN23" s="7">
        <f t="shared" si="39"/>
        <v>4724.9240121580551</v>
      </c>
      <c r="AO23" s="7">
        <f t="shared" si="40"/>
        <v>38114.046309845085</v>
      </c>
      <c r="AP23" s="7">
        <f t="shared" si="41"/>
        <v>16607.410819701279</v>
      </c>
      <c r="AQ23" s="7">
        <f>AP23*1000000/'a1'!AP23</f>
        <v>1786.7696268621078</v>
      </c>
      <c r="AR23" s="7">
        <v>200</v>
      </c>
      <c r="AS23" s="11">
        <v>66.599999999999994</v>
      </c>
      <c r="AT23" s="7">
        <f t="shared" si="42"/>
        <v>300.30030030030031</v>
      </c>
      <c r="AU23" s="7">
        <f t="shared" si="43"/>
        <v>2867.0022629613845</v>
      </c>
      <c r="AV23" s="7">
        <f t="shared" si="44"/>
        <v>1234.0173123097072</v>
      </c>
      <c r="AW23" s="7">
        <f>AV23*1000000/'a1'!AV23</f>
        <v>1139.9750689931197</v>
      </c>
      <c r="AX23" s="7">
        <v>174</v>
      </c>
      <c r="AY23" s="11">
        <v>72.5</v>
      </c>
      <c r="AZ23" s="7">
        <f t="shared" si="45"/>
        <v>240</v>
      </c>
      <c r="BA23" s="7">
        <f t="shared" si="46"/>
        <v>1952.6123572228869</v>
      </c>
      <c r="BB23" s="7">
        <f t="shared" si="47"/>
        <v>824.06171484867389</v>
      </c>
      <c r="BC23" s="7">
        <f>BB23*1000000/'a1'!BB23</f>
        <v>804.01912607390364</v>
      </c>
      <c r="BD23" s="7">
        <v>619</v>
      </c>
      <c r="BE23" s="11">
        <v>75.599999999999994</v>
      </c>
      <c r="BF23" s="7">
        <f t="shared" si="48"/>
        <v>818.78306878306887</v>
      </c>
      <c r="BG23" s="7">
        <f t="shared" si="49"/>
        <v>8085.8116041316234</v>
      </c>
      <c r="BH23" s="7">
        <f t="shared" si="50"/>
        <v>3138.3681050198675</v>
      </c>
      <c r="BI23" s="7">
        <f>BH23*1000000/'a1'!BH23</f>
        <v>1305.2115438283658</v>
      </c>
      <c r="BJ23" s="7">
        <v>488</v>
      </c>
      <c r="BK23" s="11">
        <v>62.2</v>
      </c>
      <c r="BL23" s="7">
        <f t="shared" si="51"/>
        <v>784.56591639871385</v>
      </c>
      <c r="BM23" s="7">
        <f t="shared" si="52"/>
        <v>5861.5617296986329</v>
      </c>
      <c r="BN23" s="7">
        <f t="shared" si="53"/>
        <v>2592.660695021701</v>
      </c>
      <c r="BO23" s="7">
        <f>BN23*1000000/'a1'!BN23</f>
        <v>871.44421372426996</v>
      </c>
    </row>
    <row r="24" spans="1:67" ht="15.75" customHeight="1">
      <c r="A24" s="1">
        <v>1986</v>
      </c>
      <c r="B24" s="7">
        <v>7546</v>
      </c>
      <c r="C24" s="11">
        <v>69.900000000000006</v>
      </c>
      <c r="D24" s="7">
        <f t="shared" si="21"/>
        <v>10795.422031473532</v>
      </c>
      <c r="E24" s="7">
        <f t="shared" si="22"/>
        <v>115996.03650873093</v>
      </c>
      <c r="F24" s="7">
        <f t="shared" si="23"/>
        <v>43084.233602698987</v>
      </c>
      <c r="G24" s="7">
        <f>F24*1000000/'a1'!F24</f>
        <v>1650.7193372690892</v>
      </c>
      <c r="H24" s="7">
        <v>61</v>
      </c>
      <c r="I24" s="11">
        <v>71.2</v>
      </c>
      <c r="J24" s="7">
        <f t="shared" si="24"/>
        <v>85.674157303370777</v>
      </c>
      <c r="K24" s="7">
        <f t="shared" si="25"/>
        <v>935.31137070080513</v>
      </c>
      <c r="L24" s="7">
        <f t="shared" si="26"/>
        <v>396.37694731633223</v>
      </c>
      <c r="M24" s="7">
        <f>L24*1000000/'a1'!L24</f>
        <v>687.78903449961001</v>
      </c>
      <c r="N24" s="7">
        <v>25</v>
      </c>
      <c r="O24" s="11">
        <v>65.7</v>
      </c>
      <c r="P24" s="7">
        <f t="shared" si="27"/>
        <v>38.051750380517504</v>
      </c>
      <c r="Q24" s="7">
        <f t="shared" si="28"/>
        <v>186.74890572853212</v>
      </c>
      <c r="R24" s="7">
        <f t="shared" si="29"/>
        <v>86.66979894870974</v>
      </c>
      <c r="S24" s="7">
        <f>R24*1000000/'a1'!R24</f>
        <v>674.80923532895565</v>
      </c>
      <c r="T24" s="7">
        <v>179</v>
      </c>
      <c r="U24" s="11">
        <v>69.400000000000006</v>
      </c>
      <c r="V24" s="7">
        <f t="shared" si="30"/>
        <v>257.92507204610951</v>
      </c>
      <c r="W24" s="7">
        <f t="shared" si="31"/>
        <v>2879.8076033151792</v>
      </c>
      <c r="X24" s="7">
        <f t="shared" si="32"/>
        <v>1079.6734187859643</v>
      </c>
      <c r="Y24" s="7">
        <f>X24*1000000/'a1'!X24</f>
        <v>1214.3619452156699</v>
      </c>
      <c r="Z24" s="7">
        <v>83</v>
      </c>
      <c r="AA24" s="11">
        <v>70.5</v>
      </c>
      <c r="AB24" s="7">
        <f t="shared" si="33"/>
        <v>117.7304964539007</v>
      </c>
      <c r="AC24" s="7">
        <f t="shared" si="34"/>
        <v>2858.1615481185513</v>
      </c>
      <c r="AD24" s="7">
        <f t="shared" si="35"/>
        <v>572.1105001781641</v>
      </c>
      <c r="AE24" s="7">
        <f>AD24*1000000/'a1'!AD24</f>
        <v>789.09725149018732</v>
      </c>
      <c r="AF24" s="7">
        <v>1662</v>
      </c>
      <c r="AG24" s="11">
        <v>70</v>
      </c>
      <c r="AH24" s="7">
        <f t="shared" si="36"/>
        <v>2374.2857142857142</v>
      </c>
      <c r="AI24" s="7">
        <f t="shared" si="37"/>
        <v>22574.070200403461</v>
      </c>
      <c r="AJ24" s="7">
        <f t="shared" si="38"/>
        <v>9053.6417695910168</v>
      </c>
      <c r="AK24" s="7">
        <f>AJ24*1000000/'a1'!AJ24</f>
        <v>1349.6440563657475</v>
      </c>
      <c r="AL24" s="7">
        <v>3465</v>
      </c>
      <c r="AM24" s="11">
        <v>69.7</v>
      </c>
      <c r="AN24" s="7">
        <f t="shared" si="39"/>
        <v>4971.305595408895</v>
      </c>
      <c r="AO24" s="7">
        <f t="shared" si="40"/>
        <v>43085.351905253978</v>
      </c>
      <c r="AP24" s="7">
        <f t="shared" si="41"/>
        <v>18257.234251169921</v>
      </c>
      <c r="AQ24" s="7">
        <f>AP24*1000000/'a1'!AP24</f>
        <v>1934.5702808561084</v>
      </c>
      <c r="AR24" s="7">
        <v>199</v>
      </c>
      <c r="AS24" s="11">
        <v>69</v>
      </c>
      <c r="AT24" s="7">
        <f t="shared" si="42"/>
        <v>288.40579710144925</v>
      </c>
      <c r="AU24" s="7">
        <f t="shared" si="43"/>
        <v>3155.408060062834</v>
      </c>
      <c r="AV24" s="7">
        <f t="shared" si="44"/>
        <v>1275.6196469492152</v>
      </c>
      <c r="AW24" s="7">
        <f>AV24*1000000/'a1'!AV24</f>
        <v>1168.6292975041181</v>
      </c>
      <c r="AX24" s="7">
        <v>176</v>
      </c>
      <c r="AY24" s="11">
        <v>68</v>
      </c>
      <c r="AZ24" s="7">
        <f t="shared" si="45"/>
        <v>258.8235294117647</v>
      </c>
      <c r="BA24" s="7">
        <f t="shared" si="46"/>
        <v>2211.4358866346515</v>
      </c>
      <c r="BB24" s="7">
        <f t="shared" si="47"/>
        <v>918.07290129070384</v>
      </c>
      <c r="BC24" s="7">
        <f>BB24*1000000/'a1'!BB24</f>
        <v>892.44457055799012</v>
      </c>
      <c r="BD24" s="7">
        <v>637</v>
      </c>
      <c r="BE24" s="11">
        <v>67.099999999999994</v>
      </c>
      <c r="BF24" s="7">
        <f t="shared" si="48"/>
        <v>949.32935916542488</v>
      </c>
      <c r="BG24" s="7">
        <f t="shared" si="49"/>
        <v>9035.1409632970481</v>
      </c>
      <c r="BH24" s="7">
        <f t="shared" si="50"/>
        <v>3460.0238431813186</v>
      </c>
      <c r="BI24" s="7">
        <f>BH24*1000000/'a1'!BH24</f>
        <v>1422.1633352300801</v>
      </c>
      <c r="BJ24" s="7">
        <v>525</v>
      </c>
      <c r="BK24" s="11">
        <v>65.599999999999994</v>
      </c>
      <c r="BL24" s="7">
        <f t="shared" si="51"/>
        <v>800.30487804878055</v>
      </c>
      <c r="BM24" s="7">
        <f t="shared" si="52"/>
        <v>6661.8666077474136</v>
      </c>
      <c r="BN24" s="7">
        <f t="shared" si="53"/>
        <v>2874.4334340661417</v>
      </c>
      <c r="BO24" s="7">
        <f>BN24*1000000/'a1'!BN24</f>
        <v>956.98939182611309</v>
      </c>
    </row>
    <row r="25" spans="1:67" ht="15.75" customHeight="1">
      <c r="A25" s="1">
        <v>1987</v>
      </c>
      <c r="B25" s="7">
        <v>7950</v>
      </c>
      <c r="C25" s="11">
        <v>73.099999999999994</v>
      </c>
      <c r="D25" s="7">
        <f t="shared" si="21"/>
        <v>10875.512995896033</v>
      </c>
      <c r="E25" s="7">
        <f t="shared" si="22"/>
        <v>126871.54950462696</v>
      </c>
      <c r="F25" s="7">
        <f t="shared" si="23"/>
        <v>45342.899878055221</v>
      </c>
      <c r="G25" s="7">
        <f>F25*1000000/'a1'!F25</f>
        <v>1714.5076555605472</v>
      </c>
      <c r="H25" s="7">
        <v>70</v>
      </c>
      <c r="I25" s="11">
        <v>73.8</v>
      </c>
      <c r="J25" s="7">
        <f t="shared" si="24"/>
        <v>94.850948509485107</v>
      </c>
      <c r="K25" s="7">
        <f t="shared" si="25"/>
        <v>1030.1623192102902</v>
      </c>
      <c r="L25" s="7">
        <f t="shared" si="26"/>
        <v>411.95250636255093</v>
      </c>
      <c r="M25" s="7">
        <f>L25*1000000/'a1'!L25</f>
        <v>716.13774092043161</v>
      </c>
      <c r="N25" s="7">
        <v>14</v>
      </c>
      <c r="O25" s="11">
        <v>69</v>
      </c>
      <c r="P25" s="7">
        <f t="shared" si="27"/>
        <v>20.289855072463769</v>
      </c>
      <c r="Q25" s="7">
        <f t="shared" si="28"/>
        <v>207.0387608009959</v>
      </c>
      <c r="R25" s="7">
        <f t="shared" si="29"/>
        <v>89.625694231431567</v>
      </c>
      <c r="S25" s="7">
        <f>R25*1000000/'a1'!R25</f>
        <v>696.71173445038187</v>
      </c>
      <c r="T25" s="7">
        <v>170</v>
      </c>
      <c r="U25" s="11">
        <v>72.400000000000006</v>
      </c>
      <c r="V25" s="7">
        <f t="shared" si="30"/>
        <v>234.80662983425412</v>
      </c>
      <c r="W25" s="7">
        <f t="shared" si="31"/>
        <v>3114.6142331494334</v>
      </c>
      <c r="X25" s="7">
        <f t="shared" si="32"/>
        <v>1098.5453648630255</v>
      </c>
      <c r="Y25" s="7">
        <f>X25*1000000/'a1'!X25</f>
        <v>1229.3397368225208</v>
      </c>
      <c r="Z25" s="7">
        <v>89</v>
      </c>
      <c r="AA25" s="11">
        <v>74.099999999999994</v>
      </c>
      <c r="AB25" s="7">
        <f t="shared" si="33"/>
        <v>120.10796221322538</v>
      </c>
      <c r="AC25" s="7">
        <f t="shared" si="34"/>
        <v>2978.2695103317765</v>
      </c>
      <c r="AD25" s="7">
        <f t="shared" si="35"/>
        <v>577.79636235575663</v>
      </c>
      <c r="AE25" s="7">
        <f>AD25*1000000/'a1'!AD25</f>
        <v>793.92933236382567</v>
      </c>
      <c r="AF25" s="7">
        <v>1881</v>
      </c>
      <c r="AG25" s="11">
        <v>73.599999999999994</v>
      </c>
      <c r="AH25" s="7">
        <f t="shared" si="36"/>
        <v>2555.7065217391305</v>
      </c>
      <c r="AI25" s="7">
        <f t="shared" si="37"/>
        <v>25129.776722142593</v>
      </c>
      <c r="AJ25" s="7">
        <f t="shared" si="38"/>
        <v>9798.6199374119442</v>
      </c>
      <c r="AK25" s="7">
        <f>AJ25*1000000/'a1'!AJ25</f>
        <v>1444.8013940186152</v>
      </c>
      <c r="AL25" s="7">
        <v>3687</v>
      </c>
      <c r="AM25" s="11">
        <v>73.5</v>
      </c>
      <c r="AN25" s="7">
        <f t="shared" si="39"/>
        <v>5016.3265306122448</v>
      </c>
      <c r="AO25" s="7">
        <f t="shared" si="40"/>
        <v>48101.678435866226</v>
      </c>
      <c r="AP25" s="7">
        <f t="shared" si="41"/>
        <v>19622.113931548181</v>
      </c>
      <c r="AQ25" s="7">
        <f>AP25*1000000/'a1'!AP25</f>
        <v>2035.9230034564609</v>
      </c>
      <c r="AR25" s="7">
        <v>188</v>
      </c>
      <c r="AS25" s="11">
        <v>72</v>
      </c>
      <c r="AT25" s="7">
        <f t="shared" si="42"/>
        <v>261.11111111111114</v>
      </c>
      <c r="AU25" s="7">
        <f t="shared" si="43"/>
        <v>3416.5191711739453</v>
      </c>
      <c r="AV25" s="7">
        <f t="shared" si="44"/>
        <v>1281.6068286704833</v>
      </c>
      <c r="AW25" s="7">
        <f>AV25*1000000/'a1'!AV25</f>
        <v>1166.8229541972385</v>
      </c>
      <c r="AX25" s="7">
        <v>169</v>
      </c>
      <c r="AY25" s="11">
        <v>69.3</v>
      </c>
      <c r="AZ25" s="7">
        <f t="shared" si="45"/>
        <v>243.86724386724387</v>
      </c>
      <c r="BA25" s="7">
        <f t="shared" si="46"/>
        <v>2455.3031305018953</v>
      </c>
      <c r="BB25" s="7">
        <f t="shared" si="47"/>
        <v>978.32556489980698</v>
      </c>
      <c r="BC25" s="7">
        <f>BB25*1000000/'a1'!BB25</f>
        <v>947.25649898945198</v>
      </c>
      <c r="BD25" s="7">
        <v>577</v>
      </c>
      <c r="BE25" s="11">
        <v>68.2</v>
      </c>
      <c r="BF25" s="7">
        <f t="shared" si="48"/>
        <v>846.04105571847515</v>
      </c>
      <c r="BG25" s="7">
        <f t="shared" si="49"/>
        <v>9881.1820190155231</v>
      </c>
      <c r="BH25" s="7">
        <f t="shared" si="50"/>
        <v>3614.06013026353</v>
      </c>
      <c r="BI25" s="7">
        <f>BH25*1000000/'a1'!BH25</f>
        <v>1480.6400036804519</v>
      </c>
      <c r="BJ25" s="7">
        <v>484</v>
      </c>
      <c r="BK25" s="11">
        <v>68.3</v>
      </c>
      <c r="BL25" s="7">
        <f t="shared" si="51"/>
        <v>708.63836017569554</v>
      </c>
      <c r="BM25" s="7">
        <f t="shared" si="52"/>
        <v>7370.5049679231088</v>
      </c>
      <c r="BN25" s="7">
        <f t="shared" si="53"/>
        <v>3008.1851074286092</v>
      </c>
      <c r="BO25" s="7">
        <f>BN25*1000000/'a1'!BN25</f>
        <v>986.72662348973677</v>
      </c>
    </row>
    <row r="26" spans="1:67" ht="15.75" customHeight="1">
      <c r="A26" s="1">
        <v>1988</v>
      </c>
      <c r="B26" s="7">
        <v>9045</v>
      </c>
      <c r="C26" s="11">
        <v>76.400000000000006</v>
      </c>
      <c r="D26" s="7">
        <f t="shared" si="21"/>
        <v>11839.005235602093</v>
      </c>
      <c r="E26" s="7">
        <f t="shared" si="22"/>
        <v>138710.55474022907</v>
      </c>
      <c r="F26" s="7">
        <f t="shared" si="23"/>
        <v>48113.325138046275</v>
      </c>
      <c r="G26" s="7">
        <f>F26*1000000/'a1'!F26</f>
        <v>1795.8263467494774</v>
      </c>
      <c r="H26" s="7">
        <v>92</v>
      </c>
      <c r="I26" s="11">
        <v>75.8</v>
      </c>
      <c r="J26" s="7">
        <f t="shared" si="24"/>
        <v>121.37203166226914</v>
      </c>
      <c r="K26" s="7">
        <f t="shared" si="25"/>
        <v>1151.5343508725593</v>
      </c>
      <c r="L26" s="7">
        <f t="shared" si="26"/>
        <v>450.93403675230991</v>
      </c>
      <c r="M26" s="7">
        <f>L26*1000000/'a1'!L26</f>
        <v>784.25765806983509</v>
      </c>
      <c r="N26" s="7">
        <v>13</v>
      </c>
      <c r="O26" s="11">
        <v>73.5</v>
      </c>
      <c r="P26" s="7">
        <f t="shared" si="27"/>
        <v>17.687074829931973</v>
      </c>
      <c r="Q26" s="7">
        <f t="shared" si="28"/>
        <v>224.72583563092786</v>
      </c>
      <c r="R26" s="7">
        <f t="shared" si="29"/>
        <v>89.387630215077223</v>
      </c>
      <c r="S26" s="7">
        <f>R26*1000000/'a1'!R26</f>
        <v>691.37846386836634</v>
      </c>
      <c r="T26" s="7">
        <v>271</v>
      </c>
      <c r="U26" s="11">
        <v>75.8</v>
      </c>
      <c r="V26" s="7">
        <f t="shared" si="30"/>
        <v>357.51978891820585</v>
      </c>
      <c r="W26" s="7">
        <f t="shared" si="31"/>
        <v>3472.1340220676393</v>
      </c>
      <c r="X26" s="7">
        <f t="shared" si="32"/>
        <v>1236.3560808086263</v>
      </c>
      <c r="Y26" s="7">
        <f>X26*1000000/'a1'!X26</f>
        <v>1377.9915659201647</v>
      </c>
      <c r="Z26" s="7">
        <v>152</v>
      </c>
      <c r="AA26" s="11">
        <v>79.099999999999994</v>
      </c>
      <c r="AB26" s="7">
        <f t="shared" si="33"/>
        <v>192.16182048040454</v>
      </c>
      <c r="AC26" s="7">
        <f t="shared" si="34"/>
        <v>3170.4313308121809</v>
      </c>
      <c r="AD26" s="7">
        <f t="shared" si="35"/>
        <v>654.3989103650099</v>
      </c>
      <c r="AE26" s="7">
        <f>AD26*1000000/'a1'!AD26</f>
        <v>896.00849780722626</v>
      </c>
      <c r="AF26" s="7">
        <v>2099</v>
      </c>
      <c r="AG26" s="11">
        <v>77.2</v>
      </c>
      <c r="AH26" s="7">
        <f t="shared" si="36"/>
        <v>2718.9119170984454</v>
      </c>
      <c r="AI26" s="7">
        <f t="shared" si="37"/>
        <v>27848.688639241038</v>
      </c>
      <c r="AJ26" s="7">
        <f t="shared" si="38"/>
        <v>10557.807867028001</v>
      </c>
      <c r="AK26" s="7">
        <f>AJ26*1000000/'a1'!AJ26</f>
        <v>1544.1990586076479</v>
      </c>
      <c r="AL26" s="7">
        <v>4718</v>
      </c>
      <c r="AM26" s="11">
        <v>77.5</v>
      </c>
      <c r="AN26" s="7">
        <f t="shared" si="39"/>
        <v>6087.7419354838712</v>
      </c>
      <c r="AO26" s="7">
        <f t="shared" si="40"/>
        <v>54189.420371350097</v>
      </c>
      <c r="AP26" s="7">
        <f t="shared" si="41"/>
        <v>21785.433080722418</v>
      </c>
      <c r="AQ26" s="7">
        <f>AP26*1000000/'a1'!AP26</f>
        <v>2214.2773153879725</v>
      </c>
      <c r="AR26" s="7">
        <v>232</v>
      </c>
      <c r="AS26" s="11">
        <v>78.2</v>
      </c>
      <c r="AT26" s="7">
        <f t="shared" si="42"/>
        <v>296.67519181585675</v>
      </c>
      <c r="AU26" s="7">
        <f t="shared" si="43"/>
        <v>3713.1943629898019</v>
      </c>
      <c r="AV26" s="7">
        <f t="shared" si="44"/>
        <v>1321.9606547522435</v>
      </c>
      <c r="AW26" s="7">
        <f>AV26*1000000/'a1'!AV26</f>
        <v>1199.4358806700377</v>
      </c>
      <c r="AX26" s="7">
        <v>176</v>
      </c>
      <c r="AY26" s="11">
        <v>74.3</v>
      </c>
      <c r="AZ26" s="7">
        <f t="shared" si="45"/>
        <v>236.87752355316286</v>
      </c>
      <c r="BA26" s="7">
        <f t="shared" si="46"/>
        <v>2692.1806540550583</v>
      </c>
      <c r="BB26" s="7">
        <f t="shared" si="47"/>
        <v>1019.5379754730085</v>
      </c>
      <c r="BC26" s="7">
        <f>BB26*1000000/'a1'!BB26</f>
        <v>991.55143618664056</v>
      </c>
      <c r="BD26" s="7">
        <v>659</v>
      </c>
      <c r="BE26" s="11">
        <v>67.2</v>
      </c>
      <c r="BF26" s="7">
        <f t="shared" si="48"/>
        <v>980.65476190476181</v>
      </c>
      <c r="BG26" s="7">
        <f t="shared" si="49"/>
        <v>10861.836780920285</v>
      </c>
      <c r="BH26" s="7">
        <f t="shared" si="50"/>
        <v>3871.9028661155862</v>
      </c>
      <c r="BI26" s="7">
        <f>BH26*1000000/'a1'!BH26</f>
        <v>1576.1136532298465</v>
      </c>
      <c r="BJ26" s="7">
        <v>618</v>
      </c>
      <c r="BK26" s="11">
        <v>71.7</v>
      </c>
      <c r="BL26" s="7">
        <f t="shared" si="51"/>
        <v>861.9246861924687</v>
      </c>
      <c r="BM26" s="7">
        <f t="shared" si="52"/>
        <v>8232.4296541155782</v>
      </c>
      <c r="BN26" s="7">
        <f t="shared" si="53"/>
        <v>3268.4727721353565</v>
      </c>
      <c r="BO26" s="7">
        <f>BN26*1000000/'a1'!BN26</f>
        <v>1049.3494596007065</v>
      </c>
    </row>
    <row r="27" spans="1:67" ht="15.75" customHeight="1">
      <c r="A27" s="1">
        <v>1989</v>
      </c>
      <c r="B27" s="7">
        <v>9517</v>
      </c>
      <c r="C27" s="11">
        <v>79.8</v>
      </c>
      <c r="D27" s="7">
        <f t="shared" si="21"/>
        <v>11926.065162907269</v>
      </c>
      <c r="E27" s="7">
        <f t="shared" si="22"/>
        <v>150636.61990313634</v>
      </c>
      <c r="F27" s="7">
        <f t="shared" si="23"/>
        <v>50416.725273344287</v>
      </c>
      <c r="G27" s="7">
        <f>F27*1000000/'a1'!F27</f>
        <v>1848.3385291447801</v>
      </c>
      <c r="H27" s="7">
        <v>99</v>
      </c>
      <c r="I27" s="11">
        <v>77.2</v>
      </c>
      <c r="J27" s="7">
        <f t="shared" si="24"/>
        <v>128.2383419689119</v>
      </c>
      <c r="K27" s="7">
        <f t="shared" si="25"/>
        <v>1279.7726928414713</v>
      </c>
      <c r="L27" s="7">
        <f t="shared" si="26"/>
        <v>488.98557137075989</v>
      </c>
      <c r="M27" s="7">
        <f>L27*1000000/'a1'!L27</f>
        <v>848.12197250678582</v>
      </c>
      <c r="N27" s="7">
        <v>16</v>
      </c>
      <c r="O27" s="11">
        <v>77.099999999999994</v>
      </c>
      <c r="P27" s="7">
        <f t="shared" si="27"/>
        <v>20.752269779507134</v>
      </c>
      <c r="Q27" s="7">
        <f t="shared" si="28"/>
        <v>245.47810541043501</v>
      </c>
      <c r="R27" s="7">
        <f t="shared" si="29"/>
        <v>92.262373951568918</v>
      </c>
      <c r="S27" s="7">
        <f>R27*1000000/'a1'!R27</f>
        <v>708.8762760103026</v>
      </c>
      <c r="T27" s="7">
        <v>235</v>
      </c>
      <c r="U27" s="11">
        <v>79</v>
      </c>
      <c r="V27" s="7">
        <f t="shared" si="30"/>
        <v>297.46835443037975</v>
      </c>
      <c r="W27" s="7">
        <f t="shared" si="31"/>
        <v>3769.6023764980191</v>
      </c>
      <c r="X27" s="7">
        <f t="shared" si="32"/>
        <v>1286.5532190772808</v>
      </c>
      <c r="Y27" s="7">
        <f>X27*1000000/'a1'!X27</f>
        <v>1423.4286993810645</v>
      </c>
      <c r="Z27" s="7">
        <v>161</v>
      </c>
      <c r="AA27" s="11">
        <v>82.8</v>
      </c>
      <c r="AB27" s="7">
        <f t="shared" si="33"/>
        <v>194.44444444444443</v>
      </c>
      <c r="AC27" s="7">
        <f t="shared" si="34"/>
        <v>3364.8757752566253</v>
      </c>
      <c r="AD27" s="7">
        <f t="shared" si="35"/>
        <v>717.96357273645242</v>
      </c>
      <c r="AE27" s="7">
        <f>AD27*1000000/'a1'!AD27</f>
        <v>976.64977539513802</v>
      </c>
      <c r="AF27" s="7">
        <v>2332</v>
      </c>
      <c r="AG27" s="11">
        <v>80.8</v>
      </c>
      <c r="AH27" s="7">
        <f t="shared" si="36"/>
        <v>2886.1386138613861</v>
      </c>
      <c r="AI27" s="7">
        <f t="shared" si="37"/>
        <v>30734.827253102423</v>
      </c>
      <c r="AJ27" s="7">
        <f t="shared" si="38"/>
        <v>11332.384907483789</v>
      </c>
      <c r="AK27" s="7">
        <f>AJ27*1000000/'a1'!AJ27</f>
        <v>1636.4152269075444</v>
      </c>
      <c r="AL27" s="7">
        <v>4872</v>
      </c>
      <c r="AM27" s="11">
        <v>81.5</v>
      </c>
      <c r="AN27" s="7">
        <f t="shared" si="39"/>
        <v>5977.9141104294486</v>
      </c>
      <c r="AO27" s="7">
        <f t="shared" si="40"/>
        <v>60167.334481779544</v>
      </c>
      <c r="AP27" s="7">
        <f t="shared" si="41"/>
        <v>23406.260575007385</v>
      </c>
      <c r="AQ27" s="7">
        <f>AP27*1000000/'a1'!AP27</f>
        <v>2316.6934557560508</v>
      </c>
      <c r="AR27" s="7">
        <v>250</v>
      </c>
      <c r="AS27" s="11">
        <v>80.8</v>
      </c>
      <c r="AT27" s="7">
        <f t="shared" si="42"/>
        <v>309.40594059405942</v>
      </c>
      <c r="AU27" s="7">
        <f t="shared" si="43"/>
        <v>4022.6003035838612</v>
      </c>
      <c r="AV27" s="7">
        <f t="shared" si="44"/>
        <v>1366.9744643958543</v>
      </c>
      <c r="AW27" s="7">
        <f>AV27*1000000/'a1'!AV27</f>
        <v>1238.4348359073579</v>
      </c>
      <c r="AX27" s="7">
        <v>189</v>
      </c>
      <c r="AY27" s="11">
        <v>76.900000000000006</v>
      </c>
      <c r="AZ27" s="7">
        <f t="shared" si="45"/>
        <v>245.77373211963587</v>
      </c>
      <c r="BA27" s="7">
        <f t="shared" si="46"/>
        <v>2937.9543861746943</v>
      </c>
      <c r="BB27" s="7">
        <f t="shared" si="47"/>
        <v>1061.4041124980427</v>
      </c>
      <c r="BC27" s="7">
        <f>BB27*1000000/'a1'!BB27</f>
        <v>1041.1649078542637</v>
      </c>
      <c r="BD27" s="7">
        <v>686</v>
      </c>
      <c r="BE27" s="11">
        <v>69.8</v>
      </c>
      <c r="BF27" s="7">
        <f t="shared" si="48"/>
        <v>982.80802292263627</v>
      </c>
      <c r="BG27" s="7">
        <f t="shared" si="49"/>
        <v>11844.644803842921</v>
      </c>
      <c r="BH27" s="7">
        <f t="shared" si="50"/>
        <v>4080.3303158151052</v>
      </c>
      <c r="BI27" s="7">
        <f>BH27*1000000/'a1'!BH27</f>
        <v>1633.2263880060061</v>
      </c>
      <c r="BJ27" s="7">
        <v>670</v>
      </c>
      <c r="BK27" s="11">
        <v>75.599999999999994</v>
      </c>
      <c r="BL27" s="7">
        <f t="shared" si="51"/>
        <v>886.24338624338623</v>
      </c>
      <c r="BM27" s="7">
        <f t="shared" si="52"/>
        <v>9118.6730403589645</v>
      </c>
      <c r="BN27" s="7">
        <f t="shared" si="53"/>
        <v>3501.0216039516718</v>
      </c>
      <c r="BO27" s="7">
        <f>BN27*1000000/'a1'!BN27</f>
        <v>1095.1901098629603</v>
      </c>
    </row>
    <row r="28" spans="1:67" ht="15.75" customHeight="1">
      <c r="A28" s="1">
        <v>1990</v>
      </c>
      <c r="B28" s="7">
        <v>10260</v>
      </c>
      <c r="C28" s="11">
        <v>82.4</v>
      </c>
      <c r="D28" s="7">
        <f t="shared" si="21"/>
        <v>12451.45631067961</v>
      </c>
      <c r="E28" s="7">
        <f t="shared" si="22"/>
        <v>163088.07621381595</v>
      </c>
      <c r="F28" s="7">
        <f t="shared" si="23"/>
        <v>52784.836529355045</v>
      </c>
      <c r="G28" s="7">
        <f>F28*1000000/'a1'!F28</f>
        <v>1906.1996126470151</v>
      </c>
      <c r="H28" s="7">
        <v>103</v>
      </c>
      <c r="I28" s="11">
        <v>79.099999999999994</v>
      </c>
      <c r="J28" s="7">
        <f t="shared" si="24"/>
        <v>130.21491782553733</v>
      </c>
      <c r="K28" s="7">
        <f t="shared" si="25"/>
        <v>1409.9876106670085</v>
      </c>
      <c r="L28" s="7">
        <f t="shared" si="26"/>
        <v>521.4033749221453</v>
      </c>
      <c r="M28" s="7">
        <f>L28*1000000/'a1'!L28</f>
        <v>903.06940274165754</v>
      </c>
      <c r="N28" s="7">
        <v>16</v>
      </c>
      <c r="O28" s="11">
        <v>80.7</v>
      </c>
      <c r="P28" s="7">
        <f t="shared" si="27"/>
        <v>19.826517967781907</v>
      </c>
      <c r="Q28" s="7">
        <f t="shared" si="28"/>
        <v>265.30462337821689</v>
      </c>
      <c r="R28" s="7">
        <f t="shared" si="29"/>
        <v>93.636417129037042</v>
      </c>
      <c r="S28" s="7">
        <f>R28*1000000/'a1'!R28</f>
        <v>718.04865747244742</v>
      </c>
      <c r="T28" s="7">
        <v>236</v>
      </c>
      <c r="U28" s="11">
        <v>82.6</v>
      </c>
      <c r="V28" s="7">
        <f t="shared" si="30"/>
        <v>285.71428571428572</v>
      </c>
      <c r="W28" s="7">
        <f t="shared" si="31"/>
        <v>4055.3166622123049</v>
      </c>
      <c r="X28" s="7">
        <f t="shared" si="32"/>
        <v>1314.9568609761104</v>
      </c>
      <c r="Y28" s="7">
        <f>X28*1000000/'a1'!X28</f>
        <v>1444.2917421982188</v>
      </c>
      <c r="Z28" s="7">
        <v>134</v>
      </c>
      <c r="AA28" s="11">
        <v>85.3</v>
      </c>
      <c r="AB28" s="7">
        <f t="shared" si="33"/>
        <v>157.0926143024619</v>
      </c>
      <c r="AC28" s="7">
        <f t="shared" si="34"/>
        <v>3521.968389559087</v>
      </c>
      <c r="AD28" s="7">
        <f t="shared" si="35"/>
        <v>731.46347249162386</v>
      </c>
      <c r="AE28" s="7">
        <f>AD28*1000000/'a1'!AD28</f>
        <v>988.25581700563646</v>
      </c>
      <c r="AF28" s="7">
        <v>2610</v>
      </c>
      <c r="AG28" s="11">
        <v>83.2</v>
      </c>
      <c r="AH28" s="7">
        <f t="shared" si="36"/>
        <v>3137.0192307692305</v>
      </c>
      <c r="AI28" s="7">
        <f t="shared" si="37"/>
        <v>33871.846483871654</v>
      </c>
      <c r="AJ28" s="7">
        <f t="shared" si="38"/>
        <v>12202.927156756263</v>
      </c>
      <c r="AK28" s="7">
        <f>AJ28*1000000/'a1'!AJ28</f>
        <v>1744.0262359759276</v>
      </c>
      <c r="AL28" s="7">
        <v>5139</v>
      </c>
      <c r="AM28" s="11">
        <v>84.1</v>
      </c>
      <c r="AN28" s="7">
        <f t="shared" si="39"/>
        <v>6110.5826397146257</v>
      </c>
      <c r="AO28" s="7">
        <f t="shared" si="40"/>
        <v>66277.917121494174</v>
      </c>
      <c r="AP28" s="7">
        <f t="shared" si="41"/>
        <v>24835.591099720536</v>
      </c>
      <c r="AQ28" s="7">
        <f>AP28*1000000/'a1'!AP28</f>
        <v>2412.1985576027791</v>
      </c>
      <c r="AR28" s="7">
        <v>263</v>
      </c>
      <c r="AS28" s="11">
        <v>81.7</v>
      </c>
      <c r="AT28" s="7">
        <f t="shared" si="42"/>
        <v>321.90942472460222</v>
      </c>
      <c r="AU28" s="7">
        <f t="shared" si="43"/>
        <v>4344.5097283084633</v>
      </c>
      <c r="AV28" s="7">
        <f t="shared" si="44"/>
        <v>1415.4889962412858</v>
      </c>
      <c r="AW28" s="7">
        <f>AV28*1000000/'a1'!AV28</f>
        <v>1280.4976531486971</v>
      </c>
      <c r="AX28" s="7">
        <v>201</v>
      </c>
      <c r="AY28" s="11">
        <v>76.400000000000006</v>
      </c>
      <c r="AZ28" s="7">
        <f t="shared" si="45"/>
        <v>263.08900523560209</v>
      </c>
      <c r="BA28" s="7">
        <f t="shared" si="46"/>
        <v>3201.0433914102964</v>
      </c>
      <c r="BB28" s="7">
        <f t="shared" si="47"/>
        <v>1112.2122952340362</v>
      </c>
      <c r="BC28" s="7">
        <f>BB28*1000000/'a1'!BB28</f>
        <v>1103.6841279771568</v>
      </c>
      <c r="BD28" s="7">
        <v>781</v>
      </c>
      <c r="BE28" s="11">
        <v>74.2</v>
      </c>
      <c r="BF28" s="7">
        <f t="shared" si="48"/>
        <v>1052.5606469002694</v>
      </c>
      <c r="BG28" s="7">
        <f t="shared" si="49"/>
        <v>12897.205450743189</v>
      </c>
      <c r="BH28" s="7">
        <f t="shared" si="50"/>
        <v>4316.8248995523536</v>
      </c>
      <c r="BI28" s="7">
        <f>BH28*1000000/'a1'!BH28</f>
        <v>1694.3422684902957</v>
      </c>
      <c r="BJ28" s="7">
        <v>772</v>
      </c>
      <c r="BK28" s="11">
        <v>78.2</v>
      </c>
      <c r="BL28" s="7">
        <f t="shared" si="51"/>
        <v>987.21227621483365</v>
      </c>
      <c r="BM28" s="7">
        <f t="shared" si="52"/>
        <v>10105.885316573798</v>
      </c>
      <c r="BN28" s="7">
        <f t="shared" si="53"/>
        <v>3788.0295593761712</v>
      </c>
      <c r="BO28" s="7">
        <f>BN28*1000000/'a1'!BN28</f>
        <v>1150.6384685620171</v>
      </c>
    </row>
    <row r="29" spans="1:67" ht="15.75" customHeight="1">
      <c r="A29" s="1">
        <v>1991</v>
      </c>
      <c r="B29" s="7">
        <v>10767</v>
      </c>
      <c r="C29" s="11">
        <v>84.8</v>
      </c>
      <c r="D29" s="7">
        <f t="shared" si="21"/>
        <v>12696.933962264151</v>
      </c>
      <c r="E29" s="7">
        <f t="shared" si="22"/>
        <v>175785.0101760801</v>
      </c>
      <c r="F29" s="7">
        <f t="shared" si="23"/>
        <v>54924.803185748191</v>
      </c>
      <c r="G29" s="7">
        <f>F29*1000000/'a1'!F29</f>
        <v>1958.9820741618948</v>
      </c>
      <c r="H29" s="7">
        <v>106</v>
      </c>
      <c r="I29" s="11">
        <v>81.8</v>
      </c>
      <c r="J29" s="7">
        <f t="shared" si="24"/>
        <v>129.58435207823962</v>
      </c>
      <c r="K29" s="7">
        <f t="shared" si="25"/>
        <v>1539.5719627452481</v>
      </c>
      <c r="L29" s="7">
        <f t="shared" si="26"/>
        <v>546.70705201595592</v>
      </c>
      <c r="M29" s="7">
        <f>L29*1000000/'a1'!L29</f>
        <v>943.17728125531517</v>
      </c>
      <c r="N29" s="7">
        <v>16</v>
      </c>
      <c r="O29" s="11">
        <v>84.1</v>
      </c>
      <c r="P29" s="7">
        <f t="shared" si="27"/>
        <v>19.024970273483948</v>
      </c>
      <c r="Q29" s="7">
        <f t="shared" si="28"/>
        <v>284.32959365170086</v>
      </c>
      <c r="R29" s="7">
        <f t="shared" si="29"/>
        <v>93.934103976713587</v>
      </c>
      <c r="S29" s="7">
        <f>R29*1000000/'a1'!R29</f>
        <v>720.52484852007444</v>
      </c>
      <c r="T29" s="7">
        <v>240</v>
      </c>
      <c r="U29" s="11">
        <v>86.5</v>
      </c>
      <c r="V29" s="7">
        <f t="shared" si="30"/>
        <v>277.45664739884393</v>
      </c>
      <c r="W29" s="7">
        <f t="shared" si="31"/>
        <v>4332.7733096111488</v>
      </c>
      <c r="X29" s="7">
        <f t="shared" si="32"/>
        <v>1329.4221361797322</v>
      </c>
      <c r="Y29" s="7">
        <f>X29*1000000/'a1'!X29</f>
        <v>1452.9695937017891</v>
      </c>
      <c r="Z29" s="7">
        <v>121</v>
      </c>
      <c r="AA29" s="11">
        <v>86.5</v>
      </c>
      <c r="AB29" s="7">
        <f t="shared" si="33"/>
        <v>139.88439306358381</v>
      </c>
      <c r="AC29" s="7">
        <f t="shared" si="34"/>
        <v>3661.8527826226709</v>
      </c>
      <c r="AD29" s="7">
        <f t="shared" si="35"/>
        <v>725.05517105688295</v>
      </c>
      <c r="AE29" s="7">
        <f>AD29*1000000/'a1'!AD29</f>
        <v>972.48828214886521</v>
      </c>
      <c r="AF29" s="7">
        <v>2879</v>
      </c>
      <c r="AG29" s="11">
        <v>86.5</v>
      </c>
      <c r="AH29" s="7">
        <f t="shared" si="36"/>
        <v>3328.3236994219656</v>
      </c>
      <c r="AI29" s="7">
        <f t="shared" si="37"/>
        <v>37200.170183293616</v>
      </c>
      <c r="AJ29" s="7">
        <f t="shared" si="38"/>
        <v>13090.665424826977</v>
      </c>
      <c r="AK29" s="7">
        <f>AJ29*1000000/'a1'!AJ29</f>
        <v>1852.2614870918478</v>
      </c>
      <c r="AL29" s="7">
        <v>5333</v>
      </c>
      <c r="AM29" s="11">
        <v>87.6</v>
      </c>
      <c r="AN29" s="7">
        <f t="shared" si="39"/>
        <v>6087.899543378996</v>
      </c>
      <c r="AO29" s="7">
        <f t="shared" si="40"/>
        <v>72365.816664873171</v>
      </c>
      <c r="AP29" s="7">
        <f t="shared" si="41"/>
        <v>25956.372423155426</v>
      </c>
      <c r="AQ29" s="7">
        <f>AP29*1000000/'a1'!AP29</f>
        <v>2488.3123493867338</v>
      </c>
      <c r="AR29" s="7">
        <v>284</v>
      </c>
      <c r="AS29" s="11">
        <v>83.9</v>
      </c>
      <c r="AT29" s="7">
        <f t="shared" si="42"/>
        <v>338.4982121573301</v>
      </c>
      <c r="AU29" s="7">
        <f t="shared" si="43"/>
        <v>4683.0079404657936</v>
      </c>
      <c r="AV29" s="7">
        <f t="shared" si="44"/>
        <v>1470.8894091503587</v>
      </c>
      <c r="AW29" s="7">
        <f>AV29*1000000/'a1'!AV29</f>
        <v>1325.5985100543605</v>
      </c>
      <c r="AX29" s="7">
        <v>216</v>
      </c>
      <c r="AY29" s="11">
        <v>76.099999999999994</v>
      </c>
      <c r="AZ29" s="7">
        <f t="shared" si="45"/>
        <v>283.83705650459927</v>
      </c>
      <c r="BA29" s="7">
        <f t="shared" si="46"/>
        <v>3484.8804479148957</v>
      </c>
      <c r="BB29" s="7">
        <f t="shared" si="47"/>
        <v>1173.6068926918283</v>
      </c>
      <c r="BC29" s="7">
        <f>BB29*1000000/'a1'!BB29</f>
        <v>1170.431511999773</v>
      </c>
      <c r="BD29" s="7">
        <v>789</v>
      </c>
      <c r="BE29" s="11">
        <v>73.5</v>
      </c>
      <c r="BF29" s="7">
        <f t="shared" si="48"/>
        <v>1073.4693877551019</v>
      </c>
      <c r="BG29" s="7">
        <f t="shared" si="49"/>
        <v>13970.674838498291</v>
      </c>
      <c r="BH29" s="7">
        <f t="shared" si="50"/>
        <v>4526.9293073969848</v>
      </c>
      <c r="BI29" s="7">
        <f>BH29*1000000/'a1'!BH29</f>
        <v>1746.294344647964</v>
      </c>
      <c r="BJ29" s="7">
        <v>782</v>
      </c>
      <c r="BK29" s="11">
        <v>80.599999999999994</v>
      </c>
      <c r="BL29" s="7">
        <f t="shared" si="51"/>
        <v>970.22332506203475</v>
      </c>
      <c r="BM29" s="7">
        <f t="shared" si="52"/>
        <v>11076.108641635834</v>
      </c>
      <c r="BN29" s="7">
        <f t="shared" si="53"/>
        <v>4000.6469725629718</v>
      </c>
      <c r="BO29" s="7">
        <f>BN29*1000000/'a1'!BN29</f>
        <v>1185.8030671654647</v>
      </c>
    </row>
    <row r="30" spans="1:67" ht="15.75" customHeight="1">
      <c r="A30" s="1">
        <v>1992</v>
      </c>
      <c r="B30" s="7">
        <v>11338</v>
      </c>
      <c r="C30" s="11">
        <v>85.9</v>
      </c>
      <c r="D30" s="7">
        <f t="shared" si="21"/>
        <v>13199.06868451688</v>
      </c>
      <c r="E30" s="7">
        <f t="shared" si="22"/>
        <v>188984.07886059699</v>
      </c>
      <c r="F30" s="7">
        <f t="shared" si="23"/>
        <v>57138.911233115439</v>
      </c>
      <c r="G30" s="7">
        <f>F30*1000000/'a1'!F30</f>
        <v>2013.9712926824634</v>
      </c>
      <c r="H30" s="7">
        <v>110</v>
      </c>
      <c r="I30" s="11">
        <v>82.7</v>
      </c>
      <c r="J30" s="7">
        <f t="shared" si="24"/>
        <v>133.01088270858526</v>
      </c>
      <c r="K30" s="7">
        <f t="shared" si="25"/>
        <v>1672.5828454538334</v>
      </c>
      <c r="L30" s="7">
        <f t="shared" si="26"/>
        <v>570.37652432134996</v>
      </c>
      <c r="M30" s="7">
        <f>L30*1000000/'a1'!L30</f>
        <v>983.2230224343183</v>
      </c>
      <c r="N30" s="7">
        <v>14</v>
      </c>
      <c r="O30" s="11">
        <v>85.2</v>
      </c>
      <c r="P30" s="7">
        <f t="shared" si="27"/>
        <v>16.431924882629108</v>
      </c>
      <c r="Q30" s="7">
        <f t="shared" si="28"/>
        <v>300.76151853432998</v>
      </c>
      <c r="R30" s="7">
        <f t="shared" si="29"/>
        <v>91.579208063999971</v>
      </c>
      <c r="S30" s="7">
        <f>R30*1000000/'a1'!R30</f>
        <v>700.00235474328667</v>
      </c>
      <c r="T30" s="7">
        <v>233</v>
      </c>
      <c r="U30" s="11">
        <v>87.5</v>
      </c>
      <c r="V30" s="7">
        <f t="shared" si="30"/>
        <v>266.28571428571428</v>
      </c>
      <c r="W30" s="7">
        <f t="shared" si="31"/>
        <v>4599.0590238968634</v>
      </c>
      <c r="X30" s="7">
        <f t="shared" si="32"/>
        <v>1329.8234232295001</v>
      </c>
      <c r="Y30" s="7">
        <f>X30*1000000/'a1'!X30</f>
        <v>1446.3233203612808</v>
      </c>
      <c r="Z30" s="7">
        <v>122</v>
      </c>
      <c r="AA30" s="11">
        <v>87.6</v>
      </c>
      <c r="AB30" s="7">
        <f t="shared" si="33"/>
        <v>139.26940639269407</v>
      </c>
      <c r="AC30" s="7">
        <f t="shared" si="34"/>
        <v>3801.1221890153652</v>
      </c>
      <c r="AD30" s="7">
        <f t="shared" si="35"/>
        <v>719.31354323820051</v>
      </c>
      <c r="AE30" s="7">
        <f>AD30*1000000/'a1'!AD30</f>
        <v>961.49358624901663</v>
      </c>
      <c r="AF30" s="7">
        <v>3129</v>
      </c>
      <c r="AG30" s="11">
        <v>87.9</v>
      </c>
      <c r="AH30" s="7">
        <f t="shared" si="36"/>
        <v>3559.7269624573378</v>
      </c>
      <c r="AI30" s="7">
        <f t="shared" si="37"/>
        <v>40759.897145750954</v>
      </c>
      <c r="AJ30" s="7">
        <f t="shared" si="38"/>
        <v>14032.25930231892</v>
      </c>
      <c r="AK30" s="7">
        <f>AJ30*1000000/'a1'!AJ30</f>
        <v>1973.5920627845699</v>
      </c>
      <c r="AL30" s="7">
        <v>5555</v>
      </c>
      <c r="AM30" s="11">
        <v>87.9</v>
      </c>
      <c r="AN30" s="7">
        <f t="shared" si="39"/>
        <v>6319.6814562002273</v>
      </c>
      <c r="AO30" s="7">
        <f t="shared" si="40"/>
        <v>78685.498121073397</v>
      </c>
      <c r="AP30" s="7">
        <f t="shared" si="41"/>
        <v>27084.779394724566</v>
      </c>
      <c r="AQ30" s="7">
        <f>AP30*1000000/'a1'!AP30</f>
        <v>2561.8855664191688</v>
      </c>
      <c r="AR30" s="7">
        <v>281</v>
      </c>
      <c r="AS30" s="11">
        <v>84.5</v>
      </c>
      <c r="AT30" s="7">
        <f t="shared" si="42"/>
        <v>332.54437869822488</v>
      </c>
      <c r="AU30" s="7">
        <f t="shared" si="43"/>
        <v>5015.5523191640186</v>
      </c>
      <c r="AV30" s="7">
        <f t="shared" si="44"/>
        <v>1509.2559060185117</v>
      </c>
      <c r="AW30" s="7">
        <f>AV30*1000000/'a1'!AV30</f>
        <v>1356.4040859741688</v>
      </c>
      <c r="AX30" s="7">
        <v>235</v>
      </c>
      <c r="AY30" s="11">
        <v>78.5</v>
      </c>
      <c r="AZ30" s="7">
        <f t="shared" si="45"/>
        <v>299.36305732484072</v>
      </c>
      <c r="BA30" s="7">
        <f t="shared" si="46"/>
        <v>3784.2435052397364</v>
      </c>
      <c r="BB30" s="7">
        <f t="shared" si="47"/>
        <v>1238.2485714783033</v>
      </c>
      <c r="BC30" s="7">
        <f>BB30*1000000/'a1'!BB30</f>
        <v>1233.321452276459</v>
      </c>
      <c r="BD30" s="7">
        <v>779</v>
      </c>
      <c r="BE30" s="11">
        <v>74.900000000000006</v>
      </c>
      <c r="BF30" s="7">
        <f t="shared" si="48"/>
        <v>1040.0534045393858</v>
      </c>
      <c r="BG30" s="7">
        <f t="shared" si="49"/>
        <v>15010.728243037676</v>
      </c>
      <c r="BH30" s="7">
        <f t="shared" si="50"/>
        <v>4661.5968504569737</v>
      </c>
      <c r="BI30" s="7">
        <f>BH30*1000000/'a1'!BH30</f>
        <v>1770.671337127061</v>
      </c>
      <c r="BJ30" s="7">
        <v>879</v>
      </c>
      <c r="BK30" s="11">
        <v>83.7</v>
      </c>
      <c r="BL30" s="7">
        <f t="shared" si="51"/>
        <v>1050.179211469534</v>
      </c>
      <c r="BM30" s="7">
        <f t="shared" si="52"/>
        <v>12126.287853105368</v>
      </c>
      <c r="BN30" s="7">
        <f t="shared" si="53"/>
        <v>4250.6967895199123</v>
      </c>
      <c r="BO30" s="7">
        <f>BN30*1000000/'a1'!BN30</f>
        <v>1225.4077314069561</v>
      </c>
    </row>
    <row r="31" spans="1:67" ht="15.75" customHeight="1">
      <c r="A31" s="1">
        <v>1993</v>
      </c>
      <c r="B31" s="7">
        <v>12184</v>
      </c>
      <c r="C31" s="11">
        <v>87.2</v>
      </c>
      <c r="D31" s="7">
        <f t="shared" si="21"/>
        <v>13972.477064220184</v>
      </c>
      <c r="E31" s="7">
        <f t="shared" si="22"/>
        <v>202956.55592481716</v>
      </c>
      <c r="F31" s="7">
        <f t="shared" si="23"/>
        <v>59683.606050712537</v>
      </c>
      <c r="G31" s="7">
        <f>F31*1000000/'a1'!F31</f>
        <v>2080.672724053527</v>
      </c>
      <c r="H31" s="7">
        <v>111</v>
      </c>
      <c r="I31" s="11">
        <v>84</v>
      </c>
      <c r="J31" s="7">
        <f t="shared" si="24"/>
        <v>132.14285714285714</v>
      </c>
      <c r="K31" s="7">
        <f t="shared" si="25"/>
        <v>1804.7257025966906</v>
      </c>
      <c r="L31" s="7">
        <f t="shared" si="26"/>
        <v>588.44407659993715</v>
      </c>
      <c r="M31" s="7">
        <f>L31*1000000/'a1'!L31</f>
        <v>1014.5989868562671</v>
      </c>
      <c r="N31" s="7">
        <v>17</v>
      </c>
      <c r="O31" s="11">
        <v>88.7</v>
      </c>
      <c r="P31" s="7">
        <f t="shared" si="27"/>
        <v>19.165727170236753</v>
      </c>
      <c r="Q31" s="7">
        <f t="shared" si="28"/>
        <v>319.92724570456676</v>
      </c>
      <c r="R31" s="7">
        <f t="shared" si="29"/>
        <v>92.429093621436735</v>
      </c>
      <c r="S31" s="7">
        <f>R31*1000000/'a1'!R31</f>
        <v>699.28273165101893</v>
      </c>
      <c r="T31" s="7">
        <v>245</v>
      </c>
      <c r="U31" s="11">
        <v>87.8</v>
      </c>
      <c r="V31" s="7">
        <f t="shared" si="30"/>
        <v>279.04328018223237</v>
      </c>
      <c r="W31" s="7">
        <f t="shared" si="31"/>
        <v>4878.102304079096</v>
      </c>
      <c r="X31" s="7">
        <f t="shared" si="32"/>
        <v>1342.9020187658325</v>
      </c>
      <c r="Y31" s="7">
        <f>X31*1000000/'a1'!X31</f>
        <v>1453.4751400447358</v>
      </c>
      <c r="Z31" s="7">
        <v>130</v>
      </c>
      <c r="AA31" s="11">
        <v>89.1</v>
      </c>
      <c r="AB31" s="7">
        <f t="shared" si="33"/>
        <v>145.90347923681259</v>
      </c>
      <c r="AC31" s="7">
        <f t="shared" si="34"/>
        <v>3947.0256682521776</v>
      </c>
      <c r="AD31" s="7">
        <f t="shared" si="35"/>
        <v>721.35431382737306</v>
      </c>
      <c r="AE31" s="7">
        <f>AD31*1000000/'a1'!AD31</f>
        <v>963.3316691337385</v>
      </c>
      <c r="AF31" s="7">
        <v>3309</v>
      </c>
      <c r="AG31" s="11">
        <v>88.3</v>
      </c>
      <c r="AH31" s="7">
        <f t="shared" si="36"/>
        <v>3747.4518686296719</v>
      </c>
      <c r="AI31" s="7">
        <f t="shared" si="37"/>
        <v>44507.349014380627</v>
      </c>
      <c r="AJ31" s="7">
        <f t="shared" si="38"/>
        <v>14973.259310484809</v>
      </c>
      <c r="AK31" s="7">
        <f>AJ31*1000000/'a1'!AJ31</f>
        <v>2092.2492695118895</v>
      </c>
      <c r="AL31" s="7">
        <v>6090</v>
      </c>
      <c r="AM31" s="11">
        <v>89.2</v>
      </c>
      <c r="AN31" s="7">
        <f t="shared" si="39"/>
        <v>6827.3542600896862</v>
      </c>
      <c r="AO31" s="7">
        <f t="shared" si="40"/>
        <v>85512.852381163088</v>
      </c>
      <c r="AP31" s="7">
        <f t="shared" si="41"/>
        <v>28495.177775869342</v>
      </c>
      <c r="AQ31" s="7">
        <f>AP31*1000000/'a1'!AP31</f>
        <v>2665.5824587217876</v>
      </c>
      <c r="AR31" s="7">
        <v>296</v>
      </c>
      <c r="AS31" s="11">
        <v>84.7</v>
      </c>
      <c r="AT31" s="7">
        <f t="shared" si="42"/>
        <v>349.46871310507674</v>
      </c>
      <c r="AU31" s="7">
        <f t="shared" si="43"/>
        <v>5365.0210322690955</v>
      </c>
      <c r="AV31" s="7">
        <f t="shared" si="44"/>
        <v>1556.8734379198863</v>
      </c>
      <c r="AW31" s="7">
        <f>AV31*1000000/'a1'!AV31</f>
        <v>1393.028242136299</v>
      </c>
      <c r="AX31" s="7">
        <v>233</v>
      </c>
      <c r="AY31" s="11">
        <v>79.599999999999994</v>
      </c>
      <c r="AZ31" s="7">
        <f t="shared" si="45"/>
        <v>292.713567839196</v>
      </c>
      <c r="BA31" s="7">
        <f t="shared" si="46"/>
        <v>4076.9570730789324</v>
      </c>
      <c r="BB31" s="7">
        <f t="shared" si="47"/>
        <v>1283.3124250218389</v>
      </c>
      <c r="BC31" s="7">
        <f>BB31*1000000/'a1'!BB31</f>
        <v>1274.518249103028</v>
      </c>
      <c r="BD31" s="7">
        <v>834</v>
      </c>
      <c r="BE31" s="11">
        <v>75.7</v>
      </c>
      <c r="BF31" s="7">
        <f t="shared" si="48"/>
        <v>1101.7173051519155</v>
      </c>
      <c r="BG31" s="7">
        <f t="shared" si="49"/>
        <v>16112.445548189591</v>
      </c>
      <c r="BH31" s="7">
        <f t="shared" si="50"/>
        <v>4830.9947855174951</v>
      </c>
      <c r="BI31" s="7">
        <f>BH31*1000000/'a1'!BH31</f>
        <v>1811.1983185633576</v>
      </c>
      <c r="BJ31" s="7">
        <v>916</v>
      </c>
      <c r="BK31" s="11">
        <v>86.4</v>
      </c>
      <c r="BL31" s="7">
        <f t="shared" si="51"/>
        <v>1060.1851851851852</v>
      </c>
      <c r="BM31" s="7">
        <f t="shared" si="52"/>
        <v>13186.473038290555</v>
      </c>
      <c r="BN31" s="7">
        <f t="shared" si="53"/>
        <v>4460.7426168011152</v>
      </c>
      <c r="BO31" s="7">
        <f>BN31*1000000/'a1'!BN31</f>
        <v>1250.2880275984887</v>
      </c>
    </row>
    <row r="32" spans="1:67" ht="15.75" customHeight="1">
      <c r="A32" s="1">
        <v>1994</v>
      </c>
      <c r="B32" s="320">
        <v>13341</v>
      </c>
      <c r="C32" s="286">
        <v>88.2</v>
      </c>
      <c r="D32" s="286">
        <f t="shared" si="21"/>
        <v>15125.850340136054</v>
      </c>
      <c r="E32" s="286">
        <f t="shared" si="22"/>
        <v>218082.40626495323</v>
      </c>
      <c r="F32" s="286">
        <f t="shared" si="23"/>
        <v>62872.735180706091</v>
      </c>
      <c r="G32" s="286">
        <f>F32*1000000/'a1'!F32</f>
        <v>2167.9757866468808</v>
      </c>
      <c r="H32" s="320">
        <v>108</v>
      </c>
      <c r="I32" s="286">
        <v>84.6</v>
      </c>
      <c r="J32" s="286">
        <f t="shared" si="24"/>
        <v>127.65957446808511</v>
      </c>
      <c r="K32" s="286">
        <f t="shared" si="25"/>
        <v>1932.3852770647757</v>
      </c>
      <c r="L32" s="286">
        <f t="shared" si="26"/>
        <v>598.41483574803487</v>
      </c>
      <c r="M32" s="286">
        <f>L32*1000000/'a1'!L32</f>
        <v>1041.6888653950537</v>
      </c>
      <c r="N32" s="320">
        <v>17</v>
      </c>
      <c r="O32" s="286">
        <v>86.3</v>
      </c>
      <c r="P32" s="286">
        <f t="shared" si="27"/>
        <v>19.698725376593281</v>
      </c>
      <c r="Q32" s="286">
        <f t="shared" si="28"/>
        <v>339.62597108116006</v>
      </c>
      <c r="R32" s="286">
        <f t="shared" si="29"/>
        <v>93.642000273742667</v>
      </c>
      <c r="S32" s="286">
        <f>R32*1000000/'a1'!R32</f>
        <v>701.76937636294781</v>
      </c>
      <c r="T32" s="7">
        <v>265</v>
      </c>
      <c r="U32" s="286">
        <v>89</v>
      </c>
      <c r="V32" s="286">
        <f t="shared" si="30"/>
        <v>297.75280898876406</v>
      </c>
      <c r="W32" s="286">
        <f t="shared" si="31"/>
        <v>5175.8551130678597</v>
      </c>
      <c r="X32" s="286">
        <f t="shared" si="32"/>
        <v>1372.0744240014301</v>
      </c>
      <c r="Y32" s="286">
        <f>X32*1000000/'a1'!X32</f>
        <v>1480.3294352735495</v>
      </c>
      <c r="Z32" s="7">
        <v>134</v>
      </c>
      <c r="AA32" s="286">
        <v>90.8</v>
      </c>
      <c r="AB32" s="286">
        <f t="shared" si="33"/>
        <v>147.57709251101323</v>
      </c>
      <c r="AC32" s="286">
        <f t="shared" si="34"/>
        <v>4094.6027607631909</v>
      </c>
      <c r="AD32" s="286">
        <f t="shared" si="35"/>
        <v>724.66054357291171</v>
      </c>
      <c r="AE32" s="286">
        <f>AD32*1000000/'a1'!AD32</f>
        <v>965.97578407047831</v>
      </c>
      <c r="AF32" s="7">
        <v>3538</v>
      </c>
      <c r="AG32" s="286">
        <v>88.9</v>
      </c>
      <c r="AH32" s="286">
        <f t="shared" si="36"/>
        <v>3979.7525309336329</v>
      </c>
      <c r="AI32" s="286">
        <f t="shared" si="37"/>
        <v>48487.101545314261</v>
      </c>
      <c r="AJ32" s="286">
        <f t="shared" si="38"/>
        <v>15958.35997932148</v>
      </c>
      <c r="AK32" s="286">
        <f>AJ32*1000000/'a1'!AJ32</f>
        <v>2218.7800070882404</v>
      </c>
      <c r="AL32" s="7">
        <v>6686</v>
      </c>
      <c r="AM32" s="286">
        <v>89.3</v>
      </c>
      <c r="AN32" s="286">
        <f t="shared" si="39"/>
        <v>7487.1220604703258</v>
      </c>
      <c r="AO32" s="286">
        <f t="shared" si="40"/>
        <v>92999.974441633414</v>
      </c>
      <c r="AP32" s="286">
        <f t="shared" si="41"/>
        <v>30283.264281165801</v>
      </c>
      <c r="AQ32" s="286">
        <f>AP32*1000000/'a1'!AP32</f>
        <v>2799.0438691894724</v>
      </c>
      <c r="AR32" s="7">
        <v>311</v>
      </c>
      <c r="AS32" s="286">
        <v>86</v>
      </c>
      <c r="AT32" s="286">
        <f t="shared" si="42"/>
        <v>361.62790697674421</v>
      </c>
      <c r="AU32" s="286">
        <f t="shared" si="43"/>
        <v>5726.6489392458398</v>
      </c>
      <c r="AV32" s="286">
        <f t="shared" si="44"/>
        <v>1607.1266573126534</v>
      </c>
      <c r="AW32" s="286">
        <f>AV32*1000000/'a1'!AV32</f>
        <v>1430.8081669049557</v>
      </c>
      <c r="AX32" s="7">
        <v>239</v>
      </c>
      <c r="AY32" s="286">
        <v>81.5</v>
      </c>
      <c r="AZ32" s="286">
        <f t="shared" si="45"/>
        <v>293.25153374233128</v>
      </c>
      <c r="BA32" s="286">
        <f t="shared" si="46"/>
        <v>4370.2086068212639</v>
      </c>
      <c r="BB32" s="286">
        <f t="shared" si="47"/>
        <v>1319.9014737598025</v>
      </c>
      <c r="BC32" s="286">
        <f>BB32*1000000/'a1'!BB32</f>
        <v>1307.383278864673</v>
      </c>
      <c r="BD32" s="7">
        <v>966</v>
      </c>
      <c r="BE32" s="286">
        <v>77.3</v>
      </c>
      <c r="BF32" s="286">
        <f t="shared" si="48"/>
        <v>1249.6765847347997</v>
      </c>
      <c r="BG32" s="286">
        <f t="shared" si="49"/>
        <v>17362.122132924393</v>
      </c>
      <c r="BH32" s="286">
        <f t="shared" si="50"/>
        <v>5114.4724131487965</v>
      </c>
      <c r="BI32" s="286">
        <f>BH32*1000000/'a1'!BH32</f>
        <v>1893.823983635079</v>
      </c>
      <c r="BJ32" s="7">
        <v>1067</v>
      </c>
      <c r="BK32" s="286">
        <v>89.8</v>
      </c>
      <c r="BL32" s="286">
        <f t="shared" si="51"/>
        <v>1188.195991091314</v>
      </c>
      <c r="BM32" s="286">
        <f t="shared" si="52"/>
        <v>14374.669029381868</v>
      </c>
      <c r="BN32" s="286">
        <f t="shared" si="53"/>
        <v>4756.7900845322065</v>
      </c>
      <c r="BO32" s="286">
        <f>BN32*1000000/'a1'!BN32</f>
        <v>1293.9861359009831</v>
      </c>
    </row>
    <row r="33" spans="1:67" ht="15.75" customHeight="1">
      <c r="A33" s="1">
        <v>1995</v>
      </c>
      <c r="B33" s="320">
        <v>13754</v>
      </c>
      <c r="C33" s="286">
        <v>90.2</v>
      </c>
      <c r="D33" s="286">
        <f t="shared" si="21"/>
        <v>15248.337028824832</v>
      </c>
      <c r="E33" s="286">
        <f t="shared" si="22"/>
        <v>233330.74329377807</v>
      </c>
      <c r="F33" s="286">
        <f t="shared" si="23"/>
        <v>65546.525173389702</v>
      </c>
      <c r="G33" s="286">
        <f>F33*1000000/'a1'!F33</f>
        <v>2236.9063372984369</v>
      </c>
      <c r="H33" s="320">
        <v>100</v>
      </c>
      <c r="I33" s="286">
        <v>85.8</v>
      </c>
      <c r="J33" s="286">
        <f t="shared" si="24"/>
        <v>116.55011655011656</v>
      </c>
      <c r="K33" s="286">
        <f t="shared" si="25"/>
        <v>2048.9353936148923</v>
      </c>
      <c r="L33" s="286">
        <f t="shared" si="26"/>
        <v>595.28198514854444</v>
      </c>
      <c r="M33" s="286">
        <f>L33*1000000/'a1'!L33</f>
        <v>1049.1454574989723</v>
      </c>
      <c r="N33" s="320">
        <v>16</v>
      </c>
      <c r="O33" s="286">
        <v>85.6</v>
      </c>
      <c r="P33" s="286">
        <f t="shared" si="27"/>
        <v>18.691588785046733</v>
      </c>
      <c r="Q33" s="286">
        <f t="shared" si="28"/>
        <v>358.31755986620681</v>
      </c>
      <c r="R33" s="286">
        <f t="shared" si="29"/>
        <v>93.605189004040867</v>
      </c>
      <c r="S33" s="286">
        <f>R33*1000000/'a1'!R33</f>
        <v>696.38945805186074</v>
      </c>
      <c r="T33" s="7">
        <v>265</v>
      </c>
      <c r="U33" s="286">
        <v>90.5</v>
      </c>
      <c r="V33" s="286">
        <f t="shared" si="30"/>
        <v>292.81767955801104</v>
      </c>
      <c r="W33" s="286">
        <f t="shared" si="31"/>
        <v>5468.6727926258709</v>
      </c>
      <c r="X33" s="286">
        <f t="shared" si="32"/>
        <v>1390.4772187591552</v>
      </c>
      <c r="Y33" s="286">
        <f>X33*1000000/'a1'!X33</f>
        <v>1498.1653436615472</v>
      </c>
      <c r="Z33" s="7">
        <v>140</v>
      </c>
      <c r="AA33" s="286">
        <v>94.2</v>
      </c>
      <c r="AB33" s="286">
        <f t="shared" si="33"/>
        <v>148.61995753715499</v>
      </c>
      <c r="AC33" s="286">
        <f t="shared" si="34"/>
        <v>4243.2227183003461</v>
      </c>
      <c r="AD33" s="286">
        <f t="shared" si="35"/>
        <v>728.34839239548432</v>
      </c>
      <c r="AE33" s="286">
        <f>AD33*1000000/'a1'!AD33</f>
        <v>969.91168756548007</v>
      </c>
      <c r="AF33" s="7">
        <v>3719</v>
      </c>
      <c r="AG33" s="286">
        <v>90.9</v>
      </c>
      <c r="AH33" s="286">
        <f t="shared" si="36"/>
        <v>4091.3091309130914</v>
      </c>
      <c r="AI33" s="286">
        <f t="shared" si="37"/>
        <v>52578.410676227351</v>
      </c>
      <c r="AJ33" s="286">
        <f t="shared" si="38"/>
        <v>16857.997114370275</v>
      </c>
      <c r="AK33" s="286">
        <f>AJ33*1000000/'a1'!AJ33</f>
        <v>2335.1552452377846</v>
      </c>
      <c r="AL33" s="7">
        <v>6923</v>
      </c>
      <c r="AM33" s="286">
        <v>91.3</v>
      </c>
      <c r="AN33" s="286">
        <f t="shared" si="39"/>
        <v>7582.6944140197156</v>
      </c>
      <c r="AO33" s="286">
        <f t="shared" si="40"/>
        <v>100582.66885565313</v>
      </c>
      <c r="AP33" s="286">
        <f t="shared" si="41"/>
        <v>31809.305838952358</v>
      </c>
      <c r="AQ33" s="286">
        <f>AP33*1000000/'a1'!AP33</f>
        <v>2904.9278678115152</v>
      </c>
      <c r="AR33" s="7">
        <v>295</v>
      </c>
      <c r="AS33" s="286">
        <v>89.1</v>
      </c>
      <c r="AT33" s="286">
        <f t="shared" si="42"/>
        <v>331.08866442199781</v>
      </c>
      <c r="AU33" s="286">
        <f t="shared" si="43"/>
        <v>6057.7376036678379</v>
      </c>
      <c r="AV33" s="286">
        <f t="shared" si="44"/>
        <v>1616.7899902721206</v>
      </c>
      <c r="AW33" s="286">
        <f>AV33*1000000/'a1'!AV33</f>
        <v>1431.8646683541783</v>
      </c>
      <c r="AX33" s="7">
        <v>254</v>
      </c>
      <c r="AY33" s="286">
        <v>87</v>
      </c>
      <c r="AZ33" s="286">
        <f t="shared" si="45"/>
        <v>291.95402298850576</v>
      </c>
      <c r="BA33" s="286">
        <f t="shared" si="46"/>
        <v>4662.1626298097699</v>
      </c>
      <c r="BB33" s="286">
        <f t="shared" si="47"/>
        <v>1347.8752019963479</v>
      </c>
      <c r="BC33" s="286">
        <f>BB33*1000000/'a1'!BB33</f>
        <v>1329.0203897272868</v>
      </c>
      <c r="BD33" s="7">
        <v>972</v>
      </c>
      <c r="BE33" s="286">
        <v>78.3</v>
      </c>
      <c r="BF33" s="286">
        <f t="shared" si="48"/>
        <v>1241.3793103448277</v>
      </c>
      <c r="BG33" s="286">
        <f t="shared" si="49"/>
        <v>18603.501443269219</v>
      </c>
      <c r="BH33" s="286">
        <f t="shared" si="50"/>
        <v>5332.9572408638651</v>
      </c>
      <c r="BI33" s="286">
        <f>BH33*1000000/'a1'!BH33</f>
        <v>1950.2359430904905</v>
      </c>
      <c r="BJ33" s="7">
        <v>1068</v>
      </c>
      <c r="BK33" s="286">
        <v>92.2</v>
      </c>
      <c r="BL33" s="286">
        <f t="shared" si="51"/>
        <v>1158.3514099783081</v>
      </c>
      <c r="BM33" s="286">
        <f t="shared" si="52"/>
        <v>15533.020439360176</v>
      </c>
      <c r="BN33" s="286">
        <f t="shared" si="53"/>
        <v>4963.7834776040736</v>
      </c>
      <c r="BO33" s="286">
        <f>BN33*1000000/'a1'!BN33</f>
        <v>1314.0775714459121</v>
      </c>
    </row>
    <row r="34" spans="1:67" ht="15.75" customHeight="1">
      <c r="A34" s="1">
        <v>1996</v>
      </c>
      <c r="B34" s="320">
        <v>13817</v>
      </c>
      <c r="C34" s="286">
        <v>91.6</v>
      </c>
      <c r="D34" s="286">
        <f t="shared" si="21"/>
        <v>15084.061135371181</v>
      </c>
      <c r="E34" s="286">
        <f t="shared" si="22"/>
        <v>248414.80442914926</v>
      </c>
      <c r="F34" s="286">
        <f t="shared" si="23"/>
        <v>67521.281274082954</v>
      </c>
      <c r="G34" s="286">
        <f>F34*1000000/'a1'!F34</f>
        <v>2280.3371888070178</v>
      </c>
      <c r="H34" s="320">
        <v>102</v>
      </c>
      <c r="I34" s="286">
        <v>88</v>
      </c>
      <c r="J34" s="286">
        <f t="shared" si="24"/>
        <v>115.90909090909092</v>
      </c>
      <c r="K34" s="286">
        <f t="shared" si="25"/>
        <v>2164.8444845239833</v>
      </c>
      <c r="L34" s="286">
        <f t="shared" si="26"/>
        <v>592.1346790279265</v>
      </c>
      <c r="M34" s="286">
        <f>L34*1000000/'a1'!L34</f>
        <v>1057.9538948288657</v>
      </c>
      <c r="N34" s="7">
        <v>17</v>
      </c>
      <c r="O34" s="286">
        <v>88.2</v>
      </c>
      <c r="P34" s="286">
        <f t="shared" si="27"/>
        <v>19.274376417233562</v>
      </c>
      <c r="Q34" s="286">
        <f t="shared" si="28"/>
        <v>377.59193628344036</v>
      </c>
      <c r="R34" s="286">
        <f t="shared" si="29"/>
        <v>94.158527620466259</v>
      </c>
      <c r="S34" s="286">
        <f>R34*1000000/'a1'!R34</f>
        <v>693.68357647853031</v>
      </c>
      <c r="T34" s="7">
        <v>257</v>
      </c>
      <c r="U34" s="286">
        <v>90.9</v>
      </c>
      <c r="V34" s="286">
        <f t="shared" si="30"/>
        <v>282.72827282728269</v>
      </c>
      <c r="W34" s="286">
        <f t="shared" si="31"/>
        <v>5751.4010654531539</v>
      </c>
      <c r="X34" s="286">
        <f t="shared" si="32"/>
        <v>1395.110047834607</v>
      </c>
      <c r="Y34" s="286">
        <f>X34*1000000/'a1'!X34</f>
        <v>1497.9808894562352</v>
      </c>
      <c r="Z34" s="7">
        <v>150</v>
      </c>
      <c r="AA34" s="286">
        <v>95</v>
      </c>
      <c r="AB34" s="286">
        <f t="shared" si="33"/>
        <v>157.89473684210526</v>
      </c>
      <c r="AC34" s="286">
        <f t="shared" si="34"/>
        <v>4401.117455142451</v>
      </c>
      <c r="AD34" s="286">
        <f t="shared" si="35"/>
        <v>740.57345075849275</v>
      </c>
      <c r="AE34" s="286">
        <f>AD34*1000000/'a1'!AD34</f>
        <v>984.45427794149521</v>
      </c>
      <c r="AF34" s="7">
        <v>3820</v>
      </c>
      <c r="AG34" s="286">
        <v>91.7</v>
      </c>
      <c r="AH34" s="286">
        <f t="shared" si="36"/>
        <v>4165.7579062159211</v>
      </c>
      <c r="AI34" s="286">
        <f t="shared" si="37"/>
        <v>56744.168582443272</v>
      </c>
      <c r="AJ34" s="286">
        <f t="shared" si="38"/>
        <v>17652.155597712142</v>
      </c>
      <c r="AK34" s="286">
        <f>AJ34*1000000/'a1'!AJ34</f>
        <v>2435.8226145220697</v>
      </c>
      <c r="AL34" s="7">
        <v>6924</v>
      </c>
      <c r="AM34" s="286">
        <v>92.7</v>
      </c>
      <c r="AN34" s="286">
        <f t="shared" si="39"/>
        <v>7469.255663430421</v>
      </c>
      <c r="AO34" s="286">
        <f t="shared" si="40"/>
        <v>108051.92451908355</v>
      </c>
      <c r="AP34" s="286">
        <f t="shared" si="41"/>
        <v>32916.700334592308</v>
      </c>
      <c r="AQ34" s="286">
        <f>AP34*1000000/'a1'!AP34</f>
        <v>2970.0431678047084</v>
      </c>
      <c r="AR34" s="7">
        <v>295</v>
      </c>
      <c r="AS34" s="286">
        <v>91.2</v>
      </c>
      <c r="AT34" s="286">
        <f t="shared" si="42"/>
        <v>323.46491228070175</v>
      </c>
      <c r="AU34" s="286">
        <f t="shared" si="43"/>
        <v>6381.2025159485393</v>
      </c>
      <c r="AV34" s="286">
        <f t="shared" si="44"/>
        <v>1616.8969044983983</v>
      </c>
      <c r="AW34" s="286">
        <f>AV34*1000000/'a1'!AV34</f>
        <v>1425.5886147530041</v>
      </c>
      <c r="AX34" s="7">
        <v>232</v>
      </c>
      <c r="AY34" s="286">
        <v>92.6</v>
      </c>
      <c r="AZ34" s="286">
        <f t="shared" si="45"/>
        <v>250.53995680345574</v>
      </c>
      <c r="BA34" s="286">
        <f t="shared" si="46"/>
        <v>4912.7025866132253</v>
      </c>
      <c r="BB34" s="286">
        <f t="shared" si="47"/>
        <v>1328.840118400534</v>
      </c>
      <c r="BC34" s="286">
        <f>BB34*1000000/'a1'!BB34</f>
        <v>1304.1333127897326</v>
      </c>
      <c r="BD34" s="7">
        <v>1005</v>
      </c>
      <c r="BE34" s="286">
        <v>82.3</v>
      </c>
      <c r="BF34" s="286">
        <f t="shared" si="48"/>
        <v>1221.1421628189551</v>
      </c>
      <c r="BG34" s="286">
        <f t="shared" si="49"/>
        <v>19824.643606088175</v>
      </c>
      <c r="BH34" s="286">
        <f t="shared" si="50"/>
        <v>5487.5079555100474</v>
      </c>
      <c r="BI34" s="286">
        <f>BH34*1000000/'a1'!BH34</f>
        <v>1977.3855723347483</v>
      </c>
      <c r="BJ34" s="7">
        <v>1002</v>
      </c>
      <c r="BK34" s="286">
        <v>92.7</v>
      </c>
      <c r="BL34" s="286">
        <f t="shared" si="51"/>
        <v>1080.906148867314</v>
      </c>
      <c r="BM34" s="286">
        <f t="shared" si="52"/>
        <v>16613.926588227489</v>
      </c>
      <c r="BN34" s="286">
        <f t="shared" si="53"/>
        <v>5051.9329309505729</v>
      </c>
      <c r="BO34" s="286">
        <f>BN34*1000000/'a1'!BN34</f>
        <v>1303.9544598313903</v>
      </c>
    </row>
    <row r="35" spans="1:67" ht="15.75" customHeight="1">
      <c r="A35" s="1">
        <v>1997</v>
      </c>
      <c r="B35" s="320">
        <v>14635</v>
      </c>
      <c r="C35" s="286">
        <v>92.7</v>
      </c>
      <c r="D35" s="286">
        <f t="shared" si="21"/>
        <v>15787.486515641853</v>
      </c>
      <c r="E35" s="286">
        <f t="shared" si="22"/>
        <v>264202.29094479111</v>
      </c>
      <c r="F35" s="286">
        <f t="shared" si="23"/>
        <v>69804.511534908219</v>
      </c>
      <c r="G35" s="286">
        <f>F35*1000000/'a1'!F35</f>
        <v>2334.1347191170203</v>
      </c>
      <c r="H35" s="320">
        <v>103</v>
      </c>
      <c r="I35" s="286">
        <v>87.9</v>
      </c>
      <c r="J35" s="286">
        <f t="shared" si="24"/>
        <v>117.17861205915811</v>
      </c>
      <c r="K35" s="286">
        <f t="shared" si="25"/>
        <v>2282.0230965831415</v>
      </c>
      <c r="L35" s="286">
        <f t="shared" si="26"/>
        <v>590.88635528149928</v>
      </c>
      <c r="M35" s="286">
        <f>L35*1000000/'a1'!L35</f>
        <v>1072.562274635103</v>
      </c>
      <c r="N35" s="7">
        <v>18</v>
      </c>
      <c r="O35" s="286">
        <v>87.1</v>
      </c>
      <c r="P35" s="286">
        <f t="shared" si="27"/>
        <v>20.66590126291619</v>
      </c>
      <c r="Q35" s="286">
        <f t="shared" si="28"/>
        <v>398.25783754635654</v>
      </c>
      <c r="R35" s="286">
        <f t="shared" si="29"/>
        <v>95.992723359289201</v>
      </c>
      <c r="S35" s="286">
        <f>R35*1000000/'a1'!R35</f>
        <v>705.33615018398325</v>
      </c>
      <c r="T35" s="7">
        <v>257</v>
      </c>
      <c r="U35" s="286">
        <v>91</v>
      </c>
      <c r="V35" s="286">
        <f t="shared" si="30"/>
        <v>282.41758241758242</v>
      </c>
      <c r="W35" s="286">
        <f t="shared" si="31"/>
        <v>6033.8186478707366</v>
      </c>
      <c r="X35" s="286">
        <f t="shared" si="32"/>
        <v>1398.5056206852682</v>
      </c>
      <c r="Y35" s="286">
        <f>X35*1000000/'a1'!X35</f>
        <v>1499.895560804533</v>
      </c>
      <c r="Z35" s="7">
        <v>127</v>
      </c>
      <c r="AA35" s="286">
        <v>95.1</v>
      </c>
      <c r="AB35" s="286">
        <f t="shared" si="33"/>
        <v>133.54363827549949</v>
      </c>
      <c r="AC35" s="286">
        <f t="shared" si="34"/>
        <v>4534.6610934179507</v>
      </c>
      <c r="AD35" s="286">
        <f t="shared" si="35"/>
        <v>726.00239888229373</v>
      </c>
      <c r="AE35" s="286">
        <f>AD35*1000000/'a1'!AD35</f>
        <v>964.77313804355515</v>
      </c>
      <c r="AF35" s="7">
        <v>3953</v>
      </c>
      <c r="AG35" s="286">
        <v>92.7</v>
      </c>
      <c r="AH35" s="286">
        <f t="shared" si="36"/>
        <v>4264.2934196332253</v>
      </c>
      <c r="AI35" s="286">
        <f t="shared" si="37"/>
        <v>61008.4620020765</v>
      </c>
      <c r="AJ35" s="286">
        <f t="shared" si="38"/>
        <v>18386.01789780294</v>
      </c>
      <c r="AK35" s="286">
        <f>AJ35*1000000/'a1'!AJ35</f>
        <v>2527.4228268429665</v>
      </c>
      <c r="AL35" s="7">
        <v>7525</v>
      </c>
      <c r="AM35" s="286">
        <v>94.3</v>
      </c>
      <c r="AN35" s="286">
        <f t="shared" si="39"/>
        <v>7979.8515376458108</v>
      </c>
      <c r="AO35" s="286">
        <f t="shared" si="40"/>
        <v>116031.77605672936</v>
      </c>
      <c r="AP35" s="286">
        <f t="shared" si="41"/>
        <v>34313.211805319661</v>
      </c>
      <c r="AQ35" s="286">
        <f>AP35*1000000/'a1'!AP35</f>
        <v>3056.1345205083112</v>
      </c>
      <c r="AR35" s="7">
        <v>271</v>
      </c>
      <c r="AS35" s="286">
        <v>92</v>
      </c>
      <c r="AT35" s="286">
        <f t="shared" si="42"/>
        <v>294.56521739130437</v>
      </c>
      <c r="AU35" s="286">
        <f t="shared" si="43"/>
        <v>6675.7677333398433</v>
      </c>
      <c r="AV35" s="286">
        <f t="shared" si="44"/>
        <v>1588.082740990023</v>
      </c>
      <c r="AW35" s="286">
        <f>AV35*1000000/'a1'!AV35</f>
        <v>1397.802660430887</v>
      </c>
      <c r="AX35" s="7">
        <v>288</v>
      </c>
      <c r="AY35" s="286">
        <v>89.8</v>
      </c>
      <c r="AZ35" s="286">
        <f t="shared" si="45"/>
        <v>320.71269487750561</v>
      </c>
      <c r="BA35" s="286">
        <f t="shared" si="46"/>
        <v>5233.4152814907311</v>
      </c>
      <c r="BB35" s="286">
        <f t="shared" si="47"/>
        <v>1383.7847895979328</v>
      </c>
      <c r="BC35" s="286">
        <f>BB35*1000000/'a1'!BB35</f>
        <v>1359.4479523548757</v>
      </c>
      <c r="BD35" s="7">
        <v>1051</v>
      </c>
      <c r="BE35" s="286">
        <v>83.6</v>
      </c>
      <c r="BF35" s="286">
        <f t="shared" si="48"/>
        <v>1257.1770334928231</v>
      </c>
      <c r="BG35" s="286">
        <f t="shared" si="49"/>
        <v>21081.820639580998</v>
      </c>
      <c r="BH35" s="286">
        <f t="shared" si="50"/>
        <v>5647.1833979008616</v>
      </c>
      <c r="BI35" s="286">
        <f>BH35*1000000/'a1'!BH35</f>
        <v>1995.578348342689</v>
      </c>
      <c r="BJ35" s="7">
        <v>1038</v>
      </c>
      <c r="BK35" s="286">
        <v>94.4</v>
      </c>
      <c r="BL35" s="286">
        <f t="shared" si="51"/>
        <v>1099.5762711864406</v>
      </c>
      <c r="BM35" s="286">
        <f t="shared" si="52"/>
        <v>17713.502859413929</v>
      </c>
      <c r="BN35" s="286">
        <f t="shared" si="53"/>
        <v>5141.1226159468988</v>
      </c>
      <c r="BO35" s="286">
        <f>BN35*1000000/'a1'!BN35</f>
        <v>1302.0171073893846</v>
      </c>
    </row>
    <row r="36" spans="1:67" ht="15.75" customHeight="1">
      <c r="A36" s="1">
        <v>1998</v>
      </c>
      <c r="B36" s="320">
        <v>16088</v>
      </c>
      <c r="C36" s="286">
        <v>92.3</v>
      </c>
      <c r="D36" s="286">
        <f t="shared" si="21"/>
        <v>17430.119176598047</v>
      </c>
      <c r="E36" s="286">
        <f t="shared" si="22"/>
        <v>281632.41012138914</v>
      </c>
      <c r="F36" s="286">
        <f t="shared" si="23"/>
        <v>73273.72840452462</v>
      </c>
      <c r="G36" s="286">
        <f>F36*1000000/'a1'!F36</f>
        <v>2429.8891737256695</v>
      </c>
      <c r="H36" s="320">
        <v>119</v>
      </c>
      <c r="I36" s="286">
        <v>88.5</v>
      </c>
      <c r="J36" s="286">
        <f t="shared" si="24"/>
        <v>134.4632768361582</v>
      </c>
      <c r="K36" s="286">
        <f t="shared" si="25"/>
        <v>2416.4863734192995</v>
      </c>
      <c r="L36" s="286">
        <f t="shared" si="26"/>
        <v>607.17236106135761</v>
      </c>
      <c r="M36" s="286">
        <f>L36*1000000/'a1'!L36</f>
        <v>1124.7202632271931</v>
      </c>
      <c r="N36" s="7">
        <v>24</v>
      </c>
      <c r="O36" s="286">
        <v>88.7</v>
      </c>
      <c r="P36" s="286">
        <f t="shared" si="27"/>
        <v>27.057497181510708</v>
      </c>
      <c r="Q36" s="286">
        <f t="shared" si="28"/>
        <v>425.31533472786725</v>
      </c>
      <c r="R36" s="286">
        <f t="shared" si="29"/>
        <v>103.85167586894208</v>
      </c>
      <c r="S36" s="286">
        <f>R36*1000000/'a1'!R36</f>
        <v>764.71735640291956</v>
      </c>
      <c r="T36" s="7">
        <v>311</v>
      </c>
      <c r="U36" s="286">
        <v>92.2</v>
      </c>
      <c r="V36" s="286">
        <f t="shared" si="30"/>
        <v>337.31019522776575</v>
      </c>
      <c r="W36" s="286">
        <f t="shared" si="31"/>
        <v>6371.1288430985023</v>
      </c>
      <c r="X36" s="286">
        <f t="shared" si="32"/>
        <v>1456.1146917759804</v>
      </c>
      <c r="Y36" s="286">
        <f>X36*1000000/'a1'!X36</f>
        <v>1562.6297886924099</v>
      </c>
      <c r="Z36" s="7">
        <v>155</v>
      </c>
      <c r="AA36" s="286">
        <v>96</v>
      </c>
      <c r="AB36" s="286">
        <f t="shared" si="33"/>
        <v>161.45833333333331</v>
      </c>
      <c r="AC36" s="286">
        <f t="shared" si="34"/>
        <v>4696.1194267512838</v>
      </c>
      <c r="AD36" s="286">
        <f t="shared" si="35"/>
        <v>742.26025243916843</v>
      </c>
      <c r="AE36" s="286">
        <f>AD36*1000000/'a1'!AD36</f>
        <v>988.98145635639946</v>
      </c>
      <c r="AF36" s="7">
        <v>4355</v>
      </c>
      <c r="AG36" s="286">
        <v>93.6</v>
      </c>
      <c r="AH36" s="286">
        <f t="shared" si="36"/>
        <v>4652.7777777777783</v>
      </c>
      <c r="AI36" s="286">
        <f t="shared" si="37"/>
        <v>65661.239779854281</v>
      </c>
      <c r="AJ36" s="286">
        <f t="shared" si="38"/>
        <v>19361.592096020129</v>
      </c>
      <c r="AK36" s="286">
        <f>AJ36*1000000/'a1'!AJ36</f>
        <v>2653.7506290859405</v>
      </c>
      <c r="AL36" s="7">
        <v>8245</v>
      </c>
      <c r="AM36" s="286">
        <v>94.6</v>
      </c>
      <c r="AN36" s="286">
        <f t="shared" si="39"/>
        <v>8715.6448202959837</v>
      </c>
      <c r="AO36" s="286">
        <f t="shared" si="40"/>
        <v>124747.42087702535</v>
      </c>
      <c r="AP36" s="286">
        <f t="shared" si="41"/>
        <v>36166.214264551716</v>
      </c>
      <c r="AQ36" s="286">
        <f>AP36*1000000/'a1'!AP36</f>
        <v>3181.9927223149066</v>
      </c>
      <c r="AR36" s="7">
        <v>298</v>
      </c>
      <c r="AS36" s="286">
        <v>91.9</v>
      </c>
      <c r="AT36" s="286">
        <f t="shared" si="42"/>
        <v>324.26550598476604</v>
      </c>
      <c r="AU36" s="286">
        <f t="shared" si="43"/>
        <v>7000.033239324609</v>
      </c>
      <c r="AV36" s="286">
        <f t="shared" si="44"/>
        <v>1594.7316987767845</v>
      </c>
      <c r="AW36" s="286">
        <f>AV36*1000000/'a1'!AV36</f>
        <v>1401.9754905557631</v>
      </c>
      <c r="AX36" s="7">
        <v>279</v>
      </c>
      <c r="AY36" s="286">
        <v>87.3</v>
      </c>
      <c r="AZ36" s="286">
        <f t="shared" si="45"/>
        <v>319.58762886597941</v>
      </c>
      <c r="BA36" s="286">
        <f t="shared" si="46"/>
        <v>5553.0029103567103</v>
      </c>
      <c r="BB36" s="286">
        <f t="shared" si="47"/>
        <v>1426.6154605443257</v>
      </c>
      <c r="BC36" s="286">
        <f>BB36*1000000/'a1'!BB36</f>
        <v>1402.310612999813</v>
      </c>
      <c r="BD36" s="7">
        <v>1183</v>
      </c>
      <c r="BE36" s="286">
        <v>79.7</v>
      </c>
      <c r="BF36" s="286">
        <f t="shared" si="48"/>
        <v>1484.3161856963613</v>
      </c>
      <c r="BG36" s="286">
        <f t="shared" si="49"/>
        <v>22566.136825277357</v>
      </c>
      <c r="BH36" s="286">
        <f t="shared" si="50"/>
        <v>6002.0629040170506</v>
      </c>
      <c r="BI36" s="286">
        <f>BH36*1000000/'a1'!BH36</f>
        <v>2070.3436568939965</v>
      </c>
      <c r="BJ36" s="7">
        <v>1113</v>
      </c>
      <c r="BK36" s="286">
        <v>94.2</v>
      </c>
      <c r="BL36" s="286">
        <f t="shared" si="51"/>
        <v>1181.5286624203823</v>
      </c>
      <c r="BM36" s="286">
        <f t="shared" si="52"/>
        <v>18895.031521834313</v>
      </c>
      <c r="BN36" s="286">
        <f t="shared" si="53"/>
        <v>5294.4267551779012</v>
      </c>
      <c r="BO36" s="286">
        <f>BN36*1000000/'a1'!BN36</f>
        <v>1329.2183162209813</v>
      </c>
    </row>
    <row r="37" spans="1:67" ht="15.75" customHeight="1">
      <c r="A37" s="1">
        <v>1999</v>
      </c>
      <c r="B37" s="320">
        <v>17637</v>
      </c>
      <c r="C37" s="286">
        <v>93.9</v>
      </c>
      <c r="D37" s="286">
        <f t="shared" si="21"/>
        <v>18782.747603833865</v>
      </c>
      <c r="E37" s="286">
        <f t="shared" si="22"/>
        <v>300415.15772522299</v>
      </c>
      <c r="F37" s="286">
        <f t="shared" si="23"/>
        <v>77401.730327453566</v>
      </c>
      <c r="G37" s="286">
        <f>F37*1000000/'a1'!F37</f>
        <v>2546.001847667022</v>
      </c>
      <c r="H37" s="320">
        <v>127</v>
      </c>
      <c r="I37" s="286">
        <v>91.5</v>
      </c>
      <c r="J37" s="286">
        <f t="shared" si="24"/>
        <v>138.79781420765028</v>
      </c>
      <c r="K37" s="286">
        <f t="shared" si="25"/>
        <v>2555.2841876269499</v>
      </c>
      <c r="L37" s="286">
        <f t="shared" si="26"/>
        <v>624.53570305673634</v>
      </c>
      <c r="M37" s="286">
        <f>L37*1000000/'a1'!L37</f>
        <v>1171.0139577197872</v>
      </c>
      <c r="N37" s="7">
        <v>26</v>
      </c>
      <c r="O37" s="286">
        <v>90.2</v>
      </c>
      <c r="P37" s="286">
        <f t="shared" si="27"/>
        <v>28.824833702882479</v>
      </c>
      <c r="Q37" s="286">
        <f t="shared" si="28"/>
        <v>454.14016843074972</v>
      </c>
      <c r="R37" s="286">
        <f t="shared" si="29"/>
        <v>111.90617439803614</v>
      </c>
      <c r="S37" s="286">
        <f>R37*1000000/'a1'!R37</f>
        <v>821.14289151118749</v>
      </c>
      <c r="T37" s="7">
        <v>339</v>
      </c>
      <c r="U37" s="286">
        <v>94.2</v>
      </c>
      <c r="V37" s="286">
        <f t="shared" si="30"/>
        <v>359.87261146496814</v>
      </c>
      <c r="W37" s="286">
        <f t="shared" si="31"/>
        <v>6731.0014545634704</v>
      </c>
      <c r="X37" s="286">
        <f t="shared" si="32"/>
        <v>1524.7643648857525</v>
      </c>
      <c r="Y37" s="286">
        <f>X37*1000000/'a1'!X37</f>
        <v>1632.8876537676299</v>
      </c>
      <c r="Z37" s="7">
        <v>164</v>
      </c>
      <c r="AA37" s="286">
        <v>97.6</v>
      </c>
      <c r="AB37" s="286">
        <f t="shared" si="33"/>
        <v>168.03278688524591</v>
      </c>
      <c r="AC37" s="286">
        <f t="shared" si="34"/>
        <v>4864.1522136365293</v>
      </c>
      <c r="AD37" s="286">
        <f t="shared" si="35"/>
        <v>761.84098883658066</v>
      </c>
      <c r="AE37" s="286">
        <f>AD37*1000000/'a1'!AD37</f>
        <v>1014.9746520942293</v>
      </c>
      <c r="AF37" s="7">
        <v>4918</v>
      </c>
      <c r="AG37" s="286">
        <v>94.7</v>
      </c>
      <c r="AH37" s="286">
        <f t="shared" si="36"/>
        <v>5193.2418162618796</v>
      </c>
      <c r="AI37" s="286">
        <f t="shared" si="37"/>
        <v>70854.481596116166</v>
      </c>
      <c r="AJ37" s="286">
        <f t="shared" si="38"/>
        <v>20682.515493077983</v>
      </c>
      <c r="AK37" s="286">
        <f>AJ37*1000000/'a1'!AJ37</f>
        <v>2824.2263329912244</v>
      </c>
      <c r="AL37" s="7">
        <v>8888</v>
      </c>
      <c r="AM37" s="286">
        <v>95.2</v>
      </c>
      <c r="AN37" s="286">
        <f t="shared" si="39"/>
        <v>9336.134453781513</v>
      </c>
      <c r="AO37" s="286">
        <f t="shared" si="40"/>
        <v>134083.55533080685</v>
      </c>
      <c r="AP37" s="286">
        <f t="shared" si="41"/>
        <v>38269.105865422884</v>
      </c>
      <c r="AQ37" s="286">
        <f>AP37*1000000/'a1'!AP37</f>
        <v>3326.3717966993381</v>
      </c>
      <c r="AR37" s="7">
        <v>385</v>
      </c>
      <c r="AS37" s="286">
        <v>93.3</v>
      </c>
      <c r="AT37" s="286">
        <f t="shared" si="42"/>
        <v>412.64737406216511</v>
      </c>
      <c r="AU37" s="286">
        <f t="shared" si="43"/>
        <v>7412.680613386774</v>
      </c>
      <c r="AV37" s="286">
        <f t="shared" si="44"/>
        <v>1688.4327330835927</v>
      </c>
      <c r="AW37" s="286">
        <f>AV37*1000000/'a1'!AV37</f>
        <v>1477.9077324163486</v>
      </c>
      <c r="AX37" s="7">
        <v>323</v>
      </c>
      <c r="AY37" s="286">
        <v>90.7</v>
      </c>
      <c r="AZ37" s="286">
        <f t="shared" si="45"/>
        <v>356.11907386990077</v>
      </c>
      <c r="BA37" s="286">
        <f t="shared" si="46"/>
        <v>5909.1219842266109</v>
      </c>
      <c r="BB37" s="286">
        <f t="shared" si="47"/>
        <v>1497.4114423053616</v>
      </c>
      <c r="BC37" s="286">
        <f>BB37*1000000/'a1'!BB37</f>
        <v>1475.9743902612076</v>
      </c>
      <c r="BD37" s="7">
        <v>1165</v>
      </c>
      <c r="BE37" s="286">
        <v>85.7</v>
      </c>
      <c r="BF37" s="286">
        <f t="shared" si="48"/>
        <v>1359.3932322053674</v>
      </c>
      <c r="BG37" s="286">
        <f t="shared" si="49"/>
        <v>23925.530057482723</v>
      </c>
      <c r="BH37" s="286">
        <f t="shared" si="50"/>
        <v>6161.043555419008</v>
      </c>
      <c r="BI37" s="286">
        <f>BH37*1000000/'a1'!BH37</f>
        <v>2086.5852433707978</v>
      </c>
      <c r="BJ37" s="7">
        <v>1290</v>
      </c>
      <c r="BK37" s="286">
        <v>95.4</v>
      </c>
      <c r="BL37" s="286">
        <f t="shared" si="51"/>
        <v>1352.2012578616352</v>
      </c>
      <c r="BM37" s="286">
        <f t="shared" si="52"/>
        <v>20247.232779695947</v>
      </c>
      <c r="BN37" s="286">
        <f t="shared" si="53"/>
        <v>5587.742662003956</v>
      </c>
      <c r="BO37" s="286">
        <f>BN37*1000000/'a1'!BN37</f>
        <v>1392.9743945664407</v>
      </c>
    </row>
    <row r="38" spans="1:67" ht="15.75" customHeight="1">
      <c r="A38" s="1">
        <v>2000</v>
      </c>
      <c r="B38" s="320">
        <v>20556</v>
      </c>
      <c r="C38" s="13">
        <v>97.8</v>
      </c>
      <c r="D38" s="286">
        <f t="shared" si="21"/>
        <v>21018.404907975459</v>
      </c>
      <c r="E38" s="286">
        <f t="shared" si="22"/>
        <v>321433.56263319845</v>
      </c>
      <c r="F38" s="286">
        <f t="shared" si="23"/>
        <v>82939.789169938318</v>
      </c>
      <c r="G38" s="286">
        <f>F38*1000000/'a1'!F38</f>
        <v>2702.8781511777079</v>
      </c>
      <c r="H38" s="320">
        <v>138</v>
      </c>
      <c r="I38" s="13">
        <v>99.4</v>
      </c>
      <c r="J38" s="286">
        <f t="shared" si="24"/>
        <v>138.83299798792757</v>
      </c>
      <c r="K38" s="286">
        <f t="shared" si="25"/>
        <v>2694.1171856148776</v>
      </c>
      <c r="L38" s="286">
        <f t="shared" si="26"/>
        <v>638.46156043331666</v>
      </c>
      <c r="M38" s="286">
        <f>L38*1000000/'a1'!L38</f>
        <v>1209.2853714695959</v>
      </c>
      <c r="N38" s="7">
        <v>37</v>
      </c>
      <c r="O38" s="13">
        <v>94.3</v>
      </c>
      <c r="P38" s="286">
        <f t="shared" si="27"/>
        <v>39.236479321314953</v>
      </c>
      <c r="Q38" s="286">
        <f t="shared" si="28"/>
        <v>493.37664775206468</v>
      </c>
      <c r="R38" s="286">
        <f t="shared" si="29"/>
        <v>128.76141883974387</v>
      </c>
      <c r="S38" s="286">
        <f>R38*1000000/'a1'!R38</f>
        <v>943.51446354322468</v>
      </c>
      <c r="T38" s="7">
        <v>362</v>
      </c>
      <c r="U38" s="13">
        <v>97.7</v>
      </c>
      <c r="V38" s="286">
        <f t="shared" si="30"/>
        <v>370.52200614124871</v>
      </c>
      <c r="W38" s="286">
        <f t="shared" si="31"/>
        <v>7101.5234607047187</v>
      </c>
      <c r="X38" s="286">
        <f t="shared" si="32"/>
        <v>1590.3334980498507</v>
      </c>
      <c r="Y38" s="286">
        <f>X38*1000000/'a1'!X38</f>
        <v>1703.0389100800376</v>
      </c>
      <c r="Z38" s="7">
        <v>158</v>
      </c>
      <c r="AA38" s="13">
        <v>100.8</v>
      </c>
      <c r="AB38" s="286">
        <f t="shared" si="33"/>
        <v>156.74603174603175</v>
      </c>
      <c r="AC38" s="286">
        <f t="shared" si="34"/>
        <v>5020.8982453825611</v>
      </c>
      <c r="AD38" s="286">
        <f t="shared" si="35"/>
        <v>766.21882281529633</v>
      </c>
      <c r="AE38" s="286">
        <f>AD38*1000000/'a1'!AD38</f>
        <v>1020.9213419753268</v>
      </c>
      <c r="AF38" s="7">
        <v>5717</v>
      </c>
      <c r="AG38" s="13">
        <v>96.8</v>
      </c>
      <c r="AH38" s="286">
        <f t="shared" si="36"/>
        <v>5905.9917355371899</v>
      </c>
      <c r="AI38" s="286">
        <f t="shared" si="37"/>
        <v>76760.473331653353</v>
      </c>
      <c r="AJ38" s="286">
        <f t="shared" si="38"/>
        <v>22452.004129999579</v>
      </c>
      <c r="AK38" s="286">
        <f>AJ38*1000000/'a1'!AJ38</f>
        <v>3051.8083007484461</v>
      </c>
      <c r="AL38" s="7">
        <v>10383</v>
      </c>
      <c r="AM38" s="13">
        <v>96.8</v>
      </c>
      <c r="AN38" s="286">
        <f t="shared" si="39"/>
        <v>10726.239669421488</v>
      </c>
      <c r="AO38" s="286">
        <f t="shared" si="40"/>
        <v>144809.79500022833</v>
      </c>
      <c r="AP38" s="286">
        <f t="shared" si="41"/>
        <v>41341.524361759795</v>
      </c>
      <c r="AQ38" s="286">
        <f>AP38*1000000/'a1'!AP38</f>
        <v>3538.5173492877261</v>
      </c>
      <c r="AR38" s="7">
        <v>393</v>
      </c>
      <c r="AS38" s="13">
        <v>95.4</v>
      </c>
      <c r="AT38" s="286">
        <f t="shared" si="42"/>
        <v>411.9496855345912</v>
      </c>
      <c r="AU38" s="286">
        <f t="shared" si="43"/>
        <v>7824.6302989213655</v>
      </c>
      <c r="AV38" s="286">
        <f t="shared" si="44"/>
        <v>1762.6958720014654</v>
      </c>
      <c r="AW38" s="286">
        <f>AV38*1000000/'a1'!AV38</f>
        <v>1536.3687781812507</v>
      </c>
      <c r="AX38" s="7">
        <v>376</v>
      </c>
      <c r="AY38" s="13">
        <v>97.2</v>
      </c>
      <c r="AZ38" s="286">
        <f t="shared" si="45"/>
        <v>386.83127572016457</v>
      </c>
      <c r="BA38" s="286">
        <f t="shared" si="46"/>
        <v>6295.9532599467757</v>
      </c>
      <c r="BB38" s="286">
        <f t="shared" si="47"/>
        <v>1584.7604295644537</v>
      </c>
      <c r="BC38" s="286">
        <f>BB38*1000000/'a1'!BB38</f>
        <v>1572.8617305726714</v>
      </c>
      <c r="BD38" s="7">
        <v>1319</v>
      </c>
      <c r="BE38" s="13">
        <v>99.9</v>
      </c>
      <c r="BF38" s="286">
        <f t="shared" si="48"/>
        <v>1320.3203203203202</v>
      </c>
      <c r="BG38" s="286">
        <f t="shared" si="49"/>
        <v>25245.850377803043</v>
      </c>
      <c r="BH38" s="286">
        <f t="shared" si="50"/>
        <v>6249.1551646555272</v>
      </c>
      <c r="BI38" s="286">
        <f>BH38*1000000/'a1'!BH38</f>
        <v>2080.1409110369977</v>
      </c>
      <c r="BJ38" s="7">
        <v>1606</v>
      </c>
      <c r="BK38" s="13">
        <v>99.1</v>
      </c>
      <c r="BL38" s="286">
        <f t="shared" si="51"/>
        <v>1620.5852674066603</v>
      </c>
      <c r="BM38" s="286">
        <f t="shared" si="52"/>
        <v>21867.818047102606</v>
      </c>
      <c r="BN38" s="286">
        <f t="shared" si="53"/>
        <v>6090.7793970098246</v>
      </c>
      <c r="BO38" s="286">
        <f>BN38*1000000/'a1'!BN38</f>
        <v>1507.90606056348</v>
      </c>
    </row>
    <row r="39" spans="1:67" ht="15.75" customHeight="1">
      <c r="A39" s="1">
        <v>2001</v>
      </c>
      <c r="B39" s="320">
        <v>23133</v>
      </c>
      <c r="C39" s="13">
        <v>98.9</v>
      </c>
      <c r="D39" s="286">
        <f t="shared" si="21"/>
        <v>23390.29322548028</v>
      </c>
      <c r="E39" s="286">
        <f t="shared" si="22"/>
        <v>344823.85585867875</v>
      </c>
      <c r="F39" s="286">
        <f t="shared" si="23"/>
        <v>89742.124561430945</v>
      </c>
      <c r="G39" s="286">
        <f>F39*1000000/'a1'!F39</f>
        <v>2893.1321673421967</v>
      </c>
      <c r="H39" s="320">
        <v>142</v>
      </c>
      <c r="I39" s="13">
        <v>99.6</v>
      </c>
      <c r="J39" s="286">
        <f t="shared" si="24"/>
        <v>142.57028112449802</v>
      </c>
      <c r="K39" s="286">
        <f t="shared" si="25"/>
        <v>2836.6874667393759</v>
      </c>
      <c r="L39" s="286">
        <f t="shared" si="26"/>
        <v>653.33952947115131</v>
      </c>
      <c r="M39" s="286">
        <f>L39*1000000/'a1'!L39</f>
        <v>1251.52917434559</v>
      </c>
      <c r="N39" s="7">
        <v>37</v>
      </c>
      <c r="O39" s="13">
        <v>97.1</v>
      </c>
      <c r="P39" s="286">
        <f t="shared" si="27"/>
        <v>38.105046343975282</v>
      </c>
      <c r="Q39" s="286">
        <f t="shared" si="28"/>
        <v>531.48169409603997</v>
      </c>
      <c r="R39" s="286">
        <f t="shared" si="29"/>
        <v>141.11418141577039</v>
      </c>
      <c r="S39" s="286">
        <f>R39*1000000/'a1'!R39</f>
        <v>1032.5704939579139</v>
      </c>
      <c r="T39" s="7">
        <v>376</v>
      </c>
      <c r="U39" s="13">
        <v>99.5</v>
      </c>
      <c r="V39" s="286">
        <f t="shared" si="30"/>
        <v>377.8894472361809</v>
      </c>
      <c r="W39" s="286">
        <f t="shared" si="31"/>
        <v>7479.4129079408995</v>
      </c>
      <c r="X39" s="286">
        <f t="shared" si="32"/>
        <v>1650.1562456760616</v>
      </c>
      <c r="Y39" s="286">
        <f>X39*1000000/'a1'!X39</f>
        <v>1769.6918514758493</v>
      </c>
      <c r="Z39" s="7">
        <v>162</v>
      </c>
      <c r="AA39" s="13">
        <v>102.2</v>
      </c>
      <c r="AB39" s="286">
        <f t="shared" si="33"/>
        <v>158.51272015655579</v>
      </c>
      <c r="AC39" s="286">
        <f t="shared" si="34"/>
        <v>5179.4109655391167</v>
      </c>
      <c r="AD39" s="286">
        <f t="shared" si="35"/>
        <v>771.48777840879291</v>
      </c>
      <c r="AE39" s="286">
        <f>AD39*1000000/'a1'!AD39</f>
        <v>1028.923378881587</v>
      </c>
      <c r="AF39" s="7">
        <v>6416</v>
      </c>
      <c r="AG39" s="13">
        <v>98.2</v>
      </c>
      <c r="AH39" s="286">
        <f t="shared" si="36"/>
        <v>6533.6048879837062</v>
      </c>
      <c r="AI39" s="286">
        <f t="shared" si="37"/>
        <v>83294.078219637056</v>
      </c>
      <c r="AJ39" s="286">
        <f t="shared" si="38"/>
        <v>24495.208191983373</v>
      </c>
      <c r="AK39" s="286">
        <f>AJ39*1000000/'a1'!AJ39</f>
        <v>3311.8052980570192</v>
      </c>
      <c r="AL39" s="7">
        <v>11733</v>
      </c>
      <c r="AM39" s="13">
        <v>97.9</v>
      </c>
      <c r="AN39" s="286">
        <f t="shared" si="39"/>
        <v>11984.678243105209</v>
      </c>
      <c r="AO39" s="286">
        <f t="shared" si="40"/>
        <v>156794.47324333354</v>
      </c>
      <c r="AP39" s="286">
        <f t="shared" si="41"/>
        <v>45057.89773251304</v>
      </c>
      <c r="AQ39" s="286">
        <f>AP39*1000000/'a1'!AP39</f>
        <v>3787.440035286621</v>
      </c>
      <c r="AR39" s="7">
        <v>457</v>
      </c>
      <c r="AS39" s="13">
        <v>97.7</v>
      </c>
      <c r="AT39" s="286">
        <f t="shared" si="42"/>
        <v>467.75844421699071</v>
      </c>
      <c r="AU39" s="286">
        <f t="shared" si="43"/>
        <v>8292.3887431383555</v>
      </c>
      <c r="AV39" s="286">
        <f t="shared" si="44"/>
        <v>1877.9151418181632</v>
      </c>
      <c r="AW39" s="286">
        <f>AV39*1000000/'a1'!AV39</f>
        <v>1630.9289001138254</v>
      </c>
      <c r="AX39" s="7">
        <v>396</v>
      </c>
      <c r="AY39" s="13">
        <v>96.1</v>
      </c>
      <c r="AZ39" s="286">
        <f t="shared" si="45"/>
        <v>412.07075962539028</v>
      </c>
      <c r="BA39" s="286">
        <f t="shared" si="46"/>
        <v>6708.0240195721663</v>
      </c>
      <c r="BB39" s="286">
        <f t="shared" si="47"/>
        <v>1679.8791032769534</v>
      </c>
      <c r="BC39" s="286">
        <f>BB39*1000000/'a1'!BB39</f>
        <v>1679.5079320239761</v>
      </c>
      <c r="BD39" s="7">
        <v>1588</v>
      </c>
      <c r="BE39" s="13">
        <v>102.6</v>
      </c>
      <c r="BF39" s="286">
        <f t="shared" si="48"/>
        <v>1547.75828460039</v>
      </c>
      <c r="BG39" s="286">
        <f t="shared" si="49"/>
        <v>26793.608662403432</v>
      </c>
      <c r="BH39" s="286">
        <f t="shared" si="50"/>
        <v>6547.0824163248117</v>
      </c>
      <c r="BI39" s="286">
        <f>BH39*1000000/'a1'!BH39</f>
        <v>2140.9568410917309</v>
      </c>
      <c r="BJ39" s="7">
        <v>1760</v>
      </c>
      <c r="BK39" s="13">
        <v>100.1</v>
      </c>
      <c r="BL39" s="286">
        <f t="shared" si="51"/>
        <v>1758.2417582417584</v>
      </c>
      <c r="BM39" s="286">
        <f t="shared" si="52"/>
        <v>23626.059805344365</v>
      </c>
      <c r="BN39" s="286">
        <f t="shared" si="53"/>
        <v>6630.8652758496182</v>
      </c>
      <c r="BO39" s="286">
        <f>BN39*1000000/'a1'!BN39</f>
        <v>1626.7016257655584</v>
      </c>
    </row>
    <row r="40" spans="1:67" ht="15.75" customHeight="1">
      <c r="A40" s="1">
        <v>2002</v>
      </c>
      <c r="B40" s="320">
        <v>23536</v>
      </c>
      <c r="C40" s="13">
        <v>100</v>
      </c>
      <c r="D40" s="286">
        <f t="shared" ref="D40:D46" si="54">B40/C40*100</f>
        <v>23536</v>
      </c>
      <c r="E40" s="286">
        <f t="shared" ref="E40:E45" si="55">E39+D40</f>
        <v>368359.85585867875</v>
      </c>
      <c r="F40" s="286">
        <f t="shared" ref="F40:F45" si="56">(F39*0.8)+D40</f>
        <v>95329.699649144764</v>
      </c>
      <c r="G40" s="286">
        <f>F40*1000000/'a1'!F40</f>
        <v>3040.4651900609219</v>
      </c>
      <c r="H40" s="320">
        <v>153</v>
      </c>
      <c r="I40" s="13">
        <v>100</v>
      </c>
      <c r="J40" s="286">
        <f t="shared" ref="J40:J42" si="57">H40/I40*100</f>
        <v>153</v>
      </c>
      <c r="K40" s="286">
        <f t="shared" ref="K40:K42" si="58">K39+J40</f>
        <v>2989.6874667393759</v>
      </c>
      <c r="L40" s="286">
        <f t="shared" ref="L40:L42" si="59">(L39*0.8)+J40</f>
        <v>675.67162357692109</v>
      </c>
      <c r="M40" s="286">
        <f>L40*1000000/'a1'!L40</f>
        <v>1300.5414952657707</v>
      </c>
      <c r="N40" s="7">
        <v>31</v>
      </c>
      <c r="O40" s="13">
        <v>100</v>
      </c>
      <c r="P40" s="286">
        <f t="shared" ref="P40:P46" si="60">N40/O40*100</f>
        <v>31</v>
      </c>
      <c r="Q40" s="286">
        <f t="shared" ref="Q40:Q46" si="61">Q39+P40</f>
        <v>562.48169409603997</v>
      </c>
      <c r="R40" s="286">
        <f t="shared" ref="R40:R46" si="62">(R39*0.8)+P40</f>
        <v>143.89134513261632</v>
      </c>
      <c r="S40" s="286">
        <f>R40*1000000/'a1'!R40</f>
        <v>1051.2532886160927</v>
      </c>
      <c r="T40" s="7">
        <v>400</v>
      </c>
      <c r="U40" s="13">
        <v>100</v>
      </c>
      <c r="V40" s="286">
        <f t="shared" ref="V40:V41" si="63">T40/U40*100</f>
        <v>400</v>
      </c>
      <c r="W40" s="286">
        <f t="shared" ref="W40:W41" si="64">W39+V40</f>
        <v>7879.4129079408995</v>
      </c>
      <c r="X40" s="286">
        <f t="shared" ref="X40:X41" si="65">(X39*0.8)+V40</f>
        <v>1720.1249965408495</v>
      </c>
      <c r="Y40" s="286">
        <f>X40*1000000/'a1'!X40</f>
        <v>1839.6763651287406</v>
      </c>
      <c r="Z40" s="7">
        <v>211</v>
      </c>
      <c r="AA40" s="13">
        <v>100</v>
      </c>
      <c r="AB40" s="286">
        <f t="shared" ref="AB40:AB42" si="66">Z40/AA40*100</f>
        <v>211</v>
      </c>
      <c r="AC40" s="286">
        <f t="shared" ref="AC40:AC42" si="67">AC39+AB40</f>
        <v>5390.4109655391167</v>
      </c>
      <c r="AD40" s="286">
        <f t="shared" ref="AD40:AD42" si="68">(AD39*0.8)+AB40</f>
        <v>828.19022272703432</v>
      </c>
      <c r="AE40" s="286">
        <f>AD40*1000000/'a1'!AD40</f>
        <v>1105.2395039402272</v>
      </c>
      <c r="AF40" s="7">
        <v>6745</v>
      </c>
      <c r="AG40" s="13">
        <v>100</v>
      </c>
      <c r="AH40" s="286">
        <f t="shared" ref="AH40:AH42" si="69">AF40/AG40*100</f>
        <v>6745</v>
      </c>
      <c r="AI40" s="286">
        <f t="shared" ref="AI40:AI42" si="70">AI39+AH40</f>
        <v>90039.078219637056</v>
      </c>
      <c r="AJ40" s="286">
        <f t="shared" ref="AJ40:AJ42" si="71">(AJ39*0.8)+AH40</f>
        <v>26341.1665535867</v>
      </c>
      <c r="AK40" s="286">
        <f>AJ40*1000000/'a1'!AJ40</f>
        <v>3539.9674124530779</v>
      </c>
      <c r="AL40" s="7">
        <v>11376</v>
      </c>
      <c r="AM40" s="13">
        <v>100</v>
      </c>
      <c r="AN40" s="286">
        <f t="shared" ref="AN40" si="72">AL40/AM40*100</f>
        <v>11376</v>
      </c>
      <c r="AO40" s="286">
        <f t="shared" ref="AO40" si="73">AO39+AN40</f>
        <v>168170.47324333354</v>
      </c>
      <c r="AP40" s="286">
        <f t="shared" ref="AP40" si="74">(AP39*0.8)+AN40</f>
        <v>47422.318186010431</v>
      </c>
      <c r="AQ40" s="286">
        <f>AP40*1000000/'a1'!AP40</f>
        <v>3922.1077201957278</v>
      </c>
      <c r="AR40" s="7">
        <v>454</v>
      </c>
      <c r="AS40" s="13">
        <v>100</v>
      </c>
      <c r="AT40" s="286">
        <f t="shared" ref="AT40:AT41" si="75">AR40/AS40*100</f>
        <v>454</v>
      </c>
      <c r="AU40" s="286">
        <f t="shared" ref="AU40:AU41" si="76">AU39+AT40</f>
        <v>8746.3887431383555</v>
      </c>
      <c r="AV40" s="286">
        <f t="shared" ref="AV40:AV41" si="77">(AV39*0.8)+AT40</f>
        <v>1956.3321134545306</v>
      </c>
      <c r="AW40" s="286">
        <f>AV40*1000000/'a1'!AV40</f>
        <v>1691.4318907487038</v>
      </c>
      <c r="AX40" s="7">
        <v>435</v>
      </c>
      <c r="AY40" s="13">
        <v>100</v>
      </c>
      <c r="AZ40" s="286">
        <f t="shared" ref="AZ40:AZ41" si="78">AX40/AY40*100</f>
        <v>434.99999999999994</v>
      </c>
      <c r="BA40" s="286">
        <f t="shared" ref="BA40:BA41" si="79">BA39+AZ40</f>
        <v>7143.0240195721663</v>
      </c>
      <c r="BB40" s="286">
        <f t="shared" ref="BB40:BB41" si="80">(BB39*0.8)+AZ40</f>
        <v>1778.9032826215628</v>
      </c>
      <c r="BC40" s="286">
        <f>BB40*1000000/'a1'!BB40</f>
        <v>1784.6122572324493</v>
      </c>
      <c r="BD40" s="7">
        <v>1715</v>
      </c>
      <c r="BE40" s="13">
        <v>100</v>
      </c>
      <c r="BF40" s="286">
        <f t="shared" ref="BF40:BF41" si="81">BD40/BE40*100</f>
        <v>1714.9999999999998</v>
      </c>
      <c r="BG40" s="286">
        <f t="shared" ref="BG40:BG41" si="82">BG39+BF40</f>
        <v>28508.608662403432</v>
      </c>
      <c r="BH40" s="286">
        <f t="shared" ref="BH40:BH41" si="83">(BH39*0.8)+BF40</f>
        <v>6952.6659330598495</v>
      </c>
      <c r="BI40" s="286">
        <f>BH40*1000000/'a1'!BH40</f>
        <v>2222.4606641234363</v>
      </c>
      <c r="BJ40" s="7">
        <v>1949</v>
      </c>
      <c r="BK40" s="13">
        <v>100</v>
      </c>
      <c r="BL40" s="286">
        <f t="shared" ref="BL40:BL42" si="84">BJ40/BK40*100</f>
        <v>1948.9999999999998</v>
      </c>
      <c r="BM40" s="286">
        <f t="shared" ref="BM40:BM42" si="85">BM39+BL40</f>
        <v>25575.059805344365</v>
      </c>
      <c r="BN40" s="286">
        <f t="shared" ref="BN40:BN42" si="86">(BN39*0.8)+BL40</f>
        <v>7253.6922206796953</v>
      </c>
      <c r="BO40" s="286">
        <f>BN40*1000000/'a1'!BN40</f>
        <v>1769.9797863049616</v>
      </c>
    </row>
    <row r="41" spans="1:67" ht="15.75" customHeight="1">
      <c r="A41" s="1">
        <v>2003</v>
      </c>
      <c r="B41" s="320">
        <v>24691</v>
      </c>
      <c r="C41" s="13">
        <v>103.3</v>
      </c>
      <c r="D41" s="286">
        <f t="shared" si="54"/>
        <v>23902.226524685382</v>
      </c>
      <c r="E41" s="286">
        <f>E40+D41</f>
        <v>392262.08238336415</v>
      </c>
      <c r="F41" s="286">
        <f>(F40*0.8)+D41</f>
        <v>100165.98624400119</v>
      </c>
      <c r="G41" s="286">
        <f>F41*1000000/'a1'!F41</f>
        <v>3165.8353656659879</v>
      </c>
      <c r="H41" s="320">
        <v>173</v>
      </c>
      <c r="I41" s="13">
        <v>104</v>
      </c>
      <c r="J41" s="286">
        <f t="shared" si="57"/>
        <v>166.34615384615387</v>
      </c>
      <c r="K41" s="286">
        <f t="shared" si="58"/>
        <v>3156.0336205855297</v>
      </c>
      <c r="L41" s="286">
        <f t="shared" si="59"/>
        <v>706.88345270769082</v>
      </c>
      <c r="M41" s="286">
        <f>L41*1000000/'a1'!L41</f>
        <v>1363.2713351610175</v>
      </c>
      <c r="N41" s="7">
        <v>43</v>
      </c>
      <c r="O41" s="13">
        <v>100.5</v>
      </c>
      <c r="P41" s="286">
        <f t="shared" si="60"/>
        <v>42.786069651741293</v>
      </c>
      <c r="Q41" s="286">
        <f t="shared" si="61"/>
        <v>605.26776374778126</v>
      </c>
      <c r="R41" s="286">
        <f t="shared" si="62"/>
        <v>157.89914575783436</v>
      </c>
      <c r="S41" s="286">
        <f>R41*1000000/'a1'!R41</f>
        <v>1150.6922829438233</v>
      </c>
      <c r="T41" s="7">
        <v>409</v>
      </c>
      <c r="U41" s="13">
        <v>105.1</v>
      </c>
      <c r="V41" s="286">
        <f t="shared" si="63"/>
        <v>389.15318744053286</v>
      </c>
      <c r="W41" s="286">
        <f t="shared" si="64"/>
        <v>8268.5660953814331</v>
      </c>
      <c r="X41" s="286">
        <f t="shared" si="65"/>
        <v>1765.2531846732127</v>
      </c>
      <c r="Y41" s="286">
        <f>X41*1000000/'a1'!X41</f>
        <v>1882.9548066842378</v>
      </c>
      <c r="Z41" s="7">
        <v>215</v>
      </c>
      <c r="AA41" s="13">
        <v>102.8</v>
      </c>
      <c r="AB41" s="286">
        <f t="shared" si="66"/>
        <v>209.14396887159535</v>
      </c>
      <c r="AC41" s="286">
        <f t="shared" si="67"/>
        <v>5599.5549344107121</v>
      </c>
      <c r="AD41" s="286">
        <f t="shared" si="68"/>
        <v>871.69614705322283</v>
      </c>
      <c r="AE41" s="286">
        <f>AD41*1000000/'a1'!AD41</f>
        <v>1163.2091571309732</v>
      </c>
      <c r="AF41" s="7">
        <v>6965</v>
      </c>
      <c r="AG41" s="13">
        <v>102.6</v>
      </c>
      <c r="AH41" s="286">
        <f t="shared" si="69"/>
        <v>6788.4990253411306</v>
      </c>
      <c r="AI41" s="286">
        <f t="shared" si="70"/>
        <v>96827.577244978194</v>
      </c>
      <c r="AJ41" s="286">
        <f t="shared" si="71"/>
        <v>27861.43226821049</v>
      </c>
      <c r="AK41" s="286">
        <f>AJ41*1000000/'a1'!AJ41</f>
        <v>3721.8855481791738</v>
      </c>
      <c r="AL41" s="7">
        <v>11983</v>
      </c>
      <c r="AM41" s="13">
        <v>101.8</v>
      </c>
      <c r="AN41" s="286">
        <f>AL41/AM41*100</f>
        <v>11771.119842829077</v>
      </c>
      <c r="AO41" s="286">
        <f>AO40+AN41</f>
        <v>179941.59308616261</v>
      </c>
      <c r="AP41" s="286">
        <f>(AP40*0.8)+AN41</f>
        <v>49708.974391637428</v>
      </c>
      <c r="AQ41" s="286">
        <f>AP41*1000000/'a1'!AP41</f>
        <v>4060.4366845631876</v>
      </c>
      <c r="AR41" s="7">
        <v>455</v>
      </c>
      <c r="AS41" s="13">
        <v>101.1</v>
      </c>
      <c r="AT41" s="286">
        <f t="shared" si="75"/>
        <v>450.04945598417407</v>
      </c>
      <c r="AU41" s="286">
        <f t="shared" si="76"/>
        <v>9196.4381991225291</v>
      </c>
      <c r="AV41" s="286">
        <f t="shared" si="77"/>
        <v>2015.1151467477987</v>
      </c>
      <c r="AW41" s="286">
        <f>AV41*1000000/'a1'!AV41</f>
        <v>1731.4678199512111</v>
      </c>
      <c r="AX41" s="7">
        <v>398</v>
      </c>
      <c r="AY41" s="13">
        <v>102</v>
      </c>
      <c r="AZ41" s="286">
        <f t="shared" si="78"/>
        <v>390.19607843137254</v>
      </c>
      <c r="BA41" s="286">
        <f t="shared" si="79"/>
        <v>7533.2200980035386</v>
      </c>
      <c r="BB41" s="286">
        <f t="shared" si="80"/>
        <v>1813.3187045286229</v>
      </c>
      <c r="BC41" s="286">
        <f>BB41*1000000/'a1'!BB41</f>
        <v>1819.7186550383929</v>
      </c>
      <c r="BD41" s="7">
        <v>1901</v>
      </c>
      <c r="BE41" s="13">
        <v>109.5</v>
      </c>
      <c r="BF41" s="286">
        <f t="shared" si="81"/>
        <v>1736.0730593607307</v>
      </c>
      <c r="BG41" s="286">
        <f t="shared" si="82"/>
        <v>30244.681721764162</v>
      </c>
      <c r="BH41" s="286">
        <f t="shared" si="83"/>
        <v>7298.2058058086104</v>
      </c>
      <c r="BI41" s="286">
        <f>BH41*1000000/'a1'!BH41</f>
        <v>2292.5849645499993</v>
      </c>
      <c r="BJ41" s="7">
        <v>2050</v>
      </c>
      <c r="BK41" s="13">
        <v>103</v>
      </c>
      <c r="BL41" s="286">
        <f t="shared" si="84"/>
        <v>1990.2912621359224</v>
      </c>
      <c r="BM41" s="286">
        <f t="shared" si="85"/>
        <v>27565.351067480286</v>
      </c>
      <c r="BN41" s="286">
        <f t="shared" si="86"/>
        <v>7793.2450386796791</v>
      </c>
      <c r="BO41" s="286">
        <f>BN41*1000000/'a1'!BN41</f>
        <v>1890.4649234764634</v>
      </c>
    </row>
    <row r="42" spans="1:67" ht="15.75" customHeight="1">
      <c r="A42" s="1">
        <v>2004</v>
      </c>
      <c r="B42" s="320">
        <v>26679</v>
      </c>
      <c r="C42" s="13">
        <v>106.6</v>
      </c>
      <c r="D42" s="286">
        <f t="shared" si="54"/>
        <v>25027.20450281426</v>
      </c>
      <c r="E42" s="286">
        <f>E41+D42</f>
        <v>417289.28688617842</v>
      </c>
      <c r="F42" s="286">
        <f t="shared" si="56"/>
        <v>105159.99349801522</v>
      </c>
      <c r="G42" s="286">
        <f>F42*1000000/'a1'!F42</f>
        <v>3292.3534084881362</v>
      </c>
      <c r="H42" s="320">
        <v>173</v>
      </c>
      <c r="I42" s="13">
        <v>112.8</v>
      </c>
      <c r="J42" s="286">
        <f t="shared" si="57"/>
        <v>153.36879432624113</v>
      </c>
      <c r="K42" s="286">
        <f t="shared" si="58"/>
        <v>3309.4024149117708</v>
      </c>
      <c r="L42" s="286">
        <f t="shared" si="59"/>
        <v>718.8755564923938</v>
      </c>
      <c r="M42" s="286">
        <f>L42*1000000/'a1'!L42</f>
        <v>1389.273793243354</v>
      </c>
      <c r="N42" s="7">
        <v>41</v>
      </c>
      <c r="O42" s="13">
        <v>102.7</v>
      </c>
      <c r="P42" s="286">
        <f t="shared" si="60"/>
        <v>39.922103213242451</v>
      </c>
      <c r="Q42" s="286">
        <f t="shared" si="61"/>
        <v>645.18986696102365</v>
      </c>
      <c r="R42" s="286">
        <f t="shared" si="62"/>
        <v>166.24141981950993</v>
      </c>
      <c r="S42" s="286">
        <f>R42*1000000/'a1'!R42</f>
        <v>1207.5004708188178</v>
      </c>
      <c r="T42" s="7">
        <v>447</v>
      </c>
      <c r="U42" s="13">
        <v>107.7</v>
      </c>
      <c r="V42" s="286">
        <f>T42/U42*100</f>
        <v>415.04178272980494</v>
      </c>
      <c r="W42" s="286">
        <f>W41+V42</f>
        <v>8683.6078781112374</v>
      </c>
      <c r="X42" s="286">
        <f>(X41*0.8)+V42</f>
        <v>1827.2443304683752</v>
      </c>
      <c r="Y42" s="286">
        <f>X42*1000000/'a1'!X42</f>
        <v>1945.1682079043696</v>
      </c>
      <c r="Z42" s="7">
        <v>227</v>
      </c>
      <c r="AA42" s="13">
        <v>105.8</v>
      </c>
      <c r="AB42" s="286">
        <f t="shared" si="66"/>
        <v>214.55576559546316</v>
      </c>
      <c r="AC42" s="286">
        <f t="shared" si="67"/>
        <v>5814.1107000061756</v>
      </c>
      <c r="AD42" s="286">
        <f t="shared" si="68"/>
        <v>911.9126832380415</v>
      </c>
      <c r="AE42" s="286">
        <f>AD42*1000000/'a1'!AD42</f>
        <v>1216.9074024119514</v>
      </c>
      <c r="AF42" s="7">
        <v>7244</v>
      </c>
      <c r="AG42" s="13">
        <v>104.7</v>
      </c>
      <c r="AH42" s="286">
        <f t="shared" si="69"/>
        <v>6918.815663801337</v>
      </c>
      <c r="AI42" s="286">
        <f t="shared" si="70"/>
        <v>103746.39290877953</v>
      </c>
      <c r="AJ42" s="286">
        <f t="shared" si="71"/>
        <v>29207.961478369733</v>
      </c>
      <c r="AK42" s="286">
        <f>AJ42*1000000/'a1'!AJ42</f>
        <v>3875.8275825541523</v>
      </c>
      <c r="AL42" s="7">
        <v>12956</v>
      </c>
      <c r="AM42" s="13">
        <v>103.9</v>
      </c>
      <c r="AN42" s="286">
        <f t="shared" ref="AN42:AN46" si="87">AL42/AM42*100</f>
        <v>12469.68238691049</v>
      </c>
      <c r="AO42" s="286">
        <f t="shared" ref="AO42:AO46" si="88">AO41+AN42</f>
        <v>192411.2754730731</v>
      </c>
      <c r="AP42" s="286">
        <f t="shared" ref="AP42:AP46" si="89">(AP41*0.8)+AN42</f>
        <v>52236.861900220436</v>
      </c>
      <c r="AQ42" s="286">
        <f>AP42*1000000/'a1'!AP42</f>
        <v>4215.846376774879</v>
      </c>
      <c r="AR42" s="7">
        <v>518</v>
      </c>
      <c r="AS42" s="13">
        <v>105</v>
      </c>
      <c r="AT42" s="286">
        <f t="shared" ref="AT42:AT46" si="90">AR42/AS42*100</f>
        <v>493.33333333333337</v>
      </c>
      <c r="AU42" s="286">
        <f t="shared" ref="AU42:AU46" si="91">AU41+AT42</f>
        <v>9689.7715324558631</v>
      </c>
      <c r="AV42" s="286">
        <f t="shared" ref="AV42:AV46" si="92">(AV41*0.8)+AT42</f>
        <v>2105.4254507315723</v>
      </c>
      <c r="AW42" s="286">
        <f>AV42*1000000/'a1'!AV42</f>
        <v>1794.0409408005789</v>
      </c>
      <c r="AX42" s="7">
        <v>425</v>
      </c>
      <c r="AY42" s="13">
        <v>108.1</v>
      </c>
      <c r="AZ42" s="286">
        <f t="shared" ref="AZ42:AZ46" si="93">AX42/AY42*100</f>
        <v>393.15448658649399</v>
      </c>
      <c r="BA42" s="286">
        <f t="shared" ref="BA42:BA46" si="94">BA41+AZ42</f>
        <v>7926.374584590033</v>
      </c>
      <c r="BB42" s="286">
        <f t="shared" ref="BB42:BB46" si="95">(BB41*0.8)+AZ42</f>
        <v>1843.8094502093923</v>
      </c>
      <c r="BC42" s="286">
        <f>BB42*1000000/'a1'!BB42</f>
        <v>1848.528744093062</v>
      </c>
      <c r="BD42" s="7">
        <v>2262</v>
      </c>
      <c r="BE42" s="13">
        <v>116</v>
      </c>
      <c r="BF42" s="286">
        <f t="shared" ref="BF42:BF46" si="96">BD42/BE42*100</f>
        <v>1950</v>
      </c>
      <c r="BG42" s="286">
        <f t="shared" ref="BG42:BG46" si="97">BG41+BF42</f>
        <v>32194.681721764162</v>
      </c>
      <c r="BH42" s="286">
        <f t="shared" ref="BH42:BH46" si="98">(BH41*0.8)+BF42</f>
        <v>7788.5646446468891</v>
      </c>
      <c r="BI42" s="286">
        <f>BH42*1000000/'a1'!BH42</f>
        <v>2404.2705258503283</v>
      </c>
      <c r="BJ42" s="7">
        <v>2263</v>
      </c>
      <c r="BK42" s="13">
        <v>107.6</v>
      </c>
      <c r="BL42" s="286">
        <f t="shared" si="84"/>
        <v>2103.1598513011154</v>
      </c>
      <c r="BM42" s="286">
        <f t="shared" si="85"/>
        <v>29668.510918781401</v>
      </c>
      <c r="BN42" s="286">
        <f t="shared" si="86"/>
        <v>8337.7558822448591</v>
      </c>
      <c r="BO42" s="286">
        <f>BN42*1000000/'a1'!BN42</f>
        <v>2006.5980169872373</v>
      </c>
    </row>
    <row r="43" spans="1:67" ht="15.75" customHeight="1">
      <c r="A43" s="1">
        <v>2005</v>
      </c>
      <c r="B43" s="320">
        <v>28023</v>
      </c>
      <c r="C43" s="13">
        <v>110.1</v>
      </c>
      <c r="D43" s="286">
        <f t="shared" si="54"/>
        <v>25452.316076294279</v>
      </c>
      <c r="E43" s="286">
        <f>E42+D43</f>
        <v>442741.60296247271</v>
      </c>
      <c r="F43" s="286">
        <f t="shared" si="56"/>
        <v>109580.31087470645</v>
      </c>
      <c r="G43" s="286">
        <f>F43*1000000/'a1'!F43</f>
        <v>3398.3439485446179</v>
      </c>
      <c r="H43" s="320">
        <v>267</v>
      </c>
      <c r="I43" s="13">
        <v>124.8</v>
      </c>
      <c r="J43" s="286">
        <f>H43/I43*100</f>
        <v>213.94230769230771</v>
      </c>
      <c r="K43" s="286">
        <f>K42+J43</f>
        <v>3523.3447226040785</v>
      </c>
      <c r="L43" s="286">
        <f>(L42*0.8)+J43</f>
        <v>789.04275288622284</v>
      </c>
      <c r="M43" s="286">
        <f>L43*1000000/'a1'!L43</f>
        <v>1534.0192682720624</v>
      </c>
      <c r="N43" s="7">
        <v>66</v>
      </c>
      <c r="O43" s="13">
        <v>104.5</v>
      </c>
      <c r="P43" s="286">
        <f t="shared" si="60"/>
        <v>63.157894736842103</v>
      </c>
      <c r="Q43" s="286">
        <f t="shared" si="61"/>
        <v>708.34776169786574</v>
      </c>
      <c r="R43" s="286">
        <f t="shared" si="62"/>
        <v>196.15103059245007</v>
      </c>
      <c r="S43" s="286">
        <f>R43*1000000/'a1'!R43</f>
        <v>1420.8180116073311</v>
      </c>
      <c r="T43" s="7">
        <v>466</v>
      </c>
      <c r="U43" s="13">
        <v>111.4</v>
      </c>
      <c r="V43" s="286">
        <f t="shared" ref="V43:V46" si="99">T43/U43*100</f>
        <v>418.31238779174146</v>
      </c>
      <c r="W43" s="286">
        <f t="shared" ref="W43:W46" si="100">W42+V43</f>
        <v>9101.9202659029797</v>
      </c>
      <c r="X43" s="286">
        <f t="shared" ref="X43:X46" si="101">(X42*0.8)+V43</f>
        <v>1880.1078521664417</v>
      </c>
      <c r="Y43" s="286">
        <f>X43*1000000/'a1'!X43</f>
        <v>2004.5054562775715</v>
      </c>
      <c r="Z43" s="7">
        <v>258</v>
      </c>
      <c r="AA43" s="13">
        <v>109.2</v>
      </c>
      <c r="AB43" s="286">
        <f t="shared" ref="AB43:AB46" si="102">Z43/AA43*100</f>
        <v>236.26373626373626</v>
      </c>
      <c r="AC43" s="286">
        <f t="shared" ref="AC43:AC46" si="103">AC42+AB43</f>
        <v>6050.3744362699117</v>
      </c>
      <c r="AD43" s="286">
        <f t="shared" ref="AD43:AD46" si="104">(AD42*0.8)+AB43</f>
        <v>965.79388285416951</v>
      </c>
      <c r="AE43" s="286">
        <f>AD43*1000000/'a1'!AD43</f>
        <v>1291.2373427110667</v>
      </c>
      <c r="AF43" s="7">
        <v>7262</v>
      </c>
      <c r="AG43" s="13">
        <v>106.5</v>
      </c>
      <c r="AH43" s="286">
        <f t="shared" ref="AH43:AH46" si="105">AF43/AG43*100</f>
        <v>6818.7793427230044</v>
      </c>
      <c r="AI43" s="286">
        <f t="shared" ref="AI43:AI46" si="106">AI42+AH43</f>
        <v>110565.17225150253</v>
      </c>
      <c r="AJ43" s="286">
        <f t="shared" ref="AJ43:AJ46" si="107">(AJ42*0.8)+AH43</f>
        <v>30185.148525418794</v>
      </c>
      <c r="AK43" s="286">
        <f>AJ43*1000000/'a1'!AJ43</f>
        <v>3981.2058629307035</v>
      </c>
      <c r="AL43" s="7">
        <v>13664</v>
      </c>
      <c r="AM43" s="13">
        <v>105.3</v>
      </c>
      <c r="AN43" s="286">
        <f t="shared" si="87"/>
        <v>12976.258309591643</v>
      </c>
      <c r="AO43" s="286">
        <f t="shared" si="88"/>
        <v>205387.53378266474</v>
      </c>
      <c r="AP43" s="286">
        <f t="shared" si="89"/>
        <v>54765.747829767992</v>
      </c>
      <c r="AQ43" s="286">
        <f>AP43*1000000/'a1'!AP43</f>
        <v>4371.3002558784456</v>
      </c>
      <c r="AR43" s="7">
        <v>582</v>
      </c>
      <c r="AS43" s="13">
        <v>107.3</v>
      </c>
      <c r="AT43" s="286">
        <f t="shared" si="90"/>
        <v>542.40447343895619</v>
      </c>
      <c r="AU43" s="286">
        <f t="shared" si="91"/>
        <v>10232.176005894818</v>
      </c>
      <c r="AV43" s="286">
        <f t="shared" si="92"/>
        <v>2226.744834024214</v>
      </c>
      <c r="AW43" s="286">
        <f>AV43*1000000/'a1'!AV43</f>
        <v>1889.7928746765162</v>
      </c>
      <c r="AX43" s="7">
        <v>454</v>
      </c>
      <c r="AY43" s="13">
        <v>113.1</v>
      </c>
      <c r="AZ43" s="286">
        <f t="shared" si="93"/>
        <v>401.41467727674626</v>
      </c>
      <c r="BA43" s="286">
        <f t="shared" si="94"/>
        <v>8327.7892618667793</v>
      </c>
      <c r="BB43" s="286">
        <f t="shared" si="95"/>
        <v>1876.4622374442602</v>
      </c>
      <c r="BC43" s="286">
        <f>BB43*1000000/'a1'!BB43</f>
        <v>1888.5888665564189</v>
      </c>
      <c r="BD43" s="7">
        <v>2422</v>
      </c>
      <c r="BE43" s="13">
        <v>128.6</v>
      </c>
      <c r="BF43" s="286">
        <f t="shared" si="96"/>
        <v>1883.3592534992224</v>
      </c>
      <c r="BG43" s="286">
        <f t="shared" si="97"/>
        <v>34078.040975263386</v>
      </c>
      <c r="BH43" s="286">
        <f t="shared" si="98"/>
        <v>8114.2109692167342</v>
      </c>
      <c r="BI43" s="286">
        <f>BH43*1000000/'a1'!BH43</f>
        <v>2442.4209768276246</v>
      </c>
      <c r="BJ43" s="7">
        <v>2414</v>
      </c>
      <c r="BK43" s="13">
        <v>110.5</v>
      </c>
      <c r="BL43" s="286">
        <f t="shared" ref="BL43:BL46" si="108">BJ43/BK43*100</f>
        <v>2184.6153846153848</v>
      </c>
      <c r="BM43" s="286">
        <f t="shared" ref="BM43:BM46" si="109">BM42+BL43</f>
        <v>31853.126303396784</v>
      </c>
      <c r="BN43" s="286">
        <f t="shared" ref="BN43:BN46" si="110">(BN42*0.8)+BL43</f>
        <v>8854.8200904112728</v>
      </c>
      <c r="BO43" s="286">
        <f>BN43*1000000/'a1'!BN43</f>
        <v>2109.9040719739173</v>
      </c>
    </row>
    <row r="44" spans="1:67" ht="15.75" customHeight="1">
      <c r="A44" s="1">
        <v>2006</v>
      </c>
      <c r="B44" s="320">
        <v>29080</v>
      </c>
      <c r="C44" s="13">
        <v>113</v>
      </c>
      <c r="D44" s="286">
        <f t="shared" si="54"/>
        <v>25734.513274336285</v>
      </c>
      <c r="E44" s="286">
        <f t="shared" si="55"/>
        <v>468476.116236809</v>
      </c>
      <c r="F44" s="286">
        <f t="shared" si="56"/>
        <v>113398.76197410145</v>
      </c>
      <c r="G44" s="286">
        <f>F44*1000000/'a1'!F44</f>
        <v>3481.0444614689127</v>
      </c>
      <c r="H44" s="320">
        <v>264</v>
      </c>
      <c r="I44" s="13">
        <v>143.80000000000001</v>
      </c>
      <c r="J44" s="286">
        <f t="shared" ref="J44:J46" si="111">H44/I44*100</f>
        <v>183.58831710709319</v>
      </c>
      <c r="K44" s="286">
        <f t="shared" ref="K44:K46" si="112">K43+J44</f>
        <v>3706.9330397111717</v>
      </c>
      <c r="L44" s="286">
        <f t="shared" ref="L44:L46" si="113">(L43*0.8)+J44</f>
        <v>814.82251941607149</v>
      </c>
      <c r="M44" s="286">
        <f>L44*1000000/'a1'!L44</f>
        <v>1596.7112721331252</v>
      </c>
      <c r="N44" s="7">
        <v>69</v>
      </c>
      <c r="O44" s="13">
        <v>105.8</v>
      </c>
      <c r="P44" s="286">
        <f t="shared" si="60"/>
        <v>65.217391304347828</v>
      </c>
      <c r="Q44" s="286">
        <f t="shared" si="61"/>
        <v>773.56515300221361</v>
      </c>
      <c r="R44" s="286">
        <f t="shared" si="62"/>
        <v>222.13821577830788</v>
      </c>
      <c r="S44" s="286">
        <f>R44*1000000/'a1'!R44</f>
        <v>1610.6309148659213</v>
      </c>
      <c r="T44" s="7">
        <v>502</v>
      </c>
      <c r="U44" s="13">
        <v>112.3</v>
      </c>
      <c r="V44" s="286">
        <f t="shared" si="99"/>
        <v>447.01691896705256</v>
      </c>
      <c r="W44" s="286">
        <f t="shared" si="100"/>
        <v>9548.9371848700321</v>
      </c>
      <c r="X44" s="286">
        <f t="shared" si="101"/>
        <v>1951.1032007002061</v>
      </c>
      <c r="Y44" s="286">
        <f>X44*1000000/'a1'!X44</f>
        <v>2080.0452028232171</v>
      </c>
      <c r="Z44" s="7">
        <v>273</v>
      </c>
      <c r="AA44" s="13">
        <v>111.5</v>
      </c>
      <c r="AB44" s="286">
        <f t="shared" si="102"/>
        <v>244.84304932735427</v>
      </c>
      <c r="AC44" s="286">
        <f t="shared" si="103"/>
        <v>6295.2174855972662</v>
      </c>
      <c r="AD44" s="286">
        <f t="shared" si="104"/>
        <v>1017.4781556106899</v>
      </c>
      <c r="AE44" s="286">
        <f>AD44*1000000/'a1'!AD44</f>
        <v>1364.5080230914446</v>
      </c>
      <c r="AF44" s="7">
        <v>7912</v>
      </c>
      <c r="AG44" s="13">
        <v>108.6</v>
      </c>
      <c r="AH44" s="286">
        <f t="shared" si="105"/>
        <v>7285.4511970534077</v>
      </c>
      <c r="AI44" s="286">
        <f t="shared" si="106"/>
        <v>117850.62344855594</v>
      </c>
      <c r="AJ44" s="286">
        <f t="shared" si="107"/>
        <v>31433.570017388443</v>
      </c>
      <c r="AK44" s="286">
        <f>AJ44*1000000/'a1'!AJ44</f>
        <v>4118.8961324496568</v>
      </c>
      <c r="AL44" s="7">
        <v>13817</v>
      </c>
      <c r="AM44" s="13">
        <v>107.2</v>
      </c>
      <c r="AN44" s="286">
        <f t="shared" si="87"/>
        <v>12888.992537313434</v>
      </c>
      <c r="AO44" s="286">
        <f t="shared" si="88"/>
        <v>218276.52631997818</v>
      </c>
      <c r="AP44" s="286">
        <f t="shared" si="89"/>
        <v>56701.59080112783</v>
      </c>
      <c r="AQ44" s="286">
        <f>AP44*1000000/'a1'!AP44</f>
        <v>4476.9081556183173</v>
      </c>
      <c r="AR44" s="7">
        <v>562</v>
      </c>
      <c r="AS44" s="13">
        <v>112.4</v>
      </c>
      <c r="AT44" s="286">
        <f t="shared" si="90"/>
        <v>500</v>
      </c>
      <c r="AU44" s="286">
        <f t="shared" si="91"/>
        <v>10732.176005894818</v>
      </c>
      <c r="AV44" s="286">
        <f t="shared" si="92"/>
        <v>2281.3958672193712</v>
      </c>
      <c r="AW44" s="286">
        <f>AV44*1000000/'a1'!AV44</f>
        <v>1926.8041691639587</v>
      </c>
      <c r="AX44" s="7">
        <v>473</v>
      </c>
      <c r="AY44" s="13">
        <v>119.2</v>
      </c>
      <c r="AZ44" s="286">
        <f t="shared" si="93"/>
        <v>396.81208053691273</v>
      </c>
      <c r="BA44" s="286">
        <f t="shared" si="94"/>
        <v>8724.6013424036919</v>
      </c>
      <c r="BB44" s="286">
        <f t="shared" si="95"/>
        <v>1897.9818704923209</v>
      </c>
      <c r="BC44" s="286">
        <f>BB44*1000000/'a1'!BB44</f>
        <v>1913.0529012483555</v>
      </c>
      <c r="BD44" s="7">
        <v>2599</v>
      </c>
      <c r="BE44" s="13">
        <v>132.1</v>
      </c>
      <c r="BF44" s="286">
        <f t="shared" si="96"/>
        <v>1967.4489023467072</v>
      </c>
      <c r="BG44" s="286">
        <f t="shared" si="97"/>
        <v>36045.489877610096</v>
      </c>
      <c r="BH44" s="286">
        <f t="shared" si="98"/>
        <v>8458.8176777200952</v>
      </c>
      <c r="BI44" s="286">
        <f>BH44*1000000/'a1'!BH44</f>
        <v>2472.432666546466</v>
      </c>
      <c r="BJ44" s="7">
        <v>2432</v>
      </c>
      <c r="BK44" s="13">
        <v>114.1</v>
      </c>
      <c r="BL44" s="286">
        <f t="shared" si="108"/>
        <v>2131.4636283961436</v>
      </c>
      <c r="BM44" s="286">
        <f t="shared" si="109"/>
        <v>33984.589931792929</v>
      </c>
      <c r="BN44" s="286">
        <f t="shared" si="110"/>
        <v>9215.319700725162</v>
      </c>
      <c r="BO44" s="286">
        <f>BN44*1000000/'a1'!BN44</f>
        <v>2171.5908974792892</v>
      </c>
    </row>
    <row r="45" spans="1:67" ht="15.75" customHeight="1">
      <c r="A45" s="1">
        <v>2007</v>
      </c>
      <c r="B45" s="320">
        <v>29919</v>
      </c>
      <c r="C45" s="13">
        <v>116.7</v>
      </c>
      <c r="D45" s="286">
        <f t="shared" si="54"/>
        <v>25637.532133676094</v>
      </c>
      <c r="E45" s="286">
        <f t="shared" si="55"/>
        <v>494113.64837048511</v>
      </c>
      <c r="F45" s="286">
        <f t="shared" si="56"/>
        <v>116356.54171295726</v>
      </c>
      <c r="G45" s="286">
        <f>F45*1000000/'a1'!F45</f>
        <v>3533.4796584277578</v>
      </c>
      <c r="H45" s="320">
        <v>268</v>
      </c>
      <c r="I45" s="13">
        <v>147.80000000000001</v>
      </c>
      <c r="J45" s="286">
        <f t="shared" si="111"/>
        <v>181.32611637347767</v>
      </c>
      <c r="K45" s="286">
        <f t="shared" si="112"/>
        <v>3888.2591560846495</v>
      </c>
      <c r="L45" s="286">
        <f t="shared" si="113"/>
        <v>833.18413190633498</v>
      </c>
      <c r="M45" s="286">
        <f>L45*1000000/'a1'!L45</f>
        <v>1645.3765497904435</v>
      </c>
      <c r="N45" s="7">
        <v>60</v>
      </c>
      <c r="O45" s="13">
        <v>109.5</v>
      </c>
      <c r="P45" s="286">
        <f t="shared" si="60"/>
        <v>54.794520547945204</v>
      </c>
      <c r="Q45" s="286">
        <f t="shared" si="61"/>
        <v>828.35967355015885</v>
      </c>
      <c r="R45" s="286">
        <f t="shared" si="62"/>
        <v>232.50509317059152</v>
      </c>
      <c r="S45" s="286">
        <f>R45*1000000/'a1'!R45</f>
        <v>1682.8561835148234</v>
      </c>
      <c r="T45" s="7">
        <v>505</v>
      </c>
      <c r="U45" s="13">
        <v>115.4</v>
      </c>
      <c r="V45" s="286">
        <f t="shared" si="99"/>
        <v>437.60831889081453</v>
      </c>
      <c r="W45" s="286">
        <f t="shared" si="100"/>
        <v>9986.5455037608463</v>
      </c>
      <c r="X45" s="286">
        <f t="shared" si="101"/>
        <v>1998.4908794509797</v>
      </c>
      <c r="Y45" s="286">
        <f>X45*1000000/'a1'!X45</f>
        <v>2135.6098451699622</v>
      </c>
      <c r="Z45" s="7">
        <v>317</v>
      </c>
      <c r="AA45" s="13">
        <v>115.4</v>
      </c>
      <c r="AB45" s="286">
        <f t="shared" si="102"/>
        <v>274.69670710571921</v>
      </c>
      <c r="AC45" s="286">
        <f t="shared" si="103"/>
        <v>6569.914192702985</v>
      </c>
      <c r="AD45" s="286">
        <f t="shared" si="104"/>
        <v>1088.6792315942712</v>
      </c>
      <c r="AE45" s="286">
        <f>AD45*1000000/'a1'!AD45</f>
        <v>1460.3049322874406</v>
      </c>
      <c r="AF45" s="7">
        <v>8051</v>
      </c>
      <c r="AG45" s="13">
        <v>111.4</v>
      </c>
      <c r="AH45" s="286">
        <f t="shared" si="105"/>
        <v>7227.109515260322</v>
      </c>
      <c r="AI45" s="286">
        <f t="shared" si="106"/>
        <v>125077.73296381626</v>
      </c>
      <c r="AJ45" s="286">
        <f t="shared" si="107"/>
        <v>32373.965529171081</v>
      </c>
      <c r="AK45" s="286">
        <f>AJ45*1000000/'a1'!AJ45</f>
        <v>4211.2897298836142</v>
      </c>
      <c r="AL45" s="7">
        <v>13918</v>
      </c>
      <c r="AM45" s="13">
        <v>109.5</v>
      </c>
      <c r="AN45" s="286">
        <f t="shared" si="87"/>
        <v>12710.502283105023</v>
      </c>
      <c r="AO45" s="286">
        <f t="shared" si="88"/>
        <v>230987.02860308319</v>
      </c>
      <c r="AP45" s="286">
        <f t="shared" si="89"/>
        <v>58071.774924007288</v>
      </c>
      <c r="AQ45" s="286">
        <f>AP45*1000000/'a1'!AP45</f>
        <v>4539.3622218265664</v>
      </c>
      <c r="AR45" s="7">
        <v>597</v>
      </c>
      <c r="AS45" s="13">
        <v>118.6</v>
      </c>
      <c r="AT45" s="286">
        <f t="shared" si="90"/>
        <v>503.3726812816189</v>
      </c>
      <c r="AU45" s="286">
        <f t="shared" si="91"/>
        <v>11235.548687176437</v>
      </c>
      <c r="AV45" s="286">
        <f t="shared" si="92"/>
        <v>2328.4893750571159</v>
      </c>
      <c r="AW45" s="286">
        <f>AV45*1000000/'a1'!AV45</f>
        <v>1950.8807909268892</v>
      </c>
      <c r="AX45" s="7">
        <v>499</v>
      </c>
      <c r="AY45" s="13">
        <v>128.4</v>
      </c>
      <c r="AZ45" s="286">
        <f t="shared" si="93"/>
        <v>388.62928348909657</v>
      </c>
      <c r="BA45" s="286">
        <f t="shared" si="94"/>
        <v>9113.2306258927892</v>
      </c>
      <c r="BB45" s="286">
        <f t="shared" si="95"/>
        <v>1907.0147798829535</v>
      </c>
      <c r="BC45" s="286">
        <f>BB45*1000000/'a1'!BB45</f>
        <v>1906.5248030085802</v>
      </c>
      <c r="BD45" s="7">
        <v>2686</v>
      </c>
      <c r="BE45" s="13">
        <v>139</v>
      </c>
      <c r="BF45" s="286">
        <f t="shared" si="96"/>
        <v>1932.3741007194244</v>
      </c>
      <c r="BG45" s="286">
        <f t="shared" si="97"/>
        <v>37977.863978329522</v>
      </c>
      <c r="BH45" s="286">
        <f t="shared" si="98"/>
        <v>8699.4282428955012</v>
      </c>
      <c r="BI45" s="286">
        <f>BH45*1000000/'a1'!BH45</f>
        <v>2476.5708805287745</v>
      </c>
      <c r="BJ45" s="7">
        <v>2800</v>
      </c>
      <c r="BK45" s="13">
        <v>116.8</v>
      </c>
      <c r="BL45" s="286">
        <f t="shared" si="108"/>
        <v>2397.2602739726026</v>
      </c>
      <c r="BM45" s="286">
        <f t="shared" si="109"/>
        <v>36381.850205765528</v>
      </c>
      <c r="BN45" s="286">
        <f t="shared" si="110"/>
        <v>9769.5160345527329</v>
      </c>
      <c r="BO45" s="286">
        <f>BN45*1000000/'a1'!BN45</f>
        <v>2266.9026113024806</v>
      </c>
    </row>
    <row r="46" spans="1:67" ht="15.75" customHeight="1">
      <c r="A46" s="1">
        <v>2008</v>
      </c>
      <c r="B46" s="320">
        <v>29894</v>
      </c>
      <c r="C46" s="13">
        <v>121.4</v>
      </c>
      <c r="D46" s="286">
        <f t="shared" si="54"/>
        <v>24624.382207578252</v>
      </c>
      <c r="E46" s="286">
        <f>E45+D46</f>
        <v>518738.03057806334</v>
      </c>
      <c r="F46" s="286">
        <f>(F45*0.8)+D46</f>
        <v>117709.61557794406</v>
      </c>
      <c r="G46" s="286">
        <f>F46*1000000/'a1'!F46</f>
        <v>3533.1282378743476</v>
      </c>
      <c r="H46" s="322">
        <v>278</v>
      </c>
      <c r="I46" s="13">
        <v>156.9</v>
      </c>
      <c r="J46" s="286">
        <f t="shared" si="111"/>
        <v>177.18291905672402</v>
      </c>
      <c r="K46" s="286">
        <f t="shared" si="112"/>
        <v>4065.4420751413736</v>
      </c>
      <c r="L46" s="286">
        <f t="shared" si="113"/>
        <v>843.73022458179207</v>
      </c>
      <c r="M46" s="286">
        <f>L46*1000000/'a1'!L46</f>
        <v>1666.8152751653859</v>
      </c>
      <c r="N46" s="7">
        <v>64</v>
      </c>
      <c r="O46" s="13">
        <v>111.6</v>
      </c>
      <c r="P46" s="286">
        <f t="shared" si="60"/>
        <v>57.347670250896066</v>
      </c>
      <c r="Q46" s="286">
        <f t="shared" si="61"/>
        <v>885.70734380105489</v>
      </c>
      <c r="R46" s="286">
        <f t="shared" si="62"/>
        <v>243.35174478736931</v>
      </c>
      <c r="S46" s="286">
        <f>R46*1000000/'a1'!R46</f>
        <v>1743.8944052984293</v>
      </c>
      <c r="T46" s="7">
        <v>515</v>
      </c>
      <c r="U46" s="13">
        <v>117.5</v>
      </c>
      <c r="V46" s="286">
        <f t="shared" si="99"/>
        <v>438.2978723404255</v>
      </c>
      <c r="W46" s="286">
        <f t="shared" si="100"/>
        <v>10424.843376101271</v>
      </c>
      <c r="X46" s="286">
        <f t="shared" si="101"/>
        <v>2037.0905759012094</v>
      </c>
      <c r="Y46" s="286">
        <f>X46*1000000/'a1'!X46</f>
        <v>2174.6665028724278</v>
      </c>
      <c r="Z46" s="7">
        <v>300</v>
      </c>
      <c r="AA46" s="13">
        <v>117</v>
      </c>
      <c r="AB46" s="286">
        <f t="shared" si="102"/>
        <v>256.41025641025641</v>
      </c>
      <c r="AC46" s="286">
        <f t="shared" si="103"/>
        <v>6826.3244491132418</v>
      </c>
      <c r="AD46" s="286">
        <f t="shared" si="104"/>
        <v>1127.3536416856734</v>
      </c>
      <c r="AE46" s="287">
        <f>AE45*POWER(AE$45/AE$40, 1/5)</f>
        <v>1543.9775549480048</v>
      </c>
      <c r="AF46" s="7">
        <v>7895</v>
      </c>
      <c r="AG46" s="13">
        <v>112.8</v>
      </c>
      <c r="AH46" s="286">
        <f t="shared" si="105"/>
        <v>6999.1134751773043</v>
      </c>
      <c r="AI46" s="286">
        <f t="shared" si="106"/>
        <v>132076.84643899355</v>
      </c>
      <c r="AJ46" s="286">
        <f t="shared" si="107"/>
        <v>32898.285898514172</v>
      </c>
      <c r="AK46" s="286">
        <f>AJ46*1000000/'a1'!AJ46</f>
        <v>4244.2106593439903</v>
      </c>
      <c r="AL46" s="7">
        <v>13874</v>
      </c>
      <c r="AM46" s="13">
        <v>110.6</v>
      </c>
      <c r="AN46" s="286">
        <f t="shared" si="87"/>
        <v>12544.303797468356</v>
      </c>
      <c r="AO46" s="286">
        <f t="shared" si="88"/>
        <v>243531.33240055156</v>
      </c>
      <c r="AP46" s="286">
        <f t="shared" si="89"/>
        <v>59001.72373667419</v>
      </c>
      <c r="AQ46" s="286">
        <f>AP46*1000000/'a1'!AP46</f>
        <v>4562.3545250062061</v>
      </c>
      <c r="AR46" s="7">
        <v>567</v>
      </c>
      <c r="AS46" s="13">
        <v>121.4</v>
      </c>
      <c r="AT46" s="286">
        <f t="shared" si="90"/>
        <v>467.05107084019761</v>
      </c>
      <c r="AU46" s="286">
        <f t="shared" si="91"/>
        <v>11702.599758016635</v>
      </c>
      <c r="AV46" s="286">
        <f t="shared" si="92"/>
        <v>2329.8425708858904</v>
      </c>
      <c r="AW46" s="286">
        <f>AV46*1000000/'a1'!AV46</f>
        <v>1932.6501168261339</v>
      </c>
      <c r="AX46" s="7">
        <v>528</v>
      </c>
      <c r="AY46" s="13">
        <v>157.9</v>
      </c>
      <c r="AZ46" s="286">
        <f t="shared" si="93"/>
        <v>334.38885370487645</v>
      </c>
      <c r="BA46" s="286">
        <f t="shared" si="94"/>
        <v>9447.6194795976662</v>
      </c>
      <c r="BB46" s="286">
        <f t="shared" si="95"/>
        <v>1860.0006776112393</v>
      </c>
      <c r="BC46" s="286">
        <f>BB46*1000000/'a1'!BB46</f>
        <v>1834.6965428916774</v>
      </c>
      <c r="BD46" s="7">
        <v>2877</v>
      </c>
      <c r="BE46" s="13">
        <v>156.30000000000001</v>
      </c>
      <c r="BF46" s="286">
        <f t="shared" si="96"/>
        <v>1840.6909788867563</v>
      </c>
      <c r="BG46" s="286">
        <f t="shared" si="97"/>
        <v>39818.554957216278</v>
      </c>
      <c r="BH46" s="286">
        <f t="shared" si="98"/>
        <v>8800.233573203157</v>
      </c>
      <c r="BI46" s="286">
        <f>BH46*1000000/'a1'!BH46</f>
        <v>2450.36911135634</v>
      </c>
      <c r="BJ46" s="7">
        <v>2804</v>
      </c>
      <c r="BK46" s="13">
        <v>119.9</v>
      </c>
      <c r="BL46" s="286">
        <f t="shared" si="108"/>
        <v>2338.6155129274393</v>
      </c>
      <c r="BM46" s="286">
        <f t="shared" si="109"/>
        <v>38720.465718692969</v>
      </c>
      <c r="BN46" s="286">
        <f t="shared" si="110"/>
        <v>10154.228340569625</v>
      </c>
      <c r="BO46" s="286">
        <f>BN46*1000000/'a1'!BN46</f>
        <v>2316.2756886783854</v>
      </c>
    </row>
    <row r="47" spans="1:67" ht="15.75" customHeight="1">
      <c r="A47" s="1">
        <v>2009</v>
      </c>
      <c r="B47" s="321">
        <v>29394</v>
      </c>
      <c r="C47" s="13">
        <v>118.8</v>
      </c>
      <c r="D47" s="286">
        <f t="shared" ref="D47:D48" si="114">B47/C47*100</f>
        <v>24742.424242424244</v>
      </c>
      <c r="E47" s="286">
        <f>E46+D47</f>
        <v>543480.45482048753</v>
      </c>
      <c r="F47" s="286">
        <f>(F46*0.8)+D47</f>
        <v>118910.11670477949</v>
      </c>
      <c r="G47" s="286">
        <f>F47*1000000/'a1'!F47</f>
        <v>3526.3780501547531</v>
      </c>
      <c r="H47" s="287">
        <f>H46*POWER(H$46/H$41, 1/5)</f>
        <v>305.66417058477919</v>
      </c>
      <c r="I47" s="13">
        <v>137.80000000000001</v>
      </c>
      <c r="J47" s="286">
        <f t="shared" ref="J47:J48" si="115">H47/I47*100</f>
        <v>221.81725006152334</v>
      </c>
      <c r="K47" s="286">
        <f t="shared" ref="K47:K48" si="116">K46+J47</f>
        <v>4287.2593252028973</v>
      </c>
      <c r="L47" s="286">
        <f t="shared" ref="L47:L48" si="117">(L46*0.8)+J47</f>
        <v>896.80142972695694</v>
      </c>
      <c r="M47" s="286">
        <f>L47*1000000/'a1'!L47</f>
        <v>1764.8603438932682</v>
      </c>
      <c r="N47" s="287">
        <f>N46*POWER(N$46/N$41, 1/5)</f>
        <v>69.298251631359761</v>
      </c>
      <c r="O47" s="13">
        <v>114.1</v>
      </c>
      <c r="P47" s="286">
        <f t="shared" ref="P47:P48" si="118">N47/O47*100</f>
        <v>60.734664006450281</v>
      </c>
      <c r="Q47" s="286">
        <f t="shared" ref="Q47:Q48" si="119">Q46+P47</f>
        <v>946.44200780750521</v>
      </c>
      <c r="R47" s="286">
        <f t="shared" ref="R47" si="120">(R46*0.8)+P47</f>
        <v>255.41605983634574</v>
      </c>
      <c r="S47" s="286">
        <f>R47*1000000/'a1'!R47</f>
        <v>1810.2160913155187</v>
      </c>
      <c r="T47" s="287">
        <f>T46*POWER(T$46/T$41, 1/5)</f>
        <v>539.29204389777658</v>
      </c>
      <c r="U47" s="13">
        <v>118.5</v>
      </c>
      <c r="V47" s="286">
        <f t="shared" ref="V47:V48" si="121">T47/U47*100</f>
        <v>455.09877122175243</v>
      </c>
      <c r="W47" s="286">
        <f t="shared" ref="W47:W48" si="122">W46+V47</f>
        <v>10879.942147323023</v>
      </c>
      <c r="X47" s="286">
        <f t="shared" ref="X47" si="123">(X46*0.8)+V47</f>
        <v>2084.7712319427201</v>
      </c>
      <c r="Y47" s="286">
        <f>X47*1000000/'a1'!X47</f>
        <v>2219.910503770237</v>
      </c>
      <c r="Z47" s="287">
        <f>Z46*POWER(Z$46/Z$41, 1/5)</f>
        <v>320.66961744346582</v>
      </c>
      <c r="AA47" s="13">
        <v>117.9</v>
      </c>
      <c r="AB47" s="286">
        <f t="shared" ref="AB47:AB48" si="124">Z47/AA47*100</f>
        <v>271.9844083489956</v>
      </c>
      <c r="AC47" s="286">
        <f t="shared" ref="AC47:AC48" si="125">AC46+AB47</f>
        <v>7098.308857462237</v>
      </c>
      <c r="AD47" s="286">
        <f t="shared" ref="AD47" si="126">(AD46*0.8)+AB47</f>
        <v>1173.8673216975344</v>
      </c>
      <c r="AE47" s="287">
        <f>AE46*POWER(AE$45/AE$40, 1/5)</f>
        <v>1632.4444555899017</v>
      </c>
      <c r="AF47" s="287">
        <f>AF46*POWER(AF$46/AF$41, 1/5)</f>
        <v>8095.400458814348</v>
      </c>
      <c r="AG47" s="13">
        <v>113.6</v>
      </c>
      <c r="AH47" s="286">
        <f t="shared" ref="AH47:AH48" si="127">AF47/AG47*100</f>
        <v>7126.2327982520674</v>
      </c>
      <c r="AI47" s="286">
        <f t="shared" ref="AI47:AI48" si="128">AI46+AH47</f>
        <v>139203.07923724563</v>
      </c>
      <c r="AJ47" s="286">
        <f t="shared" ref="AJ47" si="129">(AJ46*0.8)+AH47</f>
        <v>33444.861517063408</v>
      </c>
      <c r="AK47" s="286">
        <f>AJ47*1000000/'a1'!AJ47</f>
        <v>4272.2708631023606</v>
      </c>
      <c r="AL47" s="287">
        <f>AL46*POWER(AL$46/AL$41, 1/5)</f>
        <v>14286.601017274503</v>
      </c>
      <c r="AM47" s="13">
        <v>113.5</v>
      </c>
      <c r="AN47" s="286">
        <f t="shared" ref="AN47:AN48" si="130">AL47/AM47*100</f>
        <v>12587.313671607491</v>
      </c>
      <c r="AO47" s="286">
        <f t="shared" ref="AO47:AO48" si="131">AO46+AN47</f>
        <v>256118.64607215906</v>
      </c>
      <c r="AP47" s="286">
        <f t="shared" ref="AP47" si="132">(AP46*0.8)+AN47</f>
        <v>59788.69266094685</v>
      </c>
      <c r="AQ47" s="286">
        <f>AP47*1000000/'a1'!AP47</f>
        <v>4576.2839869380441</v>
      </c>
      <c r="AR47" s="287">
        <f>AR46*POWER(AR$46/AR$41, 1/5)</f>
        <v>592.5123286750071</v>
      </c>
      <c r="AS47" s="13">
        <v>121.1</v>
      </c>
      <c r="AT47" s="286">
        <f t="shared" ref="AT47:AT48" si="133">AR47/AS47*100</f>
        <v>489.27525076383745</v>
      </c>
      <c r="AU47" s="286">
        <f t="shared" ref="AU47:AU48" si="134">AU46+AT47</f>
        <v>12191.875008780473</v>
      </c>
      <c r="AV47" s="286">
        <f t="shared" ref="AV47" si="135">(AV46*0.8)+AT47</f>
        <v>2353.1493074725499</v>
      </c>
      <c r="AW47" s="286">
        <f>AV47*1000000/'a1'!AV47</f>
        <v>1929.5036311991928</v>
      </c>
      <c r="AX47" s="287">
        <f>AX46*POWER(AX$46/AX$41, 1/5)</f>
        <v>558.70697425401931</v>
      </c>
      <c r="AY47" s="13">
        <v>142.1</v>
      </c>
      <c r="AZ47" s="286">
        <f t="shared" ref="AZ47:AZ48" si="136">AX47/AY47*100</f>
        <v>393.17872924280039</v>
      </c>
      <c r="BA47" s="286">
        <f t="shared" ref="BA47:BA48" si="137">BA46+AZ47</f>
        <v>9840.798208840466</v>
      </c>
      <c r="BB47" s="286">
        <f t="shared" ref="BB47" si="138">(BB46*0.8)+AZ47</f>
        <v>1881.1792713317918</v>
      </c>
      <c r="BC47" s="286">
        <f>BB47*1000000/'a1'!BB47</f>
        <v>1827.9422803586272</v>
      </c>
      <c r="BD47" s="287">
        <f>BD46*POWER(BD$46/BD$41, 1/5)</f>
        <v>3125.5856973599844</v>
      </c>
      <c r="BE47" s="13">
        <v>138.69999999999999</v>
      </c>
      <c r="BF47" s="286">
        <f t="shared" ref="BF47:BF48" si="139">BD47/BE47*100</f>
        <v>2253.4864436625699</v>
      </c>
      <c r="BG47" s="286">
        <f t="shared" ref="BG47:BG48" si="140">BG46+BF47</f>
        <v>42072.04140087885</v>
      </c>
      <c r="BH47" s="286">
        <f t="shared" ref="BH47" si="141">(BH46*0.8)+BF47</f>
        <v>9293.6733022250955</v>
      </c>
      <c r="BI47" s="286">
        <f>BH47*1000000/'a1'!BH47</f>
        <v>2531.824165856684</v>
      </c>
      <c r="BJ47" s="287">
        <f>BJ46*POWER(BJ$46/BJ$41, 1/5)</f>
        <v>2985.2646544652002</v>
      </c>
      <c r="BK47" s="13">
        <v>118</v>
      </c>
      <c r="BL47" s="286">
        <f t="shared" ref="BL47:BL48" si="142">BJ47/BK47*100</f>
        <v>2529.8853003942377</v>
      </c>
      <c r="BM47" s="286">
        <f t="shared" ref="BM47:BM48" si="143">BM46+BL47</f>
        <v>41250.351019087204</v>
      </c>
      <c r="BN47" s="286">
        <f t="shared" ref="BN47" si="144">(BN46*0.8)+BL47</f>
        <v>10653.267972849939</v>
      </c>
      <c r="BO47" s="286">
        <f>BN47*1000000/'a1'!BN47</f>
        <v>2388.468730937333</v>
      </c>
    </row>
    <row r="48" spans="1:67" ht="15.75" customHeight="1">
      <c r="A48" s="1">
        <v>2010</v>
      </c>
      <c r="B48" s="321">
        <v>29222</v>
      </c>
      <c r="C48" s="288">
        <f>C47*(POWER(C47/C42,1/5))</f>
        <v>121.40268386104673</v>
      </c>
      <c r="D48" s="286">
        <f t="shared" si="114"/>
        <v>24070.308061266984</v>
      </c>
      <c r="E48" s="286">
        <f>E47+D48</f>
        <v>567550.76288175455</v>
      </c>
      <c r="F48" s="286">
        <f>(F47*0.8)+D48</f>
        <v>119198.40142509059</v>
      </c>
      <c r="G48" s="286">
        <f>F48*1000000/'a1'!F48</f>
        <v>3494.6573660945023</v>
      </c>
      <c r="H48" s="287">
        <f>H47*POWER(H$46/H$41, 1/5)</f>
        <v>336.08124165208989</v>
      </c>
      <c r="I48" s="288">
        <f>I47*(POWER(I47/I42,1/5))</f>
        <v>143.42908939114417</v>
      </c>
      <c r="J48" s="286">
        <f t="shared" si="115"/>
        <v>234.31874459968563</v>
      </c>
      <c r="K48" s="286">
        <f t="shared" si="116"/>
        <v>4521.5780698025828</v>
      </c>
      <c r="L48" s="286">
        <f t="shared" si="117"/>
        <v>951.75988838125124</v>
      </c>
      <c r="M48" s="286">
        <f>L48*1000000/'a1'!L48</f>
        <v>1867.1514017590398</v>
      </c>
      <c r="N48" s="287">
        <f>N47*POWER(N$46/N$41, 1/5)</f>
        <v>75.035119986925878</v>
      </c>
      <c r="O48" s="288">
        <f>O47*(POWER(O47/O42,1/5))</f>
        <v>116.52756854179917</v>
      </c>
      <c r="P48" s="286">
        <f t="shared" si="118"/>
        <v>64.39259046241088</v>
      </c>
      <c r="Q48" s="286">
        <f t="shared" si="119"/>
        <v>1010.8345982699161</v>
      </c>
      <c r="R48" s="286">
        <f t="shared" ref="R48" si="145">(R47*0.8)+P48</f>
        <v>268.72543833148745</v>
      </c>
      <c r="S48" s="286">
        <f>R48*1000000/'a1'!R48</f>
        <v>1888.8943129875549</v>
      </c>
      <c r="T48" s="287">
        <f>T47*POWER(T$46/T$41, 1/5)</f>
        <v>564.72991963386676</v>
      </c>
      <c r="U48" s="288">
        <f>U47*(POWER(U47/U42,1/5))</f>
        <v>120.7866342626011</v>
      </c>
      <c r="V48" s="286">
        <f t="shared" si="121"/>
        <v>467.54338597273329</v>
      </c>
      <c r="W48" s="286">
        <f t="shared" si="122"/>
        <v>11347.485533295756</v>
      </c>
      <c r="X48" s="286">
        <f t="shared" ref="X48" si="146">(X47*0.8)+V48</f>
        <v>2135.3603715269096</v>
      </c>
      <c r="Y48" s="286">
        <f>X48*1000000/'a1'!X48</f>
        <v>2265.6199234030441</v>
      </c>
      <c r="Z48" s="287">
        <f>Z47*POWER(Z$46/Z$41, 1/5)</f>
        <v>342.76334517112906</v>
      </c>
      <c r="AA48" s="288">
        <f>AA47*(POWER(AA47/AA42,1/5))</f>
        <v>120.48124108479578</v>
      </c>
      <c r="AB48" s="286">
        <f t="shared" si="124"/>
        <v>284.49519782908703</v>
      </c>
      <c r="AC48" s="286">
        <f t="shared" si="125"/>
        <v>7382.8040552913244</v>
      </c>
      <c r="AD48" s="286">
        <f t="shared" ref="AD48" si="147">(AD47*0.8)+AB48</f>
        <v>1223.5890551871146</v>
      </c>
      <c r="AE48" s="287">
        <f>AE47*POWER(AE$45/AE$40, 1/5)</f>
        <v>1725.9803369848555</v>
      </c>
      <c r="AF48" s="287">
        <f>AF47*POWER(AF$46/AF$41, 1/5)</f>
        <v>8300.8877249615653</v>
      </c>
      <c r="AG48" s="288">
        <f>AG47*(POWER(AG47/AG42,1/5))</f>
        <v>115.46880235199436</v>
      </c>
      <c r="AH48" s="286">
        <f t="shared" si="127"/>
        <v>7188.8575579550843</v>
      </c>
      <c r="AI48" s="286">
        <f t="shared" si="128"/>
        <v>146391.93679520072</v>
      </c>
      <c r="AJ48" s="286">
        <f t="shared" ref="AJ48" si="148">(AJ47*0.8)+AH48</f>
        <v>33944.746771605809</v>
      </c>
      <c r="AK48" s="286">
        <f>AJ48*1000000/'a1'!AJ48</f>
        <v>4292.7958736756264</v>
      </c>
      <c r="AL48" s="287">
        <f>AL47*POWER(AL$46/AL$41, 1/5)</f>
        <v>14711.472439584033</v>
      </c>
      <c r="AM48" s="288">
        <f>AM47*(POWER(AM47/AM42,1/5))</f>
        <v>115.52392191745675</v>
      </c>
      <c r="AN48" s="286">
        <f t="shared" si="130"/>
        <v>12734.568040457942</v>
      </c>
      <c r="AO48" s="286">
        <f t="shared" si="131"/>
        <v>268853.21411261702</v>
      </c>
      <c r="AP48" s="286">
        <f t="shared" ref="AP48" si="149">(AP47*0.8)+AN48</f>
        <v>60565.522169215423</v>
      </c>
      <c r="AQ48" s="286">
        <f>AP48*1000000/'a1'!AP48</f>
        <v>4584.5922972106873</v>
      </c>
      <c r="AR48" s="287">
        <f>AR47*POWER(AR$46/AR$41, 1/5)</f>
        <v>619.17259194335031</v>
      </c>
      <c r="AS48" s="288">
        <f>AS47*(POWER(AS47/AS42,1/5))</f>
        <v>124.60489741027938</v>
      </c>
      <c r="AT48" s="286">
        <f t="shared" si="133"/>
        <v>496.9087129092818</v>
      </c>
      <c r="AU48" s="286">
        <f t="shared" si="134"/>
        <v>12688.783721689755</v>
      </c>
      <c r="AV48" s="286">
        <f t="shared" ref="AV48" si="150">(AV47*0.8)+AT48</f>
        <v>2379.4281588873218</v>
      </c>
      <c r="AW48" s="286">
        <f>AV48*1000000/'a1'!AV48</f>
        <v>1926.0199503382855</v>
      </c>
      <c r="AX48" s="287">
        <f>AX47*POWER(AX$46/AX$41, 1/5)</f>
        <v>591.19977856076014</v>
      </c>
      <c r="AY48" s="288">
        <f>AY47*(POWER(AY47/AY42,1/5))</f>
        <v>150.08861663080913</v>
      </c>
      <c r="AZ48" s="286">
        <f t="shared" si="136"/>
        <v>393.90047815218708</v>
      </c>
      <c r="BA48" s="286">
        <f t="shared" si="137"/>
        <v>10234.698686992653</v>
      </c>
      <c r="BB48" s="286">
        <f t="shared" ref="BB48" si="151">(BB47*0.8)+AZ48</f>
        <v>1898.8438952176207</v>
      </c>
      <c r="BC48" s="286">
        <f>BB48*1000000/'a1'!BB48</f>
        <v>1815.9945900312164</v>
      </c>
      <c r="BD48" s="287">
        <f>BD47*POWER(BD$46/BD$41, 1/5)</f>
        <v>3395.650313361592</v>
      </c>
      <c r="BE48" s="288">
        <f>BE47*(POWER(BE47/BE42,1/5))</f>
        <v>143.74745203747423</v>
      </c>
      <c r="BF48" s="286">
        <f t="shared" si="139"/>
        <v>2362.2333928231042</v>
      </c>
      <c r="BG48" s="286">
        <f t="shared" si="140"/>
        <v>44434.274793701952</v>
      </c>
      <c r="BH48" s="286">
        <f t="shared" ref="BH48" si="152">(BH47*0.8)+BF48</f>
        <v>9797.1720346031816</v>
      </c>
      <c r="BI48" s="286">
        <f>BH48*1000000/'a1'!BH48</f>
        <v>2632.9788270518256</v>
      </c>
      <c r="BJ48" s="287">
        <f>BJ47*POWER(BJ$46/BJ$41, 1/5)</f>
        <v>3178.2471673321083</v>
      </c>
      <c r="BK48" s="288">
        <f>BK47*(POWER(BK47/BK42,1/5))</f>
        <v>120.19764382809413</v>
      </c>
      <c r="BL48" s="286">
        <f t="shared" si="142"/>
        <v>2644.1842502982972</v>
      </c>
      <c r="BM48" s="286">
        <f t="shared" si="143"/>
        <v>43894.535269385502</v>
      </c>
      <c r="BN48" s="286">
        <f t="shared" ref="BN48" si="153">(BN47*0.8)+BL48</f>
        <v>11166.79862857825</v>
      </c>
      <c r="BO48" s="286">
        <f>BN48*1000000/'a1'!BN48</f>
        <v>2464.5546702196111</v>
      </c>
    </row>
    <row r="49" spans="1:138" ht="15.75" customHeight="1">
      <c r="B49" s="172" t="s">
        <v>435</v>
      </c>
      <c r="C49" s="183"/>
      <c r="D49" s="7"/>
      <c r="E49" s="7"/>
      <c r="F49" s="7"/>
      <c r="G49" s="7"/>
      <c r="H49" s="205"/>
      <c r="I49" s="121"/>
      <c r="J49" s="7"/>
      <c r="K49" s="7"/>
      <c r="L49" s="7"/>
      <c r="M49" s="7"/>
      <c r="N49" s="172" t="s">
        <v>435</v>
      </c>
      <c r="O49" s="121"/>
      <c r="P49" s="7"/>
      <c r="Q49" s="7"/>
      <c r="R49" s="7"/>
      <c r="S49" s="7"/>
      <c r="T49" s="205"/>
      <c r="U49" s="121"/>
      <c r="V49" s="7"/>
      <c r="W49" s="7"/>
      <c r="X49" s="7"/>
      <c r="Y49" s="7"/>
      <c r="Z49" s="172" t="s">
        <v>435</v>
      </c>
      <c r="AA49" s="121"/>
      <c r="AB49" s="7"/>
      <c r="AC49" s="7"/>
      <c r="AD49" s="7"/>
      <c r="AE49" s="7"/>
      <c r="AF49" s="205"/>
      <c r="AG49" s="121"/>
      <c r="AH49" s="7"/>
      <c r="AI49" s="7"/>
      <c r="AJ49" s="7"/>
      <c r="AK49" s="7"/>
      <c r="AL49" s="172" t="s">
        <v>435</v>
      </c>
      <c r="AM49" s="121"/>
      <c r="AN49" s="7"/>
      <c r="AO49" s="7"/>
      <c r="AP49" s="7"/>
      <c r="AQ49" s="7"/>
      <c r="AR49" s="205"/>
      <c r="AS49" s="121"/>
      <c r="AT49" s="7"/>
      <c r="AU49" s="7"/>
      <c r="AV49" s="7"/>
      <c r="AW49" s="7"/>
      <c r="AX49" s="172" t="s">
        <v>435</v>
      </c>
      <c r="AY49" s="121"/>
      <c r="AZ49" s="7"/>
      <c r="BA49" s="7"/>
      <c r="BB49" s="7"/>
      <c r="BC49" s="7"/>
      <c r="BD49" s="205"/>
      <c r="BE49" s="121"/>
      <c r="BF49" s="7"/>
      <c r="BG49" s="7"/>
      <c r="BH49" s="7"/>
      <c r="BI49" s="7"/>
      <c r="BJ49" s="172" t="s">
        <v>435</v>
      </c>
      <c r="BK49" s="121"/>
      <c r="BL49" s="7"/>
      <c r="BM49" s="7"/>
      <c r="BN49" s="7"/>
      <c r="BO49" s="7"/>
    </row>
    <row r="50" spans="1:138" s="252" customFormat="1" ht="15.75" customHeight="1">
      <c r="A50" s="252" t="s">
        <v>973</v>
      </c>
      <c r="B50" s="271">
        <f t="shared" ref="B50:AG50" si="154">(POWER(B48/B19, 1/29)-1)*100</f>
        <v>6.733986855834484</v>
      </c>
      <c r="C50" s="271">
        <f t="shared" si="154"/>
        <v>2.7230812012615013</v>
      </c>
      <c r="D50" s="271">
        <f t="shared" si="154"/>
        <v>3.9045807501768559</v>
      </c>
      <c r="E50" s="271">
        <f t="shared" si="154"/>
        <v>7.585603739259672</v>
      </c>
      <c r="F50" s="271">
        <f t="shared" si="154"/>
        <v>4.8153585417053391</v>
      </c>
      <c r="G50" s="271">
        <f t="shared" si="154"/>
        <v>3.6726127157667099</v>
      </c>
      <c r="H50" s="271">
        <f t="shared" si="154"/>
        <v>7.8061338440430061</v>
      </c>
      <c r="I50" s="271">
        <f t="shared" si="154"/>
        <v>3.3604270199282471</v>
      </c>
      <c r="J50" s="271">
        <f t="shared" si="154"/>
        <v>4.3011691730507451</v>
      </c>
      <c r="K50" s="271">
        <f t="shared" si="154"/>
        <v>8.2286984392900173</v>
      </c>
      <c r="L50" s="271">
        <f t="shared" si="154"/>
        <v>5.0175533662179195</v>
      </c>
      <c r="M50" s="271">
        <f t="shared" si="154"/>
        <v>5.456631964221903</v>
      </c>
      <c r="N50" s="271">
        <f t="shared" si="154"/>
        <v>8.523298194053929</v>
      </c>
      <c r="O50" s="271">
        <f t="shared" si="154"/>
        <v>2.9252607917130913</v>
      </c>
      <c r="P50" s="271">
        <f t="shared" si="154"/>
        <v>5.438934387224359</v>
      </c>
      <c r="Q50" s="271">
        <f t="shared" si="154"/>
        <v>8.6269625275258619</v>
      </c>
      <c r="R50" s="271">
        <f t="shared" si="154"/>
        <v>6.4657876838318584</v>
      </c>
      <c r="S50" s="271">
        <f t="shared" si="154"/>
        <v>5.9492374103419676</v>
      </c>
      <c r="T50" s="271">
        <f t="shared" si="154"/>
        <v>6.4971315761307435</v>
      </c>
      <c r="U50" s="271">
        <f t="shared" si="154"/>
        <v>3.0952279566149876</v>
      </c>
      <c r="V50" s="271">
        <f t="shared" si="154"/>
        <v>3.2997682695336428</v>
      </c>
      <c r="W50" s="271">
        <f t="shared" si="154"/>
        <v>6.8112047616482263</v>
      </c>
      <c r="X50" s="271">
        <f t="shared" si="154"/>
        <v>3.5804855024575089</v>
      </c>
      <c r="Y50" s="271">
        <f t="shared" si="154"/>
        <v>3.2324990760550731</v>
      </c>
      <c r="Z50" s="271">
        <f t="shared" si="154"/>
        <v>7.9785963263304227</v>
      </c>
      <c r="AA50" s="271">
        <f t="shared" si="154"/>
        <v>2.9126014979752091</v>
      </c>
      <c r="AB50" s="271">
        <f t="shared" si="154"/>
        <v>4.922618566254866</v>
      </c>
      <c r="AC50" s="271">
        <f t="shared" si="154"/>
        <v>3.9836160541186327</v>
      </c>
      <c r="AD50" s="271">
        <f t="shared" si="154"/>
        <v>1.9516613029600061</v>
      </c>
      <c r="AE50" s="271">
        <f t="shared" si="154"/>
        <v>1.9393117483884392</v>
      </c>
      <c r="AF50" s="271">
        <f t="shared" si="154"/>
        <v>8.3002363006893454</v>
      </c>
      <c r="AG50" s="271">
        <f t="shared" si="154"/>
        <v>2.795894284875966</v>
      </c>
      <c r="AH50" s="271">
        <f t="shared" ref="AH50:BO50" si="155">(POWER(AH48/AH19, 1/29)-1)*100</f>
        <v>5.3546321612411019</v>
      </c>
      <c r="AI50" s="271">
        <f t="shared" si="155"/>
        <v>8.8644857275232081</v>
      </c>
      <c r="AJ50" s="271">
        <f t="shared" si="155"/>
        <v>6.2095949876256995</v>
      </c>
      <c r="AK50" s="271">
        <f t="shared" si="155"/>
        <v>5.520535139155025</v>
      </c>
      <c r="AL50" s="271">
        <f t="shared" si="155"/>
        <v>7.7980868330653097</v>
      </c>
      <c r="AM50" s="271">
        <f t="shared" si="155"/>
        <v>2.7839532224346319</v>
      </c>
      <c r="AN50" s="271">
        <f t="shared" si="155"/>
        <v>4.8783233699715822</v>
      </c>
      <c r="AO50" s="271">
        <f t="shared" si="155"/>
        <v>8.9932415984460548</v>
      </c>
      <c r="AP50" s="271">
        <f t="shared" si="155"/>
        <v>6.0625195739437476</v>
      </c>
      <c r="AQ50" s="271">
        <f t="shared" si="155"/>
        <v>4.5920376330091939</v>
      </c>
      <c r="AR50" s="271">
        <f t="shared" si="155"/>
        <v>5.365652897084483</v>
      </c>
      <c r="AS50" s="271">
        <f t="shared" si="155"/>
        <v>2.8408982802325733</v>
      </c>
      <c r="AT50" s="271">
        <f t="shared" si="155"/>
        <v>2.4550102722480815</v>
      </c>
      <c r="AU50" s="271">
        <f t="shared" si="155"/>
        <v>7.2377104503901668</v>
      </c>
      <c r="AV50" s="271">
        <f t="shared" si="155"/>
        <v>3.6300242902821633</v>
      </c>
      <c r="AW50" s="271">
        <f t="shared" si="155"/>
        <v>3.0013088611147154</v>
      </c>
      <c r="AX50" s="271">
        <f t="shared" si="155"/>
        <v>6.9166534025042692</v>
      </c>
      <c r="AY50" s="271">
        <f t="shared" si="155"/>
        <v>3.0274099256605069</v>
      </c>
      <c r="AZ50" s="271">
        <f t="shared" si="155"/>
        <v>3.7749599641979215</v>
      </c>
      <c r="BA50" s="271">
        <f t="shared" si="155"/>
        <v>7.809155837656756</v>
      </c>
      <c r="BB50" s="271">
        <f t="shared" si="155"/>
        <v>4.4385007322473857</v>
      </c>
      <c r="BC50" s="271">
        <f t="shared" si="155"/>
        <v>4.1897599468815994</v>
      </c>
      <c r="BD50" s="271">
        <f t="shared" si="155"/>
        <v>7.0490529275975211</v>
      </c>
      <c r="BE50" s="271">
        <f t="shared" si="155"/>
        <v>2.7691418086340791</v>
      </c>
      <c r="BF50" s="271">
        <f t="shared" si="155"/>
        <v>4.1645877776551377</v>
      </c>
      <c r="BG50" s="271">
        <f t="shared" si="155"/>
        <v>7.6471197186864792</v>
      </c>
      <c r="BH50" s="271">
        <f t="shared" si="155"/>
        <v>4.8706769610728617</v>
      </c>
      <c r="BI50" s="271">
        <f t="shared" si="155"/>
        <v>3.1315885265978505</v>
      </c>
      <c r="BJ50" s="271">
        <f t="shared" si="155"/>
        <v>8.930245861672903</v>
      </c>
      <c r="BK50" s="271">
        <f t="shared" si="155"/>
        <v>2.8571608022796235</v>
      </c>
      <c r="BL50" s="271">
        <f t="shared" si="155"/>
        <v>5.9043872220695182</v>
      </c>
      <c r="BM50" s="271">
        <f t="shared" si="155"/>
        <v>9.2421442706018375</v>
      </c>
      <c r="BN50" s="271">
        <f t="shared" si="155"/>
        <v>6.7277739170325201</v>
      </c>
      <c r="BO50" s="271">
        <f t="shared" si="155"/>
        <v>5.0052030897405064</v>
      </c>
      <c r="BP50" s="271"/>
      <c r="BQ50" s="269"/>
      <c r="BR50" s="269"/>
      <c r="BS50" s="269"/>
      <c r="BT50" s="269"/>
      <c r="BU50" s="269"/>
      <c r="BV50" s="269"/>
      <c r="BW50" s="269"/>
      <c r="BX50" s="269"/>
      <c r="BY50" s="269"/>
      <c r="BZ50" s="269"/>
      <c r="CA50" s="269"/>
      <c r="CB50" s="269"/>
      <c r="CC50" s="269"/>
      <c r="CD50" s="269"/>
      <c r="CE50" s="269"/>
      <c r="CF50" s="269"/>
      <c r="CG50" s="269"/>
      <c r="CH50" s="269"/>
      <c r="CI50" s="269"/>
      <c r="CJ50" s="269"/>
      <c r="CK50" s="269"/>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c r="B51" s="1" t="s">
        <v>956</v>
      </c>
      <c r="BJ51" s="7"/>
    </row>
    <row r="52" spans="1:138">
      <c r="B52" s="1" t="s">
        <v>715</v>
      </c>
      <c r="N52" s="1" t="s">
        <v>380</v>
      </c>
      <c r="Z52" s="1" t="s">
        <v>380</v>
      </c>
      <c r="AL52" s="1" t="s">
        <v>380</v>
      </c>
      <c r="AX52" s="1" t="s">
        <v>380</v>
      </c>
      <c r="BJ52" s="1" t="s">
        <v>380</v>
      </c>
    </row>
    <row r="53" spans="1:138">
      <c r="B53" s="1" t="s">
        <v>1016</v>
      </c>
    </row>
    <row r="54" spans="1:138">
      <c r="B54" s="1" t="s">
        <v>985</v>
      </c>
    </row>
    <row r="55" spans="1:138">
      <c r="B55" s="1" t="s">
        <v>660</v>
      </c>
    </row>
    <row r="56" spans="1:138">
      <c r="B56" s="1" t="s">
        <v>470</v>
      </c>
    </row>
    <row r="57" spans="1:138">
      <c r="B57" s="1" t="s">
        <v>1000</v>
      </c>
    </row>
    <row r="59" spans="1:138">
      <c r="A59" s="1" t="s">
        <v>754</v>
      </c>
    </row>
    <row r="60" spans="1:138">
      <c r="B60" s="1" t="s">
        <v>78</v>
      </c>
    </row>
    <row r="61" spans="1:138">
      <c r="A61" s="13" t="s">
        <v>76</v>
      </c>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row>
    <row r="62" spans="1:138">
      <c r="A62" s="214" t="s">
        <v>718</v>
      </c>
      <c r="B62" s="214"/>
      <c r="C62" s="13">
        <v>24.430707456978965</v>
      </c>
      <c r="D62" s="13"/>
      <c r="E62" s="13"/>
      <c r="F62" s="13"/>
      <c r="G62" s="13"/>
      <c r="H62" s="13"/>
      <c r="I62" s="13">
        <v>26.648362720403021</v>
      </c>
      <c r="J62" s="13"/>
      <c r="K62" s="13"/>
      <c r="L62" s="13"/>
      <c r="M62" s="13"/>
      <c r="N62" s="13"/>
      <c r="O62" s="13">
        <v>30.932000000000009</v>
      </c>
      <c r="P62" s="13"/>
      <c r="Q62" s="13"/>
      <c r="R62" s="13"/>
      <c r="S62" s="13"/>
      <c r="T62" s="13"/>
      <c r="U62" s="13">
        <v>24.465548387096771</v>
      </c>
      <c r="V62" s="13"/>
      <c r="W62" s="13"/>
      <c r="X62" s="13"/>
      <c r="Y62" s="13"/>
      <c r="Z62" s="13"/>
      <c r="AA62" s="13">
        <v>24.159230769230764</v>
      </c>
      <c r="AB62" s="13"/>
      <c r="AC62" s="13"/>
      <c r="AD62" s="13"/>
      <c r="AE62" s="13"/>
      <c r="AF62" s="13"/>
      <c r="AG62" s="13">
        <v>24.089897698209711</v>
      </c>
      <c r="AH62" s="13"/>
      <c r="AI62" s="13"/>
      <c r="AJ62" s="13"/>
      <c r="AK62" s="13"/>
      <c r="AL62" s="13"/>
      <c r="AM62" s="13">
        <v>25.091131105398457</v>
      </c>
      <c r="AN62" s="13"/>
      <c r="AO62" s="13"/>
      <c r="AP62" s="13"/>
      <c r="AQ62" s="13"/>
      <c r="AR62" s="13"/>
      <c r="AS62" s="13">
        <v>26.293749999999999</v>
      </c>
      <c r="AT62" s="13"/>
      <c r="AU62" s="13"/>
      <c r="AV62" s="13"/>
      <c r="AW62" s="13"/>
      <c r="AX62" s="13"/>
      <c r="AY62" s="13">
        <v>30.716771752837328</v>
      </c>
      <c r="AZ62" s="13"/>
      <c r="BA62" s="13"/>
      <c r="BB62" s="13"/>
      <c r="BC62" s="13"/>
      <c r="BD62" s="13"/>
      <c r="BE62" s="13">
        <v>33.481650246305414</v>
      </c>
      <c r="BF62" s="13"/>
      <c r="BG62" s="13"/>
      <c r="BH62" s="13"/>
      <c r="BI62" s="13"/>
      <c r="BJ62" s="13"/>
      <c r="BK62" s="13">
        <v>24.738922888616894</v>
      </c>
    </row>
    <row r="63" spans="1:138">
      <c r="A63" s="214" t="s">
        <v>719</v>
      </c>
      <c r="B63" s="214"/>
      <c r="C63" s="13">
        <v>25.901606118546848</v>
      </c>
      <c r="D63" s="13"/>
      <c r="E63" s="13"/>
      <c r="F63" s="13"/>
      <c r="G63" s="13"/>
      <c r="H63" s="13"/>
      <c r="I63" s="13">
        <v>28.067506297229222</v>
      </c>
      <c r="J63" s="13"/>
      <c r="K63" s="13"/>
      <c r="L63" s="13"/>
      <c r="M63" s="13"/>
      <c r="N63" s="13"/>
      <c r="O63" s="13">
        <v>32.513750000000002</v>
      </c>
      <c r="P63" s="13"/>
      <c r="Q63" s="13"/>
      <c r="R63" s="13"/>
      <c r="S63" s="13"/>
      <c r="T63" s="13"/>
      <c r="U63" s="13">
        <v>25.809032258064512</v>
      </c>
      <c r="V63" s="13"/>
      <c r="W63" s="13"/>
      <c r="X63" s="13"/>
      <c r="Y63" s="13"/>
      <c r="Z63" s="13"/>
      <c r="AA63" s="13">
        <v>25.572051282051277</v>
      </c>
      <c r="AB63" s="13"/>
      <c r="AC63" s="13"/>
      <c r="AD63" s="13"/>
      <c r="AE63" s="13"/>
      <c r="AF63" s="13"/>
      <c r="AG63" s="13">
        <v>25.376598465473137</v>
      </c>
      <c r="AH63" s="13"/>
      <c r="AI63" s="13"/>
      <c r="AJ63" s="13"/>
      <c r="AK63" s="13"/>
      <c r="AL63" s="13"/>
      <c r="AM63" s="13">
        <v>26.441645244215938</v>
      </c>
      <c r="AN63" s="13"/>
      <c r="AO63" s="13"/>
      <c r="AP63" s="13"/>
      <c r="AQ63" s="13"/>
      <c r="AR63" s="13"/>
      <c r="AS63" s="13">
        <v>27.596938775510207</v>
      </c>
      <c r="AT63" s="13"/>
      <c r="AU63" s="13"/>
      <c r="AV63" s="13"/>
      <c r="AW63" s="13"/>
      <c r="AX63" s="13"/>
      <c r="AY63" s="13">
        <v>32.403530895334178</v>
      </c>
      <c r="AZ63" s="13"/>
      <c r="BA63" s="13"/>
      <c r="BB63" s="13"/>
      <c r="BC63" s="13"/>
      <c r="BD63" s="13"/>
      <c r="BE63" s="13">
        <v>35.304433497536941</v>
      </c>
      <c r="BF63" s="13"/>
      <c r="BG63" s="13"/>
      <c r="BH63" s="13"/>
      <c r="BI63" s="13"/>
      <c r="BJ63" s="13"/>
      <c r="BK63" s="13">
        <v>25.979314565483481</v>
      </c>
    </row>
    <row r="64" spans="1:138">
      <c r="A64" s="214" t="s">
        <v>720</v>
      </c>
      <c r="B64" s="214"/>
      <c r="C64" s="13">
        <v>28.337782026768647</v>
      </c>
      <c r="D64" s="13"/>
      <c r="E64" s="13"/>
      <c r="F64" s="13"/>
      <c r="G64" s="13"/>
      <c r="H64" s="13"/>
      <c r="I64" s="13">
        <v>30.432745591939554</v>
      </c>
      <c r="J64" s="13"/>
      <c r="K64" s="13"/>
      <c r="L64" s="13"/>
      <c r="M64" s="13"/>
      <c r="N64" s="13"/>
      <c r="O64" s="13">
        <v>35.501500000000007</v>
      </c>
      <c r="P64" s="13"/>
      <c r="Q64" s="13"/>
      <c r="R64" s="13"/>
      <c r="S64" s="13"/>
      <c r="T64" s="13"/>
      <c r="U64" s="13">
        <v>27.859612903225806</v>
      </c>
      <c r="V64" s="13"/>
      <c r="W64" s="13"/>
      <c r="X64" s="13"/>
      <c r="Y64" s="13"/>
      <c r="Z64" s="13"/>
      <c r="AA64" s="13">
        <v>27.620641025641021</v>
      </c>
      <c r="AB64" s="13"/>
      <c r="AC64" s="13"/>
      <c r="AD64" s="13"/>
      <c r="AE64" s="13"/>
      <c r="AF64" s="13"/>
      <c r="AG64" s="13">
        <v>27.2351662404092</v>
      </c>
      <c r="AH64" s="13"/>
      <c r="AI64" s="13"/>
      <c r="AJ64" s="13"/>
      <c r="AK64" s="13"/>
      <c r="AL64" s="13"/>
      <c r="AM64" s="13">
        <v>28.360796915167089</v>
      </c>
      <c r="AN64" s="13"/>
      <c r="AO64" s="13"/>
      <c r="AP64" s="13"/>
      <c r="AQ64" s="13"/>
      <c r="AR64" s="13"/>
      <c r="AS64" s="13">
        <v>29.666709183673476</v>
      </c>
      <c r="AT64" s="13"/>
      <c r="AU64" s="13"/>
      <c r="AV64" s="13"/>
      <c r="AW64" s="13"/>
      <c r="AX64" s="13"/>
      <c r="AY64" s="13">
        <v>34.622950819672134</v>
      </c>
      <c r="AZ64" s="13"/>
      <c r="BA64" s="13"/>
      <c r="BB64" s="13"/>
      <c r="BC64" s="13"/>
      <c r="BD64" s="13"/>
      <c r="BE64" s="13">
        <v>37.89470443349753</v>
      </c>
      <c r="BF64" s="13"/>
      <c r="BG64" s="13"/>
      <c r="BH64" s="13"/>
      <c r="BI64" s="13"/>
      <c r="BJ64" s="13"/>
      <c r="BK64" s="13">
        <v>27.90881272949817</v>
      </c>
    </row>
    <row r="65" spans="1:63">
      <c r="A65" s="214" t="s">
        <v>721</v>
      </c>
      <c r="B65" s="214"/>
      <c r="C65" s="13">
        <v>32.497667304015302</v>
      </c>
      <c r="D65" s="13"/>
      <c r="E65" s="13"/>
      <c r="F65" s="13"/>
      <c r="G65" s="13"/>
      <c r="H65" s="13"/>
      <c r="I65" s="13">
        <v>34.690176322418139</v>
      </c>
      <c r="J65" s="13"/>
      <c r="K65" s="13"/>
      <c r="L65" s="13"/>
      <c r="M65" s="13"/>
      <c r="N65" s="13"/>
      <c r="O65" s="13">
        <v>39.807375000000008</v>
      </c>
      <c r="P65" s="13"/>
      <c r="Q65" s="13"/>
      <c r="R65" s="13"/>
      <c r="S65" s="13"/>
      <c r="T65" s="13"/>
      <c r="U65" s="13">
        <v>30.970838709677412</v>
      </c>
      <c r="V65" s="13"/>
      <c r="W65" s="13"/>
      <c r="X65" s="13"/>
      <c r="Y65" s="13"/>
      <c r="Z65" s="13"/>
      <c r="AA65" s="13">
        <v>31.082051282051282</v>
      </c>
      <c r="AB65" s="13"/>
      <c r="AC65" s="13"/>
      <c r="AD65" s="13"/>
      <c r="AE65" s="13"/>
      <c r="AF65" s="13"/>
      <c r="AG65" s="13">
        <v>30.809335038363159</v>
      </c>
      <c r="AH65" s="13"/>
      <c r="AI65" s="13"/>
      <c r="AJ65" s="13"/>
      <c r="AK65" s="13"/>
      <c r="AL65" s="13"/>
      <c r="AM65" s="13">
        <v>31.772622107969141</v>
      </c>
      <c r="AN65" s="13"/>
      <c r="AO65" s="13"/>
      <c r="AP65" s="13"/>
      <c r="AQ65" s="13"/>
      <c r="AR65" s="13"/>
      <c r="AS65" s="13">
        <v>33.116326530612248</v>
      </c>
      <c r="AT65" s="13"/>
      <c r="AU65" s="13"/>
      <c r="AV65" s="13"/>
      <c r="AW65" s="13"/>
      <c r="AX65" s="13"/>
      <c r="AY65" s="13">
        <v>38.973013871374533</v>
      </c>
      <c r="AZ65" s="13"/>
      <c r="BA65" s="13"/>
      <c r="BB65" s="13"/>
      <c r="BC65" s="13"/>
      <c r="BD65" s="13"/>
      <c r="BE65" s="13">
        <v>42.499630541871916</v>
      </c>
      <c r="BF65" s="13"/>
      <c r="BG65" s="13"/>
      <c r="BH65" s="13"/>
      <c r="BI65" s="13"/>
      <c r="BJ65" s="13"/>
      <c r="BK65" s="13">
        <v>31.561077111383113</v>
      </c>
    </row>
    <row r="66" spans="1:63">
      <c r="A66" s="214" t="s">
        <v>722</v>
      </c>
      <c r="B66" s="214"/>
      <c r="C66" s="13">
        <v>35.853154875717017</v>
      </c>
      <c r="D66" s="13"/>
      <c r="E66" s="13"/>
      <c r="F66" s="13"/>
      <c r="G66" s="13"/>
      <c r="H66" s="13"/>
      <c r="I66" s="13">
        <v>38.711083123425702</v>
      </c>
      <c r="J66" s="13"/>
      <c r="K66" s="13"/>
      <c r="L66" s="13"/>
      <c r="M66" s="13"/>
      <c r="N66" s="13"/>
      <c r="O66" s="13">
        <v>44.289000000000009</v>
      </c>
      <c r="P66" s="13"/>
      <c r="Q66" s="13"/>
      <c r="R66" s="13"/>
      <c r="S66" s="13"/>
      <c r="T66" s="13"/>
      <c r="U66" s="13">
        <v>34.43561290322581</v>
      </c>
      <c r="V66" s="13"/>
      <c r="W66" s="13"/>
      <c r="X66" s="13"/>
      <c r="Y66" s="13"/>
      <c r="Z66" s="13"/>
      <c r="AA66" s="13">
        <v>34.826025641025637</v>
      </c>
      <c r="AB66" s="13"/>
      <c r="AC66" s="13"/>
      <c r="AD66" s="13"/>
      <c r="AE66" s="13"/>
      <c r="AF66" s="13"/>
      <c r="AG66" s="13">
        <v>34.16905370843989</v>
      </c>
      <c r="AH66" s="13"/>
      <c r="AI66" s="13"/>
      <c r="AJ66" s="13"/>
      <c r="AK66" s="13"/>
      <c r="AL66" s="13"/>
      <c r="AM66" s="13">
        <v>35.113367609254489</v>
      </c>
      <c r="AN66" s="13"/>
      <c r="AO66" s="13"/>
      <c r="AP66" s="13"/>
      <c r="AQ66" s="13"/>
      <c r="AR66" s="13"/>
      <c r="AS66" s="13">
        <v>37.179209183673478</v>
      </c>
      <c r="AT66" s="13"/>
      <c r="AU66" s="13"/>
      <c r="AV66" s="13"/>
      <c r="AW66" s="13"/>
      <c r="AX66" s="13"/>
      <c r="AY66" s="13">
        <v>43.589407313997491</v>
      </c>
      <c r="AZ66" s="13"/>
      <c r="BA66" s="13"/>
      <c r="BB66" s="13"/>
      <c r="BC66" s="13"/>
      <c r="BD66" s="13"/>
      <c r="BE66" s="13">
        <v>47.967980295566498</v>
      </c>
      <c r="BF66" s="13"/>
      <c r="BG66" s="13"/>
      <c r="BH66" s="13"/>
      <c r="BI66" s="13"/>
      <c r="BJ66" s="13"/>
      <c r="BK66" s="13">
        <v>35.282252141982866</v>
      </c>
    </row>
    <row r="67" spans="1:63">
      <c r="A67" s="214" t="s">
        <v>723</v>
      </c>
      <c r="B67" s="214"/>
      <c r="C67" s="13">
        <v>39.139694072657754</v>
      </c>
      <c r="D67" s="13"/>
      <c r="E67" s="13"/>
      <c r="F67" s="13"/>
      <c r="G67" s="13"/>
      <c r="H67" s="13"/>
      <c r="I67" s="13">
        <v>42.022418136020157</v>
      </c>
      <c r="J67" s="13"/>
      <c r="K67" s="13"/>
      <c r="L67" s="13"/>
      <c r="M67" s="13"/>
      <c r="N67" s="13"/>
      <c r="O67" s="13">
        <v>48.419125000000015</v>
      </c>
      <c r="P67" s="13"/>
      <c r="Q67" s="13"/>
      <c r="R67" s="13"/>
      <c r="S67" s="13"/>
      <c r="T67" s="13"/>
      <c r="U67" s="13">
        <v>37.051870967741934</v>
      </c>
      <c r="V67" s="13"/>
      <c r="W67" s="13"/>
      <c r="X67" s="13"/>
      <c r="Y67" s="13"/>
      <c r="Z67" s="13"/>
      <c r="AA67" s="13">
        <v>37.439743589743593</v>
      </c>
      <c r="AB67" s="13"/>
      <c r="AC67" s="13"/>
      <c r="AD67" s="13"/>
      <c r="AE67" s="13"/>
      <c r="AF67" s="13"/>
      <c r="AG67" s="13">
        <v>37.02838874680306</v>
      </c>
      <c r="AH67" s="13"/>
      <c r="AI67" s="13"/>
      <c r="AJ67" s="13"/>
      <c r="AK67" s="13"/>
      <c r="AL67" s="13"/>
      <c r="AM67" s="13">
        <v>37.814395886889457</v>
      </c>
      <c r="AN67" s="13"/>
      <c r="AO67" s="13"/>
      <c r="AP67" s="13"/>
      <c r="AQ67" s="13"/>
      <c r="AR67" s="13"/>
      <c r="AS67" s="13">
        <v>40.245535714285722</v>
      </c>
      <c r="AT67" s="13"/>
      <c r="AU67" s="13"/>
      <c r="AV67" s="13"/>
      <c r="AW67" s="13"/>
      <c r="AX67" s="13"/>
      <c r="AY67" s="13">
        <v>47.584363177805812</v>
      </c>
      <c r="AZ67" s="13"/>
      <c r="BA67" s="13"/>
      <c r="BB67" s="13"/>
      <c r="BC67" s="13"/>
      <c r="BD67" s="13"/>
      <c r="BE67" s="13">
        <v>52.285098522167488</v>
      </c>
      <c r="BF67" s="13"/>
      <c r="BG67" s="13"/>
      <c r="BH67" s="13"/>
      <c r="BI67" s="13"/>
      <c r="BJ67" s="13"/>
      <c r="BK67" s="13">
        <v>38.245410036719704</v>
      </c>
    </row>
    <row r="68" spans="1:63">
      <c r="A68" s="214" t="s">
        <v>724</v>
      </c>
      <c r="B68" s="214"/>
      <c r="C68" s="13">
        <v>41.805697896749528</v>
      </c>
      <c r="D68" s="13"/>
      <c r="E68" s="13"/>
      <c r="F68" s="13"/>
      <c r="G68" s="13"/>
      <c r="H68" s="13"/>
      <c r="I68" s="13">
        <v>44.545340050377838</v>
      </c>
      <c r="J68" s="13"/>
      <c r="K68" s="13"/>
      <c r="L68" s="13"/>
      <c r="M68" s="13"/>
      <c r="N68" s="13"/>
      <c r="O68" s="13">
        <v>52.022000000000013</v>
      </c>
      <c r="P68" s="13"/>
      <c r="Q68" s="13"/>
      <c r="R68" s="13"/>
      <c r="S68" s="13"/>
      <c r="T68" s="13"/>
      <c r="U68" s="13">
        <v>39.668129032258051</v>
      </c>
      <c r="V68" s="13"/>
      <c r="W68" s="13"/>
      <c r="X68" s="13"/>
      <c r="Y68" s="13"/>
      <c r="Z68" s="13"/>
      <c r="AA68" s="13">
        <v>39.841538461538462</v>
      </c>
      <c r="AB68" s="13"/>
      <c r="AC68" s="13"/>
      <c r="AD68" s="13"/>
      <c r="AE68" s="13"/>
      <c r="AF68" s="13"/>
      <c r="AG68" s="13">
        <v>39.816240409207154</v>
      </c>
      <c r="AH68" s="13"/>
      <c r="AI68" s="13"/>
      <c r="AJ68" s="13"/>
      <c r="AK68" s="13"/>
      <c r="AL68" s="13"/>
      <c r="AM68" s="13">
        <v>40.44434447300771</v>
      </c>
      <c r="AN68" s="13"/>
      <c r="AO68" s="13"/>
      <c r="AP68" s="13"/>
      <c r="AQ68" s="13"/>
      <c r="AR68" s="13"/>
      <c r="AS68" s="13">
        <v>43.388520408163274</v>
      </c>
      <c r="AT68" s="13"/>
      <c r="AU68" s="13"/>
      <c r="AV68" s="13"/>
      <c r="AW68" s="13"/>
      <c r="AX68" s="13"/>
      <c r="AY68" s="13">
        <v>51.312988650693569</v>
      </c>
      <c r="AZ68" s="13"/>
      <c r="BA68" s="13"/>
      <c r="BB68" s="13"/>
      <c r="BC68" s="13"/>
      <c r="BD68" s="13"/>
      <c r="BE68" s="13">
        <v>56.122536945812804</v>
      </c>
      <c r="BF68" s="13"/>
      <c r="BG68" s="13"/>
      <c r="BH68" s="13"/>
      <c r="BI68" s="13"/>
      <c r="BJ68" s="13"/>
      <c r="BK68" s="13">
        <v>40.588372093023253</v>
      </c>
    </row>
    <row r="69" spans="1:63">
      <c r="A69" s="214" t="s">
        <v>725</v>
      </c>
      <c r="B69" s="214"/>
      <c r="C69" s="13">
        <v>44.5636328871893</v>
      </c>
      <c r="D69" s="13"/>
      <c r="E69" s="13"/>
      <c r="F69" s="13"/>
      <c r="G69" s="13"/>
      <c r="H69" s="13"/>
      <c r="I69" s="13">
        <v>47.22594458438288</v>
      </c>
      <c r="J69" s="13"/>
      <c r="K69" s="13"/>
      <c r="L69" s="13"/>
      <c r="M69" s="13"/>
      <c r="N69" s="13"/>
      <c r="O69" s="13">
        <v>55.537000000000013</v>
      </c>
      <c r="P69" s="13"/>
      <c r="Q69" s="13"/>
      <c r="R69" s="13"/>
      <c r="S69" s="13"/>
      <c r="T69" s="13"/>
      <c r="U69" s="13">
        <v>42.284387096774182</v>
      </c>
      <c r="V69" s="13"/>
      <c r="W69" s="13"/>
      <c r="X69" s="13"/>
      <c r="Y69" s="13"/>
      <c r="Z69" s="13"/>
      <c r="AA69" s="13">
        <v>42.737820512820512</v>
      </c>
      <c r="AB69" s="13"/>
      <c r="AC69" s="13"/>
      <c r="AD69" s="13"/>
      <c r="AE69" s="13"/>
      <c r="AF69" s="13"/>
      <c r="AG69" s="13">
        <v>42.604092071611255</v>
      </c>
      <c r="AH69" s="13"/>
      <c r="AI69" s="13"/>
      <c r="AJ69" s="13"/>
      <c r="AK69" s="13"/>
      <c r="AL69" s="13"/>
      <c r="AM69" s="13">
        <v>43.074293059125957</v>
      </c>
      <c r="AN69" s="13"/>
      <c r="AO69" s="13"/>
      <c r="AP69" s="13"/>
      <c r="AQ69" s="13"/>
      <c r="AR69" s="13"/>
      <c r="AS69" s="13">
        <v>46.531505102040825</v>
      </c>
      <c r="AT69" s="13"/>
      <c r="AU69" s="13"/>
      <c r="AV69" s="13"/>
      <c r="AW69" s="13"/>
      <c r="AX69" s="13"/>
      <c r="AY69" s="13">
        <v>55.219167717528386</v>
      </c>
      <c r="AZ69" s="13"/>
      <c r="BA69" s="13"/>
      <c r="BB69" s="13"/>
      <c r="BC69" s="13"/>
      <c r="BD69" s="13"/>
      <c r="BE69" s="13">
        <v>60.535591133004921</v>
      </c>
      <c r="BF69" s="13"/>
      <c r="BG69" s="13"/>
      <c r="BH69" s="13"/>
      <c r="BI69" s="13"/>
      <c r="BJ69" s="13"/>
      <c r="BK69" s="13">
        <v>43.069155446756426</v>
      </c>
    </row>
    <row r="70" spans="1:63">
      <c r="A70" s="214" t="s">
        <v>726</v>
      </c>
      <c r="B70" s="214"/>
      <c r="C70" s="13">
        <v>48.815449330783942</v>
      </c>
      <c r="D70" s="13"/>
      <c r="E70" s="13"/>
      <c r="F70" s="13"/>
      <c r="G70" s="13"/>
      <c r="H70" s="13"/>
      <c r="I70" s="13">
        <v>51.483375314861455</v>
      </c>
      <c r="J70" s="13"/>
      <c r="K70" s="13"/>
      <c r="L70" s="13"/>
      <c r="M70" s="13"/>
      <c r="N70" s="13"/>
      <c r="O70" s="13">
        <v>60.282250000000005</v>
      </c>
      <c r="P70" s="13"/>
      <c r="Q70" s="13"/>
      <c r="R70" s="13"/>
      <c r="S70" s="13"/>
      <c r="T70" s="13"/>
      <c r="U70" s="13">
        <v>45.749161290322576</v>
      </c>
      <c r="V70" s="13"/>
      <c r="W70" s="13"/>
      <c r="X70" s="13"/>
      <c r="Y70" s="13"/>
      <c r="Z70" s="13"/>
      <c r="AA70" s="13">
        <v>45.987307692307695</v>
      </c>
      <c r="AB70" s="13"/>
      <c r="AC70" s="13"/>
      <c r="AD70" s="13"/>
      <c r="AE70" s="13"/>
      <c r="AF70" s="13"/>
      <c r="AG70" s="13">
        <v>46.24974424552429</v>
      </c>
      <c r="AH70" s="13"/>
      <c r="AI70" s="13"/>
      <c r="AJ70" s="13"/>
      <c r="AK70" s="13"/>
      <c r="AL70" s="13"/>
      <c r="AM70" s="13">
        <v>46.628277634961428</v>
      </c>
      <c r="AN70" s="13"/>
      <c r="AO70" s="13"/>
      <c r="AP70" s="13"/>
      <c r="AQ70" s="13"/>
      <c r="AR70" s="13"/>
      <c r="AS70" s="13">
        <v>50.287755102040812</v>
      </c>
      <c r="AT70" s="13"/>
      <c r="AU70" s="13"/>
      <c r="AV70" s="13"/>
      <c r="AW70" s="13"/>
      <c r="AX70" s="13"/>
      <c r="AY70" s="13">
        <v>59.835561160151343</v>
      </c>
      <c r="AZ70" s="13"/>
      <c r="BA70" s="13"/>
      <c r="BB70" s="13"/>
      <c r="BC70" s="13"/>
      <c r="BD70" s="13"/>
      <c r="BE70" s="13">
        <v>65.332389162561569</v>
      </c>
      <c r="BF70" s="13"/>
      <c r="BG70" s="13"/>
      <c r="BH70" s="13"/>
      <c r="BI70" s="13"/>
      <c r="BJ70" s="13"/>
      <c r="BK70" s="13">
        <v>46.445777233782124</v>
      </c>
    </row>
    <row r="71" spans="1:63">
      <c r="A71" s="214" t="s">
        <v>727</v>
      </c>
      <c r="B71" s="214"/>
      <c r="C71" s="13">
        <v>54.170439770554495</v>
      </c>
      <c r="D71" s="13"/>
      <c r="E71" s="13"/>
      <c r="F71" s="13"/>
      <c r="G71" s="13"/>
      <c r="H71" s="13"/>
      <c r="I71" s="13">
        <v>56.292695214105791</v>
      </c>
      <c r="J71" s="13"/>
      <c r="K71" s="13"/>
      <c r="L71" s="13"/>
      <c r="M71" s="13"/>
      <c r="N71" s="13"/>
      <c r="O71" s="13">
        <v>66.345624999999998</v>
      </c>
      <c r="P71" s="13"/>
      <c r="Q71" s="13"/>
      <c r="R71" s="13"/>
      <c r="S71" s="13"/>
      <c r="T71" s="13"/>
      <c r="U71" s="13">
        <v>49.638193548387093</v>
      </c>
      <c r="V71" s="13"/>
      <c r="W71" s="13"/>
      <c r="X71" s="13"/>
      <c r="Y71" s="13"/>
      <c r="Z71" s="13"/>
      <c r="AA71" s="13">
        <v>50.084487179487191</v>
      </c>
      <c r="AB71" s="13"/>
      <c r="AC71" s="13"/>
      <c r="AD71" s="13"/>
      <c r="AE71" s="13"/>
      <c r="AF71" s="13"/>
      <c r="AG71" s="13">
        <v>50.252813299232727</v>
      </c>
      <c r="AH71" s="13"/>
      <c r="AI71" s="13"/>
      <c r="AJ71" s="13"/>
      <c r="AK71" s="13"/>
      <c r="AL71" s="13"/>
      <c r="AM71" s="13">
        <v>50.253341902313622</v>
      </c>
      <c r="AN71" s="13"/>
      <c r="AO71" s="13"/>
      <c r="AP71" s="13"/>
      <c r="AQ71" s="13"/>
      <c r="AR71" s="13"/>
      <c r="AS71" s="13">
        <v>54.427295918367342</v>
      </c>
      <c r="AT71" s="13"/>
      <c r="AU71" s="13"/>
      <c r="AV71" s="13"/>
      <c r="AW71" s="13"/>
      <c r="AX71" s="13"/>
      <c r="AY71" s="13">
        <v>64.984615384615395</v>
      </c>
      <c r="AZ71" s="13"/>
      <c r="BA71" s="13"/>
      <c r="BB71" s="13"/>
      <c r="BC71" s="13"/>
      <c r="BD71" s="13"/>
      <c r="BE71" s="13">
        <v>70.800738916256151</v>
      </c>
      <c r="BF71" s="13"/>
      <c r="BG71" s="13"/>
      <c r="BH71" s="13"/>
      <c r="BI71" s="13"/>
      <c r="BJ71" s="13"/>
      <c r="BK71" s="13">
        <v>50.718237454100354</v>
      </c>
    </row>
    <row r="72" spans="1:63">
      <c r="A72" s="214"/>
      <c r="B72" s="214"/>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row>
    <row r="73" spans="1:63">
      <c r="A73" s="214" t="s">
        <v>728</v>
      </c>
      <c r="B73" s="214"/>
      <c r="C73" s="13">
        <v>60.08629989212514</v>
      </c>
      <c r="D73" s="13"/>
      <c r="E73" s="13"/>
      <c r="F73" s="13"/>
      <c r="G73" s="13"/>
      <c r="H73" s="13"/>
      <c r="I73" s="13">
        <v>62.571103526734916</v>
      </c>
      <c r="J73" s="13"/>
      <c r="K73" s="13"/>
      <c r="L73" s="13"/>
      <c r="M73" s="13"/>
      <c r="N73" s="13"/>
      <c r="O73" s="13">
        <v>57.979334098737091</v>
      </c>
      <c r="P73" s="13"/>
      <c r="Q73" s="13"/>
      <c r="R73" s="13"/>
      <c r="S73" s="13"/>
      <c r="T73" s="13"/>
      <c r="U73" s="13">
        <v>54.835164835164832</v>
      </c>
      <c r="V73" s="13"/>
      <c r="W73" s="13"/>
      <c r="X73" s="13"/>
      <c r="Y73" s="13"/>
      <c r="Z73" s="13"/>
      <c r="AA73" s="13">
        <v>55.099894847528915</v>
      </c>
      <c r="AB73" s="13"/>
      <c r="AC73" s="13"/>
      <c r="AD73" s="13"/>
      <c r="AE73" s="13"/>
      <c r="AF73" s="13"/>
      <c r="AG73" s="13">
        <v>55.98705501618123</v>
      </c>
      <c r="AH73" s="13"/>
      <c r="AI73" s="13"/>
      <c r="AJ73" s="13"/>
      <c r="AK73" s="13"/>
      <c r="AL73" s="13"/>
      <c r="AM73" s="13">
        <v>55.249204665959709</v>
      </c>
      <c r="AN73" s="13"/>
      <c r="AO73" s="13"/>
      <c r="AP73" s="13"/>
      <c r="AQ73" s="13"/>
      <c r="AR73" s="13"/>
      <c r="AS73" s="13">
        <v>60.108695652173907</v>
      </c>
      <c r="AT73" s="13"/>
      <c r="AU73" s="13"/>
      <c r="AV73" s="13"/>
      <c r="AW73" s="13"/>
      <c r="AX73" s="13"/>
      <c r="AY73" s="13">
        <v>70.378619153674833</v>
      </c>
      <c r="AZ73" s="13"/>
      <c r="BA73" s="13"/>
      <c r="BB73" s="13"/>
      <c r="BC73" s="13"/>
      <c r="BD73" s="13"/>
      <c r="BE73" s="13">
        <v>77.870813397129197</v>
      </c>
      <c r="BF73" s="13"/>
      <c r="BG73" s="13"/>
      <c r="BH73" s="13"/>
      <c r="BI73" s="13"/>
      <c r="BJ73" s="13"/>
      <c r="BK73" s="13">
        <v>56.25</v>
      </c>
    </row>
    <row r="74" spans="1:63">
      <c r="A74" s="214" t="s">
        <v>729</v>
      </c>
      <c r="B74" s="214"/>
      <c r="C74" s="13">
        <v>65.156418554476801</v>
      </c>
      <c r="D74" s="13"/>
      <c r="E74" s="13"/>
      <c r="F74" s="13"/>
      <c r="G74" s="13"/>
      <c r="H74" s="13"/>
      <c r="I74" s="13">
        <v>67.463026166097833</v>
      </c>
      <c r="J74" s="13"/>
      <c r="K74" s="13"/>
      <c r="L74" s="13"/>
      <c r="M74" s="13"/>
      <c r="N74" s="13"/>
      <c r="O74" s="13">
        <v>62.112514351320328</v>
      </c>
      <c r="P74" s="13"/>
      <c r="Q74" s="13"/>
      <c r="R74" s="13"/>
      <c r="S74" s="13"/>
      <c r="T74" s="13"/>
      <c r="U74" s="13">
        <v>60.879120879120876</v>
      </c>
      <c r="V74" s="13"/>
      <c r="W74" s="13"/>
      <c r="X74" s="13"/>
      <c r="Y74" s="13"/>
      <c r="Z74" s="13"/>
      <c r="AA74" s="13">
        <v>60.147213459516301</v>
      </c>
      <c r="AB74" s="13"/>
      <c r="AC74" s="13"/>
      <c r="AD74" s="13"/>
      <c r="AE74" s="13"/>
      <c r="AF74" s="13"/>
      <c r="AG74" s="13">
        <v>61.488673139158578</v>
      </c>
      <c r="AH74" s="13"/>
      <c r="AI74" s="13"/>
      <c r="AJ74" s="13"/>
      <c r="AK74" s="13"/>
      <c r="AL74" s="13"/>
      <c r="AM74" s="13">
        <v>60.127253446447511</v>
      </c>
      <c r="AN74" s="13"/>
      <c r="AO74" s="13"/>
      <c r="AP74" s="13"/>
      <c r="AQ74" s="13"/>
      <c r="AR74" s="13"/>
      <c r="AS74" s="13">
        <v>63.695652173913039</v>
      </c>
      <c r="AT74" s="13"/>
      <c r="AU74" s="13"/>
      <c r="AV74" s="13"/>
      <c r="AW74" s="13"/>
      <c r="AX74" s="13"/>
      <c r="AY74" s="13">
        <v>72.828507795100222</v>
      </c>
      <c r="AZ74" s="13"/>
      <c r="BA74" s="13"/>
      <c r="BB74" s="13"/>
      <c r="BC74" s="13"/>
      <c r="BD74" s="13"/>
      <c r="BE74" s="13">
        <v>85.645933014354071</v>
      </c>
      <c r="BF74" s="13"/>
      <c r="BG74" s="13"/>
      <c r="BH74" s="13"/>
      <c r="BI74" s="13"/>
      <c r="BJ74" s="13"/>
      <c r="BK74" s="13">
        <v>60.169491525423723</v>
      </c>
    </row>
    <row r="75" spans="1:63">
      <c r="A75" s="214" t="s">
        <v>730</v>
      </c>
      <c r="B75" s="214"/>
      <c r="C75" s="13">
        <v>68.716289104638619</v>
      </c>
      <c r="D75" s="13"/>
      <c r="E75" s="13"/>
      <c r="F75" s="13"/>
      <c r="G75" s="13"/>
      <c r="H75" s="13"/>
      <c r="I75" s="13">
        <v>69.852104664391348</v>
      </c>
      <c r="J75" s="13"/>
      <c r="K75" s="13"/>
      <c r="L75" s="13"/>
      <c r="M75" s="13"/>
      <c r="N75" s="13"/>
      <c r="O75" s="13">
        <v>66.704936854190592</v>
      </c>
      <c r="P75" s="13"/>
      <c r="Q75" s="13"/>
      <c r="R75" s="13"/>
      <c r="S75" s="13"/>
      <c r="T75" s="13"/>
      <c r="U75" s="13">
        <v>67.032967032967022</v>
      </c>
      <c r="V75" s="13"/>
      <c r="W75" s="13"/>
      <c r="X75" s="13"/>
      <c r="Y75" s="13"/>
      <c r="Z75" s="13"/>
      <c r="AA75" s="13">
        <v>64.143007360672982</v>
      </c>
      <c r="AB75" s="13"/>
      <c r="AC75" s="13"/>
      <c r="AD75" s="13"/>
      <c r="AE75" s="13"/>
      <c r="AF75" s="13"/>
      <c r="AG75" s="13">
        <v>65.048543689320383</v>
      </c>
      <c r="AH75" s="13"/>
      <c r="AI75" s="13"/>
      <c r="AJ75" s="13"/>
      <c r="AK75" s="13"/>
      <c r="AL75" s="13"/>
      <c r="AM75" s="13">
        <v>64.156945917285256</v>
      </c>
      <c r="AN75" s="13"/>
      <c r="AO75" s="13"/>
      <c r="AP75" s="13"/>
      <c r="AQ75" s="13"/>
      <c r="AR75" s="13"/>
      <c r="AS75" s="13">
        <v>67.934782608695656</v>
      </c>
      <c r="AT75" s="13"/>
      <c r="AU75" s="13"/>
      <c r="AV75" s="13"/>
      <c r="AW75" s="13"/>
      <c r="AX75" s="13"/>
      <c r="AY75" s="13">
        <v>75.278396436525611</v>
      </c>
      <c r="AZ75" s="13"/>
      <c r="BA75" s="13"/>
      <c r="BB75" s="13"/>
      <c r="BC75" s="13"/>
      <c r="BD75" s="13"/>
      <c r="BE75" s="13">
        <v>88.995215311004799</v>
      </c>
      <c r="BF75" s="13"/>
      <c r="BG75" s="13"/>
      <c r="BH75" s="13"/>
      <c r="BI75" s="13"/>
      <c r="BJ75" s="13"/>
      <c r="BK75" s="13">
        <v>63.029661016949149</v>
      </c>
    </row>
    <row r="76" spans="1:63">
      <c r="A76" s="214" t="s">
        <v>731</v>
      </c>
      <c r="B76" s="214"/>
      <c r="C76" s="13">
        <v>70.981661272923404</v>
      </c>
      <c r="D76" s="13"/>
      <c r="E76" s="13"/>
      <c r="F76" s="13"/>
      <c r="G76" s="13"/>
      <c r="H76" s="13"/>
      <c r="I76" s="13">
        <v>72.354948805460751</v>
      </c>
      <c r="J76" s="13"/>
      <c r="K76" s="13"/>
      <c r="L76" s="13"/>
      <c r="M76" s="13"/>
      <c r="N76" s="13"/>
      <c r="O76" s="13">
        <v>66.819747416762354</v>
      </c>
      <c r="P76" s="13"/>
      <c r="Q76" s="13"/>
      <c r="R76" s="13"/>
      <c r="S76" s="13"/>
      <c r="T76" s="13"/>
      <c r="U76" s="13">
        <v>69.670329670329664</v>
      </c>
      <c r="V76" s="13"/>
      <c r="W76" s="13"/>
      <c r="X76" s="13"/>
      <c r="Y76" s="13"/>
      <c r="Z76" s="13"/>
      <c r="AA76" s="13">
        <v>68.874868559411155</v>
      </c>
      <c r="AB76" s="13"/>
      <c r="AC76" s="13"/>
      <c r="AD76" s="13"/>
      <c r="AE76" s="13"/>
      <c r="AF76" s="13"/>
      <c r="AG76" s="13">
        <v>68.069039913700095</v>
      </c>
      <c r="AH76" s="13"/>
      <c r="AI76" s="13"/>
      <c r="AJ76" s="13"/>
      <c r="AK76" s="13"/>
      <c r="AL76" s="13"/>
      <c r="AM76" s="13">
        <v>66.383881230116643</v>
      </c>
      <c r="AN76" s="13"/>
      <c r="AO76" s="13"/>
      <c r="AP76" s="13"/>
      <c r="AQ76" s="13"/>
      <c r="AR76" s="13"/>
      <c r="AS76" s="13">
        <v>70.652173913043484</v>
      </c>
      <c r="AT76" s="13"/>
      <c r="AU76" s="13"/>
      <c r="AV76" s="13"/>
      <c r="AW76" s="13"/>
      <c r="AX76" s="13"/>
      <c r="AY76" s="13">
        <v>78.730512249443208</v>
      </c>
      <c r="AZ76" s="13"/>
      <c r="BA76" s="13"/>
      <c r="BB76" s="13"/>
      <c r="BC76" s="13"/>
      <c r="BD76" s="13"/>
      <c r="BE76" s="13">
        <v>91.148325358851693</v>
      </c>
      <c r="BF76" s="13"/>
      <c r="BG76" s="13"/>
      <c r="BH76" s="13"/>
      <c r="BI76" s="13"/>
      <c r="BJ76" s="13"/>
      <c r="BK76" s="13">
        <v>65.677966101694906</v>
      </c>
    </row>
    <row r="77" spans="1:63">
      <c r="A77" s="214" t="s">
        <v>732</v>
      </c>
      <c r="B77" s="214"/>
      <c r="C77" s="13">
        <v>73.139158576051784</v>
      </c>
      <c r="D77" s="13"/>
      <c r="E77" s="13"/>
      <c r="F77" s="13"/>
      <c r="G77" s="13"/>
      <c r="H77" s="13"/>
      <c r="I77" s="13">
        <v>74.402730375426614</v>
      </c>
      <c r="J77" s="13"/>
      <c r="K77" s="13"/>
      <c r="L77" s="13"/>
      <c r="M77" s="13"/>
      <c r="N77" s="13"/>
      <c r="O77" s="13">
        <v>69.804822043628008</v>
      </c>
      <c r="P77" s="13"/>
      <c r="Q77" s="13"/>
      <c r="R77" s="13"/>
      <c r="S77" s="13"/>
      <c r="T77" s="13"/>
      <c r="U77" s="13">
        <v>71.978021978021971</v>
      </c>
      <c r="V77" s="13"/>
      <c r="W77" s="13"/>
      <c r="X77" s="13"/>
      <c r="Y77" s="13"/>
      <c r="Z77" s="13"/>
      <c r="AA77" s="13">
        <v>70.977917981072551</v>
      </c>
      <c r="AB77" s="13"/>
      <c r="AC77" s="13"/>
      <c r="AD77" s="13"/>
      <c r="AE77" s="13"/>
      <c r="AF77" s="13"/>
      <c r="AG77" s="13">
        <v>70.550161812297745</v>
      </c>
      <c r="AH77" s="13"/>
      <c r="AI77" s="13"/>
      <c r="AJ77" s="13"/>
      <c r="AK77" s="13"/>
      <c r="AL77" s="13"/>
      <c r="AM77" s="13">
        <v>69.777306468716858</v>
      </c>
      <c r="AN77" s="13"/>
      <c r="AO77" s="13"/>
      <c r="AP77" s="13"/>
      <c r="AQ77" s="13"/>
      <c r="AR77" s="13"/>
      <c r="AS77" s="13">
        <v>72.391304347826079</v>
      </c>
      <c r="AT77" s="13"/>
      <c r="AU77" s="13"/>
      <c r="AV77" s="13"/>
      <c r="AW77" s="13"/>
      <c r="AX77" s="13"/>
      <c r="AY77" s="13">
        <v>80.734966592427611</v>
      </c>
      <c r="AZ77" s="13"/>
      <c r="BA77" s="13"/>
      <c r="BB77" s="13"/>
      <c r="BC77" s="13"/>
      <c r="BD77" s="13"/>
      <c r="BE77" s="13">
        <v>90.430622009569376</v>
      </c>
      <c r="BF77" s="13"/>
      <c r="BG77" s="13"/>
      <c r="BH77" s="13"/>
      <c r="BI77" s="13"/>
      <c r="BJ77" s="13"/>
      <c r="BK77" s="13">
        <v>65.889830508474574</v>
      </c>
    </row>
    <row r="78" spans="1:63">
      <c r="A78" s="214" t="s">
        <v>733</v>
      </c>
      <c r="B78" s="214"/>
      <c r="C78" s="13">
        <v>75.404530744336569</v>
      </c>
      <c r="D78" s="13"/>
      <c r="E78" s="13"/>
      <c r="F78" s="13"/>
      <c r="G78" s="13"/>
      <c r="H78" s="13"/>
      <c r="I78" s="13">
        <v>81.001137656427758</v>
      </c>
      <c r="J78" s="13"/>
      <c r="K78" s="13"/>
      <c r="L78" s="13"/>
      <c r="M78" s="13"/>
      <c r="N78" s="13"/>
      <c r="O78" s="13">
        <v>75.4305396096441</v>
      </c>
      <c r="P78" s="13"/>
      <c r="Q78" s="13"/>
      <c r="R78" s="13"/>
      <c r="S78" s="13"/>
      <c r="T78" s="13"/>
      <c r="U78" s="13">
        <v>76.263736263736277</v>
      </c>
      <c r="V78" s="13"/>
      <c r="W78" s="13"/>
      <c r="X78" s="13"/>
      <c r="Y78" s="13"/>
      <c r="Z78" s="13"/>
      <c r="AA78" s="13">
        <v>74.13249211356468</v>
      </c>
      <c r="AB78" s="13"/>
      <c r="AC78" s="13"/>
      <c r="AD78" s="13"/>
      <c r="AE78" s="13"/>
      <c r="AF78" s="13"/>
      <c r="AG78" s="13">
        <v>75.512405609492987</v>
      </c>
      <c r="AH78" s="13"/>
      <c r="AI78" s="13"/>
      <c r="AJ78" s="13"/>
      <c r="AK78" s="13"/>
      <c r="AL78" s="13"/>
      <c r="AM78" s="13">
        <v>73.913043478260875</v>
      </c>
      <c r="AN78" s="13"/>
      <c r="AO78" s="13"/>
      <c r="AP78" s="13"/>
      <c r="AQ78" s="13"/>
      <c r="AR78" s="13"/>
      <c r="AS78" s="13">
        <v>75</v>
      </c>
      <c r="AT78" s="13"/>
      <c r="AU78" s="13"/>
      <c r="AV78" s="13"/>
      <c r="AW78" s="13"/>
      <c r="AX78" s="13"/>
      <c r="AY78" s="13">
        <v>75.723830734966597</v>
      </c>
      <c r="AZ78" s="13"/>
      <c r="BA78" s="13"/>
      <c r="BB78" s="13"/>
      <c r="BC78" s="13"/>
      <c r="BD78" s="13"/>
      <c r="BE78" s="13">
        <v>80.263157894736835</v>
      </c>
      <c r="BF78" s="13"/>
      <c r="BG78" s="13"/>
      <c r="BH78" s="13"/>
      <c r="BI78" s="13"/>
      <c r="BJ78" s="13"/>
      <c r="BK78" s="13">
        <v>69.491525423728802</v>
      </c>
    </row>
    <row r="79" spans="1:63">
      <c r="A79" s="214" t="s">
        <v>734</v>
      </c>
      <c r="B79" s="214"/>
      <c r="C79" s="13">
        <v>78.856526429341955</v>
      </c>
      <c r="D79" s="13"/>
      <c r="E79" s="13"/>
      <c r="F79" s="13"/>
      <c r="G79" s="13"/>
      <c r="H79" s="13"/>
      <c r="I79" s="13">
        <v>83.959044368600672</v>
      </c>
      <c r="J79" s="13"/>
      <c r="K79" s="13"/>
      <c r="L79" s="13"/>
      <c r="M79" s="13"/>
      <c r="N79" s="13"/>
      <c r="O79" s="13">
        <v>79.219288174512059</v>
      </c>
      <c r="P79" s="13"/>
      <c r="Q79" s="13"/>
      <c r="R79" s="13"/>
      <c r="S79" s="13"/>
      <c r="T79" s="13"/>
      <c r="U79" s="13">
        <v>79.560439560439562</v>
      </c>
      <c r="V79" s="13"/>
      <c r="W79" s="13"/>
      <c r="X79" s="13"/>
      <c r="Y79" s="13"/>
      <c r="Z79" s="13"/>
      <c r="AA79" s="13">
        <v>77.917981072555207</v>
      </c>
      <c r="AB79" s="13"/>
      <c r="AC79" s="13"/>
      <c r="AD79" s="13"/>
      <c r="AE79" s="13"/>
      <c r="AF79" s="13"/>
      <c r="AG79" s="13">
        <v>79.395900755124046</v>
      </c>
      <c r="AH79" s="13"/>
      <c r="AI79" s="13"/>
      <c r="AJ79" s="13"/>
      <c r="AK79" s="13"/>
      <c r="AL79" s="13"/>
      <c r="AM79" s="13">
        <v>77.942735949098619</v>
      </c>
      <c r="AN79" s="13"/>
      <c r="AO79" s="13"/>
      <c r="AP79" s="13"/>
      <c r="AQ79" s="13"/>
      <c r="AR79" s="13"/>
      <c r="AS79" s="13">
        <v>78.260869565217391</v>
      </c>
      <c r="AT79" s="13"/>
      <c r="AU79" s="13"/>
      <c r="AV79" s="13"/>
      <c r="AW79" s="13"/>
      <c r="AX79" s="13"/>
      <c r="AY79" s="13">
        <v>77.171492204899778</v>
      </c>
      <c r="AZ79" s="13"/>
      <c r="BA79" s="13"/>
      <c r="BB79" s="13"/>
      <c r="BC79" s="13"/>
      <c r="BD79" s="13"/>
      <c r="BE79" s="13">
        <v>81.578947368421069</v>
      </c>
      <c r="BF79" s="13"/>
      <c r="BG79" s="13"/>
      <c r="BH79" s="13"/>
      <c r="BI79" s="13"/>
      <c r="BJ79" s="13"/>
      <c r="BK79" s="13">
        <v>72.351694915254228</v>
      </c>
    </row>
    <row r="80" spans="1:63">
      <c r="A80" s="214" t="s">
        <v>735</v>
      </c>
      <c r="B80" s="214"/>
      <c r="C80" s="13">
        <v>82.416396979503787</v>
      </c>
      <c r="D80" s="13"/>
      <c r="E80" s="13"/>
      <c r="F80" s="13"/>
      <c r="G80" s="13"/>
      <c r="H80" s="13"/>
      <c r="I80" s="13">
        <v>86.234357224118313</v>
      </c>
      <c r="J80" s="13"/>
      <c r="K80" s="13"/>
      <c r="L80" s="13"/>
      <c r="M80" s="13"/>
      <c r="N80" s="13"/>
      <c r="O80" s="13">
        <v>84.385763490241104</v>
      </c>
      <c r="P80" s="13"/>
      <c r="Q80" s="13"/>
      <c r="R80" s="13"/>
      <c r="S80" s="13"/>
      <c r="T80" s="13"/>
      <c r="U80" s="13">
        <v>83.296703296703285</v>
      </c>
      <c r="V80" s="13"/>
      <c r="W80" s="13"/>
      <c r="X80" s="13"/>
      <c r="Y80" s="13"/>
      <c r="Z80" s="13"/>
      <c r="AA80" s="13">
        <v>83.175604626708719</v>
      </c>
      <c r="AB80" s="13"/>
      <c r="AC80" s="13"/>
      <c r="AD80" s="13"/>
      <c r="AE80" s="13"/>
      <c r="AF80" s="13"/>
      <c r="AG80" s="13">
        <v>83.279395900755134</v>
      </c>
      <c r="AH80" s="13"/>
      <c r="AI80" s="13"/>
      <c r="AJ80" s="13"/>
      <c r="AK80" s="13"/>
      <c r="AL80" s="13"/>
      <c r="AM80" s="13">
        <v>82.184517497348892</v>
      </c>
      <c r="AN80" s="13"/>
      <c r="AO80" s="13"/>
      <c r="AP80" s="13"/>
      <c r="AQ80" s="13"/>
      <c r="AR80" s="13"/>
      <c r="AS80" s="13">
        <v>85</v>
      </c>
      <c r="AT80" s="13"/>
      <c r="AU80" s="13"/>
      <c r="AV80" s="13"/>
      <c r="AW80" s="13"/>
      <c r="AX80" s="13"/>
      <c r="AY80" s="13">
        <v>82.739420935412028</v>
      </c>
      <c r="AZ80" s="13"/>
      <c r="BA80" s="13"/>
      <c r="BB80" s="13"/>
      <c r="BC80" s="13"/>
      <c r="BD80" s="13"/>
      <c r="BE80" s="13">
        <v>80.382775119617236</v>
      </c>
      <c r="BF80" s="13"/>
      <c r="BG80" s="13"/>
      <c r="BH80" s="13"/>
      <c r="BI80" s="13"/>
      <c r="BJ80" s="13"/>
      <c r="BK80" s="13">
        <v>75.953389830508485</v>
      </c>
    </row>
    <row r="81" spans="1:63">
      <c r="A81" s="214" t="s">
        <v>736</v>
      </c>
      <c r="B81" s="214"/>
      <c r="C81" s="13">
        <v>86.08414239482201</v>
      </c>
      <c r="D81" s="13"/>
      <c r="E81" s="13"/>
      <c r="F81" s="13"/>
      <c r="G81" s="13"/>
      <c r="H81" s="13"/>
      <c r="I81" s="13">
        <v>87.827076222980665</v>
      </c>
      <c r="J81" s="13"/>
      <c r="K81" s="13"/>
      <c r="L81" s="13"/>
      <c r="M81" s="13"/>
      <c r="N81" s="13"/>
      <c r="O81" s="13">
        <v>88.518943742824348</v>
      </c>
      <c r="P81" s="13"/>
      <c r="Q81" s="13"/>
      <c r="R81" s="13"/>
      <c r="S81" s="13"/>
      <c r="T81" s="13"/>
      <c r="U81" s="13">
        <v>86.813186813186817</v>
      </c>
      <c r="V81" s="13"/>
      <c r="W81" s="13"/>
      <c r="X81" s="13"/>
      <c r="Y81" s="13"/>
      <c r="Z81" s="13"/>
      <c r="AA81" s="13">
        <v>87.066246056782333</v>
      </c>
      <c r="AB81" s="13"/>
      <c r="AC81" s="13"/>
      <c r="AD81" s="13"/>
      <c r="AE81" s="13"/>
      <c r="AF81" s="13"/>
      <c r="AG81" s="13">
        <v>87.162891046386179</v>
      </c>
      <c r="AH81" s="13"/>
      <c r="AI81" s="13"/>
      <c r="AJ81" s="13"/>
      <c r="AK81" s="13"/>
      <c r="AL81" s="13"/>
      <c r="AM81" s="13">
        <v>86.426299045599151</v>
      </c>
      <c r="AN81" s="13"/>
      <c r="AO81" s="13"/>
      <c r="AP81" s="13"/>
      <c r="AQ81" s="13"/>
      <c r="AR81" s="13"/>
      <c r="AS81" s="13">
        <v>87.826086956521735</v>
      </c>
      <c r="AT81" s="13"/>
      <c r="AU81" s="13"/>
      <c r="AV81" s="13"/>
      <c r="AW81" s="13"/>
      <c r="AX81" s="13"/>
      <c r="AY81" s="13">
        <v>85.634743875278403</v>
      </c>
      <c r="AZ81" s="13"/>
      <c r="BA81" s="13"/>
      <c r="BB81" s="13"/>
      <c r="BC81" s="13"/>
      <c r="BD81" s="13"/>
      <c r="BE81" s="13">
        <v>83.492822966507177</v>
      </c>
      <c r="BF81" s="13"/>
      <c r="BG81" s="13"/>
      <c r="BH81" s="13"/>
      <c r="BI81" s="13"/>
      <c r="BJ81" s="13"/>
      <c r="BK81" s="13">
        <v>80.084745762711847</v>
      </c>
    </row>
    <row r="82" spans="1:63">
      <c r="A82" s="214" t="s">
        <v>737</v>
      </c>
      <c r="B82" s="214"/>
      <c r="C82" s="13">
        <v>88.8888888888889</v>
      </c>
      <c r="D82" s="13"/>
      <c r="E82" s="13"/>
      <c r="F82" s="13"/>
      <c r="G82" s="13"/>
      <c r="H82" s="13"/>
      <c r="I82" s="13">
        <v>89.988623435722403</v>
      </c>
      <c r="J82" s="13"/>
      <c r="K82" s="13"/>
      <c r="L82" s="13"/>
      <c r="M82" s="13"/>
      <c r="N82" s="13"/>
      <c r="O82" s="13">
        <v>92.652123995407592</v>
      </c>
      <c r="P82" s="13"/>
      <c r="Q82" s="13"/>
      <c r="R82" s="13"/>
      <c r="S82" s="13"/>
      <c r="T82" s="13"/>
      <c r="U82" s="13">
        <v>90.769230769230759</v>
      </c>
      <c r="V82" s="13"/>
      <c r="W82" s="13"/>
      <c r="X82" s="13"/>
      <c r="Y82" s="13"/>
      <c r="Z82" s="13"/>
      <c r="AA82" s="13">
        <v>89.695057833859096</v>
      </c>
      <c r="AB82" s="13"/>
      <c r="AC82" s="13"/>
      <c r="AD82" s="13"/>
      <c r="AE82" s="13"/>
      <c r="AF82" s="13"/>
      <c r="AG82" s="13">
        <v>89.751887810140246</v>
      </c>
      <c r="AH82" s="13"/>
      <c r="AI82" s="13"/>
      <c r="AJ82" s="13"/>
      <c r="AK82" s="13"/>
      <c r="AL82" s="13"/>
      <c r="AM82" s="13">
        <v>89.183457051961824</v>
      </c>
      <c r="AN82" s="13"/>
      <c r="AO82" s="13"/>
      <c r="AP82" s="13"/>
      <c r="AQ82" s="13"/>
      <c r="AR82" s="13"/>
      <c r="AS82" s="13">
        <v>88.804347826086953</v>
      </c>
      <c r="AT82" s="13"/>
      <c r="AU82" s="13"/>
      <c r="AV82" s="13"/>
      <c r="AW82" s="13"/>
      <c r="AX82" s="13"/>
      <c r="AY82" s="13">
        <v>85.077951002227181</v>
      </c>
      <c r="AZ82" s="13"/>
      <c r="BA82" s="13"/>
      <c r="BB82" s="13"/>
      <c r="BC82" s="13"/>
      <c r="BD82" s="13"/>
      <c r="BE82" s="13">
        <v>88.755980861244026</v>
      </c>
      <c r="BF82" s="13"/>
      <c r="BG82" s="13"/>
      <c r="BH82" s="13"/>
      <c r="BI82" s="13"/>
      <c r="BJ82" s="13"/>
      <c r="BK82" s="13">
        <v>82.83898305084746</v>
      </c>
    </row>
    <row r="83" spans="1:63">
      <c r="A83" s="214" t="s">
        <v>738</v>
      </c>
      <c r="B83" s="214"/>
      <c r="C83" s="13">
        <v>91.477885652642925</v>
      </c>
      <c r="D83" s="13"/>
      <c r="E83" s="13"/>
      <c r="F83" s="13"/>
      <c r="G83" s="13"/>
      <c r="H83" s="13"/>
      <c r="I83" s="13">
        <v>93.060295790671205</v>
      </c>
      <c r="J83" s="13"/>
      <c r="K83" s="13"/>
      <c r="L83" s="13"/>
      <c r="M83" s="13"/>
      <c r="N83" s="13"/>
      <c r="O83" s="13">
        <v>96.555683122847299</v>
      </c>
      <c r="P83" s="13"/>
      <c r="Q83" s="13"/>
      <c r="R83" s="13"/>
      <c r="S83" s="13"/>
      <c r="T83" s="13"/>
      <c r="U83" s="13">
        <v>95.054945054945051</v>
      </c>
      <c r="V83" s="13"/>
      <c r="W83" s="13"/>
      <c r="X83" s="13"/>
      <c r="Y83" s="13"/>
      <c r="Z83" s="13"/>
      <c r="AA83" s="13">
        <v>90.956887486855948</v>
      </c>
      <c r="AB83" s="13"/>
      <c r="AC83" s="13"/>
      <c r="AD83" s="13"/>
      <c r="AE83" s="13"/>
      <c r="AF83" s="13"/>
      <c r="AG83" s="13">
        <v>93.311758360302051</v>
      </c>
      <c r="AH83" s="13"/>
      <c r="AI83" s="13"/>
      <c r="AJ83" s="13"/>
      <c r="AK83" s="13"/>
      <c r="AL83" s="13"/>
      <c r="AM83" s="13">
        <v>92.895015906680797</v>
      </c>
      <c r="AN83" s="13"/>
      <c r="AO83" s="13"/>
      <c r="AP83" s="13"/>
      <c r="AQ83" s="13"/>
      <c r="AR83" s="13"/>
      <c r="AS83" s="13">
        <v>91.195652173913047</v>
      </c>
      <c r="AT83" s="13"/>
      <c r="AU83" s="13"/>
      <c r="AV83" s="13"/>
      <c r="AW83" s="13"/>
      <c r="AX83" s="13"/>
      <c r="AY83" s="13">
        <v>84.74387527839643</v>
      </c>
      <c r="AZ83" s="13"/>
      <c r="BA83" s="13"/>
      <c r="BB83" s="13"/>
      <c r="BC83" s="13"/>
      <c r="BD83" s="13"/>
      <c r="BE83" s="13">
        <v>87.918660287081337</v>
      </c>
      <c r="BF83" s="13"/>
      <c r="BG83" s="13"/>
      <c r="BH83" s="13"/>
      <c r="BI83" s="13"/>
      <c r="BJ83" s="13"/>
      <c r="BK83" s="13">
        <v>85.381355932203377</v>
      </c>
    </row>
    <row r="84" spans="1:63">
      <c r="A84" s="214" t="s">
        <v>739</v>
      </c>
      <c r="B84" s="214"/>
      <c r="C84" s="13">
        <v>92.664509169363541</v>
      </c>
      <c r="D84" s="13"/>
      <c r="E84" s="13"/>
      <c r="F84" s="13"/>
      <c r="G84" s="13"/>
      <c r="H84" s="13"/>
      <c r="I84" s="13">
        <v>94.084186575654144</v>
      </c>
      <c r="J84" s="13"/>
      <c r="K84" s="13"/>
      <c r="L84" s="13"/>
      <c r="M84" s="13"/>
      <c r="N84" s="13"/>
      <c r="O84" s="13">
        <v>97.818599311136637</v>
      </c>
      <c r="P84" s="13"/>
      <c r="Q84" s="13"/>
      <c r="R84" s="13"/>
      <c r="S84" s="13"/>
      <c r="T84" s="13"/>
      <c r="U84" s="13">
        <v>96.15384615384616</v>
      </c>
      <c r="V84" s="13"/>
      <c r="W84" s="13"/>
      <c r="X84" s="13"/>
      <c r="Y84" s="13"/>
      <c r="Z84" s="13"/>
      <c r="AA84" s="13">
        <v>92.113564668769726</v>
      </c>
      <c r="AB84" s="13"/>
      <c r="AC84" s="13"/>
      <c r="AD84" s="13"/>
      <c r="AE84" s="13"/>
      <c r="AF84" s="13"/>
      <c r="AG84" s="13">
        <v>94.822006472491921</v>
      </c>
      <c r="AH84" s="13"/>
      <c r="AI84" s="13"/>
      <c r="AJ84" s="13"/>
      <c r="AK84" s="13"/>
      <c r="AL84" s="13"/>
      <c r="AM84" s="13">
        <v>93.213149522799583</v>
      </c>
      <c r="AN84" s="13"/>
      <c r="AO84" s="13"/>
      <c r="AP84" s="13"/>
      <c r="AQ84" s="13"/>
      <c r="AR84" s="13"/>
      <c r="AS84" s="13">
        <v>91.847826086956516</v>
      </c>
      <c r="AT84" s="13"/>
      <c r="AU84" s="13"/>
      <c r="AV84" s="13"/>
      <c r="AW84" s="13"/>
      <c r="AX84" s="13"/>
      <c r="AY84" s="13">
        <v>87.41648106904232</v>
      </c>
      <c r="AZ84" s="13"/>
      <c r="BA84" s="13"/>
      <c r="BB84" s="13"/>
      <c r="BC84" s="13"/>
      <c r="BD84" s="13"/>
      <c r="BE84" s="13">
        <v>89.593301435406715</v>
      </c>
      <c r="BF84" s="13"/>
      <c r="BG84" s="13"/>
      <c r="BH84" s="13"/>
      <c r="BI84" s="13"/>
      <c r="BJ84" s="13"/>
      <c r="BK84" s="13">
        <v>88.665254237288138</v>
      </c>
    </row>
    <row r="85" spans="1:63">
      <c r="A85" s="214" t="s">
        <v>740</v>
      </c>
      <c r="B85" s="214"/>
      <c r="C85" s="13">
        <v>94.066882416396979</v>
      </c>
      <c r="D85" s="13"/>
      <c r="E85" s="13"/>
      <c r="F85" s="13"/>
      <c r="G85" s="13"/>
      <c r="H85" s="13"/>
      <c r="I85" s="13">
        <v>95.563139931740608</v>
      </c>
      <c r="J85" s="13"/>
      <c r="K85" s="13"/>
      <c r="L85" s="13"/>
      <c r="M85" s="13"/>
      <c r="N85" s="13"/>
      <c r="O85" s="13">
        <v>101.83696900114812</v>
      </c>
      <c r="P85" s="13"/>
      <c r="Q85" s="13"/>
      <c r="R85" s="13"/>
      <c r="S85" s="13"/>
      <c r="T85" s="13"/>
      <c r="U85" s="13">
        <v>96.483516483516482</v>
      </c>
      <c r="V85" s="13"/>
      <c r="W85" s="13"/>
      <c r="X85" s="13"/>
      <c r="Y85" s="13"/>
      <c r="Z85" s="13"/>
      <c r="AA85" s="13">
        <v>93.690851735015769</v>
      </c>
      <c r="AB85" s="13"/>
      <c r="AC85" s="13"/>
      <c r="AD85" s="13"/>
      <c r="AE85" s="13"/>
      <c r="AF85" s="13"/>
      <c r="AG85" s="13">
        <v>95.25350593311758</v>
      </c>
      <c r="AH85" s="13"/>
      <c r="AI85" s="13"/>
      <c r="AJ85" s="13"/>
      <c r="AK85" s="13"/>
      <c r="AL85" s="13"/>
      <c r="AM85" s="13">
        <v>94.591728525980926</v>
      </c>
      <c r="AN85" s="13"/>
      <c r="AO85" s="13"/>
      <c r="AP85" s="13"/>
      <c r="AQ85" s="13"/>
      <c r="AR85" s="13"/>
      <c r="AS85" s="13">
        <v>92.065217391304358</v>
      </c>
      <c r="AT85" s="13"/>
      <c r="AU85" s="13"/>
      <c r="AV85" s="13"/>
      <c r="AW85" s="13"/>
      <c r="AX85" s="13"/>
      <c r="AY85" s="13">
        <v>88.641425389755014</v>
      </c>
      <c r="AZ85" s="13"/>
      <c r="BA85" s="13"/>
      <c r="BB85" s="13"/>
      <c r="BC85" s="13"/>
      <c r="BD85" s="13"/>
      <c r="BE85" s="13">
        <v>90.550239234449776</v>
      </c>
      <c r="BF85" s="13"/>
      <c r="BG85" s="13"/>
      <c r="BH85" s="13"/>
      <c r="BI85" s="13"/>
      <c r="BJ85" s="13"/>
      <c r="BK85" s="13">
        <v>91.525423728813564</v>
      </c>
    </row>
    <row r="86" spans="1:63">
      <c r="A86" s="214" t="s">
        <v>741</v>
      </c>
      <c r="B86" s="214"/>
      <c r="C86" s="13">
        <v>95.145631067961162</v>
      </c>
      <c r="D86" s="13"/>
      <c r="E86" s="13"/>
      <c r="F86" s="13"/>
      <c r="G86" s="13"/>
      <c r="H86" s="13"/>
      <c r="I86" s="13">
        <v>96.245733788395896</v>
      </c>
      <c r="J86" s="13"/>
      <c r="K86" s="13"/>
      <c r="L86" s="13"/>
      <c r="M86" s="13"/>
      <c r="N86" s="13"/>
      <c r="O86" s="13">
        <v>99.081515499425947</v>
      </c>
      <c r="P86" s="13"/>
      <c r="Q86" s="13"/>
      <c r="R86" s="13"/>
      <c r="S86" s="13"/>
      <c r="T86" s="13"/>
      <c r="U86" s="13">
        <v>97.802197802197796</v>
      </c>
      <c r="V86" s="13"/>
      <c r="W86" s="13"/>
      <c r="X86" s="13"/>
      <c r="Y86" s="13"/>
      <c r="Z86" s="13"/>
      <c r="AA86" s="13">
        <v>95.478443743427974</v>
      </c>
      <c r="AB86" s="13"/>
      <c r="AC86" s="13"/>
      <c r="AD86" s="13"/>
      <c r="AE86" s="13"/>
      <c r="AF86" s="13"/>
      <c r="AG86" s="13">
        <v>95.900755124056104</v>
      </c>
      <c r="AH86" s="13"/>
      <c r="AI86" s="13"/>
      <c r="AJ86" s="13"/>
      <c r="AK86" s="13"/>
      <c r="AL86" s="13"/>
      <c r="AM86" s="13">
        <v>94.697773064687169</v>
      </c>
      <c r="AN86" s="13"/>
      <c r="AO86" s="13"/>
      <c r="AP86" s="13"/>
      <c r="AQ86" s="13"/>
      <c r="AR86" s="13"/>
      <c r="AS86" s="13">
        <v>93.478260869565219</v>
      </c>
      <c r="AT86" s="13"/>
      <c r="AU86" s="13"/>
      <c r="AV86" s="13"/>
      <c r="AW86" s="13"/>
      <c r="AX86" s="13"/>
      <c r="AY86" s="13">
        <v>90.757238307349667</v>
      </c>
      <c r="AZ86" s="13"/>
      <c r="BA86" s="13"/>
      <c r="BB86" s="13"/>
      <c r="BC86" s="13"/>
      <c r="BD86" s="13"/>
      <c r="BE86" s="13">
        <v>92.464114832535898</v>
      </c>
      <c r="BF86" s="13"/>
      <c r="BG86" s="13"/>
      <c r="BH86" s="13"/>
      <c r="BI86" s="13"/>
      <c r="BJ86" s="13"/>
      <c r="BK86" s="13">
        <v>95.127118644067792</v>
      </c>
    </row>
    <row r="87" spans="1:63">
      <c r="A87" s="214" t="s">
        <v>742</v>
      </c>
      <c r="B87" s="214"/>
      <c r="C87" s="13">
        <v>97.303128371089528</v>
      </c>
      <c r="D87" s="13"/>
      <c r="E87" s="13"/>
      <c r="F87" s="13"/>
      <c r="G87" s="13"/>
      <c r="H87" s="13"/>
      <c r="I87" s="13">
        <v>97.610921501706471</v>
      </c>
      <c r="J87" s="13"/>
      <c r="K87" s="13"/>
      <c r="L87" s="13"/>
      <c r="M87" s="13"/>
      <c r="N87" s="13"/>
      <c r="O87" s="13">
        <v>98.277841561423656</v>
      </c>
      <c r="P87" s="13"/>
      <c r="Q87" s="13"/>
      <c r="R87" s="13"/>
      <c r="S87" s="13"/>
      <c r="T87" s="13"/>
      <c r="U87" s="13">
        <v>99.45054945054946</v>
      </c>
      <c r="V87" s="13"/>
      <c r="W87" s="13"/>
      <c r="X87" s="13"/>
      <c r="Y87" s="13"/>
      <c r="Z87" s="13"/>
      <c r="AA87" s="13">
        <v>99.053627760252368</v>
      </c>
      <c r="AB87" s="13"/>
      <c r="AC87" s="13"/>
      <c r="AD87" s="13"/>
      <c r="AE87" s="13"/>
      <c r="AF87" s="13"/>
      <c r="AG87" s="13">
        <v>98.05825242718447</v>
      </c>
      <c r="AH87" s="13"/>
      <c r="AI87" s="13"/>
      <c r="AJ87" s="13"/>
      <c r="AK87" s="13"/>
      <c r="AL87" s="13"/>
      <c r="AM87" s="13">
        <v>96.818663838812299</v>
      </c>
      <c r="AN87" s="13"/>
      <c r="AO87" s="13"/>
      <c r="AP87" s="13"/>
      <c r="AQ87" s="13"/>
      <c r="AR87" s="13"/>
      <c r="AS87" s="13">
        <v>96.847826086956516</v>
      </c>
      <c r="AT87" s="13"/>
      <c r="AU87" s="13"/>
      <c r="AV87" s="13"/>
      <c r="AW87" s="13"/>
      <c r="AX87" s="13"/>
      <c r="AY87" s="13">
        <v>96.881959910913139</v>
      </c>
      <c r="AZ87" s="13"/>
      <c r="BA87" s="13"/>
      <c r="BB87" s="13"/>
      <c r="BC87" s="13"/>
      <c r="BD87" s="13"/>
      <c r="BE87" s="13">
        <v>93.660287081339703</v>
      </c>
      <c r="BF87" s="13"/>
      <c r="BG87" s="13"/>
      <c r="BH87" s="13"/>
      <c r="BI87" s="13"/>
      <c r="BJ87" s="13"/>
      <c r="BK87" s="13">
        <v>97.669491525423723</v>
      </c>
    </row>
    <row r="88" spans="1:63">
      <c r="A88" s="214" t="s">
        <v>743</v>
      </c>
      <c r="B88" s="214"/>
      <c r="C88" s="13">
        <v>98.813376483279399</v>
      </c>
      <c r="D88" s="13"/>
      <c r="E88" s="13"/>
      <c r="F88" s="13"/>
      <c r="G88" s="13"/>
      <c r="H88" s="13"/>
      <c r="I88" s="13">
        <v>100.11376564277587</v>
      </c>
      <c r="J88" s="13"/>
      <c r="K88" s="13"/>
      <c r="L88" s="13"/>
      <c r="M88" s="13"/>
      <c r="N88" s="13"/>
      <c r="O88" s="13">
        <v>101.26291618828932</v>
      </c>
      <c r="P88" s="13"/>
      <c r="Q88" s="13"/>
      <c r="R88" s="13"/>
      <c r="S88" s="13"/>
      <c r="T88" s="13"/>
      <c r="U88" s="13">
        <v>99.890109890109898</v>
      </c>
      <c r="V88" s="13"/>
      <c r="W88" s="13"/>
      <c r="X88" s="13"/>
      <c r="Y88" s="13"/>
      <c r="Z88" s="13"/>
      <c r="AA88" s="13">
        <v>99.894847528916927</v>
      </c>
      <c r="AB88" s="13"/>
      <c r="AC88" s="13"/>
      <c r="AD88" s="13"/>
      <c r="AE88" s="13"/>
      <c r="AF88" s="13"/>
      <c r="AG88" s="13">
        <v>98.921251348435817</v>
      </c>
      <c r="AH88" s="13"/>
      <c r="AI88" s="13"/>
      <c r="AJ88" s="13"/>
      <c r="AK88" s="13"/>
      <c r="AL88" s="13"/>
      <c r="AM88" s="13">
        <v>98.303287380699899</v>
      </c>
      <c r="AN88" s="13"/>
      <c r="AO88" s="13"/>
      <c r="AP88" s="13"/>
      <c r="AQ88" s="13"/>
      <c r="AR88" s="13"/>
      <c r="AS88" s="13">
        <v>99.130434782608702</v>
      </c>
      <c r="AT88" s="13"/>
      <c r="AU88" s="13"/>
      <c r="AV88" s="13"/>
      <c r="AW88" s="13"/>
      <c r="AX88" s="13"/>
      <c r="AY88" s="13">
        <v>103.11804008908685</v>
      </c>
      <c r="AZ88" s="13"/>
      <c r="BA88" s="13"/>
      <c r="BB88" s="13"/>
      <c r="BC88" s="13"/>
      <c r="BD88" s="13"/>
      <c r="BE88" s="13">
        <v>98.444976076555022</v>
      </c>
      <c r="BF88" s="13"/>
      <c r="BG88" s="13"/>
      <c r="BH88" s="13"/>
      <c r="BI88" s="13"/>
      <c r="BJ88" s="13"/>
      <c r="BK88" s="13">
        <v>98.199152542372886</v>
      </c>
    </row>
    <row r="89" spans="1:63">
      <c r="A89" s="214" t="s">
        <v>744</v>
      </c>
      <c r="C89" s="1">
        <v>100</v>
      </c>
      <c r="I89" s="1">
        <v>100</v>
      </c>
      <c r="O89" s="1">
        <v>100</v>
      </c>
      <c r="U89" s="1">
        <v>100</v>
      </c>
      <c r="AA89" s="1">
        <v>100</v>
      </c>
      <c r="AG89" s="1">
        <v>100</v>
      </c>
      <c r="AM89" s="1">
        <v>100</v>
      </c>
      <c r="AS89" s="1">
        <v>100</v>
      </c>
      <c r="AY89" s="1">
        <v>100</v>
      </c>
      <c r="BE89" s="1">
        <v>100</v>
      </c>
      <c r="BK89" s="1">
        <v>100</v>
      </c>
    </row>
    <row r="90" spans="1:63">
      <c r="A90" s="214" t="s">
        <v>745</v>
      </c>
      <c r="C90" s="1">
        <v>99.568500539374313</v>
      </c>
      <c r="I90" s="1">
        <v>100.68259385665527</v>
      </c>
      <c r="O90" s="1">
        <v>101.83696900114812</v>
      </c>
      <c r="U90" s="1">
        <v>101.31868131868131</v>
      </c>
      <c r="AA90" s="1">
        <v>100.94637223974765</v>
      </c>
      <c r="AG90" s="1">
        <v>100.97087378640776</v>
      </c>
      <c r="AM90" s="1">
        <v>100.31813361611877</v>
      </c>
      <c r="AS90" s="1">
        <v>99.891304347826093</v>
      </c>
      <c r="AY90" s="1">
        <v>97.216035634743875</v>
      </c>
      <c r="BE90" s="1">
        <v>95.334928229665081</v>
      </c>
      <c r="BK90" s="1">
        <v>99.788135593220346</v>
      </c>
    </row>
    <row r="91" spans="1:63">
      <c r="A91" s="214" t="s">
        <v>746</v>
      </c>
      <c r="C91" s="1">
        <v>101.29449838187703</v>
      </c>
      <c r="I91" s="1">
        <v>104.09556313993174</v>
      </c>
      <c r="O91" s="1">
        <v>103.55912743972446</v>
      </c>
      <c r="U91" s="1">
        <v>103.51648351648353</v>
      </c>
      <c r="AA91" s="1">
        <v>102.62881177707676</v>
      </c>
      <c r="AG91" s="1">
        <v>102.15749730312838</v>
      </c>
      <c r="AM91" s="1">
        <v>100.95440084835631</v>
      </c>
      <c r="AS91" s="1">
        <v>101.41304347826086</v>
      </c>
      <c r="AY91" s="1">
        <v>101.00222717149221</v>
      </c>
      <c r="BE91" s="1">
        <v>102.51196172248804</v>
      </c>
      <c r="BK91" s="1">
        <v>101.05932203389831</v>
      </c>
    </row>
    <row r="92" spans="1:63">
      <c r="A92" s="214" t="s">
        <v>747</v>
      </c>
      <c r="C92" s="1">
        <v>105.50161812297733</v>
      </c>
      <c r="I92" s="1">
        <v>113.0830489192264</v>
      </c>
      <c r="O92" s="1">
        <v>108.26636050516647</v>
      </c>
      <c r="U92" s="1">
        <v>107.36263736263736</v>
      </c>
      <c r="AA92" s="1">
        <v>105.99369085173502</v>
      </c>
      <c r="AG92" s="1">
        <v>104.42286947141315</v>
      </c>
      <c r="AM92" s="1">
        <v>102.6511134676564</v>
      </c>
      <c r="AS92" s="1">
        <v>103.69565217391306</v>
      </c>
      <c r="AY92" s="1">
        <v>108.24053452115814</v>
      </c>
      <c r="BE92" s="1">
        <v>119.49760765550241</v>
      </c>
      <c r="BK92" s="1">
        <v>104.97881355932202</v>
      </c>
    </row>
    <row r="93" spans="1:63">
      <c r="A93" s="214" t="s">
        <v>748</v>
      </c>
      <c r="C93" s="1">
        <v>106.68824163969795</v>
      </c>
      <c r="I93" s="1">
        <v>113.31058020477813</v>
      </c>
      <c r="O93" s="1">
        <v>111.48105625717565</v>
      </c>
      <c r="U93" s="1">
        <v>109.34065934065933</v>
      </c>
      <c r="AA93" s="1">
        <v>107.46582544689802</v>
      </c>
      <c r="AG93" s="1">
        <v>105.93311758360302</v>
      </c>
      <c r="AM93" s="1">
        <v>103.81760339342524</v>
      </c>
      <c r="AS93" s="1">
        <v>106.19565217391305</v>
      </c>
      <c r="AY93" s="1">
        <v>107.01559020044542</v>
      </c>
      <c r="BE93" s="1">
        <v>122.72727272727273</v>
      </c>
      <c r="BK93" s="1">
        <v>106.03813559322033</v>
      </c>
    </row>
    <row r="94" spans="1:63">
      <c r="A94" s="214" t="s">
        <v>749</v>
      </c>
      <c r="C94" s="1">
        <v>107.87486515641855</v>
      </c>
      <c r="I94" s="1">
        <v>113.76564277588169</v>
      </c>
      <c r="O94" s="1">
        <v>114.81056257175662</v>
      </c>
      <c r="U94" s="1">
        <v>109.8901098901099</v>
      </c>
      <c r="AA94" s="1">
        <v>105.15247108307047</v>
      </c>
      <c r="AG94" s="1">
        <v>107.87486515641855</v>
      </c>
      <c r="AM94" s="1">
        <v>106.04453870625663</v>
      </c>
      <c r="AS94" s="1">
        <v>108.69565217391303</v>
      </c>
      <c r="AY94" s="1">
        <v>111.35857461024499</v>
      </c>
      <c r="BE94" s="1">
        <v>119.61722488038278</v>
      </c>
      <c r="BK94" s="1">
        <v>105.93220338983049</v>
      </c>
    </row>
    <row r="95" spans="1:63">
      <c r="A95" s="214" t="s">
        <v>750</v>
      </c>
      <c r="C95" s="1">
        <v>111.43473570658035</v>
      </c>
      <c r="I95" s="1">
        <v>118.31626848691694</v>
      </c>
      <c r="O95" s="1">
        <v>115.3846153846154</v>
      </c>
      <c r="U95" s="1">
        <v>115.49450549450549</v>
      </c>
      <c r="AA95" s="1">
        <v>108.09674027339642</v>
      </c>
      <c r="AG95" s="1">
        <v>110.67961165048543</v>
      </c>
      <c r="AM95" s="1">
        <v>107.95334040296925</v>
      </c>
      <c r="AS95" s="1">
        <v>109.89130434782608</v>
      </c>
      <c r="AY95" s="1">
        <v>113.58574610244989</v>
      </c>
      <c r="BE95" s="1">
        <v>130.98086124401917</v>
      </c>
      <c r="BK95" s="1">
        <v>109.11016949152541</v>
      </c>
    </row>
    <row r="96" spans="1:63">
      <c r="A96" s="214" t="s">
        <v>751</v>
      </c>
      <c r="C96" s="1">
        <v>114.99460625674216</v>
      </c>
      <c r="I96" s="1">
        <v>128.32764505119454</v>
      </c>
      <c r="O96" s="1">
        <v>117.79563719862227</v>
      </c>
      <c r="U96" s="1">
        <v>118.46153846153847</v>
      </c>
      <c r="AA96" s="1">
        <v>112.09253417455309</v>
      </c>
      <c r="AG96" s="1">
        <v>113.16073354908308</v>
      </c>
      <c r="AM96" s="1">
        <v>110.39236479321315</v>
      </c>
      <c r="AS96" s="1">
        <v>113.91304347826086</v>
      </c>
      <c r="AY96" s="1">
        <v>120.60133630289533</v>
      </c>
      <c r="BE96" s="1">
        <v>138.63636363636365</v>
      </c>
      <c r="BK96" s="1">
        <v>113.66525423728812</v>
      </c>
    </row>
    <row r="97" spans="1:63">
      <c r="A97" s="214" t="s">
        <v>752</v>
      </c>
      <c r="C97" s="1">
        <v>118.87810140237325</v>
      </c>
      <c r="I97" s="1">
        <v>142.54835039817974</v>
      </c>
      <c r="O97" s="1">
        <v>119.86222732491392</v>
      </c>
      <c r="U97" s="1">
        <v>122.41758241758242</v>
      </c>
      <c r="AA97" s="1">
        <v>114.72134595162986</v>
      </c>
      <c r="AG97" s="1">
        <v>115.10248112189861</v>
      </c>
      <c r="AM97" s="1">
        <v>111.4528101802757</v>
      </c>
      <c r="AS97" s="1">
        <v>115.97826086956522</v>
      </c>
      <c r="AY97" s="1">
        <v>126.28062360801782</v>
      </c>
      <c r="BE97" s="1">
        <v>154.42583732057417</v>
      </c>
      <c r="BK97" s="1">
        <v>117.16101694915253</v>
      </c>
    </row>
    <row r="98" spans="1:63">
      <c r="A98" s="214" t="s">
        <v>753</v>
      </c>
      <c r="C98" s="1">
        <v>121.68284789644012</v>
      </c>
      <c r="I98" s="1">
        <v>164.39135381114903</v>
      </c>
      <c r="O98" s="1">
        <v>122.04362801377728</v>
      </c>
      <c r="U98" s="1">
        <v>122.96703296703298</v>
      </c>
      <c r="AA98" s="1">
        <v>116.71924290220821</v>
      </c>
      <c r="AG98" s="1">
        <v>117.36785329018338</v>
      </c>
      <c r="AM98" s="1">
        <v>113.36161187698835</v>
      </c>
      <c r="AS98" s="1">
        <v>120.86956521739131</v>
      </c>
      <c r="AY98" s="1">
        <v>133.07349665924278</v>
      </c>
      <c r="BE98" s="1">
        <v>156.57894736842107</v>
      </c>
      <c r="BK98" s="1">
        <v>120.65677966101696</v>
      </c>
    </row>
    <row r="99" spans="1:63">
      <c r="A99" s="1">
        <v>2007</v>
      </c>
      <c r="C99" s="1">
        <v>124.92573897566412</v>
      </c>
      <c r="I99" s="1">
        <v>177.09270587106838</v>
      </c>
      <c r="O99" s="1">
        <v>124.27332447446825</v>
      </c>
      <c r="U99" s="1">
        <v>125.88967007315983</v>
      </c>
      <c r="AA99" s="1">
        <v>118.66342477009719</v>
      </c>
      <c r="AG99" s="1">
        <v>119.79884824462984</v>
      </c>
      <c r="AM99" s="1">
        <v>115.3732203838365</v>
      </c>
      <c r="AS99" s="1">
        <v>124.03921372246255</v>
      </c>
      <c r="AY99" s="1">
        <v>139.00181535183685</v>
      </c>
      <c r="BE99" s="1">
        <v>164.39621953839406</v>
      </c>
      <c r="BK99" s="1">
        <v>123.81397283984148</v>
      </c>
    </row>
    <row r="100" spans="1:63">
      <c r="A100" s="1">
        <v>2008</v>
      </c>
    </row>
  </sheetData>
  <phoneticPr fontId="0" type="noConversion"/>
  <pageMargins left="0.35433070866141736" right="0.35433070866141736" top="0.59055118110236227" bottom="0.59055118110236227" header="0.51181102362204722" footer="0.51181102362204722"/>
  <pageSetup scale="78" orientation="landscape" r:id="rId1"/>
  <headerFooter alignWithMargins="0"/>
  <colBreaks count="5" manualBreakCount="5">
    <brk id="13" max="1048575" man="1"/>
    <brk id="25" max="1048575" man="1"/>
    <brk id="37" max="1048575" man="1"/>
    <brk id="49" max="1048575" man="1"/>
    <brk id="61" max="1048575" man="1"/>
  </colBreaks>
</worksheet>
</file>

<file path=xl/worksheets/sheet33.xml><?xml version="1.0" encoding="utf-8"?>
<worksheet xmlns="http://schemas.openxmlformats.org/spreadsheetml/2006/main" xmlns:r="http://schemas.openxmlformats.org/officeDocument/2006/relationships">
  <dimension ref="A1:FL128"/>
  <sheetViews>
    <sheetView view="pageBreakPreview" zoomScaleSheetLayoutView="100" workbookViewId="0">
      <selection activeCell="E9" sqref="E9"/>
    </sheetView>
  </sheetViews>
  <sheetFormatPr defaultColWidth="8.875" defaultRowHeight="12.75"/>
  <cols>
    <col min="1" max="1" width="8.875" style="14"/>
    <col min="2" max="2" width="10.75" style="14" customWidth="1"/>
    <col min="3" max="5" width="10.125" style="14" customWidth="1"/>
    <col min="6" max="21" width="8.875" style="14"/>
    <col min="22" max="25" width="9.875" style="14" customWidth="1"/>
    <col min="26" max="42" width="8.875" style="14"/>
    <col min="43" max="45" width="8.875" style="14" customWidth="1"/>
    <col min="46" max="16384" width="8.875" style="14"/>
  </cols>
  <sheetData>
    <row r="1" spans="1:45" s="15" customFormat="1" ht="15.75">
      <c r="B1" s="15" t="s">
        <v>755</v>
      </c>
      <c r="N1" s="15" t="s">
        <v>756</v>
      </c>
      <c r="Z1" s="15" t="s">
        <v>757</v>
      </c>
      <c r="AL1" s="15" t="s">
        <v>758</v>
      </c>
    </row>
    <row r="2" spans="1:45">
      <c r="AR2" s="1"/>
      <c r="AS2" s="1"/>
    </row>
    <row r="3" spans="1:45" s="16" customFormat="1" ht="15">
      <c r="B3" s="16" t="s">
        <v>321</v>
      </c>
      <c r="F3" s="16" t="s">
        <v>449</v>
      </c>
      <c r="J3" s="16" t="s">
        <v>450</v>
      </c>
      <c r="N3" s="16" t="s">
        <v>451</v>
      </c>
      <c r="R3" s="16" t="s">
        <v>452</v>
      </c>
      <c r="V3" s="16" t="s">
        <v>453</v>
      </c>
      <c r="Z3" s="16" t="s">
        <v>454</v>
      </c>
      <c r="AD3" s="16" t="s">
        <v>455</v>
      </c>
      <c r="AH3" s="16" t="s">
        <v>456</v>
      </c>
      <c r="AL3" s="16" t="s">
        <v>457</v>
      </c>
      <c r="AP3" s="16" t="s">
        <v>458</v>
      </c>
      <c r="AR3" s="140"/>
      <c r="AS3" s="140"/>
    </row>
    <row r="4" spans="1:45" s="151" customFormat="1" ht="72.75" customHeight="1">
      <c r="B4" s="151" t="s">
        <v>581</v>
      </c>
      <c r="C4" s="151" t="s">
        <v>582</v>
      </c>
      <c r="D4" s="151" t="s">
        <v>759</v>
      </c>
      <c r="E4" s="151" t="s">
        <v>583</v>
      </c>
      <c r="F4" s="151" t="s">
        <v>581</v>
      </c>
      <c r="G4" s="151" t="s">
        <v>582</v>
      </c>
      <c r="H4" s="151" t="s">
        <v>759</v>
      </c>
      <c r="I4" s="151" t="s">
        <v>583</v>
      </c>
      <c r="J4" s="151" t="s">
        <v>581</v>
      </c>
      <c r="K4" s="151" t="s">
        <v>582</v>
      </c>
      <c r="L4" s="151" t="s">
        <v>759</v>
      </c>
      <c r="M4" s="151" t="s">
        <v>583</v>
      </c>
      <c r="N4" s="151" t="s">
        <v>581</v>
      </c>
      <c r="O4" s="151" t="s">
        <v>582</v>
      </c>
      <c r="P4" s="151" t="s">
        <v>759</v>
      </c>
      <c r="Q4" s="151" t="s">
        <v>583</v>
      </c>
      <c r="R4" s="151" t="s">
        <v>581</v>
      </c>
      <c r="S4" s="151" t="s">
        <v>582</v>
      </c>
      <c r="T4" s="151" t="s">
        <v>759</v>
      </c>
      <c r="U4" s="151" t="s">
        <v>583</v>
      </c>
      <c r="V4" s="151" t="s">
        <v>581</v>
      </c>
      <c r="W4" s="151" t="s">
        <v>582</v>
      </c>
      <c r="X4" s="151" t="s">
        <v>759</v>
      </c>
      <c r="Y4" s="151" t="s">
        <v>583</v>
      </c>
      <c r="Z4" s="151" t="s">
        <v>581</v>
      </c>
      <c r="AA4" s="151" t="s">
        <v>582</v>
      </c>
      <c r="AB4" s="151" t="s">
        <v>759</v>
      </c>
      <c r="AC4" s="151" t="s">
        <v>583</v>
      </c>
      <c r="AD4" s="151" t="s">
        <v>581</v>
      </c>
      <c r="AE4" s="151" t="s">
        <v>582</v>
      </c>
      <c r="AF4" s="151" t="s">
        <v>759</v>
      </c>
      <c r="AG4" s="151" t="s">
        <v>583</v>
      </c>
      <c r="AH4" s="151" t="s">
        <v>581</v>
      </c>
      <c r="AI4" s="151" t="s">
        <v>582</v>
      </c>
      <c r="AJ4" s="151" t="s">
        <v>759</v>
      </c>
      <c r="AK4" s="151" t="s">
        <v>583</v>
      </c>
      <c r="AL4" s="151" t="s">
        <v>581</v>
      </c>
      <c r="AM4" s="151" t="s">
        <v>582</v>
      </c>
      <c r="AN4" s="151" t="s">
        <v>759</v>
      </c>
      <c r="AO4" s="151" t="s">
        <v>583</v>
      </c>
      <c r="AP4" s="151" t="s">
        <v>581</v>
      </c>
      <c r="AQ4" s="151" t="s">
        <v>582</v>
      </c>
      <c r="AR4" s="151" t="s">
        <v>759</v>
      </c>
      <c r="AS4" s="151" t="s">
        <v>583</v>
      </c>
    </row>
    <row r="5" spans="1:45" s="279" customFormat="1" ht="27.75" customHeight="1">
      <c r="B5" s="279" t="s">
        <v>105</v>
      </c>
      <c r="C5" s="279" t="s">
        <v>106</v>
      </c>
      <c r="D5" s="279" t="s">
        <v>107</v>
      </c>
      <c r="E5" s="279" t="s">
        <v>415</v>
      </c>
      <c r="F5" s="279" t="s">
        <v>105</v>
      </c>
      <c r="G5" s="279" t="s">
        <v>106</v>
      </c>
      <c r="H5" s="279" t="s">
        <v>107</v>
      </c>
      <c r="I5" s="279" t="s">
        <v>415</v>
      </c>
      <c r="J5" s="279" t="s">
        <v>105</v>
      </c>
      <c r="K5" s="279" t="s">
        <v>106</v>
      </c>
      <c r="L5" s="279" t="s">
        <v>107</v>
      </c>
      <c r="M5" s="279" t="s">
        <v>415</v>
      </c>
      <c r="N5" s="279" t="s">
        <v>105</v>
      </c>
      <c r="O5" s="279" t="s">
        <v>106</v>
      </c>
      <c r="P5" s="279" t="s">
        <v>107</v>
      </c>
      <c r="Q5" s="279" t="s">
        <v>415</v>
      </c>
      <c r="R5" s="279" t="s">
        <v>105</v>
      </c>
      <c r="S5" s="279" t="s">
        <v>106</v>
      </c>
      <c r="T5" s="279" t="s">
        <v>107</v>
      </c>
      <c r="U5" s="279" t="s">
        <v>415</v>
      </c>
      <c r="V5" s="279" t="s">
        <v>105</v>
      </c>
      <c r="W5" s="279" t="s">
        <v>106</v>
      </c>
      <c r="X5" s="279" t="s">
        <v>107</v>
      </c>
      <c r="Y5" s="279" t="s">
        <v>415</v>
      </c>
      <c r="Z5" s="279" t="s">
        <v>105</v>
      </c>
      <c r="AA5" s="279" t="s">
        <v>106</v>
      </c>
      <c r="AB5" s="279" t="s">
        <v>107</v>
      </c>
      <c r="AC5" s="279" t="s">
        <v>415</v>
      </c>
      <c r="AD5" s="279" t="s">
        <v>105</v>
      </c>
      <c r="AE5" s="279" t="s">
        <v>106</v>
      </c>
      <c r="AF5" s="279" t="s">
        <v>107</v>
      </c>
      <c r="AG5" s="279" t="s">
        <v>415</v>
      </c>
      <c r="AH5" s="279" t="s">
        <v>105</v>
      </c>
      <c r="AI5" s="279" t="s">
        <v>106</v>
      </c>
      <c r="AJ5" s="279" t="s">
        <v>107</v>
      </c>
      <c r="AK5" s="279" t="s">
        <v>415</v>
      </c>
      <c r="AL5" s="279" t="s">
        <v>105</v>
      </c>
      <c r="AM5" s="279" t="s">
        <v>106</v>
      </c>
      <c r="AN5" s="279" t="s">
        <v>107</v>
      </c>
      <c r="AO5" s="279" t="s">
        <v>415</v>
      </c>
      <c r="AP5" s="279" t="s">
        <v>105</v>
      </c>
      <c r="AQ5" s="279" t="s">
        <v>106</v>
      </c>
      <c r="AR5" s="279" t="s">
        <v>107</v>
      </c>
      <c r="AS5" s="279" t="s">
        <v>415</v>
      </c>
    </row>
    <row r="6" spans="1:45" hidden="1">
      <c r="A6" s="14">
        <v>1971</v>
      </c>
      <c r="B6" s="156">
        <f t="shared" ref="B6:B14" si="0">B7*$C103/$C104</f>
        <v>477.38915622147647</v>
      </c>
      <c r="C6" s="153">
        <f>B6*24.4</f>
        <v>11648.295411804025</v>
      </c>
      <c r="D6" s="153">
        <f>C6*100/82.4</f>
        <v>14136.280839567991</v>
      </c>
      <c r="E6" s="153">
        <f>D6/'a1'!F8*1000000</f>
        <v>643.66907577440884</v>
      </c>
      <c r="F6" s="129">
        <f t="shared" ref="F6:F15" si="1">$B6*$Q$73/100</f>
        <v>7.9057566642717658</v>
      </c>
      <c r="G6" s="153">
        <f>F6*24.4</f>
        <v>192.90046260823107</v>
      </c>
      <c r="H6" s="153">
        <f>G6*100/79.1</f>
        <v>243.86910569940719</v>
      </c>
      <c r="I6" s="158">
        <f>H6/'a1'!L8*1000000</f>
        <v>459.39016320759976</v>
      </c>
      <c r="J6" s="129">
        <f t="shared" ref="J6:J15" si="2">$B6*$Q$74/100</f>
        <v>1.6580462305007655</v>
      </c>
      <c r="K6" s="153">
        <f>J6*24.4</f>
        <v>40.456328024218678</v>
      </c>
      <c r="L6" s="153">
        <f>K6*100/80.7</f>
        <v>50.131757155165644</v>
      </c>
      <c r="M6" s="153">
        <f>L6/'a1'!R8*1000000</f>
        <v>445.25545696517167</v>
      </c>
      <c r="N6" s="129">
        <f t="shared" ref="N6:N15" si="3">$B6*$Q$75/100</f>
        <v>15.619276084427502</v>
      </c>
      <c r="O6" s="153">
        <f>N6*24.4</f>
        <v>381.11033646003102</v>
      </c>
      <c r="P6" s="153">
        <f>O6*100/82.6</f>
        <v>461.39265915257999</v>
      </c>
      <c r="Q6" s="158">
        <f>P6/'a1'!X8*1000000</f>
        <v>578.69827084184749</v>
      </c>
      <c r="R6" s="129">
        <f t="shared" ref="R6:R15" si="4">$B6*$Q$76/100</f>
        <v>12.976013977832078</v>
      </c>
      <c r="S6" s="153">
        <f>R6*24.4</f>
        <v>316.6147410591027</v>
      </c>
      <c r="T6" s="153">
        <f>S6*100/85.3</f>
        <v>371.1778910423244</v>
      </c>
      <c r="U6" s="158">
        <f>T6/'a1'!AD8*1000000</f>
        <v>577.73485658080199</v>
      </c>
      <c r="V6" s="129">
        <f t="shared" ref="V6:V15" si="5">$B6*$Q$77/100</f>
        <v>68.324320512905956</v>
      </c>
      <c r="W6" s="153">
        <f>V6*24.4</f>
        <v>1667.1134205149053</v>
      </c>
      <c r="X6" s="153">
        <f>W6*100/83.2</f>
        <v>2003.7420919650303</v>
      </c>
      <c r="Y6" s="158">
        <f>X6/'a1'!AJ8*1000000</f>
        <v>326.48566300111048</v>
      </c>
      <c r="Z6" s="129">
        <f t="shared" ref="Z6:Z15" si="6">$B6*$Q$78/100</f>
        <v>140.17299050127247</v>
      </c>
      <c r="AA6" s="153">
        <f>Z6*24.4</f>
        <v>3420.2209682310481</v>
      </c>
      <c r="AB6" s="153">
        <f>AA6*100/84.1</f>
        <v>4066.8501405838865</v>
      </c>
      <c r="AC6" s="158">
        <f>AB6/'a1'!AP8*1000000</f>
        <v>518.13430385497293</v>
      </c>
      <c r="AD6" s="129">
        <f t="shared" ref="AD6:AD15" si="7">$B6*$Q$79/100</f>
        <v>14.41779330870231</v>
      </c>
      <c r="AE6" s="153">
        <f>AD6*24.4</f>
        <v>351.79415673233632</v>
      </c>
      <c r="AF6" s="153">
        <f>AE6*100/81.7</f>
        <v>430.59260309955488</v>
      </c>
      <c r="AG6" s="158">
        <f>AF6/'a1'!AV8*1000000</f>
        <v>431.07713379794376</v>
      </c>
      <c r="AH6" s="129">
        <f t="shared" ref="AH6:AH15" si="8">$B6*$Q$80/100</f>
        <v>35.323593606320657</v>
      </c>
      <c r="AI6" s="153">
        <f>AH6*24.4</f>
        <v>861.89568399422399</v>
      </c>
      <c r="AJ6" s="153">
        <f>AI6*100/76.4</f>
        <v>1128.1357120343243</v>
      </c>
      <c r="AK6" s="158">
        <f>AJ6/'a1'!BB8*1000000</f>
        <v>1210.3966920171972</v>
      </c>
      <c r="AL6" s="129">
        <f t="shared" ref="AL6:AL15" si="9">$B6*$Q$81/100</f>
        <v>136.16804791552181</v>
      </c>
      <c r="AM6" s="153">
        <f>AL6*24.4</f>
        <v>3322.5003691387319</v>
      </c>
      <c r="AN6" s="153">
        <f>AM6*100/74.2</f>
        <v>4477.7633007260529</v>
      </c>
      <c r="AO6" s="158">
        <f>AN6/'a1'!BH8*1000000</f>
        <v>2688.1897109329211</v>
      </c>
      <c r="AP6" s="129">
        <f t="shared" ref="AP6:AP15" si="10">$B6*$Q$82/100</f>
        <v>40.530018967796494</v>
      </c>
      <c r="AQ6" s="153">
        <f>AP6*24.4</f>
        <v>988.93246281423444</v>
      </c>
      <c r="AR6" s="153">
        <f>AQ6*100/78.2</f>
        <v>1264.6195176652614</v>
      </c>
      <c r="AS6" s="7">
        <f>AR6/'a1'!BN8*1000000</f>
        <v>564.44385225656288</v>
      </c>
    </row>
    <row r="7" spans="1:45" hidden="1">
      <c r="A7" s="14">
        <v>1972</v>
      </c>
      <c r="B7" s="156">
        <f t="shared" si="0"/>
        <v>502.03297814988815</v>
      </c>
      <c r="C7" s="153">
        <f t="shared" ref="C7:C44" si="11">B7*24.4</f>
        <v>12249.604666857271</v>
      </c>
      <c r="D7" s="153">
        <f t="shared" ref="D7:D44" si="12">C7*100/82.4</f>
        <v>14866.025081137463</v>
      </c>
      <c r="E7" s="153">
        <f>D7/'a1'!F9*1000000</f>
        <v>669.08431429921427</v>
      </c>
      <c r="F7" s="129">
        <f t="shared" si="1"/>
        <v>8.3138682790929472</v>
      </c>
      <c r="G7" s="153">
        <f t="shared" ref="G7:G42" si="13">F7*24.4</f>
        <v>202.8583860098679</v>
      </c>
      <c r="H7" s="153">
        <f t="shared" ref="H7:H42" si="14">G7*100/79.1</f>
        <v>256.45813654850559</v>
      </c>
      <c r="I7" s="158">
        <f>H7/'a1'!L9*1000000</f>
        <v>475.69415672184061</v>
      </c>
      <c r="J7" s="129">
        <f t="shared" si="2"/>
        <v>1.7436380281380344</v>
      </c>
      <c r="K7" s="153">
        <f t="shared" ref="K7:K42" si="15">J7*24.4</f>
        <v>42.544767886568039</v>
      </c>
      <c r="L7" s="153">
        <f t="shared" ref="L7:L43" si="16">K7*100/80.7</f>
        <v>52.719662808634503</v>
      </c>
      <c r="M7" s="153">
        <f>L7/'a1'!R9*1000000</f>
        <v>464.65417599713118</v>
      </c>
      <c r="N7" s="129">
        <f t="shared" si="3"/>
        <v>16.425575627387282</v>
      </c>
      <c r="O7" s="153">
        <f t="shared" ref="O7:O42" si="17">N7*24.4</f>
        <v>400.78404530824963</v>
      </c>
      <c r="P7" s="153">
        <f t="shared" ref="P7:P43" si="18">O7*100/82.6</f>
        <v>485.21070860562912</v>
      </c>
      <c r="Q7" s="158">
        <f>P7/'a1'!X9*1000000</f>
        <v>604.80858156774229</v>
      </c>
      <c r="R7" s="129">
        <f t="shared" si="4"/>
        <v>13.645862828906356</v>
      </c>
      <c r="S7" s="153">
        <f t="shared" ref="S7:S42" si="19">R7*24.4</f>
        <v>332.95905302531509</v>
      </c>
      <c r="T7" s="153">
        <f t="shared" ref="T7:T43" si="20">S7*100/85.3</f>
        <v>390.33886638372229</v>
      </c>
      <c r="U7" s="158">
        <f>T7/'a1'!AD9*1000000</f>
        <v>601.66078586326148</v>
      </c>
      <c r="V7" s="129">
        <f t="shared" si="5"/>
        <v>71.85136415467359</v>
      </c>
      <c r="W7" s="153">
        <f t="shared" ref="W7:W42" si="21">V7*24.4</f>
        <v>1753.1732853740355</v>
      </c>
      <c r="X7" s="153">
        <f t="shared" ref="X7:X43" si="22">W7*100/83.2</f>
        <v>2107.1794295361001</v>
      </c>
      <c r="Y7" s="158">
        <f>X7/'a1'!AJ9*1000000</f>
        <v>341.28696332232306</v>
      </c>
      <c r="Z7" s="129">
        <f t="shared" si="6"/>
        <v>147.40901204065506</v>
      </c>
      <c r="AA7" s="153">
        <f t="shared" ref="AA7:AA42" si="23">Z7*24.4</f>
        <v>3596.7798937919833</v>
      </c>
      <c r="AB7" s="153">
        <f t="shared" ref="AB7:AB43" si="24">AA7*100/84.1</f>
        <v>4276.7894099785772</v>
      </c>
      <c r="AC7" s="158">
        <f>AB7/'a1'!AP9*1000000</f>
        <v>537.07479244353397</v>
      </c>
      <c r="AD7" s="129">
        <f t="shared" si="7"/>
        <v>15.162069809895952</v>
      </c>
      <c r="AE7" s="153">
        <f t="shared" ref="AE7:AE42" si="25">AD7*24.4</f>
        <v>369.95450336146121</v>
      </c>
      <c r="AF7" s="153">
        <f t="shared" ref="AF7:AF43" si="26">AE7*100/81.7</f>
        <v>452.82068954891207</v>
      </c>
      <c r="AG7" s="158">
        <f>AF7/'a1'!AV9*1000000</f>
        <v>452.07386352636649</v>
      </c>
      <c r="AH7" s="129">
        <f t="shared" si="8"/>
        <v>37.14707103424508</v>
      </c>
      <c r="AI7" s="153">
        <f t="shared" ref="AI7:AI42" si="27">AH7*24.4</f>
        <v>906.38853323557987</v>
      </c>
      <c r="AJ7" s="153">
        <f t="shared" ref="AJ7:AJ43" si="28">AI7*100/76.4</f>
        <v>1186.3724257010206</v>
      </c>
      <c r="AK7" s="158">
        <f>AJ7/'a1'!BB9*1000000</f>
        <v>1288.4428698505837</v>
      </c>
      <c r="AL7" s="129">
        <f t="shared" si="9"/>
        <v>143.19732598235066</v>
      </c>
      <c r="AM7" s="153">
        <f t="shared" ref="AM7:AM42" si="29">AL7*24.4</f>
        <v>3494.0147539693558</v>
      </c>
      <c r="AN7" s="153">
        <f t="shared" ref="AN7:AN43" si="30">AM7*100/74.2</f>
        <v>4708.914762761935</v>
      </c>
      <c r="AO7" s="158">
        <f>AN7/'a1'!BH9*1000000</f>
        <v>2779.613103649709</v>
      </c>
      <c r="AP7" s="129">
        <f t="shared" si="10"/>
        <v>42.622262910040838</v>
      </c>
      <c r="AQ7" s="153">
        <f t="shared" ref="AQ7:AQ42" si="31">AP7*24.4</f>
        <v>1039.9832150049963</v>
      </c>
      <c r="AR7" s="153">
        <f t="shared" ref="AR7:AR43" si="32">AQ7*100/78.2</f>
        <v>1329.9018094693047</v>
      </c>
      <c r="AS7" s="7">
        <f>AR7/'a1'!BN9*1000000</f>
        <v>577.6942344766029</v>
      </c>
    </row>
    <row r="8" spans="1:45" hidden="1">
      <c r="A8" s="14">
        <v>1973</v>
      </c>
      <c r="B8" s="156">
        <f t="shared" si="0"/>
        <v>524.29439578523488</v>
      </c>
      <c r="C8" s="153">
        <f t="shared" si="11"/>
        <v>12792.78325715973</v>
      </c>
      <c r="D8" s="153">
        <f t="shared" si="12"/>
        <v>15525.222399465691</v>
      </c>
      <c r="E8" s="153">
        <f>D8/'a1'!F10*1000000</f>
        <v>690.26215222859855</v>
      </c>
      <c r="F8" s="129">
        <f t="shared" si="1"/>
        <v>8.6825263194635376</v>
      </c>
      <c r="G8" s="153">
        <f t="shared" si="13"/>
        <v>211.85364219491029</v>
      </c>
      <c r="H8" s="153">
        <f t="shared" si="14"/>
        <v>267.83014183933034</v>
      </c>
      <c r="I8" s="158">
        <f>H8/'a1'!L10*1000000</f>
        <v>490.92611429213298</v>
      </c>
      <c r="J8" s="129">
        <f t="shared" si="2"/>
        <v>1.8209553679118056</v>
      </c>
      <c r="K8" s="153">
        <f t="shared" si="15"/>
        <v>44.431310977048057</v>
      </c>
      <c r="L8" s="153">
        <f t="shared" si="16"/>
        <v>55.057386588659305</v>
      </c>
      <c r="M8" s="153">
        <f>L8/'a1'!R10*1000000</f>
        <v>480.3471173325712</v>
      </c>
      <c r="N8" s="129">
        <f t="shared" si="3"/>
        <v>17.153927378879331</v>
      </c>
      <c r="O8" s="153">
        <f t="shared" si="17"/>
        <v>418.55582804465564</v>
      </c>
      <c r="P8" s="153">
        <f t="shared" si="18"/>
        <v>506.72618407343305</v>
      </c>
      <c r="Q8" s="158">
        <f>P8/'a1'!X10*1000000</f>
        <v>623.75051277771047</v>
      </c>
      <c r="R8" s="129">
        <f t="shared" si="4"/>
        <v>14.250955053222828</v>
      </c>
      <c r="S8" s="153">
        <f t="shared" si="19"/>
        <v>347.72330329863701</v>
      </c>
      <c r="T8" s="153">
        <f t="shared" si="20"/>
        <v>407.64748335127439</v>
      </c>
      <c r="U8" s="158">
        <f>T8/'a1'!AD10*1000000</f>
        <v>620.73255474368739</v>
      </c>
      <c r="V8" s="129">
        <f t="shared" si="5"/>
        <v>75.037436175302915</v>
      </c>
      <c r="W8" s="153">
        <f t="shared" si="21"/>
        <v>1830.913442677391</v>
      </c>
      <c r="X8" s="153">
        <f t="shared" si="22"/>
        <v>2200.6171186026331</v>
      </c>
      <c r="Y8" s="158">
        <f>X8/'a1'!AJ10*1000000</f>
        <v>354.18708268587039</v>
      </c>
      <c r="Z8" s="129">
        <f t="shared" si="6"/>
        <v>153.94550211814783</v>
      </c>
      <c r="AA8" s="153">
        <f t="shared" si="23"/>
        <v>3756.2702516828067</v>
      </c>
      <c r="AB8" s="153">
        <f t="shared" si="24"/>
        <v>4466.4331173398423</v>
      </c>
      <c r="AC8" s="158">
        <f>AB8/'a1'!AP10*1000000</f>
        <v>553.08118661681283</v>
      </c>
      <c r="AD8" s="129">
        <f t="shared" si="7"/>
        <v>15.834394503580921</v>
      </c>
      <c r="AE8" s="153">
        <f t="shared" si="25"/>
        <v>386.35922588737446</v>
      </c>
      <c r="AF8" s="153">
        <f t="shared" si="26"/>
        <v>472.89990928687206</v>
      </c>
      <c r="AG8" s="158">
        <f>AF8/'a1'!AV10*1000000</f>
        <v>469.44572762302187</v>
      </c>
      <c r="AH8" s="129">
        <f t="shared" si="8"/>
        <v>38.794266533773254</v>
      </c>
      <c r="AI8" s="153">
        <f t="shared" si="27"/>
        <v>946.58010342406737</v>
      </c>
      <c r="AJ8" s="153">
        <f t="shared" si="28"/>
        <v>1238.9791929634389</v>
      </c>
      <c r="AK8" s="158">
        <f>AJ8/'a1'!BB10*1000000</f>
        <v>1358.6236691388099</v>
      </c>
      <c r="AL8" s="129">
        <f t="shared" si="9"/>
        <v>149.54705920048644</v>
      </c>
      <c r="AM8" s="153">
        <f t="shared" si="29"/>
        <v>3648.948244491869</v>
      </c>
      <c r="AN8" s="153">
        <f t="shared" si="30"/>
        <v>4917.7200060537316</v>
      </c>
      <c r="AO8" s="158">
        <f>AN8/'a1'!BH10*1000000</f>
        <v>2850.3118574355653</v>
      </c>
      <c r="AP8" s="129">
        <f t="shared" si="10"/>
        <v>44.512242326733023</v>
      </c>
      <c r="AQ8" s="153">
        <f t="shared" si="31"/>
        <v>1086.0987127722858</v>
      </c>
      <c r="AR8" s="153">
        <f t="shared" si="32"/>
        <v>1388.8730342356596</v>
      </c>
      <c r="AS8" s="7">
        <f>AR8/'a1'!BN10*1000000</f>
        <v>586.69794638453288</v>
      </c>
    </row>
    <row r="9" spans="1:45" hidden="1">
      <c r="A9" s="14">
        <v>1974</v>
      </c>
      <c r="B9" s="156">
        <f t="shared" si="0"/>
        <v>534.78327442281886</v>
      </c>
      <c r="C9" s="153">
        <f t="shared" si="11"/>
        <v>13048.71189591678</v>
      </c>
      <c r="D9" s="153">
        <f t="shared" si="12"/>
        <v>15835.815407665996</v>
      </c>
      <c r="E9" s="153">
        <f>D9/'a1'!F11*1000000</f>
        <v>694.31063360643805</v>
      </c>
      <c r="F9" s="129">
        <f t="shared" si="1"/>
        <v>8.8562263734114453</v>
      </c>
      <c r="G9" s="153">
        <f t="shared" si="13"/>
        <v>216.09192351123926</v>
      </c>
      <c r="H9" s="153">
        <f t="shared" si="14"/>
        <v>273.18827245415838</v>
      </c>
      <c r="I9" s="158">
        <f>H9/'a1'!L11*1000000</f>
        <v>497.0638358784841</v>
      </c>
      <c r="J9" s="129">
        <f t="shared" si="2"/>
        <v>1.8573848625087834</v>
      </c>
      <c r="K9" s="153">
        <f t="shared" si="15"/>
        <v>45.320190645214311</v>
      </c>
      <c r="L9" s="153">
        <f t="shared" si="16"/>
        <v>56.158848383165186</v>
      </c>
      <c r="M9" s="153">
        <f>L9/'a1'!R11*1000000</f>
        <v>484.28664892952162</v>
      </c>
      <c r="N9" s="129">
        <f t="shared" si="3"/>
        <v>17.497103777256658</v>
      </c>
      <c r="O9" s="153">
        <f t="shared" si="17"/>
        <v>426.92933216506242</v>
      </c>
      <c r="P9" s="153">
        <f t="shared" si="18"/>
        <v>516.86359826278749</v>
      </c>
      <c r="Q9" s="158">
        <f>P9/'a1'!X11*1000000</f>
        <v>631.28301310506799</v>
      </c>
      <c r="R9" s="129">
        <f t="shared" si="4"/>
        <v>14.536055445720917</v>
      </c>
      <c r="S9" s="153">
        <f t="shared" si="19"/>
        <v>354.67975287559034</v>
      </c>
      <c r="T9" s="153">
        <f t="shared" si="20"/>
        <v>415.80275835356429</v>
      </c>
      <c r="U9" s="158">
        <f>T9/'a1'!AD11*1000000</f>
        <v>625.50810289910737</v>
      </c>
      <c r="V9" s="129">
        <f t="shared" si="5"/>
        <v>76.538612933332971</v>
      </c>
      <c r="W9" s="153">
        <f t="shared" si="21"/>
        <v>1867.5421555733244</v>
      </c>
      <c r="X9" s="153">
        <f t="shared" si="22"/>
        <v>2244.6420139102456</v>
      </c>
      <c r="Y9" s="158">
        <f>X9/'a1'!AJ11*1000000</f>
        <v>358.07874137666232</v>
      </c>
      <c r="Z9" s="129">
        <f t="shared" si="6"/>
        <v>157.02529030871358</v>
      </c>
      <c r="AA9" s="153">
        <f t="shared" si="23"/>
        <v>3831.4170835326113</v>
      </c>
      <c r="AB9" s="153">
        <f t="shared" si="24"/>
        <v>4555.7872574704061</v>
      </c>
      <c r="AC9" s="158">
        <f>AB9/'a1'!AP11*1000000</f>
        <v>555.29431393638151</v>
      </c>
      <c r="AD9" s="129">
        <f t="shared" si="7"/>
        <v>16.151172717467684</v>
      </c>
      <c r="AE9" s="153">
        <f t="shared" si="25"/>
        <v>394.08861430621147</v>
      </c>
      <c r="AF9" s="153">
        <f t="shared" si="26"/>
        <v>482.36060502596263</v>
      </c>
      <c r="AG9" s="158">
        <f>AF9/'a1'!AV11*1000000</f>
        <v>473.73577156878139</v>
      </c>
      <c r="AH9" s="129">
        <f t="shared" si="8"/>
        <v>39.570373157795828</v>
      </c>
      <c r="AI9" s="153">
        <f t="shared" si="27"/>
        <v>965.51710505021811</v>
      </c>
      <c r="AJ9" s="153">
        <f t="shared" si="28"/>
        <v>1263.7658443065682</v>
      </c>
      <c r="AK9" s="158">
        <f>AJ9/'a1'!BB11*1000000</f>
        <v>1391.1124514496209</v>
      </c>
      <c r="AL9" s="129">
        <f t="shared" si="9"/>
        <v>152.53885344275034</v>
      </c>
      <c r="AM9" s="153">
        <f t="shared" si="29"/>
        <v>3721.948024003108</v>
      </c>
      <c r="AN9" s="153">
        <f t="shared" si="30"/>
        <v>5016.102458225213</v>
      </c>
      <c r="AO9" s="158">
        <f>AN9/'a1'!BH11*1000000</f>
        <v>2858.7954083675127</v>
      </c>
      <c r="AP9" s="129">
        <f t="shared" si="10"/>
        <v>45.402741083548044</v>
      </c>
      <c r="AQ9" s="153">
        <f t="shared" si="31"/>
        <v>1107.8268824385723</v>
      </c>
      <c r="AR9" s="153">
        <f t="shared" si="32"/>
        <v>1416.6584174406296</v>
      </c>
      <c r="AS9" s="7">
        <f>AR9/'a1'!BN11*1000000</f>
        <v>579.98492471504676</v>
      </c>
    </row>
    <row r="10" spans="1:45" hidden="1">
      <c r="A10" s="14">
        <v>1975</v>
      </c>
      <c r="B10" s="156">
        <f t="shared" si="0"/>
        <v>526.14784343176746</v>
      </c>
      <c r="C10" s="153">
        <f t="shared" si="11"/>
        <v>12838.007379735125</v>
      </c>
      <c r="D10" s="153">
        <f t="shared" si="12"/>
        <v>15580.10604336787</v>
      </c>
      <c r="E10" s="153">
        <f>D10/'a1'!F12*1000000</f>
        <v>673.20230362245059</v>
      </c>
      <c r="F10" s="129">
        <f t="shared" si="1"/>
        <v>8.713220158844873</v>
      </c>
      <c r="G10" s="153">
        <f t="shared" si="13"/>
        <v>212.6025718758149</v>
      </c>
      <c r="H10" s="153">
        <f t="shared" si="14"/>
        <v>268.77695559521482</v>
      </c>
      <c r="I10" s="158">
        <f>H10/'a1'!L12*1000000</f>
        <v>482.98092995316193</v>
      </c>
      <c r="J10" s="129">
        <f t="shared" si="2"/>
        <v>1.82739267769087</v>
      </c>
      <c r="K10" s="153">
        <f t="shared" si="15"/>
        <v>44.588381335657225</v>
      </c>
      <c r="L10" s="153">
        <f t="shared" si="16"/>
        <v>55.252021481607464</v>
      </c>
      <c r="M10" s="153">
        <f>L10/'a1'!R12*1000000</f>
        <v>469.3352373484376</v>
      </c>
      <c r="N10" s="129">
        <f t="shared" si="3"/>
        <v>17.214568702885011</v>
      </c>
      <c r="O10" s="153">
        <f t="shared" si="17"/>
        <v>420.03547635039422</v>
      </c>
      <c r="P10" s="153">
        <f t="shared" si="18"/>
        <v>508.51752584793496</v>
      </c>
      <c r="Q10" s="158">
        <f>P10/'a1'!X12*1000000</f>
        <v>615.22973937169479</v>
      </c>
      <c r="R10" s="129">
        <f t="shared" si="4"/>
        <v>14.301333999319855</v>
      </c>
      <c r="S10" s="153">
        <f t="shared" si="19"/>
        <v>348.95254958340445</v>
      </c>
      <c r="T10" s="153">
        <f t="shared" si="20"/>
        <v>409.08856926542143</v>
      </c>
      <c r="U10" s="158">
        <f>T10/'a1'!AD12*1000000</f>
        <v>604.25957930396896</v>
      </c>
      <c r="V10" s="129">
        <f t="shared" si="5"/>
        <v>75.302703095184171</v>
      </c>
      <c r="W10" s="153">
        <f t="shared" si="21"/>
        <v>1837.3859555224938</v>
      </c>
      <c r="X10" s="153">
        <f t="shared" si="22"/>
        <v>2208.3965811568432</v>
      </c>
      <c r="Y10" s="158">
        <f>X10/'a1'!AJ12*1000000</f>
        <v>348.86111788911893</v>
      </c>
      <c r="Z10" s="129">
        <f t="shared" si="6"/>
        <v>154.48971912845522</v>
      </c>
      <c r="AA10" s="153">
        <f t="shared" si="23"/>
        <v>3769.5491467343072</v>
      </c>
      <c r="AB10" s="153">
        <f t="shared" si="24"/>
        <v>4482.2225288160616</v>
      </c>
      <c r="AC10" s="158">
        <f>AB10/'a1'!AP12*1000000</f>
        <v>538.74194361953175</v>
      </c>
      <c r="AD10" s="129">
        <f t="shared" si="7"/>
        <v>15.890371110355396</v>
      </c>
      <c r="AE10" s="153">
        <f t="shared" si="25"/>
        <v>387.72505509267165</v>
      </c>
      <c r="AF10" s="153">
        <f t="shared" si="26"/>
        <v>474.57167086006325</v>
      </c>
      <c r="AG10" s="158">
        <f>AF10/'a1'!AV12*1000000</f>
        <v>463.00804493774314</v>
      </c>
      <c r="AH10" s="129">
        <f t="shared" si="8"/>
        <v>38.931409220370718</v>
      </c>
      <c r="AI10" s="153">
        <f t="shared" si="27"/>
        <v>949.92638497704547</v>
      </c>
      <c r="AJ10" s="153">
        <f t="shared" si="28"/>
        <v>1243.3591426401119</v>
      </c>
      <c r="AK10" s="158">
        <f>AJ10/'a1'!BB12*1000000</f>
        <v>1355.2853862647896</v>
      </c>
      <c r="AL10" s="129">
        <f t="shared" si="9"/>
        <v>150.0757271533565</v>
      </c>
      <c r="AM10" s="153">
        <f t="shared" si="29"/>
        <v>3661.8477425418982</v>
      </c>
      <c r="AN10" s="153">
        <f t="shared" si="30"/>
        <v>4935.1047743152267</v>
      </c>
      <c r="AO10" s="158">
        <f>AN10/'a1'!BH12*1000000</f>
        <v>2728.5535403351414</v>
      </c>
      <c r="AP10" s="129">
        <f t="shared" si="10"/>
        <v>44.66959878799905</v>
      </c>
      <c r="AQ10" s="153">
        <f t="shared" si="31"/>
        <v>1089.9382104271767</v>
      </c>
      <c r="AR10" s="153">
        <f t="shared" si="32"/>
        <v>1393.7828777841135</v>
      </c>
      <c r="AS10" s="7">
        <f>AR10/'a1'!BN12*1000000</f>
        <v>557.61039836712064</v>
      </c>
    </row>
    <row r="11" spans="1:45" hidden="1">
      <c r="A11" s="14">
        <v>1976</v>
      </c>
      <c r="B11" s="156">
        <f t="shared" si="0"/>
        <v>546.63237311409409</v>
      </c>
      <c r="C11" s="153">
        <f t="shared" si="11"/>
        <v>13337.829903983895</v>
      </c>
      <c r="D11" s="153">
        <f t="shared" si="12"/>
        <v>16186.686776679484</v>
      </c>
      <c r="E11" s="153">
        <f>D11/'a1'!F13*1000000</f>
        <v>690.26948010318392</v>
      </c>
      <c r="F11" s="129">
        <f t="shared" si="1"/>
        <v>9.0524522191881012</v>
      </c>
      <c r="G11" s="153">
        <f t="shared" si="13"/>
        <v>220.87983414818964</v>
      </c>
      <c r="H11" s="153">
        <f t="shared" si="14"/>
        <v>279.24125682451285</v>
      </c>
      <c r="I11" s="158">
        <f>H11/'a1'!L13*1000000</f>
        <v>496.3062582304334</v>
      </c>
      <c r="J11" s="129">
        <f t="shared" si="2"/>
        <v>1.898538611319085</v>
      </c>
      <c r="K11" s="153">
        <f t="shared" si="15"/>
        <v>46.324342116185669</v>
      </c>
      <c r="L11" s="153">
        <f t="shared" si="16"/>
        <v>57.403150082014463</v>
      </c>
      <c r="M11" s="153">
        <f>L11/'a1'!R13*1000000</f>
        <v>483.81051582845441</v>
      </c>
      <c r="N11" s="129">
        <f t="shared" si="3"/>
        <v>17.884784019672544</v>
      </c>
      <c r="O11" s="153">
        <f t="shared" si="17"/>
        <v>436.38873008001008</v>
      </c>
      <c r="P11" s="153">
        <f t="shared" si="18"/>
        <v>528.31565384989119</v>
      </c>
      <c r="Q11" s="158">
        <f>P11/'a1'!X13*1000000</f>
        <v>632.58759797440416</v>
      </c>
      <c r="R11" s="129">
        <f t="shared" si="4"/>
        <v>14.858128262497189</v>
      </c>
      <c r="S11" s="153">
        <f t="shared" si="19"/>
        <v>362.53832960493139</v>
      </c>
      <c r="T11" s="153">
        <f t="shared" si="20"/>
        <v>425.01562673497239</v>
      </c>
      <c r="U11" s="158">
        <f>T11/'a1'!AD13*1000000</f>
        <v>616.41671535208775</v>
      </c>
      <c r="V11" s="129">
        <f t="shared" si="5"/>
        <v>78.234465480926559</v>
      </c>
      <c r="W11" s="153">
        <f t="shared" si="21"/>
        <v>1908.920957734608</v>
      </c>
      <c r="X11" s="153">
        <f t="shared" si="22"/>
        <v>2294.376151123327</v>
      </c>
      <c r="Y11" s="158">
        <f>X11/'a1'!AJ13*1000000</f>
        <v>358.67779820495508</v>
      </c>
      <c r="Z11" s="129">
        <f t="shared" si="6"/>
        <v>160.50447197142023</v>
      </c>
      <c r="AA11" s="153">
        <f t="shared" si="23"/>
        <v>3916.3091161026532</v>
      </c>
      <c r="AB11" s="153">
        <f t="shared" si="24"/>
        <v>4656.7290322266981</v>
      </c>
      <c r="AC11" s="158">
        <f>AB11/'a1'!AP13*1000000</f>
        <v>553.46462418690794</v>
      </c>
      <c r="AD11" s="129">
        <f t="shared" si="7"/>
        <v>16.509031402774657</v>
      </c>
      <c r="AE11" s="153">
        <f t="shared" si="25"/>
        <v>402.82036622770158</v>
      </c>
      <c r="AF11" s="153">
        <f t="shared" si="26"/>
        <v>493.04818387723572</v>
      </c>
      <c r="AG11" s="158">
        <f>AF11/'a1'!AV13*1000000</f>
        <v>477.87192721281122</v>
      </c>
      <c r="AH11" s="129">
        <f t="shared" si="8"/>
        <v>40.4471269367979</v>
      </c>
      <c r="AI11" s="153">
        <f t="shared" si="27"/>
        <v>986.90989725786869</v>
      </c>
      <c r="AJ11" s="153">
        <f t="shared" si="28"/>
        <v>1291.7668812275767</v>
      </c>
      <c r="AK11" s="158">
        <f>AJ11/'a1'!BB13*1000000</f>
        <v>1386.5932182363224</v>
      </c>
      <c r="AL11" s="129">
        <f t="shared" si="9"/>
        <v>155.91862991509396</v>
      </c>
      <c r="AM11" s="153">
        <f t="shared" si="29"/>
        <v>3804.4145699282922</v>
      </c>
      <c r="AN11" s="153">
        <f t="shared" si="30"/>
        <v>5127.243355698507</v>
      </c>
      <c r="AO11" s="158">
        <f>AN11/'a1'!BH13*1000000</f>
        <v>2742.8871840966676</v>
      </c>
      <c r="AP11" s="129">
        <f t="shared" si="10"/>
        <v>46.408721610022077</v>
      </c>
      <c r="AQ11" s="153">
        <f t="shared" si="31"/>
        <v>1132.3728072845386</v>
      </c>
      <c r="AR11" s="153">
        <f t="shared" si="32"/>
        <v>1448.047068138796</v>
      </c>
      <c r="AS11" s="7">
        <f>AR11/'a1'!BN13*1000000</f>
        <v>571.46992367840858</v>
      </c>
    </row>
    <row r="12" spans="1:45" hidden="1">
      <c r="A12" s="14">
        <v>1977</v>
      </c>
      <c r="B12" s="156">
        <f t="shared" si="0"/>
        <v>539.99060505145428</v>
      </c>
      <c r="C12" s="153">
        <f t="shared" si="11"/>
        <v>13175.770763255483</v>
      </c>
      <c r="D12" s="153">
        <f t="shared" si="12"/>
        <v>15990.013062203256</v>
      </c>
      <c r="E12" s="153">
        <f>D12/'a1'!F14*1000000</f>
        <v>673.94920644983006</v>
      </c>
      <c r="F12" s="129">
        <f t="shared" si="1"/>
        <v>8.9424618655333106</v>
      </c>
      <c r="G12" s="153">
        <f t="shared" si="13"/>
        <v>218.19606951901275</v>
      </c>
      <c r="H12" s="153">
        <f t="shared" si="14"/>
        <v>275.84838118712105</v>
      </c>
      <c r="I12" s="158">
        <f>H12/'a1'!L14*1000000</f>
        <v>487.92669503937583</v>
      </c>
      <c r="J12" s="129">
        <f t="shared" si="2"/>
        <v>1.8754707255981717</v>
      </c>
      <c r="K12" s="153">
        <f t="shared" si="15"/>
        <v>45.761485704595387</v>
      </c>
      <c r="L12" s="153">
        <f t="shared" si="16"/>
        <v>56.705682409659708</v>
      </c>
      <c r="M12" s="153">
        <f>L12/'a1'!R14*1000000</f>
        <v>472.933582506211</v>
      </c>
      <c r="N12" s="129">
        <f t="shared" si="3"/>
        <v>17.667477849837852</v>
      </c>
      <c r="O12" s="153">
        <f t="shared" si="17"/>
        <v>431.08645953604355</v>
      </c>
      <c r="P12" s="153">
        <f t="shared" si="18"/>
        <v>521.89644011627547</v>
      </c>
      <c r="Q12" s="158">
        <f>P12/'a1'!X14*1000000</f>
        <v>621.28457636682992</v>
      </c>
      <c r="R12" s="129">
        <f t="shared" si="4"/>
        <v>14.677596982942214</v>
      </c>
      <c r="S12" s="153">
        <f t="shared" si="19"/>
        <v>358.13336638379002</v>
      </c>
      <c r="T12" s="153">
        <f t="shared" si="20"/>
        <v>419.85154324008215</v>
      </c>
      <c r="U12" s="158">
        <f>T12/'a1'!AD14*1000000</f>
        <v>603.37108117791252</v>
      </c>
      <c r="V12" s="129">
        <f t="shared" si="5"/>
        <v>77.283890286726603</v>
      </c>
      <c r="W12" s="153">
        <f t="shared" si="21"/>
        <v>1885.7269229961289</v>
      </c>
      <c r="X12" s="153">
        <f t="shared" si="22"/>
        <v>2266.4987055241932</v>
      </c>
      <c r="Y12" s="158">
        <f>X12/'a1'!AJ14*1000000</f>
        <v>352.31646936635588</v>
      </c>
      <c r="Z12" s="129">
        <f t="shared" si="6"/>
        <v>158.55428839598071</v>
      </c>
      <c r="AA12" s="153">
        <f t="shared" si="23"/>
        <v>3868.724636861929</v>
      </c>
      <c r="AB12" s="153">
        <f t="shared" si="24"/>
        <v>4600.1482007870736</v>
      </c>
      <c r="AC12" s="158">
        <f>AB12/'a1'!AP14*1000000</f>
        <v>540.93425753133477</v>
      </c>
      <c r="AD12" s="129">
        <f t="shared" si="7"/>
        <v>16.308441092158017</v>
      </c>
      <c r="AE12" s="153">
        <f t="shared" si="25"/>
        <v>397.92596264865557</v>
      </c>
      <c r="AF12" s="153">
        <f t="shared" si="26"/>
        <v>487.05748182209982</v>
      </c>
      <c r="AG12" s="158">
        <f>AF12/'a1'!AV14*1000000</f>
        <v>469.51227752333051</v>
      </c>
      <c r="AH12" s="129">
        <f t="shared" si="8"/>
        <v>39.955680675787136</v>
      </c>
      <c r="AI12" s="153">
        <f t="shared" si="27"/>
        <v>974.91860848920601</v>
      </c>
      <c r="AJ12" s="153">
        <f t="shared" si="28"/>
        <v>1276.0714770801123</v>
      </c>
      <c r="AK12" s="158">
        <f>AJ12/'a1'!BB14*1000000</f>
        <v>1350.8819696789635</v>
      </c>
      <c r="AL12" s="129">
        <f t="shared" si="9"/>
        <v>154.02416587038127</v>
      </c>
      <c r="AM12" s="153">
        <f t="shared" si="29"/>
        <v>3758.1896472373028</v>
      </c>
      <c r="AN12" s="153">
        <f t="shared" si="30"/>
        <v>5064.9456162227798</v>
      </c>
      <c r="AO12" s="158">
        <f>AN12/'a1'!BH14*1000000</f>
        <v>2599.7237622552911</v>
      </c>
      <c r="AP12" s="129">
        <f t="shared" si="10"/>
        <v>45.84483995906642</v>
      </c>
      <c r="AQ12" s="153">
        <f t="shared" si="31"/>
        <v>1118.6140950012207</v>
      </c>
      <c r="AR12" s="153">
        <f t="shared" si="32"/>
        <v>1430.4528069069318</v>
      </c>
      <c r="AS12" s="7">
        <f>AR12/'a1'!BN14*1000000</f>
        <v>556.52821031933127</v>
      </c>
    </row>
    <row r="13" spans="1:45" hidden="1">
      <c r="A13" s="14">
        <v>1978</v>
      </c>
      <c r="B13" s="156">
        <f t="shared" si="0"/>
        <v>546.70494443400457</v>
      </c>
      <c r="C13" s="153">
        <f t="shared" si="11"/>
        <v>13339.600644189712</v>
      </c>
      <c r="D13" s="153">
        <f t="shared" si="12"/>
        <v>16188.835733239939</v>
      </c>
      <c r="E13" s="153">
        <f>D13/'a1'!F15*1000000</f>
        <v>675.57061271149519</v>
      </c>
      <c r="F13" s="129">
        <f t="shared" si="1"/>
        <v>9.0536540294691683</v>
      </c>
      <c r="G13" s="153">
        <f t="shared" si="13"/>
        <v>220.90915831904769</v>
      </c>
      <c r="H13" s="153">
        <f t="shared" si="14"/>
        <v>279.2783291011981</v>
      </c>
      <c r="I13" s="158">
        <f>H13/'a1'!L15*1000000</f>
        <v>491.99989623897955</v>
      </c>
      <c r="J13" s="129">
        <f t="shared" si="2"/>
        <v>1.8987906627154183</v>
      </c>
      <c r="K13" s="153">
        <f t="shared" si="15"/>
        <v>46.330492170256207</v>
      </c>
      <c r="L13" s="153">
        <f t="shared" si="16"/>
        <v>57.410770966860227</v>
      </c>
      <c r="M13" s="153">
        <f>L13/'a1'!R15*1000000</f>
        <v>471.80213476595304</v>
      </c>
      <c r="N13" s="129">
        <f t="shared" si="3"/>
        <v>17.887158416884379</v>
      </c>
      <c r="O13" s="153">
        <f t="shared" si="17"/>
        <v>436.44666537197884</v>
      </c>
      <c r="P13" s="153">
        <f t="shared" si="18"/>
        <v>528.38579342854587</v>
      </c>
      <c r="Q13" s="158">
        <f>P13/'a1'!X15*1000000</f>
        <v>625.58403631959379</v>
      </c>
      <c r="R13" s="129">
        <f t="shared" si="4"/>
        <v>14.860100838642406</v>
      </c>
      <c r="S13" s="153">
        <f t="shared" si="19"/>
        <v>362.5864604628747</v>
      </c>
      <c r="T13" s="153">
        <f t="shared" si="20"/>
        <v>425.07205212529271</v>
      </c>
      <c r="U13" s="158">
        <f>T13/'a1'!AD15*1000000</f>
        <v>607.66768374227354</v>
      </c>
      <c r="V13" s="129">
        <f t="shared" si="5"/>
        <v>78.24485194667885</v>
      </c>
      <c r="W13" s="153">
        <f t="shared" si="21"/>
        <v>1909.1743874989638</v>
      </c>
      <c r="X13" s="153">
        <f t="shared" si="22"/>
        <v>2294.6807542054853</v>
      </c>
      <c r="Y13" s="158">
        <f>X13/'a1'!AJ15*1000000</f>
        <v>356.29149323138074</v>
      </c>
      <c r="Z13" s="129">
        <f t="shared" si="6"/>
        <v>160.525780664347</v>
      </c>
      <c r="AA13" s="153">
        <f t="shared" si="23"/>
        <v>3916.8290482100665</v>
      </c>
      <c r="AB13" s="153">
        <f t="shared" si="24"/>
        <v>4657.3472630321839</v>
      </c>
      <c r="AC13" s="158">
        <f>AB13/'a1'!AP15*1000000</f>
        <v>542.17336322094059</v>
      </c>
      <c r="AD13" s="129">
        <f t="shared" si="7"/>
        <v>16.511223154047119</v>
      </c>
      <c r="AE13" s="153">
        <f t="shared" si="25"/>
        <v>402.87384495874971</v>
      </c>
      <c r="AF13" s="153">
        <f t="shared" si="26"/>
        <v>493.11364132037903</v>
      </c>
      <c r="AG13" s="158">
        <f>AF13/'a1'!AV15*1000000</f>
        <v>473.74641416298215</v>
      </c>
      <c r="AH13" s="129">
        <f t="shared" si="8"/>
        <v>40.452496727415443</v>
      </c>
      <c r="AI13" s="153">
        <f t="shared" si="27"/>
        <v>987.04092014893672</v>
      </c>
      <c r="AJ13" s="153">
        <f t="shared" si="28"/>
        <v>1291.9383771582941</v>
      </c>
      <c r="AK13" s="158">
        <f>AJ13/'a1'!BB15*1000000</f>
        <v>1356.4654380461493</v>
      </c>
      <c r="AL13" s="129">
        <f t="shared" si="9"/>
        <v>155.93932978822278</v>
      </c>
      <c r="AM13" s="153">
        <f t="shared" si="29"/>
        <v>3804.9196468326354</v>
      </c>
      <c r="AN13" s="153">
        <f t="shared" si="30"/>
        <v>5127.9240523350882</v>
      </c>
      <c r="AO13" s="158">
        <f>AN13/'a1'!BH15*1000000</f>
        <v>2535.7630729151906</v>
      </c>
      <c r="AP13" s="129">
        <f t="shared" si="10"/>
        <v>46.414882866376892</v>
      </c>
      <c r="AQ13" s="153">
        <f t="shared" si="31"/>
        <v>1132.5231419395961</v>
      </c>
      <c r="AR13" s="153">
        <f t="shared" si="32"/>
        <v>1448.2393119432174</v>
      </c>
      <c r="AS13" s="7">
        <f>AR13/'a1'!BN15*1000000</f>
        <v>553.78569738441342</v>
      </c>
    </row>
    <row r="14" spans="1:45" hidden="1">
      <c r="A14" s="14">
        <v>1979</v>
      </c>
      <c r="B14" s="156">
        <f t="shared" si="0"/>
        <v>568.78162831767349</v>
      </c>
      <c r="C14" s="153">
        <f t="shared" si="11"/>
        <v>13878.271730951232</v>
      </c>
      <c r="D14" s="153">
        <f t="shared" si="12"/>
        <v>16842.562780280619</v>
      </c>
      <c r="E14" s="153">
        <f>D14/'a1'!F16*1000000</f>
        <v>695.9292671690954</v>
      </c>
      <c r="F14" s="129">
        <f t="shared" si="1"/>
        <v>9.4192528045225465</v>
      </c>
      <c r="G14" s="153">
        <f t="shared" si="13"/>
        <v>229.82976843035013</v>
      </c>
      <c r="H14" s="153">
        <f t="shared" si="14"/>
        <v>290.55596514582822</v>
      </c>
      <c r="I14" s="158">
        <f>H14/'a1'!L16*1000000</f>
        <v>509.68024408337186</v>
      </c>
      <c r="J14" s="129">
        <f t="shared" si="2"/>
        <v>1.9754663936536645</v>
      </c>
      <c r="K14" s="153">
        <f t="shared" si="15"/>
        <v>48.20138000514941</v>
      </c>
      <c r="L14" s="153">
        <f t="shared" si="16"/>
        <v>59.729095421498648</v>
      </c>
      <c r="M14" s="153">
        <f>L14/'a1'!R16*1000000</f>
        <v>486.05684519264878</v>
      </c>
      <c r="N14" s="129">
        <f t="shared" si="3"/>
        <v>18.609466027172203</v>
      </c>
      <c r="O14" s="153">
        <f t="shared" si="17"/>
        <v>454.07097106300176</v>
      </c>
      <c r="P14" s="153">
        <f t="shared" si="18"/>
        <v>549.72272525787139</v>
      </c>
      <c r="Q14" s="158">
        <f>P14/'a1'!X16*1000000</f>
        <v>647.19250533069544</v>
      </c>
      <c r="R14" s="129">
        <f t="shared" si="4"/>
        <v>15.460171776419987</v>
      </c>
      <c r="S14" s="153">
        <f t="shared" si="19"/>
        <v>377.22819134464766</v>
      </c>
      <c r="T14" s="153">
        <f t="shared" si="20"/>
        <v>442.23703557403007</v>
      </c>
      <c r="U14" s="158">
        <f>T14/'a1'!AD16*1000000</f>
        <v>628.9298217100993</v>
      </c>
      <c r="V14" s="129">
        <f t="shared" si="5"/>
        <v>81.404484723989185</v>
      </c>
      <c r="W14" s="153">
        <f t="shared" si="21"/>
        <v>1986.2694272653359</v>
      </c>
      <c r="X14" s="153">
        <f t="shared" si="22"/>
        <v>2387.3430616169903</v>
      </c>
      <c r="Y14" s="158">
        <f>X14/'a1'!AJ16*1000000</f>
        <v>369.21505389378382</v>
      </c>
      <c r="Z14" s="129">
        <f t="shared" si="6"/>
        <v>167.00802844898132</v>
      </c>
      <c r="AA14" s="153">
        <f t="shared" si="23"/>
        <v>4074.995894155144</v>
      </c>
      <c r="AB14" s="153">
        <f t="shared" si="24"/>
        <v>4845.417234429422</v>
      </c>
      <c r="AC14" s="158">
        <f>AB14/'a1'!AP16*1000000</f>
        <v>559.3821298547673</v>
      </c>
      <c r="AD14" s="129">
        <f t="shared" si="7"/>
        <v>17.177968640466652</v>
      </c>
      <c r="AE14" s="153">
        <f t="shared" si="25"/>
        <v>419.1424348273863</v>
      </c>
      <c r="AF14" s="153">
        <f t="shared" si="26"/>
        <v>513.02623601883272</v>
      </c>
      <c r="AG14" s="158">
        <f>AF14/'a1'!AV16*1000000</f>
        <v>494.59181007376344</v>
      </c>
      <c r="AH14" s="129">
        <f t="shared" si="8"/>
        <v>42.086023169143289</v>
      </c>
      <c r="AI14" s="153">
        <f t="shared" si="27"/>
        <v>1026.8989653270962</v>
      </c>
      <c r="AJ14" s="153">
        <f t="shared" si="28"/>
        <v>1344.1085933600734</v>
      </c>
      <c r="AK14" s="158">
        <f>AJ14/'a1'!BB16*1000000</f>
        <v>1400.4997143587277</v>
      </c>
      <c r="AL14" s="129">
        <f t="shared" si="9"/>
        <v>162.23637049329614</v>
      </c>
      <c r="AM14" s="153">
        <f t="shared" si="29"/>
        <v>3958.5674400364255</v>
      </c>
      <c r="AN14" s="153">
        <f t="shared" si="30"/>
        <v>5334.99654991432</v>
      </c>
      <c r="AO14" s="158">
        <f>AN14/'a1'!BH16*1000000</f>
        <v>2544.1502389234352</v>
      </c>
      <c r="AP14" s="129">
        <f t="shared" si="10"/>
        <v>48.289178511534018</v>
      </c>
      <c r="AQ14" s="153">
        <f t="shared" si="31"/>
        <v>1178.2559556814299</v>
      </c>
      <c r="AR14" s="153">
        <f t="shared" si="32"/>
        <v>1506.7211709481201</v>
      </c>
      <c r="AS14" s="7">
        <f>AR14/'a1'!BN16*1000000</f>
        <v>565.32331106945048</v>
      </c>
    </row>
    <row r="15" spans="1:45" hidden="1">
      <c r="A15" s="14">
        <v>1980</v>
      </c>
      <c r="B15" s="156">
        <f>B17*$C112/$C114</f>
        <v>560.95536912751686</v>
      </c>
      <c r="C15" s="153">
        <f t="shared" si="11"/>
        <v>13687.31100671141</v>
      </c>
      <c r="D15" s="153">
        <f t="shared" si="12"/>
        <v>16610.814328533263</v>
      </c>
      <c r="E15" s="153">
        <f>D15/'a1'!F17*1000000</f>
        <v>677.55914324228922</v>
      </c>
      <c r="F15" s="129">
        <f t="shared" si="1"/>
        <v>9.2896468008197832</v>
      </c>
      <c r="G15" s="153">
        <f t="shared" si="13"/>
        <v>226.66738194000268</v>
      </c>
      <c r="H15" s="153">
        <f t="shared" si="14"/>
        <v>286.55800498104009</v>
      </c>
      <c r="I15" s="158">
        <f>H15/'a1'!L17*1000000</f>
        <v>500.31165809885147</v>
      </c>
      <c r="J15" s="129">
        <f t="shared" si="2"/>
        <v>1.9482845874059729</v>
      </c>
      <c r="K15" s="153">
        <f t="shared" si="15"/>
        <v>47.538143932705736</v>
      </c>
      <c r="L15" s="153">
        <f t="shared" si="16"/>
        <v>58.907241552299546</v>
      </c>
      <c r="M15" s="153">
        <f>L15/'a1'!R17*1000000</f>
        <v>476.07581971390107</v>
      </c>
      <c r="N15" s="129">
        <f t="shared" si="3"/>
        <v>18.353405533534527</v>
      </c>
      <c r="O15" s="153">
        <f t="shared" si="17"/>
        <v>447.82309501824244</v>
      </c>
      <c r="P15" s="153">
        <f t="shared" si="18"/>
        <v>542.15871067583839</v>
      </c>
      <c r="Q15" s="158">
        <f>P15/'a1'!X17*1000000</f>
        <v>635.84470541663006</v>
      </c>
      <c r="R15" s="129">
        <f t="shared" si="4"/>
        <v>15.247444597090226</v>
      </c>
      <c r="S15" s="153">
        <f t="shared" si="19"/>
        <v>372.0376481690015</v>
      </c>
      <c r="T15" s="153">
        <f t="shared" si="20"/>
        <v>436.15199081946247</v>
      </c>
      <c r="U15" s="158">
        <f>T15/'a1'!AD17*1000000</f>
        <v>617.58744924656867</v>
      </c>
      <c r="V15" s="129">
        <f t="shared" si="5"/>
        <v>80.284384205666427</v>
      </c>
      <c r="W15" s="153">
        <f t="shared" si="21"/>
        <v>1958.9389746182608</v>
      </c>
      <c r="X15" s="153">
        <f t="shared" si="22"/>
        <v>2354.4939598777173</v>
      </c>
      <c r="Y15" s="158">
        <f>X15/'a1'!AJ17*1000000</f>
        <v>361.89594921081539</v>
      </c>
      <c r="Z15" s="129">
        <f t="shared" si="6"/>
        <v>164.71004965992523</v>
      </c>
      <c r="AA15" s="153">
        <f t="shared" si="23"/>
        <v>4018.9252117021756</v>
      </c>
      <c r="AB15" s="153">
        <f t="shared" si="24"/>
        <v>4778.7457927493169</v>
      </c>
      <c r="AC15" s="158">
        <f>AB15/'a1'!AP17*1000000</f>
        <v>546.391343432638</v>
      </c>
      <c r="AD15" s="129">
        <f t="shared" si="7"/>
        <v>16.941605107878029</v>
      </c>
      <c r="AE15" s="153">
        <f t="shared" si="25"/>
        <v>413.37516463222391</v>
      </c>
      <c r="AF15" s="153">
        <f t="shared" si="26"/>
        <v>505.96715377261182</v>
      </c>
      <c r="AG15" s="158">
        <f>AF15/'a1'!AV17*1000000</f>
        <v>489.12416321239311</v>
      </c>
      <c r="AH15" s="129">
        <f t="shared" si="8"/>
        <v>41.506932514301162</v>
      </c>
      <c r="AI15" s="153">
        <f t="shared" si="27"/>
        <v>1012.7691533489483</v>
      </c>
      <c r="AJ15" s="153">
        <f t="shared" si="28"/>
        <v>1325.6140750640684</v>
      </c>
      <c r="AK15" s="158">
        <f>AJ15/'a1'!BB17*1000000</f>
        <v>1370.0757740846639</v>
      </c>
      <c r="AL15" s="129">
        <f t="shared" si="9"/>
        <v>160.00404824107022</v>
      </c>
      <c r="AM15" s="153">
        <f t="shared" si="29"/>
        <v>3904.098777082113</v>
      </c>
      <c r="AN15" s="153">
        <f t="shared" si="30"/>
        <v>5261.5886483586428</v>
      </c>
      <c r="AO15" s="158">
        <f>AN15/'a1'!BH17*1000000</f>
        <v>2401.4235541193857</v>
      </c>
      <c r="AP15" s="129">
        <f t="shared" si="10"/>
        <v>47.624734358812667</v>
      </c>
      <c r="AQ15" s="153">
        <f t="shared" si="31"/>
        <v>1162.0435183550289</v>
      </c>
      <c r="AR15" s="153">
        <f t="shared" si="32"/>
        <v>1485.9891539066866</v>
      </c>
      <c r="AS15" s="7">
        <f>AR15/'a1'!BN17*1000000</f>
        <v>541.17420871147033</v>
      </c>
    </row>
    <row r="16" spans="1:45" ht="12.75" hidden="1" customHeight="1">
      <c r="B16" s="156"/>
      <c r="C16" s="153"/>
      <c r="D16" s="153"/>
      <c r="E16" s="153"/>
      <c r="F16" s="129"/>
      <c r="G16" s="153"/>
      <c r="H16" s="153"/>
      <c r="I16" s="158"/>
      <c r="J16" s="129"/>
      <c r="K16" s="153"/>
      <c r="L16" s="153"/>
      <c r="M16" s="153"/>
      <c r="N16" s="129"/>
      <c r="O16" s="153"/>
      <c r="P16" s="153">
        <f t="shared" si="18"/>
        <v>0</v>
      </c>
      <c r="Q16" s="158"/>
      <c r="R16" s="129"/>
      <c r="S16" s="153"/>
      <c r="T16" s="153">
        <f t="shared" si="20"/>
        <v>0</v>
      </c>
      <c r="U16" s="158"/>
      <c r="V16" s="129"/>
      <c r="W16" s="153"/>
      <c r="X16" s="153"/>
      <c r="Y16" s="158"/>
      <c r="Z16" s="129"/>
      <c r="AA16" s="153"/>
      <c r="AB16" s="153"/>
      <c r="AC16" s="158"/>
      <c r="AD16" s="129"/>
      <c r="AE16" s="153"/>
      <c r="AF16" s="153"/>
      <c r="AG16" s="158"/>
      <c r="AH16" s="129"/>
      <c r="AI16" s="153"/>
      <c r="AJ16" s="153"/>
      <c r="AK16" s="158"/>
      <c r="AL16" s="129"/>
      <c r="AM16" s="153"/>
      <c r="AN16" s="153"/>
      <c r="AO16" s="158"/>
      <c r="AP16" s="129"/>
      <c r="AQ16" s="153"/>
      <c r="AR16" s="153"/>
      <c r="AS16" s="7"/>
    </row>
    <row r="17" spans="1:45">
      <c r="A17" s="14">
        <v>1981</v>
      </c>
      <c r="B17" s="156">
        <f t="shared" ref="B17:B25" si="33">B18*$C114/$C115</f>
        <v>538.52876957494414</v>
      </c>
      <c r="C17" s="153">
        <f t="shared" si="11"/>
        <v>13140.101977628636</v>
      </c>
      <c r="D17" s="153">
        <f t="shared" si="12"/>
        <v>15946.725701005624</v>
      </c>
      <c r="E17" s="153">
        <f>D17/'a1'!F19*1000000</f>
        <v>642.49719231534937</v>
      </c>
      <c r="F17" s="129">
        <f t="shared" ref="F17:F25" si="34">$B17*$Q$73/100</f>
        <v>8.9182532813837216</v>
      </c>
      <c r="G17" s="153">
        <f t="shared" si="13"/>
        <v>217.6053800657628</v>
      </c>
      <c r="H17" s="153">
        <f t="shared" si="14"/>
        <v>275.10161828794287</v>
      </c>
      <c r="I17" s="158">
        <f>H17/'a1'!L19*1000000</f>
        <v>478.18644518521205</v>
      </c>
      <c r="J17" s="129">
        <f t="shared" ref="J17:J25" si="35">$B17*$Q$74/100</f>
        <v>1.8703935453357956</v>
      </c>
      <c r="K17" s="153">
        <f t="shared" si="15"/>
        <v>45.63760250619341</v>
      </c>
      <c r="L17" s="153">
        <f t="shared" si="16"/>
        <v>56.552171630970761</v>
      </c>
      <c r="M17" s="153">
        <f>L17/'a1'!R19*1000000</f>
        <v>457.72330155944314</v>
      </c>
      <c r="N17" s="129">
        <f t="shared" ref="N17:N25" si="36">$B17*$Q$75/100</f>
        <v>17.619649340119818</v>
      </c>
      <c r="O17" s="153">
        <f t="shared" si="17"/>
        <v>429.91944389892353</v>
      </c>
      <c r="P17" s="153">
        <f t="shared" si="18"/>
        <v>520.48358825535547</v>
      </c>
      <c r="Q17" s="158">
        <f>P17/'a1'!X19*1000000</f>
        <v>608.84459556512672</v>
      </c>
      <c r="R17" s="129">
        <f t="shared" ref="R17:R25" si="37">$B17*$Q$76/100</f>
        <v>14.637862528714924</v>
      </c>
      <c r="S17" s="153">
        <f t="shared" si="19"/>
        <v>357.16384570064412</v>
      </c>
      <c r="T17" s="153">
        <f t="shared" si="20"/>
        <v>418.71494220474102</v>
      </c>
      <c r="U17" s="158">
        <f>T17/'a1'!AD19*1000000</f>
        <v>592.71293758934405</v>
      </c>
      <c r="V17" s="129">
        <f t="shared" ref="V17:V25" si="38">$B17*$Q$77/100</f>
        <v>77.074671216011296</v>
      </c>
      <c r="W17" s="153">
        <f t="shared" si="21"/>
        <v>1880.6219776706755</v>
      </c>
      <c r="X17" s="153">
        <f t="shared" si="22"/>
        <v>2260.3629539311005</v>
      </c>
      <c r="Y17" s="158">
        <f>X17/'a1'!AJ19*1000000</f>
        <v>345.24079564478416</v>
      </c>
      <c r="Z17" s="129">
        <f t="shared" ref="Z17:Z25" si="39">$B17*$Q$78/100</f>
        <v>158.12505818056246</v>
      </c>
      <c r="AA17" s="153">
        <f t="shared" si="23"/>
        <v>3858.2514196057236</v>
      </c>
      <c r="AB17" s="153">
        <f t="shared" si="24"/>
        <v>4587.6949103516336</v>
      </c>
      <c r="AC17" s="158">
        <f>AB17/'a1'!AP19*1000000</f>
        <v>520.6021355130365</v>
      </c>
      <c r="AD17" s="129">
        <f t="shared" ref="AD17:AD25" si="40">$B17*$Q$79/100</f>
        <v>16.264291698572141</v>
      </c>
      <c r="AE17" s="153">
        <f t="shared" si="25"/>
        <v>396.84871744516022</v>
      </c>
      <c r="AF17" s="153">
        <f t="shared" si="26"/>
        <v>485.73894424132214</v>
      </c>
      <c r="AG17" s="158">
        <f>AF17/'a1'!AV19*1000000</f>
        <v>469.0659935022835</v>
      </c>
      <c r="AH17" s="129">
        <f t="shared" ref="AH17:AH25" si="41">$B17*$Q$80/100</f>
        <v>39.847514661501741</v>
      </c>
      <c r="AI17" s="153">
        <f t="shared" si="27"/>
        <v>972.27935774064247</v>
      </c>
      <c r="AJ17" s="153">
        <f t="shared" si="28"/>
        <v>1272.6169603935109</v>
      </c>
      <c r="AK17" s="158">
        <f>AJ17/'a1'!BB19*1000000</f>
        <v>1304.2328693801553</v>
      </c>
      <c r="AL17" s="129">
        <f t="shared" ref="AL17:AL25" si="42">$B17*$Q$81/100</f>
        <v>153.60719937540352</v>
      </c>
      <c r="AM17" s="153">
        <f t="shared" si="29"/>
        <v>3748.015664759846</v>
      </c>
      <c r="AN17" s="153">
        <f t="shared" si="30"/>
        <v>5051.234049541571</v>
      </c>
      <c r="AO17" s="158">
        <f>AN17/'a1'!BH19*1000000</f>
        <v>2204.7161759315909</v>
      </c>
      <c r="AP17" s="129">
        <f t="shared" ref="AP17:AP25" si="43">$B17*$Q$82/100</f>
        <v>45.720731108208341</v>
      </c>
      <c r="AQ17" s="153">
        <f t="shared" si="31"/>
        <v>1115.5858390402834</v>
      </c>
      <c r="AR17" s="153">
        <f t="shared" si="32"/>
        <v>1426.5803568290069</v>
      </c>
      <c r="AS17" s="7">
        <f>AR17/'a1'!BN19*1000000</f>
        <v>504.70584959834787</v>
      </c>
    </row>
    <row r="18" spans="1:45">
      <c r="A18" s="14">
        <v>1982</v>
      </c>
      <c r="B18" s="156">
        <f t="shared" si="33"/>
        <v>514.75982102908279</v>
      </c>
      <c r="C18" s="153">
        <f t="shared" si="11"/>
        <v>12560.139633109618</v>
      </c>
      <c r="D18" s="153">
        <f t="shared" si="12"/>
        <v>15242.887904259245</v>
      </c>
      <c r="E18" s="153">
        <f>D18/'a1'!F20*1000000</f>
        <v>606.87674097663819</v>
      </c>
      <c r="F18" s="129">
        <f t="shared" si="34"/>
        <v>8.5246299220755812</v>
      </c>
      <c r="G18" s="153">
        <f t="shared" si="13"/>
        <v>208.00097009864416</v>
      </c>
      <c r="H18" s="153">
        <f t="shared" si="14"/>
        <v>262.95950707793196</v>
      </c>
      <c r="I18" s="158">
        <f>H18/'a1'!L20*1000000</f>
        <v>458.28128003543418</v>
      </c>
      <c r="J18" s="129">
        <f t="shared" si="35"/>
        <v>1.7878403180036935</v>
      </c>
      <c r="K18" s="153">
        <f t="shared" si="15"/>
        <v>43.623303759290117</v>
      </c>
      <c r="L18" s="153">
        <f t="shared" si="16"/>
        <v>54.056138487348349</v>
      </c>
      <c r="M18" s="153">
        <f>L18/'a1'!R20*1000000</f>
        <v>437.38986380027467</v>
      </c>
      <c r="N18" s="129">
        <f t="shared" si="36"/>
        <v>16.841974010179722</v>
      </c>
      <c r="O18" s="153">
        <f t="shared" si="17"/>
        <v>410.94416584838518</v>
      </c>
      <c r="P18" s="153">
        <f t="shared" si="18"/>
        <v>497.5110966687472</v>
      </c>
      <c r="Q18" s="158">
        <f>P18/'a1'!X20*1000000</f>
        <v>579.14911408895432</v>
      </c>
      <c r="R18" s="129">
        <f t="shared" si="37"/>
        <v>13.991793793072386</v>
      </c>
      <c r="S18" s="153">
        <f t="shared" si="19"/>
        <v>341.3997685509662</v>
      </c>
      <c r="T18" s="153">
        <f t="shared" si="20"/>
        <v>400.23419525318428</v>
      </c>
      <c r="U18" s="158">
        <f>T18/'a1'!AD20*1000000</f>
        <v>565.73642674139114</v>
      </c>
      <c r="V18" s="129">
        <f t="shared" si="38"/>
        <v>73.672840157350279</v>
      </c>
      <c r="W18" s="153">
        <f t="shared" si="21"/>
        <v>1797.6172998393467</v>
      </c>
      <c r="X18" s="153">
        <f t="shared" si="22"/>
        <v>2160.5977161530609</v>
      </c>
      <c r="Y18" s="158">
        <f>X18/'a1'!AJ20*1000000</f>
        <v>328.32683007952596</v>
      </c>
      <c r="Z18" s="129">
        <f t="shared" si="39"/>
        <v>151.14592060417698</v>
      </c>
      <c r="AA18" s="153">
        <f t="shared" si="23"/>
        <v>3687.960462741918</v>
      </c>
      <c r="AB18" s="153">
        <f t="shared" si="24"/>
        <v>4385.2086358405686</v>
      </c>
      <c r="AC18" s="158">
        <f>AB18/'a1'!AP20*1000000</f>
        <v>491.59944565024904</v>
      </c>
      <c r="AD18" s="129">
        <f t="shared" si="40"/>
        <v>15.546437547858206</v>
      </c>
      <c r="AE18" s="153">
        <f t="shared" si="25"/>
        <v>379.33307616774022</v>
      </c>
      <c r="AF18" s="153">
        <f t="shared" si="26"/>
        <v>464.29997082954736</v>
      </c>
      <c r="AG18" s="158">
        <f>AF18/'a1'!AV20*1000000</f>
        <v>444.21097375256147</v>
      </c>
      <c r="AH18" s="129">
        <f t="shared" si="41"/>
        <v>38.088771992252603</v>
      </c>
      <c r="AI18" s="153">
        <f t="shared" si="27"/>
        <v>929.36603661096342</v>
      </c>
      <c r="AJ18" s="153">
        <f t="shared" si="28"/>
        <v>1216.4476918991666</v>
      </c>
      <c r="AK18" s="158">
        <f>AJ18/'a1'!BB20*1000000</f>
        <v>1232.9919782635063</v>
      </c>
      <c r="AL18" s="129">
        <f t="shared" si="42"/>
        <v>146.82746572977194</v>
      </c>
      <c r="AM18" s="153">
        <f t="shared" si="29"/>
        <v>3582.5901638064352</v>
      </c>
      <c r="AN18" s="153">
        <f t="shared" si="30"/>
        <v>4828.2886304668937</v>
      </c>
      <c r="AO18" s="158">
        <f>AN18/'a1'!BH20*1000000</f>
        <v>2037.4013083937748</v>
      </c>
      <c r="AP18" s="129">
        <f t="shared" si="43"/>
        <v>43.702763328979174</v>
      </c>
      <c r="AQ18" s="153">
        <f t="shared" si="31"/>
        <v>1066.3474252270919</v>
      </c>
      <c r="AR18" s="153">
        <f t="shared" si="32"/>
        <v>1363.6156332827261</v>
      </c>
      <c r="AS18" s="7">
        <f>AR18/'a1'!BN20*1000000</f>
        <v>474.05161502232954</v>
      </c>
    </row>
    <row r="19" spans="1:45">
      <c r="A19" s="14">
        <v>1983</v>
      </c>
      <c r="B19" s="156">
        <f t="shared" si="33"/>
        <v>497.60890380313208</v>
      </c>
      <c r="C19" s="153">
        <f t="shared" si="11"/>
        <v>12141.657252796422</v>
      </c>
      <c r="D19" s="153">
        <f t="shared" si="12"/>
        <v>14735.020937859736</v>
      </c>
      <c r="E19" s="153">
        <f>D19/'a1'!F21*1000000</f>
        <v>580.88618458529083</v>
      </c>
      <c r="F19" s="129">
        <f t="shared" si="34"/>
        <v>8.2406038264042181</v>
      </c>
      <c r="G19" s="153">
        <f t="shared" si="13"/>
        <v>201.07073336426291</v>
      </c>
      <c r="H19" s="153">
        <f t="shared" si="14"/>
        <v>254.19814584609728</v>
      </c>
      <c r="I19" s="158">
        <f>H19/'a1'!L21*1000000</f>
        <v>438.90529426224225</v>
      </c>
      <c r="J19" s="129">
        <f t="shared" si="35"/>
        <v>1.7282725350209451</v>
      </c>
      <c r="K19" s="153">
        <f t="shared" si="15"/>
        <v>42.169849854511057</v>
      </c>
      <c r="L19" s="153">
        <f t="shared" si="16"/>
        <v>52.255080364945549</v>
      </c>
      <c r="M19" s="153">
        <f>L19/'a1'!R21*1000000</f>
        <v>417.69979988285996</v>
      </c>
      <c r="N19" s="129">
        <f t="shared" si="36"/>
        <v>16.28082822845818</v>
      </c>
      <c r="O19" s="153">
        <f t="shared" si="17"/>
        <v>397.2522087743796</v>
      </c>
      <c r="P19" s="153">
        <f t="shared" si="18"/>
        <v>480.9348774508228</v>
      </c>
      <c r="Q19" s="158">
        <f>P19/'a1'!X21*1000000</f>
        <v>553.88802282514553</v>
      </c>
      <c r="R19" s="129">
        <f t="shared" si="37"/>
        <v>13.525611143642182</v>
      </c>
      <c r="S19" s="153">
        <f t="shared" si="19"/>
        <v>330.02491190486921</v>
      </c>
      <c r="T19" s="153">
        <f t="shared" si="20"/>
        <v>386.89907609011635</v>
      </c>
      <c r="U19" s="158">
        <f>T19/'a1'!AD21*1000000</f>
        <v>541.23719100181074</v>
      </c>
      <c r="V19" s="129">
        <f t="shared" si="38"/>
        <v>71.218187071152968</v>
      </c>
      <c r="W19" s="153">
        <f t="shared" si="21"/>
        <v>1737.7237645361324</v>
      </c>
      <c r="X19" s="153">
        <f t="shared" si="22"/>
        <v>2088.6102939136208</v>
      </c>
      <c r="Y19" s="158">
        <f>X19/'a1'!AJ21*1000000</f>
        <v>316.31347651628914</v>
      </c>
      <c r="Z19" s="129">
        <f t="shared" si="39"/>
        <v>146.10999692206059</v>
      </c>
      <c r="AA19" s="153">
        <f t="shared" si="23"/>
        <v>3565.0839248982779</v>
      </c>
      <c r="AB19" s="153">
        <f t="shared" si="24"/>
        <v>4239.1009808540766</v>
      </c>
      <c r="AC19" s="158">
        <f>AB19/'a1'!AP21*1000000</f>
        <v>468.94971713835719</v>
      </c>
      <c r="AD19" s="129">
        <f t="shared" si="40"/>
        <v>15.028456826269091</v>
      </c>
      <c r="AE19" s="153">
        <f t="shared" si="25"/>
        <v>366.69434656096581</v>
      </c>
      <c r="AF19" s="153">
        <f t="shared" si="26"/>
        <v>448.8302895483057</v>
      </c>
      <c r="AG19" s="158">
        <f>AF19/'a1'!AV21*1000000</f>
        <v>423.52389006890832</v>
      </c>
      <c r="AH19" s="129">
        <f t="shared" si="41"/>
        <v>36.819719224359268</v>
      </c>
      <c r="AI19" s="153">
        <f t="shared" si="27"/>
        <v>898.40114907436612</v>
      </c>
      <c r="AJ19" s="153">
        <f t="shared" si="28"/>
        <v>1175.9177343905315</v>
      </c>
      <c r="AK19" s="158">
        <f>AJ19/'a1'!BB21*1000000</f>
        <v>1174.4508452847708</v>
      </c>
      <c r="AL19" s="129">
        <f t="shared" si="42"/>
        <v>141.93542558143028</v>
      </c>
      <c r="AM19" s="153">
        <f t="shared" si="29"/>
        <v>3463.2243841868985</v>
      </c>
      <c r="AN19" s="153">
        <f t="shared" si="30"/>
        <v>4667.4183075295132</v>
      </c>
      <c r="AO19" s="158">
        <f>AN19/'a1'!BH21*1000000</f>
        <v>1949.9681054123009</v>
      </c>
      <c r="AP19" s="129">
        <f t="shared" si="43"/>
        <v>42.24666196717866</v>
      </c>
      <c r="AQ19" s="153">
        <f t="shared" si="31"/>
        <v>1030.8185519991594</v>
      </c>
      <c r="AR19" s="153">
        <f t="shared" si="32"/>
        <v>1318.1822915590274</v>
      </c>
      <c r="AS19" s="7">
        <f>AR19/'a1'!BN21*1000000</f>
        <v>453.37278927375706</v>
      </c>
    </row>
    <row r="20" spans="1:45">
      <c r="A20" s="14">
        <v>1984</v>
      </c>
      <c r="B20" s="156">
        <f t="shared" si="33"/>
        <v>516.08633109619689</v>
      </c>
      <c r="C20" s="153">
        <f t="shared" si="11"/>
        <v>12592.506478747204</v>
      </c>
      <c r="D20" s="153">
        <f t="shared" si="12"/>
        <v>15282.168056732042</v>
      </c>
      <c r="E20" s="153">
        <f>D20/'a1'!F22*1000000</f>
        <v>596.7952679573101</v>
      </c>
      <c r="F20" s="129">
        <f t="shared" si="34"/>
        <v>8.5465974629521195</v>
      </c>
      <c r="G20" s="153">
        <f t="shared" si="13"/>
        <v>208.5369780960317</v>
      </c>
      <c r="H20" s="153">
        <f t="shared" si="14"/>
        <v>263.63714045010329</v>
      </c>
      <c r="I20" s="158">
        <f>H20/'a1'!L22*1000000</f>
        <v>454.49585899873858</v>
      </c>
      <c r="J20" s="129">
        <f t="shared" si="35"/>
        <v>1.7924474922300797</v>
      </c>
      <c r="K20" s="153">
        <f t="shared" si="15"/>
        <v>43.735718810413942</v>
      </c>
      <c r="L20" s="153">
        <f t="shared" si="16"/>
        <v>54.195438426783078</v>
      </c>
      <c r="M20" s="153">
        <f>L20/'a1'!R22*1000000</f>
        <v>428.20917982967433</v>
      </c>
      <c r="N20" s="129">
        <f t="shared" si="36"/>
        <v>16.885374926805099</v>
      </c>
      <c r="O20" s="153">
        <f t="shared" si="17"/>
        <v>412.00314821404442</v>
      </c>
      <c r="P20" s="153">
        <f t="shared" si="18"/>
        <v>498.79315764412161</v>
      </c>
      <c r="Q20" s="158">
        <f>P20/'a1'!X22*1000000</f>
        <v>568.44403706119238</v>
      </c>
      <c r="R20" s="129">
        <f t="shared" si="37"/>
        <v>14.027849939191931</v>
      </c>
      <c r="S20" s="153">
        <f t="shared" si="19"/>
        <v>342.27953851628308</v>
      </c>
      <c r="T20" s="153">
        <f t="shared" si="20"/>
        <v>401.26557856539631</v>
      </c>
      <c r="U20" s="158">
        <f>T20/'a1'!AD22*1000000</f>
        <v>556.93582483732735</v>
      </c>
      <c r="V20" s="129">
        <f t="shared" si="38"/>
        <v>73.862691346485903</v>
      </c>
      <c r="W20" s="153">
        <f t="shared" si="21"/>
        <v>1802.249668854256</v>
      </c>
      <c r="X20" s="153">
        <f t="shared" si="22"/>
        <v>2166.165467372904</v>
      </c>
      <c r="Y20" s="158">
        <f>X20/'a1'!AJ22*1000000</f>
        <v>326.66168025987736</v>
      </c>
      <c r="Z20" s="129">
        <f t="shared" si="39"/>
        <v>151.53541600978934</v>
      </c>
      <c r="AA20" s="153">
        <f t="shared" si="23"/>
        <v>3697.4641506388598</v>
      </c>
      <c r="AB20" s="153">
        <f t="shared" si="24"/>
        <v>4396.5090970735555</v>
      </c>
      <c r="AC20" s="158">
        <f>AB20/'a1'!AP22*1000000</f>
        <v>479.57641344926867</v>
      </c>
      <c r="AD20" s="129">
        <f t="shared" si="40"/>
        <v>15.58649993243548</v>
      </c>
      <c r="AE20" s="153">
        <f t="shared" si="25"/>
        <v>380.31059835142571</v>
      </c>
      <c r="AF20" s="153">
        <f t="shared" si="26"/>
        <v>465.49644841055778</v>
      </c>
      <c r="AG20" s="158">
        <f>AF20/'a1'!AV22*1000000</f>
        <v>434.30873793914759</v>
      </c>
      <c r="AH20" s="129">
        <f t="shared" si="41"/>
        <v>38.186924834466915</v>
      </c>
      <c r="AI20" s="153">
        <f t="shared" si="27"/>
        <v>931.76096596099262</v>
      </c>
      <c r="AJ20" s="153">
        <f t="shared" si="28"/>
        <v>1219.5824161793096</v>
      </c>
      <c r="AK20" s="158">
        <f>AJ20/'a1'!BB22*1000000</f>
        <v>1202.0149674303154</v>
      </c>
      <c r="AL20" s="129">
        <f t="shared" si="42"/>
        <v>147.20583269522393</v>
      </c>
      <c r="AM20" s="153">
        <f t="shared" si="29"/>
        <v>3591.8223177634636</v>
      </c>
      <c r="AN20" s="153">
        <f t="shared" si="30"/>
        <v>4840.7308864736697</v>
      </c>
      <c r="AO20" s="158">
        <f>AN20/'a1'!BH22*1000000</f>
        <v>2022.1048213124693</v>
      </c>
      <c r="AP20" s="129">
        <f t="shared" si="43"/>
        <v>43.815383143401952</v>
      </c>
      <c r="AQ20" s="153">
        <f t="shared" si="31"/>
        <v>1069.0953486990077</v>
      </c>
      <c r="AR20" s="153">
        <f t="shared" si="32"/>
        <v>1367.1296019168897</v>
      </c>
      <c r="AS20" s="7">
        <f>AR20/'a1'!BN22*1000000</f>
        <v>463.87704111722007</v>
      </c>
    </row>
    <row r="21" spans="1:45">
      <c r="A21" s="14">
        <v>1985</v>
      </c>
      <c r="B21" s="156">
        <f t="shared" si="33"/>
        <v>539.84868008948558</v>
      </c>
      <c r="C21" s="153">
        <f t="shared" si="11"/>
        <v>13172.307794183447</v>
      </c>
      <c r="D21" s="153">
        <f t="shared" si="12"/>
        <v>15985.810429834279</v>
      </c>
      <c r="E21" s="153">
        <f>D21/'a1'!F23*1000000</f>
        <v>618.59525860166707</v>
      </c>
      <c r="F21" s="129">
        <f t="shared" si="34"/>
        <v>8.9401115310121178</v>
      </c>
      <c r="G21" s="153">
        <f t="shared" si="13"/>
        <v>218.13872135669567</v>
      </c>
      <c r="H21" s="153">
        <f t="shared" si="14"/>
        <v>275.77588034980494</v>
      </c>
      <c r="I21" s="158">
        <f>H21/'a1'!L23*1000000</f>
        <v>476.070744205783</v>
      </c>
      <c r="J21" s="129">
        <f t="shared" si="35"/>
        <v>1.8749777982973743</v>
      </c>
      <c r="K21" s="153">
        <f t="shared" si="15"/>
        <v>45.749458278455933</v>
      </c>
      <c r="L21" s="153">
        <f t="shared" si="16"/>
        <v>56.690778535880952</v>
      </c>
      <c r="M21" s="153">
        <f>L21/'a1'!R23*1000000</f>
        <v>444.21895278822865</v>
      </c>
      <c r="N21" s="129">
        <f t="shared" si="36"/>
        <v>17.662834331786861</v>
      </c>
      <c r="O21" s="153">
        <f t="shared" si="17"/>
        <v>430.97315769559941</v>
      </c>
      <c r="P21" s="153">
        <f t="shared" si="18"/>
        <v>521.75927081791701</v>
      </c>
      <c r="Q21" s="158">
        <f>P21/'a1'!X23*1000000</f>
        <v>588.99412858404264</v>
      </c>
      <c r="R21" s="129">
        <f t="shared" si="37"/>
        <v>14.673739291022933</v>
      </c>
      <c r="S21" s="153">
        <f t="shared" si="19"/>
        <v>358.03923870095957</v>
      </c>
      <c r="T21" s="153">
        <f t="shared" si="20"/>
        <v>419.74119425669352</v>
      </c>
      <c r="U21" s="158">
        <f>T21/'a1'!AD23*1000000</f>
        <v>580.32453819395823</v>
      </c>
      <c r="V21" s="129">
        <f t="shared" si="38"/>
        <v>77.263577871867653</v>
      </c>
      <c r="W21" s="153">
        <f t="shared" si="21"/>
        <v>1885.2313000735705</v>
      </c>
      <c r="X21" s="153">
        <f t="shared" si="22"/>
        <v>2265.9030048961181</v>
      </c>
      <c r="Y21" s="158">
        <f>X21/'a1'!AJ23*1000000</f>
        <v>339.92953959570326</v>
      </c>
      <c r="Z21" s="129">
        <f t="shared" si="39"/>
        <v>158.51261579808721</v>
      </c>
      <c r="AA21" s="153">
        <f t="shared" si="23"/>
        <v>3867.7078254733278</v>
      </c>
      <c r="AB21" s="153">
        <f t="shared" si="24"/>
        <v>4598.9391503844572</v>
      </c>
      <c r="AC21" s="158">
        <f>AB21/'a1'!AP23*1000000</f>
        <v>494.79385311200377</v>
      </c>
      <c r="AD21" s="129">
        <f t="shared" si="40"/>
        <v>16.304154767803258</v>
      </c>
      <c r="AE21" s="153">
        <f t="shared" si="25"/>
        <v>397.82137633439947</v>
      </c>
      <c r="AF21" s="153">
        <f t="shared" si="26"/>
        <v>486.92946919755133</v>
      </c>
      <c r="AG21" s="158">
        <f>AF21/'a1'!AV23*1000000</f>
        <v>449.82144878041129</v>
      </c>
      <c r="AH21" s="129">
        <f t="shared" si="41"/>
        <v>39.945179181117979</v>
      </c>
      <c r="AI21" s="153">
        <f t="shared" si="27"/>
        <v>974.66237201927868</v>
      </c>
      <c r="AJ21" s="153">
        <f t="shared" si="28"/>
        <v>1275.7360890304694</v>
      </c>
      <c r="AK21" s="158">
        <f>AJ21/'a1'!BB23*1000000</f>
        <v>1244.7080078117385</v>
      </c>
      <c r="AL21" s="129">
        <f t="shared" si="42"/>
        <v>153.98368391814185</v>
      </c>
      <c r="AM21" s="153">
        <f t="shared" si="29"/>
        <v>3757.2018876026609</v>
      </c>
      <c r="AN21" s="153">
        <f t="shared" si="30"/>
        <v>5063.614403777171</v>
      </c>
      <c r="AO21" s="158">
        <f>AN21/'a1'!BH23*1000000</f>
        <v>2105.8995478364109</v>
      </c>
      <c r="AP21" s="129">
        <f t="shared" si="43"/>
        <v>45.832790625046925</v>
      </c>
      <c r="AQ21" s="153">
        <f t="shared" si="31"/>
        <v>1118.320091251145</v>
      </c>
      <c r="AR21" s="153">
        <f t="shared" si="32"/>
        <v>1430.0768430321546</v>
      </c>
      <c r="AS21" s="7">
        <f>AR21/'a1'!BN23*1000000</f>
        <v>480.67693255596294</v>
      </c>
    </row>
    <row r="22" spans="1:45">
      <c r="A22" s="14">
        <v>1986</v>
      </c>
      <c r="B22" s="156">
        <f t="shared" si="33"/>
        <v>531.92789709172268</v>
      </c>
      <c r="C22" s="153">
        <f t="shared" si="11"/>
        <v>12979.040689038033</v>
      </c>
      <c r="D22" s="153">
        <f t="shared" si="12"/>
        <v>15751.262972133534</v>
      </c>
      <c r="E22" s="153">
        <f>D22/'a1'!F24*1000000</f>
        <v>603.49023761867727</v>
      </c>
      <c r="F22" s="129">
        <f t="shared" si="34"/>
        <v>8.8089401749921183</v>
      </c>
      <c r="G22" s="153">
        <f t="shared" si="13"/>
        <v>214.93814026980766</v>
      </c>
      <c r="H22" s="153">
        <f t="shared" si="14"/>
        <v>271.72963371657102</v>
      </c>
      <c r="I22" s="158">
        <f>H22/'a1'!L24*1000000</f>
        <v>471.50235068968749</v>
      </c>
      <c r="J22" s="129">
        <f t="shared" si="35"/>
        <v>1.8474676962749428</v>
      </c>
      <c r="K22" s="153">
        <f t="shared" si="15"/>
        <v>45.0782117891086</v>
      </c>
      <c r="L22" s="153">
        <f t="shared" si="16"/>
        <v>55.858998499514989</v>
      </c>
      <c r="M22" s="153">
        <f>L22/'a1'!R24*1000000</f>
        <v>434.91698978101925</v>
      </c>
      <c r="N22" s="129">
        <f t="shared" si="36"/>
        <v>17.403681196792942</v>
      </c>
      <c r="O22" s="153">
        <f t="shared" si="17"/>
        <v>424.64982120174773</v>
      </c>
      <c r="P22" s="153">
        <f t="shared" si="18"/>
        <v>514.1038997599851</v>
      </c>
      <c r="Q22" s="158">
        <f>P22/'a1'!X24*1000000</f>
        <v>578.23801243296225</v>
      </c>
      <c r="R22" s="129">
        <f t="shared" si="37"/>
        <v>14.458442840412596</v>
      </c>
      <c r="S22" s="153">
        <f t="shared" si="19"/>
        <v>352.78600530606735</v>
      </c>
      <c r="T22" s="153">
        <f t="shared" si="20"/>
        <v>413.5826556929278</v>
      </c>
      <c r="U22" s="158">
        <f>T22/'a1'!AD24*1000000</f>
        <v>570.44388587461538</v>
      </c>
      <c r="V22" s="129">
        <f t="shared" si="38"/>
        <v>76.129949030073746</v>
      </c>
      <c r="W22" s="153">
        <f t="shared" si="21"/>
        <v>1857.5707563337992</v>
      </c>
      <c r="X22" s="153">
        <f t="shared" si="22"/>
        <v>2232.657159055047</v>
      </c>
      <c r="Y22" s="158">
        <f>X22/'a1'!AJ24*1000000</f>
        <v>332.82656209592886</v>
      </c>
      <c r="Z22" s="129">
        <f t="shared" si="39"/>
        <v>156.18688253532125</v>
      </c>
      <c r="AA22" s="153">
        <f t="shared" si="23"/>
        <v>3810.9599338618382</v>
      </c>
      <c r="AB22" s="153">
        <f t="shared" si="24"/>
        <v>4531.4624659474894</v>
      </c>
      <c r="AC22" s="158">
        <f>AB22/'a1'!AP24*1000000</f>
        <v>480.16213709232522</v>
      </c>
      <c r="AD22" s="129">
        <f t="shared" si="40"/>
        <v>16.064936489347332</v>
      </c>
      <c r="AE22" s="153">
        <f t="shared" si="25"/>
        <v>391.98445034007489</v>
      </c>
      <c r="AF22" s="153">
        <f t="shared" si="26"/>
        <v>479.7851289352202</v>
      </c>
      <c r="AG22" s="158">
        <f>AF22/'a1'!AV24*1000000</f>
        <v>439.54399692842867</v>
      </c>
      <c r="AH22" s="129">
        <f t="shared" si="41"/>
        <v>39.359094398900957</v>
      </c>
      <c r="AI22" s="153">
        <f t="shared" si="27"/>
        <v>960.36190333318325</v>
      </c>
      <c r="AJ22" s="153">
        <f t="shared" si="28"/>
        <v>1257.0181980800828</v>
      </c>
      <c r="AK22" s="158">
        <f>AJ22/'a1'!BB24*1000000</f>
        <v>1221.9280891441308</v>
      </c>
      <c r="AL22" s="129">
        <f t="shared" si="42"/>
        <v>151.7244001771692</v>
      </c>
      <c r="AM22" s="153">
        <f t="shared" si="29"/>
        <v>3702.0753643229282</v>
      </c>
      <c r="AN22" s="153">
        <f t="shared" si="30"/>
        <v>4989.3198980093375</v>
      </c>
      <c r="AO22" s="158">
        <f>AN22/'a1'!BH24*1000000</f>
        <v>2050.7453556038759</v>
      </c>
      <c r="AP22" s="129">
        <f t="shared" si="43"/>
        <v>45.160321464498601</v>
      </c>
      <c r="AQ22" s="153">
        <f t="shared" si="31"/>
        <v>1101.9118437337659</v>
      </c>
      <c r="AR22" s="153">
        <f t="shared" si="32"/>
        <v>1409.0944293270663</v>
      </c>
      <c r="AS22" s="7">
        <f>AR22/'a1'!BN24*1000000</f>
        <v>469.13190090463019</v>
      </c>
    </row>
    <row r="23" spans="1:45">
      <c r="A23" s="14">
        <v>1987</v>
      </c>
      <c r="B23" s="156">
        <f t="shared" si="33"/>
        <v>554.35977628635351</v>
      </c>
      <c r="C23" s="153">
        <f t="shared" si="11"/>
        <v>13526.378541387025</v>
      </c>
      <c r="D23" s="153">
        <f t="shared" si="12"/>
        <v>16415.507938576484</v>
      </c>
      <c r="E23" s="153">
        <f>D23/'a1'!F25*1000000</f>
        <v>620.70388321646647</v>
      </c>
      <c r="F23" s="129">
        <f t="shared" si="34"/>
        <v>9.1804211274266923</v>
      </c>
      <c r="G23" s="153">
        <f t="shared" si="13"/>
        <v>224.00227550921127</v>
      </c>
      <c r="H23" s="153">
        <f t="shared" si="14"/>
        <v>283.18871745791569</v>
      </c>
      <c r="I23" s="158">
        <f>H23/'a1'!L25*1000000</f>
        <v>492.29492536691635</v>
      </c>
      <c r="J23" s="129">
        <f t="shared" si="35"/>
        <v>1.9253770753569659</v>
      </c>
      <c r="K23" s="153">
        <f t="shared" si="15"/>
        <v>46.979200638709962</v>
      </c>
      <c r="L23" s="153">
        <f t="shared" si="16"/>
        <v>58.214622848463399</v>
      </c>
      <c r="M23" s="153">
        <f>L23/'a1'!R25*1000000</f>
        <v>452.53552793015757</v>
      </c>
      <c r="N23" s="129">
        <f t="shared" si="36"/>
        <v>18.13761013017432</v>
      </c>
      <c r="O23" s="153">
        <f t="shared" si="17"/>
        <v>442.55768717625335</v>
      </c>
      <c r="P23" s="153">
        <f t="shared" si="18"/>
        <v>535.78412491071845</v>
      </c>
      <c r="Q23" s="158">
        <f>P23/'a1'!X25*1000000</f>
        <v>599.57534406742843</v>
      </c>
      <c r="R23" s="129">
        <f t="shared" si="37"/>
        <v>15.068168415837127</v>
      </c>
      <c r="S23" s="153">
        <f t="shared" si="19"/>
        <v>367.66330934642588</v>
      </c>
      <c r="T23" s="153">
        <f t="shared" si="20"/>
        <v>431.02380931585685</v>
      </c>
      <c r="U23" s="158">
        <f>T23/'a1'!AD25*1000000</f>
        <v>592.25441255435373</v>
      </c>
      <c r="V23" s="129">
        <f t="shared" si="38"/>
        <v>79.340417646352279</v>
      </c>
      <c r="W23" s="153">
        <f t="shared" si="21"/>
        <v>1935.9061905709955</v>
      </c>
      <c r="X23" s="153">
        <f t="shared" si="22"/>
        <v>2326.8103252055234</v>
      </c>
      <c r="Y23" s="158">
        <f>X23/'a1'!AJ25*1000000</f>
        <v>343.08696764921939</v>
      </c>
      <c r="Z23" s="129">
        <f t="shared" si="39"/>
        <v>162.77342424515413</v>
      </c>
      <c r="AA23" s="153">
        <f t="shared" si="23"/>
        <v>3971.6715515817605</v>
      </c>
      <c r="AB23" s="153">
        <f t="shared" si="24"/>
        <v>4722.5583253053037</v>
      </c>
      <c r="AC23" s="158">
        <f>AB23/'a1'!AP25*1000000</f>
        <v>489.99639708519851</v>
      </c>
      <c r="AD23" s="129">
        <f t="shared" si="40"/>
        <v>16.742409350930142</v>
      </c>
      <c r="AE23" s="153">
        <f t="shared" si="25"/>
        <v>408.51478816269542</v>
      </c>
      <c r="AF23" s="153">
        <f t="shared" si="26"/>
        <v>500.01810056633462</v>
      </c>
      <c r="AG23" s="158">
        <f>AF23/'a1'!AV25*1000000</f>
        <v>455.23524391653348</v>
      </c>
      <c r="AH23" s="129">
        <f t="shared" si="41"/>
        <v>41.018902909778845</v>
      </c>
      <c r="AI23" s="153">
        <f t="shared" si="27"/>
        <v>1000.8612309986038</v>
      </c>
      <c r="AJ23" s="153">
        <f t="shared" si="28"/>
        <v>1310.0277892651882</v>
      </c>
      <c r="AK23" s="158">
        <f>AJ23/'a1'!BB25*1000000</f>
        <v>1268.4247266556108</v>
      </c>
      <c r="AL23" s="129">
        <f t="shared" si="42"/>
        <v>158.12275498100686</v>
      </c>
      <c r="AM23" s="153">
        <f t="shared" si="29"/>
        <v>3858.1952215365673</v>
      </c>
      <c r="AN23" s="153">
        <f t="shared" si="30"/>
        <v>5199.7240182433516</v>
      </c>
      <c r="AO23" s="158">
        <f>AN23/'a1'!BH25*1000000</f>
        <v>2130.2687592383195</v>
      </c>
      <c r="AP23" s="129">
        <f t="shared" si="43"/>
        <v>47.064772953170277</v>
      </c>
      <c r="AQ23" s="153">
        <f t="shared" si="31"/>
        <v>1148.3804600573546</v>
      </c>
      <c r="AR23" s="153">
        <f t="shared" si="32"/>
        <v>1468.5172123495583</v>
      </c>
      <c r="AS23" s="7">
        <f>AR23/'a1'!BN25*1000000</f>
        <v>481.69410416264714</v>
      </c>
    </row>
    <row r="24" spans="1:45">
      <c r="A24" s="14">
        <v>1988</v>
      </c>
      <c r="B24" s="156">
        <f t="shared" si="33"/>
        <v>595.27964205816556</v>
      </c>
      <c r="C24" s="153">
        <f t="shared" si="11"/>
        <v>14524.823266219239</v>
      </c>
      <c r="D24" s="153">
        <f t="shared" si="12"/>
        <v>17627.212701722376</v>
      </c>
      <c r="E24" s="153">
        <f>D24/'a1'!F26*1000000</f>
        <v>657.93442666214992</v>
      </c>
      <c r="F24" s="129">
        <f t="shared" si="34"/>
        <v>9.8580705824061976</v>
      </c>
      <c r="G24" s="153">
        <f t="shared" si="13"/>
        <v>240.5369222107112</v>
      </c>
      <c r="H24" s="153">
        <f t="shared" si="14"/>
        <v>304.09218989976131</v>
      </c>
      <c r="I24" s="158">
        <f>H24/'a1'!L26*1000000</f>
        <v>528.87253844426664</v>
      </c>
      <c r="J24" s="129">
        <f t="shared" si="35"/>
        <v>2.0674980856718164</v>
      </c>
      <c r="K24" s="153">
        <f t="shared" si="15"/>
        <v>50.446953290392315</v>
      </c>
      <c r="L24" s="153">
        <f t="shared" si="16"/>
        <v>62.511714114488612</v>
      </c>
      <c r="M24" s="153">
        <f>L24/'a1'!R26*1000000</f>
        <v>483.50373283487852</v>
      </c>
      <c r="N24" s="129">
        <f t="shared" si="36"/>
        <v>19.476431241835954</v>
      </c>
      <c r="O24" s="153">
        <f t="shared" si="17"/>
        <v>475.22492230079723</v>
      </c>
      <c r="P24" s="153">
        <f t="shared" si="18"/>
        <v>575.33283571525101</v>
      </c>
      <c r="Q24" s="158">
        <f>P24/'a1'!X26*1000000</f>
        <v>641.24228247740905</v>
      </c>
      <c r="R24" s="129">
        <f t="shared" si="37"/>
        <v>16.180419800909871</v>
      </c>
      <c r="S24" s="153">
        <f t="shared" si="19"/>
        <v>394.80224314220084</v>
      </c>
      <c r="T24" s="153">
        <f t="shared" si="20"/>
        <v>462.83967543048163</v>
      </c>
      <c r="U24" s="158">
        <f>T24/'a1'!AD26*1000000</f>
        <v>633.7239804949163</v>
      </c>
      <c r="V24" s="129">
        <f t="shared" si="38"/>
        <v>85.196901791210621</v>
      </c>
      <c r="W24" s="153">
        <f t="shared" si="21"/>
        <v>2078.8044037055392</v>
      </c>
      <c r="X24" s="153">
        <f t="shared" si="22"/>
        <v>2498.562985223004</v>
      </c>
      <c r="Y24" s="158">
        <f>X24/'a1'!AJ26*1000000</f>
        <v>365.44315432208884</v>
      </c>
      <c r="Z24" s="129">
        <f t="shared" si="39"/>
        <v>174.78848550365601</v>
      </c>
      <c r="AA24" s="153">
        <f t="shared" si="23"/>
        <v>4264.8390462892066</v>
      </c>
      <c r="AB24" s="153">
        <f t="shared" si="24"/>
        <v>5071.1522548028615</v>
      </c>
      <c r="AC24" s="158">
        <f>AB24/'a1'!AP26*1000000</f>
        <v>515.43328788009512</v>
      </c>
      <c r="AD24" s="129">
        <f t="shared" si="40"/>
        <v>17.97824422323319</v>
      </c>
      <c r="AE24" s="153">
        <f t="shared" si="25"/>
        <v>438.66915904688983</v>
      </c>
      <c r="AF24" s="153">
        <f t="shared" si="26"/>
        <v>536.92675525935101</v>
      </c>
      <c r="AG24" s="158">
        <f>AF24/'a1'!AV26*1000000</f>
        <v>487.16216570795228</v>
      </c>
      <c r="AH24" s="129">
        <f t="shared" si="41"/>
        <v>44.04669834692131</v>
      </c>
      <c r="AI24" s="153">
        <f t="shared" si="27"/>
        <v>1074.7394396648799</v>
      </c>
      <c r="AJ24" s="153">
        <f t="shared" si="28"/>
        <v>1406.7270152681674</v>
      </c>
      <c r="AK24" s="158">
        <f>AJ24/'a1'!BB26*1000000</f>
        <v>1368.1120525839845</v>
      </c>
      <c r="AL24" s="129">
        <f t="shared" si="42"/>
        <v>169.79452877498011</v>
      </c>
      <c r="AM24" s="153">
        <f t="shared" si="29"/>
        <v>4142.9865021095147</v>
      </c>
      <c r="AN24" s="153">
        <f t="shared" si="30"/>
        <v>5583.5397602554103</v>
      </c>
      <c r="AO24" s="158">
        <f>AN24/'a1'!BH26*1000000</f>
        <v>2272.8600261398051</v>
      </c>
      <c r="AP24" s="129">
        <f t="shared" si="43"/>
        <v>50.538842094199964</v>
      </c>
      <c r="AQ24" s="153">
        <f t="shared" si="31"/>
        <v>1233.1477470984792</v>
      </c>
      <c r="AR24" s="153">
        <f t="shared" si="32"/>
        <v>1576.9152776195385</v>
      </c>
      <c r="AS24" s="7">
        <f>AR24/'a1'!BN26*1000000</f>
        <v>506.27167786534454</v>
      </c>
    </row>
    <row r="25" spans="1:45">
      <c r="A25" s="14">
        <v>1989</v>
      </c>
      <c r="B25" s="156">
        <f t="shared" si="33"/>
        <v>620.35794183445194</v>
      </c>
      <c r="C25" s="153">
        <f t="shared" si="11"/>
        <v>15136.733780760625</v>
      </c>
      <c r="D25" s="153">
        <f t="shared" si="12"/>
        <v>18369.822549466779</v>
      </c>
      <c r="E25" s="153">
        <f>D25/'a1'!F27*1000000</f>
        <v>673.46005928876934</v>
      </c>
      <c r="F25" s="129">
        <f t="shared" si="34"/>
        <v>10.273377325345704</v>
      </c>
      <c r="G25" s="153">
        <f t="shared" si="13"/>
        <v>250.67040673843516</v>
      </c>
      <c r="H25" s="153">
        <f t="shared" si="14"/>
        <v>316.90316907513926</v>
      </c>
      <c r="I25" s="158">
        <f>H25/'a1'!L27*1000000</f>
        <v>549.65331614226534</v>
      </c>
      <c r="J25" s="129">
        <f t="shared" si="35"/>
        <v>2.1545988919418044</v>
      </c>
      <c r="K25" s="153">
        <f t="shared" si="15"/>
        <v>52.572212963380025</v>
      </c>
      <c r="L25" s="153">
        <f t="shared" si="16"/>
        <v>65.145245307781934</v>
      </c>
      <c r="M25" s="153">
        <f>L25/'a1'!R27*1000000</f>
        <v>500.52818842271739</v>
      </c>
      <c r="N25" s="129">
        <f t="shared" si="36"/>
        <v>20.296946083509752</v>
      </c>
      <c r="O25" s="153">
        <f t="shared" si="17"/>
        <v>495.24548443763791</v>
      </c>
      <c r="P25" s="153">
        <f t="shared" si="18"/>
        <v>599.57080440392008</v>
      </c>
      <c r="Q25" s="158">
        <f>P25/'a1'!X27*1000000</f>
        <v>663.35871508807418</v>
      </c>
      <c r="R25" s="129">
        <f t="shared" si="37"/>
        <v>16.862078284761949</v>
      </c>
      <c r="S25" s="153">
        <f t="shared" si="19"/>
        <v>411.43471014819153</v>
      </c>
      <c r="T25" s="153">
        <f t="shared" si="20"/>
        <v>482.33846441757504</v>
      </c>
      <c r="U25" s="158">
        <f>T25/'a1'!AD27*1000000</f>
        <v>656.1276516333528</v>
      </c>
      <c r="V25" s="129">
        <f t="shared" si="38"/>
        <v>88.78612825248112</v>
      </c>
      <c r="W25" s="153">
        <f t="shared" si="21"/>
        <v>2166.3815293605394</v>
      </c>
      <c r="X25" s="153">
        <f t="shared" si="22"/>
        <v>2603.8239535583402</v>
      </c>
      <c r="Y25" s="158">
        <f>X25/'a1'!AJ27*1000000</f>
        <v>375.99650917042112</v>
      </c>
      <c r="Z25" s="129">
        <f t="shared" si="39"/>
        <v>182.15208023662598</v>
      </c>
      <c r="AA25" s="153">
        <f t="shared" si="23"/>
        <v>4444.5107577736735</v>
      </c>
      <c r="AB25" s="153">
        <f t="shared" si="24"/>
        <v>5284.7928154264846</v>
      </c>
      <c r="AC25" s="158">
        <f>AB25/'a1'!AP27*1000000</f>
        <v>523.07564855524845</v>
      </c>
      <c r="AD25" s="129">
        <f t="shared" si="40"/>
        <v>18.73564253862439</v>
      </c>
      <c r="AE25" s="153">
        <f t="shared" si="25"/>
        <v>457.14967794243506</v>
      </c>
      <c r="AF25" s="153">
        <f t="shared" si="26"/>
        <v>559.54672942770515</v>
      </c>
      <c r="AG25" s="158">
        <f>AF25/'a1'!AV27*1000000</f>
        <v>506.9313144394099</v>
      </c>
      <c r="AH25" s="129">
        <f t="shared" si="41"/>
        <v>45.902324219629755</v>
      </c>
      <c r="AI25" s="153">
        <f t="shared" si="27"/>
        <v>1120.0167109589659</v>
      </c>
      <c r="AJ25" s="153">
        <f t="shared" si="28"/>
        <v>1465.9904593703741</v>
      </c>
      <c r="AK25" s="158">
        <f>AJ25/'a1'!BB27*1000000</f>
        <v>1438.0364684599806</v>
      </c>
      <c r="AL25" s="129">
        <f t="shared" si="42"/>
        <v>176.94773508700811</v>
      </c>
      <c r="AM25" s="153">
        <f t="shared" si="29"/>
        <v>4317.5247361229976</v>
      </c>
      <c r="AN25" s="153">
        <f t="shared" si="30"/>
        <v>5818.7664907318031</v>
      </c>
      <c r="AO25" s="158">
        <f>AN25/'a1'!BH27*1000000</f>
        <v>2329.0670712304459</v>
      </c>
      <c r="AP25" s="129">
        <f t="shared" si="43"/>
        <v>52.667972914132996</v>
      </c>
      <c r="AQ25" s="153">
        <f t="shared" si="31"/>
        <v>1285.098539104845</v>
      </c>
      <c r="AR25" s="153">
        <f t="shared" si="32"/>
        <v>1643.3485154793414</v>
      </c>
      <c r="AS25" s="7">
        <f>AR25/'a1'!BN27*1000000</f>
        <v>514.07253219446193</v>
      </c>
    </row>
    <row r="26" spans="1:45">
      <c r="A26" s="14">
        <v>1990</v>
      </c>
      <c r="B26" s="153">
        <v>590</v>
      </c>
      <c r="C26" s="153">
        <f t="shared" si="11"/>
        <v>14396</v>
      </c>
      <c r="D26" s="153">
        <f t="shared" si="12"/>
        <v>17470.873786407767</v>
      </c>
      <c r="E26" s="153">
        <f>D26/'a1'!F28*1000000</f>
        <v>630.9193138399645</v>
      </c>
      <c r="F26" s="128">
        <v>9.8699999999999992</v>
      </c>
      <c r="G26" s="153">
        <f t="shared" si="13"/>
        <v>240.82799999999997</v>
      </c>
      <c r="H26" s="153">
        <f t="shared" si="14"/>
        <v>304.46017699115043</v>
      </c>
      <c r="I26" s="158">
        <f>H26/'a1'!L28*1000000</f>
        <v>527.32430095043446</v>
      </c>
      <c r="J26" s="128">
        <v>2.0699999999999998</v>
      </c>
      <c r="K26" s="153">
        <f t="shared" si="15"/>
        <v>50.507999999999996</v>
      </c>
      <c r="L26" s="153">
        <f t="shared" si="16"/>
        <v>62.587360594795527</v>
      </c>
      <c r="M26" s="153">
        <f>L26/'a1'!R28*1000000</f>
        <v>479.94969935581366</v>
      </c>
      <c r="N26" s="128">
        <v>19.5</v>
      </c>
      <c r="O26" s="153">
        <f t="shared" si="17"/>
        <v>475.79999999999995</v>
      </c>
      <c r="P26" s="153">
        <f t="shared" si="18"/>
        <v>576.0290556900726</v>
      </c>
      <c r="Q26" s="158">
        <f>P26/'a1'!X28*1000000</f>
        <v>632.68540063119553</v>
      </c>
      <c r="R26" s="128">
        <v>16.2</v>
      </c>
      <c r="S26" s="153">
        <f t="shared" si="19"/>
        <v>395.28</v>
      </c>
      <c r="T26" s="153">
        <f t="shared" si="20"/>
        <v>463.39976553341148</v>
      </c>
      <c r="U26" s="158">
        <f>T26/'a1'!AD28*1000000</f>
        <v>626.08391411190541</v>
      </c>
      <c r="V26" s="128">
        <v>85.3</v>
      </c>
      <c r="W26" s="153">
        <f t="shared" si="21"/>
        <v>2081.3199999999997</v>
      </c>
      <c r="X26" s="153">
        <f t="shared" si="22"/>
        <v>2501.5865384615381</v>
      </c>
      <c r="Y26" s="158">
        <f>X26/'a1'!AJ28*1000000</f>
        <v>357.52344487491303</v>
      </c>
      <c r="Z26" s="128">
        <v>175</v>
      </c>
      <c r="AA26" s="153">
        <f t="shared" si="23"/>
        <v>4270</v>
      </c>
      <c r="AB26" s="153">
        <f t="shared" si="24"/>
        <v>5077.2889417360293</v>
      </c>
      <c r="AC26" s="158">
        <f>AB26/'a1'!AP28*1000000</f>
        <v>493.14022817544316</v>
      </c>
      <c r="AD26" s="128">
        <v>18</v>
      </c>
      <c r="AE26" s="153">
        <f t="shared" si="25"/>
        <v>439.2</v>
      </c>
      <c r="AF26" s="153">
        <f t="shared" si="26"/>
        <v>537.57649938800489</v>
      </c>
      <c r="AG26" s="158">
        <f>AF26/'a1'!AV28*1000000</f>
        <v>486.30928794369282</v>
      </c>
      <c r="AH26" s="128">
        <v>44.1</v>
      </c>
      <c r="AI26" s="153">
        <f t="shared" si="27"/>
        <v>1076.04</v>
      </c>
      <c r="AJ26" s="153">
        <f t="shared" si="28"/>
        <v>1408.4293193717276</v>
      </c>
      <c r="AK26" s="158">
        <f>AJ26/'a1'!BB28*1000000</f>
        <v>1397.6298336471361</v>
      </c>
      <c r="AL26" s="128">
        <v>170</v>
      </c>
      <c r="AM26" s="153">
        <f t="shared" si="29"/>
        <v>4148</v>
      </c>
      <c r="AN26" s="153">
        <f t="shared" si="30"/>
        <v>5590.2964959568735</v>
      </c>
      <c r="AO26" s="158">
        <f>AN26/'a1'!BH28*1000000</f>
        <v>2194.1764762047997</v>
      </c>
      <c r="AP26" s="128">
        <v>50.6</v>
      </c>
      <c r="AQ26" s="153">
        <f t="shared" si="31"/>
        <v>1234.6399999999999</v>
      </c>
      <c r="AR26" s="153">
        <f t="shared" si="32"/>
        <v>1578.8235294117644</v>
      </c>
      <c r="AS26" s="7">
        <f>AR26/'a1'!BN28*1000000</f>
        <v>479.57785427397931</v>
      </c>
    </row>
    <row r="27" spans="1:45">
      <c r="A27" s="14">
        <v>1991</v>
      </c>
      <c r="B27" s="153">
        <v>583</v>
      </c>
      <c r="C27" s="153">
        <f t="shared" si="11"/>
        <v>14225.199999999999</v>
      </c>
      <c r="D27" s="153">
        <f t="shared" si="12"/>
        <v>17263.592233009709</v>
      </c>
      <c r="E27" s="153">
        <f>D27/'a1'!F29*1000000</f>
        <v>615.73398098005123</v>
      </c>
      <c r="F27" s="128">
        <v>8.17</v>
      </c>
      <c r="G27" s="153">
        <f t="shared" si="13"/>
        <v>199.34799999999998</v>
      </c>
      <c r="H27" s="153">
        <f t="shared" si="14"/>
        <v>252.02022756005059</v>
      </c>
      <c r="I27" s="158">
        <f>H27/'a1'!L29*1000000</f>
        <v>434.78450145270301</v>
      </c>
      <c r="J27" s="128">
        <v>1.89</v>
      </c>
      <c r="K27" s="153">
        <f t="shared" si="15"/>
        <v>46.115999999999993</v>
      </c>
      <c r="L27" s="153">
        <f t="shared" si="16"/>
        <v>57.144981412639396</v>
      </c>
      <c r="M27" s="153">
        <f>L27/'a1'!R29*1000000</f>
        <v>438.33258989974144</v>
      </c>
      <c r="N27" s="128">
        <v>19.100000000000001</v>
      </c>
      <c r="O27" s="153">
        <f t="shared" si="17"/>
        <v>466.04</v>
      </c>
      <c r="P27" s="153">
        <f t="shared" si="18"/>
        <v>564.21307506053267</v>
      </c>
      <c r="Q27" s="158">
        <f>P27/'a1'!X29*1000000</f>
        <v>616.6472034140312</v>
      </c>
      <c r="R27" s="128">
        <v>15.2</v>
      </c>
      <c r="S27" s="153">
        <f t="shared" si="19"/>
        <v>370.87999999999994</v>
      </c>
      <c r="T27" s="153">
        <f t="shared" si="20"/>
        <v>434.79484173505267</v>
      </c>
      <c r="U27" s="158">
        <f>T27/'a1'!AD29*1000000</f>
        <v>583.17339921838368</v>
      </c>
      <c r="V27" s="128">
        <v>78.5</v>
      </c>
      <c r="W27" s="153">
        <f t="shared" si="21"/>
        <v>1915.3999999999999</v>
      </c>
      <c r="X27" s="153">
        <f t="shared" si="22"/>
        <v>2302.1634615384614</v>
      </c>
      <c r="Y27" s="158">
        <f>X27/'a1'!AJ29*1000000</f>
        <v>325.74422906802749</v>
      </c>
      <c r="Z27" s="128">
        <v>178</v>
      </c>
      <c r="AA27" s="153">
        <f t="shared" si="23"/>
        <v>4343.2</v>
      </c>
      <c r="AB27" s="153">
        <f t="shared" si="24"/>
        <v>5164.3281807372177</v>
      </c>
      <c r="AC27" s="158">
        <f>AB27/'a1'!AP29*1000000</f>
        <v>495.07925756800171</v>
      </c>
      <c r="AD27" s="128">
        <v>18.8</v>
      </c>
      <c r="AE27" s="153">
        <f t="shared" si="25"/>
        <v>458.71999999999997</v>
      </c>
      <c r="AF27" s="153">
        <f t="shared" si="26"/>
        <v>561.46878824969394</v>
      </c>
      <c r="AG27" s="158">
        <f>AF27/'a1'!AV29*1000000</f>
        <v>506.0082590272691</v>
      </c>
      <c r="AH27" s="128">
        <v>44.7</v>
      </c>
      <c r="AI27" s="153">
        <f t="shared" si="27"/>
        <v>1090.68</v>
      </c>
      <c r="AJ27" s="153">
        <f t="shared" si="28"/>
        <v>1427.591623036649</v>
      </c>
      <c r="AK27" s="158">
        <f>AJ27/'a1'!BB29*1000000</f>
        <v>1423.729046134486</v>
      </c>
      <c r="AL27" s="128">
        <v>170</v>
      </c>
      <c r="AM27" s="153">
        <f t="shared" si="29"/>
        <v>4148</v>
      </c>
      <c r="AN27" s="153">
        <f t="shared" si="30"/>
        <v>5590.2964959568735</v>
      </c>
      <c r="AO27" s="158">
        <f>AN27/'a1'!BH29*1000000</f>
        <v>2156.4956050546789</v>
      </c>
      <c r="AP27" s="128">
        <v>50.7</v>
      </c>
      <c r="AQ27" s="153">
        <f t="shared" si="31"/>
        <v>1237.08</v>
      </c>
      <c r="AR27" s="153">
        <f t="shared" si="32"/>
        <v>1581.9437340153452</v>
      </c>
      <c r="AS27" s="7">
        <f>AR27/'a1'!BN29*1000000</f>
        <v>468.89259280901405</v>
      </c>
    </row>
    <row r="28" spans="1:45">
      <c r="A28" s="14">
        <v>1992</v>
      </c>
      <c r="B28" s="153">
        <v>608</v>
      </c>
      <c r="C28" s="153">
        <f t="shared" si="11"/>
        <v>14835.199999999999</v>
      </c>
      <c r="D28" s="153">
        <f t="shared" si="12"/>
        <v>18003.88349514563</v>
      </c>
      <c r="E28" s="153">
        <f>D28/'a1'!F30*1000000</f>
        <v>634.58164906384252</v>
      </c>
      <c r="F28" s="128">
        <v>8.14</v>
      </c>
      <c r="G28" s="153">
        <f t="shared" si="13"/>
        <v>198.61600000000001</v>
      </c>
      <c r="H28" s="153">
        <f t="shared" si="14"/>
        <v>251.09481668773708</v>
      </c>
      <c r="I28" s="158">
        <f>H28/'a1'!L30*1000000</f>
        <v>432.8407535269011</v>
      </c>
      <c r="J28" s="128">
        <v>1.91</v>
      </c>
      <c r="K28" s="153">
        <f t="shared" si="15"/>
        <v>46.603999999999992</v>
      </c>
      <c r="L28" s="153">
        <f t="shared" si="16"/>
        <v>57.749690210656745</v>
      </c>
      <c r="M28" s="153">
        <f>L28/'a1'!R30*1000000</f>
        <v>441.42027418389739</v>
      </c>
      <c r="N28" s="128">
        <v>19.600000000000001</v>
      </c>
      <c r="O28" s="153">
        <f t="shared" si="17"/>
        <v>478.24</v>
      </c>
      <c r="P28" s="153">
        <f t="shared" si="18"/>
        <v>578.98305084745766</v>
      </c>
      <c r="Q28" s="158">
        <f>P28/'a1'!X30*1000000</f>
        <v>629.70517281231707</v>
      </c>
      <c r="R28" s="128">
        <v>15.8</v>
      </c>
      <c r="S28" s="153">
        <f t="shared" si="19"/>
        <v>385.52</v>
      </c>
      <c r="T28" s="153">
        <f t="shared" si="20"/>
        <v>451.95779601406804</v>
      </c>
      <c r="U28" s="158">
        <f>T28/'a1'!AD30*1000000</f>
        <v>604.12392649593858</v>
      </c>
      <c r="V28" s="128">
        <v>79.3</v>
      </c>
      <c r="W28" s="153">
        <f t="shared" si="21"/>
        <v>1934.9199999999998</v>
      </c>
      <c r="X28" s="153">
        <f t="shared" si="22"/>
        <v>2325.6249999999995</v>
      </c>
      <c r="Y28" s="158">
        <f>X28/'a1'!AJ30*1000000</f>
        <v>327.09166372480485</v>
      </c>
      <c r="Z28" s="128">
        <v>181</v>
      </c>
      <c r="AA28" s="153">
        <f t="shared" si="23"/>
        <v>4416.3999999999996</v>
      </c>
      <c r="AB28" s="153">
        <f t="shared" si="24"/>
        <v>5251.3674197384062</v>
      </c>
      <c r="AC28" s="158">
        <f>AB28/'a1'!AP30*1000000</f>
        <v>496.71449047179902</v>
      </c>
      <c r="AD28" s="128">
        <v>19</v>
      </c>
      <c r="AE28" s="153">
        <f t="shared" si="25"/>
        <v>463.59999999999997</v>
      </c>
      <c r="AF28" s="153">
        <f t="shared" si="26"/>
        <v>567.44186046511629</v>
      </c>
      <c r="AG28" s="158">
        <f>AF28/'a1'!AV30*1000000</f>
        <v>509.97346110648732</v>
      </c>
      <c r="AH28" s="128">
        <v>49.5</v>
      </c>
      <c r="AI28" s="153">
        <f t="shared" si="27"/>
        <v>1207.8</v>
      </c>
      <c r="AJ28" s="153">
        <f t="shared" si="28"/>
        <v>1580.8900523560208</v>
      </c>
      <c r="AK28" s="158">
        <f>AJ28/'a1'!BB30*1000000</f>
        <v>1574.5995272446783</v>
      </c>
      <c r="AL28" s="128">
        <v>178</v>
      </c>
      <c r="AM28" s="153">
        <f t="shared" si="29"/>
        <v>4343.2</v>
      </c>
      <c r="AN28" s="153">
        <f t="shared" si="30"/>
        <v>5853.3692722371961</v>
      </c>
      <c r="AO28" s="158">
        <f>AN28/'a1'!BH30*1000000</f>
        <v>2223.3568299572435</v>
      </c>
      <c r="AP28" s="128">
        <v>50</v>
      </c>
      <c r="AQ28" s="153">
        <f t="shared" si="31"/>
        <v>1220</v>
      </c>
      <c r="AR28" s="153">
        <f t="shared" si="32"/>
        <v>1560.1023017902812</v>
      </c>
      <c r="AS28" s="7">
        <f>AR28/'a1'!BN30*1000000</f>
        <v>449.75247990236437</v>
      </c>
    </row>
    <row r="29" spans="1:45">
      <c r="A29" s="14">
        <v>1993</v>
      </c>
      <c r="B29" s="153">
        <v>602</v>
      </c>
      <c r="C29" s="153">
        <f t="shared" si="11"/>
        <v>14688.8</v>
      </c>
      <c r="D29" s="153">
        <f t="shared" si="12"/>
        <v>17826.213592233009</v>
      </c>
      <c r="E29" s="153">
        <f>D29/'a1'!F31*1000000</f>
        <v>621.45233588928977</v>
      </c>
      <c r="F29" s="128">
        <v>8.1999999999999993</v>
      </c>
      <c r="G29" s="153">
        <f t="shared" si="13"/>
        <v>200.07999999999998</v>
      </c>
      <c r="H29" s="153">
        <f t="shared" si="14"/>
        <v>252.94563843236412</v>
      </c>
      <c r="I29" s="158">
        <f>H29/'a1'!L31*1000000</f>
        <v>436.13046453973885</v>
      </c>
      <c r="J29" s="128">
        <v>1.88</v>
      </c>
      <c r="K29" s="153">
        <f t="shared" si="15"/>
        <v>45.871999999999993</v>
      </c>
      <c r="L29" s="153">
        <f t="shared" si="16"/>
        <v>56.842627013630718</v>
      </c>
      <c r="M29" s="153">
        <f>L29/'a1'!R31*1000000</f>
        <v>430.04930520159115</v>
      </c>
      <c r="N29" s="128">
        <v>19.399999999999999</v>
      </c>
      <c r="O29" s="153">
        <f t="shared" si="17"/>
        <v>473.35999999999996</v>
      </c>
      <c r="P29" s="153">
        <f t="shared" si="18"/>
        <v>573.07506053268764</v>
      </c>
      <c r="Q29" s="158">
        <f>P29/'a1'!X31*1000000</f>
        <v>620.2614503695512</v>
      </c>
      <c r="R29" s="128">
        <v>15.1</v>
      </c>
      <c r="S29" s="153">
        <f t="shared" si="19"/>
        <v>368.44</v>
      </c>
      <c r="T29" s="153">
        <f t="shared" si="20"/>
        <v>431.93434935521691</v>
      </c>
      <c r="U29" s="158">
        <f>T29/'a1'!AD31*1000000</f>
        <v>576.82615844192787</v>
      </c>
      <c r="V29" s="128">
        <v>80</v>
      </c>
      <c r="W29" s="153">
        <f t="shared" si="21"/>
        <v>1952</v>
      </c>
      <c r="X29" s="153">
        <f t="shared" si="22"/>
        <v>2346.1538461538462</v>
      </c>
      <c r="Y29" s="158">
        <f>X29/'a1'!AJ31*1000000</f>
        <v>327.83367795818651</v>
      </c>
      <c r="Z29" s="128">
        <v>173</v>
      </c>
      <c r="AA29" s="153">
        <f t="shared" si="23"/>
        <v>4221.2</v>
      </c>
      <c r="AB29" s="153">
        <f t="shared" si="24"/>
        <v>5019.2627824019028</v>
      </c>
      <c r="AC29" s="158">
        <f>AB29/'a1'!AP31*1000000</f>
        <v>469.52712257916227</v>
      </c>
      <c r="AD29" s="128">
        <v>18.899999999999999</v>
      </c>
      <c r="AE29" s="153">
        <f t="shared" si="25"/>
        <v>461.15999999999991</v>
      </c>
      <c r="AF29" s="153">
        <f t="shared" si="26"/>
        <v>564.45532435740506</v>
      </c>
      <c r="AG29" s="158">
        <f>AF29/'a1'!AV31*1000000</f>
        <v>505.05210577979688</v>
      </c>
      <c r="AH29" s="128">
        <v>52.8</v>
      </c>
      <c r="AI29" s="153">
        <f t="shared" si="27"/>
        <v>1288.32</v>
      </c>
      <c r="AJ29" s="153">
        <f t="shared" si="28"/>
        <v>1686.2827225130889</v>
      </c>
      <c r="AK29" s="158">
        <f>AJ29/'a1'!BB31*1000000</f>
        <v>1674.7271054852408</v>
      </c>
      <c r="AL29" s="128">
        <v>183</v>
      </c>
      <c r="AM29" s="153">
        <f t="shared" si="29"/>
        <v>4465.2</v>
      </c>
      <c r="AN29" s="153">
        <f t="shared" si="30"/>
        <v>6017.789757412399</v>
      </c>
      <c r="AO29" s="158">
        <f>AN29/'a1'!BH31*1000000</f>
        <v>2256.142093708675</v>
      </c>
      <c r="AP29" s="128">
        <v>52.7</v>
      </c>
      <c r="AQ29" s="153">
        <f t="shared" si="31"/>
        <v>1285.8799999999999</v>
      </c>
      <c r="AR29" s="153">
        <f t="shared" si="32"/>
        <v>1644.3478260869563</v>
      </c>
      <c r="AS29" s="7">
        <f>AR29/'a1'!BN31*1000000</f>
        <v>460.88926817267367</v>
      </c>
    </row>
    <row r="30" spans="1:45">
      <c r="A30" s="14">
        <v>1994</v>
      </c>
      <c r="B30" s="153">
        <v>622</v>
      </c>
      <c r="C30" s="153">
        <f t="shared" si="11"/>
        <v>15176.8</v>
      </c>
      <c r="D30" s="153">
        <f t="shared" si="12"/>
        <v>18418.446601941745</v>
      </c>
      <c r="E30" s="153">
        <f>D30/'a1'!F32*1000000</f>
        <v>635.10432854385942</v>
      </c>
      <c r="F30" s="128">
        <v>7.22</v>
      </c>
      <c r="G30" s="153">
        <f t="shared" si="13"/>
        <v>176.16799999999998</v>
      </c>
      <c r="H30" s="153">
        <f t="shared" si="14"/>
        <v>222.71554993678888</v>
      </c>
      <c r="I30" s="158">
        <f>H30/'a1'!L32*1000000</f>
        <v>387.6914385477798</v>
      </c>
      <c r="J30" s="128">
        <v>1.87</v>
      </c>
      <c r="K30" s="153">
        <f t="shared" si="15"/>
        <v>45.628</v>
      </c>
      <c r="L30" s="153">
        <f t="shared" si="16"/>
        <v>56.540272614622054</v>
      </c>
      <c r="M30" s="153">
        <f>L30/'a1'!R32*1000000</f>
        <v>423.72260028794153</v>
      </c>
      <c r="N30" s="128">
        <v>18.899999999999999</v>
      </c>
      <c r="O30" s="153">
        <f t="shared" si="17"/>
        <v>461.15999999999991</v>
      </c>
      <c r="P30" s="153">
        <f t="shared" si="18"/>
        <v>558.30508474576266</v>
      </c>
      <c r="Q30" s="158">
        <f>P30/'a1'!X32*1000000</f>
        <v>602.35468015048764</v>
      </c>
      <c r="R30" s="128">
        <v>16.3</v>
      </c>
      <c r="S30" s="153">
        <f t="shared" si="19"/>
        <v>397.71999999999997</v>
      </c>
      <c r="T30" s="153">
        <f t="shared" si="20"/>
        <v>466.26025791324736</v>
      </c>
      <c r="U30" s="158">
        <f>T30/'a1'!AD32*1000000</f>
        <v>621.52703388263876</v>
      </c>
      <c r="V30" s="128">
        <v>82.6</v>
      </c>
      <c r="W30" s="153">
        <f t="shared" si="21"/>
        <v>2015.4399999999998</v>
      </c>
      <c r="X30" s="153">
        <f t="shared" si="22"/>
        <v>2422.4038461538457</v>
      </c>
      <c r="Y30" s="158">
        <f>X30/'a1'!AJ32*1000000</f>
        <v>336.80034977932212</v>
      </c>
      <c r="Z30" s="128">
        <v>175</v>
      </c>
      <c r="AA30" s="153">
        <f t="shared" si="23"/>
        <v>4270</v>
      </c>
      <c r="AB30" s="153">
        <f t="shared" si="24"/>
        <v>5077.2889417360293</v>
      </c>
      <c r="AC30" s="158">
        <f>AB30/'a1'!AP32*1000000</f>
        <v>469.28740417552638</v>
      </c>
      <c r="AD30" s="128">
        <v>19.600000000000001</v>
      </c>
      <c r="AE30" s="153">
        <f t="shared" si="25"/>
        <v>478.24</v>
      </c>
      <c r="AF30" s="153">
        <f t="shared" si="26"/>
        <v>585.36107711138311</v>
      </c>
      <c r="AG30" s="158">
        <f>AF30/'a1'!AV32*1000000</f>
        <v>521.14088575926849</v>
      </c>
      <c r="AH30" s="128">
        <v>57</v>
      </c>
      <c r="AI30" s="153">
        <f t="shared" si="27"/>
        <v>1390.8</v>
      </c>
      <c r="AJ30" s="153">
        <f t="shared" si="28"/>
        <v>1820.4188481675392</v>
      </c>
      <c r="AK30" s="158">
        <f>AJ30/'a1'!BB32*1000000</f>
        <v>1803.1536519501167</v>
      </c>
      <c r="AL30" s="128">
        <v>192</v>
      </c>
      <c r="AM30" s="153">
        <f t="shared" si="29"/>
        <v>4684.7999999999993</v>
      </c>
      <c r="AN30" s="153">
        <f t="shared" si="30"/>
        <v>6313.7466307277618</v>
      </c>
      <c r="AO30" s="158">
        <f>AN30/'a1'!BH32*1000000</f>
        <v>2337.8999493920114</v>
      </c>
      <c r="AP30" s="128">
        <v>55.1</v>
      </c>
      <c r="AQ30" s="153">
        <f t="shared" si="31"/>
        <v>1344.44</v>
      </c>
      <c r="AR30" s="153">
        <f t="shared" si="32"/>
        <v>1719.23273657289</v>
      </c>
      <c r="AS30" s="7">
        <f>AR30/'a1'!BN32*1000000</f>
        <v>467.68162689087956</v>
      </c>
    </row>
    <row r="31" spans="1:45">
      <c r="A31" s="14">
        <v>1995</v>
      </c>
      <c r="B31" s="153">
        <v>640</v>
      </c>
      <c r="C31" s="153">
        <f t="shared" si="11"/>
        <v>15616</v>
      </c>
      <c r="D31" s="153">
        <f t="shared" si="12"/>
        <v>18951.456310679609</v>
      </c>
      <c r="E31" s="153">
        <f>D31/'a1'!F33*1000000</f>
        <v>646.75637053608523</v>
      </c>
      <c r="F31" s="128">
        <v>8.1300000000000008</v>
      </c>
      <c r="G31" s="153">
        <f t="shared" si="13"/>
        <v>198.37200000000001</v>
      </c>
      <c r="H31" s="153">
        <f t="shared" si="14"/>
        <v>250.78634639696588</v>
      </c>
      <c r="I31" s="158">
        <f>H31/'a1'!L33*1000000</f>
        <v>441.99448780477496</v>
      </c>
      <c r="J31" s="128">
        <v>1.83</v>
      </c>
      <c r="K31" s="153">
        <f t="shared" si="15"/>
        <v>44.652000000000001</v>
      </c>
      <c r="L31" s="153">
        <f t="shared" si="16"/>
        <v>55.330855018587357</v>
      </c>
      <c r="M31" s="153">
        <f>L31/'a1'!R33*1000000</f>
        <v>411.64196718065216</v>
      </c>
      <c r="N31" s="128">
        <v>8.8000000000000007</v>
      </c>
      <c r="O31" s="153">
        <f t="shared" si="17"/>
        <v>214.72</v>
      </c>
      <c r="P31" s="153">
        <f t="shared" si="18"/>
        <v>259.95157384987897</v>
      </c>
      <c r="Q31" s="158">
        <f>P31/'a1'!X33*1000000</f>
        <v>280.08401268141938</v>
      </c>
      <c r="R31" s="128">
        <v>16.8</v>
      </c>
      <c r="S31" s="153">
        <f t="shared" si="19"/>
        <v>409.92</v>
      </c>
      <c r="T31" s="153">
        <f t="shared" si="20"/>
        <v>480.56271981242674</v>
      </c>
      <c r="U31" s="158">
        <f>T31/'a1'!AD33*1000000</f>
        <v>639.94566806325747</v>
      </c>
      <c r="V31" s="128">
        <v>81.7</v>
      </c>
      <c r="W31" s="153">
        <f t="shared" si="21"/>
        <v>1993.48</v>
      </c>
      <c r="X31" s="153">
        <f t="shared" si="22"/>
        <v>2396.0096153846152</v>
      </c>
      <c r="Y31" s="158">
        <f>X31/'a1'!AJ33*1000000</f>
        <v>331.89318891484174</v>
      </c>
      <c r="Z31" s="128">
        <v>178</v>
      </c>
      <c r="AA31" s="153">
        <f t="shared" si="23"/>
        <v>4343.2</v>
      </c>
      <c r="AB31" s="153">
        <f t="shared" si="24"/>
        <v>5164.3281807372177</v>
      </c>
      <c r="AC31" s="158">
        <f>AB31/'a1'!AP33*1000000</f>
        <v>471.62301895871798</v>
      </c>
      <c r="AD31" s="128">
        <v>20.399999999999999</v>
      </c>
      <c r="AE31" s="153">
        <f t="shared" si="25"/>
        <v>497.75999999999993</v>
      </c>
      <c r="AF31" s="153">
        <f t="shared" si="26"/>
        <v>609.25336597307205</v>
      </c>
      <c r="AG31" s="158">
        <f>AF31/'a1'!AV33*1000000</f>
        <v>539.56814061291414</v>
      </c>
      <c r="AH31" s="128">
        <v>59.4</v>
      </c>
      <c r="AI31" s="153">
        <f t="shared" si="27"/>
        <v>1449.36</v>
      </c>
      <c r="AJ31" s="153">
        <f t="shared" si="28"/>
        <v>1897.068062827225</v>
      </c>
      <c r="AK31" s="158">
        <f>AJ31/'a1'!BB33*1000000</f>
        <v>1870.5308417749636</v>
      </c>
      <c r="AL31" s="128">
        <v>197</v>
      </c>
      <c r="AM31" s="153">
        <f t="shared" si="29"/>
        <v>4806.7999999999993</v>
      </c>
      <c r="AN31" s="153">
        <f t="shared" si="30"/>
        <v>6478.1671159029638</v>
      </c>
      <c r="AO31" s="158">
        <f>AN31/'a1'!BH33*1000000</f>
        <v>2369.0334994574782</v>
      </c>
      <c r="AP31" s="128">
        <v>59.6</v>
      </c>
      <c r="AQ31" s="153">
        <f t="shared" si="31"/>
        <v>1454.24</v>
      </c>
      <c r="AR31" s="153">
        <f t="shared" si="32"/>
        <v>1859.6419437340153</v>
      </c>
      <c r="AS31" s="7">
        <f>AR31/'a1'!BN33*1000000</f>
        <v>492.30869561628941</v>
      </c>
    </row>
    <row r="32" spans="1:45">
      <c r="A32" s="14">
        <v>1996</v>
      </c>
      <c r="B32" s="153">
        <v>658</v>
      </c>
      <c r="C32" s="153">
        <f t="shared" si="11"/>
        <v>16055.199999999999</v>
      </c>
      <c r="D32" s="153">
        <f t="shared" si="12"/>
        <v>19484.466019417476</v>
      </c>
      <c r="E32" s="153">
        <f>D32/'a1'!F34*1000000</f>
        <v>658.03183277534379</v>
      </c>
      <c r="F32" s="128">
        <v>8.6300000000000008</v>
      </c>
      <c r="G32" s="153">
        <f t="shared" si="13"/>
        <v>210.572</v>
      </c>
      <c r="H32" s="153">
        <f t="shared" si="14"/>
        <v>266.20986093552466</v>
      </c>
      <c r="I32" s="158">
        <f>H32/'a1'!L34*1000000</f>
        <v>475.63125281048826</v>
      </c>
      <c r="J32" s="128">
        <v>2</v>
      </c>
      <c r="K32" s="153">
        <f t="shared" si="15"/>
        <v>48.8</v>
      </c>
      <c r="L32" s="153">
        <f t="shared" si="16"/>
        <v>60.470879801734817</v>
      </c>
      <c r="M32" s="153">
        <f>L32/'a1'!R34*1000000</f>
        <v>445.50034111358593</v>
      </c>
      <c r="N32" s="128">
        <v>19.100000000000001</v>
      </c>
      <c r="O32" s="153">
        <f t="shared" si="17"/>
        <v>466.04</v>
      </c>
      <c r="P32" s="153">
        <f t="shared" si="18"/>
        <v>564.21307506053267</v>
      </c>
      <c r="Q32" s="158">
        <f>P32/'a1'!X34*1000000</f>
        <v>605.81629767045592</v>
      </c>
      <c r="R32" s="128">
        <v>17.2</v>
      </c>
      <c r="S32" s="153">
        <f t="shared" si="19"/>
        <v>419.67999999999995</v>
      </c>
      <c r="T32" s="153">
        <f t="shared" si="20"/>
        <v>492.00468933177018</v>
      </c>
      <c r="U32" s="158">
        <f>T32/'a1'!AD34*1000000</f>
        <v>654.02847034802789</v>
      </c>
      <c r="V32" s="128">
        <v>82.7</v>
      </c>
      <c r="W32" s="153">
        <f t="shared" si="21"/>
        <v>2017.8799999999999</v>
      </c>
      <c r="X32" s="153">
        <f t="shared" si="22"/>
        <v>2425.3365384615386</v>
      </c>
      <c r="Y32" s="158">
        <f>X32/'a1'!AJ34*1000000</f>
        <v>334.67241751352867</v>
      </c>
      <c r="Z32" s="128">
        <v>175</v>
      </c>
      <c r="AA32" s="153">
        <f t="shared" si="23"/>
        <v>4270</v>
      </c>
      <c r="AB32" s="153">
        <f t="shared" si="24"/>
        <v>5077.2889417360293</v>
      </c>
      <c r="AC32" s="158">
        <f>AB32/'a1'!AP34*1000000</f>
        <v>458.11904532016831</v>
      </c>
      <c r="AD32" s="128">
        <v>19</v>
      </c>
      <c r="AE32" s="153">
        <f t="shared" si="25"/>
        <v>463.59999999999997</v>
      </c>
      <c r="AF32" s="153">
        <f t="shared" si="26"/>
        <v>567.44186046511629</v>
      </c>
      <c r="AG32" s="158">
        <f>AF32/'a1'!AV34*1000000</f>
        <v>500.30317552267542</v>
      </c>
      <c r="AH32" s="128">
        <v>58.7</v>
      </c>
      <c r="AI32" s="153">
        <f t="shared" si="27"/>
        <v>1432.28</v>
      </c>
      <c r="AJ32" s="153">
        <f t="shared" si="28"/>
        <v>1874.7120418848167</v>
      </c>
      <c r="AK32" s="158">
        <f>AJ32/'a1'!BB34*1000000</f>
        <v>1839.8559705232535</v>
      </c>
      <c r="AL32" s="128">
        <v>198</v>
      </c>
      <c r="AM32" s="153">
        <f t="shared" si="29"/>
        <v>4831.2</v>
      </c>
      <c r="AN32" s="153">
        <f t="shared" si="30"/>
        <v>6511.0512129380049</v>
      </c>
      <c r="AO32" s="158">
        <f>AN32/'a1'!BH34*1000000</f>
        <v>2346.2123123244919</v>
      </c>
      <c r="AP32" s="128">
        <v>59.3</v>
      </c>
      <c r="AQ32" s="153">
        <f t="shared" si="31"/>
        <v>1446.9199999999998</v>
      </c>
      <c r="AR32" s="153">
        <f t="shared" si="32"/>
        <v>1850.2813299232732</v>
      </c>
      <c r="AS32" s="7">
        <f>AR32/'a1'!BN34*1000000</f>
        <v>477.57613275405009</v>
      </c>
    </row>
    <row r="33" spans="1:168">
      <c r="A33" s="14">
        <v>1997</v>
      </c>
      <c r="B33" s="153">
        <v>671</v>
      </c>
      <c r="C33" s="153">
        <f t="shared" si="11"/>
        <v>16372.4</v>
      </c>
      <c r="D33" s="153">
        <f t="shared" si="12"/>
        <v>19869.417475728154</v>
      </c>
      <c r="E33" s="153">
        <f>D33/'a1'!F35*1000000</f>
        <v>664.39684425747532</v>
      </c>
      <c r="F33" s="128">
        <v>8.7200000000000006</v>
      </c>
      <c r="G33" s="153">
        <f t="shared" si="13"/>
        <v>212.768</v>
      </c>
      <c r="H33" s="153">
        <f t="shared" si="14"/>
        <v>268.98609355246526</v>
      </c>
      <c r="I33" s="158">
        <f>H33/'a1'!L35*1000000</f>
        <v>488.2568936769556</v>
      </c>
      <c r="J33" s="128">
        <v>2.13</v>
      </c>
      <c r="K33" s="153">
        <f t="shared" si="15"/>
        <v>51.971999999999994</v>
      </c>
      <c r="L33" s="153">
        <f t="shared" si="16"/>
        <v>64.40148698884758</v>
      </c>
      <c r="M33" s="153">
        <f>L33/'a1'!R35*1000000</f>
        <v>473.20979454680611</v>
      </c>
      <c r="N33" s="128">
        <v>18.899999999999999</v>
      </c>
      <c r="O33" s="153">
        <f t="shared" si="17"/>
        <v>461.15999999999991</v>
      </c>
      <c r="P33" s="153">
        <f t="shared" si="18"/>
        <v>558.30508474576266</v>
      </c>
      <c r="Q33" s="158">
        <f>P33/'a1'!X35*1000000</f>
        <v>598.78151778499262</v>
      </c>
      <c r="R33" s="128">
        <v>16.5</v>
      </c>
      <c r="S33" s="153">
        <f t="shared" si="19"/>
        <v>402.59999999999997</v>
      </c>
      <c r="T33" s="153">
        <f t="shared" si="20"/>
        <v>471.98124267291911</v>
      </c>
      <c r="U33" s="158">
        <f>T33/'a1'!AD35*1000000</f>
        <v>627.20842974111883</v>
      </c>
      <c r="V33" s="128">
        <v>83.3</v>
      </c>
      <c r="W33" s="153">
        <f t="shared" si="21"/>
        <v>2032.5199999999998</v>
      </c>
      <c r="X33" s="153">
        <f t="shared" si="22"/>
        <v>2442.9326923076919</v>
      </c>
      <c r="Y33" s="158">
        <f>X33/'a1'!AJ35*1000000</f>
        <v>335.81626458207757</v>
      </c>
      <c r="Z33" s="128">
        <v>182</v>
      </c>
      <c r="AA33" s="153">
        <f t="shared" si="23"/>
        <v>4440.8</v>
      </c>
      <c r="AB33" s="153">
        <f t="shared" si="24"/>
        <v>5280.3804994054699</v>
      </c>
      <c r="AC33" s="158">
        <f>AB33/'a1'!AP35*1000000</f>
        <v>470.30144590399811</v>
      </c>
      <c r="AD33" s="128">
        <v>19.8</v>
      </c>
      <c r="AE33" s="153">
        <f t="shared" si="25"/>
        <v>483.12</v>
      </c>
      <c r="AF33" s="153">
        <f t="shared" si="26"/>
        <v>591.33414932680535</v>
      </c>
      <c r="AG33" s="158">
        <f>AF33/'a1'!AV35*1000000</f>
        <v>520.48197855066098</v>
      </c>
      <c r="AH33" s="128">
        <v>61</v>
      </c>
      <c r="AI33" s="153">
        <f t="shared" si="27"/>
        <v>1488.3999999999999</v>
      </c>
      <c r="AJ33" s="153">
        <f t="shared" si="28"/>
        <v>1948.1675392670156</v>
      </c>
      <c r="AK33" s="158">
        <f>AJ33/'a1'!BB35*1000000</f>
        <v>1913.9048152641567</v>
      </c>
      <c r="AL33" s="128">
        <v>203</v>
      </c>
      <c r="AM33" s="153">
        <f t="shared" si="29"/>
        <v>4953.2</v>
      </c>
      <c r="AN33" s="153">
        <f t="shared" si="30"/>
        <v>6675.4716981132069</v>
      </c>
      <c r="AO33" s="158">
        <f>AN33/'a1'!BH35*1000000</f>
        <v>2358.9506214161352</v>
      </c>
      <c r="AP33" s="128">
        <v>61.1</v>
      </c>
      <c r="AQ33" s="153">
        <f t="shared" si="31"/>
        <v>1490.84</v>
      </c>
      <c r="AR33" s="153">
        <f t="shared" si="32"/>
        <v>1906.4450127877237</v>
      </c>
      <c r="AS33" s="7">
        <f>AR33/'a1'!BN35*1000000</f>
        <v>482.81751017712526</v>
      </c>
    </row>
    <row r="34" spans="1:168">
      <c r="A34" s="14">
        <v>1998</v>
      </c>
      <c r="B34" s="153">
        <v>677</v>
      </c>
      <c r="C34" s="153">
        <f t="shared" si="11"/>
        <v>16518.8</v>
      </c>
      <c r="D34" s="153">
        <f t="shared" si="12"/>
        <v>20047.087378640776</v>
      </c>
      <c r="E34" s="153">
        <f>D34/'a1'!F36*1000000</f>
        <v>664.79762456148978</v>
      </c>
      <c r="F34" s="128">
        <v>9.23</v>
      </c>
      <c r="G34" s="153">
        <f t="shared" si="13"/>
        <v>225.21199999999999</v>
      </c>
      <c r="H34" s="153">
        <f t="shared" si="14"/>
        <v>284.71807838179518</v>
      </c>
      <c r="I34" s="158">
        <f>H34/'a1'!L36*1000000</f>
        <v>527.40904000199168</v>
      </c>
      <c r="J34" s="128">
        <v>2.17</v>
      </c>
      <c r="K34" s="153">
        <f t="shared" si="15"/>
        <v>52.947999999999993</v>
      </c>
      <c r="L34" s="153">
        <f t="shared" si="16"/>
        <v>65.610904584882263</v>
      </c>
      <c r="M34" s="153">
        <f>L34/'a1'!R36*1000000</f>
        <v>483.1293966663888</v>
      </c>
      <c r="N34" s="128">
        <v>19.5</v>
      </c>
      <c r="O34" s="153">
        <f t="shared" si="17"/>
        <v>475.79999999999995</v>
      </c>
      <c r="P34" s="153">
        <f t="shared" si="18"/>
        <v>576.0290556900726</v>
      </c>
      <c r="Q34" s="158">
        <f>P34/'a1'!X36*1000000</f>
        <v>618.1657026451785</v>
      </c>
      <c r="R34" s="128">
        <v>19.100000000000001</v>
      </c>
      <c r="S34" s="153">
        <f t="shared" si="19"/>
        <v>466.04</v>
      </c>
      <c r="T34" s="153">
        <f t="shared" si="20"/>
        <v>546.35404454865181</v>
      </c>
      <c r="U34" s="158">
        <f>T34/'a1'!AD36*1000000</f>
        <v>727.95763600209432</v>
      </c>
      <c r="V34" s="128">
        <v>83.2</v>
      </c>
      <c r="W34" s="153">
        <f t="shared" si="21"/>
        <v>2030.08</v>
      </c>
      <c r="X34" s="153">
        <f t="shared" si="22"/>
        <v>2440</v>
      </c>
      <c r="Y34" s="158">
        <f>X34/'a1'!AJ36*1000000</f>
        <v>334.43280402032093</v>
      </c>
      <c r="Z34" s="128">
        <v>186</v>
      </c>
      <c r="AA34" s="153">
        <f t="shared" si="23"/>
        <v>4538.3999999999996</v>
      </c>
      <c r="AB34" s="153">
        <f t="shared" si="24"/>
        <v>5396.4328180737211</v>
      </c>
      <c r="AC34" s="158">
        <f>AB34/'a1'!AP36*1000000</f>
        <v>474.79146774846282</v>
      </c>
      <c r="AD34" s="128">
        <v>19.399999999999999</v>
      </c>
      <c r="AE34" s="153">
        <f t="shared" si="25"/>
        <v>473.35999999999996</v>
      </c>
      <c r="AF34" s="153">
        <f t="shared" si="26"/>
        <v>579.38800489596076</v>
      </c>
      <c r="AG34" s="158">
        <f>AF34/'a1'!AV36*1000000</f>
        <v>509.35701786651185</v>
      </c>
      <c r="AH34" s="128">
        <v>63.4</v>
      </c>
      <c r="AI34" s="153">
        <f t="shared" si="27"/>
        <v>1546.9599999999998</v>
      </c>
      <c r="AJ34" s="153">
        <f t="shared" si="28"/>
        <v>2024.816753926701</v>
      </c>
      <c r="AK34" s="158">
        <f>AJ34/'a1'!BB36*1000000</f>
        <v>1990.3205186966507</v>
      </c>
      <c r="AL34" s="128">
        <v>206</v>
      </c>
      <c r="AM34" s="153">
        <f t="shared" si="29"/>
        <v>5026.3999999999996</v>
      </c>
      <c r="AN34" s="153">
        <f t="shared" si="30"/>
        <v>6774.1239892183276</v>
      </c>
      <c r="AO34" s="158">
        <f>AN34/'a1'!BH36*1000000</f>
        <v>2336.6573886963342</v>
      </c>
      <c r="AP34" s="128">
        <v>59.3</v>
      </c>
      <c r="AQ34" s="153">
        <f t="shared" si="31"/>
        <v>1446.9199999999998</v>
      </c>
      <c r="AR34" s="153">
        <f t="shared" si="32"/>
        <v>1850.2813299232732</v>
      </c>
      <c r="AS34" s="7">
        <f>AR34/'a1'!BN36*1000000</f>
        <v>464.53146820672004</v>
      </c>
    </row>
    <row r="35" spans="1:168">
      <c r="A35" s="14">
        <v>1999</v>
      </c>
      <c r="B35" s="153">
        <v>690</v>
      </c>
      <c r="C35" s="153">
        <f t="shared" si="11"/>
        <v>16836</v>
      </c>
      <c r="D35" s="153">
        <f t="shared" si="12"/>
        <v>20432.038834951454</v>
      </c>
      <c r="E35" s="153">
        <f>D35/'a1'!F37*1000000</f>
        <v>672.07810995072566</v>
      </c>
      <c r="F35" s="128">
        <v>11.8</v>
      </c>
      <c r="G35" s="153">
        <f t="shared" si="13"/>
        <v>287.92</v>
      </c>
      <c r="H35" s="153">
        <f t="shared" si="14"/>
        <v>363.99494310998739</v>
      </c>
      <c r="I35" s="158">
        <f>H35/'a1'!L37*1000000</f>
        <v>682.49606361174324</v>
      </c>
      <c r="J35" s="128">
        <v>2.15</v>
      </c>
      <c r="K35" s="153">
        <f t="shared" si="15"/>
        <v>52.459999999999994</v>
      </c>
      <c r="L35" s="153">
        <f t="shared" si="16"/>
        <v>65.006195786864922</v>
      </c>
      <c r="M35" s="153">
        <f>L35/'a1'!R37*1000000</f>
        <v>477.0011651430861</v>
      </c>
      <c r="N35" s="128">
        <v>19.8</v>
      </c>
      <c r="O35" s="153">
        <f t="shared" si="17"/>
        <v>483.12</v>
      </c>
      <c r="P35" s="153">
        <f t="shared" si="18"/>
        <v>584.89104116222768</v>
      </c>
      <c r="Q35" s="158">
        <f>P35/'a1'!X37*1000000</f>
        <v>626.36652712214789</v>
      </c>
      <c r="R35" s="128">
        <v>20.100000000000001</v>
      </c>
      <c r="S35" s="153">
        <f t="shared" si="19"/>
        <v>490.44</v>
      </c>
      <c r="T35" s="153">
        <f t="shared" si="20"/>
        <v>574.95896834701057</v>
      </c>
      <c r="U35" s="158">
        <f>T35/'a1'!AD37*1000000</f>
        <v>765.99813795479963</v>
      </c>
      <c r="V35" s="128">
        <v>85.1</v>
      </c>
      <c r="W35" s="153">
        <f t="shared" si="21"/>
        <v>2076.4399999999996</v>
      </c>
      <c r="X35" s="153">
        <f t="shared" si="22"/>
        <v>2495.7211538461534</v>
      </c>
      <c r="Y35" s="158">
        <f>X35/'a1'!AJ37*1000000</f>
        <v>340.79420391849976</v>
      </c>
      <c r="Z35" s="128">
        <v>187</v>
      </c>
      <c r="AA35" s="153">
        <f t="shared" si="23"/>
        <v>4562.8</v>
      </c>
      <c r="AB35" s="153">
        <f t="shared" si="24"/>
        <v>5425.4458977407849</v>
      </c>
      <c r="AC35" s="158">
        <f>AB35/'a1'!AP37*1000000</f>
        <v>471.58275090688858</v>
      </c>
      <c r="AD35" s="128">
        <v>19.7</v>
      </c>
      <c r="AE35" s="153">
        <f t="shared" si="25"/>
        <v>480.67999999999995</v>
      </c>
      <c r="AF35" s="153">
        <f t="shared" si="26"/>
        <v>588.34761321909411</v>
      </c>
      <c r="AG35" s="158">
        <f>AF35/'a1'!AV37*1000000</f>
        <v>514.98852745953786</v>
      </c>
      <c r="AH35" s="128">
        <v>63.8</v>
      </c>
      <c r="AI35" s="153">
        <f t="shared" si="27"/>
        <v>1556.7199999999998</v>
      </c>
      <c r="AJ35" s="153">
        <f t="shared" si="28"/>
        <v>2037.5916230366486</v>
      </c>
      <c r="AK35" s="158">
        <f>AJ35/'a1'!BB37*1000000</f>
        <v>2008.4213119025756</v>
      </c>
      <c r="AL35" s="128">
        <v>208</v>
      </c>
      <c r="AM35" s="153">
        <f t="shared" si="29"/>
        <v>5075.2</v>
      </c>
      <c r="AN35" s="153">
        <f t="shared" si="30"/>
        <v>6839.8921832884098</v>
      </c>
      <c r="AO35" s="158">
        <f>AN35/'a1'!BH37*1000000</f>
        <v>2316.4936211729532</v>
      </c>
      <c r="AP35" s="128">
        <v>60.1</v>
      </c>
      <c r="AQ35" s="153">
        <f t="shared" si="31"/>
        <v>1466.44</v>
      </c>
      <c r="AR35" s="153">
        <f t="shared" si="32"/>
        <v>1875.2429667519182</v>
      </c>
      <c r="AS35" s="7">
        <f>AR35/'a1'!BN37*1000000</f>
        <v>467.48134162273988</v>
      </c>
    </row>
    <row r="36" spans="1:168">
      <c r="A36" s="14">
        <v>2000</v>
      </c>
      <c r="B36" s="153">
        <v>716</v>
      </c>
      <c r="C36" s="153">
        <f t="shared" si="11"/>
        <v>17470.399999999998</v>
      </c>
      <c r="D36" s="153">
        <f t="shared" si="12"/>
        <v>21201.941747572811</v>
      </c>
      <c r="E36" s="153">
        <f>D36/'a1'!F38*1000000</f>
        <v>690.93815749447094</v>
      </c>
      <c r="F36" s="128">
        <v>8.7200000000000006</v>
      </c>
      <c r="G36" s="153">
        <f t="shared" si="13"/>
        <v>212.768</v>
      </c>
      <c r="H36" s="153">
        <f t="shared" si="14"/>
        <v>268.98609355246526</v>
      </c>
      <c r="I36" s="158">
        <f>H36/'a1'!L38*1000000</f>
        <v>509.47616617824872</v>
      </c>
      <c r="J36" s="128">
        <v>2.2000000000000002</v>
      </c>
      <c r="K36" s="153">
        <f t="shared" si="15"/>
        <v>53.68</v>
      </c>
      <c r="L36" s="153">
        <f t="shared" si="16"/>
        <v>66.517967781908297</v>
      </c>
      <c r="M36" s="153">
        <f>L36/'a1'!R38*1000000</f>
        <v>487.41824417020808</v>
      </c>
      <c r="N36" s="128">
        <v>20.9</v>
      </c>
      <c r="O36" s="153">
        <f t="shared" si="17"/>
        <v>509.95999999999992</v>
      </c>
      <c r="P36" s="153">
        <f t="shared" si="18"/>
        <v>617.38498789346238</v>
      </c>
      <c r="Q36" s="158">
        <f>P36/'a1'!X38*1000000</f>
        <v>661.13847074917192</v>
      </c>
      <c r="R36" s="128">
        <v>19.899999999999999</v>
      </c>
      <c r="S36" s="153">
        <f t="shared" si="19"/>
        <v>485.55999999999995</v>
      </c>
      <c r="T36" s="153">
        <f t="shared" si="20"/>
        <v>569.2379835873387</v>
      </c>
      <c r="U36" s="158">
        <f>T36/'a1'!AD38*1000000</f>
        <v>758.46114556677423</v>
      </c>
      <c r="V36" s="128">
        <v>82.3</v>
      </c>
      <c r="W36" s="153">
        <f t="shared" si="21"/>
        <v>2008.12</v>
      </c>
      <c r="X36" s="153">
        <f t="shared" si="22"/>
        <v>2413.6057692307691</v>
      </c>
      <c r="Y36" s="158">
        <f>X36/'a1'!AJ38*1000000</f>
        <v>328.07147542925992</v>
      </c>
      <c r="Z36" s="128">
        <v>200</v>
      </c>
      <c r="AA36" s="153">
        <f t="shared" si="23"/>
        <v>4880</v>
      </c>
      <c r="AB36" s="153">
        <f t="shared" si="24"/>
        <v>5802.6159334126041</v>
      </c>
      <c r="AC36" s="158">
        <f>AB36/'a1'!AP38*1000000</f>
        <v>496.65941129704078</v>
      </c>
      <c r="AD36" s="128">
        <v>21.2</v>
      </c>
      <c r="AE36" s="153">
        <f t="shared" si="25"/>
        <v>517.28</v>
      </c>
      <c r="AF36" s="153">
        <f t="shared" si="26"/>
        <v>633.14565483476133</v>
      </c>
      <c r="AG36" s="158">
        <f>AF36/'a1'!AV38*1000000</f>
        <v>551.85085049568977</v>
      </c>
      <c r="AH36" s="128">
        <v>66.5</v>
      </c>
      <c r="AI36" s="153">
        <f t="shared" si="27"/>
        <v>1622.6</v>
      </c>
      <c r="AJ36" s="153">
        <f t="shared" si="28"/>
        <v>2123.8219895287957</v>
      </c>
      <c r="AK36" s="158">
        <f>AJ36/'a1'!BB38*1000000</f>
        <v>2107.8759082826373</v>
      </c>
      <c r="AL36" s="128">
        <v>226</v>
      </c>
      <c r="AM36" s="153">
        <f t="shared" si="29"/>
        <v>5514.4</v>
      </c>
      <c r="AN36" s="153">
        <f t="shared" si="30"/>
        <v>7431.8059299191373</v>
      </c>
      <c r="AO36" s="158">
        <f>AN36/'a1'!BH38*1000000</f>
        <v>2473.8069627631526</v>
      </c>
      <c r="AP36" s="128">
        <v>61.6</v>
      </c>
      <c r="AQ36" s="153">
        <f t="shared" si="31"/>
        <v>1503.04</v>
      </c>
      <c r="AR36" s="153">
        <f t="shared" si="32"/>
        <v>1922.0460358056266</v>
      </c>
      <c r="AS36" s="7">
        <f>AR36/'a1'!BN38*1000000</f>
        <v>475.84466242467664</v>
      </c>
    </row>
    <row r="37" spans="1:168">
      <c r="A37" s="14">
        <v>2001</v>
      </c>
      <c r="B37" s="153">
        <v>709</v>
      </c>
      <c r="C37" s="153">
        <f t="shared" si="11"/>
        <v>17299.599999999999</v>
      </c>
      <c r="D37" s="153">
        <f t="shared" si="12"/>
        <v>20994.660194174754</v>
      </c>
      <c r="E37" s="153">
        <f>D37/'a1'!F39*1000000</f>
        <v>676.83183395783465</v>
      </c>
      <c r="F37" s="128">
        <v>9.48</v>
      </c>
      <c r="G37" s="153">
        <f t="shared" si="13"/>
        <v>231.31199999999998</v>
      </c>
      <c r="H37" s="153">
        <f t="shared" si="14"/>
        <v>292.4298356510746</v>
      </c>
      <c r="I37" s="158">
        <f>H37/'a1'!L39*1000000</f>
        <v>560.17499976261001</v>
      </c>
      <c r="J37" s="128">
        <v>2.09</v>
      </c>
      <c r="K37" s="153">
        <f t="shared" si="15"/>
        <v>50.995999999999995</v>
      </c>
      <c r="L37" s="153">
        <f t="shared" si="16"/>
        <v>63.192069392812876</v>
      </c>
      <c r="M37" s="153">
        <f>L37/'a1'!R39*1000000</f>
        <v>462.39340123378582</v>
      </c>
      <c r="N37" s="128">
        <v>20.100000000000001</v>
      </c>
      <c r="O37" s="153">
        <f t="shared" si="17"/>
        <v>490.44</v>
      </c>
      <c r="P37" s="153">
        <f t="shared" si="18"/>
        <v>593.75302663438265</v>
      </c>
      <c r="Q37" s="158">
        <f>P37/'a1'!X39*1000000</f>
        <v>636.76387964916523</v>
      </c>
      <c r="R37" s="128">
        <v>22.2</v>
      </c>
      <c r="S37" s="153">
        <f t="shared" si="19"/>
        <v>541.67999999999995</v>
      </c>
      <c r="T37" s="153">
        <f t="shared" si="20"/>
        <v>635.02930832356378</v>
      </c>
      <c r="U37" s="158">
        <f>T37/'a1'!AD39*1000000</f>
        <v>846.93046331435119</v>
      </c>
      <c r="V37" s="128">
        <v>80.2</v>
      </c>
      <c r="W37" s="153">
        <f t="shared" si="21"/>
        <v>1956.8799999999999</v>
      </c>
      <c r="X37" s="153">
        <f t="shared" si="22"/>
        <v>2352.0192307692305</v>
      </c>
      <c r="Y37" s="158">
        <f>X37/'a1'!AJ39*1000000</f>
        <v>317.99810348796319</v>
      </c>
      <c r="Z37" s="128">
        <v>192</v>
      </c>
      <c r="AA37" s="153">
        <f t="shared" si="23"/>
        <v>4684.7999999999993</v>
      </c>
      <c r="AB37" s="153">
        <f t="shared" si="24"/>
        <v>5570.5112960760998</v>
      </c>
      <c r="AC37" s="158">
        <f>AB37/'a1'!AP39*1000000</f>
        <v>468.24149730694228</v>
      </c>
      <c r="AD37" s="128">
        <v>19.600000000000001</v>
      </c>
      <c r="AE37" s="153">
        <f t="shared" si="25"/>
        <v>478.24</v>
      </c>
      <c r="AF37" s="153">
        <f t="shared" si="26"/>
        <v>585.36107711138311</v>
      </c>
      <c r="AG37" s="158">
        <f>AF37/'a1'!AV39*1000000</f>
        <v>508.37350229702406</v>
      </c>
      <c r="AH37" s="128">
        <v>65.8</v>
      </c>
      <c r="AI37" s="153">
        <f t="shared" si="27"/>
        <v>1605.5199999999998</v>
      </c>
      <c r="AJ37" s="153">
        <f t="shared" si="28"/>
        <v>2101.4659685863867</v>
      </c>
      <c r="AK37" s="158">
        <f>AJ37/'a1'!BB39*1000000</f>
        <v>2101.0016472223506</v>
      </c>
      <c r="AL37" s="128">
        <v>226</v>
      </c>
      <c r="AM37" s="153">
        <f t="shared" si="29"/>
        <v>5514.4</v>
      </c>
      <c r="AN37" s="153">
        <f t="shared" si="30"/>
        <v>7431.8059299191373</v>
      </c>
      <c r="AO37" s="158">
        <f>AN37/'a1'!BH39*1000000</f>
        <v>2430.269658382912</v>
      </c>
      <c r="AP37" s="128">
        <v>63.1</v>
      </c>
      <c r="AQ37" s="153">
        <f t="shared" si="31"/>
        <v>1539.6399999999999</v>
      </c>
      <c r="AR37" s="153">
        <f t="shared" si="32"/>
        <v>1968.8491048593351</v>
      </c>
      <c r="AS37" s="7">
        <f>AR37/'a1'!BN39*1000000</f>
        <v>483.00333463665135</v>
      </c>
    </row>
    <row r="38" spans="1:168">
      <c r="A38" s="14">
        <v>2002</v>
      </c>
      <c r="B38" s="153">
        <v>715</v>
      </c>
      <c r="C38" s="153">
        <f t="shared" si="11"/>
        <v>17446</v>
      </c>
      <c r="D38" s="153">
        <f t="shared" si="12"/>
        <v>21172.330097087379</v>
      </c>
      <c r="E38" s="153">
        <f>D38/'a1'!F40*1000000</f>
        <v>675.27468238751419</v>
      </c>
      <c r="F38" s="128">
        <v>11.7</v>
      </c>
      <c r="G38" s="153">
        <f t="shared" si="13"/>
        <v>285.47999999999996</v>
      </c>
      <c r="H38" s="153">
        <f t="shared" si="14"/>
        <v>360.91024020227559</v>
      </c>
      <c r="I38" s="158">
        <f>H38/'a1'!L40*1000000</f>
        <v>694.68470640303576</v>
      </c>
      <c r="J38" s="128">
        <v>2.12</v>
      </c>
      <c r="K38" s="153">
        <f t="shared" si="15"/>
        <v>51.728000000000002</v>
      </c>
      <c r="L38" s="153">
        <f t="shared" si="16"/>
        <v>64.099132589838916</v>
      </c>
      <c r="M38" s="153">
        <f>L38/'a1'!R40*1000000</f>
        <v>468.30074366462281</v>
      </c>
      <c r="N38" s="128">
        <v>19.5</v>
      </c>
      <c r="O38" s="153">
        <f t="shared" si="17"/>
        <v>475.79999999999995</v>
      </c>
      <c r="P38" s="153">
        <f t="shared" si="18"/>
        <v>576.0290556900726</v>
      </c>
      <c r="Q38" s="158">
        <f>P38/'a1'!X40*1000000</f>
        <v>616.06397297377328</v>
      </c>
      <c r="R38" s="128">
        <v>20.9</v>
      </c>
      <c r="S38" s="153">
        <f t="shared" si="19"/>
        <v>509.95999999999992</v>
      </c>
      <c r="T38" s="153">
        <f t="shared" si="20"/>
        <v>597.84290738569746</v>
      </c>
      <c r="U38" s="158">
        <f>T38/'a1'!AD40*1000000</f>
        <v>797.83554582113572</v>
      </c>
      <c r="V38" s="128">
        <v>82.9</v>
      </c>
      <c r="W38" s="153">
        <f t="shared" si="21"/>
        <v>2022.76</v>
      </c>
      <c r="X38" s="153">
        <f t="shared" si="22"/>
        <v>2431.2019230769229</v>
      </c>
      <c r="Y38" s="158">
        <f>X38/'a1'!AJ40*1000000</f>
        <v>326.7271995443835</v>
      </c>
      <c r="Z38" s="128">
        <v>198</v>
      </c>
      <c r="AA38" s="153">
        <f t="shared" si="23"/>
        <v>4831.2</v>
      </c>
      <c r="AB38" s="153">
        <f t="shared" si="24"/>
        <v>5744.5897740784785</v>
      </c>
      <c r="AC38" s="158">
        <f>AB38/'a1'!AP40*1000000</f>
        <v>475.11173565777392</v>
      </c>
      <c r="AD38" s="128">
        <v>20.399999999999999</v>
      </c>
      <c r="AE38" s="153">
        <f t="shared" si="25"/>
        <v>497.75999999999993</v>
      </c>
      <c r="AF38" s="153">
        <f t="shared" si="26"/>
        <v>609.25336597307205</v>
      </c>
      <c r="AG38" s="158">
        <f>AF38/'a1'!AV40*1000000</f>
        <v>526.75645697659638</v>
      </c>
      <c r="AH38" s="128">
        <v>66.7</v>
      </c>
      <c r="AI38" s="153">
        <f t="shared" si="27"/>
        <v>1627.48</v>
      </c>
      <c r="AJ38" s="153">
        <f t="shared" si="28"/>
        <v>2130.2094240837696</v>
      </c>
      <c r="AK38" s="158">
        <f>AJ38/'a1'!BB40*1000000</f>
        <v>2137.0458337057944</v>
      </c>
      <c r="AL38" s="128">
        <v>226</v>
      </c>
      <c r="AM38" s="153">
        <f t="shared" si="29"/>
        <v>5514.4</v>
      </c>
      <c r="AN38" s="153">
        <f t="shared" si="30"/>
        <v>7431.8059299191373</v>
      </c>
      <c r="AO38" s="158">
        <f>AN38/'a1'!BH40*1000000</f>
        <v>2375.6205895219155</v>
      </c>
      <c r="AP38" s="128">
        <v>60.5</v>
      </c>
      <c r="AQ38" s="153">
        <f t="shared" si="31"/>
        <v>1476.1999999999998</v>
      </c>
      <c r="AR38" s="153">
        <f t="shared" si="32"/>
        <v>1887.7237851662401</v>
      </c>
      <c r="AS38" s="7">
        <f>AR38/'a1'!BN40*1000000</f>
        <v>460.62513272147771</v>
      </c>
    </row>
    <row r="39" spans="1:168">
      <c r="A39" s="14">
        <v>2003</v>
      </c>
      <c r="B39" s="153">
        <v>738</v>
      </c>
      <c r="C39" s="153">
        <f t="shared" si="11"/>
        <v>18007.2</v>
      </c>
      <c r="D39" s="153">
        <f t="shared" si="12"/>
        <v>21853.398058252427</v>
      </c>
      <c r="E39" s="153">
        <f>D39/'a1'!F41*1000000</f>
        <v>690.69614374146215</v>
      </c>
      <c r="F39" s="128">
        <v>10.9</v>
      </c>
      <c r="G39" s="153">
        <f t="shared" si="13"/>
        <v>265.95999999999998</v>
      </c>
      <c r="H39" s="153">
        <f t="shared" si="14"/>
        <v>336.23261694058152</v>
      </c>
      <c r="I39" s="158">
        <f>H39/'a1'!L41*1000000</f>
        <v>648.44676568036243</v>
      </c>
      <c r="J39" s="128">
        <v>2.2200000000000002</v>
      </c>
      <c r="K39" s="153">
        <f t="shared" si="15"/>
        <v>54.167999999999999</v>
      </c>
      <c r="L39" s="153">
        <f t="shared" si="16"/>
        <v>67.122676579925653</v>
      </c>
      <c r="M39" s="153">
        <f>L39/'a1'!R41*1000000</f>
        <v>489.15746554773432</v>
      </c>
      <c r="N39" s="128">
        <v>21.6</v>
      </c>
      <c r="O39" s="153">
        <f t="shared" si="17"/>
        <v>527.04</v>
      </c>
      <c r="P39" s="153">
        <f t="shared" si="18"/>
        <v>638.06295399515739</v>
      </c>
      <c r="Q39" s="158">
        <f>P39/'a1'!X41*1000000</f>
        <v>680.60701808887484</v>
      </c>
      <c r="R39" s="128">
        <v>20.6</v>
      </c>
      <c r="S39" s="153">
        <f t="shared" si="19"/>
        <v>502.64</v>
      </c>
      <c r="T39" s="153">
        <f t="shared" si="20"/>
        <v>589.26143024618989</v>
      </c>
      <c r="U39" s="158">
        <f>T39/'a1'!AD41*1000000</f>
        <v>786.32249772306488</v>
      </c>
      <c r="V39" s="128">
        <v>87.7</v>
      </c>
      <c r="W39" s="153">
        <f t="shared" si="21"/>
        <v>2139.88</v>
      </c>
      <c r="X39" s="153">
        <f t="shared" si="22"/>
        <v>2571.9711538461538</v>
      </c>
      <c r="Y39" s="158">
        <f>X39/'a1'!AJ41*1000000</f>
        <v>343.57825454493587</v>
      </c>
      <c r="Z39" s="128">
        <v>202</v>
      </c>
      <c r="AA39" s="153">
        <f t="shared" si="23"/>
        <v>4928.7999999999993</v>
      </c>
      <c r="AB39" s="153">
        <f t="shared" si="24"/>
        <v>5860.6420927467298</v>
      </c>
      <c r="AC39" s="158">
        <f>AB39/'a1'!AP41*1000000</f>
        <v>478.72172861581583</v>
      </c>
      <c r="AD39" s="128">
        <v>21</v>
      </c>
      <c r="AE39" s="153">
        <f t="shared" si="25"/>
        <v>512.4</v>
      </c>
      <c r="AF39" s="153">
        <f t="shared" si="26"/>
        <v>627.17258261933898</v>
      </c>
      <c r="AG39" s="158">
        <f>AF39/'a1'!AV41*1000000</f>
        <v>538.89185742743416</v>
      </c>
      <c r="AH39" s="128">
        <v>69.099999999999994</v>
      </c>
      <c r="AI39" s="153">
        <f t="shared" si="27"/>
        <v>1686.0399999999997</v>
      </c>
      <c r="AJ39" s="153">
        <f t="shared" si="28"/>
        <v>2206.8586387434548</v>
      </c>
      <c r="AK39" s="158">
        <f>AJ39/'a1'!BB41*1000000</f>
        <v>2214.6475541915465</v>
      </c>
      <c r="AL39" s="128">
        <v>234</v>
      </c>
      <c r="AM39" s="153">
        <f t="shared" si="29"/>
        <v>5709.5999999999995</v>
      </c>
      <c r="AN39" s="153">
        <f t="shared" si="30"/>
        <v>7694.8787061994608</v>
      </c>
      <c r="AO39" s="158">
        <f>AN39/'a1'!BH41*1000000</f>
        <v>2417.1917996377015</v>
      </c>
      <c r="AP39" s="128">
        <v>61.5</v>
      </c>
      <c r="AQ39" s="153">
        <f t="shared" si="31"/>
        <v>1500.6</v>
      </c>
      <c r="AR39" s="153">
        <f t="shared" si="32"/>
        <v>1918.9258312020459</v>
      </c>
      <c r="AS39" s="7">
        <f>AR39/'a1'!BN41*1000000</f>
        <v>465.48799077091229</v>
      </c>
    </row>
    <row r="40" spans="1:168">
      <c r="A40" s="14">
        <v>2004</v>
      </c>
      <c r="B40" s="153">
        <v>742</v>
      </c>
      <c r="C40" s="153">
        <f t="shared" si="11"/>
        <v>18104.8</v>
      </c>
      <c r="D40" s="153">
        <f t="shared" si="12"/>
        <v>21971.844660194172</v>
      </c>
      <c r="E40" s="153">
        <f>D40/'a1'!F42*1000000</f>
        <v>687.89541774864665</v>
      </c>
      <c r="F40" s="128">
        <v>10</v>
      </c>
      <c r="G40" s="153">
        <f t="shared" si="13"/>
        <v>244</v>
      </c>
      <c r="H40" s="153">
        <f t="shared" si="14"/>
        <v>308.47029077117577</v>
      </c>
      <c r="I40" s="158">
        <f>H40/'a1'!L42*1000000</f>
        <v>596.13891040275769</v>
      </c>
      <c r="J40" s="128">
        <v>2.31</v>
      </c>
      <c r="K40" s="153">
        <f t="shared" si="15"/>
        <v>56.363999999999997</v>
      </c>
      <c r="L40" s="153">
        <f t="shared" si="16"/>
        <v>69.843866171003711</v>
      </c>
      <c r="M40" s="153">
        <f>L40/'a1'!R42*1000000</f>
        <v>507.31340827609944</v>
      </c>
      <c r="N40" s="128">
        <v>23.3</v>
      </c>
      <c r="O40" s="153">
        <f t="shared" si="17"/>
        <v>568.52</v>
      </c>
      <c r="P40" s="153">
        <f t="shared" si="18"/>
        <v>688.28087167070225</v>
      </c>
      <c r="Q40" s="158">
        <f>P40/'a1'!X42*1000000</f>
        <v>732.7000814058506</v>
      </c>
      <c r="R40" s="128">
        <v>21.8</v>
      </c>
      <c r="S40" s="153">
        <f t="shared" si="19"/>
        <v>531.91999999999996</v>
      </c>
      <c r="T40" s="153">
        <f t="shared" si="20"/>
        <v>623.58733880422028</v>
      </c>
      <c r="U40" s="158">
        <f>T40/'a1'!AD42*1000000</f>
        <v>832.14990052193286</v>
      </c>
      <c r="V40" s="128">
        <v>89.4</v>
      </c>
      <c r="W40" s="153">
        <f t="shared" si="21"/>
        <v>2181.36</v>
      </c>
      <c r="X40" s="153">
        <f t="shared" si="22"/>
        <v>2621.8269230769229</v>
      </c>
      <c r="Y40" s="158">
        <f>X40/'a1'!AJ42*1000000</f>
        <v>347.91024743955558</v>
      </c>
      <c r="Z40" s="128">
        <v>201</v>
      </c>
      <c r="AA40" s="153">
        <f t="shared" si="23"/>
        <v>4904.3999999999996</v>
      </c>
      <c r="AB40" s="153">
        <f t="shared" si="24"/>
        <v>5831.6290130796669</v>
      </c>
      <c r="AC40" s="158">
        <f>AB40/'a1'!AP42*1000000</f>
        <v>470.64948297331443</v>
      </c>
      <c r="AD40" s="128">
        <v>21.2</v>
      </c>
      <c r="AE40" s="153">
        <f t="shared" si="25"/>
        <v>517.28</v>
      </c>
      <c r="AF40" s="153">
        <f t="shared" si="26"/>
        <v>633.14565483476133</v>
      </c>
      <c r="AG40" s="158">
        <f>AF40/'a1'!AV42*1000000</f>
        <v>539.50579246055304</v>
      </c>
      <c r="AH40" s="128">
        <v>70.7</v>
      </c>
      <c r="AI40" s="153">
        <f t="shared" si="27"/>
        <v>1725.08</v>
      </c>
      <c r="AJ40" s="153">
        <f t="shared" si="28"/>
        <v>2257.9581151832458</v>
      </c>
      <c r="AK40" s="158">
        <f>AJ40/'a1'!BB42*1000000</f>
        <v>2263.7374368595483</v>
      </c>
      <c r="AL40" s="128">
        <v>237</v>
      </c>
      <c r="AM40" s="153">
        <f t="shared" si="29"/>
        <v>5782.7999999999993</v>
      </c>
      <c r="AN40" s="153">
        <f t="shared" si="30"/>
        <v>7793.5309973045805</v>
      </c>
      <c r="AO40" s="158">
        <f>AN40/'a1'!BH42*1000000</f>
        <v>2405.803601052326</v>
      </c>
      <c r="AP40" s="128">
        <v>65.400000000000006</v>
      </c>
      <c r="AQ40" s="153">
        <f t="shared" si="31"/>
        <v>1595.76</v>
      </c>
      <c r="AR40" s="153">
        <f t="shared" si="32"/>
        <v>2040.613810741688</v>
      </c>
      <c r="AS40" s="7">
        <f>AR40/'a1'!BN42*1000000</f>
        <v>491.10236422136478</v>
      </c>
    </row>
    <row r="41" spans="1:168">
      <c r="A41" s="14">
        <v>2005</v>
      </c>
      <c r="B41" s="153">
        <v>731</v>
      </c>
      <c r="C41" s="153">
        <f t="shared" si="11"/>
        <v>17836.399999999998</v>
      </c>
      <c r="D41" s="153">
        <f t="shared" si="12"/>
        <v>21646.116504854366</v>
      </c>
      <c r="E41" s="153">
        <f>D41/'a1'!F43*1000000</f>
        <v>671.29713765708152</v>
      </c>
      <c r="F41" s="128">
        <v>9.94</v>
      </c>
      <c r="G41" s="153">
        <f t="shared" si="13"/>
        <v>242.53599999999997</v>
      </c>
      <c r="H41" s="153">
        <f t="shared" si="14"/>
        <v>306.6194690265487</v>
      </c>
      <c r="I41" s="158">
        <f>H41/'a1'!L43*1000000</f>
        <v>596.11494027865285</v>
      </c>
      <c r="J41" s="128">
        <v>2.23</v>
      </c>
      <c r="K41" s="153">
        <f t="shared" si="15"/>
        <v>54.411999999999999</v>
      </c>
      <c r="L41" s="153">
        <f t="shared" si="16"/>
        <v>67.425030978934316</v>
      </c>
      <c r="M41" s="153">
        <f>L41/'a1'!R43*1000000</f>
        <v>488.39253180931019</v>
      </c>
      <c r="N41" s="128">
        <v>22.3</v>
      </c>
      <c r="O41" s="153">
        <f t="shared" si="17"/>
        <v>544.12</v>
      </c>
      <c r="P41" s="153">
        <f t="shared" si="18"/>
        <v>658.74092009685239</v>
      </c>
      <c r="Q41" s="158">
        <f>P41/'a1'!X43*1000000</f>
        <v>702.32660700070949</v>
      </c>
      <c r="R41" s="128">
        <v>21.8</v>
      </c>
      <c r="S41" s="153">
        <f t="shared" si="19"/>
        <v>531.91999999999996</v>
      </c>
      <c r="T41" s="153">
        <f t="shared" si="20"/>
        <v>623.58733880422028</v>
      </c>
      <c r="U41" s="158">
        <f>T41/'a1'!AD43*1000000</f>
        <v>833.71749666321773</v>
      </c>
      <c r="V41" s="128">
        <v>85.9</v>
      </c>
      <c r="W41" s="153">
        <f t="shared" si="21"/>
        <v>2095.96</v>
      </c>
      <c r="X41" s="153">
        <f t="shared" si="22"/>
        <v>2519.1826923076924</v>
      </c>
      <c r="Y41" s="158">
        <f>X41/'a1'!AJ43*1000000</f>
        <v>332.26223471993967</v>
      </c>
      <c r="Z41" s="128">
        <v>202</v>
      </c>
      <c r="AA41" s="153">
        <f t="shared" si="23"/>
        <v>4928.7999999999993</v>
      </c>
      <c r="AB41" s="153">
        <f t="shared" si="24"/>
        <v>5860.6420927467298</v>
      </c>
      <c r="AC41" s="158">
        <f>AB41/'a1'!AP43*1000000</f>
        <v>467.7855647889233</v>
      </c>
      <c r="AD41" s="128">
        <v>20.9</v>
      </c>
      <c r="AE41" s="153">
        <f t="shared" si="25"/>
        <v>509.95999999999992</v>
      </c>
      <c r="AF41" s="153">
        <f t="shared" si="26"/>
        <v>624.18604651162775</v>
      </c>
      <c r="AG41" s="158">
        <f>AF41/'a1'!AV43*1000000</f>
        <v>529.73395296416425</v>
      </c>
      <c r="AH41" s="128">
        <v>71.3</v>
      </c>
      <c r="AI41" s="153">
        <f t="shared" si="27"/>
        <v>1739.7199999999998</v>
      </c>
      <c r="AJ41" s="153">
        <f t="shared" si="28"/>
        <v>2277.120418848167</v>
      </c>
      <c r="AK41" s="158">
        <f>AJ41/'a1'!BB43*1000000</f>
        <v>2291.836299728725</v>
      </c>
      <c r="AL41" s="128">
        <v>231</v>
      </c>
      <c r="AM41" s="153">
        <f t="shared" si="29"/>
        <v>5636.4</v>
      </c>
      <c r="AN41" s="153">
        <f t="shared" si="30"/>
        <v>7596.2264150943392</v>
      </c>
      <c r="AO41" s="158">
        <f>AN41/'a1'!BH43*1000000</f>
        <v>2286.5048507297392</v>
      </c>
      <c r="AP41" s="128">
        <v>62.7</v>
      </c>
      <c r="AQ41" s="153">
        <f t="shared" si="31"/>
        <v>1529.8799999999999</v>
      </c>
      <c r="AR41" s="153">
        <f t="shared" si="32"/>
        <v>1956.3682864450127</v>
      </c>
      <c r="AS41" s="7">
        <f>AR41/'a1'!BN43*1000000</f>
        <v>466.15847320498739</v>
      </c>
    </row>
    <row r="42" spans="1:168">
      <c r="A42" s="14">
        <v>2006</v>
      </c>
      <c r="B42" s="153">
        <v>719</v>
      </c>
      <c r="C42" s="153">
        <f t="shared" si="11"/>
        <v>17543.599999999999</v>
      </c>
      <c r="D42" s="153">
        <f t="shared" si="12"/>
        <v>21290.77669902912</v>
      </c>
      <c r="E42" s="153">
        <f>D42/'a1'!F44*1000000</f>
        <v>653.57098277186867</v>
      </c>
      <c r="F42" s="128">
        <v>9.36</v>
      </c>
      <c r="G42" s="153">
        <f t="shared" si="13"/>
        <v>228.38399999999999</v>
      </c>
      <c r="H42" s="153">
        <f t="shared" si="14"/>
        <v>288.72819216182046</v>
      </c>
      <c r="I42" s="158">
        <f>H42/'a1'!L44*1000000</f>
        <v>565.78647254101008</v>
      </c>
      <c r="J42" s="128">
        <v>2.12</v>
      </c>
      <c r="K42" s="153">
        <f t="shared" si="15"/>
        <v>51.728000000000002</v>
      </c>
      <c r="L42" s="153">
        <f t="shared" si="16"/>
        <v>64.099132589838916</v>
      </c>
      <c r="M42" s="153">
        <f>L42/'a1'!R44*1000000</f>
        <v>464.75589174767197</v>
      </c>
      <c r="N42" s="128">
        <v>20.7</v>
      </c>
      <c r="O42" s="153">
        <f t="shared" si="17"/>
        <v>505.07999999999993</v>
      </c>
      <c r="P42" s="153">
        <f t="shared" si="18"/>
        <v>611.47699757869248</v>
      </c>
      <c r="Q42" s="158">
        <f>P42/'a1'!X44*1000000</f>
        <v>651.88750394845738</v>
      </c>
      <c r="R42" s="128">
        <v>19.3</v>
      </c>
      <c r="S42" s="153">
        <f t="shared" si="19"/>
        <v>470.92</v>
      </c>
      <c r="T42" s="153">
        <f t="shared" si="20"/>
        <v>552.07502930832356</v>
      </c>
      <c r="U42" s="158">
        <f>T42/'a1'!AD44*1000000</f>
        <v>740.37049609926532</v>
      </c>
      <c r="V42" s="128">
        <v>84.3</v>
      </c>
      <c r="W42" s="153">
        <f t="shared" si="21"/>
        <v>2056.9199999999996</v>
      </c>
      <c r="X42" s="153">
        <f t="shared" si="22"/>
        <v>2472.2596153846148</v>
      </c>
      <c r="Y42" s="158">
        <f>X42/'a1'!AJ44*1000000</f>
        <v>323.9524038340582</v>
      </c>
      <c r="Z42" s="128">
        <v>194</v>
      </c>
      <c r="AA42" s="153">
        <f t="shared" si="23"/>
        <v>4733.5999999999995</v>
      </c>
      <c r="AB42" s="153">
        <f t="shared" si="24"/>
        <v>5628.5374554102254</v>
      </c>
      <c r="AC42" s="158">
        <f>AB42/'a1'!AP44*1000000</f>
        <v>444.40455518627169</v>
      </c>
      <c r="AD42" s="128">
        <v>21</v>
      </c>
      <c r="AE42" s="153">
        <f t="shared" si="25"/>
        <v>512.4</v>
      </c>
      <c r="AF42" s="153">
        <f t="shared" si="26"/>
        <v>627.17258261933898</v>
      </c>
      <c r="AG42" s="158">
        <f>AF42/'a1'!AV44*1000000</f>
        <v>529.69270451477951</v>
      </c>
      <c r="AH42" s="128">
        <v>70.400000000000006</v>
      </c>
      <c r="AI42" s="153">
        <f t="shared" si="27"/>
        <v>1717.76</v>
      </c>
      <c r="AJ42" s="153">
        <f t="shared" si="28"/>
        <v>2248.376963350785</v>
      </c>
      <c r="AK42" s="158">
        <f>AJ42/'a1'!BB44*1000000</f>
        <v>2266.2303258578931</v>
      </c>
      <c r="AL42" s="128">
        <v>235</v>
      </c>
      <c r="AM42" s="153">
        <f t="shared" si="29"/>
        <v>5734</v>
      </c>
      <c r="AN42" s="153">
        <f t="shared" si="30"/>
        <v>7727.762803234501</v>
      </c>
      <c r="AO42" s="158">
        <f>AN42/'a1'!BH44*1000000</f>
        <v>2258.7522183347742</v>
      </c>
      <c r="AP42" s="128">
        <v>61.6</v>
      </c>
      <c r="AQ42" s="153">
        <f t="shared" si="31"/>
        <v>1503.04</v>
      </c>
      <c r="AR42" s="153">
        <f t="shared" si="32"/>
        <v>1922.0460358056266</v>
      </c>
      <c r="AS42" s="7">
        <f>AR42/'a1'!BN44*1000000</f>
        <v>452.9303172806043</v>
      </c>
    </row>
    <row r="43" spans="1:168">
      <c r="A43" s="14">
        <v>2007</v>
      </c>
      <c r="B43" s="153">
        <v>748</v>
      </c>
      <c r="C43" s="153">
        <f t="shared" si="11"/>
        <v>18251.2</v>
      </c>
      <c r="D43" s="153">
        <f t="shared" si="12"/>
        <v>22149.514563106794</v>
      </c>
      <c r="E43" s="153">
        <f>D43/'a1'!F45*1000000</f>
        <v>672.62964334107403</v>
      </c>
      <c r="F43" s="128">
        <v>10.5</v>
      </c>
      <c r="G43" s="153">
        <f>F43*24.4</f>
        <v>256.2</v>
      </c>
      <c r="H43" s="153">
        <f>G43*100/79.1</f>
        <v>323.89380530973455</v>
      </c>
      <c r="I43" s="158">
        <f>H43/'a1'!L45*1000000</f>
        <v>639.62724621229268</v>
      </c>
      <c r="J43" s="128">
        <v>2.0699999999999998</v>
      </c>
      <c r="K43" s="153">
        <f>J43*24.4</f>
        <v>50.507999999999996</v>
      </c>
      <c r="L43" s="153">
        <f t="shared" si="16"/>
        <v>62.587360594795527</v>
      </c>
      <c r="M43" s="153">
        <f>L43/'a1'!R45*1000000</f>
        <v>453.00309490229171</v>
      </c>
      <c r="N43" s="128">
        <v>21.4</v>
      </c>
      <c r="O43" s="153">
        <f>N43*24.4</f>
        <v>522.16</v>
      </c>
      <c r="P43" s="153">
        <f t="shared" si="18"/>
        <v>632.15496368038748</v>
      </c>
      <c r="Q43" s="153">
        <f>P43/'a1'!X45*1000000</f>
        <v>675.52790857858406</v>
      </c>
      <c r="R43" s="128">
        <v>19.8</v>
      </c>
      <c r="S43" s="153">
        <f>R43*24.4</f>
        <v>483.12</v>
      </c>
      <c r="T43" s="153">
        <f t="shared" si="20"/>
        <v>566.377491207503</v>
      </c>
      <c r="U43" s="158">
        <f>T43/'a1'!AD45*1000000</f>
        <v>759.71307244992124</v>
      </c>
      <c r="V43" s="128">
        <v>87.1</v>
      </c>
      <c r="W43" s="153">
        <f>V43*24.4</f>
        <v>2125.2399999999998</v>
      </c>
      <c r="X43" s="153">
        <f t="shared" si="22"/>
        <v>2554.3749999999995</v>
      </c>
      <c r="Y43" s="158">
        <f>X43/'a1'!AJ45*1000000</f>
        <v>332.27975096466002</v>
      </c>
      <c r="Z43" s="128">
        <v>200</v>
      </c>
      <c r="AA43" s="153">
        <f>Z43*24.4</f>
        <v>4880</v>
      </c>
      <c r="AB43" s="153">
        <f t="shared" si="24"/>
        <v>5802.6159334126041</v>
      </c>
      <c r="AC43" s="158">
        <f>AB43/'a1'!AP45*1000000</f>
        <v>453.57965363329811</v>
      </c>
      <c r="AD43" s="128">
        <v>21.5</v>
      </c>
      <c r="AE43" s="153">
        <f>AD43*24.4</f>
        <v>524.6</v>
      </c>
      <c r="AF43" s="153">
        <f t="shared" si="26"/>
        <v>642.10526315789468</v>
      </c>
      <c r="AG43" s="158">
        <f>AF43/'a1'!AV45*1000000</f>
        <v>537.97575246271629</v>
      </c>
      <c r="AH43" s="128">
        <v>72.7</v>
      </c>
      <c r="AI43" s="153">
        <f>AH43*24.4</f>
        <v>1773.8799999999999</v>
      </c>
      <c r="AJ43" s="153">
        <f t="shared" si="28"/>
        <v>2321.8324607329841</v>
      </c>
      <c r="AK43" s="158">
        <f>AJ43/'a1'!BB45*1000000</f>
        <v>2321.2359031058863</v>
      </c>
      <c r="AL43" s="128">
        <v>247</v>
      </c>
      <c r="AM43" s="153">
        <f>AL43*24.4</f>
        <v>6026.7999999999993</v>
      </c>
      <c r="AN43" s="153">
        <f t="shared" si="30"/>
        <v>8122.3719676549845</v>
      </c>
      <c r="AO43" s="158">
        <f>AN43/'a1'!BH45*1000000</f>
        <v>2312.2933294317618</v>
      </c>
      <c r="AP43" s="128">
        <v>65.2</v>
      </c>
      <c r="AQ43" s="153">
        <f>AP43*24.4</f>
        <v>1590.8799999999999</v>
      </c>
      <c r="AR43" s="153">
        <f t="shared" si="32"/>
        <v>2034.3734015345267</v>
      </c>
      <c r="AS43" s="7">
        <f>AR43/'a1'!BN45*1000000</f>
        <v>472.05269534255518</v>
      </c>
    </row>
    <row r="44" spans="1:168">
      <c r="A44" s="14">
        <v>2008</v>
      </c>
      <c r="B44" s="153">
        <v>732</v>
      </c>
      <c r="C44" s="153">
        <f t="shared" si="11"/>
        <v>17860.8</v>
      </c>
      <c r="D44" s="153">
        <f t="shared" si="12"/>
        <v>21675.728155339806</v>
      </c>
      <c r="E44" s="153">
        <f>D44/'a1'!F46*1000000</f>
        <v>650.61063062777464</v>
      </c>
      <c r="F44" s="128">
        <v>9.85</v>
      </c>
      <c r="G44" s="153">
        <f>F44*24.4</f>
        <v>240.33999999999997</v>
      </c>
      <c r="H44" s="153">
        <f>G44*100/79.1</f>
        <v>303.84323640960804</v>
      </c>
      <c r="I44" s="153">
        <f>H44/'a1'!L46*1000000</f>
        <v>600.25175458690273</v>
      </c>
      <c r="J44" s="128">
        <v>1.99</v>
      </c>
      <c r="K44" s="153">
        <f>J44*24.4</f>
        <v>48.555999999999997</v>
      </c>
      <c r="L44" s="153">
        <f t="shared" ref="L44" si="44">K44*100/80.7</f>
        <v>60.168525402726139</v>
      </c>
      <c r="M44" s="153">
        <f>L44/'a1'!R46*1000000</f>
        <v>431.17650508958496</v>
      </c>
      <c r="N44" s="128">
        <v>21.7</v>
      </c>
      <c r="O44" s="153">
        <f>N44*24.4</f>
        <v>529.4799999999999</v>
      </c>
      <c r="P44" s="153">
        <f t="shared" ref="P44" si="45">O44*100/82.6</f>
        <v>641.01694915254234</v>
      </c>
      <c r="Q44" s="153">
        <f>P44/'a1'!X46*1000000</f>
        <v>684.30834818368692</v>
      </c>
      <c r="R44" s="128">
        <v>19.2</v>
      </c>
      <c r="S44" s="153">
        <f>R44*24.4</f>
        <v>468.47999999999996</v>
      </c>
      <c r="T44" s="153">
        <f t="shared" ref="T44" si="46">S44*100/85.3</f>
        <v>549.21453692848763</v>
      </c>
      <c r="U44" s="158">
        <f>T44/'a1'!AD46*1000000</f>
        <v>735.32342519967494</v>
      </c>
      <c r="V44" s="128">
        <v>82.4</v>
      </c>
      <c r="W44" s="153">
        <f>V44*24.4</f>
        <v>2010.56</v>
      </c>
      <c r="X44" s="153">
        <f t="shared" ref="X44" si="47">W44*100/83.2</f>
        <v>2416.5384615384614</v>
      </c>
      <c r="Y44" s="158">
        <f>X44/'a1'!AJ46*1000000</f>
        <v>311.75783227172587</v>
      </c>
      <c r="Z44" s="128">
        <v>190</v>
      </c>
      <c r="AA44" s="153">
        <f>Z44*24.4</f>
        <v>4636</v>
      </c>
      <c r="AB44" s="153">
        <f t="shared" ref="AB44" si="48">AA44*100/84.1</f>
        <v>5512.4851367419742</v>
      </c>
      <c r="AC44" s="153">
        <f>AB44/'a1'!AP46*1000000</f>
        <v>426.25723309184548</v>
      </c>
      <c r="AD44" s="128">
        <v>21.6</v>
      </c>
      <c r="AE44" s="153">
        <f>AD44*24.4</f>
        <v>527.04</v>
      </c>
      <c r="AF44" s="153">
        <f t="shared" ref="AF44" si="49">AE44*100/81.7</f>
        <v>645.0917992656058</v>
      </c>
      <c r="AG44" s="153">
        <f>AF44/'a1'!AV46*1000000</f>
        <v>535.11630218869232</v>
      </c>
      <c r="AH44" s="128">
        <v>73.599999999999994</v>
      </c>
      <c r="AI44" s="153">
        <f>AH44*24.4</f>
        <v>1795.8399999999997</v>
      </c>
      <c r="AJ44" s="153">
        <f>AI44*100/76.4</f>
        <v>2350.5759162303661</v>
      </c>
      <c r="AK44" s="158">
        <f>AJ44/'a1'!BB46*1000000</f>
        <v>2318.5978151636291</v>
      </c>
      <c r="AL44" s="128">
        <v>244</v>
      </c>
      <c r="AM44" s="153">
        <f>AL44*24.4</f>
        <v>5953.5999999999995</v>
      </c>
      <c r="AN44" s="153">
        <f t="shared" ref="AN44" si="50">AM44*100/74.2</f>
        <v>8023.7196765498647</v>
      </c>
      <c r="AO44" s="158">
        <f>AN44/'a1'!BH46*1000000</f>
        <v>2234.153751721788</v>
      </c>
      <c r="AP44" s="128">
        <v>65.900000000000006</v>
      </c>
      <c r="AQ44" s="153">
        <f>AP44*24.4</f>
        <v>1607.96</v>
      </c>
      <c r="AR44" s="153">
        <f t="shared" ref="AR44" si="51">AQ44*100/78.2</f>
        <v>2056.2148337595909</v>
      </c>
      <c r="AS44" s="7">
        <f>AR44/'a1'!BN46*1000000</f>
        <v>469.04208477451169</v>
      </c>
    </row>
    <row r="45" spans="1:168">
      <c r="A45" s="14">
        <v>2009</v>
      </c>
      <c r="B45" s="153">
        <v>690</v>
      </c>
      <c r="C45" s="153">
        <f t="shared" ref="C45:C46" si="52">B45*24.4</f>
        <v>16836</v>
      </c>
      <c r="D45" s="153">
        <f t="shared" ref="D45:D46" si="53">C45*100/82.4</f>
        <v>20432.038834951454</v>
      </c>
      <c r="E45" s="153">
        <f>D45/'a1'!F47*1000000</f>
        <v>605.92904341659141</v>
      </c>
      <c r="F45" s="128">
        <v>9.4600000000000009</v>
      </c>
      <c r="G45" s="153">
        <f>F45*24.4</f>
        <v>230.82400000000001</v>
      </c>
      <c r="H45" s="153">
        <f>G45*100/79.1</f>
        <v>291.81289506953226</v>
      </c>
      <c r="I45" s="153">
        <f>H45/'a1'!L47*1000000</f>
        <v>574.27317717558299</v>
      </c>
      <c r="J45" s="128">
        <v>1.89</v>
      </c>
      <c r="K45" s="153">
        <f>J45*24.4</f>
        <v>46.115999999999993</v>
      </c>
      <c r="L45" s="153">
        <f t="shared" ref="L45" si="54">K45*100/80.7</f>
        <v>57.144981412639396</v>
      </c>
      <c r="M45" s="153">
        <f>L45/'a1'!R47*1000000</f>
        <v>405.00493570125087</v>
      </c>
      <c r="N45" s="128">
        <v>21</v>
      </c>
      <c r="O45" s="153">
        <f>N45*24.4</f>
        <v>512.4</v>
      </c>
      <c r="P45" s="153">
        <f t="shared" ref="P45" si="55">O45*100/82.6</f>
        <v>620.33898305084745</v>
      </c>
      <c r="Q45" s="153">
        <f>P45/'a1'!X47*1000000</f>
        <v>660.55066535499827</v>
      </c>
      <c r="R45" s="128">
        <v>18.399999999999999</v>
      </c>
      <c r="S45" s="153">
        <f>R45*24.4</f>
        <v>448.95999999999992</v>
      </c>
      <c r="T45" s="153">
        <f t="shared" ref="T45" si="56">S45*100/85.3</f>
        <v>526.33059788980063</v>
      </c>
      <c r="U45" s="158">
        <f>T45/'a1'!AD47*1000000</f>
        <v>702.40723357292791</v>
      </c>
      <c r="V45" s="128">
        <v>81.7</v>
      </c>
      <c r="W45" s="153">
        <f>V45*24.4</f>
        <v>1993.48</v>
      </c>
      <c r="X45" s="153">
        <f t="shared" ref="X45" si="57">W45*100/83.2</f>
        <v>2396.0096153846152</v>
      </c>
      <c r="Y45" s="158">
        <f>X45/'a1'!AJ47*1000000</f>
        <v>306.06800576220724</v>
      </c>
      <c r="Z45" s="128">
        <v>165</v>
      </c>
      <c r="AA45" s="153">
        <f>Z45*24.4</f>
        <v>4025.9999999999995</v>
      </c>
      <c r="AB45" s="153">
        <f t="shared" ref="AB45" si="58">AA45*100/84.1</f>
        <v>4787.1581450653975</v>
      </c>
      <c r="AC45" s="153">
        <f>AB45/'a1'!AP47*1000000</f>
        <v>366.41368438069924</v>
      </c>
      <c r="AD45" s="128">
        <v>20.3</v>
      </c>
      <c r="AE45" s="153">
        <f>AD45*24.4</f>
        <v>495.32</v>
      </c>
      <c r="AF45" s="153">
        <f t="shared" ref="AF45" si="59">AE45*100/81.7</f>
        <v>606.26682986536105</v>
      </c>
      <c r="AG45" s="153">
        <f>AF45/'a1'!AV47*1000000</f>
        <v>497.11849817013075</v>
      </c>
      <c r="AH45" s="128">
        <v>73.099999999999994</v>
      </c>
      <c r="AI45" s="153">
        <f>AH45*24.4</f>
        <v>1783.6399999999996</v>
      </c>
      <c r="AJ45" s="153">
        <f>AI45*100/76.4</f>
        <v>2334.6073298429314</v>
      </c>
      <c r="AK45" s="158">
        <f>AJ45/'a1'!BB47*1000000</f>
        <v>2268.5384169866134</v>
      </c>
      <c r="AL45" s="128">
        <v>234</v>
      </c>
      <c r="AM45" s="153">
        <f>AL45*24.4</f>
        <v>5709.5999999999995</v>
      </c>
      <c r="AN45" s="153">
        <f t="shared" ref="AN45" si="60">AM45*100/74.2</f>
        <v>7694.8787061994608</v>
      </c>
      <c r="AO45" s="158">
        <f>AN45/'a1'!BH47*1000000</f>
        <v>2096.2733709422946</v>
      </c>
      <c r="AP45" s="128">
        <v>63.8</v>
      </c>
      <c r="AQ45" s="153">
        <f>AP45*24.4</f>
        <v>1556.7199999999998</v>
      </c>
      <c r="AR45" s="153">
        <f t="shared" ref="AR45" si="61">AQ45*100/78.2</f>
        <v>1990.6905370843986</v>
      </c>
      <c r="AS45" s="7">
        <f>AR45/'a1'!BN47*1000000</f>
        <v>446.31394919534387</v>
      </c>
    </row>
    <row r="46" spans="1:168">
      <c r="A46" s="14">
        <v>2010</v>
      </c>
      <c r="B46" s="156">
        <f>B45*POWER(B$45/B$40, 1/5)</f>
        <v>680.04574534667199</v>
      </c>
      <c r="C46" s="153">
        <f t="shared" si="52"/>
        <v>16593.116186458796</v>
      </c>
      <c r="D46" s="153">
        <f t="shared" si="53"/>
        <v>20137.276925314072</v>
      </c>
      <c r="E46" s="153">
        <f>D46/'a1'!F48*1000000</f>
        <v>590.38445397574412</v>
      </c>
      <c r="F46" s="129">
        <f>F45*POWER(F$45/F$40, 1/5)</f>
        <v>9.3555508512622634</v>
      </c>
      <c r="G46" s="153">
        <f>F46*24.4</f>
        <v>228.27544077079921</v>
      </c>
      <c r="H46" s="153">
        <f>G46*100/79.1</f>
        <v>288.59094914133908</v>
      </c>
      <c r="I46" s="153">
        <f>H46/'a1'!L48*1000000</f>
        <v>566.15434397081469</v>
      </c>
      <c r="J46" s="129">
        <f>J45*POWER(J$45/J$40, 1/5)</f>
        <v>1.8156484742239054</v>
      </c>
      <c r="K46" s="153">
        <f>J46*24.4</f>
        <v>44.301822771063293</v>
      </c>
      <c r="L46" s="153">
        <f t="shared" ref="L46" si="62">K46*100/80.7</f>
        <v>54.896930323498495</v>
      </c>
      <c r="M46" s="153">
        <f>L46/'a1'!R48*1000000</f>
        <v>385.87526410736575</v>
      </c>
      <c r="N46" s="129">
        <f>N45*POWER(N$45/N$40, 1/5)</f>
        <v>20.567995540656277</v>
      </c>
      <c r="O46" s="153">
        <f>N46*24.4</f>
        <v>501.85909119201312</v>
      </c>
      <c r="P46" s="153">
        <f t="shared" ref="P46" si="63">O46*100/82.6</f>
        <v>607.57759224214669</v>
      </c>
      <c r="Q46" s="153">
        <f>P46/'a1'!X48*1000000</f>
        <v>644.64055639130856</v>
      </c>
      <c r="R46" s="129">
        <f>R45*POWER(R$45/R$40, 1/5)</f>
        <v>17.78648329845597</v>
      </c>
      <c r="S46" s="153">
        <f>R46*24.4</f>
        <v>433.99019248232565</v>
      </c>
      <c r="T46" s="153">
        <f t="shared" ref="T46" si="64">S46*100/85.3</f>
        <v>508.78099939311335</v>
      </c>
      <c r="U46" s="158">
        <f>T46/'a1'!AD48*1000000</f>
        <v>676.79097497604062</v>
      </c>
      <c r="V46" s="129">
        <f>V45*POWER(V$45/V$40, 1/5)</f>
        <v>80.24148623104594</v>
      </c>
      <c r="W46" s="153">
        <f>V46*24.4</f>
        <v>1957.8922640375208</v>
      </c>
      <c r="X46" s="153">
        <f t="shared" ref="X46" si="65">W46*100/83.2</f>
        <v>2353.2358942758665</v>
      </c>
      <c r="Y46" s="158">
        <f>X46/'a1'!AJ48*1000000</f>
        <v>297.60013838674229</v>
      </c>
      <c r="Z46" s="129">
        <f>Z45*POWER(Z$45/Z$40, 1/5)</f>
        <v>158.61400148788772</v>
      </c>
      <c r="AA46" s="153">
        <f>Z46*24.4</f>
        <v>3870.18163630446</v>
      </c>
      <c r="AB46" s="153">
        <f t="shared" ref="AB46" si="66">AA46*100/84.1</f>
        <v>4601.8806614797386</v>
      </c>
      <c r="AC46" s="153">
        <f>AB46/'a1'!AP48*1000000</f>
        <v>348.34582246905006</v>
      </c>
      <c r="AD46" s="129">
        <f>AD45*POWER(AD$45/AD$40, 1/5)</f>
        <v>20.124637826052446</v>
      </c>
      <c r="AE46" s="153">
        <f>AD46*24.4</f>
        <v>491.04116295567962</v>
      </c>
      <c r="AF46" s="153">
        <f t="shared" ref="AF46" si="67">AE46*100/81.7</f>
        <v>601.02957522115003</v>
      </c>
      <c r="AG46" s="153">
        <f>AF46/'a1'!AV48*1000000</f>
        <v>486.50132524303638</v>
      </c>
      <c r="AH46" s="129">
        <f>AH45*POWER(AH$45/AH$40, 1/5)</f>
        <v>73.58968934693678</v>
      </c>
      <c r="AI46" s="153">
        <f>AH46*24.4</f>
        <v>1795.5884200652574</v>
      </c>
      <c r="AJ46" s="153">
        <f>AI46*100/76.4</f>
        <v>2350.2466231220646</v>
      </c>
      <c r="AK46" s="158">
        <f>AJ46/'a1'!BB48*1000000</f>
        <v>2247.701964115201</v>
      </c>
      <c r="AL46" s="129">
        <f>AL45*POWER(AL$45/AL$40, 1/5)</f>
        <v>233.40457243242159</v>
      </c>
      <c r="AM46" s="153">
        <f>AL46*24.4</f>
        <v>5695.0715673510867</v>
      </c>
      <c r="AN46" s="153">
        <f t="shared" ref="AN46" si="68">AM46*100/74.2</f>
        <v>7675.2986082898742</v>
      </c>
      <c r="AO46" s="158">
        <f>AN46/'a1'!BH48*1000000</f>
        <v>2062.7277601690203</v>
      </c>
      <c r="AP46" s="129">
        <f>AP45*POWER(AP$45/AP$40, 1/5)</f>
        <v>63.484728234406823</v>
      </c>
      <c r="AQ46" s="153">
        <f>AP46*24.4</f>
        <v>1549.0273689195265</v>
      </c>
      <c r="AR46" s="153">
        <f t="shared" ref="AR46" si="69">AQ46*100/78.2</f>
        <v>1980.8534129405707</v>
      </c>
      <c r="AS46" s="7">
        <f>AR46/'a1'!BN48*1000000</f>
        <v>437.18183628647586</v>
      </c>
    </row>
    <row r="47" spans="1:168">
      <c r="B47" s="172" t="s">
        <v>435</v>
      </c>
      <c r="C47" s="153"/>
      <c r="D47" s="153"/>
      <c r="E47" s="608"/>
      <c r="F47" s="129"/>
      <c r="G47" s="153"/>
      <c r="H47" s="153"/>
      <c r="I47" s="153"/>
      <c r="J47" s="129"/>
      <c r="K47" s="153"/>
      <c r="L47" s="153"/>
      <c r="M47" s="153"/>
      <c r="N47" s="172" t="s">
        <v>435</v>
      </c>
      <c r="O47" s="153"/>
      <c r="P47" s="153"/>
      <c r="Q47" s="153"/>
      <c r="R47" s="129"/>
      <c r="S47" s="153"/>
      <c r="T47" s="153"/>
      <c r="U47" s="158"/>
      <c r="V47" s="129"/>
      <c r="W47" s="153"/>
      <c r="X47" s="153"/>
      <c r="Y47" s="158"/>
      <c r="Z47" s="172" t="s">
        <v>435</v>
      </c>
      <c r="AA47" s="153"/>
      <c r="AB47" s="153"/>
      <c r="AC47" s="153"/>
      <c r="AD47" s="129"/>
      <c r="AE47" s="153"/>
      <c r="AF47" s="153"/>
      <c r="AG47" s="153"/>
      <c r="AH47" s="129"/>
      <c r="AI47" s="153"/>
      <c r="AJ47" s="153"/>
      <c r="AK47" s="158"/>
      <c r="AL47" s="172" t="s">
        <v>435</v>
      </c>
      <c r="AM47" s="153"/>
      <c r="AN47" s="153"/>
      <c r="AO47" s="158"/>
      <c r="AP47" s="129"/>
      <c r="AQ47" s="153"/>
      <c r="AR47" s="153"/>
      <c r="AS47" s="7"/>
    </row>
    <row r="48" spans="1:168" s="252" customFormat="1">
      <c r="A48" s="252" t="s">
        <v>988</v>
      </c>
      <c r="B48" s="271">
        <f t="shared" ref="B48:AS48" si="70">(POWER(B46/B17, 1/29)-1)*100</f>
        <v>0.80779397685870613</v>
      </c>
      <c r="C48" s="271">
        <f t="shared" si="70"/>
        <v>0.80779397685870613</v>
      </c>
      <c r="D48" s="271">
        <f t="shared" si="70"/>
        <v>0.80779397685870613</v>
      </c>
      <c r="E48" s="271">
        <f t="shared" si="70"/>
        <v>-0.29125951484213486</v>
      </c>
      <c r="F48" s="271">
        <f t="shared" si="70"/>
        <v>0.16520436103326652</v>
      </c>
      <c r="G48" s="271">
        <f t="shared" si="70"/>
        <v>0.16520436103326652</v>
      </c>
      <c r="H48" s="271">
        <f t="shared" si="70"/>
        <v>0.16520436103326652</v>
      </c>
      <c r="I48" s="271">
        <f t="shared" si="70"/>
        <v>0.58399527826455966</v>
      </c>
      <c r="J48" s="271">
        <f t="shared" si="70"/>
        <v>-0.1023826249025972</v>
      </c>
      <c r="K48" s="271">
        <f t="shared" si="70"/>
        <v>-0.1023826249025972</v>
      </c>
      <c r="L48" s="271">
        <f t="shared" si="70"/>
        <v>-0.1023826249025972</v>
      </c>
      <c r="M48" s="271">
        <f t="shared" si="70"/>
        <v>-0.58706547653692986</v>
      </c>
      <c r="N48" s="271">
        <f t="shared" si="70"/>
        <v>0.53494829725311277</v>
      </c>
      <c r="O48" s="271">
        <f t="shared" si="70"/>
        <v>0.53494829725311277</v>
      </c>
      <c r="P48" s="271">
        <f t="shared" si="70"/>
        <v>0.53494829725311277</v>
      </c>
      <c r="Q48" s="271">
        <f t="shared" si="70"/>
        <v>0.19719358200140924</v>
      </c>
      <c r="R48" s="271">
        <f t="shared" si="70"/>
        <v>0.67408006420281996</v>
      </c>
      <c r="S48" s="271">
        <f t="shared" si="70"/>
        <v>0.67408006420281996</v>
      </c>
      <c r="T48" s="271">
        <f t="shared" si="70"/>
        <v>0.67408006420281996</v>
      </c>
      <c r="U48" s="271">
        <f t="shared" si="70"/>
        <v>0.45846941312934764</v>
      </c>
      <c r="V48" s="271">
        <f t="shared" si="70"/>
        <v>0.13894456901510921</v>
      </c>
      <c r="W48" s="271">
        <f t="shared" si="70"/>
        <v>0.13894456901510921</v>
      </c>
      <c r="X48" s="271">
        <f t="shared" si="70"/>
        <v>0.13894456901510921</v>
      </c>
      <c r="Y48" s="271">
        <f t="shared" si="70"/>
        <v>-0.51073050016087196</v>
      </c>
      <c r="Z48" s="271">
        <f t="shared" si="70"/>
        <v>1.0646634461664028E-2</v>
      </c>
      <c r="AA48" s="271">
        <f t="shared" si="70"/>
        <v>1.0646634461664028E-2</v>
      </c>
      <c r="AB48" s="271">
        <f t="shared" si="70"/>
        <v>1.0646634461664028E-2</v>
      </c>
      <c r="AC48" s="271">
        <f t="shared" si="70"/>
        <v>-1.3759303615207497</v>
      </c>
      <c r="AD48" s="271">
        <f t="shared" si="70"/>
        <v>0.73709226861939925</v>
      </c>
      <c r="AE48" s="271">
        <f t="shared" si="70"/>
        <v>0.73709226861939925</v>
      </c>
      <c r="AF48" s="271">
        <f t="shared" si="70"/>
        <v>0.73709226861939925</v>
      </c>
      <c r="AG48" s="271">
        <f t="shared" si="70"/>
        <v>0.12592803670399277</v>
      </c>
      <c r="AH48" s="271">
        <f t="shared" si="70"/>
        <v>2.1378588435343904</v>
      </c>
      <c r="AI48" s="271">
        <f t="shared" si="70"/>
        <v>2.1378588435343904</v>
      </c>
      <c r="AJ48" s="271">
        <f t="shared" si="70"/>
        <v>2.1378588435343904</v>
      </c>
      <c r="AK48" s="271">
        <f t="shared" si="70"/>
        <v>1.8945974883234795</v>
      </c>
      <c r="AL48" s="271">
        <f t="shared" si="70"/>
        <v>1.4531278266675995</v>
      </c>
      <c r="AM48" s="271">
        <f t="shared" si="70"/>
        <v>1.4531278266675995</v>
      </c>
      <c r="AN48" s="271">
        <f t="shared" si="70"/>
        <v>1.4531278266675995</v>
      </c>
      <c r="AO48" s="271">
        <f t="shared" si="70"/>
        <v>-0.22928680397469314</v>
      </c>
      <c r="AP48" s="271">
        <f t="shared" si="70"/>
        <v>1.1383181837347989</v>
      </c>
      <c r="AQ48" s="271">
        <f t="shared" si="70"/>
        <v>1.1383181837347989</v>
      </c>
      <c r="AR48" s="271">
        <f t="shared" si="70"/>
        <v>1.1383181837347989</v>
      </c>
      <c r="AS48" s="271">
        <f t="shared" si="70"/>
        <v>-0.49403963682755903</v>
      </c>
      <c r="AT48" s="271"/>
      <c r="AU48" s="271"/>
      <c r="AV48" s="271"/>
      <c r="AW48" s="271"/>
      <c r="AX48" s="271"/>
      <c r="AY48" s="271"/>
      <c r="AZ48" s="271"/>
      <c r="BA48" s="271"/>
      <c r="BB48" s="271"/>
      <c r="BC48" s="271"/>
      <c r="BD48" s="271"/>
      <c r="BE48" s="271"/>
      <c r="BF48" s="271"/>
      <c r="BG48" s="271"/>
      <c r="BH48" s="271"/>
      <c r="BI48" s="271"/>
      <c r="BJ48" s="271"/>
      <c r="BK48" s="271"/>
      <c r="BL48" s="271"/>
      <c r="BM48" s="271"/>
      <c r="BN48" s="271"/>
      <c r="BO48" s="271"/>
      <c r="BP48" s="271"/>
      <c r="BQ48" s="271"/>
      <c r="BR48" s="271"/>
      <c r="BS48" s="271"/>
      <c r="BT48" s="271"/>
      <c r="BU48" s="271"/>
      <c r="BV48" s="271"/>
      <c r="BW48" s="271"/>
      <c r="BX48" s="271"/>
      <c r="BY48" s="271"/>
      <c r="BZ48" s="271"/>
      <c r="CA48" s="271"/>
      <c r="CB48" s="271"/>
      <c r="CC48" s="271"/>
      <c r="CD48" s="271"/>
      <c r="CE48" s="271"/>
      <c r="CF48" s="271"/>
      <c r="CG48" s="271"/>
      <c r="CH48" s="271"/>
      <c r="CI48" s="271"/>
      <c r="CJ48" s="271"/>
      <c r="CK48" s="271"/>
      <c r="CL48" s="271"/>
      <c r="CM48" s="271"/>
      <c r="CN48" s="271"/>
      <c r="CO48" s="271"/>
      <c r="CP48" s="271"/>
      <c r="CQ48" s="271"/>
      <c r="CR48" s="271"/>
      <c r="CS48" s="271"/>
      <c r="CT48" s="269"/>
      <c r="CU48" s="269"/>
      <c r="CV48" s="269"/>
      <c r="CW48" s="269"/>
      <c r="CX48" s="269"/>
      <c r="CY48" s="269"/>
      <c r="CZ48" s="269"/>
      <c r="DA48" s="269"/>
      <c r="DB48" s="269"/>
      <c r="DC48" s="269"/>
      <c r="DD48" s="269"/>
      <c r="DE48" s="269"/>
      <c r="DF48" s="269"/>
      <c r="DG48" s="269"/>
      <c r="DH48" s="269"/>
      <c r="DI48" s="269"/>
      <c r="DJ48" s="269"/>
      <c r="DK48" s="269"/>
      <c r="DL48" s="269"/>
      <c r="DM48" s="269"/>
      <c r="DN48" s="269"/>
      <c r="DO48" s="269"/>
      <c r="DP48" s="269"/>
      <c r="DQ48" s="269"/>
      <c r="DR48" s="269"/>
      <c r="DS48" s="269"/>
      <c r="DT48" s="269"/>
      <c r="DU48" s="269"/>
      <c r="DV48" s="269"/>
      <c r="DW48" s="269"/>
      <c r="DX48" s="269"/>
      <c r="DY48" s="269"/>
      <c r="DZ48" s="269"/>
      <c r="EA48" s="269"/>
      <c r="EB48" s="269"/>
      <c r="EC48" s="269"/>
      <c r="ED48" s="269"/>
      <c r="EE48" s="269"/>
      <c r="EF48" s="269"/>
      <c r="EG48" s="269"/>
      <c r="EH48" s="269"/>
      <c r="EI48" s="269"/>
      <c r="EJ48" s="269"/>
      <c r="EK48" s="269"/>
      <c r="EL48" s="269"/>
      <c r="EM48" s="269"/>
      <c r="EN48" s="269"/>
      <c r="EO48" s="269"/>
      <c r="EP48" s="269"/>
      <c r="EQ48" s="269"/>
      <c r="ER48" s="269"/>
      <c r="ES48" s="269"/>
      <c r="ET48" s="269"/>
      <c r="EU48" s="269"/>
      <c r="EV48" s="269"/>
      <c r="EW48" s="269"/>
      <c r="EX48" s="269"/>
      <c r="EY48" s="269"/>
      <c r="EZ48" s="269"/>
      <c r="FA48" s="269"/>
      <c r="FB48" s="269"/>
      <c r="FC48" s="269"/>
      <c r="FD48" s="269"/>
      <c r="FE48" s="269"/>
      <c r="FF48" s="269"/>
      <c r="FG48" s="269"/>
      <c r="FH48" s="269"/>
      <c r="FI48" s="269"/>
      <c r="FJ48" s="269"/>
      <c r="FK48" s="269"/>
      <c r="FL48" s="269"/>
    </row>
    <row r="49" spans="1:168" s="257" customFormat="1" ht="27.75" customHeight="1">
      <c r="B49" s="645" t="s">
        <v>1044</v>
      </c>
      <c r="C49" s="646"/>
      <c r="D49" s="646"/>
      <c r="E49" s="646"/>
      <c r="F49" s="646"/>
      <c r="G49" s="646"/>
      <c r="H49" s="646"/>
      <c r="I49" s="646"/>
      <c r="J49" s="646"/>
      <c r="K49" s="646"/>
      <c r="L49" s="646"/>
      <c r="M49" s="646"/>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29"/>
      <c r="AZ49" s="329"/>
      <c r="BA49" s="329"/>
      <c r="BB49" s="329"/>
      <c r="BC49" s="329"/>
      <c r="BD49" s="329"/>
      <c r="BE49" s="329"/>
      <c r="BF49" s="329"/>
      <c r="BG49" s="329"/>
      <c r="BH49" s="329"/>
      <c r="BI49" s="329"/>
      <c r="BJ49" s="329"/>
      <c r="BK49" s="329"/>
      <c r="BL49" s="329"/>
      <c r="BM49" s="329"/>
      <c r="BN49" s="329"/>
      <c r="BO49" s="329"/>
      <c r="BP49" s="329"/>
      <c r="BQ49" s="329"/>
      <c r="BR49" s="329"/>
      <c r="BS49" s="329"/>
      <c r="BT49" s="329"/>
      <c r="BU49" s="329"/>
      <c r="BV49" s="329"/>
      <c r="BW49" s="329"/>
      <c r="BX49" s="329"/>
      <c r="BY49" s="329"/>
      <c r="BZ49" s="329"/>
      <c r="CA49" s="329"/>
      <c r="CB49" s="329"/>
      <c r="CC49" s="329"/>
      <c r="CD49" s="329"/>
      <c r="CE49" s="329"/>
      <c r="CF49" s="329"/>
      <c r="CG49" s="329"/>
      <c r="CH49" s="329"/>
      <c r="CI49" s="329"/>
      <c r="CJ49" s="329"/>
      <c r="CK49" s="329"/>
      <c r="CL49" s="329"/>
      <c r="CM49" s="329"/>
      <c r="CN49" s="329"/>
      <c r="CO49" s="329"/>
      <c r="CP49" s="329"/>
      <c r="CQ49" s="329"/>
      <c r="CR49" s="329"/>
      <c r="CS49" s="329"/>
      <c r="CT49" s="266"/>
      <c r="CU49" s="266"/>
      <c r="CV49" s="266"/>
      <c r="CW49" s="266"/>
      <c r="CX49" s="266"/>
      <c r="CY49" s="266"/>
      <c r="CZ49" s="266"/>
      <c r="DA49" s="266"/>
      <c r="DB49" s="266"/>
      <c r="DC49" s="266"/>
      <c r="DD49" s="266"/>
      <c r="DE49" s="266"/>
      <c r="DF49" s="266"/>
      <c r="DG49" s="266"/>
      <c r="DH49" s="266"/>
      <c r="DI49" s="266"/>
      <c r="DJ49" s="266"/>
      <c r="DK49" s="266"/>
      <c r="DL49" s="266"/>
      <c r="DM49" s="266"/>
      <c r="DN49" s="266"/>
      <c r="DO49" s="266"/>
      <c r="DP49" s="266"/>
      <c r="DQ49" s="266"/>
      <c r="DR49" s="266"/>
      <c r="DS49" s="266"/>
      <c r="DT49" s="266"/>
      <c r="DU49" s="266"/>
      <c r="DV49" s="266"/>
      <c r="DW49" s="266"/>
      <c r="DX49" s="266"/>
      <c r="DY49" s="266"/>
      <c r="DZ49" s="266"/>
      <c r="EA49" s="266"/>
      <c r="EB49" s="266"/>
      <c r="EC49" s="266"/>
      <c r="ED49" s="266"/>
      <c r="EE49" s="266"/>
      <c r="EF49" s="266"/>
      <c r="EG49" s="266"/>
      <c r="EH49" s="266"/>
      <c r="EI49" s="266"/>
      <c r="EJ49" s="266"/>
      <c r="EK49" s="266"/>
      <c r="EL49" s="266"/>
      <c r="EM49" s="266"/>
      <c r="EN49" s="266"/>
      <c r="EO49" s="266"/>
      <c r="EP49" s="266"/>
      <c r="EQ49" s="266"/>
      <c r="ER49" s="266"/>
      <c r="ES49" s="266"/>
      <c r="ET49" s="266"/>
      <c r="EU49" s="266"/>
      <c r="EV49" s="266"/>
      <c r="EW49" s="266"/>
      <c r="EX49" s="266"/>
      <c r="EY49" s="266"/>
      <c r="EZ49" s="266"/>
      <c r="FA49" s="266"/>
      <c r="FB49" s="266"/>
      <c r="FC49" s="266"/>
      <c r="FD49" s="266"/>
      <c r="FE49" s="266"/>
      <c r="FF49" s="266"/>
      <c r="FG49" s="266"/>
      <c r="FH49" s="266"/>
      <c r="FI49" s="266"/>
      <c r="FJ49" s="266"/>
      <c r="FK49" s="266"/>
      <c r="FL49" s="266"/>
    </row>
    <row r="50" spans="1:168" ht="28.5" customHeight="1">
      <c r="A50" s="14">
        <f>(B46-B17)/B17</f>
        <v>0.26278443003783425</v>
      </c>
      <c r="B50" s="645" t="s">
        <v>1043</v>
      </c>
      <c r="C50" s="645"/>
      <c r="D50" s="645"/>
      <c r="E50" s="645"/>
      <c r="F50" s="645"/>
      <c r="G50" s="645"/>
      <c r="H50" s="645"/>
      <c r="I50" s="645"/>
      <c r="J50" s="645"/>
      <c r="K50" s="645"/>
      <c r="L50" s="645"/>
      <c r="M50" s="645"/>
      <c r="AR50" s="1"/>
      <c r="AS50" s="1"/>
    </row>
    <row r="51" spans="1:168">
      <c r="B51" s="645" t="s">
        <v>1028</v>
      </c>
      <c r="C51" s="645"/>
      <c r="D51" s="645"/>
      <c r="E51" s="645"/>
      <c r="F51" s="645"/>
      <c r="G51" s="645"/>
      <c r="H51" s="645"/>
      <c r="I51" s="645"/>
      <c r="J51" s="645"/>
      <c r="K51" s="645"/>
      <c r="L51" s="645"/>
      <c r="M51" s="645"/>
      <c r="AR51" s="1"/>
      <c r="AS51" s="1"/>
    </row>
    <row r="52" spans="1:168">
      <c r="B52" s="645" t="s">
        <v>416</v>
      </c>
      <c r="C52" s="645"/>
      <c r="D52" s="645"/>
      <c r="E52" s="645"/>
      <c r="F52" s="645"/>
      <c r="G52" s="645"/>
      <c r="H52" s="645"/>
      <c r="I52" s="645"/>
      <c r="J52" s="645"/>
      <c r="K52" s="645"/>
      <c r="L52" s="645"/>
      <c r="M52" s="645"/>
      <c r="AR52" s="1"/>
      <c r="AS52" s="1"/>
    </row>
    <row r="53" spans="1:168" ht="29.25" customHeight="1">
      <c r="B53" s="645" t="s">
        <v>760</v>
      </c>
      <c r="C53" s="645"/>
      <c r="D53" s="645"/>
      <c r="E53" s="645"/>
      <c r="F53" s="645"/>
      <c r="G53" s="645"/>
      <c r="H53" s="645"/>
      <c r="I53" s="645"/>
      <c r="J53" s="645"/>
      <c r="K53" s="645"/>
      <c r="L53" s="645"/>
      <c r="M53" s="645"/>
      <c r="AR53" s="1"/>
      <c r="AS53" s="1"/>
    </row>
    <row r="54" spans="1:168">
      <c r="B54" s="14" t="s">
        <v>1029</v>
      </c>
      <c r="AR54" s="1"/>
      <c r="AS54" s="1"/>
    </row>
    <row r="55" spans="1:168">
      <c r="AR55" s="1"/>
      <c r="AS55" s="1"/>
    </row>
    <row r="56" spans="1:168">
      <c r="AR56" s="1"/>
      <c r="AS56" s="1"/>
    </row>
    <row r="57" spans="1:168">
      <c r="AR57" s="1"/>
      <c r="AS57" s="1"/>
    </row>
    <row r="58" spans="1:168">
      <c r="B58" s="166" t="s">
        <v>682</v>
      </c>
      <c r="AR58" s="1"/>
      <c r="AS58" s="1"/>
    </row>
    <row r="59" spans="1:168">
      <c r="C59" s="14">
        <v>1990</v>
      </c>
      <c r="D59" s="14">
        <v>1991</v>
      </c>
      <c r="E59" s="14">
        <v>1992</v>
      </c>
      <c r="F59" s="14">
        <v>1993</v>
      </c>
      <c r="G59" s="14">
        <v>1994</v>
      </c>
      <c r="H59" s="14">
        <v>1995</v>
      </c>
      <c r="I59" s="14">
        <v>1995</v>
      </c>
      <c r="J59" s="14">
        <v>1996</v>
      </c>
      <c r="K59" s="14">
        <v>1997</v>
      </c>
      <c r="L59" s="14">
        <v>1998</v>
      </c>
      <c r="M59" s="14">
        <v>1999</v>
      </c>
      <c r="N59" s="14">
        <v>2000</v>
      </c>
      <c r="O59" s="14">
        <v>2001</v>
      </c>
      <c r="P59" s="14">
        <v>2002</v>
      </c>
      <c r="Q59" s="14">
        <v>2003</v>
      </c>
      <c r="R59" s="14">
        <v>2004</v>
      </c>
      <c r="S59" s="14">
        <v>2005</v>
      </c>
      <c r="AO59" s="1"/>
      <c r="AP59" s="1"/>
    </row>
    <row r="60" spans="1:168">
      <c r="B60" s="14" t="s">
        <v>321</v>
      </c>
      <c r="C60" s="14">
        <v>596</v>
      </c>
      <c r="D60" s="14">
        <v>589</v>
      </c>
      <c r="E60" s="14">
        <v>606</v>
      </c>
      <c r="F60" s="14">
        <v>608</v>
      </c>
      <c r="G60" s="14">
        <v>630</v>
      </c>
      <c r="H60" s="14">
        <v>646</v>
      </c>
      <c r="I60" s="14">
        <v>646</v>
      </c>
      <c r="J60" s="14">
        <v>664</v>
      </c>
      <c r="K60" s="14">
        <v>677</v>
      </c>
      <c r="L60" s="14">
        <v>683</v>
      </c>
      <c r="M60" s="14">
        <v>695</v>
      </c>
      <c r="N60" s="14">
        <v>721</v>
      </c>
      <c r="O60" s="14">
        <v>714</v>
      </c>
      <c r="P60" s="14">
        <v>720</v>
      </c>
      <c r="Q60" s="169">
        <v>745</v>
      </c>
      <c r="R60" s="14">
        <v>747</v>
      </c>
      <c r="S60" s="14">
        <v>747</v>
      </c>
      <c r="AO60" s="1"/>
      <c r="AP60" s="1"/>
    </row>
    <row r="61" spans="1:168">
      <c r="B61" s="14" t="s">
        <v>405</v>
      </c>
      <c r="C61" s="14">
        <v>9.8699999999999992</v>
      </c>
      <c r="D61" s="14">
        <v>8.17</v>
      </c>
      <c r="E61" s="14">
        <v>8.14</v>
      </c>
      <c r="F61" s="14">
        <v>8.1999999999999993</v>
      </c>
      <c r="G61" s="14">
        <v>7.22</v>
      </c>
      <c r="H61" s="14">
        <v>8.1300000000000008</v>
      </c>
      <c r="I61" s="14">
        <v>8.6300000000000008</v>
      </c>
      <c r="J61" s="14">
        <v>8.7200000000000006</v>
      </c>
      <c r="K61" s="14">
        <v>9.23</v>
      </c>
      <c r="L61" s="14">
        <v>11.8</v>
      </c>
      <c r="M61" s="14">
        <v>9.33</v>
      </c>
      <c r="N61" s="14">
        <v>9.07</v>
      </c>
      <c r="O61" s="14">
        <v>9.82</v>
      </c>
      <c r="P61" s="14">
        <v>12</v>
      </c>
      <c r="Q61" s="170">
        <v>11.3</v>
      </c>
      <c r="R61" s="14">
        <v>10.4</v>
      </c>
      <c r="S61" s="14">
        <v>10.5</v>
      </c>
    </row>
    <row r="62" spans="1:168">
      <c r="B62" s="14" t="s">
        <v>450</v>
      </c>
      <c r="C62" s="14">
        <v>2.0699999999999998</v>
      </c>
      <c r="D62" s="14">
        <v>1.89</v>
      </c>
      <c r="E62" s="14">
        <v>1.91</v>
      </c>
      <c r="F62" s="14">
        <v>1.88</v>
      </c>
      <c r="G62" s="14">
        <v>1.87</v>
      </c>
      <c r="H62" s="14">
        <v>1.83</v>
      </c>
      <c r="I62" s="14">
        <v>2</v>
      </c>
      <c r="J62" s="14">
        <v>2.13</v>
      </c>
      <c r="K62" s="14">
        <v>2.17</v>
      </c>
      <c r="L62" s="14">
        <v>2.15</v>
      </c>
      <c r="M62" s="14">
        <v>2.14</v>
      </c>
      <c r="N62" s="14">
        <v>2.29</v>
      </c>
      <c r="O62" s="14">
        <v>2.17</v>
      </c>
      <c r="P62" s="14">
        <v>2.2000000000000002</v>
      </c>
      <c r="Q62" s="170">
        <v>2.2999999999999998</v>
      </c>
      <c r="R62" s="14">
        <v>2.31</v>
      </c>
      <c r="S62" s="14">
        <v>2.2799999999999998</v>
      </c>
    </row>
    <row r="63" spans="1:168">
      <c r="B63" s="14" t="s">
        <v>451</v>
      </c>
      <c r="C63" s="14">
        <v>19.5</v>
      </c>
      <c r="D63" s="14">
        <v>19.100000000000001</v>
      </c>
      <c r="E63" s="14">
        <v>19.600000000000001</v>
      </c>
      <c r="F63" s="14">
        <v>19.399999999999999</v>
      </c>
      <c r="G63" s="14">
        <v>18.899999999999999</v>
      </c>
      <c r="H63" s="14">
        <v>8.8000000000000007</v>
      </c>
      <c r="I63" s="14">
        <v>19.100000000000001</v>
      </c>
      <c r="J63" s="14">
        <v>18.899999999999999</v>
      </c>
      <c r="K63" s="14">
        <v>19.5</v>
      </c>
      <c r="L63" s="14">
        <v>19.8</v>
      </c>
      <c r="M63" s="14">
        <v>20.3</v>
      </c>
      <c r="N63" s="14">
        <v>21.4</v>
      </c>
      <c r="O63" s="14">
        <v>20.6</v>
      </c>
      <c r="P63" s="14">
        <v>19.7</v>
      </c>
      <c r="Q63" s="170">
        <v>21.9</v>
      </c>
      <c r="R63" s="14">
        <v>23.2</v>
      </c>
      <c r="S63" s="14">
        <v>22.7</v>
      </c>
    </row>
    <row r="64" spans="1:168">
      <c r="B64" s="14" t="s">
        <v>452</v>
      </c>
      <c r="C64" s="14">
        <v>16.2</v>
      </c>
      <c r="D64" s="14">
        <v>15.2</v>
      </c>
      <c r="E64" s="14">
        <v>15.8</v>
      </c>
      <c r="F64" s="14">
        <v>15.1</v>
      </c>
      <c r="G64" s="14">
        <v>16.3</v>
      </c>
      <c r="H64" s="14">
        <v>16.8</v>
      </c>
      <c r="I64" s="14">
        <v>17.2</v>
      </c>
      <c r="J64" s="14">
        <v>16.5</v>
      </c>
      <c r="K64" s="14">
        <v>19.100000000000001</v>
      </c>
      <c r="L64" s="14">
        <v>20.100000000000001</v>
      </c>
      <c r="M64" s="14">
        <v>19.2</v>
      </c>
      <c r="N64" s="14">
        <v>20.399999999999999</v>
      </c>
      <c r="O64" s="14">
        <v>22.6</v>
      </c>
      <c r="P64" s="14">
        <v>21.4</v>
      </c>
      <c r="Q64" s="170">
        <v>21.1</v>
      </c>
      <c r="R64" s="14">
        <v>21.6</v>
      </c>
      <c r="S64" s="14">
        <v>21.3</v>
      </c>
    </row>
    <row r="65" spans="2:19">
      <c r="B65" s="14" t="s">
        <v>406</v>
      </c>
      <c r="C65" s="14">
        <v>85.3</v>
      </c>
      <c r="D65" s="14">
        <v>78.5</v>
      </c>
      <c r="E65" s="14">
        <v>79.3</v>
      </c>
      <c r="F65" s="14">
        <v>80</v>
      </c>
      <c r="G65" s="14">
        <v>82.6</v>
      </c>
      <c r="H65" s="14">
        <v>81.7</v>
      </c>
      <c r="I65" s="14">
        <v>82.7</v>
      </c>
      <c r="J65" s="14">
        <v>83.3</v>
      </c>
      <c r="K65" s="14">
        <v>83.2</v>
      </c>
      <c r="L65" s="14">
        <v>85.1</v>
      </c>
      <c r="M65" s="14">
        <v>84.8</v>
      </c>
      <c r="N65" s="14">
        <v>85.7</v>
      </c>
      <c r="O65" s="14">
        <v>83.7</v>
      </c>
      <c r="P65" s="14">
        <v>86.4</v>
      </c>
      <c r="Q65" s="170">
        <v>91.2</v>
      </c>
      <c r="R65" s="14">
        <v>91.4</v>
      </c>
      <c r="S65" s="14">
        <v>89.4</v>
      </c>
    </row>
    <row r="66" spans="2:19">
      <c r="B66" s="14" t="s">
        <v>407</v>
      </c>
      <c r="C66" s="14">
        <v>175</v>
      </c>
      <c r="D66" s="14">
        <v>178</v>
      </c>
      <c r="E66" s="14">
        <v>181</v>
      </c>
      <c r="F66" s="14">
        <v>173</v>
      </c>
      <c r="G66" s="14">
        <v>175</v>
      </c>
      <c r="H66" s="14">
        <v>178</v>
      </c>
      <c r="I66" s="14">
        <v>175</v>
      </c>
      <c r="J66" s="14">
        <v>182</v>
      </c>
      <c r="K66" s="14">
        <v>186</v>
      </c>
      <c r="L66" s="14">
        <v>187</v>
      </c>
      <c r="M66" s="14">
        <v>191</v>
      </c>
      <c r="N66" s="14">
        <v>201</v>
      </c>
      <c r="O66" s="14">
        <v>193</v>
      </c>
      <c r="P66" s="14">
        <v>199</v>
      </c>
      <c r="Q66" s="170">
        <v>203</v>
      </c>
      <c r="R66" s="14">
        <v>199</v>
      </c>
      <c r="S66" s="14">
        <v>201</v>
      </c>
    </row>
    <row r="67" spans="2:19">
      <c r="B67" s="14" t="s">
        <v>408</v>
      </c>
      <c r="C67" s="14">
        <v>18</v>
      </c>
      <c r="D67" s="14">
        <v>18.8</v>
      </c>
      <c r="E67" s="14">
        <v>19</v>
      </c>
      <c r="F67" s="14">
        <v>18.899999999999999</v>
      </c>
      <c r="G67" s="14">
        <v>19.600000000000001</v>
      </c>
      <c r="H67" s="14">
        <v>20.399999999999999</v>
      </c>
      <c r="I67" s="14">
        <v>19</v>
      </c>
      <c r="J67" s="14">
        <v>19.8</v>
      </c>
      <c r="K67" s="14">
        <v>19.399999999999999</v>
      </c>
      <c r="L67" s="14">
        <v>19.7</v>
      </c>
      <c r="M67" s="14">
        <v>19.600000000000001</v>
      </c>
      <c r="N67" s="14">
        <v>20.2</v>
      </c>
      <c r="O67" s="14">
        <v>19</v>
      </c>
      <c r="P67" s="14">
        <v>19.5</v>
      </c>
      <c r="Q67" s="170">
        <v>20.100000000000001</v>
      </c>
      <c r="R67" s="14">
        <v>20.399999999999999</v>
      </c>
      <c r="S67" s="14">
        <v>20.3</v>
      </c>
    </row>
    <row r="68" spans="2:19">
      <c r="B68" s="14" t="s">
        <v>409</v>
      </c>
      <c r="C68" s="14">
        <v>44.1</v>
      </c>
      <c r="D68" s="14">
        <v>44.7</v>
      </c>
      <c r="E68" s="14">
        <v>49.5</v>
      </c>
      <c r="F68" s="14">
        <v>52.8</v>
      </c>
      <c r="G68" s="14">
        <v>57</v>
      </c>
      <c r="H68" s="14">
        <v>59.4</v>
      </c>
      <c r="I68" s="14">
        <v>58.7</v>
      </c>
      <c r="J68" s="14">
        <v>61</v>
      </c>
      <c r="K68" s="14">
        <v>63.4</v>
      </c>
      <c r="L68" s="14">
        <v>63.8</v>
      </c>
      <c r="M68" s="14">
        <v>64.099999999999994</v>
      </c>
      <c r="N68" s="14">
        <v>65.599999999999994</v>
      </c>
      <c r="O68" s="14">
        <v>65.099999999999994</v>
      </c>
      <c r="P68" s="14">
        <v>66.099999999999994</v>
      </c>
      <c r="Q68" s="170">
        <v>68.3</v>
      </c>
      <c r="R68" s="14">
        <v>70.8</v>
      </c>
      <c r="S68" s="14">
        <v>70.900000000000006</v>
      </c>
    </row>
    <row r="69" spans="2:19">
      <c r="B69" s="14" t="s">
        <v>410</v>
      </c>
      <c r="C69" s="14">
        <v>170</v>
      </c>
      <c r="D69" s="14">
        <v>170</v>
      </c>
      <c r="E69" s="14">
        <v>178</v>
      </c>
      <c r="F69" s="14">
        <v>183</v>
      </c>
      <c r="G69" s="14">
        <v>192</v>
      </c>
      <c r="H69" s="14">
        <v>197</v>
      </c>
      <c r="I69" s="14">
        <v>198</v>
      </c>
      <c r="J69" s="14">
        <v>203</v>
      </c>
      <c r="K69" s="14">
        <v>206</v>
      </c>
      <c r="L69" s="14">
        <v>208</v>
      </c>
      <c r="M69" s="14">
        <v>215</v>
      </c>
      <c r="N69" s="14">
        <v>224</v>
      </c>
      <c r="O69" s="14">
        <v>225</v>
      </c>
      <c r="P69" s="14">
        <v>224</v>
      </c>
      <c r="Q69" s="170">
        <v>232</v>
      </c>
      <c r="R69" s="14">
        <v>231</v>
      </c>
      <c r="S69" s="14">
        <v>233</v>
      </c>
    </row>
    <row r="70" spans="2:19">
      <c r="B70" s="14" t="s">
        <v>458</v>
      </c>
      <c r="C70" s="14">
        <v>50.6</v>
      </c>
      <c r="D70" s="14">
        <v>50.7</v>
      </c>
      <c r="E70" s="14">
        <v>50</v>
      </c>
      <c r="F70" s="14">
        <v>52.7</v>
      </c>
      <c r="G70" s="14">
        <v>55.1</v>
      </c>
      <c r="H70" s="14">
        <v>59.6</v>
      </c>
      <c r="I70" s="14">
        <v>59.3</v>
      </c>
      <c r="J70" s="14">
        <v>61.1</v>
      </c>
      <c r="K70" s="14">
        <v>59.3</v>
      </c>
      <c r="L70" s="14">
        <v>60.1</v>
      </c>
      <c r="M70" s="14">
        <v>62.1</v>
      </c>
      <c r="N70" s="14">
        <v>63.3</v>
      </c>
      <c r="O70" s="14">
        <v>62.8</v>
      </c>
      <c r="P70" s="14">
        <v>61.4</v>
      </c>
      <c r="Q70" s="170">
        <v>63.4</v>
      </c>
      <c r="R70" s="14">
        <v>67.599999999999994</v>
      </c>
      <c r="S70" s="14">
        <v>65.900000000000006</v>
      </c>
    </row>
    <row r="71" spans="2:19">
      <c r="B71" s="14" t="s">
        <v>668</v>
      </c>
      <c r="Q71" s="157" t="s">
        <v>669</v>
      </c>
    </row>
    <row r="72" spans="2:19">
      <c r="B72" s="14" t="s">
        <v>321</v>
      </c>
      <c r="C72" s="14">
        <f>C60/C$60*100</f>
        <v>100</v>
      </c>
      <c r="D72" s="14">
        <f t="shared" ref="D72:P72" si="71">D60/D$60*100</f>
        <v>100</v>
      </c>
      <c r="E72" s="14">
        <f t="shared" si="71"/>
        <v>100</v>
      </c>
      <c r="F72" s="14">
        <f t="shared" si="71"/>
        <v>100</v>
      </c>
      <c r="G72" s="14">
        <f t="shared" si="71"/>
        <v>100</v>
      </c>
      <c r="H72" s="14">
        <f t="shared" si="71"/>
        <v>100</v>
      </c>
      <c r="I72" s="14">
        <f t="shared" si="71"/>
        <v>100</v>
      </c>
      <c r="J72" s="14">
        <f t="shared" si="71"/>
        <v>100</v>
      </c>
      <c r="K72" s="14">
        <f t="shared" si="71"/>
        <v>100</v>
      </c>
      <c r="L72" s="14">
        <f t="shared" si="71"/>
        <v>100</v>
      </c>
      <c r="M72" s="14">
        <f t="shared" si="71"/>
        <v>100</v>
      </c>
      <c r="N72" s="14">
        <f t="shared" si="71"/>
        <v>100</v>
      </c>
      <c r="O72" s="14">
        <f t="shared" si="71"/>
        <v>100</v>
      </c>
      <c r="P72" s="14">
        <f t="shared" si="71"/>
        <v>100</v>
      </c>
      <c r="Q72" s="157">
        <f>C72</f>
        <v>100</v>
      </c>
    </row>
    <row r="73" spans="2:19">
      <c r="B73" s="14" t="s">
        <v>405</v>
      </c>
      <c r="C73" s="154">
        <f t="shared" ref="C73:P82" si="72">C61/C$60*100</f>
        <v>1.6560402684563758</v>
      </c>
      <c r="D73" s="154">
        <f t="shared" si="72"/>
        <v>1.3870967741935483</v>
      </c>
      <c r="E73" s="154">
        <f t="shared" si="72"/>
        <v>1.3432343234323434</v>
      </c>
      <c r="F73" s="154">
        <f t="shared" si="72"/>
        <v>1.3486842105263157</v>
      </c>
      <c r="G73" s="154">
        <f t="shared" si="72"/>
        <v>1.146031746031746</v>
      </c>
      <c r="H73" s="154">
        <f t="shared" si="72"/>
        <v>1.258513931888545</v>
      </c>
      <c r="I73" s="154">
        <f t="shared" si="72"/>
        <v>1.3359133126934986</v>
      </c>
      <c r="J73" s="154">
        <f t="shared" si="72"/>
        <v>1.3132530120481929</v>
      </c>
      <c r="K73" s="154">
        <f t="shared" si="72"/>
        <v>1.3633677991137372</v>
      </c>
      <c r="L73" s="154">
        <f t="shared" si="72"/>
        <v>1.7276720351390922</v>
      </c>
      <c r="M73" s="154">
        <f t="shared" si="72"/>
        <v>1.3424460431654677</v>
      </c>
      <c r="N73" s="154">
        <f t="shared" si="72"/>
        <v>1.2579750346740639</v>
      </c>
      <c r="O73" s="154">
        <f t="shared" si="72"/>
        <v>1.3753501400560224</v>
      </c>
      <c r="P73" s="154">
        <f t="shared" si="72"/>
        <v>1.6666666666666667</v>
      </c>
      <c r="Q73" s="157">
        <f t="shared" ref="Q73:Q82" si="73">C73</f>
        <v>1.6560402684563758</v>
      </c>
    </row>
    <row r="74" spans="2:19">
      <c r="B74" s="14" t="s">
        <v>450</v>
      </c>
      <c r="C74" s="154">
        <f t="shared" si="72"/>
        <v>0.34731543624161071</v>
      </c>
      <c r="D74" s="154">
        <f t="shared" si="72"/>
        <v>0.32088285229202035</v>
      </c>
      <c r="E74" s="154">
        <f t="shared" si="72"/>
        <v>0.31518151815181517</v>
      </c>
      <c r="F74" s="154">
        <f t="shared" si="72"/>
        <v>0.30921052631578949</v>
      </c>
      <c r="G74" s="154">
        <f t="shared" si="72"/>
        <v>0.29682539682539683</v>
      </c>
      <c r="H74" s="154">
        <f t="shared" si="72"/>
        <v>0.28328173374613003</v>
      </c>
      <c r="I74" s="154">
        <f t="shared" si="72"/>
        <v>0.30959752321981426</v>
      </c>
      <c r="J74" s="154">
        <f t="shared" si="72"/>
        <v>0.32078313253012047</v>
      </c>
      <c r="K74" s="154">
        <f t="shared" si="72"/>
        <v>0.32053175775480058</v>
      </c>
      <c r="L74" s="154">
        <f t="shared" si="72"/>
        <v>0.31478770131771594</v>
      </c>
      <c r="M74" s="154">
        <f t="shared" si="72"/>
        <v>0.30791366906474821</v>
      </c>
      <c r="N74" s="154">
        <f t="shared" si="72"/>
        <v>0.31761442441054094</v>
      </c>
      <c r="O74" s="154">
        <f t="shared" si="72"/>
        <v>0.30392156862745096</v>
      </c>
      <c r="P74" s="154">
        <f t="shared" si="72"/>
        <v>0.30555555555555558</v>
      </c>
      <c r="Q74" s="157">
        <f t="shared" si="73"/>
        <v>0.34731543624161071</v>
      </c>
    </row>
    <row r="75" spans="2:19">
      <c r="B75" s="14" t="s">
        <v>451</v>
      </c>
      <c r="C75" s="154">
        <f t="shared" si="72"/>
        <v>3.2718120805369129</v>
      </c>
      <c r="D75" s="154">
        <f t="shared" si="72"/>
        <v>3.2427843803056029</v>
      </c>
      <c r="E75" s="154">
        <f t="shared" si="72"/>
        <v>3.2343234323432348</v>
      </c>
      <c r="F75" s="154">
        <f t="shared" si="72"/>
        <v>3.1907894736842102</v>
      </c>
      <c r="G75" s="154">
        <f t="shared" si="72"/>
        <v>3</v>
      </c>
      <c r="H75" s="154">
        <f t="shared" si="72"/>
        <v>1.3622291021671828</v>
      </c>
      <c r="I75" s="154">
        <f t="shared" si="72"/>
        <v>2.9566563467492259</v>
      </c>
      <c r="J75" s="154">
        <f t="shared" si="72"/>
        <v>2.8463855421686746</v>
      </c>
      <c r="K75" s="154">
        <f t="shared" si="72"/>
        <v>2.8803545051698669</v>
      </c>
      <c r="L75" s="154">
        <f t="shared" si="72"/>
        <v>2.8989751098096632</v>
      </c>
      <c r="M75" s="154">
        <f t="shared" si="72"/>
        <v>2.920863309352518</v>
      </c>
      <c r="N75" s="154">
        <f t="shared" si="72"/>
        <v>2.9680998613037448</v>
      </c>
      <c r="O75" s="154">
        <f t="shared" si="72"/>
        <v>2.8851540616246498</v>
      </c>
      <c r="P75" s="154">
        <f t="shared" si="72"/>
        <v>2.7361111111111112</v>
      </c>
      <c r="Q75" s="157">
        <f t="shared" si="73"/>
        <v>3.2718120805369129</v>
      </c>
    </row>
    <row r="76" spans="2:19">
      <c r="B76" s="14" t="s">
        <v>452</v>
      </c>
      <c r="C76" s="154">
        <f t="shared" si="72"/>
        <v>2.7181208053691277</v>
      </c>
      <c r="D76" s="154">
        <f t="shared" si="72"/>
        <v>2.5806451612903225</v>
      </c>
      <c r="E76" s="154">
        <f t="shared" si="72"/>
        <v>2.6072607260726075</v>
      </c>
      <c r="F76" s="154">
        <f t="shared" si="72"/>
        <v>2.4835526315789473</v>
      </c>
      <c r="G76" s="154">
        <f t="shared" si="72"/>
        <v>2.5873015873015874</v>
      </c>
      <c r="H76" s="154">
        <f t="shared" si="72"/>
        <v>2.6006191950464395</v>
      </c>
      <c r="I76" s="154">
        <f t="shared" si="72"/>
        <v>2.6625386996904021</v>
      </c>
      <c r="J76" s="154">
        <f t="shared" si="72"/>
        <v>2.4849397590361444</v>
      </c>
      <c r="K76" s="154">
        <f t="shared" si="72"/>
        <v>2.8212703101920238</v>
      </c>
      <c r="L76" s="154">
        <f t="shared" si="72"/>
        <v>2.9428989751098098</v>
      </c>
      <c r="M76" s="154">
        <f t="shared" si="72"/>
        <v>2.7625899280575537</v>
      </c>
      <c r="N76" s="154">
        <f t="shared" si="72"/>
        <v>2.8294036061026349</v>
      </c>
      <c r="O76" s="154">
        <f t="shared" si="72"/>
        <v>3.1652661064425769</v>
      </c>
      <c r="P76" s="154">
        <f t="shared" si="72"/>
        <v>2.9722222222222219</v>
      </c>
      <c r="Q76" s="157">
        <f t="shared" si="73"/>
        <v>2.7181208053691277</v>
      </c>
    </row>
    <row r="77" spans="2:19">
      <c r="B77" s="14" t="s">
        <v>406</v>
      </c>
      <c r="C77" s="154">
        <f t="shared" si="72"/>
        <v>14.312080536912752</v>
      </c>
      <c r="D77" s="154">
        <f t="shared" si="72"/>
        <v>13.3276740237691</v>
      </c>
      <c r="E77" s="154">
        <f t="shared" si="72"/>
        <v>13.085808580858085</v>
      </c>
      <c r="F77" s="154">
        <f t="shared" si="72"/>
        <v>13.157894736842104</v>
      </c>
      <c r="G77" s="154">
        <f t="shared" si="72"/>
        <v>13.111111111111109</v>
      </c>
      <c r="H77" s="154">
        <f t="shared" si="72"/>
        <v>12.647058823529411</v>
      </c>
      <c r="I77" s="154">
        <f t="shared" si="72"/>
        <v>12.80185758513932</v>
      </c>
      <c r="J77" s="154">
        <f t="shared" si="72"/>
        <v>12.545180722891565</v>
      </c>
      <c r="K77" s="154">
        <f t="shared" si="72"/>
        <v>12.289512555391434</v>
      </c>
      <c r="L77" s="154">
        <f t="shared" si="72"/>
        <v>12.459736456808198</v>
      </c>
      <c r="M77" s="154">
        <f t="shared" si="72"/>
        <v>12.201438848920864</v>
      </c>
      <c r="N77" s="154">
        <f t="shared" si="72"/>
        <v>11.886269070735091</v>
      </c>
      <c r="O77" s="154">
        <f t="shared" si="72"/>
        <v>11.722689075630251</v>
      </c>
      <c r="P77" s="154">
        <f t="shared" si="72"/>
        <v>12.000000000000002</v>
      </c>
      <c r="Q77" s="157">
        <f t="shared" si="73"/>
        <v>14.312080536912752</v>
      </c>
    </row>
    <row r="78" spans="2:19">
      <c r="B78" s="14" t="s">
        <v>407</v>
      </c>
      <c r="C78" s="154">
        <f t="shared" si="72"/>
        <v>29.36241610738255</v>
      </c>
      <c r="D78" s="154">
        <f t="shared" si="72"/>
        <v>30.220713073005097</v>
      </c>
      <c r="E78" s="154">
        <f t="shared" si="72"/>
        <v>29.867986798679869</v>
      </c>
      <c r="F78" s="154">
        <f t="shared" si="72"/>
        <v>28.453947368421051</v>
      </c>
      <c r="G78" s="154">
        <f t="shared" si="72"/>
        <v>27.777777777777779</v>
      </c>
      <c r="H78" s="154">
        <f t="shared" si="72"/>
        <v>27.554179566563469</v>
      </c>
      <c r="I78" s="154">
        <f t="shared" si="72"/>
        <v>27.089783281733748</v>
      </c>
      <c r="J78" s="154">
        <f t="shared" si="72"/>
        <v>27.409638554216869</v>
      </c>
      <c r="K78" s="154">
        <f t="shared" si="72"/>
        <v>27.474150664697195</v>
      </c>
      <c r="L78" s="154">
        <f t="shared" si="72"/>
        <v>27.379209370424597</v>
      </c>
      <c r="M78" s="154">
        <f t="shared" si="72"/>
        <v>27.482014388489205</v>
      </c>
      <c r="N78" s="154">
        <f t="shared" si="72"/>
        <v>27.877947295423024</v>
      </c>
      <c r="O78" s="154">
        <f t="shared" si="72"/>
        <v>27.030812324929972</v>
      </c>
      <c r="P78" s="154">
        <f t="shared" si="72"/>
        <v>27.638888888888889</v>
      </c>
      <c r="Q78" s="157">
        <f t="shared" si="73"/>
        <v>29.36241610738255</v>
      </c>
    </row>
    <row r="79" spans="2:19">
      <c r="B79" s="14" t="s">
        <v>408</v>
      </c>
      <c r="C79" s="154">
        <f t="shared" si="72"/>
        <v>3.0201342281879198</v>
      </c>
      <c r="D79" s="154">
        <f t="shared" si="72"/>
        <v>3.1918505942275042</v>
      </c>
      <c r="E79" s="154">
        <f t="shared" si="72"/>
        <v>3.1353135313531353</v>
      </c>
      <c r="F79" s="154">
        <f t="shared" si="72"/>
        <v>3.1085526315789469</v>
      </c>
      <c r="G79" s="154">
        <f t="shared" si="72"/>
        <v>3.1111111111111112</v>
      </c>
      <c r="H79" s="154">
        <f t="shared" si="72"/>
        <v>3.1578947368421053</v>
      </c>
      <c r="I79" s="154">
        <f t="shared" si="72"/>
        <v>2.9411764705882351</v>
      </c>
      <c r="J79" s="154">
        <f t="shared" si="72"/>
        <v>2.9819277108433737</v>
      </c>
      <c r="K79" s="154">
        <f t="shared" si="72"/>
        <v>2.8655834564254059</v>
      </c>
      <c r="L79" s="154">
        <f t="shared" si="72"/>
        <v>2.884333821376281</v>
      </c>
      <c r="M79" s="154">
        <f t="shared" si="72"/>
        <v>2.8201438848920866</v>
      </c>
      <c r="N79" s="154">
        <f t="shared" si="72"/>
        <v>2.8016643550624134</v>
      </c>
      <c r="O79" s="154">
        <f t="shared" si="72"/>
        <v>2.661064425770308</v>
      </c>
      <c r="P79" s="154">
        <f t="shared" si="72"/>
        <v>2.7083333333333335</v>
      </c>
      <c r="Q79" s="157">
        <f t="shared" si="73"/>
        <v>3.0201342281879198</v>
      </c>
    </row>
    <row r="80" spans="2:19">
      <c r="B80" s="14" t="s">
        <v>409</v>
      </c>
      <c r="C80" s="154">
        <f t="shared" si="72"/>
        <v>7.3993288590604029</v>
      </c>
      <c r="D80" s="154">
        <f t="shared" si="72"/>
        <v>7.5891341256366731</v>
      </c>
      <c r="E80" s="154">
        <f t="shared" si="72"/>
        <v>8.1683168316831694</v>
      </c>
      <c r="F80" s="154">
        <f t="shared" si="72"/>
        <v>8.6842105263157894</v>
      </c>
      <c r="G80" s="154">
        <f t="shared" si="72"/>
        <v>9.0476190476190474</v>
      </c>
      <c r="H80" s="154">
        <f t="shared" si="72"/>
        <v>9.1950464396284826</v>
      </c>
      <c r="I80" s="154">
        <f t="shared" si="72"/>
        <v>9.0866873065015472</v>
      </c>
      <c r="J80" s="154">
        <f t="shared" si="72"/>
        <v>9.1867469879518069</v>
      </c>
      <c r="K80" s="154">
        <f t="shared" si="72"/>
        <v>9.3648449039881836</v>
      </c>
      <c r="L80" s="154">
        <f t="shared" si="72"/>
        <v>9.3411420204978022</v>
      </c>
      <c r="M80" s="154">
        <f t="shared" si="72"/>
        <v>9.2230215827338125</v>
      </c>
      <c r="N80" s="154">
        <f t="shared" si="72"/>
        <v>9.0984743411927873</v>
      </c>
      <c r="O80" s="154">
        <f t="shared" si="72"/>
        <v>9.117647058823529</v>
      </c>
      <c r="P80" s="154">
        <f t="shared" si="72"/>
        <v>9.1805555555555536</v>
      </c>
      <c r="Q80" s="157">
        <f t="shared" si="73"/>
        <v>7.3993288590604029</v>
      </c>
    </row>
    <row r="81" spans="2:17">
      <c r="B81" s="14" t="s">
        <v>410</v>
      </c>
      <c r="C81" s="154">
        <f t="shared" si="72"/>
        <v>28.523489932885905</v>
      </c>
      <c r="D81" s="154">
        <f t="shared" si="72"/>
        <v>28.862478777589136</v>
      </c>
      <c r="E81" s="154">
        <f t="shared" si="72"/>
        <v>29.372937293729372</v>
      </c>
      <c r="F81" s="154">
        <f t="shared" si="72"/>
        <v>30.098684210526315</v>
      </c>
      <c r="G81" s="154">
        <f t="shared" si="72"/>
        <v>30.476190476190478</v>
      </c>
      <c r="H81" s="154">
        <f t="shared" si="72"/>
        <v>30.495356037151705</v>
      </c>
      <c r="I81" s="154">
        <f t="shared" si="72"/>
        <v>30.650154798761609</v>
      </c>
      <c r="J81" s="154">
        <f t="shared" si="72"/>
        <v>30.57228915662651</v>
      </c>
      <c r="K81" s="154">
        <f t="shared" si="72"/>
        <v>30.428360413589367</v>
      </c>
      <c r="L81" s="154">
        <f t="shared" si="72"/>
        <v>30.453879941434849</v>
      </c>
      <c r="M81" s="154">
        <f t="shared" si="72"/>
        <v>30.935251798561154</v>
      </c>
      <c r="N81" s="154">
        <f t="shared" si="72"/>
        <v>31.067961165048541</v>
      </c>
      <c r="O81" s="154">
        <f t="shared" si="72"/>
        <v>31.512605042016805</v>
      </c>
      <c r="P81" s="154">
        <f t="shared" si="72"/>
        <v>31.111111111111111</v>
      </c>
      <c r="Q81" s="157">
        <f t="shared" si="73"/>
        <v>28.523489932885905</v>
      </c>
    </row>
    <row r="82" spans="2:17">
      <c r="B82" s="14" t="s">
        <v>458</v>
      </c>
      <c r="C82" s="154">
        <f t="shared" si="72"/>
        <v>8.4899328859060397</v>
      </c>
      <c r="D82" s="154">
        <f t="shared" si="72"/>
        <v>8.6078098471986433</v>
      </c>
      <c r="E82" s="154">
        <f t="shared" si="72"/>
        <v>8.2508250825082499</v>
      </c>
      <c r="F82" s="154">
        <f t="shared" si="72"/>
        <v>8.6677631578947363</v>
      </c>
      <c r="G82" s="154">
        <f t="shared" si="72"/>
        <v>8.7460317460317469</v>
      </c>
      <c r="H82" s="154">
        <f t="shared" si="72"/>
        <v>9.2260061919504643</v>
      </c>
      <c r="I82" s="154">
        <f t="shared" si="72"/>
        <v>9.1795665634674926</v>
      </c>
      <c r="J82" s="154">
        <f t="shared" si="72"/>
        <v>9.2018072289156638</v>
      </c>
      <c r="K82" s="154">
        <f t="shared" si="72"/>
        <v>8.7592319054652883</v>
      </c>
      <c r="L82" s="154">
        <f t="shared" si="72"/>
        <v>8.7994143484626655</v>
      </c>
      <c r="M82" s="154">
        <f t="shared" si="72"/>
        <v>8.9352517985611524</v>
      </c>
      <c r="N82" s="154">
        <f t="shared" si="72"/>
        <v>8.7794729542302363</v>
      </c>
      <c r="O82" s="154">
        <f t="shared" si="72"/>
        <v>8.7955182072829121</v>
      </c>
      <c r="P82" s="154">
        <f t="shared" si="72"/>
        <v>8.5277777777777768</v>
      </c>
      <c r="Q82" s="157">
        <f t="shared" si="73"/>
        <v>8.4899328859060397</v>
      </c>
    </row>
    <row r="83" spans="2:17">
      <c r="Q83" s="157"/>
    </row>
    <row r="84" spans="2:17">
      <c r="Q84" s="157"/>
    </row>
    <row r="85" spans="2:17">
      <c r="Q85" s="157"/>
    </row>
    <row r="86" spans="2:17">
      <c r="Q86" s="157"/>
    </row>
    <row r="87" spans="2:17">
      <c r="Q87" s="157"/>
    </row>
    <row r="88" spans="2:17" ht="13.5" customHeight="1">
      <c r="B88" s="14" t="s">
        <v>414</v>
      </c>
      <c r="Q88" s="154"/>
    </row>
    <row r="89" spans="2:17" ht="13.5" customHeight="1">
      <c r="B89" s="14" t="s">
        <v>412</v>
      </c>
      <c r="C89" s="14" t="s">
        <v>413</v>
      </c>
    </row>
    <row r="90" spans="2:17">
      <c r="B90" s="14">
        <v>1958</v>
      </c>
      <c r="C90" s="155">
        <v>184.54587910000001</v>
      </c>
    </row>
    <row r="91" spans="2:17">
      <c r="B91" s="14">
        <v>1959</v>
      </c>
      <c r="C91" s="155">
        <v>197.03569049999999</v>
      </c>
    </row>
    <row r="92" spans="2:17">
      <c r="B92" s="14">
        <v>1960</v>
      </c>
      <c r="C92" s="155">
        <v>199.58035079999999</v>
      </c>
    </row>
    <row r="93" spans="2:17">
      <c r="B93" s="14">
        <v>1961</v>
      </c>
      <c r="C93" s="155">
        <v>205.1537831</v>
      </c>
    </row>
    <row r="94" spans="2:17">
      <c r="B94" s="14">
        <v>1962</v>
      </c>
      <c r="C94" s="155">
        <v>218.56133320000001</v>
      </c>
    </row>
    <row r="95" spans="2:17">
      <c r="B95" s="14">
        <v>1963</v>
      </c>
      <c r="C95" s="155">
        <v>242.08424600000001</v>
      </c>
    </row>
    <row r="96" spans="2:17">
      <c r="B96" s="14">
        <v>1964</v>
      </c>
      <c r="C96" s="155">
        <v>250.17888439999999</v>
      </c>
    </row>
    <row r="97" spans="2:3">
      <c r="B97" s="14">
        <v>1965</v>
      </c>
      <c r="C97" s="155">
        <v>269.2759623</v>
      </c>
    </row>
    <row r="98" spans="2:3">
      <c r="B98" s="14">
        <v>1966</v>
      </c>
      <c r="C98" s="155">
        <v>280.46394559999999</v>
      </c>
    </row>
    <row r="99" spans="2:3">
      <c r="B99" s="14">
        <v>1967</v>
      </c>
      <c r="C99" s="155">
        <v>295.27348510000002</v>
      </c>
    </row>
    <row r="100" spans="2:3">
      <c r="B100" s="14">
        <v>1968</v>
      </c>
      <c r="C100" s="155">
        <v>317.1831995</v>
      </c>
    </row>
    <row r="101" spans="2:3">
      <c r="B101" s="14">
        <v>1969</v>
      </c>
      <c r="C101" s="155">
        <v>330.106202</v>
      </c>
    </row>
    <row r="102" spans="2:3">
      <c r="B102" s="14">
        <v>1970</v>
      </c>
      <c r="C102" s="155">
        <v>354.59987910000001</v>
      </c>
    </row>
    <row r="103" spans="2:3">
      <c r="B103" s="14">
        <v>1971</v>
      </c>
      <c r="C103" s="155">
        <v>361.68297089999999</v>
      </c>
    </row>
    <row r="104" spans="2:3">
      <c r="B104" s="14">
        <v>1972</v>
      </c>
      <c r="C104" s="155">
        <v>380.35379870000003</v>
      </c>
    </row>
    <row r="105" spans="2:3">
      <c r="B105" s="14">
        <v>1973</v>
      </c>
      <c r="C105" s="155">
        <v>397.21965239999997</v>
      </c>
    </row>
    <row r="106" spans="2:3">
      <c r="B106" s="14">
        <v>1974</v>
      </c>
      <c r="C106" s="155">
        <v>405.16631130000002</v>
      </c>
    </row>
    <row r="107" spans="2:3">
      <c r="B107" s="14">
        <v>1975</v>
      </c>
      <c r="C107" s="155">
        <v>398.62387460000002</v>
      </c>
    </row>
    <row r="108" spans="2:3">
      <c r="B108" s="14">
        <v>1976</v>
      </c>
      <c r="C108" s="155">
        <v>414.1435098</v>
      </c>
    </row>
    <row r="109" spans="2:3">
      <c r="B109" s="14">
        <v>1977</v>
      </c>
      <c r="C109" s="155">
        <v>409.11152620000001</v>
      </c>
    </row>
    <row r="110" spans="2:3">
      <c r="B110" s="14">
        <v>1978</v>
      </c>
      <c r="C110" s="155">
        <v>414.1984918</v>
      </c>
    </row>
    <row r="111" spans="2:3">
      <c r="B111" s="14">
        <v>1979</v>
      </c>
      <c r="C111" s="155">
        <v>430.92438620000001</v>
      </c>
    </row>
    <row r="112" spans="2:3">
      <c r="B112" s="14">
        <v>1980</v>
      </c>
      <c r="C112" s="155">
        <v>424.995</v>
      </c>
    </row>
    <row r="113" spans="2:3">
      <c r="C113" s="155"/>
    </row>
    <row r="114" spans="2:3">
      <c r="B114" s="14">
        <v>1981</v>
      </c>
      <c r="C114" s="155">
        <v>408.00400000000002</v>
      </c>
    </row>
    <row r="115" spans="2:3">
      <c r="B115" s="14">
        <v>1982</v>
      </c>
      <c r="C115" s="155">
        <v>389.99599999999998</v>
      </c>
    </row>
    <row r="116" spans="2:3">
      <c r="B116" s="14">
        <v>1983</v>
      </c>
      <c r="C116" s="155">
        <v>377.00200000000001</v>
      </c>
    </row>
    <row r="117" spans="2:3">
      <c r="B117" s="14">
        <v>1984</v>
      </c>
      <c r="C117" s="155">
        <v>391.00099999999998</v>
      </c>
    </row>
    <row r="118" spans="2:3">
      <c r="B118" s="14">
        <v>1985</v>
      </c>
      <c r="C118" s="155">
        <v>409.00400000000002</v>
      </c>
    </row>
    <row r="119" spans="2:3">
      <c r="B119" s="14">
        <v>1986</v>
      </c>
      <c r="C119" s="155">
        <v>403.00299999999999</v>
      </c>
    </row>
    <row r="120" spans="2:3">
      <c r="B120" s="14">
        <v>1987</v>
      </c>
      <c r="C120" s="155">
        <v>419.99799999999999</v>
      </c>
    </row>
    <row r="121" spans="2:3">
      <c r="B121" s="14">
        <v>1988</v>
      </c>
      <c r="C121" s="155">
        <v>451</v>
      </c>
    </row>
    <row r="122" spans="2:3">
      <c r="B122" s="14">
        <v>1989</v>
      </c>
      <c r="C122" s="155">
        <v>470</v>
      </c>
    </row>
    <row r="123" spans="2:3">
      <c r="B123" s="14">
        <v>1990</v>
      </c>
      <c r="C123" s="155">
        <v>447</v>
      </c>
    </row>
    <row r="124" spans="2:3">
      <c r="B124" s="14">
        <v>1991</v>
      </c>
      <c r="C124" s="155">
        <v>440</v>
      </c>
    </row>
    <row r="125" spans="2:3">
      <c r="B125" s="14">
        <v>1992</v>
      </c>
      <c r="C125" s="155">
        <v>455</v>
      </c>
    </row>
    <row r="126" spans="2:3">
      <c r="B126" s="14">
        <v>1993</v>
      </c>
      <c r="C126" s="155">
        <v>457</v>
      </c>
    </row>
    <row r="127" spans="2:3">
      <c r="B127" s="14">
        <v>1994</v>
      </c>
      <c r="C127" s="155">
        <v>471</v>
      </c>
    </row>
    <row r="128" spans="2:3">
      <c r="B128" s="14">
        <v>1995</v>
      </c>
      <c r="C128" s="155">
        <v>489</v>
      </c>
    </row>
  </sheetData>
  <mergeCells count="5">
    <mergeCell ref="B49:M49"/>
    <mergeCell ref="B50:M50"/>
    <mergeCell ref="B51:M51"/>
    <mergeCell ref="B52:M52"/>
    <mergeCell ref="B53:M53"/>
  </mergeCells>
  <phoneticPr fontId="0" type="noConversion"/>
  <pageMargins left="0.75" right="0.75" top="1" bottom="1" header="0.5" footer="0.5"/>
  <pageSetup scale="72" orientation="landscape" r:id="rId1"/>
  <headerFooter alignWithMargins="0"/>
  <rowBreaks count="2" manualBreakCount="2">
    <brk id="54" max="44" man="1"/>
    <brk id="65" max="16383" man="1"/>
  </rowBreaks>
  <colBreaks count="3" manualBreakCount="3">
    <brk id="13" max="52" man="1"/>
    <brk id="25" max="52" man="1"/>
    <brk id="37" max="52" man="1"/>
  </colBreaks>
</worksheet>
</file>

<file path=xl/worksheets/sheet34.xml><?xml version="1.0" encoding="utf-8"?>
<worksheet xmlns="http://schemas.openxmlformats.org/spreadsheetml/2006/main" xmlns:r="http://schemas.openxmlformats.org/officeDocument/2006/relationships">
  <dimension ref="A1:EH52"/>
  <sheetViews>
    <sheetView view="pageBreakPreview" zoomScaleSheetLayoutView="100" workbookViewId="0">
      <selection activeCell="E9" sqref="E9"/>
    </sheetView>
  </sheetViews>
  <sheetFormatPr defaultRowHeight="12.75"/>
  <cols>
    <col min="1" max="1" width="9" style="14"/>
    <col min="2" max="2" width="10.125" style="14" customWidth="1"/>
    <col min="3" max="6" width="8.875" style="14"/>
    <col min="7" max="7" width="9.875" style="14" customWidth="1"/>
    <col min="8" max="12" width="8.875" style="14"/>
    <col min="13" max="15" width="8.875" style="14" customWidth="1"/>
    <col min="16" max="16384" width="9" style="14"/>
  </cols>
  <sheetData>
    <row r="1" spans="1:24" ht="15.75">
      <c r="B1" s="15" t="s">
        <v>465</v>
      </c>
      <c r="N1" s="14" t="s">
        <v>354</v>
      </c>
      <c r="O1" s="14" t="s">
        <v>353</v>
      </c>
      <c r="Q1" s="14" t="s">
        <v>354</v>
      </c>
      <c r="R1" s="14" t="s">
        <v>353</v>
      </c>
      <c r="T1" s="14" t="s">
        <v>354</v>
      </c>
      <c r="U1" s="14" t="s">
        <v>353</v>
      </c>
      <c r="W1" s="14" t="s">
        <v>354</v>
      </c>
      <c r="X1" s="14" t="s">
        <v>353</v>
      </c>
    </row>
    <row r="2" spans="1:24">
      <c r="N2" s="1" t="s">
        <v>683</v>
      </c>
      <c r="O2" s="1"/>
      <c r="Q2" s="14" t="s">
        <v>684</v>
      </c>
      <c r="T2" s="14" t="s">
        <v>947</v>
      </c>
      <c r="W2" s="14" t="s">
        <v>976</v>
      </c>
    </row>
    <row r="3" spans="1:24" s="16" customFormat="1" ht="15">
      <c r="A3" s="280"/>
      <c r="B3" s="280" t="s">
        <v>321</v>
      </c>
      <c r="C3" s="280" t="s">
        <v>449</v>
      </c>
      <c r="D3" s="280" t="s">
        <v>450</v>
      </c>
      <c r="E3" s="280" t="s">
        <v>451</v>
      </c>
      <c r="F3" s="280" t="s">
        <v>452</v>
      </c>
      <c r="G3" s="280" t="s">
        <v>453</v>
      </c>
      <c r="H3" s="280" t="s">
        <v>454</v>
      </c>
      <c r="I3" s="280" t="s">
        <v>455</v>
      </c>
      <c r="J3" s="280" t="s">
        <v>456</v>
      </c>
      <c r="K3" s="280" t="s">
        <v>457</v>
      </c>
      <c r="L3" s="280" t="s">
        <v>458</v>
      </c>
      <c r="N3" s="1">
        <v>1961</v>
      </c>
      <c r="O3" s="1">
        <v>15204</v>
      </c>
      <c r="T3" s="200">
        <v>1961</v>
      </c>
      <c r="U3" s="200">
        <v>15204</v>
      </c>
    </row>
    <row r="4" spans="1:24" hidden="1">
      <c r="A4" s="14">
        <v>1971</v>
      </c>
      <c r="B4" s="153">
        <v>17757.2</v>
      </c>
      <c r="C4" s="153">
        <v>44.8</v>
      </c>
      <c r="D4" s="153">
        <v>0</v>
      </c>
      <c r="E4" s="153">
        <v>148.4</v>
      </c>
      <c r="F4" s="153">
        <v>296.5</v>
      </c>
      <c r="G4" s="153">
        <v>4583.1000000000004</v>
      </c>
      <c r="H4" s="153">
        <v>3232.8</v>
      </c>
      <c r="I4" s="153">
        <v>5.8</v>
      </c>
      <c r="J4" s="153">
        <v>26.8</v>
      </c>
      <c r="K4" s="153">
        <v>204.8</v>
      </c>
      <c r="L4" s="153">
        <v>7840.8</v>
      </c>
      <c r="N4" s="1">
        <v>1962</v>
      </c>
      <c r="O4" s="167">
        <v>16076</v>
      </c>
      <c r="T4" s="14">
        <v>1962</v>
      </c>
      <c r="U4" s="14">
        <v>16076</v>
      </c>
    </row>
    <row r="5" spans="1:24" hidden="1">
      <c r="A5" s="14">
        <v>1972</v>
      </c>
      <c r="B5" s="153">
        <v>19623.599999999999</v>
      </c>
      <c r="C5" s="153">
        <v>0</v>
      </c>
      <c r="D5" s="153">
        <v>0</v>
      </c>
      <c r="E5" s="153">
        <v>165.9</v>
      </c>
      <c r="F5" s="153">
        <v>265.2</v>
      </c>
      <c r="G5" s="153">
        <v>4892.6000000000004</v>
      </c>
      <c r="H5" s="153">
        <v>3271.7</v>
      </c>
      <c r="I5" s="153">
        <v>0</v>
      </c>
      <c r="J5" s="153">
        <v>48</v>
      </c>
      <c r="K5" s="153">
        <v>261.2</v>
      </c>
      <c r="L5" s="153">
        <v>9133.7000000000007</v>
      </c>
      <c r="N5" s="1">
        <v>1963</v>
      </c>
      <c r="O5" s="167">
        <v>16933</v>
      </c>
      <c r="T5" s="14">
        <v>1963</v>
      </c>
      <c r="U5" s="14">
        <v>16933</v>
      </c>
    </row>
    <row r="6" spans="1:24" hidden="1">
      <c r="A6" s="14">
        <v>1973</v>
      </c>
      <c r="B6" s="153">
        <v>24804.1</v>
      </c>
      <c r="C6" s="153">
        <v>0</v>
      </c>
      <c r="D6" s="153">
        <v>0</v>
      </c>
      <c r="E6" s="153">
        <v>266.8</v>
      </c>
      <c r="F6" s="153">
        <v>437.9</v>
      </c>
      <c r="G6" s="153">
        <v>5799.3</v>
      </c>
      <c r="H6" s="153">
        <v>3881.2</v>
      </c>
      <c r="I6" s="153">
        <v>0</v>
      </c>
      <c r="J6" s="153">
        <v>155.6</v>
      </c>
      <c r="K6" s="153">
        <v>363</v>
      </c>
      <c r="L6" s="153">
        <v>12005.3</v>
      </c>
      <c r="N6" s="1">
        <v>1964</v>
      </c>
      <c r="O6" s="167">
        <v>17964</v>
      </c>
      <c r="T6" s="14">
        <v>1964</v>
      </c>
      <c r="U6" s="14">
        <v>17964</v>
      </c>
    </row>
    <row r="7" spans="1:24" hidden="1">
      <c r="A7" s="14">
        <v>1974</v>
      </c>
      <c r="B7" s="153">
        <v>31849.3</v>
      </c>
      <c r="C7" s="153">
        <v>209.7</v>
      </c>
      <c r="D7" s="153">
        <v>0</v>
      </c>
      <c r="E7" s="153">
        <v>502.3</v>
      </c>
      <c r="F7" s="153">
        <v>1153.2</v>
      </c>
      <c r="G7" s="153">
        <v>7742.3</v>
      </c>
      <c r="H7" s="153">
        <v>5469.9</v>
      </c>
      <c r="I7" s="153">
        <v>0</v>
      </c>
      <c r="J7" s="153">
        <v>240.6</v>
      </c>
      <c r="K7" s="153">
        <v>479.6</v>
      </c>
      <c r="L7" s="153">
        <v>13875.5</v>
      </c>
      <c r="N7" s="1">
        <v>1965</v>
      </c>
      <c r="O7" s="167">
        <v>18615</v>
      </c>
      <c r="T7" s="14">
        <v>1965</v>
      </c>
      <c r="U7" s="14">
        <v>18615</v>
      </c>
    </row>
    <row r="8" spans="1:24" hidden="1">
      <c r="A8" s="14">
        <v>1975</v>
      </c>
      <c r="B8" s="153">
        <v>35839</v>
      </c>
      <c r="C8" s="153">
        <v>266</v>
      </c>
      <c r="D8" s="153">
        <v>0</v>
      </c>
      <c r="E8" s="153">
        <v>748.9</v>
      </c>
      <c r="F8" s="153">
        <v>1617.8</v>
      </c>
      <c r="G8" s="153">
        <v>8888.4</v>
      </c>
      <c r="H8" s="153">
        <v>6020.1</v>
      </c>
      <c r="I8" s="153">
        <v>73</v>
      </c>
      <c r="J8" s="153">
        <v>280.89999999999998</v>
      </c>
      <c r="K8" s="153">
        <v>533.79999999999995</v>
      </c>
      <c r="L8" s="153">
        <v>15039.4</v>
      </c>
      <c r="N8" s="1">
        <v>1966</v>
      </c>
      <c r="O8" s="167">
        <v>19867</v>
      </c>
      <c r="T8" s="14">
        <v>1966</v>
      </c>
      <c r="U8" s="14">
        <v>19867</v>
      </c>
    </row>
    <row r="9" spans="1:24" hidden="1">
      <c r="A9" s="14">
        <v>1976</v>
      </c>
      <c r="B9" s="153">
        <v>41340.1</v>
      </c>
      <c r="C9" s="153">
        <v>287.8</v>
      </c>
      <c r="D9" s="153">
        <v>0</v>
      </c>
      <c r="E9" s="153">
        <v>991.1</v>
      </c>
      <c r="F9" s="153">
        <v>1974.7</v>
      </c>
      <c r="G9" s="153">
        <v>9909.7999999999993</v>
      </c>
      <c r="H9" s="153">
        <v>6305.5</v>
      </c>
      <c r="I9" s="153">
        <v>103.6</v>
      </c>
      <c r="J9" s="153">
        <v>345.2</v>
      </c>
      <c r="K9" s="153">
        <v>567</v>
      </c>
      <c r="L9" s="153">
        <v>18201</v>
      </c>
      <c r="N9" s="1">
        <v>1967</v>
      </c>
      <c r="O9" s="167">
        <v>19505</v>
      </c>
      <c r="T9" s="14">
        <v>1967</v>
      </c>
      <c r="U9" s="14">
        <v>19505</v>
      </c>
    </row>
    <row r="10" spans="1:24" hidden="1">
      <c r="A10" s="14">
        <v>1977</v>
      </c>
      <c r="B10" s="153">
        <v>46316</v>
      </c>
      <c r="C10" s="153">
        <v>575.5</v>
      </c>
      <c r="D10" s="153">
        <v>0</v>
      </c>
      <c r="E10" s="153">
        <v>1220.9000000000001</v>
      </c>
      <c r="F10" s="153">
        <v>2133</v>
      </c>
      <c r="G10" s="153">
        <v>11193.5</v>
      </c>
      <c r="H10" s="153">
        <v>6850.4</v>
      </c>
      <c r="I10" s="153">
        <v>93</v>
      </c>
      <c r="J10" s="153">
        <v>361.3</v>
      </c>
      <c r="K10" s="153">
        <v>577.6</v>
      </c>
      <c r="L10" s="153">
        <v>20536.3</v>
      </c>
      <c r="N10" s="1">
        <v>1968</v>
      </c>
      <c r="O10" s="167">
        <v>21444</v>
      </c>
      <c r="T10" s="14">
        <v>1968</v>
      </c>
      <c r="U10" s="14">
        <v>21444</v>
      </c>
    </row>
    <row r="11" spans="1:24" hidden="1">
      <c r="A11" s="14">
        <v>1978</v>
      </c>
      <c r="B11" s="153">
        <v>51208.800000000003</v>
      </c>
      <c r="C11" s="153">
        <v>867.2</v>
      </c>
      <c r="D11" s="153">
        <v>0</v>
      </c>
      <c r="E11" s="153">
        <v>1348.8</v>
      </c>
      <c r="F11" s="153">
        <v>2071.5</v>
      </c>
      <c r="G11" s="153">
        <v>13215.9</v>
      </c>
      <c r="H11" s="153">
        <v>7150.9</v>
      </c>
      <c r="I11" s="153">
        <v>89.2</v>
      </c>
      <c r="J11" s="153">
        <v>377.1</v>
      </c>
      <c r="K11" s="153">
        <v>636.9</v>
      </c>
      <c r="L11" s="153">
        <v>22700.1</v>
      </c>
      <c r="N11" s="1">
        <v>1969</v>
      </c>
      <c r="O11" s="167">
        <v>23261</v>
      </c>
      <c r="T11" s="14">
        <v>1969</v>
      </c>
      <c r="U11" s="14">
        <v>23261</v>
      </c>
    </row>
    <row r="12" spans="1:24" hidden="1">
      <c r="A12" s="14">
        <v>1979</v>
      </c>
      <c r="B12" s="153">
        <v>60327</v>
      </c>
      <c r="C12" s="153">
        <v>1004.1</v>
      </c>
      <c r="D12" s="153">
        <v>0</v>
      </c>
      <c r="E12" s="153">
        <v>1444.6</v>
      </c>
      <c r="F12" s="153">
        <v>1805.8</v>
      </c>
      <c r="G12" s="153">
        <v>15651.6</v>
      </c>
      <c r="H12" s="153">
        <v>7450.3</v>
      </c>
      <c r="I12" s="153">
        <v>92.4</v>
      </c>
      <c r="J12" s="153">
        <v>468.3</v>
      </c>
      <c r="K12" s="153">
        <v>670</v>
      </c>
      <c r="L12" s="153">
        <v>29043.8</v>
      </c>
      <c r="N12" s="1">
        <v>1970</v>
      </c>
      <c r="O12" s="167">
        <v>22607</v>
      </c>
      <c r="T12" s="14">
        <v>1970</v>
      </c>
      <c r="U12" s="14">
        <v>22607</v>
      </c>
    </row>
    <row r="13" spans="1:24" hidden="1">
      <c r="A13" s="14">
        <v>1980</v>
      </c>
      <c r="B13" s="153">
        <v>71302.5</v>
      </c>
      <c r="C13" s="153">
        <v>1265.9000000000001</v>
      </c>
      <c r="D13" s="153">
        <v>0</v>
      </c>
      <c r="E13" s="153">
        <v>1725.5</v>
      </c>
      <c r="F13" s="153">
        <v>2226.5</v>
      </c>
      <c r="G13" s="153">
        <v>19106.7</v>
      </c>
      <c r="H13" s="153">
        <v>9458.2999999999993</v>
      </c>
      <c r="I13" s="153">
        <v>92.2</v>
      </c>
      <c r="J13" s="153">
        <v>560.4</v>
      </c>
      <c r="K13" s="153">
        <v>610.20000000000005</v>
      </c>
      <c r="L13" s="153">
        <v>33742.300000000003</v>
      </c>
      <c r="N13" s="1">
        <v>1971</v>
      </c>
      <c r="O13" s="167">
        <v>22193</v>
      </c>
      <c r="Q13" s="14">
        <v>1971</v>
      </c>
      <c r="R13" s="14">
        <v>22022</v>
      </c>
      <c r="T13" s="14">
        <v>1971</v>
      </c>
      <c r="U13" s="14">
        <v>22193</v>
      </c>
    </row>
    <row r="14" spans="1:24" hidden="1">
      <c r="B14" s="153"/>
      <c r="C14" s="158"/>
      <c r="D14" s="153"/>
      <c r="E14" s="153"/>
      <c r="F14" s="153"/>
      <c r="G14" s="153"/>
      <c r="H14" s="153"/>
      <c r="I14" s="153"/>
      <c r="J14" s="153"/>
      <c r="K14" s="153"/>
      <c r="L14" s="153"/>
      <c r="N14" s="1">
        <v>1972</v>
      </c>
      <c r="O14" s="167">
        <v>24403</v>
      </c>
      <c r="Q14" s="14">
        <v>1972</v>
      </c>
      <c r="R14" s="14">
        <v>24134</v>
      </c>
      <c r="T14" s="14">
        <v>1972</v>
      </c>
      <c r="U14" s="14">
        <v>24403</v>
      </c>
    </row>
    <row r="15" spans="1:24" ht="16.5" customHeight="1">
      <c r="A15" s="14">
        <v>1981</v>
      </c>
      <c r="B15" s="311">
        <v>75656.2</v>
      </c>
      <c r="C15" s="153">
        <v>1666.9</v>
      </c>
      <c r="D15" s="153">
        <v>0</v>
      </c>
      <c r="E15" s="153">
        <v>2106.5</v>
      </c>
      <c r="F15" s="153">
        <v>2485.5</v>
      </c>
      <c r="G15" s="153">
        <v>23063.5</v>
      </c>
      <c r="H15" s="153">
        <v>11432.3</v>
      </c>
      <c r="I15" s="153">
        <v>135.9</v>
      </c>
      <c r="J15" s="153">
        <v>617.70000000000005</v>
      </c>
      <c r="K15" s="153">
        <v>497.3</v>
      </c>
      <c r="L15" s="153">
        <v>31847.7</v>
      </c>
      <c r="N15" s="1">
        <v>1973</v>
      </c>
      <c r="O15" s="167">
        <v>30064</v>
      </c>
      <c r="Q15" s="14">
        <v>1973</v>
      </c>
      <c r="R15" s="14">
        <v>29668</v>
      </c>
      <c r="T15" s="14">
        <v>1973</v>
      </c>
      <c r="U15" s="14">
        <v>30064</v>
      </c>
      <c r="W15" s="14">
        <v>1973</v>
      </c>
      <c r="X15" s="285">
        <v>30063.8</v>
      </c>
    </row>
    <row r="16" spans="1:24" ht="16.5" customHeight="1">
      <c r="A16" s="14">
        <v>1982</v>
      </c>
      <c r="B16" s="311">
        <v>70369.3</v>
      </c>
      <c r="C16" s="153">
        <v>1607</v>
      </c>
      <c r="D16" s="153">
        <v>0</v>
      </c>
      <c r="E16" s="153">
        <v>2084.4</v>
      </c>
      <c r="F16" s="153">
        <v>2081.1</v>
      </c>
      <c r="G16" s="153">
        <v>24271.3</v>
      </c>
      <c r="H16" s="153">
        <v>11445.5</v>
      </c>
      <c r="I16" s="153">
        <v>172</v>
      </c>
      <c r="J16" s="153">
        <v>532.29999999999995</v>
      </c>
      <c r="K16" s="153">
        <v>267.2</v>
      </c>
      <c r="L16" s="153">
        <v>26511.4</v>
      </c>
      <c r="N16" s="1">
        <v>1974</v>
      </c>
      <c r="O16" s="167">
        <v>37821</v>
      </c>
      <c r="Q16" s="14">
        <v>1974</v>
      </c>
      <c r="R16" s="14">
        <v>37306</v>
      </c>
      <c r="T16" s="14">
        <v>1974</v>
      </c>
      <c r="U16" s="14">
        <v>37821</v>
      </c>
      <c r="W16" s="14">
        <v>1974</v>
      </c>
      <c r="X16" s="285">
        <v>37821.1</v>
      </c>
    </row>
    <row r="17" spans="1:25" ht="16.5" customHeight="1">
      <c r="A17" s="14">
        <v>1983</v>
      </c>
      <c r="B17" s="311">
        <v>64776.7</v>
      </c>
      <c r="C17" s="153">
        <v>1075.3</v>
      </c>
      <c r="D17" s="153">
        <v>0</v>
      </c>
      <c r="E17" s="153">
        <v>1871.2</v>
      </c>
      <c r="F17" s="153">
        <v>1855</v>
      </c>
      <c r="G17" s="153">
        <v>23577.9</v>
      </c>
      <c r="H17" s="153">
        <v>11464.4</v>
      </c>
      <c r="I17" s="153">
        <v>91.5</v>
      </c>
      <c r="J17" s="153">
        <v>337.8</v>
      </c>
      <c r="K17" s="153">
        <v>91.8</v>
      </c>
      <c r="L17" s="153">
        <v>22841.4</v>
      </c>
      <c r="N17" s="1">
        <v>1975</v>
      </c>
      <c r="O17" s="167">
        <v>42639</v>
      </c>
      <c r="Q17" s="14">
        <v>1975</v>
      </c>
      <c r="R17" s="14">
        <v>42072</v>
      </c>
      <c r="T17" s="14">
        <v>1975</v>
      </c>
      <c r="U17" s="14">
        <v>42639</v>
      </c>
      <c r="W17" s="14">
        <v>1975</v>
      </c>
      <c r="X17" s="285">
        <v>42638.7</v>
      </c>
    </row>
    <row r="18" spans="1:25" ht="16.5" customHeight="1">
      <c r="A18" s="14">
        <v>1984</v>
      </c>
      <c r="B18" s="311">
        <v>57568.4</v>
      </c>
      <c r="C18" s="153">
        <v>706</v>
      </c>
      <c r="D18" s="153">
        <v>0</v>
      </c>
      <c r="E18" s="153">
        <v>1854.2</v>
      </c>
      <c r="F18" s="153">
        <v>1739.9</v>
      </c>
      <c r="G18" s="153">
        <v>23569.3</v>
      </c>
      <c r="H18" s="153">
        <v>11843.6</v>
      </c>
      <c r="I18" s="153">
        <v>42.3</v>
      </c>
      <c r="J18" s="153">
        <v>195.8</v>
      </c>
      <c r="K18" s="153">
        <v>17.3</v>
      </c>
      <c r="L18" s="153">
        <v>15880.5</v>
      </c>
      <c r="N18" s="1">
        <v>1976</v>
      </c>
      <c r="O18" s="167">
        <v>48993</v>
      </c>
      <c r="Q18" s="14">
        <v>1976</v>
      </c>
      <c r="R18" s="14">
        <v>48362</v>
      </c>
      <c r="T18" s="14">
        <v>1976</v>
      </c>
      <c r="U18" s="14">
        <v>48993</v>
      </c>
      <c r="W18" s="14">
        <v>1976</v>
      </c>
      <c r="X18" s="285">
        <v>48993.2</v>
      </c>
    </row>
    <row r="19" spans="1:25" ht="16.5" customHeight="1">
      <c r="A19" s="14">
        <v>1985</v>
      </c>
      <c r="B19" s="311">
        <v>52736.6</v>
      </c>
      <c r="C19" s="153">
        <v>374.2</v>
      </c>
      <c r="D19" s="153">
        <v>0</v>
      </c>
      <c r="E19" s="153">
        <v>1725.3</v>
      </c>
      <c r="F19" s="153">
        <v>1184</v>
      </c>
      <c r="G19" s="153">
        <v>23767.9</v>
      </c>
      <c r="H19" s="153">
        <v>11417.9</v>
      </c>
      <c r="I19" s="153">
        <v>0</v>
      </c>
      <c r="J19" s="153">
        <v>7.8</v>
      </c>
      <c r="K19" s="153">
        <v>0</v>
      </c>
      <c r="L19" s="153">
        <v>12847.2</v>
      </c>
      <c r="N19" s="1">
        <v>1977</v>
      </c>
      <c r="O19" s="167">
        <v>54925</v>
      </c>
      <c r="Q19" s="14">
        <v>1977</v>
      </c>
      <c r="R19" s="14">
        <v>54400</v>
      </c>
      <c r="T19" s="14">
        <v>1977</v>
      </c>
      <c r="U19" s="14">
        <v>54925</v>
      </c>
      <c r="W19" s="14">
        <v>1977</v>
      </c>
      <c r="X19" s="285">
        <v>54925.5</v>
      </c>
    </row>
    <row r="20" spans="1:25" ht="16.5" customHeight="1">
      <c r="A20" s="14">
        <v>1986</v>
      </c>
      <c r="B20" s="311">
        <v>60805.4</v>
      </c>
      <c r="C20" s="153">
        <v>0</v>
      </c>
      <c r="D20" s="153">
        <v>0</v>
      </c>
      <c r="E20" s="153">
        <v>1686.9</v>
      </c>
      <c r="F20" s="153">
        <v>1531.9</v>
      </c>
      <c r="G20" s="153">
        <v>24912.7</v>
      </c>
      <c r="H20" s="153">
        <v>12435.5</v>
      </c>
      <c r="I20" s="153">
        <v>24.8</v>
      </c>
      <c r="J20" s="153">
        <v>94.1</v>
      </c>
      <c r="K20" s="153">
        <v>45.8</v>
      </c>
      <c r="L20" s="153">
        <v>18838.3</v>
      </c>
      <c r="N20" s="1">
        <v>1978</v>
      </c>
      <c r="O20" s="167">
        <v>60834</v>
      </c>
      <c r="Q20" s="14">
        <v>1978</v>
      </c>
      <c r="R20" s="14">
        <v>60568</v>
      </c>
      <c r="T20" s="14">
        <v>1978</v>
      </c>
      <c r="U20" s="14">
        <v>60834</v>
      </c>
      <c r="W20" s="14">
        <v>1978</v>
      </c>
      <c r="X20" s="285">
        <v>60834.3</v>
      </c>
    </row>
    <row r="21" spans="1:25" ht="16.5" customHeight="1">
      <c r="A21" s="14">
        <v>1987</v>
      </c>
      <c r="B21" s="311">
        <v>89012.3</v>
      </c>
      <c r="C21" s="153">
        <v>0</v>
      </c>
      <c r="D21" s="153">
        <v>0</v>
      </c>
      <c r="E21" s="153">
        <v>2290</v>
      </c>
      <c r="F21" s="153">
        <v>3960.5</v>
      </c>
      <c r="G21" s="153">
        <v>29573.1</v>
      </c>
      <c r="H21" s="153">
        <v>16760</v>
      </c>
      <c r="I21" s="153">
        <v>179.6</v>
      </c>
      <c r="J21" s="153">
        <v>586</v>
      </c>
      <c r="K21" s="153">
        <v>528.29999999999995</v>
      </c>
      <c r="L21" s="153">
        <v>34957.199999999997</v>
      </c>
      <c r="N21" s="1">
        <v>1979</v>
      </c>
      <c r="O21" s="167">
        <v>70933</v>
      </c>
      <c r="Q21" s="14">
        <v>1979</v>
      </c>
      <c r="R21" s="14">
        <v>71030</v>
      </c>
      <c r="T21" s="14">
        <v>1979</v>
      </c>
      <c r="U21" s="14">
        <v>70933</v>
      </c>
      <c r="W21" s="14">
        <v>1979</v>
      </c>
      <c r="X21" s="285">
        <v>70932.800000000003</v>
      </c>
    </row>
    <row r="22" spans="1:25" ht="16.5" customHeight="1">
      <c r="A22" s="14">
        <v>1988</v>
      </c>
      <c r="B22" s="311">
        <v>120006.5</v>
      </c>
      <c r="C22" s="153">
        <v>617.9</v>
      </c>
      <c r="D22" s="153">
        <v>0</v>
      </c>
      <c r="E22" s="153">
        <v>3352.9</v>
      </c>
      <c r="F22" s="153">
        <v>6743.8</v>
      </c>
      <c r="G22" s="153">
        <v>36882.1</v>
      </c>
      <c r="H22" s="153">
        <v>22362.7</v>
      </c>
      <c r="I22" s="153">
        <v>476.9</v>
      </c>
      <c r="J22" s="153">
        <v>924.7</v>
      </c>
      <c r="K22" s="153">
        <v>1002.6</v>
      </c>
      <c r="L22" s="153">
        <v>48787.3</v>
      </c>
      <c r="N22" s="1">
        <v>1980</v>
      </c>
      <c r="O22" s="167">
        <v>83076</v>
      </c>
      <c r="Q22" s="14">
        <v>1980</v>
      </c>
      <c r="R22" s="14">
        <v>83645</v>
      </c>
      <c r="T22" s="14">
        <v>1980</v>
      </c>
      <c r="U22" s="14">
        <v>83076</v>
      </c>
      <c r="W22" s="14">
        <v>1980</v>
      </c>
      <c r="X22" s="285">
        <v>83075.7</v>
      </c>
    </row>
    <row r="23" spans="1:25" ht="16.5" customHeight="1">
      <c r="A23" s="14">
        <v>1989</v>
      </c>
      <c r="B23" s="311">
        <v>140337.29999999999</v>
      </c>
      <c r="C23" s="153">
        <v>800.1</v>
      </c>
      <c r="D23" s="153">
        <v>0</v>
      </c>
      <c r="E23" s="153">
        <v>4074.7</v>
      </c>
      <c r="F23" s="153">
        <v>8544</v>
      </c>
      <c r="G23" s="153">
        <v>39558</v>
      </c>
      <c r="H23" s="153">
        <v>25904.3</v>
      </c>
      <c r="I23" s="153">
        <v>616.70000000000005</v>
      </c>
      <c r="J23" s="153">
        <v>1096.9000000000001</v>
      </c>
      <c r="K23" s="153">
        <v>858.5</v>
      </c>
      <c r="L23" s="153">
        <v>61373.1</v>
      </c>
      <c r="N23" s="1">
        <v>1981</v>
      </c>
      <c r="O23" s="167">
        <v>89035</v>
      </c>
      <c r="Q23" s="14">
        <v>1981</v>
      </c>
      <c r="R23" s="14">
        <v>90317</v>
      </c>
      <c r="T23" s="14">
        <v>1981</v>
      </c>
      <c r="U23" s="14">
        <v>89035</v>
      </c>
      <c r="W23" s="14">
        <v>1981</v>
      </c>
      <c r="X23" s="312">
        <v>89035</v>
      </c>
      <c r="Y23" s="14">
        <f>X23/'a1'!B$47*100</f>
        <v>77827.797202797199</v>
      </c>
    </row>
    <row r="24" spans="1:25" ht="16.5" customHeight="1">
      <c r="A24" s="14">
        <v>1990</v>
      </c>
      <c r="B24" s="311">
        <v>147369.70000000001</v>
      </c>
      <c r="C24" s="153">
        <v>834.7</v>
      </c>
      <c r="D24" s="153">
        <v>0</v>
      </c>
      <c r="E24" s="153">
        <v>4298.1000000000004</v>
      </c>
      <c r="F24" s="153">
        <v>9481.7999999999993</v>
      </c>
      <c r="G24" s="153">
        <v>38544.1</v>
      </c>
      <c r="H24" s="153">
        <v>27588.1</v>
      </c>
      <c r="I24" s="153">
        <v>656.5</v>
      </c>
      <c r="J24" s="153">
        <v>1452.8</v>
      </c>
      <c r="K24" s="153">
        <v>948.4</v>
      </c>
      <c r="L24" s="153">
        <v>66741.7</v>
      </c>
      <c r="N24" s="1">
        <v>1982</v>
      </c>
      <c r="O24" s="167">
        <v>85497</v>
      </c>
      <c r="Q24" s="14">
        <v>1982</v>
      </c>
      <c r="R24" s="14">
        <v>87350</v>
      </c>
      <c r="T24" s="14">
        <v>1982</v>
      </c>
      <c r="U24" s="14">
        <v>85497</v>
      </c>
      <c r="W24" s="14">
        <v>1982</v>
      </c>
      <c r="X24" s="312">
        <v>85497</v>
      </c>
      <c r="Y24" s="14">
        <f>X24/'a1'!B$47*100</f>
        <v>74735.139860139869</v>
      </c>
    </row>
    <row r="25" spans="1:25" ht="16.5" customHeight="1">
      <c r="A25" s="14">
        <v>1991</v>
      </c>
      <c r="B25" s="311">
        <v>132049.29999999999</v>
      </c>
      <c r="C25" s="153">
        <v>772</v>
      </c>
      <c r="D25" s="153">
        <v>0</v>
      </c>
      <c r="E25" s="153">
        <v>3813.4</v>
      </c>
      <c r="F25" s="153">
        <v>8868.6</v>
      </c>
      <c r="G25" s="153">
        <v>33886.6</v>
      </c>
      <c r="H25" s="153">
        <v>23894.1</v>
      </c>
      <c r="I25" s="153">
        <v>476.5</v>
      </c>
      <c r="J25" s="153">
        <v>934.9</v>
      </c>
      <c r="K25" s="153">
        <v>591.70000000000005</v>
      </c>
      <c r="L25" s="153">
        <v>62590.400000000001</v>
      </c>
      <c r="N25" s="1">
        <v>1983</v>
      </c>
      <c r="O25" s="167">
        <v>81383</v>
      </c>
      <c r="Q25" s="14">
        <v>1983</v>
      </c>
      <c r="R25" s="14">
        <v>83645</v>
      </c>
      <c r="T25" s="14">
        <v>1983</v>
      </c>
      <c r="U25" s="14">
        <v>81383</v>
      </c>
      <c r="W25" s="14">
        <v>1983</v>
      </c>
      <c r="X25" s="312">
        <v>81383</v>
      </c>
      <c r="Y25" s="14">
        <f>X25/'a1'!B$47*100</f>
        <v>71138.98601398601</v>
      </c>
    </row>
    <row r="26" spans="1:25" ht="16.5" customHeight="1">
      <c r="A26" s="14">
        <v>1992</v>
      </c>
      <c r="B26" s="311">
        <v>108879.8</v>
      </c>
      <c r="C26" s="153">
        <v>533.9</v>
      </c>
      <c r="D26" s="153">
        <v>0</v>
      </c>
      <c r="E26" s="153">
        <v>3256.6</v>
      </c>
      <c r="F26" s="153">
        <v>6989.6</v>
      </c>
      <c r="G26" s="153">
        <v>27251.8</v>
      </c>
      <c r="H26" s="153">
        <v>20464.8</v>
      </c>
      <c r="I26" s="153">
        <v>339.5</v>
      </c>
      <c r="J26" s="153">
        <v>165.1</v>
      </c>
      <c r="K26" s="153">
        <v>96.1</v>
      </c>
      <c r="L26" s="153">
        <v>53469.4</v>
      </c>
      <c r="N26" s="1">
        <v>1984</v>
      </c>
      <c r="O26" s="167">
        <v>75425</v>
      </c>
      <c r="Q26" s="14">
        <v>1984</v>
      </c>
      <c r="R26" s="14">
        <v>77995</v>
      </c>
      <c r="T26" s="14">
        <v>1984</v>
      </c>
      <c r="U26" s="14">
        <v>75425</v>
      </c>
      <c r="W26" s="14">
        <v>1984</v>
      </c>
      <c r="X26" s="312">
        <v>75425</v>
      </c>
      <c r="Y26" s="14">
        <f>X26/'a1'!B$47*100</f>
        <v>65930.944055944055</v>
      </c>
    </row>
    <row r="27" spans="1:25" ht="16.5" customHeight="1">
      <c r="A27" s="14">
        <v>1993</v>
      </c>
      <c r="B27" s="311">
        <v>89322.8</v>
      </c>
      <c r="C27" s="153">
        <v>188.2</v>
      </c>
      <c r="D27" s="153">
        <v>0</v>
      </c>
      <c r="E27" s="153">
        <v>2353.6</v>
      </c>
      <c r="F27" s="153">
        <v>4757.3</v>
      </c>
      <c r="G27" s="153">
        <v>21821.8</v>
      </c>
      <c r="H27" s="153">
        <v>15646.4</v>
      </c>
      <c r="I27" s="153">
        <v>252.1</v>
      </c>
      <c r="J27" s="153">
        <v>0</v>
      </c>
      <c r="K27" s="153">
        <v>0</v>
      </c>
      <c r="L27" s="153">
        <v>48730</v>
      </c>
      <c r="N27" s="1">
        <v>1985</v>
      </c>
      <c r="O27" s="167">
        <v>71610</v>
      </c>
      <c r="Q27" s="14">
        <v>1985</v>
      </c>
      <c r="R27" s="14">
        <v>74264</v>
      </c>
      <c r="T27" s="14">
        <v>1985</v>
      </c>
      <c r="U27" s="14">
        <v>71610</v>
      </c>
      <c r="W27" s="14">
        <v>1985</v>
      </c>
      <c r="X27" s="312">
        <v>71610</v>
      </c>
      <c r="Y27" s="14">
        <f>X27/'a1'!B$47*100</f>
        <v>62596.153846153844</v>
      </c>
    </row>
    <row r="28" spans="1:25" ht="16.5" customHeight="1">
      <c r="A28" s="14">
        <v>1994</v>
      </c>
      <c r="B28" s="311">
        <v>96739</v>
      </c>
      <c r="C28" s="153">
        <v>422.5</v>
      </c>
      <c r="D28" s="153">
        <v>0</v>
      </c>
      <c r="E28" s="153">
        <v>2007.8</v>
      </c>
      <c r="F28" s="153">
        <v>4767.5</v>
      </c>
      <c r="G28" s="153">
        <v>24357.9</v>
      </c>
      <c r="H28" s="153">
        <v>14775.2</v>
      </c>
      <c r="I28" s="153">
        <v>295.8</v>
      </c>
      <c r="J28" s="153">
        <v>0</v>
      </c>
      <c r="K28" s="153">
        <v>2263</v>
      </c>
      <c r="L28" s="153">
        <v>52769.3</v>
      </c>
      <c r="N28" s="1">
        <v>1986</v>
      </c>
      <c r="O28" s="167">
        <v>80272</v>
      </c>
      <c r="Q28" s="14">
        <v>1986</v>
      </c>
      <c r="R28" s="14">
        <v>82818</v>
      </c>
      <c r="T28" s="14">
        <v>1986</v>
      </c>
      <c r="U28" s="14">
        <v>80272</v>
      </c>
      <c r="W28" s="14">
        <v>1986</v>
      </c>
      <c r="X28" s="312">
        <v>80272</v>
      </c>
      <c r="Y28" s="14">
        <f>X28/'a1'!B$47*100</f>
        <v>70167.832167832166</v>
      </c>
    </row>
    <row r="29" spans="1:25" ht="16.5" customHeight="1">
      <c r="A29" s="14">
        <v>1995</v>
      </c>
      <c r="B29" s="311">
        <v>144236</v>
      </c>
      <c r="C29" s="153">
        <v>1571.3</v>
      </c>
      <c r="D29" s="153">
        <v>0</v>
      </c>
      <c r="E29" s="153">
        <v>3337</v>
      </c>
      <c r="F29" s="153">
        <v>9169.4</v>
      </c>
      <c r="G29" s="153">
        <v>39695.199999999997</v>
      </c>
      <c r="H29" s="153">
        <v>21989.1</v>
      </c>
      <c r="I29" s="153">
        <v>841</v>
      </c>
      <c r="J29" s="153">
        <v>400.4</v>
      </c>
      <c r="K29" s="153">
        <v>7024.2</v>
      </c>
      <c r="L29" s="153">
        <v>65328.2</v>
      </c>
      <c r="N29" s="167">
        <v>1987</v>
      </c>
      <c r="O29" s="167">
        <v>108952</v>
      </c>
      <c r="Q29" s="14">
        <v>1987</v>
      </c>
      <c r="R29" s="14">
        <v>111339</v>
      </c>
      <c r="T29" s="14">
        <v>1987</v>
      </c>
      <c r="U29" s="14">
        <v>108952</v>
      </c>
      <c r="W29" s="14">
        <v>1987</v>
      </c>
      <c r="X29" s="312">
        <v>108952</v>
      </c>
      <c r="Y29" s="14">
        <f>X29/'a1'!B$47*100</f>
        <v>95237.762237762232</v>
      </c>
    </row>
    <row r="30" spans="1:25" ht="16.5" customHeight="1">
      <c r="A30" s="14">
        <v>1996</v>
      </c>
      <c r="B30" s="311">
        <v>188543.2</v>
      </c>
      <c r="C30" s="153">
        <v>2722.1</v>
      </c>
      <c r="D30" s="153">
        <v>0</v>
      </c>
      <c r="E30" s="153">
        <v>4156</v>
      </c>
      <c r="F30" s="153">
        <v>12491.7</v>
      </c>
      <c r="G30" s="153">
        <v>53451.3</v>
      </c>
      <c r="H30" s="153">
        <v>31515.9</v>
      </c>
      <c r="I30" s="153">
        <v>1337.5</v>
      </c>
      <c r="J30" s="153">
        <v>1149.5999999999999</v>
      </c>
      <c r="K30" s="153">
        <v>10210.1</v>
      </c>
      <c r="L30" s="153">
        <v>78388.3</v>
      </c>
      <c r="N30" s="167">
        <v>1988</v>
      </c>
      <c r="O30" s="167">
        <v>140901</v>
      </c>
      <c r="Q30" s="14">
        <v>1988</v>
      </c>
      <c r="R30" s="14">
        <v>143118</v>
      </c>
      <c r="T30" s="14">
        <v>1988</v>
      </c>
      <c r="U30" s="14">
        <v>140901</v>
      </c>
      <c r="W30" s="14">
        <v>1988</v>
      </c>
      <c r="X30" s="312">
        <v>140901</v>
      </c>
      <c r="Y30" s="14">
        <f>X30/'a1'!B$47*100</f>
        <v>123165.20979020979</v>
      </c>
    </row>
    <row r="31" spans="1:25" ht="16.5" customHeight="1">
      <c r="A31" s="14">
        <v>1997</v>
      </c>
      <c r="B31" s="311">
        <v>225830.7</v>
      </c>
      <c r="C31" s="153">
        <v>3560.4</v>
      </c>
      <c r="D31" s="153">
        <v>0</v>
      </c>
      <c r="E31" s="153">
        <v>4313.7</v>
      </c>
      <c r="F31" s="153">
        <v>13937.7</v>
      </c>
      <c r="G31" s="153">
        <v>66705.5</v>
      </c>
      <c r="H31" s="153">
        <v>38484.300000000003</v>
      </c>
      <c r="I31" s="153">
        <v>1632.1</v>
      </c>
      <c r="J31" s="153">
        <v>2138.4</v>
      </c>
      <c r="K31" s="153">
        <v>12945.1</v>
      </c>
      <c r="L31" s="153">
        <v>89735.4</v>
      </c>
      <c r="N31" s="167">
        <v>1989</v>
      </c>
      <c r="O31" s="167">
        <v>162914</v>
      </c>
      <c r="Q31" s="14">
        <v>1989</v>
      </c>
      <c r="R31" s="14">
        <v>165037</v>
      </c>
      <c r="T31" s="14">
        <v>1989</v>
      </c>
      <c r="U31" s="14">
        <v>162914</v>
      </c>
      <c r="W31" s="14">
        <v>1989</v>
      </c>
      <c r="X31" s="312">
        <v>162914</v>
      </c>
      <c r="Y31" s="14">
        <f>X31/'a1'!B$47*100</f>
        <v>142407.34265734267</v>
      </c>
    </row>
    <row r="32" spans="1:25" ht="16.5" customHeight="1">
      <c r="A32" s="14">
        <v>1998</v>
      </c>
      <c r="B32" s="311">
        <v>247107.4</v>
      </c>
      <c r="C32" s="215">
        <f>C31*$B32/$B31</f>
        <v>3895.8440413991543</v>
      </c>
      <c r="D32" s="215">
        <v>0</v>
      </c>
      <c r="E32" s="215">
        <f>E31*$B32/$B31</f>
        <v>4720.1164030399759</v>
      </c>
      <c r="F32" s="215">
        <f>F31*$B32/$B31</f>
        <v>15250.84414554797</v>
      </c>
      <c r="G32" s="215">
        <f>G31*$B32/$B31</f>
        <v>72990.17658228043</v>
      </c>
      <c r="H32" s="215">
        <f>H31*$B32/$B31</f>
        <v>42110.108651392387</v>
      </c>
      <c r="I32" s="215">
        <f>I31*$B32/$B31</f>
        <v>1785.868739458364</v>
      </c>
      <c r="J32" s="215">
        <f t="shared" ref="E32:L33" si="0">J31*$B32/$B31</f>
        <v>2339.8699298191077</v>
      </c>
      <c r="K32" s="215">
        <f>K31*$B32/$B31</f>
        <v>14164.726070193292</v>
      </c>
      <c r="L32" s="215">
        <f t="shared" si="0"/>
        <v>98189.844790632967</v>
      </c>
      <c r="N32" s="167">
        <v>1990</v>
      </c>
      <c r="O32" s="167">
        <v>171945</v>
      </c>
      <c r="Q32" s="14">
        <v>1990</v>
      </c>
      <c r="R32" s="14">
        <v>173976</v>
      </c>
      <c r="T32" s="14">
        <v>1990</v>
      </c>
      <c r="U32" s="14">
        <v>171945</v>
      </c>
      <c r="W32" s="14">
        <v>1990</v>
      </c>
      <c r="X32" s="312">
        <v>171945</v>
      </c>
      <c r="Y32" s="14">
        <f>X32/'a1'!B$47*100</f>
        <v>150301.57342657342</v>
      </c>
    </row>
    <row r="33" spans="1:138" ht="16.5" customHeight="1">
      <c r="A33" s="14">
        <v>1999</v>
      </c>
      <c r="B33" s="311">
        <v>256136</v>
      </c>
      <c r="C33" s="215">
        <f>C32*$B33/$B32</f>
        <v>4038.1870773105697</v>
      </c>
      <c r="D33" s="215">
        <v>0</v>
      </c>
      <c r="E33" s="215">
        <f t="shared" si="0"/>
        <v>4892.5760014028201</v>
      </c>
      <c r="F33" s="215">
        <f t="shared" si="0"/>
        <v>15808.066517085588</v>
      </c>
      <c r="G33" s="215">
        <f t="shared" si="0"/>
        <v>75657.029571267311</v>
      </c>
      <c r="H33" s="215">
        <f t="shared" si="0"/>
        <v>43648.691983862242</v>
      </c>
      <c r="I33" s="215">
        <f t="shared" si="0"/>
        <v>1851.1192924611223</v>
      </c>
      <c r="J33" s="215">
        <f t="shared" si="0"/>
        <v>2425.3621071005846</v>
      </c>
      <c r="K33" s="215">
        <f t="shared" si="0"/>
        <v>14682.264783308914</v>
      </c>
      <c r="L33" s="215">
        <f>L32*$B33/$B32</f>
        <v>101777.42182263084</v>
      </c>
      <c r="N33" s="167">
        <v>1991</v>
      </c>
      <c r="O33" s="167">
        <v>158431</v>
      </c>
      <c r="Q33" s="14">
        <v>1991</v>
      </c>
      <c r="R33" s="14">
        <v>160202</v>
      </c>
      <c r="T33" s="14">
        <v>1991</v>
      </c>
      <c r="U33" s="14">
        <v>158431</v>
      </c>
      <c r="W33" s="14">
        <v>1991</v>
      </c>
      <c r="X33" s="312">
        <v>158431</v>
      </c>
      <c r="Y33" s="14">
        <f>X33/'a1'!B$47*100</f>
        <v>138488.63636363635</v>
      </c>
    </row>
    <row r="34" spans="1:138" ht="16.5" customHeight="1">
      <c r="A34" s="14">
        <v>2000</v>
      </c>
      <c r="B34" s="319">
        <v>258028.1</v>
      </c>
      <c r="C34" s="215">
        <f t="shared" ref="C34:L44" si="1">C33*$B34/$B33</f>
        <v>4068.0175336657067</v>
      </c>
      <c r="D34" s="215">
        <v>0</v>
      </c>
      <c r="E34" s="215">
        <f t="shared" si="1"/>
        <v>4928.7179066885055</v>
      </c>
      <c r="F34" s="215">
        <f t="shared" si="1"/>
        <v>15924.842146661194</v>
      </c>
      <c r="G34" s="215">
        <f t="shared" si="1"/>
        <v>76215.914951111597</v>
      </c>
      <c r="H34" s="215">
        <f t="shared" si="1"/>
        <v>43971.128853738657</v>
      </c>
      <c r="I34" s="215">
        <f t="shared" si="1"/>
        <v>1864.7936795572966</v>
      </c>
      <c r="J34" s="215">
        <f t="shared" si="1"/>
        <v>2443.2784782582703</v>
      </c>
      <c r="K34" s="215">
        <f t="shared" si="1"/>
        <v>14790.724012767088</v>
      </c>
      <c r="L34" s="215">
        <f t="shared" si="1"/>
        <v>102529.26092307201</v>
      </c>
      <c r="N34" s="167">
        <v>1992</v>
      </c>
      <c r="O34" s="167">
        <v>136942</v>
      </c>
      <c r="Q34" s="14">
        <v>1992</v>
      </c>
      <c r="R34" s="14">
        <v>138828</v>
      </c>
      <c r="T34" s="14">
        <v>1992</v>
      </c>
      <c r="U34" s="14">
        <v>136942</v>
      </c>
      <c r="W34" s="14">
        <v>1992</v>
      </c>
      <c r="X34" s="312">
        <v>136942</v>
      </c>
      <c r="Y34" s="14">
        <f>X34/'a1'!B$47*100</f>
        <v>119704.54545454546</v>
      </c>
    </row>
    <row r="35" spans="1:138" ht="16.5" customHeight="1">
      <c r="A35" s="14">
        <v>2001</v>
      </c>
      <c r="B35" s="319">
        <v>267112.7</v>
      </c>
      <c r="C35" s="215">
        <f t="shared" si="1"/>
        <v>4211.2434539679507</v>
      </c>
      <c r="D35" s="215">
        <v>0</v>
      </c>
      <c r="E35" s="215">
        <f t="shared" si="1"/>
        <v>5102.2471877827056</v>
      </c>
      <c r="F35" s="215">
        <f t="shared" si="1"/>
        <v>16485.520696654617</v>
      </c>
      <c r="G35" s="215">
        <f t="shared" si="1"/>
        <v>78899.309127811226</v>
      </c>
      <c r="H35" s="215">
        <f t="shared" si="1"/>
        <v>45519.255267817876</v>
      </c>
      <c r="I35" s="215">
        <f t="shared" si="1"/>
        <v>1930.4489498991945</v>
      </c>
      <c r="J35" s="215">
        <f t="shared" si="1"/>
        <v>2529.3009217967265</v>
      </c>
      <c r="K35" s="215">
        <f t="shared" si="1"/>
        <v>15311.472765970262</v>
      </c>
      <c r="L35" s="215">
        <f t="shared" si="1"/>
        <v>106139.08994472408</v>
      </c>
      <c r="N35" s="167">
        <v>1993</v>
      </c>
      <c r="O35" s="167">
        <v>118715</v>
      </c>
      <c r="Q35" s="14">
        <v>1993</v>
      </c>
      <c r="R35" s="14">
        <v>120832</v>
      </c>
      <c r="T35" s="14">
        <v>1993</v>
      </c>
      <c r="U35" s="14">
        <v>118715</v>
      </c>
      <c r="W35" s="14">
        <v>1993</v>
      </c>
      <c r="X35" s="312">
        <v>118715</v>
      </c>
      <c r="Y35" s="14">
        <f>X35/'a1'!B$47*100</f>
        <v>103771.85314685314</v>
      </c>
    </row>
    <row r="36" spans="1:138" ht="16.5" customHeight="1">
      <c r="A36" s="14">
        <v>2002</v>
      </c>
      <c r="B36" s="319">
        <v>270854.59999999998</v>
      </c>
      <c r="C36" s="215">
        <f t="shared" si="1"/>
        <v>4270.2374736472939</v>
      </c>
      <c r="D36" s="215">
        <v>0</v>
      </c>
      <c r="E36" s="215">
        <f>E35*$B36/$B35</f>
        <v>5173.7230058623554</v>
      </c>
      <c r="F36" s="215">
        <f t="shared" si="1"/>
        <v>16716.461306722245</v>
      </c>
      <c r="G36" s="215">
        <f t="shared" si="1"/>
        <v>80004.585383209618</v>
      </c>
      <c r="H36" s="215">
        <f t="shared" si="1"/>
        <v>46156.920572712203</v>
      </c>
      <c r="I36" s="215">
        <f t="shared" si="1"/>
        <v>1957.4920179585856</v>
      </c>
      <c r="J36" s="215">
        <f t="shared" si="1"/>
        <v>2564.7331237072726</v>
      </c>
      <c r="K36" s="215">
        <f t="shared" si="1"/>
        <v>15525.966498177617</v>
      </c>
      <c r="L36" s="215">
        <f t="shared" si="1"/>
        <v>107625.95994627834</v>
      </c>
      <c r="N36" s="167">
        <v>1994</v>
      </c>
      <c r="O36" s="167">
        <v>126877</v>
      </c>
      <c r="Q36" s="14">
        <v>1994</v>
      </c>
      <c r="R36" s="14">
        <v>129086</v>
      </c>
      <c r="T36" s="14">
        <v>1994</v>
      </c>
      <c r="U36" s="14">
        <v>126877</v>
      </c>
      <c r="W36" s="14">
        <v>1994</v>
      </c>
      <c r="X36" s="312">
        <v>126877</v>
      </c>
      <c r="Y36" s="14">
        <f>X36/'a1'!B$47*100</f>
        <v>110906.46853146852</v>
      </c>
    </row>
    <row r="37" spans="1:138" ht="16.5" customHeight="1">
      <c r="A37" s="14">
        <v>2003</v>
      </c>
      <c r="B37" s="319">
        <v>266507.90000000002</v>
      </c>
      <c r="C37" s="215">
        <f t="shared" si="1"/>
        <v>4201.7083025469965</v>
      </c>
      <c r="D37" s="215">
        <v>0</v>
      </c>
      <c r="E37" s="215">
        <f>E36*$B37/$B36</f>
        <v>5090.6946142840634</v>
      </c>
      <c r="F37" s="215">
        <f t="shared" si="1"/>
        <v>16448.193969331893</v>
      </c>
      <c r="G37" s="215">
        <f>G36*$B37/$B36</f>
        <v>78720.664300513614</v>
      </c>
      <c r="H37" s="215">
        <f t="shared" si="1"/>
        <v>45416.189986436737</v>
      </c>
      <c r="I37" s="215">
        <f t="shared" si="1"/>
        <v>1926.0780026364885</v>
      </c>
      <c r="J37" s="215">
        <f t="shared" si="1"/>
        <v>2523.5740462213512</v>
      </c>
      <c r="K37" s="215">
        <f t="shared" si="1"/>
        <v>15276.804333024698</v>
      </c>
      <c r="L37" s="215">
        <f t="shared" si="1"/>
        <v>105898.76845645877</v>
      </c>
      <c r="N37" s="167">
        <v>1995</v>
      </c>
      <c r="O37" s="167">
        <v>175049</v>
      </c>
      <c r="Q37" s="14">
        <v>1995</v>
      </c>
      <c r="R37" s="14">
        <v>177384</v>
      </c>
      <c r="T37" s="14">
        <v>1995</v>
      </c>
      <c r="U37" s="14">
        <v>175049</v>
      </c>
      <c r="W37" s="14">
        <v>1995</v>
      </c>
      <c r="X37" s="312">
        <v>175049</v>
      </c>
      <c r="Y37" s="14">
        <f>X37/'a1'!B$47*100</f>
        <v>153014.86013986013</v>
      </c>
    </row>
    <row r="38" spans="1:138" ht="16.5" customHeight="1">
      <c r="A38" s="14">
        <v>2004</v>
      </c>
      <c r="B38" s="319">
        <v>282528.59999999998</v>
      </c>
      <c r="C38" s="215">
        <f t="shared" si="1"/>
        <v>4454.2873375497647</v>
      </c>
      <c r="D38" s="215">
        <v>0</v>
      </c>
      <c r="E38" s="215">
        <f t="shared" si="1"/>
        <v>5396.713652395355</v>
      </c>
      <c r="F38" s="215">
        <f t="shared" si="1"/>
        <v>17436.951079813327</v>
      </c>
      <c r="G38" s="215">
        <f t="shared" si="1"/>
        <v>83452.832264612371</v>
      </c>
      <c r="H38" s="215">
        <f t="shared" si="1"/>
        <v>48146.312263921594</v>
      </c>
      <c r="I38" s="215">
        <f t="shared" si="1"/>
        <v>2041.8611289784781</v>
      </c>
      <c r="J38" s="215">
        <f t="shared" si="1"/>
        <v>2675.2747002068363</v>
      </c>
      <c r="K38" s="215">
        <f t="shared" si="1"/>
        <v>16195.145212143432</v>
      </c>
      <c r="L38" s="215">
        <f t="shared" si="1"/>
        <v>112264.70507526213</v>
      </c>
      <c r="N38" s="167">
        <v>1996</v>
      </c>
      <c r="O38" s="167">
        <v>220226</v>
      </c>
      <c r="Q38" s="14">
        <v>1996</v>
      </c>
      <c r="R38" s="14">
        <v>223009</v>
      </c>
      <c r="T38" s="14">
        <v>1996</v>
      </c>
      <c r="U38" s="14">
        <v>220226</v>
      </c>
      <c r="W38" s="14">
        <v>1996</v>
      </c>
      <c r="X38" s="312">
        <v>220226</v>
      </c>
      <c r="Y38" s="14">
        <f>X38/'a1'!B$47*100</f>
        <v>192505.24475524473</v>
      </c>
    </row>
    <row r="39" spans="1:138" ht="16.5" customHeight="1">
      <c r="A39" s="14">
        <v>2005</v>
      </c>
      <c r="B39" s="319">
        <v>256050.5</v>
      </c>
      <c r="C39" s="215">
        <f t="shared" si="1"/>
        <v>4036.8391020352842</v>
      </c>
      <c r="D39" s="215">
        <v>0</v>
      </c>
      <c r="E39" s="215">
        <f t="shared" si="1"/>
        <v>4890.9428250897681</v>
      </c>
      <c r="F39" s="215">
        <f t="shared" si="1"/>
        <v>15802.789673193238</v>
      </c>
      <c r="G39" s="215">
        <f t="shared" si="1"/>
        <v>75631.774722170187</v>
      </c>
      <c r="H39" s="215">
        <f t="shared" si="1"/>
        <v>43634.121743190801</v>
      </c>
      <c r="I39" s="215">
        <f t="shared" si="1"/>
        <v>1850.5013758094005</v>
      </c>
      <c r="J39" s="215">
        <f t="shared" si="1"/>
        <v>2424.5525041546612</v>
      </c>
      <c r="K39" s="215">
        <f t="shared" si="1"/>
        <v>14677.363739960954</v>
      </c>
      <c r="L39" s="215">
        <f t="shared" si="1"/>
        <v>101743.44780271238</v>
      </c>
      <c r="N39" s="167">
        <v>1997</v>
      </c>
      <c r="O39" s="167">
        <v>258434</v>
      </c>
      <c r="Q39" s="14">
        <v>1997</v>
      </c>
      <c r="R39" s="14">
        <v>261820</v>
      </c>
      <c r="T39" s="14">
        <v>1997</v>
      </c>
      <c r="U39" s="14">
        <v>258434</v>
      </c>
      <c r="W39" s="14">
        <v>1997</v>
      </c>
      <c r="X39" s="312">
        <v>258434</v>
      </c>
      <c r="Y39" s="14">
        <f>X39/'a1'!B$47*100</f>
        <v>225903.84615384616</v>
      </c>
    </row>
    <row r="40" spans="1:138" ht="16.5" customHeight="1">
      <c r="A40" s="14">
        <v>2006</v>
      </c>
      <c r="B40" s="319">
        <v>239909.7</v>
      </c>
      <c r="C40" s="215">
        <f t="shared" si="1"/>
        <v>3782.3665953300401</v>
      </c>
      <c r="D40" s="215">
        <v>0</v>
      </c>
      <c r="E40" s="215">
        <f t="shared" si="1"/>
        <v>4582.6296995492639</v>
      </c>
      <c r="F40" s="215">
        <f t="shared" si="1"/>
        <v>14806.620294273544</v>
      </c>
      <c r="G40" s="215">
        <f t="shared" si="1"/>
        <v>70864.131817994639</v>
      </c>
      <c r="H40" s="215">
        <f t="shared" si="1"/>
        <v>40883.532963897291</v>
      </c>
      <c r="I40" s="215">
        <f t="shared" si="1"/>
        <v>1733.8502753168636</v>
      </c>
      <c r="J40" s="215">
        <f t="shared" si="1"/>
        <v>2271.7146184287612</v>
      </c>
      <c r="K40" s="215">
        <f t="shared" si="1"/>
        <v>13752.138471297307</v>
      </c>
      <c r="L40" s="215">
        <f t="shared" si="1"/>
        <v>95329.788613239914</v>
      </c>
      <c r="N40" s="167">
        <v>1998</v>
      </c>
      <c r="O40" s="167">
        <v>280522</v>
      </c>
      <c r="Q40" s="14">
        <v>1998</v>
      </c>
      <c r="R40" s="14">
        <v>284632</v>
      </c>
      <c r="T40" s="14">
        <v>1998</v>
      </c>
      <c r="U40" s="14">
        <v>280522</v>
      </c>
      <c r="W40" s="14">
        <v>1998</v>
      </c>
      <c r="X40" s="312">
        <v>280522</v>
      </c>
      <c r="Y40" s="14">
        <f>X40/'a1'!B$47*100</f>
        <v>245211.53846153844</v>
      </c>
    </row>
    <row r="41" spans="1:138" ht="16.5" customHeight="1">
      <c r="A41" s="14">
        <v>2007</v>
      </c>
      <c r="B41" s="319">
        <v>222369.3</v>
      </c>
      <c r="C41" s="215">
        <f>C40*$B41/$B40</f>
        <v>3505.8282851711465</v>
      </c>
      <c r="D41" s="215">
        <v>0</v>
      </c>
      <c r="E41" s="215">
        <f t="shared" si="1"/>
        <v>4247.5821463158009</v>
      </c>
      <c r="F41" s="215">
        <f t="shared" si="1"/>
        <v>13724.071140947621</v>
      </c>
      <c r="G41" s="215">
        <f t="shared" si="1"/>
        <v>65683.077372341315</v>
      </c>
      <c r="H41" s="215">
        <f t="shared" si="1"/>
        <v>37894.435309238288</v>
      </c>
      <c r="I41" s="215">
        <f t="shared" si="1"/>
        <v>1607.0841321839769</v>
      </c>
      <c r="J41" s="215">
        <f t="shared" si="1"/>
        <v>2105.6238638945015</v>
      </c>
      <c r="K41" s="215">
        <f t="shared" si="1"/>
        <v>12746.685129302616</v>
      </c>
      <c r="L41" s="215">
        <f t="shared" si="1"/>
        <v>88359.988625195765</v>
      </c>
      <c r="N41" s="167">
        <v>1999</v>
      </c>
      <c r="O41" s="167">
        <v>289951</v>
      </c>
      <c r="Q41" s="14">
        <v>1999</v>
      </c>
      <c r="R41" s="13">
        <v>295254</v>
      </c>
      <c r="T41" s="14">
        <v>1999</v>
      </c>
      <c r="U41" s="14">
        <v>289951</v>
      </c>
      <c r="W41" s="14">
        <v>1999</v>
      </c>
      <c r="X41" s="312">
        <v>289951</v>
      </c>
      <c r="Y41" s="14">
        <f>X41/'a1'!B$47*100</f>
        <v>253453.67132867131</v>
      </c>
    </row>
    <row r="42" spans="1:138" s="1" customFormat="1" ht="16.5" customHeight="1">
      <c r="A42" s="14">
        <v>2008</v>
      </c>
      <c r="B42" s="319">
        <v>213197.1</v>
      </c>
      <c r="C42" s="215">
        <f>C41*$B42/$B41</f>
        <v>3361.2212814289633</v>
      </c>
      <c r="D42" s="215">
        <v>0</v>
      </c>
      <c r="E42" s="215">
        <f t="shared" si="1"/>
        <v>4072.3795758061228</v>
      </c>
      <c r="F42" s="215">
        <f t="shared" si="1"/>
        <v>13157.986140369756</v>
      </c>
      <c r="G42" s="215">
        <f t="shared" si="1"/>
        <v>62973.808052005334</v>
      </c>
      <c r="H42" s="215">
        <f t="shared" si="1"/>
        <v>36331.380788927279</v>
      </c>
      <c r="I42" s="215">
        <f t="shared" si="1"/>
        <v>1540.7957682901397</v>
      </c>
      <c r="J42" s="215">
        <f t="shared" si="1"/>
        <v>2018.7719324254854</v>
      </c>
      <c r="K42" s="215">
        <f t="shared" si="1"/>
        <v>12220.9149562482</v>
      </c>
      <c r="L42" s="215">
        <f t="shared" si="1"/>
        <v>84715.351134013225</v>
      </c>
      <c r="M42" s="13"/>
      <c r="N42" s="167">
        <v>2000</v>
      </c>
      <c r="O42" s="167">
        <v>291771</v>
      </c>
      <c r="P42" s="13"/>
      <c r="Q42" s="14">
        <v>2000</v>
      </c>
      <c r="R42" s="14">
        <v>296123</v>
      </c>
      <c r="S42" s="13"/>
      <c r="T42" s="199">
        <v>2000</v>
      </c>
      <c r="U42" s="199">
        <v>291771</v>
      </c>
      <c r="V42" s="13"/>
      <c r="W42" s="199">
        <v>2000</v>
      </c>
      <c r="X42" s="312">
        <v>291771</v>
      </c>
      <c r="Y42" s="14">
        <f>X42/'a1'!B$47*100</f>
        <v>255044.58041958042</v>
      </c>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row>
    <row r="43" spans="1:138" s="1" customFormat="1" ht="16.5" customHeight="1">
      <c r="A43" s="14">
        <v>2009</v>
      </c>
      <c r="B43" s="319">
        <v>170171.4</v>
      </c>
      <c r="C43" s="215">
        <f>C42*$B43/$B42</f>
        <v>2682.8870147415732</v>
      </c>
      <c r="D43" s="215">
        <v>0</v>
      </c>
      <c r="E43" s="215">
        <f t="shared" si="1"/>
        <v>3250.5251419758247</v>
      </c>
      <c r="F43" s="215">
        <f t="shared" si="1"/>
        <v>10502.548687047421</v>
      </c>
      <c r="G43" s="215">
        <f t="shared" si="1"/>
        <v>50264.947691788577</v>
      </c>
      <c r="H43" s="215">
        <f t="shared" si="1"/>
        <v>28999.277817497798</v>
      </c>
      <c r="I43" s="215">
        <f t="shared" si="1"/>
        <v>1229.8449322434906</v>
      </c>
      <c r="J43" s="215">
        <f t="shared" si="1"/>
        <v>1611.3598450520678</v>
      </c>
      <c r="K43" s="215">
        <f t="shared" si="1"/>
        <v>9754.5895670517784</v>
      </c>
      <c r="L43" s="215">
        <f t="shared" si="1"/>
        <v>67618.789861431593</v>
      </c>
      <c r="M43" s="13"/>
      <c r="N43" s="167"/>
      <c r="O43" s="167"/>
      <c r="P43" s="13"/>
      <c r="Q43" s="14"/>
      <c r="R43" s="14"/>
      <c r="S43" s="13"/>
      <c r="T43" s="199"/>
      <c r="U43" s="199"/>
      <c r="V43" s="13"/>
      <c r="W43" s="199"/>
      <c r="X43" s="312">
        <v>300445</v>
      </c>
      <c r="Y43" s="14">
        <f>X43/'a1'!B$47*100</f>
        <v>262626.74825174821</v>
      </c>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row>
    <row r="44" spans="1:138" s="1" customFormat="1" ht="16.5" customHeight="1">
      <c r="A44" s="14">
        <v>2010</v>
      </c>
      <c r="B44" s="319">
        <f>B43*POWER(B43/B38, 1/5)</f>
        <v>153762.84384791786</v>
      </c>
      <c r="C44" s="215">
        <f>C43*$B44/$B43</f>
        <v>2424.1931200502263</v>
      </c>
      <c r="D44" s="215">
        <v>0</v>
      </c>
      <c r="E44" s="215">
        <f t="shared" si="1"/>
        <v>2937.0974783621677</v>
      </c>
      <c r="F44" s="215">
        <f t="shared" si="1"/>
        <v>9489.8540751949349</v>
      </c>
      <c r="G44" s="215">
        <f t="shared" si="1"/>
        <v>45418.215416669584</v>
      </c>
      <c r="H44" s="215">
        <f t="shared" si="1"/>
        <v>26203.060130869831</v>
      </c>
      <c r="I44" s="215">
        <f t="shared" si="1"/>
        <v>1111.2587325115089</v>
      </c>
      <c r="J44" s="215">
        <f t="shared" si="1"/>
        <v>1455.9865655306724</v>
      </c>
      <c r="K44" s="215">
        <f t="shared" si="1"/>
        <v>8814.0159415689795</v>
      </c>
      <c r="L44" s="215">
        <f t="shared" si="1"/>
        <v>61098.735901852357</v>
      </c>
      <c r="M44" s="13"/>
      <c r="N44" s="167"/>
      <c r="O44" s="167"/>
      <c r="P44" s="13"/>
      <c r="Q44" s="14"/>
      <c r="R44" s="14"/>
      <c r="S44" s="13"/>
      <c r="T44" s="199"/>
      <c r="U44" s="199"/>
      <c r="V44" s="13"/>
      <c r="W44" s="199"/>
      <c r="X44" s="312"/>
      <c r="Y44" s="14"/>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row>
    <row r="45" spans="1:138" ht="15">
      <c r="A45" s="172"/>
      <c r="B45" s="172" t="s">
        <v>435</v>
      </c>
      <c r="C45" s="215"/>
      <c r="D45" s="215"/>
      <c r="E45" s="215"/>
      <c r="F45" s="215"/>
      <c r="G45" s="215"/>
      <c r="H45" s="215"/>
      <c r="I45" s="215"/>
      <c r="J45" s="215"/>
      <c r="K45" s="215"/>
      <c r="L45" s="215"/>
      <c r="N45" s="167">
        <v>2001</v>
      </c>
      <c r="O45" s="167">
        <v>300445</v>
      </c>
      <c r="Q45" s="14">
        <v>2001</v>
      </c>
      <c r="R45" s="14">
        <v>305796</v>
      </c>
      <c r="T45" s="14">
        <v>2001</v>
      </c>
      <c r="U45" s="14">
        <v>300445</v>
      </c>
      <c r="W45" s="14">
        <v>2001</v>
      </c>
      <c r="X45" s="312">
        <v>303278</v>
      </c>
      <c r="Y45" s="14">
        <f>X45/'a1'!B$47*100</f>
        <v>265103.14685314684</v>
      </c>
    </row>
    <row r="46" spans="1:138" ht="15">
      <c r="A46" s="252" t="s">
        <v>988</v>
      </c>
      <c r="B46" s="271">
        <f>(POWER(B44/B15, 1/29)-1)*100</f>
        <v>2.4757078414351597</v>
      </c>
      <c r="C46" s="271">
        <f>(POWER(C44/C15, 1/29)-1)*100</f>
        <v>1.2998693172317832</v>
      </c>
      <c r="D46" s="271" t="s">
        <v>75</v>
      </c>
      <c r="E46" s="271">
        <f t="shared" ref="E46:L46" si="2">(POWER(E44/E15, 1/29)-1)*100</f>
        <v>1.1527802256823927</v>
      </c>
      <c r="F46" s="271">
        <f t="shared" si="2"/>
        <v>4.7282019065977732</v>
      </c>
      <c r="G46" s="271">
        <f t="shared" si="2"/>
        <v>2.3642816675693235</v>
      </c>
      <c r="H46" s="271">
        <f t="shared" si="2"/>
        <v>2.9014096393053856</v>
      </c>
      <c r="I46" s="271">
        <f t="shared" si="2"/>
        <v>7.5149403431672201</v>
      </c>
      <c r="J46" s="271">
        <f t="shared" si="2"/>
        <v>3.0008198620830706</v>
      </c>
      <c r="K46" s="271">
        <f t="shared" si="2"/>
        <v>10.421497736291418</v>
      </c>
      <c r="L46" s="271">
        <f t="shared" si="2"/>
        <v>2.2720684668786406</v>
      </c>
      <c r="N46" s="167">
        <v>2002</v>
      </c>
      <c r="O46" s="167">
        <v>303278</v>
      </c>
      <c r="Q46" s="14">
        <v>2002</v>
      </c>
      <c r="R46" s="14">
        <v>308533</v>
      </c>
      <c r="T46" s="14">
        <v>2002</v>
      </c>
      <c r="U46" s="14">
        <v>303278</v>
      </c>
      <c r="W46" s="14">
        <v>2002</v>
      </c>
      <c r="X46" s="312">
        <v>297474</v>
      </c>
      <c r="Y46" s="14">
        <f>X46/'a1'!B$47*100</f>
        <v>260029.72027972026</v>
      </c>
    </row>
    <row r="47" spans="1:138" ht="15">
      <c r="B47" s="14" t="s">
        <v>948</v>
      </c>
      <c r="N47" s="167">
        <v>2003</v>
      </c>
      <c r="O47" s="167">
        <v>297474</v>
      </c>
      <c r="Q47" s="14">
        <v>2003</v>
      </c>
      <c r="R47" s="14">
        <v>316108</v>
      </c>
      <c r="T47" s="14">
        <v>2003</v>
      </c>
      <c r="U47" s="14">
        <v>297474</v>
      </c>
      <c r="W47" s="14">
        <v>2003</v>
      </c>
      <c r="X47" s="312">
        <v>311771</v>
      </c>
      <c r="Y47" s="14">
        <f>X47/'a1'!B$47*100</f>
        <v>272527.09790209786</v>
      </c>
    </row>
    <row r="48" spans="1:138" ht="15">
      <c r="B48" s="14" t="s">
        <v>201</v>
      </c>
      <c r="N48" s="167">
        <v>2004</v>
      </c>
      <c r="O48" s="167">
        <v>302358</v>
      </c>
      <c r="Q48" s="14">
        <v>2004</v>
      </c>
      <c r="R48" s="14">
        <v>327684</v>
      </c>
      <c r="T48" s="14">
        <v>2004</v>
      </c>
      <c r="U48" s="14">
        <v>311771</v>
      </c>
      <c r="W48" s="14">
        <v>2004</v>
      </c>
      <c r="X48" s="312">
        <v>283572</v>
      </c>
      <c r="Y48" s="14">
        <f>X48/'a1'!B$47*100</f>
        <v>247877.62237762235</v>
      </c>
    </row>
    <row r="49" spans="2:25" ht="15">
      <c r="B49" s="169" t="s">
        <v>1015</v>
      </c>
      <c r="N49" s="167">
        <v>2005</v>
      </c>
      <c r="O49" s="167">
        <v>281125</v>
      </c>
      <c r="Q49" s="14">
        <v>2005</v>
      </c>
      <c r="R49" s="14">
        <v>314855</v>
      </c>
      <c r="T49" s="14">
        <v>2005</v>
      </c>
      <c r="U49" s="14">
        <v>290511</v>
      </c>
      <c r="W49" s="14">
        <v>2005</v>
      </c>
      <c r="X49" s="312">
        <v>265640</v>
      </c>
      <c r="Y49" s="14">
        <f>X49/'a1'!B$47*100</f>
        <v>232202.79720279717</v>
      </c>
    </row>
    <row r="50" spans="2:25" ht="15">
      <c r="B50" s="14" t="s">
        <v>1002</v>
      </c>
      <c r="N50" s="167">
        <v>2006</v>
      </c>
      <c r="O50" s="167">
        <v>263192</v>
      </c>
      <c r="Q50" s="14">
        <v>2006</v>
      </c>
      <c r="R50" s="14">
        <v>283853</v>
      </c>
      <c r="S50" s="14">
        <f>R50/'a1'!B44</f>
        <v>2601.769019248396</v>
      </c>
      <c r="T50" s="14">
        <v>2006</v>
      </c>
      <c r="U50" s="14">
        <v>275462</v>
      </c>
      <c r="W50" s="14">
        <v>2006</v>
      </c>
      <c r="X50" s="312">
        <v>246626</v>
      </c>
      <c r="Y50" s="14">
        <f>X50/'a1'!B$47*100</f>
        <v>215582.16783216782</v>
      </c>
    </row>
    <row r="51" spans="2:25" ht="15">
      <c r="N51" s="1"/>
      <c r="O51" s="1"/>
      <c r="T51" s="14">
        <v>2007</v>
      </c>
      <c r="U51" s="14">
        <v>263459</v>
      </c>
      <c r="V51" s="14">
        <f>U51/'a1'!B45*100</f>
        <v>236286.09865470853</v>
      </c>
      <c r="W51" s="14">
        <v>2007</v>
      </c>
      <c r="X51" s="312">
        <v>237063</v>
      </c>
      <c r="Y51" s="14">
        <f>X51/'a1'!B$47*100</f>
        <v>207222.90209790209</v>
      </c>
    </row>
    <row r="52" spans="2:25" ht="15">
      <c r="B52" s="14">
        <f>B42*POWER(B42/B37, 1/5)</f>
        <v>203889.81606473477</v>
      </c>
      <c r="N52" s="1"/>
      <c r="O52" s="1"/>
      <c r="W52" s="14">
        <v>2008</v>
      </c>
      <c r="X52" s="285">
        <v>237063.2</v>
      </c>
      <c r="Y52" s="14">
        <f>X52/'a1'!B$47*100</f>
        <v>207223.07692307691</v>
      </c>
    </row>
  </sheetData>
  <phoneticPr fontId="0" type="noConversion"/>
  <pageMargins left="0.75" right="0.75" top="1" bottom="1" header="0.5" footer="0.5"/>
  <pageSetup scale="69" orientation="landscape" r:id="rId1"/>
  <headerFooter alignWithMargins="0"/>
  <rowBreaks count="1" manualBreakCount="1">
    <brk id="57" max="16383" man="1"/>
  </rowBreaks>
</worksheet>
</file>

<file path=xl/worksheets/sheet35.xml><?xml version="1.0" encoding="utf-8"?>
<worksheet xmlns="http://schemas.openxmlformats.org/spreadsheetml/2006/main" xmlns:r="http://schemas.openxmlformats.org/officeDocument/2006/relationships">
  <dimension ref="A1:EJ62"/>
  <sheetViews>
    <sheetView view="pageBreakPreview" zoomScaleSheetLayoutView="100" workbookViewId="0">
      <pane xSplit="1" ySplit="4" topLeftCell="B5" activePane="bottomRight" state="frozen"/>
      <selection activeCell="E9" sqref="E9"/>
      <selection pane="topRight" activeCell="E9" sqref="E9"/>
      <selection pane="bottomLeft" activeCell="E9" sqref="E9"/>
      <selection pane="bottomRight" activeCell="E9" sqref="E9"/>
    </sheetView>
  </sheetViews>
  <sheetFormatPr defaultRowHeight="12.75"/>
  <cols>
    <col min="1" max="1" width="8.875" style="1" customWidth="1"/>
    <col min="2" max="6" width="12.25" style="1" customWidth="1"/>
    <col min="7" max="7" width="10.75" style="1" customWidth="1"/>
    <col min="8" max="8" width="9.875" style="1" customWidth="1"/>
    <col min="9" max="9" width="11.25" style="1" customWidth="1"/>
    <col min="10" max="10" width="12.375" style="1" customWidth="1"/>
    <col min="11" max="11" width="12.25" style="1" customWidth="1"/>
    <col min="12" max="12" width="9.75" style="1" customWidth="1"/>
    <col min="13" max="13" width="11.625" style="1" customWidth="1"/>
    <col min="14" max="14" width="11.25" style="1" customWidth="1"/>
    <col min="15" max="16" width="12.25" style="1" customWidth="1"/>
    <col min="17" max="17" width="9.75" style="1" customWidth="1"/>
    <col min="18" max="21" width="12.25" style="1" customWidth="1"/>
    <col min="22" max="22" width="10.5" style="1" customWidth="1"/>
    <col min="23" max="23" width="11.25" style="1" customWidth="1"/>
    <col min="24" max="24" width="11.125" style="1" customWidth="1"/>
    <col min="25" max="26" width="12.25" style="1" customWidth="1"/>
    <col min="27" max="27" width="10.5" style="1" customWidth="1"/>
    <col min="28" max="29" width="11" style="1" customWidth="1"/>
    <col min="30" max="30" width="12.25" style="1" customWidth="1"/>
    <col min="31" max="31" width="11.875" style="1" customWidth="1"/>
    <col min="32" max="32" width="9.75" style="1" customWidth="1"/>
    <col min="33" max="33" width="11.375" style="1" customWidth="1"/>
    <col min="34" max="34" width="11.125" style="1" customWidth="1"/>
    <col min="35" max="36" width="12.25" style="1" customWidth="1"/>
    <col min="37" max="37" width="10.5" style="1" customWidth="1"/>
    <col min="38" max="39" width="11.5" style="1" customWidth="1"/>
    <col min="40" max="41" width="12.25" style="1" customWidth="1"/>
    <col min="42" max="42" width="10.625" style="1" customWidth="1"/>
    <col min="43" max="43" width="11" style="1" customWidth="1"/>
    <col min="44" max="44" width="11.125" style="1" customWidth="1"/>
    <col min="45" max="46" width="12.25" style="1" customWidth="1"/>
    <col min="47" max="47" width="10.625" style="1" customWidth="1"/>
    <col min="48" max="58" width="12.25" style="1" customWidth="1"/>
    <col min="59" max="16384" width="9" style="1"/>
  </cols>
  <sheetData>
    <row r="1" spans="1:58" ht="15.75">
      <c r="B1" s="2" t="s">
        <v>236</v>
      </c>
      <c r="R1" s="2" t="s">
        <v>237</v>
      </c>
      <c r="AG1" s="2" t="s">
        <v>238</v>
      </c>
      <c r="AV1" s="2" t="s">
        <v>239</v>
      </c>
    </row>
    <row r="3" spans="1:58" s="3" customFormat="1" ht="15">
      <c r="B3" s="3" t="s">
        <v>321</v>
      </c>
      <c r="H3" s="3" t="s">
        <v>370</v>
      </c>
      <c r="M3" s="3" t="s">
        <v>371</v>
      </c>
      <c r="R3" s="3" t="s">
        <v>372</v>
      </c>
      <c r="W3" s="3" t="s">
        <v>373</v>
      </c>
      <c r="AB3" s="3" t="s">
        <v>374</v>
      </c>
      <c r="AG3" s="3" t="s">
        <v>375</v>
      </c>
      <c r="AL3" s="3" t="s">
        <v>376</v>
      </c>
      <c r="AQ3" s="3" t="s">
        <v>377</v>
      </c>
      <c r="AV3" s="3" t="s">
        <v>378</v>
      </c>
      <c r="BB3" s="3" t="s">
        <v>379</v>
      </c>
    </row>
    <row r="4" spans="1:58" s="4" customFormat="1" ht="51">
      <c r="B4" s="4" t="s">
        <v>481</v>
      </c>
      <c r="C4" s="4" t="s">
        <v>482</v>
      </c>
      <c r="D4" s="4" t="s">
        <v>483</v>
      </c>
      <c r="E4" s="4" t="s">
        <v>484</v>
      </c>
      <c r="F4" s="4" t="s">
        <v>487</v>
      </c>
      <c r="G4" s="4" t="s">
        <v>485</v>
      </c>
      <c r="H4" s="4" t="s">
        <v>481</v>
      </c>
      <c r="I4" s="4" t="s">
        <v>482</v>
      </c>
      <c r="J4" s="4" t="s">
        <v>483</v>
      </c>
      <c r="K4" s="4" t="s">
        <v>484</v>
      </c>
      <c r="L4" s="4" t="s">
        <v>485</v>
      </c>
      <c r="M4" s="4" t="s">
        <v>481</v>
      </c>
      <c r="N4" s="4" t="s">
        <v>482</v>
      </c>
      <c r="O4" s="4" t="s">
        <v>483</v>
      </c>
      <c r="P4" s="4" t="s">
        <v>484</v>
      </c>
      <c r="Q4" s="4" t="s">
        <v>485</v>
      </c>
      <c r="R4" s="4" t="s">
        <v>481</v>
      </c>
      <c r="S4" s="4" t="s">
        <v>482</v>
      </c>
      <c r="T4" s="4" t="s">
        <v>483</v>
      </c>
      <c r="U4" s="4" t="s">
        <v>484</v>
      </c>
      <c r="V4" s="4" t="s">
        <v>485</v>
      </c>
      <c r="W4" s="4" t="s">
        <v>481</v>
      </c>
      <c r="X4" s="4" t="s">
        <v>482</v>
      </c>
      <c r="Y4" s="4" t="s">
        <v>483</v>
      </c>
      <c r="Z4" s="4" t="s">
        <v>484</v>
      </c>
      <c r="AA4" s="4" t="s">
        <v>485</v>
      </c>
      <c r="AB4" s="4" t="s">
        <v>481</v>
      </c>
      <c r="AC4" s="4" t="s">
        <v>482</v>
      </c>
      <c r="AD4" s="4" t="s">
        <v>483</v>
      </c>
      <c r="AE4" s="4" t="s">
        <v>484</v>
      </c>
      <c r="AF4" s="4" t="s">
        <v>485</v>
      </c>
      <c r="AG4" s="4" t="s">
        <v>481</v>
      </c>
      <c r="AH4" s="4" t="s">
        <v>482</v>
      </c>
      <c r="AI4" s="4" t="s">
        <v>483</v>
      </c>
      <c r="AJ4" s="4" t="s">
        <v>484</v>
      </c>
      <c r="AK4" s="4" t="s">
        <v>485</v>
      </c>
      <c r="AL4" s="4" t="s">
        <v>481</v>
      </c>
      <c r="AM4" s="4" t="s">
        <v>482</v>
      </c>
      <c r="AN4" s="4" t="s">
        <v>483</v>
      </c>
      <c r="AO4" s="4" t="s">
        <v>484</v>
      </c>
      <c r="AP4" s="4" t="s">
        <v>485</v>
      </c>
      <c r="AQ4" s="4" t="s">
        <v>481</v>
      </c>
      <c r="AR4" s="4" t="s">
        <v>482</v>
      </c>
      <c r="AS4" s="4" t="s">
        <v>483</v>
      </c>
      <c r="AT4" s="4" t="s">
        <v>484</v>
      </c>
      <c r="AU4" s="4" t="s">
        <v>485</v>
      </c>
      <c r="AV4" s="4" t="s">
        <v>481</v>
      </c>
      <c r="AW4" s="4" t="s">
        <v>482</v>
      </c>
      <c r="AX4" s="4" t="s">
        <v>483</v>
      </c>
      <c r="AY4" s="4" t="s">
        <v>484</v>
      </c>
      <c r="AZ4" s="4" t="str">
        <f>F4</f>
        <v>Established Crude Bitumen Reserves</v>
      </c>
      <c r="BA4" s="4" t="s">
        <v>485</v>
      </c>
      <c r="BB4" s="4" t="s">
        <v>481</v>
      </c>
      <c r="BC4" s="4" t="s">
        <v>482</v>
      </c>
      <c r="BD4" s="4" t="s">
        <v>483</v>
      </c>
      <c r="BE4" s="4" t="s">
        <v>484</v>
      </c>
      <c r="BF4" s="4" t="s">
        <v>485</v>
      </c>
    </row>
    <row r="5" spans="1:58" s="4" customFormat="1" hidden="1"/>
    <row r="6" spans="1:58" s="4" customFormat="1" ht="25.5">
      <c r="B6" s="4" t="s">
        <v>105</v>
      </c>
      <c r="C6" s="4" t="s">
        <v>106</v>
      </c>
      <c r="D6" s="4" t="s">
        <v>107</v>
      </c>
      <c r="E6" s="4" t="s">
        <v>108</v>
      </c>
      <c r="F6" s="4" t="s">
        <v>109</v>
      </c>
      <c r="G6" s="4" t="s">
        <v>151</v>
      </c>
      <c r="H6" s="4" t="s">
        <v>111</v>
      </c>
      <c r="I6" s="4" t="s">
        <v>112</v>
      </c>
      <c r="J6" s="4" t="s">
        <v>138</v>
      </c>
      <c r="K6" s="4" t="s">
        <v>113</v>
      </c>
      <c r="L6" s="4" t="s">
        <v>338</v>
      </c>
      <c r="M6" s="4" t="s">
        <v>115</v>
      </c>
      <c r="N6" s="4" t="s">
        <v>116</v>
      </c>
      <c r="O6" s="4" t="s">
        <v>139</v>
      </c>
      <c r="P6" s="4" t="s">
        <v>170</v>
      </c>
      <c r="Q6" s="4" t="s">
        <v>339</v>
      </c>
      <c r="R6" s="4" t="s">
        <v>105</v>
      </c>
      <c r="S6" s="4" t="s">
        <v>106</v>
      </c>
      <c r="T6" s="4" t="s">
        <v>107</v>
      </c>
      <c r="U6" s="4" t="s">
        <v>108</v>
      </c>
      <c r="V6" s="4" t="s">
        <v>233</v>
      </c>
      <c r="W6" s="4" t="s">
        <v>110</v>
      </c>
      <c r="X6" s="4" t="s">
        <v>111</v>
      </c>
      <c r="Y6" s="4" t="s">
        <v>112</v>
      </c>
      <c r="Z6" s="4" t="s">
        <v>138</v>
      </c>
      <c r="AA6" s="4" t="s">
        <v>234</v>
      </c>
      <c r="AB6" s="4" t="s">
        <v>114</v>
      </c>
      <c r="AC6" s="4" t="s">
        <v>115</v>
      </c>
      <c r="AD6" s="4" t="s">
        <v>116</v>
      </c>
      <c r="AE6" s="4" t="s">
        <v>139</v>
      </c>
      <c r="AF6" s="4" t="s">
        <v>235</v>
      </c>
      <c r="AG6" s="4" t="s">
        <v>105</v>
      </c>
      <c r="AH6" s="4" t="s">
        <v>106</v>
      </c>
      <c r="AI6" s="4" t="s">
        <v>107</v>
      </c>
      <c r="AJ6" s="4" t="s">
        <v>108</v>
      </c>
      <c r="AK6" s="4" t="s">
        <v>233</v>
      </c>
      <c r="AL6" s="4" t="s">
        <v>110</v>
      </c>
      <c r="AM6" s="4" t="s">
        <v>111</v>
      </c>
      <c r="AN6" s="4" t="s">
        <v>112</v>
      </c>
      <c r="AO6" s="4" t="s">
        <v>138</v>
      </c>
      <c r="AP6" s="4" t="s">
        <v>234</v>
      </c>
      <c r="AQ6" s="4" t="s">
        <v>114</v>
      </c>
      <c r="AR6" s="4" t="s">
        <v>115</v>
      </c>
      <c r="AS6" s="4" t="s">
        <v>116</v>
      </c>
      <c r="AT6" s="4" t="s">
        <v>139</v>
      </c>
      <c r="AU6" s="4" t="s">
        <v>235</v>
      </c>
      <c r="AV6" s="4" t="s">
        <v>105</v>
      </c>
      <c r="AW6" s="4" t="s">
        <v>106</v>
      </c>
      <c r="AX6" s="4" t="s">
        <v>107</v>
      </c>
      <c r="AY6" s="4" t="s">
        <v>108</v>
      </c>
      <c r="AZ6" s="4" t="s">
        <v>109</v>
      </c>
      <c r="BA6" s="4" t="s">
        <v>151</v>
      </c>
      <c r="BB6" s="4" t="s">
        <v>111</v>
      </c>
      <c r="BC6" s="4" t="s">
        <v>112</v>
      </c>
      <c r="BD6" s="4" t="s">
        <v>138</v>
      </c>
      <c r="BE6" s="4" t="s">
        <v>113</v>
      </c>
      <c r="BF6" s="4" t="s">
        <v>338</v>
      </c>
    </row>
    <row r="7" spans="1:58" s="4" customFormat="1" hidden="1"/>
    <row r="8" spans="1:58" hidden="1">
      <c r="A8" s="1">
        <v>1971</v>
      </c>
      <c r="B8" s="17">
        <v>2277.5</v>
      </c>
      <c r="C8" s="17">
        <v>11901.3</v>
      </c>
      <c r="D8" s="119">
        <f t="shared" ref="D8:E12" si="0">D9</f>
        <v>719.7</v>
      </c>
      <c r="E8" s="119">
        <f t="shared" si="0"/>
        <v>7901.9</v>
      </c>
      <c r="F8" s="17">
        <v>0</v>
      </c>
      <c r="G8" s="17">
        <f>SUM(B8:F8)</f>
        <v>22800.400000000001</v>
      </c>
      <c r="H8" s="17">
        <v>0</v>
      </c>
      <c r="I8" s="17">
        <v>0</v>
      </c>
      <c r="J8" s="17">
        <v>0</v>
      </c>
      <c r="K8" s="17">
        <v>0</v>
      </c>
      <c r="L8" s="17">
        <f>SUM(H8:K8)</f>
        <v>0</v>
      </c>
      <c r="M8" s="17">
        <v>0</v>
      </c>
      <c r="N8" s="17">
        <v>0</v>
      </c>
      <c r="O8" s="17">
        <v>0</v>
      </c>
      <c r="P8" s="17">
        <v>0</v>
      </c>
      <c r="Q8" s="17">
        <f>SUM(M8:P8)</f>
        <v>0</v>
      </c>
      <c r="R8" s="17">
        <v>0</v>
      </c>
      <c r="S8" s="17">
        <v>0</v>
      </c>
      <c r="T8" s="17">
        <v>0</v>
      </c>
      <c r="U8" s="119">
        <f>U9</f>
        <v>492.3</v>
      </c>
      <c r="V8" s="17">
        <f>SUM(R8:U8)</f>
        <v>492.3</v>
      </c>
      <c r="W8" s="17">
        <v>0</v>
      </c>
      <c r="X8" s="17">
        <v>0</v>
      </c>
      <c r="Y8" s="17">
        <v>0</v>
      </c>
      <c r="Z8" s="119">
        <f>Z9</f>
        <v>39</v>
      </c>
      <c r="AA8" s="17">
        <f>SUM(W8:Z8)</f>
        <v>39</v>
      </c>
      <c r="AB8" s="17">
        <v>0</v>
      </c>
      <c r="AC8" s="17">
        <v>0</v>
      </c>
      <c r="AD8" s="17">
        <v>0</v>
      </c>
      <c r="AE8" s="17">
        <v>0</v>
      </c>
      <c r="AF8" s="17">
        <f>SUM(AB8:AE8)</f>
        <v>0</v>
      </c>
      <c r="AG8" s="17">
        <v>0</v>
      </c>
      <c r="AH8" s="17">
        <v>6.7</v>
      </c>
      <c r="AI8" s="17">
        <v>0</v>
      </c>
      <c r="AJ8" s="17">
        <v>0</v>
      </c>
      <c r="AK8" s="17">
        <f>SUM(AG8:AJ8)</f>
        <v>6.7</v>
      </c>
      <c r="AL8" s="17">
        <v>0</v>
      </c>
      <c r="AM8" s="17">
        <v>104.2</v>
      </c>
      <c r="AN8" s="17">
        <v>0</v>
      </c>
      <c r="AO8" s="17">
        <v>0</v>
      </c>
      <c r="AP8" s="17">
        <f>SUM(AL8:AO8)</f>
        <v>104.2</v>
      </c>
      <c r="AQ8" s="17">
        <v>47.4</v>
      </c>
      <c r="AR8" s="17">
        <v>1043.3</v>
      </c>
      <c r="AS8" s="119">
        <v>388.4</v>
      </c>
      <c r="AT8" s="17">
        <v>0</v>
      </c>
      <c r="AU8" s="17">
        <f>SUM(AQ8:AT8)</f>
        <v>1479.1</v>
      </c>
      <c r="AV8" s="17">
        <v>2032</v>
      </c>
      <c r="AW8" s="17">
        <v>10456</v>
      </c>
      <c r="AX8" s="119">
        <v>331.2</v>
      </c>
      <c r="AY8" s="119">
        <v>2635.9</v>
      </c>
      <c r="AZ8" s="17">
        <f>F8</f>
        <v>0</v>
      </c>
      <c r="BA8" s="17">
        <f>SUM(AV8:AZ8)</f>
        <v>15455.1</v>
      </c>
      <c r="BB8" s="17">
        <v>198.1</v>
      </c>
      <c r="BC8" s="17">
        <v>291</v>
      </c>
      <c r="BD8" s="17">
        <v>0</v>
      </c>
      <c r="BE8" s="119">
        <f>BE9</f>
        <v>4734.7</v>
      </c>
      <c r="BF8" s="17">
        <f>SUM(BB8:BE8)</f>
        <v>5223.8</v>
      </c>
    </row>
    <row r="9" spans="1:58" hidden="1">
      <c r="A9" s="1">
        <v>1972</v>
      </c>
      <c r="B9" s="17">
        <v>2241.9</v>
      </c>
      <c r="C9" s="17">
        <v>12096.4</v>
      </c>
      <c r="D9" s="119">
        <f t="shared" si="0"/>
        <v>719.7</v>
      </c>
      <c r="E9" s="119">
        <f t="shared" si="0"/>
        <v>7901.9</v>
      </c>
      <c r="F9" s="17">
        <v>169.6</v>
      </c>
      <c r="G9" s="17">
        <f t="shared" ref="G9:G46" si="1">SUM(B9:F9)</f>
        <v>23129.5</v>
      </c>
      <c r="H9" s="17">
        <v>0</v>
      </c>
      <c r="I9" s="17">
        <v>0</v>
      </c>
      <c r="J9" s="17">
        <v>0</v>
      </c>
      <c r="K9" s="17">
        <v>0</v>
      </c>
      <c r="L9" s="17">
        <f t="shared" ref="L9:L39" si="2">SUM(H9:K9)</f>
        <v>0</v>
      </c>
      <c r="M9" s="17">
        <v>0</v>
      </c>
      <c r="N9" s="17">
        <v>0</v>
      </c>
      <c r="O9" s="17">
        <v>0</v>
      </c>
      <c r="P9" s="17">
        <v>0</v>
      </c>
      <c r="Q9" s="17">
        <f t="shared" ref="Q9:Q39" si="3">SUM(M9:P9)</f>
        <v>0</v>
      </c>
      <c r="R9" s="17">
        <v>0</v>
      </c>
      <c r="S9" s="17">
        <v>0</v>
      </c>
      <c r="T9" s="17">
        <v>0</v>
      </c>
      <c r="U9" s="119">
        <f>U10</f>
        <v>492.3</v>
      </c>
      <c r="V9" s="17">
        <f t="shared" ref="V9:V39" si="4">SUM(R9:U9)</f>
        <v>492.3</v>
      </c>
      <c r="W9" s="17">
        <v>0</v>
      </c>
      <c r="X9" s="17">
        <v>0</v>
      </c>
      <c r="Y9" s="17">
        <v>0</v>
      </c>
      <c r="Z9" s="119">
        <f>Z10</f>
        <v>39</v>
      </c>
      <c r="AA9" s="17">
        <f t="shared" ref="AA9:AA39" si="5">SUM(W9:Z9)</f>
        <v>39</v>
      </c>
      <c r="AB9" s="17">
        <v>0</v>
      </c>
      <c r="AC9" s="17">
        <v>0</v>
      </c>
      <c r="AD9" s="17">
        <v>0</v>
      </c>
      <c r="AE9" s="17">
        <v>0</v>
      </c>
      <c r="AF9" s="17">
        <f t="shared" ref="AF9:AF39" si="6">SUM(AB9:AE9)</f>
        <v>0</v>
      </c>
      <c r="AG9" s="17">
        <v>0</v>
      </c>
      <c r="AH9" s="17">
        <v>10.5</v>
      </c>
      <c r="AI9" s="17">
        <v>0</v>
      </c>
      <c r="AJ9" s="17">
        <v>0</v>
      </c>
      <c r="AK9" s="17">
        <f t="shared" ref="AK9:AK39" si="7">SUM(AG9:AJ9)</f>
        <v>10.5</v>
      </c>
      <c r="AL9" s="17">
        <v>0</v>
      </c>
      <c r="AM9" s="17">
        <v>103.9</v>
      </c>
      <c r="AN9" s="17">
        <v>0</v>
      </c>
      <c r="AO9" s="17">
        <v>0</v>
      </c>
      <c r="AP9" s="17">
        <f t="shared" ref="AP9:AP39" si="8">SUM(AL9:AO9)</f>
        <v>103.9</v>
      </c>
      <c r="AQ9" s="17">
        <v>28.5</v>
      </c>
      <c r="AR9" s="17">
        <v>922.8</v>
      </c>
      <c r="AS9" s="119">
        <v>388.4</v>
      </c>
      <c r="AT9" s="17">
        <v>0</v>
      </c>
      <c r="AU9" s="17">
        <f t="shared" ref="AU9:AU39" si="9">SUM(AQ9:AT9)</f>
        <v>1339.6999999999998</v>
      </c>
      <c r="AV9" s="17">
        <v>1967</v>
      </c>
      <c r="AW9" s="17">
        <v>10850.5</v>
      </c>
      <c r="AX9" s="119">
        <v>331.2</v>
      </c>
      <c r="AY9" s="119">
        <v>2635.9</v>
      </c>
      <c r="AZ9" s="17">
        <f t="shared" ref="AZ9:AZ44" si="10">F9</f>
        <v>169.6</v>
      </c>
      <c r="BA9" s="17">
        <f t="shared" ref="BA9:BA44" si="11">SUM(AV9:AZ9)</f>
        <v>15954.2</v>
      </c>
      <c r="BB9" s="17">
        <v>246.4</v>
      </c>
      <c r="BC9" s="17">
        <v>208.7</v>
      </c>
      <c r="BD9" s="17">
        <v>0</v>
      </c>
      <c r="BE9" s="119">
        <f>BE10</f>
        <v>4734.7</v>
      </c>
      <c r="BF9" s="17">
        <f t="shared" ref="BF9:BF39" si="12">SUM(BB9:BE9)</f>
        <v>5189.8</v>
      </c>
    </row>
    <row r="10" spans="1:58" hidden="1">
      <c r="A10" s="1">
        <v>1973</v>
      </c>
      <c r="B10" s="17">
        <v>5258.9</v>
      </c>
      <c r="C10" s="17">
        <v>15527.7</v>
      </c>
      <c r="D10" s="119">
        <f t="shared" si="0"/>
        <v>719.7</v>
      </c>
      <c r="E10" s="119">
        <f t="shared" si="0"/>
        <v>7901.9</v>
      </c>
      <c r="F10" s="17">
        <v>252</v>
      </c>
      <c r="G10" s="17">
        <f t="shared" si="1"/>
        <v>29660.199999999997</v>
      </c>
      <c r="H10" s="17">
        <v>0</v>
      </c>
      <c r="I10" s="17">
        <v>0</v>
      </c>
      <c r="J10" s="17">
        <v>0</v>
      </c>
      <c r="K10" s="17">
        <v>0</v>
      </c>
      <c r="L10" s="17">
        <f t="shared" si="2"/>
        <v>0</v>
      </c>
      <c r="M10" s="17">
        <v>0</v>
      </c>
      <c r="N10" s="17">
        <v>0</v>
      </c>
      <c r="O10" s="17">
        <v>0</v>
      </c>
      <c r="P10" s="17">
        <v>0</v>
      </c>
      <c r="Q10" s="17">
        <f t="shared" si="3"/>
        <v>0</v>
      </c>
      <c r="R10" s="17">
        <v>0</v>
      </c>
      <c r="S10" s="17">
        <v>0</v>
      </c>
      <c r="T10" s="17">
        <v>0</v>
      </c>
      <c r="U10" s="119">
        <f>U11</f>
        <v>492.3</v>
      </c>
      <c r="V10" s="17">
        <f t="shared" si="4"/>
        <v>492.3</v>
      </c>
      <c r="W10" s="17">
        <v>0</v>
      </c>
      <c r="X10" s="17">
        <v>0</v>
      </c>
      <c r="Y10" s="17">
        <v>0</v>
      </c>
      <c r="Z10" s="119">
        <f>Z11</f>
        <v>39</v>
      </c>
      <c r="AA10" s="17">
        <f t="shared" si="5"/>
        <v>39</v>
      </c>
      <c r="AB10" s="17">
        <v>0</v>
      </c>
      <c r="AC10" s="17">
        <v>0</v>
      </c>
      <c r="AD10" s="17">
        <v>0</v>
      </c>
      <c r="AE10" s="17">
        <v>0</v>
      </c>
      <c r="AF10" s="17">
        <f t="shared" si="6"/>
        <v>0</v>
      </c>
      <c r="AG10" s="17">
        <v>0</v>
      </c>
      <c r="AH10" s="17">
        <v>10</v>
      </c>
      <c r="AI10" s="17">
        <v>0</v>
      </c>
      <c r="AJ10" s="17">
        <v>0</v>
      </c>
      <c r="AK10" s="17">
        <f t="shared" si="7"/>
        <v>10</v>
      </c>
      <c r="AL10" s="17">
        <v>0</v>
      </c>
      <c r="AM10" s="17">
        <v>140.1</v>
      </c>
      <c r="AN10" s="17">
        <v>0</v>
      </c>
      <c r="AO10" s="17">
        <v>0</v>
      </c>
      <c r="AP10" s="17">
        <f t="shared" si="8"/>
        <v>140.1</v>
      </c>
      <c r="AQ10" s="17">
        <v>41</v>
      </c>
      <c r="AR10" s="17">
        <v>1241.5999999999999</v>
      </c>
      <c r="AS10" s="119">
        <v>388.4</v>
      </c>
      <c r="AT10" s="17">
        <v>0</v>
      </c>
      <c r="AU10" s="17">
        <f t="shared" si="9"/>
        <v>1671</v>
      </c>
      <c r="AV10" s="17">
        <v>5012.5</v>
      </c>
      <c r="AW10" s="17">
        <v>13870.9</v>
      </c>
      <c r="AX10" s="119">
        <v>331.2</v>
      </c>
      <c r="AY10" s="119">
        <v>2635.9</v>
      </c>
      <c r="AZ10" s="17">
        <f t="shared" si="10"/>
        <v>252</v>
      </c>
      <c r="BA10" s="17">
        <f t="shared" si="11"/>
        <v>22102.500000000004</v>
      </c>
      <c r="BB10" s="17">
        <v>205.4</v>
      </c>
      <c r="BC10" s="17">
        <v>265.10000000000002</v>
      </c>
      <c r="BD10" s="17">
        <v>0</v>
      </c>
      <c r="BE10" s="119">
        <f>BE11</f>
        <v>4734.7</v>
      </c>
      <c r="BF10" s="17">
        <f t="shared" si="12"/>
        <v>5205.2</v>
      </c>
    </row>
    <row r="11" spans="1:58" hidden="1">
      <c r="A11" s="1">
        <v>1974</v>
      </c>
      <c r="B11" s="17">
        <v>12527.7</v>
      </c>
      <c r="C11" s="17">
        <v>27147.1</v>
      </c>
      <c r="D11" s="119">
        <f t="shared" si="0"/>
        <v>719.7</v>
      </c>
      <c r="E11" s="119">
        <f t="shared" si="0"/>
        <v>7901.9</v>
      </c>
      <c r="F11" s="17">
        <v>671.4</v>
      </c>
      <c r="G11" s="17">
        <f t="shared" si="1"/>
        <v>48967.8</v>
      </c>
      <c r="H11" s="17">
        <v>0</v>
      </c>
      <c r="I11" s="17">
        <v>0</v>
      </c>
      <c r="J11" s="17">
        <v>0</v>
      </c>
      <c r="K11" s="17">
        <v>0</v>
      </c>
      <c r="L11" s="17">
        <f t="shared" si="2"/>
        <v>0</v>
      </c>
      <c r="M11" s="17">
        <v>0</v>
      </c>
      <c r="N11" s="17">
        <v>0</v>
      </c>
      <c r="O11" s="17">
        <v>0</v>
      </c>
      <c r="P11" s="17">
        <v>0</v>
      </c>
      <c r="Q11" s="17">
        <f t="shared" si="3"/>
        <v>0</v>
      </c>
      <c r="R11" s="17">
        <v>0</v>
      </c>
      <c r="S11" s="17">
        <v>0</v>
      </c>
      <c r="T11" s="17">
        <v>0</v>
      </c>
      <c r="U11" s="119">
        <f>U12</f>
        <v>492.3</v>
      </c>
      <c r="V11" s="17">
        <f t="shared" si="4"/>
        <v>492.3</v>
      </c>
      <c r="W11" s="17">
        <v>0</v>
      </c>
      <c r="X11" s="17">
        <v>0</v>
      </c>
      <c r="Y11" s="17">
        <v>0</v>
      </c>
      <c r="Z11" s="119">
        <f>Z12</f>
        <v>39</v>
      </c>
      <c r="AA11" s="17">
        <f t="shared" si="5"/>
        <v>39</v>
      </c>
      <c r="AB11" s="17">
        <v>0</v>
      </c>
      <c r="AC11" s="17">
        <v>0</v>
      </c>
      <c r="AD11" s="17">
        <v>0</v>
      </c>
      <c r="AE11" s="17">
        <v>0</v>
      </c>
      <c r="AF11" s="17">
        <f t="shared" si="6"/>
        <v>0</v>
      </c>
      <c r="AG11" s="17">
        <v>0</v>
      </c>
      <c r="AH11" s="17">
        <v>32.700000000000003</v>
      </c>
      <c r="AI11" s="17">
        <v>0</v>
      </c>
      <c r="AJ11" s="17">
        <v>0</v>
      </c>
      <c r="AK11" s="17">
        <f t="shared" si="7"/>
        <v>32.700000000000003</v>
      </c>
      <c r="AL11" s="17">
        <v>0</v>
      </c>
      <c r="AM11" s="17">
        <v>246.1</v>
      </c>
      <c r="AN11" s="17">
        <v>0</v>
      </c>
      <c r="AO11" s="17">
        <v>0</v>
      </c>
      <c r="AP11" s="17">
        <f t="shared" si="8"/>
        <v>246.1</v>
      </c>
      <c r="AQ11" s="17">
        <v>63.1</v>
      </c>
      <c r="AR11" s="17">
        <v>2376.1999999999998</v>
      </c>
      <c r="AS11" s="119">
        <v>388.4</v>
      </c>
      <c r="AT11" s="17">
        <v>0</v>
      </c>
      <c r="AU11" s="17">
        <f t="shared" si="9"/>
        <v>2827.7</v>
      </c>
      <c r="AV11" s="17">
        <v>12043.5</v>
      </c>
      <c r="AW11" s="17">
        <v>23920.7</v>
      </c>
      <c r="AX11" s="119">
        <v>331.2</v>
      </c>
      <c r="AY11" s="119">
        <v>2635.9</v>
      </c>
      <c r="AZ11" s="17">
        <f t="shared" si="10"/>
        <v>671.4</v>
      </c>
      <c r="BA11" s="17">
        <f t="shared" si="11"/>
        <v>39602.699999999997</v>
      </c>
      <c r="BB11" s="17">
        <v>421</v>
      </c>
      <c r="BC11" s="17">
        <v>571.4</v>
      </c>
      <c r="BD11" s="17">
        <v>0</v>
      </c>
      <c r="BE11" s="119">
        <f>BE12</f>
        <v>4734.7</v>
      </c>
      <c r="BF11" s="17">
        <f t="shared" si="12"/>
        <v>5727.0999999999995</v>
      </c>
    </row>
    <row r="12" spans="1:58" hidden="1">
      <c r="A12" s="1">
        <v>1975</v>
      </c>
      <c r="B12" s="17">
        <v>24998.799999999999</v>
      </c>
      <c r="C12" s="17">
        <v>31219.4</v>
      </c>
      <c r="D12" s="119">
        <f t="shared" si="0"/>
        <v>719.7</v>
      </c>
      <c r="E12" s="119">
        <f t="shared" si="0"/>
        <v>7901.9</v>
      </c>
      <c r="F12" s="17">
        <v>471.8</v>
      </c>
      <c r="G12" s="17">
        <f t="shared" si="1"/>
        <v>65311.6</v>
      </c>
      <c r="H12" s="17">
        <v>0</v>
      </c>
      <c r="I12" s="17">
        <v>0</v>
      </c>
      <c r="J12" s="17">
        <v>0</v>
      </c>
      <c r="K12" s="17">
        <v>0</v>
      </c>
      <c r="L12" s="17">
        <f t="shared" si="2"/>
        <v>0</v>
      </c>
      <c r="M12" s="17">
        <v>0</v>
      </c>
      <c r="N12" s="17">
        <v>0</v>
      </c>
      <c r="O12" s="17">
        <v>0</v>
      </c>
      <c r="P12" s="17">
        <v>0</v>
      </c>
      <c r="Q12" s="17">
        <f t="shared" si="3"/>
        <v>0</v>
      </c>
      <c r="R12" s="17">
        <v>0</v>
      </c>
      <c r="S12" s="17">
        <v>0</v>
      </c>
      <c r="T12" s="17">
        <v>0</v>
      </c>
      <c r="U12" s="119">
        <f>U13</f>
        <v>492.3</v>
      </c>
      <c r="V12" s="17">
        <f t="shared" si="4"/>
        <v>492.3</v>
      </c>
      <c r="W12" s="17">
        <v>0</v>
      </c>
      <c r="X12" s="17">
        <v>0</v>
      </c>
      <c r="Y12" s="17">
        <v>0</v>
      </c>
      <c r="Z12" s="119">
        <f>Z13</f>
        <v>39</v>
      </c>
      <c r="AA12" s="17">
        <f t="shared" si="5"/>
        <v>39</v>
      </c>
      <c r="AB12" s="17">
        <v>0</v>
      </c>
      <c r="AC12" s="17">
        <v>0</v>
      </c>
      <c r="AD12" s="17">
        <v>0</v>
      </c>
      <c r="AE12" s="17">
        <v>0</v>
      </c>
      <c r="AF12" s="17">
        <f t="shared" si="6"/>
        <v>0</v>
      </c>
      <c r="AG12" s="17">
        <v>0</v>
      </c>
      <c r="AH12" s="17">
        <v>34.5</v>
      </c>
      <c r="AI12" s="17">
        <v>0</v>
      </c>
      <c r="AJ12" s="17">
        <v>0</v>
      </c>
      <c r="AK12" s="17">
        <f t="shared" si="7"/>
        <v>34.5</v>
      </c>
      <c r="AL12" s="17">
        <v>0</v>
      </c>
      <c r="AM12" s="17">
        <v>294.39999999999998</v>
      </c>
      <c r="AN12" s="17">
        <v>0</v>
      </c>
      <c r="AO12" s="17">
        <v>0</v>
      </c>
      <c r="AP12" s="17">
        <f t="shared" si="8"/>
        <v>294.39999999999998</v>
      </c>
      <c r="AQ12" s="17">
        <v>18.3</v>
      </c>
      <c r="AR12" s="17">
        <v>2847.2</v>
      </c>
      <c r="AS12" s="119">
        <v>388.4</v>
      </c>
      <c r="AT12" s="17">
        <v>0</v>
      </c>
      <c r="AU12" s="17">
        <f t="shared" si="9"/>
        <v>3253.9</v>
      </c>
      <c r="AV12" s="17">
        <v>24242.1</v>
      </c>
      <c r="AW12" s="17">
        <v>27465.3</v>
      </c>
      <c r="AX12" s="119">
        <v>331.2</v>
      </c>
      <c r="AY12" s="119">
        <v>2635.9</v>
      </c>
      <c r="AZ12" s="17">
        <f t="shared" si="10"/>
        <v>471.8</v>
      </c>
      <c r="BA12" s="17">
        <f t="shared" si="11"/>
        <v>55146.299999999996</v>
      </c>
      <c r="BB12" s="17">
        <v>738.4</v>
      </c>
      <c r="BC12" s="17">
        <v>578</v>
      </c>
      <c r="BD12" s="17">
        <v>0</v>
      </c>
      <c r="BE12" s="119">
        <f>BE13</f>
        <v>4734.7</v>
      </c>
      <c r="BF12" s="17">
        <f t="shared" si="12"/>
        <v>6051.1</v>
      </c>
    </row>
    <row r="13" spans="1:58" hidden="1">
      <c r="A13" s="1">
        <v>1976</v>
      </c>
      <c r="B13" s="17">
        <v>40237.199999999997</v>
      </c>
      <c r="C13" s="17">
        <v>32936.9</v>
      </c>
      <c r="D13" s="17">
        <v>719.7</v>
      </c>
      <c r="E13" s="17">
        <v>7901.9</v>
      </c>
      <c r="F13" s="17">
        <v>782.3</v>
      </c>
      <c r="G13" s="17">
        <f t="shared" si="1"/>
        <v>82578</v>
      </c>
      <c r="H13" s="17">
        <v>0</v>
      </c>
      <c r="I13" s="17">
        <v>0</v>
      </c>
      <c r="J13" s="17">
        <v>0</v>
      </c>
      <c r="K13" s="17">
        <v>0</v>
      </c>
      <c r="L13" s="17">
        <f t="shared" si="2"/>
        <v>0</v>
      </c>
      <c r="M13" s="17">
        <v>0</v>
      </c>
      <c r="N13" s="17">
        <v>0</v>
      </c>
      <c r="O13" s="17">
        <v>0</v>
      </c>
      <c r="P13" s="17">
        <v>0</v>
      </c>
      <c r="Q13" s="17">
        <f t="shared" si="3"/>
        <v>0</v>
      </c>
      <c r="R13" s="17">
        <v>0</v>
      </c>
      <c r="S13" s="17">
        <v>0</v>
      </c>
      <c r="T13" s="17">
        <v>0</v>
      </c>
      <c r="U13" s="17">
        <v>492.3</v>
      </c>
      <c r="V13" s="17">
        <f t="shared" si="4"/>
        <v>492.3</v>
      </c>
      <c r="W13" s="17">
        <v>0</v>
      </c>
      <c r="X13" s="17">
        <v>0</v>
      </c>
      <c r="Y13" s="17">
        <v>0</v>
      </c>
      <c r="Z13" s="17">
        <v>39</v>
      </c>
      <c r="AA13" s="17">
        <f t="shared" si="5"/>
        <v>39</v>
      </c>
      <c r="AB13" s="17">
        <v>0</v>
      </c>
      <c r="AC13" s="17">
        <v>0</v>
      </c>
      <c r="AD13" s="17">
        <v>0</v>
      </c>
      <c r="AE13" s="17">
        <v>0</v>
      </c>
      <c r="AF13" s="17">
        <f t="shared" si="6"/>
        <v>0</v>
      </c>
      <c r="AG13" s="17">
        <v>0</v>
      </c>
      <c r="AH13" s="17">
        <v>37.6</v>
      </c>
      <c r="AI13" s="17">
        <v>0</v>
      </c>
      <c r="AJ13" s="17">
        <v>0</v>
      </c>
      <c r="AK13" s="17">
        <f t="shared" si="7"/>
        <v>37.6</v>
      </c>
      <c r="AL13" s="17">
        <v>0</v>
      </c>
      <c r="AM13" s="17">
        <v>324.10000000000002</v>
      </c>
      <c r="AN13" s="17">
        <v>0</v>
      </c>
      <c r="AO13" s="17">
        <v>0</v>
      </c>
      <c r="AP13" s="17">
        <f t="shared" si="8"/>
        <v>324.10000000000002</v>
      </c>
      <c r="AQ13" s="17">
        <v>23.1</v>
      </c>
      <c r="AR13" s="17">
        <v>3087.3</v>
      </c>
      <c r="AS13" s="17">
        <v>388.3</v>
      </c>
      <c r="AT13" s="17">
        <v>0</v>
      </c>
      <c r="AU13" s="17">
        <f t="shared" si="9"/>
        <v>3498.7000000000003</v>
      </c>
      <c r="AV13" s="17">
        <v>36336.6</v>
      </c>
      <c r="AW13" s="17">
        <v>28869.8</v>
      </c>
      <c r="AX13" s="17">
        <v>331.3</v>
      </c>
      <c r="AY13" s="17">
        <v>2635.9</v>
      </c>
      <c r="AZ13" s="17">
        <f t="shared" si="10"/>
        <v>782.3</v>
      </c>
      <c r="BA13" s="17">
        <f t="shared" si="11"/>
        <v>68955.899999999994</v>
      </c>
      <c r="BB13" s="17">
        <v>3877.4</v>
      </c>
      <c r="BC13" s="17">
        <v>618.1</v>
      </c>
      <c r="BD13" s="17">
        <v>0</v>
      </c>
      <c r="BE13" s="17">
        <v>4734.7</v>
      </c>
      <c r="BF13" s="17">
        <f t="shared" si="12"/>
        <v>9230.2000000000007</v>
      </c>
    </row>
    <row r="14" spans="1:58" hidden="1">
      <c r="A14" s="1">
        <v>1977</v>
      </c>
      <c r="B14" s="17">
        <v>41072.5</v>
      </c>
      <c r="C14" s="17">
        <v>39517.300000000003</v>
      </c>
      <c r="D14" s="17">
        <v>822.5</v>
      </c>
      <c r="E14" s="17">
        <v>8206.2999999999993</v>
      </c>
      <c r="F14" s="17">
        <v>0</v>
      </c>
      <c r="G14" s="17">
        <f t="shared" si="1"/>
        <v>89618.6</v>
      </c>
      <c r="H14" s="17">
        <v>0</v>
      </c>
      <c r="I14" s="17">
        <v>0</v>
      </c>
      <c r="J14" s="17">
        <v>0</v>
      </c>
      <c r="K14" s="17">
        <v>0</v>
      </c>
      <c r="L14" s="17">
        <f t="shared" si="2"/>
        <v>0</v>
      </c>
      <c r="M14" s="17">
        <v>0</v>
      </c>
      <c r="N14" s="17">
        <v>0</v>
      </c>
      <c r="O14" s="17">
        <v>0</v>
      </c>
      <c r="P14" s="17">
        <v>0</v>
      </c>
      <c r="Q14" s="17">
        <f t="shared" si="3"/>
        <v>0</v>
      </c>
      <c r="R14" s="17">
        <v>0</v>
      </c>
      <c r="S14" s="17">
        <v>0</v>
      </c>
      <c r="T14" s="17">
        <v>0</v>
      </c>
      <c r="U14" s="17">
        <v>796.4</v>
      </c>
      <c r="V14" s="17">
        <f t="shared" si="4"/>
        <v>796.4</v>
      </c>
      <c r="W14" s="17">
        <v>0</v>
      </c>
      <c r="X14" s="17">
        <v>0</v>
      </c>
      <c r="Y14" s="17">
        <v>0</v>
      </c>
      <c r="Z14" s="17">
        <v>25.8</v>
      </c>
      <c r="AA14" s="17">
        <f t="shared" si="5"/>
        <v>25.8</v>
      </c>
      <c r="AB14" s="17">
        <v>0</v>
      </c>
      <c r="AC14" s="17">
        <v>0</v>
      </c>
      <c r="AD14" s="17">
        <v>0</v>
      </c>
      <c r="AE14" s="17">
        <v>0</v>
      </c>
      <c r="AF14" s="17">
        <f t="shared" si="6"/>
        <v>0</v>
      </c>
      <c r="AG14" s="17">
        <v>0</v>
      </c>
      <c r="AH14" s="17">
        <v>44.4</v>
      </c>
      <c r="AI14" s="17">
        <v>0</v>
      </c>
      <c r="AJ14" s="17">
        <v>0</v>
      </c>
      <c r="AK14" s="17">
        <f t="shared" si="7"/>
        <v>44.4</v>
      </c>
      <c r="AL14" s="17">
        <v>0</v>
      </c>
      <c r="AM14" s="17">
        <v>373.9</v>
      </c>
      <c r="AN14" s="17">
        <v>0</v>
      </c>
      <c r="AO14" s="17">
        <v>0</v>
      </c>
      <c r="AP14" s="17">
        <f t="shared" si="8"/>
        <v>373.9</v>
      </c>
      <c r="AQ14" s="17">
        <v>51.6</v>
      </c>
      <c r="AR14" s="17">
        <v>3733.6</v>
      </c>
      <c r="AS14" s="17">
        <v>531.70000000000005</v>
      </c>
      <c r="AT14" s="17">
        <v>0</v>
      </c>
      <c r="AU14" s="17">
        <f t="shared" si="9"/>
        <v>4316.8999999999996</v>
      </c>
      <c r="AV14" s="17">
        <v>38181</v>
      </c>
      <c r="AW14" s="17">
        <v>34471</v>
      </c>
      <c r="AX14" s="17">
        <v>290.8</v>
      </c>
      <c r="AY14" s="17">
        <v>2036.8</v>
      </c>
      <c r="AZ14" s="17">
        <f t="shared" si="10"/>
        <v>0</v>
      </c>
      <c r="BA14" s="17">
        <f t="shared" si="11"/>
        <v>74979.600000000006</v>
      </c>
      <c r="BB14" s="17">
        <v>2839.9</v>
      </c>
      <c r="BC14" s="17">
        <v>894.4</v>
      </c>
      <c r="BD14" s="17">
        <v>0</v>
      </c>
      <c r="BE14" s="17">
        <v>5347.3</v>
      </c>
      <c r="BF14" s="17">
        <f t="shared" si="12"/>
        <v>9081.6</v>
      </c>
    </row>
    <row r="15" spans="1:58" hidden="1">
      <c r="A15" s="1">
        <v>1978</v>
      </c>
      <c r="B15" s="17">
        <v>50112.800000000003</v>
      </c>
      <c r="C15" s="17">
        <v>46544.3</v>
      </c>
      <c r="D15" s="17">
        <v>920.3</v>
      </c>
      <c r="E15" s="17">
        <v>9618.4</v>
      </c>
      <c r="F15" s="17">
        <v>0</v>
      </c>
      <c r="G15" s="17">
        <f t="shared" si="1"/>
        <v>107195.8</v>
      </c>
      <c r="H15" s="17">
        <v>0</v>
      </c>
      <c r="I15" s="17">
        <v>0</v>
      </c>
      <c r="J15" s="17">
        <v>0</v>
      </c>
      <c r="K15" s="17">
        <v>0</v>
      </c>
      <c r="L15" s="17">
        <f t="shared" si="2"/>
        <v>0</v>
      </c>
      <c r="M15" s="17">
        <v>0</v>
      </c>
      <c r="N15" s="17">
        <v>0</v>
      </c>
      <c r="O15" s="17">
        <v>0</v>
      </c>
      <c r="P15" s="17">
        <v>0</v>
      </c>
      <c r="Q15" s="17">
        <f t="shared" si="3"/>
        <v>0</v>
      </c>
      <c r="R15" s="17">
        <v>0</v>
      </c>
      <c r="S15" s="17">
        <v>0</v>
      </c>
      <c r="T15" s="17">
        <v>0</v>
      </c>
      <c r="U15" s="17">
        <v>581.1</v>
      </c>
      <c r="V15" s="17">
        <f t="shared" si="4"/>
        <v>581.1</v>
      </c>
      <c r="W15" s="17">
        <v>0</v>
      </c>
      <c r="X15" s="17">
        <v>0</v>
      </c>
      <c r="Y15" s="17">
        <v>0</v>
      </c>
      <c r="Z15" s="17">
        <v>85.3</v>
      </c>
      <c r="AA15" s="17">
        <f t="shared" si="5"/>
        <v>85.3</v>
      </c>
      <c r="AB15" s="17">
        <v>0</v>
      </c>
      <c r="AC15" s="17">
        <v>0</v>
      </c>
      <c r="AD15" s="17">
        <v>0</v>
      </c>
      <c r="AE15" s="17">
        <v>0</v>
      </c>
      <c r="AF15" s="17">
        <f t="shared" si="6"/>
        <v>0</v>
      </c>
      <c r="AG15" s="17">
        <v>92.6</v>
      </c>
      <c r="AH15" s="17">
        <v>46.1</v>
      </c>
      <c r="AI15" s="17">
        <v>0</v>
      </c>
      <c r="AJ15" s="17">
        <v>0</v>
      </c>
      <c r="AK15" s="17">
        <f t="shared" si="7"/>
        <v>138.69999999999999</v>
      </c>
      <c r="AL15" s="17">
        <v>0</v>
      </c>
      <c r="AM15" s="17">
        <v>423.9</v>
      </c>
      <c r="AN15" s="17">
        <v>0</v>
      </c>
      <c r="AO15" s="17">
        <v>0</v>
      </c>
      <c r="AP15" s="17">
        <f t="shared" si="8"/>
        <v>423.9</v>
      </c>
      <c r="AQ15" s="17">
        <v>163.5</v>
      </c>
      <c r="AR15" s="17">
        <v>4765.7</v>
      </c>
      <c r="AS15" s="17">
        <v>465.1</v>
      </c>
      <c r="AT15" s="17">
        <v>0</v>
      </c>
      <c r="AU15" s="17">
        <f t="shared" si="9"/>
        <v>5394.3</v>
      </c>
      <c r="AV15" s="17">
        <v>46727.3</v>
      </c>
      <c r="AW15" s="17">
        <v>40164.300000000003</v>
      </c>
      <c r="AX15" s="17">
        <v>455.3</v>
      </c>
      <c r="AY15" s="17">
        <v>3032.4</v>
      </c>
      <c r="AZ15" s="17">
        <f t="shared" si="10"/>
        <v>0</v>
      </c>
      <c r="BA15" s="17">
        <f t="shared" si="11"/>
        <v>90379.3</v>
      </c>
      <c r="BB15" s="17">
        <v>3129.4</v>
      </c>
      <c r="BC15" s="17">
        <v>1144.3</v>
      </c>
      <c r="BD15" s="17">
        <v>0</v>
      </c>
      <c r="BE15" s="17">
        <v>5919.6</v>
      </c>
      <c r="BF15" s="17">
        <f t="shared" si="12"/>
        <v>10193.299999999999</v>
      </c>
    </row>
    <row r="16" spans="1:58" hidden="1">
      <c r="A16" s="1">
        <v>1979</v>
      </c>
      <c r="B16" s="17">
        <v>62719</v>
      </c>
      <c r="C16" s="17">
        <v>48481.9</v>
      </c>
      <c r="D16" s="17">
        <v>1314.6</v>
      </c>
      <c r="E16" s="17">
        <v>10139.700000000001</v>
      </c>
      <c r="F16" s="17">
        <v>0</v>
      </c>
      <c r="G16" s="17">
        <f t="shared" si="1"/>
        <v>122655.2</v>
      </c>
      <c r="H16" s="17">
        <v>0</v>
      </c>
      <c r="I16" s="17">
        <v>0</v>
      </c>
      <c r="J16" s="17">
        <v>0</v>
      </c>
      <c r="K16" s="17">
        <v>0</v>
      </c>
      <c r="L16" s="17">
        <f t="shared" si="2"/>
        <v>0</v>
      </c>
      <c r="M16" s="17">
        <v>0</v>
      </c>
      <c r="N16" s="17">
        <v>0</v>
      </c>
      <c r="O16" s="17">
        <v>0</v>
      </c>
      <c r="P16" s="17">
        <v>0</v>
      </c>
      <c r="Q16" s="17">
        <f t="shared" si="3"/>
        <v>0</v>
      </c>
      <c r="R16" s="17">
        <v>0</v>
      </c>
      <c r="S16" s="17">
        <v>0</v>
      </c>
      <c r="T16" s="17">
        <v>0</v>
      </c>
      <c r="U16" s="17">
        <v>819.5</v>
      </c>
      <c r="V16" s="17">
        <f t="shared" si="4"/>
        <v>819.5</v>
      </c>
      <c r="W16" s="17">
        <v>0</v>
      </c>
      <c r="X16" s="17">
        <v>0</v>
      </c>
      <c r="Y16" s="17">
        <v>0</v>
      </c>
      <c r="Z16" s="17">
        <v>100.8</v>
      </c>
      <c r="AA16" s="17">
        <f t="shared" si="5"/>
        <v>100.8</v>
      </c>
      <c r="AB16" s="17">
        <v>0</v>
      </c>
      <c r="AC16" s="17">
        <v>0</v>
      </c>
      <c r="AD16" s="17">
        <v>0</v>
      </c>
      <c r="AE16" s="17">
        <v>0</v>
      </c>
      <c r="AF16" s="17">
        <f t="shared" si="6"/>
        <v>0</v>
      </c>
      <c r="AG16" s="17">
        <v>0</v>
      </c>
      <c r="AH16" s="17">
        <v>41.4</v>
      </c>
      <c r="AI16" s="17">
        <v>0</v>
      </c>
      <c r="AJ16" s="17">
        <v>0</v>
      </c>
      <c r="AK16" s="17">
        <f t="shared" si="7"/>
        <v>41.4</v>
      </c>
      <c r="AL16" s="17">
        <v>0</v>
      </c>
      <c r="AM16" s="17">
        <v>424.6</v>
      </c>
      <c r="AN16" s="17">
        <v>0</v>
      </c>
      <c r="AO16" s="17">
        <v>0</v>
      </c>
      <c r="AP16" s="17">
        <f t="shared" si="8"/>
        <v>424.6</v>
      </c>
      <c r="AQ16" s="17">
        <v>250</v>
      </c>
      <c r="AR16" s="17">
        <v>4687.3</v>
      </c>
      <c r="AS16" s="17">
        <v>592.20000000000005</v>
      </c>
      <c r="AT16" s="17">
        <v>0</v>
      </c>
      <c r="AU16" s="17">
        <f t="shared" si="9"/>
        <v>5529.5</v>
      </c>
      <c r="AV16" s="17">
        <v>58532.2</v>
      </c>
      <c r="AW16" s="17">
        <v>42204.5</v>
      </c>
      <c r="AX16" s="17">
        <v>722.4</v>
      </c>
      <c r="AY16" s="17">
        <v>2184.1999999999998</v>
      </c>
      <c r="AZ16" s="17">
        <f t="shared" si="10"/>
        <v>0</v>
      </c>
      <c r="BA16" s="17">
        <f t="shared" si="11"/>
        <v>103643.29999999999</v>
      </c>
      <c r="BB16" s="17">
        <v>3936.9</v>
      </c>
      <c r="BC16" s="17">
        <v>1124.2</v>
      </c>
      <c r="BD16" s="17">
        <v>0</v>
      </c>
      <c r="BE16" s="17">
        <v>7035.2</v>
      </c>
      <c r="BF16" s="17">
        <f t="shared" si="12"/>
        <v>12096.3</v>
      </c>
    </row>
    <row r="17" spans="1:58" hidden="1">
      <c r="A17" s="1">
        <v>1980</v>
      </c>
      <c r="B17" s="17">
        <v>108559.2</v>
      </c>
      <c r="C17" s="17">
        <v>52740.1</v>
      </c>
      <c r="D17" s="17">
        <v>1765.6</v>
      </c>
      <c r="E17" s="17">
        <v>7578.3</v>
      </c>
      <c r="F17" s="17">
        <v>13187</v>
      </c>
      <c r="G17" s="17">
        <f t="shared" si="1"/>
        <v>183830.19999999998</v>
      </c>
      <c r="H17" s="17">
        <v>0</v>
      </c>
      <c r="I17" s="17">
        <v>0</v>
      </c>
      <c r="J17" s="17">
        <v>0</v>
      </c>
      <c r="K17" s="17">
        <v>0</v>
      </c>
      <c r="L17" s="17">
        <f t="shared" si="2"/>
        <v>0</v>
      </c>
      <c r="M17" s="17">
        <v>0</v>
      </c>
      <c r="N17" s="17">
        <v>0</v>
      </c>
      <c r="O17" s="17">
        <v>0</v>
      </c>
      <c r="P17" s="17">
        <v>0</v>
      </c>
      <c r="Q17" s="17">
        <f t="shared" si="3"/>
        <v>0</v>
      </c>
      <c r="R17" s="17">
        <v>0</v>
      </c>
      <c r="S17" s="17">
        <v>0</v>
      </c>
      <c r="T17" s="17">
        <v>0</v>
      </c>
      <c r="U17" s="17">
        <v>788.2</v>
      </c>
      <c r="V17" s="17">
        <f t="shared" si="4"/>
        <v>788.2</v>
      </c>
      <c r="W17" s="17">
        <v>0</v>
      </c>
      <c r="X17" s="17">
        <v>0</v>
      </c>
      <c r="Y17" s="17">
        <v>0</v>
      </c>
      <c r="Z17" s="17">
        <v>172</v>
      </c>
      <c r="AA17" s="17">
        <f t="shared" si="5"/>
        <v>172</v>
      </c>
      <c r="AB17" s="17">
        <v>0</v>
      </c>
      <c r="AC17" s="17">
        <v>0</v>
      </c>
      <c r="AD17" s="17">
        <v>0</v>
      </c>
      <c r="AE17" s="17">
        <v>0</v>
      </c>
      <c r="AF17" s="17">
        <f t="shared" si="6"/>
        <v>0</v>
      </c>
      <c r="AG17" s="17">
        <v>0</v>
      </c>
      <c r="AH17" s="17"/>
      <c r="AI17" s="17">
        <v>0</v>
      </c>
      <c r="AJ17" s="17">
        <v>0</v>
      </c>
      <c r="AK17" s="17">
        <f t="shared" si="7"/>
        <v>0</v>
      </c>
      <c r="AL17" s="17">
        <v>0</v>
      </c>
      <c r="AM17" s="17"/>
      <c r="AN17" s="17">
        <v>0</v>
      </c>
      <c r="AO17" s="17">
        <v>0</v>
      </c>
      <c r="AP17" s="17">
        <f t="shared" si="8"/>
        <v>0</v>
      </c>
      <c r="AQ17" s="17">
        <v>175.9</v>
      </c>
      <c r="AR17" s="17"/>
      <c r="AS17" s="17">
        <v>855.6</v>
      </c>
      <c r="AT17" s="17">
        <v>0</v>
      </c>
      <c r="AU17" s="17">
        <f t="shared" si="9"/>
        <v>1031.5</v>
      </c>
      <c r="AV17" s="17">
        <v>104610.2</v>
      </c>
      <c r="AW17" s="17"/>
      <c r="AX17" s="17">
        <v>909.9</v>
      </c>
      <c r="AY17" s="17">
        <v>2154.9</v>
      </c>
      <c r="AZ17" s="17">
        <f t="shared" si="10"/>
        <v>13187</v>
      </c>
      <c r="BA17" s="17">
        <f t="shared" si="11"/>
        <v>120861.99999999999</v>
      </c>
      <c r="BB17" s="17">
        <v>3773.2</v>
      </c>
      <c r="BC17" s="17"/>
      <c r="BD17" s="17">
        <v>0</v>
      </c>
      <c r="BE17" s="17">
        <v>4463.2</v>
      </c>
      <c r="BF17" s="17">
        <f t="shared" si="12"/>
        <v>8236.4</v>
      </c>
    </row>
    <row r="18" spans="1:58" hidden="1">
      <c r="B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v>51.5</v>
      </c>
      <c r="AI18" s="17"/>
      <c r="AJ18" s="17"/>
      <c r="AK18" s="17"/>
      <c r="AL18" s="17"/>
      <c r="AM18" s="17">
        <v>472.4</v>
      </c>
      <c r="AN18" s="17"/>
      <c r="AO18" s="17"/>
      <c r="AP18" s="17"/>
      <c r="AQ18" s="17"/>
      <c r="AR18" s="17">
        <v>5384.7</v>
      </c>
      <c r="AS18" s="17"/>
      <c r="AT18" s="17"/>
      <c r="AU18" s="17"/>
      <c r="AV18" s="17"/>
      <c r="AW18" s="17">
        <v>45606.400000000001</v>
      </c>
      <c r="AX18" s="17"/>
      <c r="AY18" s="17"/>
      <c r="AZ18" s="17"/>
      <c r="BA18" s="17">
        <f t="shared" si="11"/>
        <v>45606.400000000001</v>
      </c>
      <c r="BB18" s="17"/>
      <c r="BC18" s="17">
        <v>1225.0999999999999</v>
      </c>
      <c r="BD18" s="17"/>
      <c r="BE18" s="17"/>
      <c r="BF18" s="17"/>
    </row>
    <row r="19" spans="1:58" ht="18.75" customHeight="1">
      <c r="A19" s="1">
        <v>1981</v>
      </c>
      <c r="B19" s="17">
        <v>123312.5</v>
      </c>
      <c r="C19" s="17">
        <v>60219.6</v>
      </c>
      <c r="D19" s="17">
        <v>2640.6</v>
      </c>
      <c r="E19" s="17">
        <v>8112.9</v>
      </c>
      <c r="F19" s="17">
        <v>8442.7000000000007</v>
      </c>
      <c r="G19" s="17">
        <f t="shared" si="1"/>
        <v>202728.30000000002</v>
      </c>
      <c r="H19" s="17">
        <v>0</v>
      </c>
      <c r="I19" s="17">
        <v>0</v>
      </c>
      <c r="J19" s="17">
        <v>0</v>
      </c>
      <c r="K19" s="17">
        <v>0</v>
      </c>
      <c r="L19" s="17">
        <f t="shared" si="2"/>
        <v>0</v>
      </c>
      <c r="M19" s="17">
        <v>0</v>
      </c>
      <c r="N19" s="17">
        <v>0</v>
      </c>
      <c r="O19" s="17">
        <v>0</v>
      </c>
      <c r="P19" s="17">
        <v>0</v>
      </c>
      <c r="Q19" s="17">
        <f t="shared" si="3"/>
        <v>0</v>
      </c>
      <c r="R19" s="17">
        <v>0</v>
      </c>
      <c r="S19" s="17">
        <v>0</v>
      </c>
      <c r="T19" s="17">
        <v>0</v>
      </c>
      <c r="U19" s="17">
        <v>455.2</v>
      </c>
      <c r="V19" s="17">
        <f t="shared" si="4"/>
        <v>455.2</v>
      </c>
      <c r="W19" s="17">
        <v>0</v>
      </c>
      <c r="X19" s="17">
        <v>0</v>
      </c>
      <c r="Y19" s="17">
        <v>0</v>
      </c>
      <c r="Z19" s="17">
        <v>212.7</v>
      </c>
      <c r="AA19" s="17">
        <f t="shared" si="5"/>
        <v>212.7</v>
      </c>
      <c r="AB19" s="17">
        <v>0</v>
      </c>
      <c r="AC19" s="17">
        <v>0</v>
      </c>
      <c r="AD19" s="17">
        <v>0</v>
      </c>
      <c r="AE19" s="17">
        <v>0</v>
      </c>
      <c r="AF19" s="17">
        <f t="shared" si="6"/>
        <v>0</v>
      </c>
      <c r="AG19" s="17">
        <v>0</v>
      </c>
      <c r="AH19" s="17">
        <v>40.299999999999997</v>
      </c>
      <c r="AI19" s="17">
        <v>0</v>
      </c>
      <c r="AJ19" s="17">
        <v>0</v>
      </c>
      <c r="AK19" s="17">
        <f t="shared" si="7"/>
        <v>40.299999999999997</v>
      </c>
      <c r="AL19" s="17">
        <v>0</v>
      </c>
      <c r="AM19" s="17">
        <v>555.79999999999995</v>
      </c>
      <c r="AN19" s="17">
        <v>0</v>
      </c>
      <c r="AO19" s="17">
        <v>0</v>
      </c>
      <c r="AP19" s="17">
        <f t="shared" si="8"/>
        <v>555.79999999999995</v>
      </c>
      <c r="AQ19" s="17">
        <v>112.1</v>
      </c>
      <c r="AR19" s="17">
        <v>5840.4</v>
      </c>
      <c r="AS19" s="17">
        <v>1397.1</v>
      </c>
      <c r="AT19" s="17">
        <v>0</v>
      </c>
      <c r="AU19" s="17">
        <f t="shared" si="9"/>
        <v>7349.6</v>
      </c>
      <c r="AV19" s="17">
        <v>118634.5</v>
      </c>
      <c r="AW19" s="17">
        <v>52540.1</v>
      </c>
      <c r="AX19" s="17">
        <v>1243.4000000000001</v>
      </c>
      <c r="AY19" s="17">
        <v>2039.8</v>
      </c>
      <c r="AZ19" s="17">
        <f t="shared" si="10"/>
        <v>8442.7000000000007</v>
      </c>
      <c r="BA19" s="17">
        <f t="shared" si="11"/>
        <v>182900.5</v>
      </c>
      <c r="BB19" s="17">
        <v>4565.8999999999996</v>
      </c>
      <c r="BC19" s="17">
        <v>1242.9000000000001</v>
      </c>
      <c r="BD19" s="17">
        <v>0</v>
      </c>
      <c r="BE19" s="17">
        <v>5405.2</v>
      </c>
      <c r="BF19" s="17">
        <f t="shared" si="12"/>
        <v>11214</v>
      </c>
    </row>
    <row r="20" spans="1:58" ht="18.75" customHeight="1">
      <c r="A20" s="1">
        <v>1982</v>
      </c>
      <c r="B20" s="17">
        <v>125991.5</v>
      </c>
      <c r="C20" s="17">
        <v>75996</v>
      </c>
      <c r="D20" s="17">
        <v>3589.9</v>
      </c>
      <c r="E20" s="17">
        <v>10719.9</v>
      </c>
      <c r="F20" s="17">
        <v>13767.1</v>
      </c>
      <c r="G20" s="17">
        <f t="shared" si="1"/>
        <v>230064.4</v>
      </c>
      <c r="H20" s="17">
        <v>0</v>
      </c>
      <c r="I20" s="17">
        <v>0</v>
      </c>
      <c r="J20" s="17">
        <v>0</v>
      </c>
      <c r="K20" s="17">
        <v>0</v>
      </c>
      <c r="L20" s="17">
        <f t="shared" si="2"/>
        <v>0</v>
      </c>
      <c r="M20" s="17">
        <v>0</v>
      </c>
      <c r="N20" s="17">
        <v>0</v>
      </c>
      <c r="O20" s="17">
        <v>0</v>
      </c>
      <c r="P20" s="17">
        <v>0</v>
      </c>
      <c r="Q20" s="17">
        <f t="shared" si="3"/>
        <v>0</v>
      </c>
      <c r="R20" s="17">
        <v>0</v>
      </c>
      <c r="S20" s="17">
        <v>0</v>
      </c>
      <c r="T20" s="17">
        <v>0</v>
      </c>
      <c r="U20" s="17">
        <v>913.7</v>
      </c>
      <c r="V20" s="17">
        <f t="shared" si="4"/>
        <v>913.7</v>
      </c>
      <c r="W20" s="17">
        <v>0</v>
      </c>
      <c r="X20" s="17">
        <v>0</v>
      </c>
      <c r="Y20" s="17">
        <v>0</v>
      </c>
      <c r="Z20" s="17">
        <v>187.8</v>
      </c>
      <c r="AA20" s="17">
        <f t="shared" si="5"/>
        <v>187.8</v>
      </c>
      <c r="AB20" s="17">
        <v>0</v>
      </c>
      <c r="AC20" s="17">
        <v>0</v>
      </c>
      <c r="AD20" s="17">
        <v>0</v>
      </c>
      <c r="AE20" s="17">
        <v>0</v>
      </c>
      <c r="AF20" s="17">
        <f t="shared" si="6"/>
        <v>0</v>
      </c>
      <c r="AG20" s="17">
        <v>71</v>
      </c>
      <c r="AH20" s="17">
        <v>62.7</v>
      </c>
      <c r="AI20" s="17">
        <v>0</v>
      </c>
      <c r="AJ20" s="17">
        <v>0</v>
      </c>
      <c r="AK20" s="17">
        <f t="shared" si="7"/>
        <v>133.69999999999999</v>
      </c>
      <c r="AL20" s="17">
        <v>0</v>
      </c>
      <c r="AM20" s="17">
        <v>744.8</v>
      </c>
      <c r="AN20" s="17">
        <v>0</v>
      </c>
      <c r="AO20" s="17">
        <v>0</v>
      </c>
      <c r="AP20" s="17">
        <f t="shared" si="8"/>
        <v>744.8</v>
      </c>
      <c r="AQ20" s="17">
        <v>60.5</v>
      </c>
      <c r="AR20" s="17">
        <v>8230.5</v>
      </c>
      <c r="AS20" s="17">
        <v>1848</v>
      </c>
      <c r="AT20" s="17">
        <v>0</v>
      </c>
      <c r="AU20" s="17">
        <f t="shared" si="9"/>
        <v>10139</v>
      </c>
      <c r="AV20" s="17">
        <v>120527.1</v>
      </c>
      <c r="AW20" s="17">
        <v>64858.400000000001</v>
      </c>
      <c r="AX20" s="17">
        <v>1741.9</v>
      </c>
      <c r="AY20" s="17">
        <v>3095.5</v>
      </c>
      <c r="AZ20" s="17">
        <f t="shared" si="10"/>
        <v>13767.1</v>
      </c>
      <c r="BA20" s="17">
        <f t="shared" si="11"/>
        <v>203990</v>
      </c>
      <c r="BB20" s="17">
        <v>5332.8</v>
      </c>
      <c r="BC20" s="17">
        <v>2099.6</v>
      </c>
      <c r="BD20" s="17">
        <v>0</v>
      </c>
      <c r="BE20" s="17">
        <v>6522.9</v>
      </c>
      <c r="BF20" s="17">
        <f t="shared" si="12"/>
        <v>13955.3</v>
      </c>
    </row>
    <row r="21" spans="1:58" ht="18.75" customHeight="1">
      <c r="A21" s="1">
        <v>1983</v>
      </c>
      <c r="B21" s="17">
        <v>148598.70000000001</v>
      </c>
      <c r="C21" s="17">
        <v>102512.5</v>
      </c>
      <c r="D21" s="17">
        <v>4006.3</v>
      </c>
      <c r="E21" s="17">
        <v>13275.9</v>
      </c>
      <c r="F21" s="17">
        <v>14096.4</v>
      </c>
      <c r="G21" s="17">
        <f t="shared" si="1"/>
        <v>282489.80000000005</v>
      </c>
      <c r="H21" s="17">
        <v>0</v>
      </c>
      <c r="I21" s="17">
        <v>0</v>
      </c>
      <c r="J21" s="17">
        <v>0</v>
      </c>
      <c r="K21" s="17">
        <v>0</v>
      </c>
      <c r="L21" s="17">
        <f t="shared" si="2"/>
        <v>0</v>
      </c>
      <c r="M21" s="17">
        <v>0</v>
      </c>
      <c r="N21" s="17">
        <v>0</v>
      </c>
      <c r="O21" s="17">
        <v>0</v>
      </c>
      <c r="P21" s="17">
        <v>0</v>
      </c>
      <c r="Q21" s="17">
        <f t="shared" si="3"/>
        <v>0</v>
      </c>
      <c r="R21" s="17">
        <v>0</v>
      </c>
      <c r="S21" s="17">
        <v>0</v>
      </c>
      <c r="T21" s="17">
        <v>0</v>
      </c>
      <c r="U21" s="17">
        <v>1251.3</v>
      </c>
      <c r="V21" s="17">
        <f t="shared" si="4"/>
        <v>1251.3</v>
      </c>
      <c r="W21" s="17">
        <v>0</v>
      </c>
      <c r="X21" s="17">
        <v>0</v>
      </c>
      <c r="Y21" s="17">
        <v>0</v>
      </c>
      <c r="Z21" s="17">
        <v>236.8</v>
      </c>
      <c r="AA21" s="17">
        <f t="shared" si="5"/>
        <v>236.8</v>
      </c>
      <c r="AB21" s="17">
        <v>0</v>
      </c>
      <c r="AC21" s="17">
        <v>0</v>
      </c>
      <c r="AD21" s="17">
        <v>0</v>
      </c>
      <c r="AE21" s="17">
        <v>0</v>
      </c>
      <c r="AF21" s="17">
        <f t="shared" si="6"/>
        <v>0</v>
      </c>
      <c r="AG21" s="17">
        <v>0</v>
      </c>
      <c r="AH21" s="17">
        <v>54.7</v>
      </c>
      <c r="AI21" s="17">
        <v>0</v>
      </c>
      <c r="AJ21" s="17">
        <v>0</v>
      </c>
      <c r="AK21" s="17">
        <f t="shared" si="7"/>
        <v>54.7</v>
      </c>
      <c r="AL21" s="17">
        <v>0</v>
      </c>
      <c r="AM21" s="17">
        <v>1105.7</v>
      </c>
      <c r="AN21" s="17">
        <v>0</v>
      </c>
      <c r="AO21" s="17">
        <v>0</v>
      </c>
      <c r="AP21" s="17">
        <f t="shared" si="8"/>
        <v>1105.7</v>
      </c>
      <c r="AQ21" s="17">
        <v>509</v>
      </c>
      <c r="AR21" s="17">
        <v>11653.3</v>
      </c>
      <c r="AS21" s="17">
        <v>2089.8000000000002</v>
      </c>
      <c r="AT21" s="17">
        <v>0</v>
      </c>
      <c r="AU21" s="17">
        <f t="shared" si="9"/>
        <v>14252.099999999999</v>
      </c>
      <c r="AV21" s="17">
        <v>142565.79999999999</v>
      </c>
      <c r="AW21" s="17">
        <v>86983.2</v>
      </c>
      <c r="AX21" s="17">
        <v>1916.6</v>
      </c>
      <c r="AY21" s="17">
        <v>4795.2</v>
      </c>
      <c r="AZ21" s="17">
        <f t="shared" si="10"/>
        <v>14096.4</v>
      </c>
      <c r="BA21" s="17">
        <f t="shared" si="11"/>
        <v>250357.2</v>
      </c>
      <c r="BB21" s="17">
        <v>5523.9</v>
      </c>
      <c r="BC21" s="17">
        <v>2715.6</v>
      </c>
      <c r="BD21" s="17">
        <v>0</v>
      </c>
      <c r="BE21" s="17">
        <v>6992.6</v>
      </c>
      <c r="BF21" s="17">
        <f t="shared" si="12"/>
        <v>15232.1</v>
      </c>
    </row>
    <row r="22" spans="1:58" ht="18.75" customHeight="1">
      <c r="A22" s="1">
        <v>1984</v>
      </c>
      <c r="B22" s="17">
        <v>138141.20000000001</v>
      </c>
      <c r="C22" s="17">
        <v>105305</v>
      </c>
      <c r="D22" s="17">
        <v>5338.9</v>
      </c>
      <c r="E22" s="17">
        <v>19591.2</v>
      </c>
      <c r="F22" s="17">
        <v>13616.5</v>
      </c>
      <c r="G22" s="17">
        <f t="shared" si="1"/>
        <v>281992.8</v>
      </c>
      <c r="H22" s="17">
        <v>0</v>
      </c>
      <c r="I22" s="17">
        <v>0</v>
      </c>
      <c r="J22" s="17">
        <v>0</v>
      </c>
      <c r="K22" s="17">
        <v>0</v>
      </c>
      <c r="L22" s="17">
        <f t="shared" si="2"/>
        <v>0</v>
      </c>
      <c r="M22" s="17">
        <v>0</v>
      </c>
      <c r="N22" s="17">
        <v>0</v>
      </c>
      <c r="O22" s="17">
        <v>0</v>
      </c>
      <c r="P22" s="17">
        <v>0</v>
      </c>
      <c r="Q22" s="17">
        <f t="shared" si="3"/>
        <v>0</v>
      </c>
      <c r="R22" s="17">
        <v>0</v>
      </c>
      <c r="S22" s="17">
        <v>0</v>
      </c>
      <c r="T22" s="17">
        <v>0</v>
      </c>
      <c r="U22" s="17">
        <v>2114.3000000000002</v>
      </c>
      <c r="V22" s="17">
        <f t="shared" si="4"/>
        <v>2114.3000000000002</v>
      </c>
      <c r="W22" s="17">
        <v>0</v>
      </c>
      <c r="X22" s="17">
        <v>0</v>
      </c>
      <c r="Y22" s="17">
        <v>0</v>
      </c>
      <c r="Z22" s="17">
        <v>218.8</v>
      </c>
      <c r="AA22" s="17">
        <f t="shared" si="5"/>
        <v>218.8</v>
      </c>
      <c r="AB22" s="17">
        <v>0</v>
      </c>
      <c r="AC22" s="17">
        <v>0</v>
      </c>
      <c r="AD22" s="17">
        <v>0</v>
      </c>
      <c r="AE22" s="17">
        <v>0</v>
      </c>
      <c r="AF22" s="17">
        <f t="shared" si="6"/>
        <v>0</v>
      </c>
      <c r="AG22" s="17">
        <v>178.7</v>
      </c>
      <c r="AH22" s="17">
        <v>67.7</v>
      </c>
      <c r="AI22" s="17">
        <v>0</v>
      </c>
      <c r="AJ22" s="17">
        <v>0</v>
      </c>
      <c r="AK22" s="17">
        <f t="shared" si="7"/>
        <v>246.39999999999998</v>
      </c>
      <c r="AL22" s="17">
        <v>0</v>
      </c>
      <c r="AM22" s="17">
        <v>1074.3</v>
      </c>
      <c r="AN22" s="17">
        <v>0</v>
      </c>
      <c r="AO22" s="17">
        <v>0</v>
      </c>
      <c r="AP22" s="17">
        <f t="shared" si="8"/>
        <v>1074.3</v>
      </c>
      <c r="AQ22" s="17">
        <v>678.2</v>
      </c>
      <c r="AR22" s="17">
        <v>13230.1</v>
      </c>
      <c r="AS22" s="17">
        <v>3169.5</v>
      </c>
      <c r="AT22" s="17">
        <v>0</v>
      </c>
      <c r="AU22" s="17">
        <f t="shared" si="9"/>
        <v>17077.800000000003</v>
      </c>
      <c r="AV22" s="17">
        <v>131196.4</v>
      </c>
      <c r="AW22" s="17">
        <v>88657.9</v>
      </c>
      <c r="AX22" s="17">
        <v>2169.5</v>
      </c>
      <c r="AY22" s="17">
        <v>4451.2</v>
      </c>
      <c r="AZ22" s="17">
        <f t="shared" si="10"/>
        <v>13616.5</v>
      </c>
      <c r="BA22" s="17">
        <f t="shared" si="11"/>
        <v>240091.5</v>
      </c>
      <c r="BB22" s="17">
        <v>6087.8</v>
      </c>
      <c r="BC22" s="17">
        <v>2274.9</v>
      </c>
      <c r="BD22" s="17">
        <v>0</v>
      </c>
      <c r="BE22" s="17">
        <v>12806.9</v>
      </c>
      <c r="BF22" s="17">
        <f t="shared" si="12"/>
        <v>21169.599999999999</v>
      </c>
    </row>
    <row r="23" spans="1:58" ht="18.75" customHeight="1">
      <c r="A23" s="1">
        <v>1985</v>
      </c>
      <c r="B23" s="17">
        <v>130570.2</v>
      </c>
      <c r="C23" s="17">
        <v>105591.1</v>
      </c>
      <c r="D23" s="17">
        <v>4959.5</v>
      </c>
      <c r="E23" s="17">
        <v>17595.7</v>
      </c>
      <c r="F23" s="17">
        <v>13800.6</v>
      </c>
      <c r="G23" s="17">
        <f t="shared" si="1"/>
        <v>272517.09999999998</v>
      </c>
      <c r="H23" s="17">
        <v>0</v>
      </c>
      <c r="I23" s="17">
        <v>0</v>
      </c>
      <c r="J23" s="17">
        <v>0</v>
      </c>
      <c r="K23" s="17">
        <v>0</v>
      </c>
      <c r="L23" s="17">
        <f t="shared" si="2"/>
        <v>0</v>
      </c>
      <c r="M23" s="17">
        <v>0</v>
      </c>
      <c r="N23" s="17">
        <v>0</v>
      </c>
      <c r="O23" s="17">
        <v>0</v>
      </c>
      <c r="P23" s="17">
        <v>0</v>
      </c>
      <c r="Q23" s="17">
        <f t="shared" si="3"/>
        <v>0</v>
      </c>
      <c r="R23" s="17">
        <v>0</v>
      </c>
      <c r="S23" s="17">
        <v>0</v>
      </c>
      <c r="T23" s="17">
        <v>0</v>
      </c>
      <c r="U23" s="17">
        <v>2094.9</v>
      </c>
      <c r="V23" s="17">
        <f t="shared" si="4"/>
        <v>2094.9</v>
      </c>
      <c r="W23" s="17">
        <v>0</v>
      </c>
      <c r="X23" s="17">
        <v>0</v>
      </c>
      <c r="Y23" s="17">
        <v>0</v>
      </c>
      <c r="Z23" s="17">
        <v>273.10000000000002</v>
      </c>
      <c r="AA23" s="17">
        <f t="shared" si="5"/>
        <v>273.10000000000002</v>
      </c>
      <c r="AB23" s="17">
        <v>0</v>
      </c>
      <c r="AC23" s="17">
        <v>0</v>
      </c>
      <c r="AD23" s="17">
        <v>0</v>
      </c>
      <c r="AE23" s="17">
        <v>0</v>
      </c>
      <c r="AF23" s="17">
        <f t="shared" si="6"/>
        <v>0</v>
      </c>
      <c r="AG23" s="17">
        <v>169.7</v>
      </c>
      <c r="AH23" s="17">
        <v>68.599999999999994</v>
      </c>
      <c r="AI23" s="17">
        <v>0</v>
      </c>
      <c r="AJ23" s="17">
        <v>0</v>
      </c>
      <c r="AK23" s="17">
        <f t="shared" si="7"/>
        <v>238.29999999999998</v>
      </c>
      <c r="AL23" s="17">
        <v>0</v>
      </c>
      <c r="AM23" s="17">
        <v>1188.0999999999999</v>
      </c>
      <c r="AN23" s="17">
        <v>0</v>
      </c>
      <c r="AO23" s="17">
        <v>0</v>
      </c>
      <c r="AP23" s="17">
        <f t="shared" si="8"/>
        <v>1188.0999999999999</v>
      </c>
      <c r="AQ23" s="17">
        <v>997.5</v>
      </c>
      <c r="AR23" s="17">
        <v>13523.9</v>
      </c>
      <c r="AS23" s="17">
        <v>2708.2</v>
      </c>
      <c r="AT23" s="17">
        <v>0</v>
      </c>
      <c r="AU23" s="17">
        <f t="shared" si="9"/>
        <v>17229.599999999999</v>
      </c>
      <c r="AV23" s="17">
        <v>122428.5</v>
      </c>
      <c r="AW23" s="17">
        <v>88473.5</v>
      </c>
      <c r="AX23" s="17">
        <v>2251.3000000000002</v>
      </c>
      <c r="AY23" s="17">
        <v>3526.1</v>
      </c>
      <c r="AZ23" s="17">
        <f t="shared" si="10"/>
        <v>13800.6</v>
      </c>
      <c r="BA23" s="17">
        <f t="shared" si="11"/>
        <v>230480</v>
      </c>
      <c r="BB23" s="17">
        <v>6974.5</v>
      </c>
      <c r="BC23" s="17">
        <v>2337</v>
      </c>
      <c r="BD23" s="17">
        <v>0</v>
      </c>
      <c r="BE23" s="17">
        <v>11701.6</v>
      </c>
      <c r="BF23" s="17">
        <f t="shared" si="12"/>
        <v>21013.1</v>
      </c>
    </row>
    <row r="24" spans="1:58" ht="18.75" customHeight="1">
      <c r="A24" s="1">
        <v>1986</v>
      </c>
      <c r="B24" s="17">
        <v>89976.2</v>
      </c>
      <c r="C24" s="17">
        <v>39546.1</v>
      </c>
      <c r="D24" s="17">
        <v>3914.9</v>
      </c>
      <c r="E24" s="17">
        <v>15967.1</v>
      </c>
      <c r="F24" s="17">
        <v>6443</v>
      </c>
      <c r="G24" s="17">
        <f t="shared" si="1"/>
        <v>155847.29999999999</v>
      </c>
      <c r="H24" s="17">
        <v>0</v>
      </c>
      <c r="I24" s="17">
        <v>0</v>
      </c>
      <c r="J24" s="17">
        <v>0</v>
      </c>
      <c r="K24" s="17">
        <v>0</v>
      </c>
      <c r="L24" s="17">
        <f t="shared" si="2"/>
        <v>0</v>
      </c>
      <c r="M24" s="17">
        <v>0</v>
      </c>
      <c r="N24" s="17">
        <v>0</v>
      </c>
      <c r="O24" s="17">
        <v>0</v>
      </c>
      <c r="P24" s="17">
        <v>0</v>
      </c>
      <c r="Q24" s="17">
        <f t="shared" si="3"/>
        <v>0</v>
      </c>
      <c r="R24" s="17">
        <v>0</v>
      </c>
      <c r="S24" s="17">
        <v>0</v>
      </c>
      <c r="T24" s="17">
        <v>0</v>
      </c>
      <c r="U24" s="17">
        <v>1669.7</v>
      </c>
      <c r="V24" s="17">
        <f t="shared" si="4"/>
        <v>1669.7</v>
      </c>
      <c r="W24" s="17">
        <v>0</v>
      </c>
      <c r="X24" s="17">
        <v>0</v>
      </c>
      <c r="Y24" s="17">
        <v>0</v>
      </c>
      <c r="Z24" s="17">
        <v>259.5</v>
      </c>
      <c r="AA24" s="17">
        <f t="shared" si="5"/>
        <v>259.5</v>
      </c>
      <c r="AB24" s="17">
        <v>0</v>
      </c>
      <c r="AC24" s="17">
        <v>0</v>
      </c>
      <c r="AD24" s="17">
        <v>0</v>
      </c>
      <c r="AE24" s="17">
        <v>0</v>
      </c>
      <c r="AF24" s="17">
        <f t="shared" si="6"/>
        <v>0</v>
      </c>
      <c r="AG24" s="17">
        <v>320.89999999999998</v>
      </c>
      <c r="AH24" s="17">
        <v>0</v>
      </c>
      <c r="AI24" s="17">
        <v>0</v>
      </c>
      <c r="AJ24" s="17">
        <v>0</v>
      </c>
      <c r="AK24" s="17">
        <f t="shared" si="7"/>
        <v>320.89999999999998</v>
      </c>
      <c r="AL24" s="17">
        <v>0</v>
      </c>
      <c r="AM24" s="17">
        <v>435.6</v>
      </c>
      <c r="AN24" s="17">
        <v>0</v>
      </c>
      <c r="AO24" s="17">
        <v>0</v>
      </c>
      <c r="AP24" s="17">
        <f t="shared" si="8"/>
        <v>435.6</v>
      </c>
      <c r="AQ24" s="17">
        <v>1451.8</v>
      </c>
      <c r="AR24" s="17">
        <v>4092.4</v>
      </c>
      <c r="AS24" s="17">
        <v>2072.5</v>
      </c>
      <c r="AT24" s="17">
        <v>0</v>
      </c>
      <c r="AU24" s="17">
        <f t="shared" si="9"/>
        <v>7616.7</v>
      </c>
      <c r="AV24" s="17">
        <v>83140.800000000003</v>
      </c>
      <c r="AW24" s="17">
        <v>34246</v>
      </c>
      <c r="AX24" s="17">
        <v>1842.4</v>
      </c>
      <c r="AY24" s="17">
        <v>3672.2</v>
      </c>
      <c r="AZ24" s="17">
        <f t="shared" si="10"/>
        <v>6443</v>
      </c>
      <c r="BA24" s="17">
        <f t="shared" si="11"/>
        <v>129344.4</v>
      </c>
      <c r="BB24" s="17">
        <v>5062.7</v>
      </c>
      <c r="BC24" s="17">
        <v>772.1</v>
      </c>
      <c r="BD24" s="17">
        <v>0</v>
      </c>
      <c r="BE24" s="17">
        <v>10365.700000000001</v>
      </c>
      <c r="BF24" s="17">
        <f t="shared" si="12"/>
        <v>16200.5</v>
      </c>
    </row>
    <row r="25" spans="1:58" ht="18.75" customHeight="1">
      <c r="A25" s="1">
        <v>1987</v>
      </c>
      <c r="B25" s="17">
        <v>59491.9</v>
      </c>
      <c r="C25" s="17">
        <v>51584.9</v>
      </c>
      <c r="D25" s="17">
        <v>4482.6000000000004</v>
      </c>
      <c r="E25" s="17">
        <v>14984.3</v>
      </c>
      <c r="F25" s="17">
        <v>15320.2</v>
      </c>
      <c r="G25" s="17">
        <f t="shared" si="1"/>
        <v>145863.90000000002</v>
      </c>
      <c r="H25" s="17">
        <v>0</v>
      </c>
      <c r="I25" s="17">
        <v>0</v>
      </c>
      <c r="J25" s="17">
        <v>0</v>
      </c>
      <c r="K25" s="17">
        <v>0</v>
      </c>
      <c r="L25" s="17">
        <f t="shared" si="2"/>
        <v>0</v>
      </c>
      <c r="M25" s="17">
        <v>0</v>
      </c>
      <c r="N25" s="17">
        <v>0</v>
      </c>
      <c r="O25" s="17">
        <v>0</v>
      </c>
      <c r="P25" s="17">
        <v>0</v>
      </c>
      <c r="Q25" s="17">
        <f t="shared" si="3"/>
        <v>0</v>
      </c>
      <c r="R25" s="17">
        <v>0</v>
      </c>
      <c r="S25" s="17">
        <v>0</v>
      </c>
      <c r="T25" s="17">
        <v>0</v>
      </c>
      <c r="U25" s="17">
        <v>2525.5</v>
      </c>
      <c r="V25" s="17">
        <f t="shared" si="4"/>
        <v>2525.5</v>
      </c>
      <c r="W25" s="17">
        <v>0</v>
      </c>
      <c r="X25" s="17">
        <v>0</v>
      </c>
      <c r="Y25" s="17">
        <v>0</v>
      </c>
      <c r="Z25" s="17">
        <v>268.5</v>
      </c>
      <c r="AA25" s="17">
        <f t="shared" si="5"/>
        <v>268.5</v>
      </c>
      <c r="AB25" s="17">
        <v>0</v>
      </c>
      <c r="AC25" s="17">
        <v>0</v>
      </c>
      <c r="AD25" s="17">
        <v>0</v>
      </c>
      <c r="AE25" s="17">
        <v>0</v>
      </c>
      <c r="AF25" s="17">
        <f t="shared" si="6"/>
        <v>0</v>
      </c>
      <c r="AG25" s="17">
        <v>298.89999999999998</v>
      </c>
      <c r="AH25" s="17">
        <v>0</v>
      </c>
      <c r="AI25" s="17">
        <v>0</v>
      </c>
      <c r="AJ25" s="17">
        <v>0</v>
      </c>
      <c r="AK25" s="17">
        <f t="shared" si="7"/>
        <v>298.89999999999998</v>
      </c>
      <c r="AL25" s="17">
        <v>0</v>
      </c>
      <c r="AM25" s="17">
        <v>516.4</v>
      </c>
      <c r="AN25" s="17">
        <v>0</v>
      </c>
      <c r="AO25" s="17">
        <v>0</v>
      </c>
      <c r="AP25" s="17">
        <f t="shared" si="8"/>
        <v>516.4</v>
      </c>
      <c r="AQ25" s="17">
        <v>1632.1</v>
      </c>
      <c r="AR25" s="17">
        <v>6735.6</v>
      </c>
      <c r="AS25" s="17">
        <v>2292.1999999999998</v>
      </c>
      <c r="AT25" s="17">
        <v>0</v>
      </c>
      <c r="AU25" s="17">
        <f t="shared" si="9"/>
        <v>10659.900000000001</v>
      </c>
      <c r="AV25" s="17">
        <v>53588.1</v>
      </c>
      <c r="AW25" s="17">
        <v>43303.7</v>
      </c>
      <c r="AX25" s="17">
        <v>2190.5</v>
      </c>
      <c r="AY25" s="17">
        <v>3094.3</v>
      </c>
      <c r="AZ25" s="17">
        <f t="shared" si="10"/>
        <v>15320.2</v>
      </c>
      <c r="BA25" s="17">
        <f t="shared" si="11"/>
        <v>117496.79999999999</v>
      </c>
      <c r="BB25" s="17">
        <v>3972.7</v>
      </c>
      <c r="BC25" s="17">
        <v>1029.2</v>
      </c>
      <c r="BD25" s="17">
        <v>0</v>
      </c>
      <c r="BE25" s="17">
        <v>9096</v>
      </c>
      <c r="BF25" s="17">
        <f t="shared" si="12"/>
        <v>14097.9</v>
      </c>
    </row>
    <row r="26" spans="1:58" ht="18.75" customHeight="1">
      <c r="A26" s="1">
        <v>1988</v>
      </c>
      <c r="B26" s="17">
        <v>51494.1</v>
      </c>
      <c r="C26" s="17">
        <v>25270.9</v>
      </c>
      <c r="D26" s="17">
        <v>5061.7</v>
      </c>
      <c r="E26" s="17">
        <v>17177.7</v>
      </c>
      <c r="F26" s="17">
        <v>2526.6999999999998</v>
      </c>
      <c r="G26" s="17">
        <f t="shared" si="1"/>
        <v>101531.09999999999</v>
      </c>
      <c r="H26" s="17">
        <v>0</v>
      </c>
      <c r="I26" s="17">
        <v>0</v>
      </c>
      <c r="J26" s="17">
        <v>0</v>
      </c>
      <c r="K26" s="17">
        <v>0</v>
      </c>
      <c r="L26" s="17">
        <f t="shared" si="2"/>
        <v>0</v>
      </c>
      <c r="M26" s="17">
        <v>0</v>
      </c>
      <c r="N26" s="17">
        <v>0</v>
      </c>
      <c r="O26" s="17">
        <v>0</v>
      </c>
      <c r="P26" s="17">
        <v>0</v>
      </c>
      <c r="Q26" s="17">
        <f t="shared" si="3"/>
        <v>0</v>
      </c>
      <c r="R26" s="17">
        <v>0</v>
      </c>
      <c r="S26" s="17">
        <v>0</v>
      </c>
      <c r="T26" s="17">
        <v>0</v>
      </c>
      <c r="U26" s="17">
        <v>1630</v>
      </c>
      <c r="V26" s="17">
        <f t="shared" si="4"/>
        <v>1630</v>
      </c>
      <c r="W26" s="17">
        <v>0</v>
      </c>
      <c r="X26" s="17">
        <v>0</v>
      </c>
      <c r="Y26" s="17">
        <v>0</v>
      </c>
      <c r="Z26" s="17">
        <v>294.7</v>
      </c>
      <c r="AA26" s="17">
        <f t="shared" si="5"/>
        <v>294.7</v>
      </c>
      <c r="AB26" s="17">
        <v>0</v>
      </c>
      <c r="AC26" s="17">
        <v>0</v>
      </c>
      <c r="AD26" s="17">
        <v>0</v>
      </c>
      <c r="AE26" s="17">
        <v>0</v>
      </c>
      <c r="AF26" s="17">
        <f t="shared" si="6"/>
        <v>0</v>
      </c>
      <c r="AG26" s="17">
        <v>211.7</v>
      </c>
      <c r="AH26" s="17">
        <v>0</v>
      </c>
      <c r="AI26" s="17">
        <v>0</v>
      </c>
      <c r="AJ26" s="17">
        <v>0</v>
      </c>
      <c r="AK26" s="17">
        <f t="shared" si="7"/>
        <v>211.7</v>
      </c>
      <c r="AL26" s="17">
        <v>0</v>
      </c>
      <c r="AM26" s="17">
        <v>219.5</v>
      </c>
      <c r="AN26" s="17">
        <v>0</v>
      </c>
      <c r="AO26" s="17">
        <v>0</v>
      </c>
      <c r="AP26" s="17">
        <f t="shared" si="8"/>
        <v>219.5</v>
      </c>
      <c r="AQ26" s="7">
        <v>927.4</v>
      </c>
      <c r="AR26" s="17">
        <v>2825.1</v>
      </c>
      <c r="AS26" s="17">
        <v>3025.2</v>
      </c>
      <c r="AT26" s="17">
        <v>0</v>
      </c>
      <c r="AU26" s="17">
        <f t="shared" si="9"/>
        <v>6777.7</v>
      </c>
      <c r="AV26" s="7">
        <v>47045.7</v>
      </c>
      <c r="AW26" s="17">
        <v>21921.200000000001</v>
      </c>
      <c r="AX26" s="17">
        <v>2036.5</v>
      </c>
      <c r="AY26" s="17">
        <v>4151.2</v>
      </c>
      <c r="AZ26" s="17">
        <f t="shared" si="10"/>
        <v>2526.6999999999998</v>
      </c>
      <c r="BA26" s="17">
        <f t="shared" si="11"/>
        <v>77681.299999999988</v>
      </c>
      <c r="BB26" s="17">
        <v>3309.4</v>
      </c>
      <c r="BC26" s="17">
        <v>305.10000000000002</v>
      </c>
      <c r="BD26" s="17">
        <v>0</v>
      </c>
      <c r="BE26" s="17">
        <v>11101.8</v>
      </c>
      <c r="BF26" s="17">
        <f t="shared" si="12"/>
        <v>14716.3</v>
      </c>
    </row>
    <row r="27" spans="1:58" ht="18.75" customHeight="1">
      <c r="A27" s="1">
        <v>1989</v>
      </c>
      <c r="B27" s="17">
        <v>47524.800000000003</v>
      </c>
      <c r="C27" s="17">
        <v>32560.799999999999</v>
      </c>
      <c r="D27" s="17">
        <v>3471.1</v>
      </c>
      <c r="E27" s="17">
        <v>12351.1</v>
      </c>
      <c r="F27" s="17">
        <v>8661.9</v>
      </c>
      <c r="G27" s="17">
        <f t="shared" si="1"/>
        <v>104569.70000000001</v>
      </c>
      <c r="H27" s="17">
        <v>0</v>
      </c>
      <c r="I27" s="17">
        <v>0</v>
      </c>
      <c r="J27" s="17">
        <v>0</v>
      </c>
      <c r="K27" s="17">
        <v>0</v>
      </c>
      <c r="L27" s="17">
        <f t="shared" si="2"/>
        <v>0</v>
      </c>
      <c r="M27" s="17">
        <v>0</v>
      </c>
      <c r="N27" s="17">
        <v>0</v>
      </c>
      <c r="O27" s="17">
        <v>0</v>
      </c>
      <c r="P27" s="17">
        <v>0</v>
      </c>
      <c r="Q27" s="17">
        <f t="shared" si="3"/>
        <v>0</v>
      </c>
      <c r="R27" s="17">
        <v>0</v>
      </c>
      <c r="S27" s="17">
        <v>0</v>
      </c>
      <c r="T27" s="17">
        <v>0</v>
      </c>
      <c r="U27" s="17">
        <v>1631</v>
      </c>
      <c r="V27" s="17">
        <f t="shared" si="4"/>
        <v>1631</v>
      </c>
      <c r="W27" s="17">
        <v>0</v>
      </c>
      <c r="X27" s="17">
        <v>0</v>
      </c>
      <c r="Y27" s="17">
        <v>0</v>
      </c>
      <c r="Z27" s="17">
        <v>309.89999999999998</v>
      </c>
      <c r="AA27" s="17">
        <f t="shared" si="5"/>
        <v>309.89999999999998</v>
      </c>
      <c r="AB27" s="17">
        <v>0</v>
      </c>
      <c r="AC27" s="17">
        <v>0</v>
      </c>
      <c r="AD27" s="17">
        <v>0</v>
      </c>
      <c r="AE27" s="17">
        <v>0</v>
      </c>
      <c r="AF27" s="17">
        <f t="shared" si="6"/>
        <v>0</v>
      </c>
      <c r="AG27" s="17">
        <v>0</v>
      </c>
      <c r="AH27" s="17">
        <v>6.4</v>
      </c>
      <c r="AI27" s="17">
        <v>0</v>
      </c>
      <c r="AJ27" s="17">
        <v>0</v>
      </c>
      <c r="AK27" s="17">
        <f t="shared" si="7"/>
        <v>6.4</v>
      </c>
      <c r="AL27" s="17">
        <v>0</v>
      </c>
      <c r="AM27" s="17">
        <v>333.6</v>
      </c>
      <c r="AN27" s="17">
        <v>0</v>
      </c>
      <c r="AO27" s="17">
        <v>0</v>
      </c>
      <c r="AP27" s="17">
        <f t="shared" si="8"/>
        <v>333.6</v>
      </c>
      <c r="AQ27" s="7">
        <v>993.3</v>
      </c>
      <c r="AR27" s="17">
        <v>4982.1000000000004</v>
      </c>
      <c r="AS27" s="17">
        <v>1173.4000000000001</v>
      </c>
      <c r="AT27" s="17">
        <v>0</v>
      </c>
      <c r="AU27" s="17">
        <f t="shared" si="9"/>
        <v>7148.8000000000011</v>
      </c>
      <c r="AV27" s="7">
        <v>43231.3</v>
      </c>
      <c r="AW27" s="17">
        <v>26523</v>
      </c>
      <c r="AX27" s="17">
        <v>2297.6999999999998</v>
      </c>
      <c r="AY27" s="17">
        <v>3614.9</v>
      </c>
      <c r="AZ27" s="17">
        <f t="shared" si="10"/>
        <v>8661.9</v>
      </c>
      <c r="BA27" s="17">
        <f t="shared" si="11"/>
        <v>84328.799999999988</v>
      </c>
      <c r="BB27" s="17">
        <v>3300.2</v>
      </c>
      <c r="BC27" s="17">
        <v>715.6</v>
      </c>
      <c r="BD27" s="17">
        <v>0</v>
      </c>
      <c r="BE27" s="17">
        <v>6795.3</v>
      </c>
      <c r="BF27" s="17">
        <f t="shared" si="12"/>
        <v>10811.1</v>
      </c>
    </row>
    <row r="28" spans="1:58" ht="18.75" customHeight="1">
      <c r="A28" s="1">
        <v>1990</v>
      </c>
      <c r="B28" s="17">
        <v>58335.9</v>
      </c>
      <c r="C28" s="17">
        <v>40774.400000000001</v>
      </c>
      <c r="D28" s="17">
        <v>4091.9</v>
      </c>
      <c r="E28" s="17">
        <v>16017.2</v>
      </c>
      <c r="F28" s="17">
        <v>18745.7</v>
      </c>
      <c r="G28" s="17">
        <f t="shared" si="1"/>
        <v>137965.1</v>
      </c>
      <c r="H28" s="17">
        <v>0</v>
      </c>
      <c r="I28" s="17">
        <v>0</v>
      </c>
      <c r="J28" s="17">
        <v>0</v>
      </c>
      <c r="K28" s="17">
        <v>0</v>
      </c>
      <c r="L28" s="17">
        <f t="shared" si="2"/>
        <v>0</v>
      </c>
      <c r="M28" s="17">
        <v>0</v>
      </c>
      <c r="N28" s="17">
        <v>0</v>
      </c>
      <c r="O28" s="17">
        <v>0</v>
      </c>
      <c r="P28" s="17">
        <v>0</v>
      </c>
      <c r="Q28" s="17">
        <f t="shared" si="3"/>
        <v>0</v>
      </c>
      <c r="R28" s="17">
        <v>0</v>
      </c>
      <c r="S28" s="17">
        <v>0</v>
      </c>
      <c r="T28" s="17">
        <v>0</v>
      </c>
      <c r="U28" s="17">
        <v>2882.4</v>
      </c>
      <c r="V28" s="17">
        <f t="shared" si="4"/>
        <v>2882.4</v>
      </c>
      <c r="W28" s="17">
        <v>0</v>
      </c>
      <c r="X28" s="17">
        <v>0</v>
      </c>
      <c r="Y28" s="17">
        <v>0</v>
      </c>
      <c r="Z28" s="17">
        <v>314.89999999999998</v>
      </c>
      <c r="AA28" s="17">
        <f t="shared" si="5"/>
        <v>314.89999999999998</v>
      </c>
      <c r="AB28" s="17">
        <v>0</v>
      </c>
      <c r="AC28" s="17">
        <v>0</v>
      </c>
      <c r="AD28" s="17">
        <v>0</v>
      </c>
      <c r="AE28" s="17">
        <v>0</v>
      </c>
      <c r="AF28" s="17">
        <f t="shared" si="6"/>
        <v>0</v>
      </c>
      <c r="AG28" s="17">
        <v>0</v>
      </c>
      <c r="AH28" s="17">
        <v>62.7</v>
      </c>
      <c r="AI28" s="17">
        <v>0</v>
      </c>
      <c r="AJ28" s="17">
        <v>0</v>
      </c>
      <c r="AK28" s="17">
        <f t="shared" si="7"/>
        <v>62.7</v>
      </c>
      <c r="AL28" s="17">
        <v>0</v>
      </c>
      <c r="AM28" s="17">
        <v>469.3</v>
      </c>
      <c r="AN28" s="17">
        <v>0</v>
      </c>
      <c r="AO28" s="17">
        <v>0</v>
      </c>
      <c r="AP28" s="17">
        <f t="shared" si="8"/>
        <v>469.3</v>
      </c>
      <c r="AQ28" s="7">
        <v>1280.5999999999999</v>
      </c>
      <c r="AR28" s="17">
        <v>6844.9</v>
      </c>
      <c r="AS28" s="17">
        <v>1608.2</v>
      </c>
      <c r="AT28" s="17">
        <v>0</v>
      </c>
      <c r="AU28" s="17">
        <f t="shared" si="9"/>
        <v>9733.7000000000007</v>
      </c>
      <c r="AV28" s="7">
        <v>53176.1</v>
      </c>
      <c r="AW28" s="17">
        <v>32537.9</v>
      </c>
      <c r="AX28" s="17">
        <v>2483.6</v>
      </c>
      <c r="AY28" s="17">
        <v>3434</v>
      </c>
      <c r="AZ28" s="17">
        <f t="shared" si="10"/>
        <v>18745.7</v>
      </c>
      <c r="BA28" s="17">
        <f t="shared" si="11"/>
        <v>110377.3</v>
      </c>
      <c r="BB28" s="17">
        <v>3879.1</v>
      </c>
      <c r="BC28" s="17">
        <v>859.7</v>
      </c>
      <c r="BD28" s="17">
        <v>0</v>
      </c>
      <c r="BE28" s="17">
        <v>9385.9</v>
      </c>
      <c r="BF28" s="17">
        <f t="shared" si="12"/>
        <v>14124.7</v>
      </c>
    </row>
    <row r="29" spans="1:58" ht="18.75" customHeight="1">
      <c r="A29" s="1">
        <v>1991</v>
      </c>
      <c r="B29" s="17">
        <v>42138.1</v>
      </c>
      <c r="C29" s="17">
        <v>21490.1</v>
      </c>
      <c r="D29" s="17">
        <v>4507.5</v>
      </c>
      <c r="E29" s="17">
        <v>15291.1</v>
      </c>
      <c r="F29" s="17">
        <v>9893.2999999999993</v>
      </c>
      <c r="G29" s="17">
        <f t="shared" si="1"/>
        <v>93320.1</v>
      </c>
      <c r="H29" s="17">
        <v>0</v>
      </c>
      <c r="I29" s="17">
        <v>0</v>
      </c>
      <c r="J29" s="17">
        <v>0</v>
      </c>
      <c r="K29" s="17">
        <v>0</v>
      </c>
      <c r="L29" s="17">
        <f t="shared" si="2"/>
        <v>0</v>
      </c>
      <c r="M29" s="17">
        <v>0</v>
      </c>
      <c r="N29" s="17">
        <v>0</v>
      </c>
      <c r="O29" s="17">
        <v>0</v>
      </c>
      <c r="P29" s="17">
        <v>0</v>
      </c>
      <c r="Q29" s="17">
        <f t="shared" si="3"/>
        <v>0</v>
      </c>
      <c r="R29" s="17">
        <v>0</v>
      </c>
      <c r="S29" s="17">
        <v>0</v>
      </c>
      <c r="T29" s="17">
        <v>0</v>
      </c>
      <c r="U29" s="17">
        <v>2830.8</v>
      </c>
      <c r="V29" s="17">
        <f t="shared" si="4"/>
        <v>2830.8</v>
      </c>
      <c r="W29" s="17">
        <v>0</v>
      </c>
      <c r="X29" s="17">
        <v>0</v>
      </c>
      <c r="Y29" s="17">
        <v>0</v>
      </c>
      <c r="Z29" s="17">
        <v>482.9</v>
      </c>
      <c r="AA29" s="17">
        <f t="shared" si="5"/>
        <v>482.9</v>
      </c>
      <c r="AB29" s="17">
        <v>0</v>
      </c>
      <c r="AC29" s="17">
        <v>0</v>
      </c>
      <c r="AD29" s="17">
        <v>0</v>
      </c>
      <c r="AE29" s="17">
        <v>0</v>
      </c>
      <c r="AF29" s="17">
        <f t="shared" si="6"/>
        <v>0</v>
      </c>
      <c r="AG29" s="17">
        <v>0</v>
      </c>
      <c r="AH29" s="17">
        <v>10.4</v>
      </c>
      <c r="AI29" s="17">
        <v>0</v>
      </c>
      <c r="AJ29" s="17">
        <v>0</v>
      </c>
      <c r="AK29" s="17">
        <f t="shared" si="7"/>
        <v>10.4</v>
      </c>
      <c r="AL29" s="17">
        <v>0</v>
      </c>
      <c r="AM29" s="17">
        <v>311</v>
      </c>
      <c r="AN29" s="17">
        <v>0</v>
      </c>
      <c r="AO29" s="17">
        <v>0</v>
      </c>
      <c r="AP29" s="17">
        <f t="shared" si="8"/>
        <v>311</v>
      </c>
      <c r="AQ29" s="7">
        <v>1220.7</v>
      </c>
      <c r="AR29" s="17">
        <v>3989.2</v>
      </c>
      <c r="AS29" s="17">
        <v>1469.7</v>
      </c>
      <c r="AT29" s="17">
        <v>0</v>
      </c>
      <c r="AU29" s="17">
        <f t="shared" si="9"/>
        <v>6679.5999999999995</v>
      </c>
      <c r="AV29" s="7">
        <v>37608.199999999997</v>
      </c>
      <c r="AW29" s="17">
        <v>16833.599999999999</v>
      </c>
      <c r="AX29" s="17">
        <v>3037.8</v>
      </c>
      <c r="AY29" s="17">
        <v>4520.3999999999996</v>
      </c>
      <c r="AZ29" s="17">
        <f t="shared" si="10"/>
        <v>9893.2999999999993</v>
      </c>
      <c r="BA29" s="17">
        <f t="shared" si="11"/>
        <v>71893.3</v>
      </c>
      <c r="BB29" s="17">
        <v>3309.2</v>
      </c>
      <c r="BC29" s="17">
        <v>345.9</v>
      </c>
      <c r="BD29" s="17">
        <v>0</v>
      </c>
      <c r="BE29" s="17">
        <v>7457</v>
      </c>
      <c r="BF29" s="17">
        <f t="shared" si="12"/>
        <v>11112.1</v>
      </c>
    </row>
    <row r="30" spans="1:58" ht="18.75" customHeight="1">
      <c r="A30" s="1">
        <v>1992</v>
      </c>
      <c r="B30" s="17">
        <v>45995.5</v>
      </c>
      <c r="C30" s="17">
        <v>22347.8</v>
      </c>
      <c r="D30" s="17">
        <v>4523.6000000000004</v>
      </c>
      <c r="E30" s="17">
        <v>11694.3</v>
      </c>
      <c r="F30" s="17">
        <v>10046</v>
      </c>
      <c r="G30" s="17">
        <f t="shared" si="1"/>
        <v>94607.200000000012</v>
      </c>
      <c r="H30" s="17">
        <v>0</v>
      </c>
      <c r="I30" s="17">
        <v>0</v>
      </c>
      <c r="J30" s="17">
        <v>0</v>
      </c>
      <c r="K30" s="17">
        <v>0</v>
      </c>
      <c r="L30" s="17">
        <f t="shared" si="2"/>
        <v>0</v>
      </c>
      <c r="M30" s="17">
        <v>0</v>
      </c>
      <c r="N30" s="17">
        <v>0</v>
      </c>
      <c r="O30" s="17">
        <v>0</v>
      </c>
      <c r="P30" s="17">
        <v>0</v>
      </c>
      <c r="Q30" s="17">
        <f t="shared" si="3"/>
        <v>0</v>
      </c>
      <c r="R30" s="17">
        <v>0</v>
      </c>
      <c r="S30" s="17">
        <v>0</v>
      </c>
      <c r="T30" s="17">
        <v>0</v>
      </c>
      <c r="U30" s="17">
        <v>2060.3000000000002</v>
      </c>
      <c r="V30" s="17">
        <f t="shared" si="4"/>
        <v>2060.3000000000002</v>
      </c>
      <c r="W30" s="17">
        <v>0</v>
      </c>
      <c r="X30" s="17">
        <v>0</v>
      </c>
      <c r="Y30" s="17">
        <v>0</v>
      </c>
      <c r="Z30" s="17">
        <v>271.2</v>
      </c>
      <c r="AA30" s="17">
        <f t="shared" si="5"/>
        <v>271.2</v>
      </c>
      <c r="AB30" s="17">
        <v>0</v>
      </c>
      <c r="AC30" s="17">
        <v>0</v>
      </c>
      <c r="AD30" s="17">
        <v>0</v>
      </c>
      <c r="AE30" s="17">
        <v>0</v>
      </c>
      <c r="AF30" s="17">
        <f t="shared" si="6"/>
        <v>0</v>
      </c>
      <c r="AG30" s="17">
        <v>0</v>
      </c>
      <c r="AH30" s="17">
        <v>11.4</v>
      </c>
      <c r="AI30" s="17">
        <v>0</v>
      </c>
      <c r="AJ30" s="17">
        <v>0</v>
      </c>
      <c r="AK30" s="17">
        <f t="shared" si="7"/>
        <v>11.4</v>
      </c>
      <c r="AL30" s="17">
        <v>0</v>
      </c>
      <c r="AM30" s="17">
        <v>339</v>
      </c>
      <c r="AN30" s="17">
        <v>0</v>
      </c>
      <c r="AO30" s="17">
        <v>0</v>
      </c>
      <c r="AP30" s="17">
        <f t="shared" si="8"/>
        <v>339</v>
      </c>
      <c r="AQ30" s="7">
        <v>1049.0999999999999</v>
      </c>
      <c r="AR30" s="17">
        <v>5476.6</v>
      </c>
      <c r="AS30" s="17">
        <v>1524.2</v>
      </c>
      <c r="AT30" s="17">
        <v>0</v>
      </c>
      <c r="AU30" s="17">
        <f t="shared" si="9"/>
        <v>8049.9000000000005</v>
      </c>
      <c r="AV30" s="7">
        <v>41585.4</v>
      </c>
      <c r="AW30" s="17">
        <v>16073.2</v>
      </c>
      <c r="AX30" s="17">
        <v>2999.5</v>
      </c>
      <c r="AY30" s="17">
        <v>4437.2</v>
      </c>
      <c r="AZ30" s="17">
        <f t="shared" si="10"/>
        <v>10046</v>
      </c>
      <c r="BA30" s="17">
        <f t="shared" si="11"/>
        <v>75141.3</v>
      </c>
      <c r="BB30" s="17">
        <v>3361</v>
      </c>
      <c r="BC30" s="17">
        <v>447.7</v>
      </c>
      <c r="BD30" s="17">
        <v>0</v>
      </c>
      <c r="BE30" s="17">
        <v>4925.6000000000004</v>
      </c>
      <c r="BF30" s="17">
        <f t="shared" si="12"/>
        <v>8734.2999999999993</v>
      </c>
    </row>
    <row r="31" spans="1:58" ht="18.75" customHeight="1">
      <c r="A31" s="1">
        <v>1993</v>
      </c>
      <c r="B31" s="17">
        <v>60380.4</v>
      </c>
      <c r="C31" s="17">
        <v>20678</v>
      </c>
      <c r="D31" s="17">
        <v>4041.3</v>
      </c>
      <c r="E31" s="17">
        <v>15689.6</v>
      </c>
      <c r="F31" s="17">
        <v>8675.5</v>
      </c>
      <c r="G31" s="17">
        <f t="shared" si="1"/>
        <v>109464.8</v>
      </c>
      <c r="H31" s="17">
        <v>0</v>
      </c>
      <c r="I31" s="17">
        <v>0</v>
      </c>
      <c r="J31" s="17">
        <v>0</v>
      </c>
      <c r="K31" s="17">
        <v>0</v>
      </c>
      <c r="L31" s="17">
        <f t="shared" si="2"/>
        <v>0</v>
      </c>
      <c r="M31" s="17">
        <v>0</v>
      </c>
      <c r="N31" s="17">
        <v>0</v>
      </c>
      <c r="O31" s="17">
        <v>0</v>
      </c>
      <c r="P31" s="17">
        <v>0</v>
      </c>
      <c r="Q31" s="17">
        <f t="shared" si="3"/>
        <v>0</v>
      </c>
      <c r="R31" s="17">
        <v>0</v>
      </c>
      <c r="S31" s="17">
        <v>0</v>
      </c>
      <c r="T31" s="17">
        <v>0</v>
      </c>
      <c r="U31" s="17">
        <v>1917.8</v>
      </c>
      <c r="V31" s="17">
        <f t="shared" si="4"/>
        <v>1917.8</v>
      </c>
      <c r="W31" s="17">
        <v>0</v>
      </c>
      <c r="X31" s="17">
        <v>0</v>
      </c>
      <c r="Y31" s="17">
        <v>0</v>
      </c>
      <c r="Z31" s="17">
        <v>343.3</v>
      </c>
      <c r="AA31" s="17">
        <f t="shared" si="5"/>
        <v>343.3</v>
      </c>
      <c r="AB31" s="17">
        <v>0</v>
      </c>
      <c r="AC31" s="17">
        <v>0</v>
      </c>
      <c r="AD31" s="17">
        <v>0</v>
      </c>
      <c r="AE31" s="17">
        <v>0</v>
      </c>
      <c r="AF31" s="17">
        <f t="shared" si="6"/>
        <v>0</v>
      </c>
      <c r="AG31" s="17">
        <v>0</v>
      </c>
      <c r="AH31" s="17">
        <v>0.6</v>
      </c>
      <c r="AI31" s="17">
        <v>0</v>
      </c>
      <c r="AJ31" s="17">
        <v>0</v>
      </c>
      <c r="AK31" s="17">
        <f t="shared" si="7"/>
        <v>0.6</v>
      </c>
      <c r="AL31" s="17">
        <v>0</v>
      </c>
      <c r="AM31" s="17">
        <v>259.2</v>
      </c>
      <c r="AN31" s="17">
        <v>0</v>
      </c>
      <c r="AO31" s="17">
        <v>0</v>
      </c>
      <c r="AP31" s="17">
        <f t="shared" si="8"/>
        <v>259.2</v>
      </c>
      <c r="AQ31" s="7">
        <v>1004.6</v>
      </c>
      <c r="AR31" s="17">
        <v>5566.9</v>
      </c>
      <c r="AS31" s="17">
        <v>1441.8</v>
      </c>
      <c r="AT31" s="17">
        <v>0</v>
      </c>
      <c r="AU31" s="17">
        <f t="shared" si="9"/>
        <v>8013.3</v>
      </c>
      <c r="AV31" s="7">
        <v>54915.8</v>
      </c>
      <c r="AW31" s="17">
        <v>14729.4</v>
      </c>
      <c r="AX31" s="17">
        <v>2599.5</v>
      </c>
      <c r="AY31" s="17">
        <v>4346.1000000000004</v>
      </c>
      <c r="AZ31" s="17">
        <f t="shared" si="10"/>
        <v>8675.5</v>
      </c>
      <c r="BA31" s="17">
        <f t="shared" si="11"/>
        <v>85266.3</v>
      </c>
      <c r="BB31" s="17">
        <v>4459.8999999999996</v>
      </c>
      <c r="BC31" s="17">
        <v>121.9</v>
      </c>
      <c r="BD31" s="17">
        <v>0</v>
      </c>
      <c r="BE31" s="17">
        <v>9082.4</v>
      </c>
      <c r="BF31" s="17">
        <f t="shared" si="12"/>
        <v>13664.199999999999</v>
      </c>
    </row>
    <row r="32" spans="1:58" ht="18.75" customHeight="1">
      <c r="A32" s="1">
        <v>1994</v>
      </c>
      <c r="B32" s="17">
        <v>68793.3</v>
      </c>
      <c r="C32" s="17">
        <v>18828.099999999999</v>
      </c>
      <c r="D32" s="17">
        <v>4785.8999999999996</v>
      </c>
      <c r="E32" s="17">
        <v>11480.2</v>
      </c>
      <c r="F32" s="17">
        <v>10403.6</v>
      </c>
      <c r="G32" s="17">
        <f t="shared" si="1"/>
        <v>114291.09999999999</v>
      </c>
      <c r="H32" s="17">
        <v>0</v>
      </c>
      <c r="I32" s="17">
        <v>0</v>
      </c>
      <c r="J32" s="17">
        <v>0</v>
      </c>
      <c r="K32" s="17">
        <v>0</v>
      </c>
      <c r="L32" s="17">
        <f t="shared" si="2"/>
        <v>0</v>
      </c>
      <c r="M32" s="17">
        <v>0</v>
      </c>
      <c r="N32" s="17">
        <v>0</v>
      </c>
      <c r="O32" s="17">
        <v>0</v>
      </c>
      <c r="P32" s="17">
        <v>0</v>
      </c>
      <c r="Q32" s="17">
        <f t="shared" si="3"/>
        <v>0</v>
      </c>
      <c r="R32" s="17">
        <v>0</v>
      </c>
      <c r="S32" s="17">
        <v>0</v>
      </c>
      <c r="T32" s="17">
        <v>0</v>
      </c>
      <c r="U32" s="17">
        <v>1329.4</v>
      </c>
      <c r="V32" s="17">
        <f t="shared" si="4"/>
        <v>1329.4</v>
      </c>
      <c r="W32" s="17">
        <v>0</v>
      </c>
      <c r="X32" s="17">
        <v>0</v>
      </c>
      <c r="Y32" s="17">
        <v>0</v>
      </c>
      <c r="Z32" s="17">
        <v>279.60000000000002</v>
      </c>
      <c r="AA32" s="17">
        <f t="shared" si="5"/>
        <v>279.60000000000002</v>
      </c>
      <c r="AB32" s="17">
        <v>0</v>
      </c>
      <c r="AC32" s="17">
        <v>0</v>
      </c>
      <c r="AD32" s="17">
        <v>0</v>
      </c>
      <c r="AE32" s="17">
        <v>0</v>
      </c>
      <c r="AF32" s="17">
        <f t="shared" si="6"/>
        <v>0</v>
      </c>
      <c r="AG32" s="17">
        <v>0</v>
      </c>
      <c r="AH32" s="17">
        <v>104.2</v>
      </c>
      <c r="AI32" s="17">
        <v>0</v>
      </c>
      <c r="AJ32" s="17">
        <v>0</v>
      </c>
      <c r="AK32" s="17">
        <f t="shared" si="7"/>
        <v>104.2</v>
      </c>
      <c r="AL32" s="17">
        <v>0</v>
      </c>
      <c r="AM32" s="17">
        <v>271.10000000000002</v>
      </c>
      <c r="AN32" s="17">
        <v>0</v>
      </c>
      <c r="AO32" s="17">
        <v>0</v>
      </c>
      <c r="AP32" s="17">
        <f t="shared" si="8"/>
        <v>271.10000000000002</v>
      </c>
      <c r="AQ32" s="7">
        <v>2308.6</v>
      </c>
      <c r="AR32" s="17">
        <v>7390.5</v>
      </c>
      <c r="AS32" s="17">
        <v>1613.2</v>
      </c>
      <c r="AT32" s="17">
        <v>0</v>
      </c>
      <c r="AU32" s="17">
        <f t="shared" si="9"/>
        <v>11312.300000000001</v>
      </c>
      <c r="AV32" s="7">
        <v>59839.9</v>
      </c>
      <c r="AW32" s="17">
        <v>10902.6</v>
      </c>
      <c r="AX32" s="17">
        <v>3172.6</v>
      </c>
      <c r="AY32" s="17">
        <v>3004.5</v>
      </c>
      <c r="AZ32" s="17">
        <f t="shared" si="10"/>
        <v>10403.6</v>
      </c>
      <c r="BA32" s="17">
        <f t="shared" si="11"/>
        <v>87323.200000000012</v>
      </c>
      <c r="BB32" s="17">
        <v>6644.9</v>
      </c>
      <c r="BC32" s="17">
        <v>159.69999999999999</v>
      </c>
      <c r="BD32" s="17">
        <v>0</v>
      </c>
      <c r="BE32" s="17">
        <v>6866.7</v>
      </c>
      <c r="BF32" s="17">
        <f t="shared" si="12"/>
        <v>13671.3</v>
      </c>
    </row>
    <row r="33" spans="1:58" ht="18.75" customHeight="1">
      <c r="A33" s="1">
        <v>1995</v>
      </c>
      <c r="B33" s="17">
        <v>41260.5</v>
      </c>
      <c r="C33" s="17">
        <v>23532.5</v>
      </c>
      <c r="D33" s="17">
        <v>5320</v>
      </c>
      <c r="E33" s="17">
        <v>13664.1</v>
      </c>
      <c r="F33" s="17">
        <v>14955.9</v>
      </c>
      <c r="G33" s="17">
        <f t="shared" si="1"/>
        <v>98733</v>
      </c>
      <c r="H33" s="17">
        <v>0</v>
      </c>
      <c r="I33" s="17">
        <v>0</v>
      </c>
      <c r="J33" s="17">
        <v>0</v>
      </c>
      <c r="K33" s="17">
        <v>0</v>
      </c>
      <c r="L33" s="17">
        <f t="shared" si="2"/>
        <v>0</v>
      </c>
      <c r="M33" s="17">
        <v>0</v>
      </c>
      <c r="N33" s="17">
        <v>0</v>
      </c>
      <c r="O33" s="17">
        <v>0</v>
      </c>
      <c r="P33" s="17">
        <v>0</v>
      </c>
      <c r="Q33" s="17">
        <f t="shared" si="3"/>
        <v>0</v>
      </c>
      <c r="R33" s="17">
        <v>0</v>
      </c>
      <c r="S33" s="17">
        <v>0</v>
      </c>
      <c r="T33" s="17">
        <v>0</v>
      </c>
      <c r="U33" s="17">
        <v>1468.3</v>
      </c>
      <c r="V33" s="17">
        <f t="shared" si="4"/>
        <v>1468.3</v>
      </c>
      <c r="W33" s="17">
        <v>0</v>
      </c>
      <c r="X33" s="17">
        <v>0</v>
      </c>
      <c r="Y33" s="17">
        <v>0</v>
      </c>
      <c r="Z33" s="17">
        <v>259.3</v>
      </c>
      <c r="AA33" s="17">
        <f t="shared" si="5"/>
        <v>259.3</v>
      </c>
      <c r="AB33" s="17">
        <v>0</v>
      </c>
      <c r="AC33" s="17">
        <v>0</v>
      </c>
      <c r="AD33" s="17">
        <v>0</v>
      </c>
      <c r="AE33" s="17">
        <v>0</v>
      </c>
      <c r="AF33" s="17">
        <f t="shared" si="6"/>
        <v>0</v>
      </c>
      <c r="AG33" s="17">
        <v>0</v>
      </c>
      <c r="AH33" s="17">
        <v>78.400000000000006</v>
      </c>
      <c r="AI33" s="17">
        <v>0</v>
      </c>
      <c r="AJ33" s="17">
        <v>0</v>
      </c>
      <c r="AK33" s="17">
        <f t="shared" si="7"/>
        <v>78.400000000000006</v>
      </c>
      <c r="AL33" s="17">
        <v>0</v>
      </c>
      <c r="AM33" s="17">
        <v>278.3</v>
      </c>
      <c r="AN33" s="17">
        <v>0</v>
      </c>
      <c r="AO33" s="17">
        <v>0</v>
      </c>
      <c r="AP33" s="17">
        <f t="shared" si="8"/>
        <v>278.3</v>
      </c>
      <c r="AQ33" s="7">
        <v>758.8</v>
      </c>
      <c r="AR33" s="17">
        <v>9650.1</v>
      </c>
      <c r="AS33" s="17">
        <v>2092.4</v>
      </c>
      <c r="AT33" s="17">
        <v>0</v>
      </c>
      <c r="AU33" s="17">
        <f t="shared" si="9"/>
        <v>12501.3</v>
      </c>
      <c r="AV33" s="7">
        <v>38294.9</v>
      </c>
      <c r="AW33" s="17">
        <v>13292.1</v>
      </c>
      <c r="AX33" s="17">
        <v>3227.6</v>
      </c>
      <c r="AY33" s="17">
        <v>2627.2</v>
      </c>
      <c r="AZ33" s="17">
        <f t="shared" si="10"/>
        <v>14955.9</v>
      </c>
      <c r="BA33" s="17">
        <f t="shared" si="11"/>
        <v>72397.7</v>
      </c>
      <c r="BB33" s="17">
        <v>2206.8000000000002</v>
      </c>
      <c r="BC33" s="17">
        <v>233.5</v>
      </c>
      <c r="BD33" s="17">
        <v>0</v>
      </c>
      <c r="BE33" s="17">
        <v>9309.2999999999993</v>
      </c>
      <c r="BF33" s="17">
        <f t="shared" si="12"/>
        <v>11749.599999999999</v>
      </c>
    </row>
    <row r="34" spans="1:58" ht="18.75" customHeight="1">
      <c r="A34" s="1">
        <v>1996</v>
      </c>
      <c r="B34" s="17">
        <v>62428.9</v>
      </c>
      <c r="C34" s="17">
        <v>31752.2</v>
      </c>
      <c r="D34" s="17">
        <v>4781.1000000000004</v>
      </c>
      <c r="E34" s="17">
        <v>15007.7</v>
      </c>
      <c r="F34" s="17">
        <v>21480.6</v>
      </c>
      <c r="G34" s="17">
        <f t="shared" si="1"/>
        <v>135450.5</v>
      </c>
      <c r="H34" s="17">
        <v>0</v>
      </c>
      <c r="I34" s="17">
        <v>0</v>
      </c>
      <c r="J34" s="17">
        <v>0</v>
      </c>
      <c r="K34" s="17">
        <v>0</v>
      </c>
      <c r="L34" s="17">
        <f t="shared" si="2"/>
        <v>0</v>
      </c>
      <c r="M34" s="17">
        <v>0</v>
      </c>
      <c r="N34" s="17">
        <v>0</v>
      </c>
      <c r="O34" s="17">
        <v>0</v>
      </c>
      <c r="P34" s="17">
        <v>0</v>
      </c>
      <c r="Q34" s="17">
        <f t="shared" si="3"/>
        <v>0</v>
      </c>
      <c r="R34" s="17">
        <v>0</v>
      </c>
      <c r="S34" s="17">
        <v>0</v>
      </c>
      <c r="T34" s="17">
        <v>0</v>
      </c>
      <c r="U34" s="17">
        <v>1233</v>
      </c>
      <c r="V34" s="17">
        <f t="shared" si="4"/>
        <v>1233</v>
      </c>
      <c r="W34" s="17">
        <v>0</v>
      </c>
      <c r="X34" s="17">
        <v>0</v>
      </c>
      <c r="Y34" s="17">
        <v>0</v>
      </c>
      <c r="Z34" s="17">
        <v>252.8</v>
      </c>
      <c r="AA34" s="17">
        <f t="shared" si="5"/>
        <v>252.8</v>
      </c>
      <c r="AB34" s="17">
        <v>0</v>
      </c>
      <c r="AC34" s="17">
        <v>0</v>
      </c>
      <c r="AD34" s="17">
        <v>0</v>
      </c>
      <c r="AE34" s="17">
        <v>0</v>
      </c>
      <c r="AF34" s="17">
        <f t="shared" si="6"/>
        <v>0</v>
      </c>
      <c r="AG34" s="17">
        <v>0</v>
      </c>
      <c r="AH34" s="17">
        <v>121.5</v>
      </c>
      <c r="AI34" s="17">
        <v>0</v>
      </c>
      <c r="AJ34" s="17">
        <v>0</v>
      </c>
      <c r="AK34" s="17">
        <f t="shared" si="7"/>
        <v>121.5</v>
      </c>
      <c r="AL34" s="17">
        <v>0</v>
      </c>
      <c r="AM34" s="17">
        <v>398.8</v>
      </c>
      <c r="AN34" s="17">
        <v>0</v>
      </c>
      <c r="AO34" s="17">
        <v>0</v>
      </c>
      <c r="AP34" s="17">
        <f t="shared" si="8"/>
        <v>398.8</v>
      </c>
      <c r="AQ34" s="7">
        <v>243.9</v>
      </c>
      <c r="AR34" s="17">
        <v>12474.2</v>
      </c>
      <c r="AS34" s="17">
        <v>1869</v>
      </c>
      <c r="AT34" s="17">
        <v>0</v>
      </c>
      <c r="AU34" s="17">
        <f t="shared" si="9"/>
        <v>14587.1</v>
      </c>
      <c r="AV34" s="7">
        <v>58985.5</v>
      </c>
      <c r="AW34" s="17">
        <v>17960.599999999999</v>
      </c>
      <c r="AX34" s="17">
        <v>2912.1</v>
      </c>
      <c r="AY34" s="17">
        <v>2852.7</v>
      </c>
      <c r="AZ34" s="17">
        <f t="shared" si="10"/>
        <v>21480.6</v>
      </c>
      <c r="BA34" s="17">
        <f t="shared" si="11"/>
        <v>104191.5</v>
      </c>
      <c r="BB34" s="17">
        <v>3199.5</v>
      </c>
      <c r="BC34" s="17">
        <v>797.1</v>
      </c>
      <c r="BD34" s="17">
        <v>0</v>
      </c>
      <c r="BE34" s="17">
        <v>10669.2</v>
      </c>
      <c r="BF34" s="17">
        <f t="shared" si="12"/>
        <v>14665.800000000001</v>
      </c>
    </row>
    <row r="35" spans="1:58" ht="18.75" customHeight="1">
      <c r="A35" s="1">
        <v>1997</v>
      </c>
      <c r="B35" s="17">
        <v>68479.899999999994</v>
      </c>
      <c r="C35" s="17">
        <v>19663.900000000001</v>
      </c>
      <c r="D35" s="17">
        <v>5003.1000000000004</v>
      </c>
      <c r="E35" s="17">
        <v>14240.7</v>
      </c>
      <c r="F35" s="17">
        <v>25897.5</v>
      </c>
      <c r="G35" s="17">
        <f t="shared" si="1"/>
        <v>133285.09999999998</v>
      </c>
      <c r="H35" s="17">
        <v>0</v>
      </c>
      <c r="I35" s="17">
        <v>0</v>
      </c>
      <c r="J35" s="17">
        <v>0</v>
      </c>
      <c r="K35" s="17">
        <v>0</v>
      </c>
      <c r="L35" s="17">
        <f t="shared" si="2"/>
        <v>0</v>
      </c>
      <c r="M35" s="17">
        <v>0</v>
      </c>
      <c r="N35" s="17">
        <v>0</v>
      </c>
      <c r="O35" s="17">
        <v>0</v>
      </c>
      <c r="P35" s="17">
        <v>0</v>
      </c>
      <c r="Q35" s="17">
        <f t="shared" si="3"/>
        <v>0</v>
      </c>
      <c r="R35" s="17">
        <v>0</v>
      </c>
      <c r="S35" s="17">
        <v>0</v>
      </c>
      <c r="T35" s="17">
        <v>0</v>
      </c>
      <c r="U35" s="17">
        <v>1377.6</v>
      </c>
      <c r="V35" s="17">
        <f t="shared" si="4"/>
        <v>1377.6</v>
      </c>
      <c r="W35" s="17">
        <v>0</v>
      </c>
      <c r="X35" s="17">
        <v>0</v>
      </c>
      <c r="Y35" s="17">
        <v>0</v>
      </c>
      <c r="Z35" s="17">
        <v>303</v>
      </c>
      <c r="AA35" s="17">
        <f t="shared" si="5"/>
        <v>303</v>
      </c>
      <c r="AB35" s="17">
        <v>0</v>
      </c>
      <c r="AC35" s="17">
        <v>0</v>
      </c>
      <c r="AD35" s="17">
        <v>0</v>
      </c>
      <c r="AE35" s="17">
        <v>0</v>
      </c>
      <c r="AF35" s="17">
        <f t="shared" si="6"/>
        <v>0</v>
      </c>
      <c r="AG35" s="17">
        <v>0</v>
      </c>
      <c r="AH35" s="17">
        <v>77.5</v>
      </c>
      <c r="AI35" s="17">
        <v>0</v>
      </c>
      <c r="AJ35" s="17">
        <v>0</v>
      </c>
      <c r="AK35" s="17">
        <f t="shared" si="7"/>
        <v>77.5</v>
      </c>
      <c r="AL35" s="17">
        <v>0</v>
      </c>
      <c r="AM35" s="17">
        <v>318.7</v>
      </c>
      <c r="AN35" s="17">
        <v>0</v>
      </c>
      <c r="AO35" s="17">
        <v>0</v>
      </c>
      <c r="AP35" s="17">
        <f t="shared" si="8"/>
        <v>318.7</v>
      </c>
      <c r="AQ35" s="7">
        <v>461.5</v>
      </c>
      <c r="AR35" s="17">
        <v>9270.2000000000007</v>
      </c>
      <c r="AS35" s="17">
        <v>2031</v>
      </c>
      <c r="AT35" s="17">
        <v>0</v>
      </c>
      <c r="AU35" s="17">
        <f t="shared" si="9"/>
        <v>11762.7</v>
      </c>
      <c r="AV35" s="7">
        <v>63857.5</v>
      </c>
      <c r="AW35" s="17">
        <v>9364.9</v>
      </c>
      <c r="AX35" s="17">
        <v>2972.1</v>
      </c>
      <c r="AY35" s="17">
        <v>1061.7</v>
      </c>
      <c r="AZ35" s="17">
        <f t="shared" si="10"/>
        <v>25897.5</v>
      </c>
      <c r="BA35" s="17">
        <f t="shared" si="11"/>
        <v>103153.7</v>
      </c>
      <c r="BB35" s="17">
        <v>4161</v>
      </c>
      <c r="BC35" s="17">
        <v>632.5</v>
      </c>
      <c r="BD35" s="17">
        <v>0</v>
      </c>
      <c r="BE35" s="17">
        <v>11498.4</v>
      </c>
      <c r="BF35" s="17">
        <f t="shared" si="12"/>
        <v>16291.9</v>
      </c>
    </row>
    <row r="36" spans="1:58" ht="18.75" customHeight="1">
      <c r="A36" s="1">
        <v>1998</v>
      </c>
      <c r="B36" s="17">
        <v>49838.1</v>
      </c>
      <c r="C36" s="17">
        <v>314.60000000000002</v>
      </c>
      <c r="D36" s="17">
        <v>5133.1000000000004</v>
      </c>
      <c r="E36" s="17">
        <v>13829</v>
      </c>
      <c r="F36" s="17">
        <v>20100.7</v>
      </c>
      <c r="G36" s="17">
        <f t="shared" si="1"/>
        <v>89215.499999999985</v>
      </c>
      <c r="H36" s="17">
        <v>0</v>
      </c>
      <c r="I36" s="17">
        <v>1509.5</v>
      </c>
      <c r="J36" s="119">
        <v>0</v>
      </c>
      <c r="K36" s="119">
        <v>0</v>
      </c>
      <c r="L36" s="17">
        <f>SUM(H36:K36)</f>
        <v>1509.5</v>
      </c>
      <c r="M36" s="17">
        <v>0</v>
      </c>
      <c r="N36" s="119">
        <v>0</v>
      </c>
      <c r="O36" s="119">
        <v>0</v>
      </c>
      <c r="P36" s="119">
        <v>0</v>
      </c>
      <c r="Q36" s="119">
        <f t="shared" si="3"/>
        <v>0</v>
      </c>
      <c r="R36" s="17">
        <v>0</v>
      </c>
      <c r="S36" s="119">
        <v>0</v>
      </c>
      <c r="T36" s="119">
        <v>0</v>
      </c>
      <c r="U36" s="17">
        <v>1396.3</v>
      </c>
      <c r="V36" s="119">
        <f t="shared" si="4"/>
        <v>1396.3</v>
      </c>
      <c r="W36" s="17">
        <v>0</v>
      </c>
      <c r="X36" s="119">
        <v>0</v>
      </c>
      <c r="Y36" s="119">
        <v>0</v>
      </c>
      <c r="Z36" s="17">
        <v>324.60000000000002</v>
      </c>
      <c r="AA36" s="119">
        <f t="shared" si="5"/>
        <v>324.60000000000002</v>
      </c>
      <c r="AB36" s="17">
        <v>0</v>
      </c>
      <c r="AC36" s="119">
        <v>0</v>
      </c>
      <c r="AD36" s="119">
        <v>0</v>
      </c>
      <c r="AE36" s="119">
        <v>0</v>
      </c>
      <c r="AF36" s="119">
        <f t="shared" si="6"/>
        <v>0</v>
      </c>
      <c r="AG36" s="17">
        <v>0</v>
      </c>
      <c r="AH36" s="17">
        <v>0</v>
      </c>
      <c r="AI36" s="119">
        <v>0</v>
      </c>
      <c r="AJ36" s="119">
        <v>0</v>
      </c>
      <c r="AK36" s="17">
        <f t="shared" si="7"/>
        <v>0</v>
      </c>
      <c r="AL36" s="17">
        <v>0</v>
      </c>
      <c r="AM36" s="17">
        <v>102.7</v>
      </c>
      <c r="AN36" s="119">
        <v>0</v>
      </c>
      <c r="AO36" s="119">
        <v>0</v>
      </c>
      <c r="AP36" s="17">
        <f t="shared" si="8"/>
        <v>102.7</v>
      </c>
      <c r="AQ36" s="7">
        <v>22.9</v>
      </c>
      <c r="AR36" s="17">
        <v>3522.2</v>
      </c>
      <c r="AS36" s="17">
        <v>1966.2</v>
      </c>
      <c r="AT36" s="119">
        <v>0</v>
      </c>
      <c r="AU36" s="17">
        <f t="shared" si="9"/>
        <v>5511.3</v>
      </c>
      <c r="AV36" s="7">
        <v>46830.6</v>
      </c>
      <c r="AW36" s="17">
        <v>-4662.3999999999996</v>
      </c>
      <c r="AX36" s="17">
        <v>3166.9</v>
      </c>
      <c r="AY36" s="17">
        <v>1585.2</v>
      </c>
      <c r="AZ36" s="17">
        <f t="shared" si="10"/>
        <v>20100.7</v>
      </c>
      <c r="BA36" s="17">
        <f t="shared" si="11"/>
        <v>67021</v>
      </c>
      <c r="BB36" s="17">
        <v>2984.7</v>
      </c>
      <c r="BC36" s="17">
        <v>-157.4</v>
      </c>
      <c r="BD36" s="119">
        <v>0</v>
      </c>
      <c r="BE36" s="17">
        <v>10522.9</v>
      </c>
      <c r="BF36" s="17">
        <f t="shared" si="12"/>
        <v>13350.199999999999</v>
      </c>
    </row>
    <row r="37" spans="1:58" ht="18.75" customHeight="1">
      <c r="A37" s="1">
        <v>1999</v>
      </c>
      <c r="B37" s="17">
        <v>76394.3</v>
      </c>
      <c r="C37" s="17">
        <v>26886.7</v>
      </c>
      <c r="D37" s="17">
        <v>4940.3</v>
      </c>
      <c r="E37" s="17">
        <v>8875</v>
      </c>
      <c r="F37" s="17">
        <v>52860.4</v>
      </c>
      <c r="G37" s="17">
        <f t="shared" si="1"/>
        <v>169956.7</v>
      </c>
      <c r="H37" s="17">
        <v>0</v>
      </c>
      <c r="I37" s="17">
        <v>7313.1</v>
      </c>
      <c r="J37" s="119">
        <v>0</v>
      </c>
      <c r="K37" s="119">
        <v>0</v>
      </c>
      <c r="L37" s="17">
        <f t="shared" si="2"/>
        <v>7313.1</v>
      </c>
      <c r="M37" s="17">
        <v>0</v>
      </c>
      <c r="N37" s="119">
        <v>0</v>
      </c>
      <c r="O37" s="119">
        <v>0</v>
      </c>
      <c r="P37" s="119">
        <v>0</v>
      </c>
      <c r="Q37" s="119">
        <f t="shared" si="3"/>
        <v>0</v>
      </c>
      <c r="R37" s="17">
        <v>0</v>
      </c>
      <c r="S37" s="119">
        <v>0</v>
      </c>
      <c r="T37" s="119">
        <v>0</v>
      </c>
      <c r="U37" s="17">
        <v>0</v>
      </c>
      <c r="V37" s="119">
        <f t="shared" si="4"/>
        <v>0</v>
      </c>
      <c r="W37" s="17">
        <v>0</v>
      </c>
      <c r="X37" s="119">
        <v>0</v>
      </c>
      <c r="Y37" s="119">
        <v>0</v>
      </c>
      <c r="Z37" s="17">
        <v>328.7</v>
      </c>
      <c r="AA37" s="119">
        <f t="shared" si="5"/>
        <v>328.7</v>
      </c>
      <c r="AB37" s="17">
        <v>0</v>
      </c>
      <c r="AC37" s="119">
        <v>0</v>
      </c>
      <c r="AD37" s="119">
        <v>0</v>
      </c>
      <c r="AE37" s="119">
        <v>0</v>
      </c>
      <c r="AF37" s="119">
        <f t="shared" si="6"/>
        <v>0</v>
      </c>
      <c r="AG37" s="17">
        <v>159</v>
      </c>
      <c r="AH37" s="17">
        <v>81.5</v>
      </c>
      <c r="AI37" s="119">
        <v>0</v>
      </c>
      <c r="AJ37" s="119">
        <v>0</v>
      </c>
      <c r="AK37" s="17">
        <f t="shared" si="7"/>
        <v>240.5</v>
      </c>
      <c r="AL37" s="17">
        <v>0</v>
      </c>
      <c r="AM37" s="17">
        <v>299.39999999999998</v>
      </c>
      <c r="AN37" s="119">
        <v>0</v>
      </c>
      <c r="AO37" s="119">
        <v>0</v>
      </c>
      <c r="AP37" s="17">
        <f t="shared" si="8"/>
        <v>299.39999999999998</v>
      </c>
      <c r="AQ37" s="7">
        <v>1770.8</v>
      </c>
      <c r="AR37" s="17">
        <v>10670.5</v>
      </c>
      <c r="AS37" s="17">
        <v>1879</v>
      </c>
      <c r="AT37" s="119">
        <v>0</v>
      </c>
      <c r="AU37" s="17">
        <f t="shared" si="9"/>
        <v>14320.3</v>
      </c>
      <c r="AV37" s="7">
        <v>67610.399999999994</v>
      </c>
      <c r="AW37" s="17">
        <v>7616.6</v>
      </c>
      <c r="AX37" s="17">
        <v>3061.3</v>
      </c>
      <c r="AY37" s="17">
        <v>1621.9</v>
      </c>
      <c r="AZ37" s="17">
        <f t="shared" si="10"/>
        <v>52860.4</v>
      </c>
      <c r="BA37" s="17">
        <f t="shared" si="11"/>
        <v>132770.6</v>
      </c>
      <c r="BB37" s="17">
        <v>6854</v>
      </c>
      <c r="BC37" s="17">
        <v>905.6</v>
      </c>
      <c r="BD37" s="119">
        <v>0</v>
      </c>
      <c r="BE37" s="17">
        <v>6924.4</v>
      </c>
      <c r="BF37" s="17">
        <f t="shared" si="12"/>
        <v>14684</v>
      </c>
    </row>
    <row r="38" spans="1:58" ht="18.75" customHeight="1">
      <c r="A38" s="1">
        <v>2000</v>
      </c>
      <c r="B38" s="17">
        <v>196951.7</v>
      </c>
      <c r="C38" s="17">
        <v>74457.399999999994</v>
      </c>
      <c r="D38" s="17">
        <v>5140.7</v>
      </c>
      <c r="E38" s="315">
        <v>8953.9</v>
      </c>
      <c r="F38" s="17">
        <v>90469.1</v>
      </c>
      <c r="G38" s="17">
        <f t="shared" si="1"/>
        <v>375972.80000000005</v>
      </c>
      <c r="H38" s="17">
        <v>0</v>
      </c>
      <c r="I38" s="17">
        <v>20747.7</v>
      </c>
      <c r="J38" s="119">
        <v>0</v>
      </c>
      <c r="K38" s="119">
        <v>0</v>
      </c>
      <c r="L38" s="17">
        <f t="shared" si="2"/>
        <v>20747.7</v>
      </c>
      <c r="M38" s="17">
        <v>0</v>
      </c>
      <c r="N38" s="119">
        <v>0</v>
      </c>
      <c r="O38" s="119">
        <v>0</v>
      </c>
      <c r="P38" s="119">
        <v>0</v>
      </c>
      <c r="Q38" s="119">
        <f t="shared" si="3"/>
        <v>0</v>
      </c>
      <c r="R38" s="17">
        <v>6477.4</v>
      </c>
      <c r="S38" s="119">
        <v>0</v>
      </c>
      <c r="T38" s="119">
        <v>0</v>
      </c>
      <c r="U38" s="314">
        <v>507.9</v>
      </c>
      <c r="V38" s="119">
        <f t="shared" si="4"/>
        <v>6985.2999999999993</v>
      </c>
      <c r="W38" s="17">
        <v>0</v>
      </c>
      <c r="X38" s="119">
        <v>0</v>
      </c>
      <c r="Y38" s="119">
        <v>0</v>
      </c>
      <c r="Z38" s="314">
        <v>304.5</v>
      </c>
      <c r="AA38" s="119">
        <f t="shared" si="5"/>
        <v>304.5</v>
      </c>
      <c r="AB38" s="17">
        <v>0</v>
      </c>
      <c r="AC38" s="119">
        <v>0</v>
      </c>
      <c r="AD38" s="119">
        <v>0</v>
      </c>
      <c r="AE38" s="119">
        <v>0</v>
      </c>
      <c r="AF38" s="119">
        <f t="shared" si="6"/>
        <v>0</v>
      </c>
      <c r="AG38" s="17">
        <v>533.70000000000005</v>
      </c>
      <c r="AH38" s="17">
        <v>215.2</v>
      </c>
      <c r="AI38" s="119">
        <v>0</v>
      </c>
      <c r="AJ38" s="119">
        <v>0</v>
      </c>
      <c r="AK38" s="17">
        <f t="shared" si="7"/>
        <v>748.90000000000009</v>
      </c>
      <c r="AL38" s="17">
        <v>0</v>
      </c>
      <c r="AM38" s="17">
        <v>693.1</v>
      </c>
      <c r="AN38" s="119">
        <v>0</v>
      </c>
      <c r="AO38" s="119">
        <v>0</v>
      </c>
      <c r="AP38" s="17">
        <f t="shared" si="8"/>
        <v>693.1</v>
      </c>
      <c r="AQ38" s="7">
        <v>5626.3</v>
      </c>
      <c r="AR38" s="17">
        <v>21706.3</v>
      </c>
      <c r="AS38" s="17">
        <v>1615.2</v>
      </c>
      <c r="AT38" s="119">
        <v>0</v>
      </c>
      <c r="AU38" s="17">
        <f t="shared" si="9"/>
        <v>28947.8</v>
      </c>
      <c r="AV38" s="7">
        <v>155345.20000000001</v>
      </c>
      <c r="AW38" s="17">
        <v>27996.7</v>
      </c>
      <c r="AX38" s="17">
        <v>3525.5</v>
      </c>
      <c r="AY38" s="315">
        <v>1660.6</v>
      </c>
      <c r="AZ38" s="17">
        <f t="shared" si="10"/>
        <v>90469.1</v>
      </c>
      <c r="BA38" s="17">
        <f t="shared" si="11"/>
        <v>278997.10000000003</v>
      </c>
      <c r="BB38" s="17">
        <v>28969.1</v>
      </c>
      <c r="BC38" s="17">
        <v>3098.5</v>
      </c>
      <c r="BD38" s="119">
        <v>0</v>
      </c>
      <c r="BE38" s="315">
        <v>6480.9</v>
      </c>
      <c r="BF38" s="17">
        <f t="shared" si="12"/>
        <v>38548.5</v>
      </c>
    </row>
    <row r="39" spans="1:58" ht="18.75" customHeight="1">
      <c r="A39" s="1">
        <v>2001</v>
      </c>
      <c r="B39" s="17">
        <v>196836.3</v>
      </c>
      <c r="C39" s="17">
        <v>46352.2</v>
      </c>
      <c r="D39" s="17">
        <v>4300.7</v>
      </c>
      <c r="E39" s="315">
        <v>12721.1</v>
      </c>
      <c r="F39" s="17">
        <v>67089.3</v>
      </c>
      <c r="G39" s="17">
        <f t="shared" si="1"/>
        <v>327299.60000000003</v>
      </c>
      <c r="H39" s="17">
        <v>0</v>
      </c>
      <c r="I39" s="17">
        <v>17029.7</v>
      </c>
      <c r="J39" s="119">
        <v>0</v>
      </c>
      <c r="K39" s="119">
        <v>0</v>
      </c>
      <c r="L39" s="17">
        <f t="shared" si="2"/>
        <v>17029.7</v>
      </c>
      <c r="M39" s="17">
        <v>0</v>
      </c>
      <c r="N39" s="119">
        <v>0</v>
      </c>
      <c r="O39" s="119">
        <v>0</v>
      </c>
      <c r="P39" s="119">
        <v>0</v>
      </c>
      <c r="Q39" s="119">
        <f t="shared" si="3"/>
        <v>0</v>
      </c>
      <c r="R39" s="17">
        <v>4724.5</v>
      </c>
      <c r="S39" s="119">
        <v>0</v>
      </c>
      <c r="T39" s="119">
        <v>0</v>
      </c>
      <c r="U39" s="314">
        <v>325.60000000000002</v>
      </c>
      <c r="V39" s="119">
        <f t="shared" si="4"/>
        <v>5050.1000000000004</v>
      </c>
      <c r="W39" s="17">
        <v>0</v>
      </c>
      <c r="X39" s="119">
        <v>0</v>
      </c>
      <c r="Y39" s="119">
        <v>0</v>
      </c>
      <c r="Z39" s="314">
        <v>228.9</v>
      </c>
      <c r="AA39" s="119">
        <f t="shared" si="5"/>
        <v>228.9</v>
      </c>
      <c r="AB39" s="17">
        <v>0</v>
      </c>
      <c r="AC39" s="119">
        <v>0</v>
      </c>
      <c r="AD39" s="119">
        <v>0</v>
      </c>
      <c r="AE39" s="119">
        <v>0</v>
      </c>
      <c r="AF39" s="119">
        <f t="shared" si="6"/>
        <v>0</v>
      </c>
      <c r="AG39" s="17">
        <v>608.9</v>
      </c>
      <c r="AH39" s="17">
        <v>143.30000000000001</v>
      </c>
      <c r="AI39" s="119">
        <v>0</v>
      </c>
      <c r="AJ39" s="119">
        <v>0</v>
      </c>
      <c r="AK39" s="17">
        <f t="shared" si="7"/>
        <v>752.2</v>
      </c>
      <c r="AL39" s="17">
        <v>0</v>
      </c>
      <c r="AM39" s="17">
        <v>405.7</v>
      </c>
      <c r="AN39" s="119">
        <v>0</v>
      </c>
      <c r="AO39" s="119">
        <v>0</v>
      </c>
      <c r="AP39" s="17">
        <f t="shared" si="8"/>
        <v>405.7</v>
      </c>
      <c r="AQ39" s="7">
        <v>6934.9</v>
      </c>
      <c r="AR39" s="17">
        <v>13270.8</v>
      </c>
      <c r="AS39" s="17">
        <v>1674.5</v>
      </c>
      <c r="AT39" s="119">
        <v>0</v>
      </c>
      <c r="AU39" s="17">
        <f t="shared" si="9"/>
        <v>21880.199999999997</v>
      </c>
      <c r="AV39" s="7">
        <v>154444.20000000001</v>
      </c>
      <c r="AW39" s="17">
        <v>13964.2</v>
      </c>
      <c r="AX39" s="17">
        <v>2626.2</v>
      </c>
      <c r="AY39" s="315">
        <v>1425.8</v>
      </c>
      <c r="AZ39" s="17">
        <f t="shared" si="10"/>
        <v>67089.3</v>
      </c>
      <c r="BA39" s="17">
        <f t="shared" si="11"/>
        <v>239549.7</v>
      </c>
      <c r="BB39" s="17">
        <v>30123.8</v>
      </c>
      <c r="BC39" s="17">
        <v>1538.5</v>
      </c>
      <c r="BD39" s="119">
        <v>0</v>
      </c>
      <c r="BE39" s="315">
        <v>10740.8</v>
      </c>
      <c r="BF39" s="17">
        <f t="shared" si="12"/>
        <v>42403.1</v>
      </c>
    </row>
    <row r="40" spans="1:58" ht="18.75" customHeight="1">
      <c r="A40" s="1">
        <v>2002</v>
      </c>
      <c r="B40" s="17">
        <v>114742.39999999999</v>
      </c>
      <c r="C40" s="17">
        <v>54904.800000000003</v>
      </c>
      <c r="D40" s="17">
        <v>5100.8999999999996</v>
      </c>
      <c r="E40" s="315">
        <v>13246.6</v>
      </c>
      <c r="F40" s="17">
        <v>119081.4</v>
      </c>
      <c r="G40" s="17">
        <f t="shared" si="1"/>
        <v>307076.09999999998</v>
      </c>
      <c r="H40" s="17">
        <v>0</v>
      </c>
      <c r="I40" s="17">
        <v>18201.5</v>
      </c>
      <c r="J40" s="119">
        <v>0</v>
      </c>
      <c r="K40" s="119">
        <v>0</v>
      </c>
      <c r="L40" s="17">
        <f t="shared" ref="L40:L46" si="13">SUM(H40:K40)</f>
        <v>18201.5</v>
      </c>
      <c r="M40" s="17">
        <v>0</v>
      </c>
      <c r="N40" s="119">
        <v>0</v>
      </c>
      <c r="O40" s="119">
        <v>0</v>
      </c>
      <c r="P40" s="119">
        <v>0</v>
      </c>
      <c r="Q40" s="119">
        <f>SUM(M40:P40)</f>
        <v>0</v>
      </c>
      <c r="R40" s="17">
        <v>2421</v>
      </c>
      <c r="S40" s="119">
        <v>0</v>
      </c>
      <c r="T40" s="119">
        <v>0</v>
      </c>
      <c r="U40" s="314">
        <v>246.9</v>
      </c>
      <c r="V40" s="119">
        <f t="shared" ref="V40:V46" si="14">SUM(R40:U40)</f>
        <v>2667.9</v>
      </c>
      <c r="W40" s="17">
        <v>0</v>
      </c>
      <c r="X40" s="119">
        <v>0</v>
      </c>
      <c r="Y40" s="119">
        <v>0</v>
      </c>
      <c r="Z40" s="314">
        <v>300.7</v>
      </c>
      <c r="AA40" s="119">
        <f t="shared" ref="AA40:AA46" si="15">SUM(W40:Z40)</f>
        <v>300.7</v>
      </c>
      <c r="AB40" s="17">
        <v>0</v>
      </c>
      <c r="AC40" s="119">
        <v>0</v>
      </c>
      <c r="AD40" s="119">
        <v>0</v>
      </c>
      <c r="AE40" s="119">
        <v>0</v>
      </c>
      <c r="AF40" s="119">
        <f>SUM(AB40:AE40)</f>
        <v>0</v>
      </c>
      <c r="AG40" s="17">
        <v>147</v>
      </c>
      <c r="AH40" s="17">
        <v>77.400000000000006</v>
      </c>
      <c r="AI40" s="119">
        <v>0</v>
      </c>
      <c r="AJ40" s="119">
        <v>0</v>
      </c>
      <c r="AK40" s="17">
        <f t="shared" ref="AK40:AK46" si="16">SUM(AG40:AJ40)</f>
        <v>224.4</v>
      </c>
      <c r="AL40" s="17">
        <v>0</v>
      </c>
      <c r="AM40" s="17">
        <v>342.7</v>
      </c>
      <c r="AN40" s="119">
        <v>0</v>
      </c>
      <c r="AO40" s="119">
        <v>0</v>
      </c>
      <c r="AP40" s="17">
        <f t="shared" ref="AP40:AP46" si="17">SUM(AL40:AO40)</f>
        <v>342.7</v>
      </c>
      <c r="AQ40" s="7">
        <v>2028</v>
      </c>
      <c r="AR40" s="17">
        <v>18245.3</v>
      </c>
      <c r="AS40" s="17">
        <v>1778.5</v>
      </c>
      <c r="AT40" s="119">
        <v>0</v>
      </c>
      <c r="AU40" s="17">
        <f t="shared" ref="AU40:AU44" si="18">SUM(AQ40:AT40)</f>
        <v>22051.8</v>
      </c>
      <c r="AV40" s="7">
        <v>94221.9</v>
      </c>
      <c r="AW40" s="17">
        <v>16849.099999999999</v>
      </c>
      <c r="AX40" s="17">
        <v>3289.7</v>
      </c>
      <c r="AY40" s="315">
        <v>662.1</v>
      </c>
      <c r="AZ40" s="17">
        <f t="shared" si="10"/>
        <v>119081.4</v>
      </c>
      <c r="BA40" s="17">
        <f t="shared" si="11"/>
        <v>234104.2</v>
      </c>
      <c r="BB40" s="17">
        <v>15924.6</v>
      </c>
      <c r="BC40" s="17">
        <v>1188.8</v>
      </c>
      <c r="BD40" s="119">
        <v>0</v>
      </c>
      <c r="BE40" s="315">
        <v>12036.9</v>
      </c>
      <c r="BF40" s="17">
        <f t="shared" ref="BF40:BF46" si="19">SUM(BB40:BE40)</f>
        <v>29150.300000000003</v>
      </c>
    </row>
    <row r="41" spans="1:58" ht="18.75" customHeight="1">
      <c r="A41" s="1">
        <v>2003</v>
      </c>
      <c r="B41" s="17">
        <v>204959.3</v>
      </c>
      <c r="C41" s="17">
        <v>57617.3</v>
      </c>
      <c r="D41" s="17">
        <v>4812.8999999999996</v>
      </c>
      <c r="E41" s="315">
        <v>11571.4</v>
      </c>
      <c r="F41" s="17">
        <v>116213.9</v>
      </c>
      <c r="G41" s="17">
        <f t="shared" si="1"/>
        <v>395174.80000000005</v>
      </c>
      <c r="H41" s="17">
        <v>0</v>
      </c>
      <c r="I41" s="17">
        <v>17443.599999999999</v>
      </c>
      <c r="J41" s="119">
        <v>0</v>
      </c>
      <c r="K41" s="119">
        <v>0</v>
      </c>
      <c r="L41" s="17">
        <f t="shared" si="13"/>
        <v>17443.599999999999</v>
      </c>
      <c r="M41" s="17">
        <v>0</v>
      </c>
      <c r="N41" s="119">
        <v>0</v>
      </c>
      <c r="O41" s="119">
        <v>0</v>
      </c>
      <c r="P41" s="119">
        <v>0</v>
      </c>
      <c r="Q41" s="119">
        <f>SUM(M41:P41)</f>
        <v>0</v>
      </c>
      <c r="R41" s="17">
        <v>778.4</v>
      </c>
      <c r="S41" s="119">
        <v>0</v>
      </c>
      <c r="T41" s="119">
        <v>0</v>
      </c>
      <c r="U41" s="119">
        <f>U40</f>
        <v>246.9</v>
      </c>
      <c r="V41" s="119">
        <f t="shared" si="14"/>
        <v>1025.3</v>
      </c>
      <c r="W41" s="17">
        <v>0</v>
      </c>
      <c r="X41" s="119">
        <v>0</v>
      </c>
      <c r="Y41" s="119">
        <v>0</v>
      </c>
      <c r="Z41" s="119">
        <f t="shared" ref="Z41:Z48" si="20">Z40</f>
        <v>300.7</v>
      </c>
      <c r="AA41" s="119">
        <f t="shared" si="15"/>
        <v>300.7</v>
      </c>
      <c r="AB41" s="17">
        <v>0</v>
      </c>
      <c r="AC41" s="119">
        <v>0</v>
      </c>
      <c r="AD41" s="119">
        <v>0</v>
      </c>
      <c r="AE41" s="119">
        <v>0</v>
      </c>
      <c r="AF41" s="119">
        <f>SUM(AB41:AE41)</f>
        <v>0</v>
      </c>
      <c r="AG41" s="17">
        <v>475.5</v>
      </c>
      <c r="AH41" s="17">
        <v>112</v>
      </c>
      <c r="AI41" s="119">
        <v>0</v>
      </c>
      <c r="AJ41" s="119">
        <v>0</v>
      </c>
      <c r="AK41" s="119">
        <f t="shared" si="16"/>
        <v>587.5</v>
      </c>
      <c r="AL41" s="17">
        <v>0</v>
      </c>
      <c r="AM41" s="17">
        <v>571.4</v>
      </c>
      <c r="AN41" s="119">
        <v>0</v>
      </c>
      <c r="AO41" s="119">
        <v>0</v>
      </c>
      <c r="AP41" s="119">
        <f t="shared" si="17"/>
        <v>571.4</v>
      </c>
      <c r="AQ41" s="7">
        <v>7070.1</v>
      </c>
      <c r="AR41" s="17">
        <v>19701.8</v>
      </c>
      <c r="AS41" s="119">
        <f t="shared" ref="AS41:AS48" si="21">AS40</f>
        <v>1778.5</v>
      </c>
      <c r="AT41" s="119">
        <v>0</v>
      </c>
      <c r="AU41" s="119">
        <f t="shared" si="18"/>
        <v>28550.400000000001</v>
      </c>
      <c r="AV41" s="7">
        <v>163913.9</v>
      </c>
      <c r="AW41" s="17">
        <v>17982.5</v>
      </c>
      <c r="AX41" s="119">
        <f t="shared" ref="AX41:AY48" si="22">AX40</f>
        <v>3289.7</v>
      </c>
      <c r="AY41" s="119">
        <f>AY40</f>
        <v>662.1</v>
      </c>
      <c r="AZ41" s="17">
        <f t="shared" si="10"/>
        <v>116213.9</v>
      </c>
      <c r="BA41" s="17">
        <f t="shared" si="11"/>
        <v>302062.09999999998</v>
      </c>
      <c r="BB41" s="17">
        <v>32721.3</v>
      </c>
      <c r="BC41" s="17">
        <v>1806.1</v>
      </c>
      <c r="BD41" s="119">
        <v>0</v>
      </c>
      <c r="BE41" s="119">
        <f t="shared" ref="BE41:BE48" si="23">BE40</f>
        <v>12036.9</v>
      </c>
      <c r="BF41" s="17">
        <f t="shared" si="19"/>
        <v>46564.3</v>
      </c>
    </row>
    <row r="42" spans="1:58" ht="18.75" customHeight="1">
      <c r="A42" s="1">
        <v>2004</v>
      </c>
      <c r="B42" s="17">
        <v>200150.3</v>
      </c>
      <c r="C42" s="17">
        <v>77819</v>
      </c>
      <c r="D42" s="17">
        <v>5644.7</v>
      </c>
      <c r="E42" s="315">
        <v>14650.9</v>
      </c>
      <c r="F42" s="17">
        <v>154344.29999999999</v>
      </c>
      <c r="G42" s="17">
        <f t="shared" si="1"/>
        <v>452609.2</v>
      </c>
      <c r="H42" s="17">
        <v>0</v>
      </c>
      <c r="I42" s="17">
        <v>26306.1</v>
      </c>
      <c r="J42" s="119">
        <v>0</v>
      </c>
      <c r="K42" s="119">
        <v>0</v>
      </c>
      <c r="L42" s="17">
        <f t="shared" si="13"/>
        <v>26306.1</v>
      </c>
      <c r="M42" s="17">
        <v>0</v>
      </c>
      <c r="N42" s="119">
        <v>0</v>
      </c>
      <c r="O42" s="119">
        <v>0</v>
      </c>
      <c r="P42" s="119">
        <v>0</v>
      </c>
      <c r="Q42" s="119">
        <f>SUM(M42:P42)</f>
        <v>0</v>
      </c>
      <c r="R42" s="17">
        <v>0</v>
      </c>
      <c r="S42" s="119">
        <v>0</v>
      </c>
      <c r="T42" s="119">
        <v>0</v>
      </c>
      <c r="U42" s="119">
        <f t="shared" ref="U42:U48" si="24">U41</f>
        <v>246.9</v>
      </c>
      <c r="V42" s="119">
        <f t="shared" si="14"/>
        <v>246.9</v>
      </c>
      <c r="W42" s="17">
        <v>0</v>
      </c>
      <c r="X42" s="119">
        <v>0</v>
      </c>
      <c r="Y42" s="119">
        <v>0</v>
      </c>
      <c r="Z42" s="119">
        <f t="shared" si="20"/>
        <v>300.7</v>
      </c>
      <c r="AA42" s="119">
        <f t="shared" si="15"/>
        <v>300.7</v>
      </c>
      <c r="AB42" s="17">
        <v>0</v>
      </c>
      <c r="AC42" s="119">
        <v>0</v>
      </c>
      <c r="AD42" s="119">
        <v>0</v>
      </c>
      <c r="AE42" s="119">
        <v>0</v>
      </c>
      <c r="AF42" s="119">
        <f>SUM(AB42:AE42)</f>
        <v>0</v>
      </c>
      <c r="AG42" s="17">
        <v>739.9</v>
      </c>
      <c r="AH42" s="17">
        <v>277.39999999999998</v>
      </c>
      <c r="AI42" s="119">
        <v>0</v>
      </c>
      <c r="AJ42" s="119">
        <v>0</v>
      </c>
      <c r="AK42" s="119">
        <f t="shared" si="16"/>
        <v>1017.3</v>
      </c>
      <c r="AL42" s="17">
        <v>0</v>
      </c>
      <c r="AM42" s="17">
        <v>556.79999999999995</v>
      </c>
      <c r="AN42" s="119">
        <v>0</v>
      </c>
      <c r="AO42" s="119">
        <v>0</v>
      </c>
      <c r="AP42" s="119">
        <f t="shared" si="17"/>
        <v>556.79999999999995</v>
      </c>
      <c r="AQ42" s="17">
        <v>7083.4</v>
      </c>
      <c r="AR42" s="17">
        <v>23292</v>
      </c>
      <c r="AS42" s="119">
        <f t="shared" si="21"/>
        <v>1778.5</v>
      </c>
      <c r="AT42" s="119">
        <v>0</v>
      </c>
      <c r="AU42" s="119">
        <f t="shared" si="18"/>
        <v>32153.9</v>
      </c>
      <c r="AV42" s="17">
        <v>159334.20000000001</v>
      </c>
      <c r="AW42" s="17">
        <v>24980.400000000001</v>
      </c>
      <c r="AX42" s="119">
        <f t="shared" si="22"/>
        <v>3289.7</v>
      </c>
      <c r="AY42" s="119">
        <f t="shared" si="22"/>
        <v>662.1</v>
      </c>
      <c r="AZ42" s="17">
        <f t="shared" si="10"/>
        <v>154344.29999999999</v>
      </c>
      <c r="BA42" s="17">
        <f t="shared" si="11"/>
        <v>342610.7</v>
      </c>
      <c r="BB42" s="17">
        <v>32992.800000000003</v>
      </c>
      <c r="BC42" s="17">
        <v>2406.3000000000002</v>
      </c>
      <c r="BD42" s="119">
        <v>0</v>
      </c>
      <c r="BE42" s="119">
        <f t="shared" si="23"/>
        <v>12036.9</v>
      </c>
      <c r="BF42" s="17">
        <f t="shared" si="19"/>
        <v>47436.000000000007</v>
      </c>
    </row>
    <row r="43" spans="1:58" ht="18.75" customHeight="1">
      <c r="A43" s="1">
        <v>2005</v>
      </c>
      <c r="B43" s="17">
        <v>301019.7</v>
      </c>
      <c r="C43" s="17">
        <v>143242.20000000001</v>
      </c>
      <c r="D43" s="17">
        <v>2401.3000000000002</v>
      </c>
      <c r="E43" s="315">
        <v>41485.1</v>
      </c>
      <c r="F43" s="17">
        <v>169367.4</v>
      </c>
      <c r="G43" s="17">
        <f t="shared" si="1"/>
        <v>657515.69999999995</v>
      </c>
      <c r="H43" s="17">
        <v>0</v>
      </c>
      <c r="I43" s="17">
        <v>67742</v>
      </c>
      <c r="J43" s="119">
        <v>0</v>
      </c>
      <c r="K43" s="119">
        <v>0</v>
      </c>
      <c r="L43" s="17">
        <f t="shared" si="13"/>
        <v>67742</v>
      </c>
      <c r="M43" s="17">
        <v>0</v>
      </c>
      <c r="N43" s="119">
        <v>0</v>
      </c>
      <c r="O43" s="119">
        <v>0</v>
      </c>
      <c r="P43" s="119">
        <v>0</v>
      </c>
      <c r="Q43" s="119">
        <f>SUM(M43:P43)</f>
        <v>0</v>
      </c>
      <c r="R43" s="17">
        <v>0</v>
      </c>
      <c r="S43" s="119">
        <v>0</v>
      </c>
      <c r="T43" s="119">
        <v>0</v>
      </c>
      <c r="U43" s="119">
        <f t="shared" si="24"/>
        <v>246.9</v>
      </c>
      <c r="V43" s="119">
        <f t="shared" si="14"/>
        <v>246.9</v>
      </c>
      <c r="W43" s="17">
        <v>0</v>
      </c>
      <c r="X43" s="119">
        <v>0</v>
      </c>
      <c r="Y43" s="119">
        <v>0</v>
      </c>
      <c r="Z43" s="119">
        <f t="shared" si="20"/>
        <v>300.7</v>
      </c>
      <c r="AA43" s="119">
        <f t="shared" si="15"/>
        <v>300.7</v>
      </c>
      <c r="AB43" s="17">
        <v>0</v>
      </c>
      <c r="AC43" s="119">
        <v>0</v>
      </c>
      <c r="AD43" s="119">
        <v>0</v>
      </c>
      <c r="AE43" s="119">
        <v>0</v>
      </c>
      <c r="AF43" s="119">
        <f>SUM(AB43:AE43)</f>
        <v>0</v>
      </c>
      <c r="AG43" s="17">
        <v>1215.3</v>
      </c>
      <c r="AH43" s="17">
        <v>304.89999999999998</v>
      </c>
      <c r="AI43" s="119">
        <v>0</v>
      </c>
      <c r="AJ43" s="119">
        <v>0</v>
      </c>
      <c r="AK43" s="119">
        <f t="shared" si="16"/>
        <v>1520.1999999999998</v>
      </c>
      <c r="AL43" s="17">
        <v>0</v>
      </c>
      <c r="AM43" s="17">
        <v>815.6</v>
      </c>
      <c r="AN43" s="119">
        <v>0</v>
      </c>
      <c r="AO43" s="119">
        <v>0</v>
      </c>
      <c r="AP43" s="119">
        <f t="shared" si="17"/>
        <v>815.6</v>
      </c>
      <c r="AQ43" s="17">
        <v>10380.9</v>
      </c>
      <c r="AR43" s="17">
        <v>31146</v>
      </c>
      <c r="AS43" s="119">
        <f t="shared" si="21"/>
        <v>1778.5</v>
      </c>
      <c r="AT43" s="119">
        <v>0</v>
      </c>
      <c r="AU43" s="119">
        <f t="shared" si="18"/>
        <v>43305.4</v>
      </c>
      <c r="AV43" s="17">
        <v>231260.7</v>
      </c>
      <c r="AW43" s="17">
        <v>39330.300000000003</v>
      </c>
      <c r="AX43" s="119">
        <f t="shared" si="22"/>
        <v>3289.7</v>
      </c>
      <c r="AY43" s="119">
        <f t="shared" si="22"/>
        <v>662.1</v>
      </c>
      <c r="AZ43" s="17">
        <f>F43</f>
        <v>169367.4</v>
      </c>
      <c r="BA43" s="17">
        <f t="shared" si="11"/>
        <v>443910.19999999995</v>
      </c>
      <c r="BB43" s="17">
        <v>58162.7</v>
      </c>
      <c r="BC43" s="17">
        <v>3903.4</v>
      </c>
      <c r="BD43" s="119">
        <v>0</v>
      </c>
      <c r="BE43" s="119">
        <f t="shared" si="23"/>
        <v>12036.9</v>
      </c>
      <c r="BF43" s="17">
        <f t="shared" si="19"/>
        <v>74103</v>
      </c>
    </row>
    <row r="44" spans="1:58" ht="18.75" customHeight="1">
      <c r="A44" s="1">
        <v>2006</v>
      </c>
      <c r="B44" s="17">
        <v>217375.9</v>
      </c>
      <c r="C44" s="17">
        <v>150416.29999999999</v>
      </c>
      <c r="D44" s="17">
        <v>4356.6000000000004</v>
      </c>
      <c r="E44" s="315">
        <v>36211.1</v>
      </c>
      <c r="F44" s="17">
        <v>318340.7</v>
      </c>
      <c r="G44" s="17">
        <f t="shared" si="1"/>
        <v>726700.59999999986</v>
      </c>
      <c r="H44" s="17">
        <v>0</v>
      </c>
      <c r="I44" s="17">
        <v>71667.600000000006</v>
      </c>
      <c r="J44" s="119">
        <v>0</v>
      </c>
      <c r="K44" s="119">
        <v>0</v>
      </c>
      <c r="L44" s="17">
        <f t="shared" si="13"/>
        <v>71667.600000000006</v>
      </c>
      <c r="M44" s="17">
        <v>0</v>
      </c>
      <c r="N44" s="119">
        <v>0</v>
      </c>
      <c r="O44" s="119">
        <v>0</v>
      </c>
      <c r="P44" s="119">
        <v>0</v>
      </c>
      <c r="Q44" s="119">
        <v>0</v>
      </c>
      <c r="R44" s="17">
        <v>0</v>
      </c>
      <c r="S44" s="119">
        <v>0</v>
      </c>
      <c r="T44" s="119">
        <v>0</v>
      </c>
      <c r="U44" s="119">
        <f t="shared" si="24"/>
        <v>246.9</v>
      </c>
      <c r="V44" s="119">
        <f t="shared" si="14"/>
        <v>246.9</v>
      </c>
      <c r="W44" s="17">
        <v>0</v>
      </c>
      <c r="X44" s="119">
        <v>0</v>
      </c>
      <c r="Y44" s="119">
        <v>0</v>
      </c>
      <c r="Z44" s="119">
        <f t="shared" si="20"/>
        <v>300.7</v>
      </c>
      <c r="AA44" s="119">
        <f t="shared" si="15"/>
        <v>300.7</v>
      </c>
      <c r="AB44" s="17">
        <v>0</v>
      </c>
      <c r="AC44" s="119">
        <v>0</v>
      </c>
      <c r="AD44" s="119">
        <v>0</v>
      </c>
      <c r="AE44" s="119">
        <v>0</v>
      </c>
      <c r="AF44" s="119">
        <v>0</v>
      </c>
      <c r="AG44" s="17">
        <v>952.2</v>
      </c>
      <c r="AH44" s="17">
        <v>337.3</v>
      </c>
      <c r="AI44" s="119">
        <v>0</v>
      </c>
      <c r="AJ44" s="119">
        <v>0</v>
      </c>
      <c r="AK44" s="119">
        <f t="shared" si="16"/>
        <v>1289.5</v>
      </c>
      <c r="AL44" s="17">
        <v>0</v>
      </c>
      <c r="AM44" s="17">
        <v>1793.2</v>
      </c>
      <c r="AN44" s="119">
        <v>0</v>
      </c>
      <c r="AO44" s="119">
        <v>0</v>
      </c>
      <c r="AP44" s="119">
        <f t="shared" si="17"/>
        <v>1793.2</v>
      </c>
      <c r="AQ44" s="17">
        <v>6556.8</v>
      </c>
      <c r="AR44" s="17">
        <v>32993.300000000003</v>
      </c>
      <c r="AS44" s="119">
        <f t="shared" si="21"/>
        <v>1778.5</v>
      </c>
      <c r="AT44" s="119">
        <v>0</v>
      </c>
      <c r="AU44" s="119">
        <f t="shared" si="18"/>
        <v>41328.600000000006</v>
      </c>
      <c r="AV44" s="17">
        <v>165341.20000000001</v>
      </c>
      <c r="AW44" s="17">
        <v>39989.5</v>
      </c>
      <c r="AX44" s="119">
        <f t="shared" si="22"/>
        <v>3289.7</v>
      </c>
      <c r="AY44" s="119">
        <f t="shared" si="22"/>
        <v>662.1</v>
      </c>
      <c r="AZ44" s="17">
        <f t="shared" si="10"/>
        <v>318340.7</v>
      </c>
      <c r="BA44" s="17">
        <f t="shared" si="11"/>
        <v>527623.20000000007</v>
      </c>
      <c r="BB44" s="17">
        <v>44525.7</v>
      </c>
      <c r="BC44" s="17">
        <v>3635.4</v>
      </c>
      <c r="BD44" s="119">
        <v>0</v>
      </c>
      <c r="BE44" s="119">
        <f t="shared" si="23"/>
        <v>12036.9</v>
      </c>
      <c r="BF44" s="17">
        <f t="shared" si="19"/>
        <v>60198</v>
      </c>
    </row>
    <row r="45" spans="1:58" ht="18.75" customHeight="1">
      <c r="A45" s="1">
        <v>2007</v>
      </c>
      <c r="B45" s="17">
        <v>167082.70000000001</v>
      </c>
      <c r="C45" s="17">
        <v>164866.5</v>
      </c>
      <c r="D45" s="17">
        <v>4682.6000000000004</v>
      </c>
      <c r="E45" s="315">
        <v>32215.9</v>
      </c>
      <c r="F45" s="17">
        <v>305784</v>
      </c>
      <c r="G45" s="17">
        <f t="shared" si="1"/>
        <v>674631.7</v>
      </c>
      <c r="H45" s="17">
        <v>0</v>
      </c>
      <c r="I45" s="17">
        <v>85145.8</v>
      </c>
      <c r="J45" s="119">
        <v>0</v>
      </c>
      <c r="K45" s="119">
        <v>0</v>
      </c>
      <c r="L45" s="17">
        <f t="shared" si="13"/>
        <v>85145.8</v>
      </c>
      <c r="M45" s="17">
        <v>0</v>
      </c>
      <c r="N45" s="119">
        <v>0</v>
      </c>
      <c r="O45" s="119">
        <v>0</v>
      </c>
      <c r="P45" s="119">
        <v>0</v>
      </c>
      <c r="Q45" s="119">
        <v>0</v>
      </c>
      <c r="R45" s="17">
        <v>0</v>
      </c>
      <c r="S45" s="119">
        <v>0</v>
      </c>
      <c r="T45" s="119">
        <v>0</v>
      </c>
      <c r="U45" s="119">
        <f t="shared" si="24"/>
        <v>246.9</v>
      </c>
      <c r="V45" s="119">
        <f t="shared" si="14"/>
        <v>246.9</v>
      </c>
      <c r="W45" s="17">
        <v>0</v>
      </c>
      <c r="X45" s="119">
        <v>0</v>
      </c>
      <c r="Y45" s="119">
        <v>0</v>
      </c>
      <c r="Z45" s="119">
        <f t="shared" si="20"/>
        <v>300.7</v>
      </c>
      <c r="AA45" s="119">
        <f t="shared" si="15"/>
        <v>300.7</v>
      </c>
      <c r="AB45" s="17">
        <v>0</v>
      </c>
      <c r="AC45" s="119">
        <v>0</v>
      </c>
      <c r="AD45" s="119">
        <v>0</v>
      </c>
      <c r="AE45" s="119">
        <v>0</v>
      </c>
      <c r="AF45" s="119">
        <v>0</v>
      </c>
      <c r="AG45" s="17">
        <v>584.5</v>
      </c>
      <c r="AH45" s="17">
        <v>340.4</v>
      </c>
      <c r="AI45" s="119">
        <v>0</v>
      </c>
      <c r="AJ45" s="119">
        <v>0</v>
      </c>
      <c r="AK45" s="119">
        <f t="shared" si="16"/>
        <v>924.9</v>
      </c>
      <c r="AL45" s="17">
        <v>0</v>
      </c>
      <c r="AM45" s="17">
        <v>1873.1</v>
      </c>
      <c r="AN45" s="119">
        <v>0</v>
      </c>
      <c r="AO45" s="119">
        <v>0</v>
      </c>
      <c r="AP45" s="119">
        <f t="shared" si="17"/>
        <v>1873.1</v>
      </c>
      <c r="AQ45" s="17">
        <v>4229.1000000000004</v>
      </c>
      <c r="AR45" s="17">
        <v>34871.800000000003</v>
      </c>
      <c r="AS45" s="119">
        <f t="shared" si="21"/>
        <v>1778.5</v>
      </c>
      <c r="AT45" s="119">
        <v>0</v>
      </c>
      <c r="AU45" s="119">
        <f>SUM(AQ45:AT45)</f>
        <v>40879.4</v>
      </c>
      <c r="AV45" s="17">
        <v>123739.4</v>
      </c>
      <c r="AW45" s="17">
        <v>39406.800000000003</v>
      </c>
      <c r="AX45" s="119">
        <f t="shared" si="22"/>
        <v>3289.7</v>
      </c>
      <c r="AY45" s="119">
        <f t="shared" si="22"/>
        <v>662.1</v>
      </c>
      <c r="AZ45" s="17">
        <f>F45</f>
        <v>305784</v>
      </c>
      <c r="BA45" s="17">
        <f>SUM(AV45:AZ45)</f>
        <v>472882</v>
      </c>
      <c r="BB45" s="17">
        <v>38529.699999999997</v>
      </c>
      <c r="BC45" s="17">
        <v>3228.5</v>
      </c>
      <c r="BD45" s="119">
        <v>0</v>
      </c>
      <c r="BE45" s="119">
        <f t="shared" si="23"/>
        <v>12036.9</v>
      </c>
      <c r="BF45" s="17">
        <f t="shared" si="19"/>
        <v>53795.1</v>
      </c>
    </row>
    <row r="46" spans="1:58" ht="18.75" customHeight="1">
      <c r="A46" s="1">
        <v>2008</v>
      </c>
      <c r="B46" s="17">
        <v>276972.59999999998</v>
      </c>
      <c r="C46" s="17">
        <v>247061.1</v>
      </c>
      <c r="D46" s="17">
        <v>5580.7</v>
      </c>
      <c r="E46" s="315">
        <v>72724.600000000006</v>
      </c>
      <c r="F46" s="17">
        <v>614747.69999999995</v>
      </c>
      <c r="G46" s="17">
        <f t="shared" si="1"/>
        <v>1217086.6999999997</v>
      </c>
      <c r="H46" s="17">
        <v>0</v>
      </c>
      <c r="I46" s="17">
        <v>104200.5</v>
      </c>
      <c r="J46" s="119">
        <v>0</v>
      </c>
      <c r="K46" s="119">
        <v>0</v>
      </c>
      <c r="L46" s="17">
        <f t="shared" si="13"/>
        <v>104200.5</v>
      </c>
      <c r="M46" s="119">
        <v>0</v>
      </c>
      <c r="N46" s="119">
        <v>0</v>
      </c>
      <c r="O46" s="119">
        <v>0</v>
      </c>
      <c r="P46" s="119">
        <v>0</v>
      </c>
      <c r="Q46" s="119">
        <v>0</v>
      </c>
      <c r="R46" s="119">
        <v>0</v>
      </c>
      <c r="S46" s="119">
        <v>0</v>
      </c>
      <c r="T46" s="119">
        <v>0</v>
      </c>
      <c r="U46" s="119">
        <f t="shared" si="24"/>
        <v>246.9</v>
      </c>
      <c r="V46" s="119">
        <f t="shared" si="14"/>
        <v>246.9</v>
      </c>
      <c r="W46" s="119">
        <v>0</v>
      </c>
      <c r="X46" s="119">
        <v>0</v>
      </c>
      <c r="Y46" s="119">
        <v>0</v>
      </c>
      <c r="Z46" s="119">
        <f t="shared" si="20"/>
        <v>300.7</v>
      </c>
      <c r="AA46" s="119">
        <f t="shared" si="15"/>
        <v>300.7</v>
      </c>
      <c r="AB46" s="119">
        <v>0</v>
      </c>
      <c r="AC46" s="119">
        <v>0</v>
      </c>
      <c r="AD46" s="119">
        <v>0</v>
      </c>
      <c r="AE46" s="119">
        <v>0</v>
      </c>
      <c r="AF46" s="119">
        <v>0</v>
      </c>
      <c r="AG46" s="17">
        <v>417.5</v>
      </c>
      <c r="AH46" s="17">
        <v>471.9</v>
      </c>
      <c r="AI46" s="119">
        <v>0</v>
      </c>
      <c r="AJ46" s="119">
        <v>0</v>
      </c>
      <c r="AK46" s="119">
        <f t="shared" si="16"/>
        <v>889.4</v>
      </c>
      <c r="AL46" s="119">
        <v>0</v>
      </c>
      <c r="AM46" s="17">
        <v>3454.1</v>
      </c>
      <c r="AN46" s="119">
        <v>0</v>
      </c>
      <c r="AO46" s="119">
        <v>0</v>
      </c>
      <c r="AP46" s="119">
        <f t="shared" si="17"/>
        <v>3454.1</v>
      </c>
      <c r="AQ46" s="17">
        <v>6486.1</v>
      </c>
      <c r="AR46" s="17">
        <v>69652.3</v>
      </c>
      <c r="AS46" s="119">
        <f t="shared" si="21"/>
        <v>1778.5</v>
      </c>
      <c r="AT46" s="119">
        <v>0</v>
      </c>
      <c r="AU46" s="119">
        <f>SUM(AQ46:AT46)</f>
        <v>77916.900000000009</v>
      </c>
      <c r="AV46" s="17">
        <v>201917.4</v>
      </c>
      <c r="AW46" s="17">
        <v>64033.9</v>
      </c>
      <c r="AX46" s="119">
        <f t="shared" si="22"/>
        <v>3289.7</v>
      </c>
      <c r="AY46" s="119">
        <f t="shared" si="22"/>
        <v>662.1</v>
      </c>
      <c r="AZ46" s="17">
        <f>F46</f>
        <v>614747.69999999995</v>
      </c>
      <c r="BA46" s="119">
        <f>SUM(AV46:AZ46)</f>
        <v>884650.79999999993</v>
      </c>
      <c r="BB46" s="17">
        <v>68151.600000000006</v>
      </c>
      <c r="BC46" s="17">
        <v>5248.4</v>
      </c>
      <c r="BD46" s="119">
        <v>0</v>
      </c>
      <c r="BE46" s="119">
        <f t="shared" si="23"/>
        <v>12036.9</v>
      </c>
      <c r="BF46" s="17">
        <f t="shared" si="19"/>
        <v>85436.9</v>
      </c>
    </row>
    <row r="47" spans="1:58" ht="18.75" customHeight="1">
      <c r="A47" s="1">
        <v>2009</v>
      </c>
      <c r="B47" s="17">
        <v>73633.899999999994</v>
      </c>
      <c r="C47" s="17">
        <v>141970.6</v>
      </c>
      <c r="D47" s="17">
        <v>5894.4</v>
      </c>
      <c r="E47" s="315">
        <v>67969.399999999994</v>
      </c>
      <c r="F47" s="17">
        <v>441235.1</v>
      </c>
      <c r="G47" s="119">
        <f t="shared" ref="G47:G48" si="25">SUM(B47:F47)</f>
        <v>730703.39999999991</v>
      </c>
      <c r="H47" s="119">
        <v>0</v>
      </c>
      <c r="I47" s="119">
        <f>I46</f>
        <v>104200.5</v>
      </c>
      <c r="J47" s="119">
        <v>0</v>
      </c>
      <c r="K47" s="119">
        <v>0</v>
      </c>
      <c r="L47" s="17">
        <f t="shared" ref="L47:L48" si="26">SUM(H47:K47)</f>
        <v>104200.5</v>
      </c>
      <c r="M47" s="119">
        <v>0</v>
      </c>
      <c r="N47" s="119">
        <v>0</v>
      </c>
      <c r="O47" s="119">
        <v>0</v>
      </c>
      <c r="P47" s="119">
        <v>0</v>
      </c>
      <c r="Q47" s="119">
        <v>0</v>
      </c>
      <c r="R47" s="119">
        <v>0</v>
      </c>
      <c r="S47" s="119">
        <v>0</v>
      </c>
      <c r="T47" s="119">
        <v>0</v>
      </c>
      <c r="U47" s="119">
        <f t="shared" si="24"/>
        <v>246.9</v>
      </c>
      <c r="V47" s="119">
        <f t="shared" ref="V47:V48" si="27">SUM(R47:U47)</f>
        <v>246.9</v>
      </c>
      <c r="W47" s="119">
        <v>0</v>
      </c>
      <c r="X47" s="119">
        <v>0</v>
      </c>
      <c r="Y47" s="119">
        <v>0</v>
      </c>
      <c r="Z47" s="119">
        <f t="shared" si="20"/>
        <v>300.7</v>
      </c>
      <c r="AA47" s="119">
        <f t="shared" ref="AA47:AA48" si="28">SUM(W47:Z47)</f>
        <v>300.7</v>
      </c>
      <c r="AB47" s="119">
        <v>0</v>
      </c>
      <c r="AC47" s="119">
        <v>0</v>
      </c>
      <c r="AD47" s="119">
        <v>0</v>
      </c>
      <c r="AE47" s="119">
        <v>0</v>
      </c>
      <c r="AF47" s="119">
        <v>0</v>
      </c>
      <c r="AG47" s="119">
        <f>AG46</f>
        <v>417.5</v>
      </c>
      <c r="AH47" s="119">
        <f>AH46</f>
        <v>471.9</v>
      </c>
      <c r="AI47" s="119">
        <v>0</v>
      </c>
      <c r="AJ47" s="119">
        <v>0</v>
      </c>
      <c r="AK47" s="119">
        <f t="shared" ref="AK47:AK48" si="29">SUM(AG47:AJ47)</f>
        <v>889.4</v>
      </c>
      <c r="AL47" s="119">
        <v>0</v>
      </c>
      <c r="AM47" s="119">
        <f>AM46</f>
        <v>3454.1</v>
      </c>
      <c r="AN47" s="119">
        <v>0</v>
      </c>
      <c r="AO47" s="119">
        <v>0</v>
      </c>
      <c r="AP47" s="119">
        <f t="shared" ref="AP47:AP48" si="30">SUM(AL47:AO47)</f>
        <v>3454.1</v>
      </c>
      <c r="AQ47" s="119">
        <f>AQ46</f>
        <v>6486.1</v>
      </c>
      <c r="AR47" s="119">
        <f>AR46</f>
        <v>69652.3</v>
      </c>
      <c r="AS47" s="119">
        <f t="shared" si="21"/>
        <v>1778.5</v>
      </c>
      <c r="AT47" s="119">
        <v>0</v>
      </c>
      <c r="AU47" s="119">
        <f>SUM(AQ47:AT47)</f>
        <v>77916.900000000009</v>
      </c>
      <c r="AV47" s="119">
        <f>AV46</f>
        <v>201917.4</v>
      </c>
      <c r="AW47" s="119">
        <f>AW46</f>
        <v>64033.9</v>
      </c>
      <c r="AX47" s="119">
        <f t="shared" si="22"/>
        <v>3289.7</v>
      </c>
      <c r="AY47" s="119">
        <f t="shared" si="22"/>
        <v>662.1</v>
      </c>
      <c r="AZ47" s="17">
        <f>F47</f>
        <v>441235.1</v>
      </c>
      <c r="BA47" s="119">
        <f>SUM(AV47:AZ47)</f>
        <v>711138.2</v>
      </c>
      <c r="BB47" s="119">
        <f>BB46</f>
        <v>68151.600000000006</v>
      </c>
      <c r="BC47" s="119">
        <f>BC46</f>
        <v>5248.4</v>
      </c>
      <c r="BD47" s="119">
        <v>0</v>
      </c>
      <c r="BE47" s="119">
        <f t="shared" si="23"/>
        <v>12036.9</v>
      </c>
      <c r="BF47" s="17">
        <f t="shared" ref="BF47:BF48" si="31">SUM(BB47:BE47)</f>
        <v>85436.9</v>
      </c>
    </row>
    <row r="48" spans="1:58" ht="18.75" customHeight="1">
      <c r="A48" s="1">
        <v>2010</v>
      </c>
      <c r="B48" s="119">
        <f>B47</f>
        <v>73633.899999999994</v>
      </c>
      <c r="C48" s="119">
        <f>C47</f>
        <v>141970.6</v>
      </c>
      <c r="D48" s="119">
        <f>D47</f>
        <v>5894.4</v>
      </c>
      <c r="E48" s="119">
        <f>E47</f>
        <v>67969.399999999994</v>
      </c>
      <c r="F48" s="119">
        <f>F47</f>
        <v>441235.1</v>
      </c>
      <c r="G48" s="119">
        <f t="shared" si="25"/>
        <v>730703.39999999991</v>
      </c>
      <c r="H48" s="119">
        <v>0</v>
      </c>
      <c r="I48" s="119">
        <f>I47</f>
        <v>104200.5</v>
      </c>
      <c r="J48" s="119">
        <v>0</v>
      </c>
      <c r="K48" s="119">
        <v>0</v>
      </c>
      <c r="L48" s="17">
        <f t="shared" si="26"/>
        <v>104200.5</v>
      </c>
      <c r="M48" s="119">
        <v>0</v>
      </c>
      <c r="N48" s="119">
        <v>0</v>
      </c>
      <c r="O48" s="119">
        <v>0</v>
      </c>
      <c r="P48" s="119">
        <v>0</v>
      </c>
      <c r="Q48" s="119">
        <v>0</v>
      </c>
      <c r="R48" s="119">
        <v>0</v>
      </c>
      <c r="S48" s="119">
        <v>0</v>
      </c>
      <c r="T48" s="119">
        <v>0</v>
      </c>
      <c r="U48" s="119">
        <f t="shared" si="24"/>
        <v>246.9</v>
      </c>
      <c r="V48" s="119">
        <f t="shared" si="27"/>
        <v>246.9</v>
      </c>
      <c r="W48" s="119">
        <v>0</v>
      </c>
      <c r="X48" s="119">
        <v>0</v>
      </c>
      <c r="Y48" s="119">
        <v>0</v>
      </c>
      <c r="Z48" s="119">
        <f t="shared" si="20"/>
        <v>300.7</v>
      </c>
      <c r="AA48" s="119">
        <f t="shared" si="28"/>
        <v>300.7</v>
      </c>
      <c r="AB48" s="119">
        <v>0</v>
      </c>
      <c r="AC48" s="119">
        <v>0</v>
      </c>
      <c r="AD48" s="119">
        <v>0</v>
      </c>
      <c r="AE48" s="119">
        <v>0</v>
      </c>
      <c r="AF48" s="119">
        <v>0</v>
      </c>
      <c r="AG48" s="119">
        <f>AG47</f>
        <v>417.5</v>
      </c>
      <c r="AH48" s="119">
        <f>AH47</f>
        <v>471.9</v>
      </c>
      <c r="AI48" s="119">
        <v>0</v>
      </c>
      <c r="AJ48" s="119">
        <v>0</v>
      </c>
      <c r="AK48" s="119">
        <f t="shared" si="29"/>
        <v>889.4</v>
      </c>
      <c r="AL48" s="119">
        <v>0</v>
      </c>
      <c r="AM48" s="119">
        <f>AM47</f>
        <v>3454.1</v>
      </c>
      <c r="AN48" s="119">
        <v>0</v>
      </c>
      <c r="AO48" s="119">
        <v>0</v>
      </c>
      <c r="AP48" s="119">
        <f t="shared" si="30"/>
        <v>3454.1</v>
      </c>
      <c r="AQ48" s="119">
        <f>AQ47</f>
        <v>6486.1</v>
      </c>
      <c r="AR48" s="119">
        <f>AR47</f>
        <v>69652.3</v>
      </c>
      <c r="AS48" s="119">
        <f t="shared" si="21"/>
        <v>1778.5</v>
      </c>
      <c r="AT48" s="119">
        <v>0</v>
      </c>
      <c r="AU48" s="119">
        <f>SUM(AQ48:AT48)</f>
        <v>77916.900000000009</v>
      </c>
      <c r="AV48" s="119">
        <f>AV47</f>
        <v>201917.4</v>
      </c>
      <c r="AW48" s="119">
        <f>AW47</f>
        <v>64033.9</v>
      </c>
      <c r="AX48" s="119">
        <f t="shared" si="22"/>
        <v>3289.7</v>
      </c>
      <c r="AY48" s="119">
        <f t="shared" si="22"/>
        <v>662.1</v>
      </c>
      <c r="AZ48" s="119">
        <f>F48</f>
        <v>441235.1</v>
      </c>
      <c r="BA48" s="119">
        <f>SUM(AV48:AZ48)</f>
        <v>711138.2</v>
      </c>
      <c r="BB48" s="119">
        <f>BB47</f>
        <v>68151.600000000006</v>
      </c>
      <c r="BC48" s="119">
        <f>BC47</f>
        <v>5248.4</v>
      </c>
      <c r="BD48" s="119">
        <v>0</v>
      </c>
      <c r="BE48" s="119">
        <f t="shared" si="23"/>
        <v>12036.9</v>
      </c>
      <c r="BF48" s="17">
        <f t="shared" si="31"/>
        <v>85436.9</v>
      </c>
    </row>
    <row r="49" spans="1:140" ht="18.75" customHeight="1">
      <c r="B49" s="172" t="s">
        <v>435</v>
      </c>
      <c r="C49" s="119"/>
      <c r="D49" s="119"/>
      <c r="E49" s="119"/>
      <c r="F49" s="119"/>
      <c r="G49" s="119"/>
      <c r="H49" s="119"/>
      <c r="I49" s="119"/>
      <c r="J49" s="119"/>
      <c r="K49" s="119"/>
      <c r="L49" s="119"/>
      <c r="M49" s="119"/>
      <c r="N49" s="119"/>
      <c r="O49" s="119"/>
      <c r="P49" s="119"/>
      <c r="Q49" s="119"/>
      <c r="R49" s="172" t="s">
        <v>435</v>
      </c>
      <c r="S49" s="119"/>
      <c r="T49" s="119"/>
      <c r="U49" s="119"/>
      <c r="V49" s="119"/>
      <c r="W49" s="119"/>
      <c r="X49" s="119"/>
      <c r="Y49" s="119"/>
      <c r="Z49" s="119"/>
      <c r="AA49" s="119"/>
      <c r="AB49" s="119"/>
      <c r="AC49" s="119"/>
      <c r="AD49" s="119"/>
      <c r="AE49" s="119"/>
      <c r="AF49" s="119"/>
      <c r="AG49" s="172" t="s">
        <v>435</v>
      </c>
      <c r="AH49" s="119"/>
      <c r="AI49" s="119"/>
      <c r="AJ49" s="119"/>
      <c r="AK49" s="119"/>
      <c r="AL49" s="119"/>
      <c r="AM49" s="119"/>
      <c r="AN49" s="119"/>
      <c r="AO49" s="119"/>
      <c r="AP49" s="119"/>
      <c r="AQ49" s="119"/>
      <c r="AR49" s="119"/>
      <c r="AS49" s="119"/>
      <c r="AT49" s="119"/>
      <c r="AU49" s="119"/>
      <c r="AV49" s="172" t="s">
        <v>435</v>
      </c>
      <c r="AW49" s="119"/>
      <c r="AX49" s="119"/>
      <c r="AY49" s="119"/>
      <c r="AZ49" s="119"/>
      <c r="BA49" s="119"/>
      <c r="BB49" s="119"/>
      <c r="BC49" s="119"/>
      <c r="BD49" s="119"/>
      <c r="BE49" s="119"/>
      <c r="BF49" s="17"/>
    </row>
    <row r="50" spans="1:140" s="252" customFormat="1" ht="18.75" customHeight="1">
      <c r="A50" s="252" t="s">
        <v>988</v>
      </c>
      <c r="B50" s="271">
        <f>(POWER(B48/B19, 1/29)-1)*100</f>
        <v>-1.7622741963968847</v>
      </c>
      <c r="C50" s="271">
        <f t="shared" ref="C50:G50" si="32">(POWER(C48/C19, 1/29)-1)*100</f>
        <v>3.0014805404073863</v>
      </c>
      <c r="D50" s="271">
        <f t="shared" si="32"/>
        <v>2.8076455543975198</v>
      </c>
      <c r="E50" s="271">
        <f t="shared" si="32"/>
        <v>7.604967620818881</v>
      </c>
      <c r="F50" s="271">
        <f t="shared" si="32"/>
        <v>14.616696250140905</v>
      </c>
      <c r="G50" s="271">
        <f t="shared" si="32"/>
        <v>4.5203661366734593</v>
      </c>
      <c r="H50" s="281" t="s">
        <v>681</v>
      </c>
      <c r="I50" s="271" t="s">
        <v>681</v>
      </c>
      <c r="J50" s="271" t="s">
        <v>681</v>
      </c>
      <c r="K50" s="271" t="s">
        <v>681</v>
      </c>
      <c r="L50" s="271" t="s">
        <v>681</v>
      </c>
      <c r="M50" s="271" t="s">
        <v>681</v>
      </c>
      <c r="N50" s="271" t="s">
        <v>681</v>
      </c>
      <c r="O50" s="271" t="s">
        <v>681</v>
      </c>
      <c r="P50" s="271" t="s">
        <v>681</v>
      </c>
      <c r="Q50" s="271" t="s">
        <v>681</v>
      </c>
      <c r="R50" s="271" t="s">
        <v>681</v>
      </c>
      <c r="S50" s="271" t="s">
        <v>681</v>
      </c>
      <c r="T50" s="271" t="s">
        <v>681</v>
      </c>
      <c r="U50" s="271">
        <f t="shared" ref="U50:V50" si="33">(POWER(U48/U19, 1/29)-1)*100</f>
        <v>-2.0874005712025023</v>
      </c>
      <c r="V50" s="271">
        <f t="shared" si="33"/>
        <v>-2.0874005712025023</v>
      </c>
      <c r="W50" s="271" t="s">
        <v>681</v>
      </c>
      <c r="X50" s="271" t="s">
        <v>681</v>
      </c>
      <c r="Y50" s="271" t="s">
        <v>681</v>
      </c>
      <c r="Z50" s="271">
        <f t="shared" ref="Z50:AA50" si="34">(POWER(Z48/Z19, 1/29)-1)*100</f>
        <v>1.2010532277140662</v>
      </c>
      <c r="AA50" s="271">
        <f t="shared" si="34"/>
        <v>1.2010532277140662</v>
      </c>
      <c r="AB50" s="271" t="s">
        <v>681</v>
      </c>
      <c r="AC50" s="271" t="s">
        <v>681</v>
      </c>
      <c r="AD50" s="271" t="s">
        <v>681</v>
      </c>
      <c r="AE50" s="271" t="s">
        <v>681</v>
      </c>
      <c r="AF50" s="271" t="s">
        <v>681</v>
      </c>
      <c r="AG50" s="271" t="s">
        <v>681</v>
      </c>
      <c r="AH50" s="271">
        <f>(POWER(AH48/AH19, 1/29)-1)*100</f>
        <v>8.8544974021838918</v>
      </c>
      <c r="AI50" s="271" t="s">
        <v>681</v>
      </c>
      <c r="AJ50" s="271" t="s">
        <v>681</v>
      </c>
      <c r="AK50" s="271">
        <f>(POWER(AK48/AK19, 1/29)-1)*100</f>
        <v>11.259641927574204</v>
      </c>
      <c r="AL50" s="271" t="s">
        <v>681</v>
      </c>
      <c r="AM50" s="271">
        <f>(POWER(AM48/AM19, 1/29)-1)*100</f>
        <v>6.5023485978240148</v>
      </c>
      <c r="AN50" s="271" t="s">
        <v>681</v>
      </c>
      <c r="AO50" s="271" t="s">
        <v>681</v>
      </c>
      <c r="AP50" s="271">
        <f t="shared" ref="AP50:AS50" si="35">(POWER(AP48/AP19, 1/29)-1)*100</f>
        <v>6.5023485978240148</v>
      </c>
      <c r="AQ50" s="271">
        <f t="shared" si="35"/>
        <v>15.019547876565454</v>
      </c>
      <c r="AR50" s="271">
        <f t="shared" si="35"/>
        <v>8.9232130431006631</v>
      </c>
      <c r="AS50" s="271">
        <f t="shared" si="35"/>
        <v>0.83578942369992859</v>
      </c>
      <c r="AT50" s="271" t="s">
        <v>681</v>
      </c>
      <c r="AU50" s="271">
        <f t="shared" ref="AU50:AX50" si="36">(POWER(AU48/AU19, 1/29)-1)*100</f>
        <v>8.481958179895166</v>
      </c>
      <c r="AV50" s="271">
        <f t="shared" si="36"/>
        <v>1.8507502544600429</v>
      </c>
      <c r="AW50" s="271">
        <f t="shared" si="36"/>
        <v>0.68452514334074177</v>
      </c>
      <c r="AX50" s="271">
        <f t="shared" si="36"/>
        <v>3.4119034721991071</v>
      </c>
      <c r="AY50" s="271">
        <f>(POWER(AY48/AY19, 1/29)-1)*100</f>
        <v>-3.8056604395320104</v>
      </c>
      <c r="AZ50" s="271">
        <f t="shared" ref="AZ50:BC50" si="37">(POWER(AZ48/AZ19, 1/29)-1)*100</f>
        <v>14.616696250140905</v>
      </c>
      <c r="BA50" s="271">
        <f t="shared" si="37"/>
        <v>4.7938585560747038</v>
      </c>
      <c r="BB50" s="271">
        <f t="shared" si="37"/>
        <v>9.7693323695598799</v>
      </c>
      <c r="BC50" s="271">
        <f t="shared" si="37"/>
        <v>5.0925897853890234</v>
      </c>
      <c r="BD50" s="271" t="s">
        <v>681</v>
      </c>
      <c r="BE50" s="271">
        <f t="shared" ref="BE50:BF50" si="38">(POWER(BE48/BE19, 1/29)-1)*100</f>
        <v>2.7992046660883618</v>
      </c>
      <c r="BF50" s="271">
        <f t="shared" si="38"/>
        <v>7.2530929544901479</v>
      </c>
      <c r="BG50" s="329"/>
      <c r="BH50" s="329"/>
      <c r="BI50" s="329"/>
      <c r="BJ50" s="329"/>
      <c r="BK50" s="329"/>
      <c r="BL50" s="329"/>
      <c r="BM50" s="329"/>
      <c r="BN50" s="329"/>
      <c r="BO50" s="329"/>
      <c r="BP50" s="329"/>
      <c r="BQ50" s="329"/>
      <c r="BR50" s="269"/>
      <c r="BS50" s="269"/>
      <c r="BT50" s="269"/>
      <c r="BU50" s="269"/>
      <c r="BV50" s="269"/>
      <c r="BW50" s="269"/>
      <c r="BX50" s="269"/>
      <c r="BY50" s="269"/>
      <c r="BZ50" s="269"/>
      <c r="CA50" s="269"/>
      <c r="CB50" s="269"/>
      <c r="CC50" s="269"/>
      <c r="CD50" s="269"/>
      <c r="CE50" s="269"/>
      <c r="CF50" s="269"/>
      <c r="CG50" s="269"/>
      <c r="CH50" s="269"/>
      <c r="CI50" s="269"/>
      <c r="CJ50" s="269"/>
      <c r="CK50" s="269"/>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c r="EI50" s="269"/>
      <c r="EJ50" s="269"/>
    </row>
    <row r="51" spans="1:140">
      <c r="B51" s="138" t="s">
        <v>202</v>
      </c>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19"/>
      <c r="AY51" s="119"/>
      <c r="AZ51" s="119"/>
      <c r="BA51" s="119"/>
      <c r="BB51" s="119"/>
      <c r="BC51" s="119"/>
      <c r="BD51" s="119"/>
      <c r="BE51" s="119"/>
      <c r="BF51" s="119"/>
    </row>
    <row r="52" spans="1:140">
      <c r="B52" s="1" t="s">
        <v>990</v>
      </c>
      <c r="R52" s="1" t="s">
        <v>380</v>
      </c>
      <c r="AG52" s="1" t="s">
        <v>380</v>
      </c>
      <c r="AV52" s="1" t="s">
        <v>380</v>
      </c>
    </row>
    <row r="53" spans="1:140">
      <c r="B53" s="1" t="s">
        <v>991</v>
      </c>
    </row>
    <row r="54" spans="1:140" ht="26.25" customHeight="1">
      <c r="B54" s="647" t="s">
        <v>992</v>
      </c>
      <c r="C54" s="647"/>
      <c r="D54" s="647"/>
      <c r="E54" s="647"/>
      <c r="F54" s="647"/>
      <c r="G54" s="647"/>
      <c r="H54" s="647"/>
      <c r="I54" s="647"/>
    </row>
    <row r="55" spans="1:140" ht="25.5" customHeight="1">
      <c r="B55" s="647" t="s">
        <v>993</v>
      </c>
      <c r="C55" s="647"/>
      <c r="D55" s="647"/>
      <c r="E55" s="647"/>
      <c r="F55" s="647"/>
      <c r="G55" s="647"/>
      <c r="H55" s="647"/>
      <c r="I55" s="647"/>
    </row>
    <row r="56" spans="1:140">
      <c r="B56" s="1" t="s">
        <v>994</v>
      </c>
    </row>
    <row r="57" spans="1:140">
      <c r="B57" s="1" t="s">
        <v>978</v>
      </c>
    </row>
    <row r="58" spans="1:140">
      <c r="B58" s="1" t="s">
        <v>665</v>
      </c>
    </row>
    <row r="59" spans="1:140">
      <c r="B59" s="1" t="s">
        <v>995</v>
      </c>
    </row>
    <row r="62" spans="1:140">
      <c r="F62" s="1">
        <f>1000000*F47/'a1'!F47</f>
        <v>13085.192536315935</v>
      </c>
    </row>
  </sheetData>
  <mergeCells count="2">
    <mergeCell ref="B54:I54"/>
    <mergeCell ref="B55:I55"/>
  </mergeCells>
  <phoneticPr fontId="0" type="noConversion"/>
  <pageMargins left="0.35433070866141736" right="0.35433070866141736" top="0.98425196850393704" bottom="0.98425196850393704" header="0.51181102362204722" footer="0.51181102362204722"/>
  <pageSetup scale="57" orientation="landscape" r:id="rId1"/>
  <headerFooter alignWithMargins="0"/>
  <rowBreaks count="1" manualBreakCount="1">
    <brk id="60" max="16383" man="1"/>
  </rowBreaks>
  <colBreaks count="3" manualBreakCount="3">
    <brk id="17" max="1048575" man="1"/>
    <brk id="32" max="1048575" man="1"/>
    <brk id="47" max="1048575" man="1"/>
  </colBreaks>
</worksheet>
</file>

<file path=xl/worksheets/sheet36.xml><?xml version="1.0" encoding="utf-8"?>
<worksheet xmlns="http://schemas.openxmlformats.org/spreadsheetml/2006/main" xmlns:r="http://schemas.openxmlformats.org/officeDocument/2006/relationships">
  <dimension ref="A1:EG55"/>
  <sheetViews>
    <sheetView view="pageBreakPreview" zoomScaleSheetLayoutView="100" workbookViewId="0">
      <selection activeCell="E9" sqref="E9"/>
    </sheetView>
  </sheetViews>
  <sheetFormatPr defaultColWidth="8.875" defaultRowHeight="12.75"/>
  <cols>
    <col min="1" max="1" width="8.875" style="1" customWidth="1"/>
    <col min="2" max="2" width="9.625" style="1" customWidth="1"/>
    <col min="3" max="3" width="10.375" style="1" customWidth="1"/>
    <col min="4" max="4" width="8.875" style="1" customWidth="1"/>
    <col min="5" max="5" width="10.75" style="1" customWidth="1"/>
    <col min="6" max="6" width="8.875" style="1" customWidth="1"/>
    <col min="7" max="7" width="10.875" style="1" customWidth="1"/>
    <col min="8" max="11" width="8.875" style="1" customWidth="1"/>
    <col min="12" max="12" width="9.625" style="1" customWidth="1"/>
    <col min="13" max="13" width="9.75" style="1" customWidth="1"/>
    <col min="14" max="14" width="8.875" style="1" customWidth="1"/>
    <col min="15" max="15" width="9.75" style="1" customWidth="1"/>
    <col min="16" max="16" width="8.875" style="1" customWidth="1"/>
    <col min="17" max="17" width="10.375" style="1" customWidth="1"/>
    <col min="18" max="16384" width="8.875" style="1"/>
  </cols>
  <sheetData>
    <row r="1" spans="1:18" ht="15.75">
      <c r="B1" s="2" t="s">
        <v>486</v>
      </c>
    </row>
    <row r="3" spans="1:18" s="3" customFormat="1" ht="15">
      <c r="B3" s="3" t="s">
        <v>321</v>
      </c>
      <c r="H3" s="3" t="s">
        <v>449</v>
      </c>
      <c r="I3" s="3" t="s">
        <v>450</v>
      </c>
      <c r="J3" s="3" t="s">
        <v>451</v>
      </c>
      <c r="K3" s="3" t="s">
        <v>452</v>
      </c>
      <c r="L3" s="3" t="s">
        <v>453</v>
      </c>
      <c r="M3" s="3" t="s">
        <v>454</v>
      </c>
      <c r="N3" s="3" t="s">
        <v>455</v>
      </c>
      <c r="O3" s="3" t="s">
        <v>456</v>
      </c>
      <c r="P3" s="3" t="s">
        <v>457</v>
      </c>
      <c r="Q3" s="3" t="s">
        <v>458</v>
      </c>
    </row>
    <row r="4" spans="1:18" s="4" customFormat="1" ht="120.75" customHeight="1">
      <c r="B4" s="4" t="s">
        <v>488</v>
      </c>
      <c r="C4" s="4" t="s">
        <v>489</v>
      </c>
      <c r="D4" s="4" t="s">
        <v>490</v>
      </c>
      <c r="E4" s="4" t="s">
        <v>761</v>
      </c>
      <c r="F4" s="4" t="s">
        <v>546</v>
      </c>
      <c r="G4" s="4" t="s">
        <v>547</v>
      </c>
      <c r="H4" s="4" t="s">
        <v>547</v>
      </c>
      <c r="I4" s="4" t="s">
        <v>547</v>
      </c>
      <c r="J4" s="4" t="s">
        <v>547</v>
      </c>
      <c r="K4" s="4" t="s">
        <v>547</v>
      </c>
      <c r="L4" s="4" t="s">
        <v>547</v>
      </c>
      <c r="M4" s="4" t="s">
        <v>547</v>
      </c>
      <c r="N4" s="4" t="s">
        <v>547</v>
      </c>
      <c r="O4" s="4" t="s">
        <v>547</v>
      </c>
      <c r="P4" s="4" t="s">
        <v>547</v>
      </c>
      <c r="Q4" s="4" t="s">
        <v>547</v>
      </c>
    </row>
    <row r="5" spans="1:18" s="4" customFormat="1" hidden="1"/>
    <row r="6" spans="1:18" s="256" customFormat="1" ht="25.5">
      <c r="B6" s="256" t="s">
        <v>105</v>
      </c>
      <c r="C6" s="256" t="s">
        <v>106</v>
      </c>
      <c r="D6" s="256" t="s">
        <v>107</v>
      </c>
      <c r="E6" s="256" t="s">
        <v>108</v>
      </c>
      <c r="F6" s="256" t="s">
        <v>109</v>
      </c>
      <c r="G6" s="256" t="s">
        <v>151</v>
      </c>
      <c r="H6" s="256" t="s">
        <v>241</v>
      </c>
      <c r="I6" s="256" t="s">
        <v>357</v>
      </c>
      <c r="J6" s="256" t="s">
        <v>242</v>
      </c>
      <c r="K6" s="256" t="s">
        <v>358</v>
      </c>
      <c r="L6" s="256" t="s">
        <v>359</v>
      </c>
      <c r="M6" s="256" t="s">
        <v>360</v>
      </c>
      <c r="N6" s="256" t="s">
        <v>361</v>
      </c>
      <c r="O6" s="256" t="s">
        <v>362</v>
      </c>
      <c r="P6" s="256" t="s">
        <v>363</v>
      </c>
      <c r="Q6" s="256" t="s">
        <v>364</v>
      </c>
    </row>
    <row r="7" spans="1:18" s="4" customFormat="1" hidden="1"/>
    <row r="8" spans="1:18" hidden="1">
      <c r="A8" s="1">
        <v>1971</v>
      </c>
      <c r="B8" s="119">
        <f>B9</f>
        <v>5520.3</v>
      </c>
      <c r="C8" s="119">
        <f t="shared" ref="C8:C14" si="0">C9</f>
        <v>0</v>
      </c>
      <c r="D8" s="119">
        <f>D9</f>
        <v>13432.8</v>
      </c>
      <c r="E8" s="119">
        <v>10165.799999999999</v>
      </c>
      <c r="F8" s="119">
        <v>17313.5</v>
      </c>
      <c r="G8" s="7">
        <f>SUM(B8:F8)</f>
        <v>46432.399999999994</v>
      </c>
      <c r="H8" s="7">
        <f>G8*0.0443</f>
        <v>2056.9553199999996</v>
      </c>
      <c r="I8" s="7">
        <f>G8*0.0004</f>
        <v>18.572959999999998</v>
      </c>
      <c r="J8" s="7">
        <f>G8*0.0277</f>
        <v>1286.1774799999998</v>
      </c>
      <c r="K8" s="7">
        <f>G8*0.0342</f>
        <v>1587.9880799999999</v>
      </c>
      <c r="L8" s="7">
        <f>G8*0.1448</f>
        <v>6723.4115199999997</v>
      </c>
      <c r="M8" s="7">
        <f>G8*0.2951</f>
        <v>13702.201239999997</v>
      </c>
      <c r="N8" s="7">
        <f>G8*0.0544</f>
        <v>2525.9225599999995</v>
      </c>
      <c r="O8" s="7">
        <f>G8*0.2055</f>
        <v>9541.8581999999988</v>
      </c>
      <c r="P8" s="7">
        <f>G8*0.049</f>
        <v>2275.1875999999997</v>
      </c>
      <c r="Q8" s="7">
        <f>G8*0.1481</f>
        <v>6876.6384399999997</v>
      </c>
      <c r="R8" s="137"/>
    </row>
    <row r="9" spans="1:18" hidden="1">
      <c r="A9" s="1">
        <v>1972</v>
      </c>
      <c r="B9" s="119">
        <f>B10</f>
        <v>5520.3</v>
      </c>
      <c r="C9" s="119">
        <f t="shared" si="0"/>
        <v>0</v>
      </c>
      <c r="D9" s="119">
        <f>D10</f>
        <v>13432.8</v>
      </c>
      <c r="E9" s="119">
        <v>10165.799999999999</v>
      </c>
      <c r="F9" s="119">
        <v>17313.5</v>
      </c>
      <c r="G9" s="7">
        <f t="shared" ref="G9:G44" si="1">SUM(B9:F9)</f>
        <v>46432.399999999994</v>
      </c>
      <c r="H9" s="7">
        <f t="shared" ref="H9:H44" si="2">G9*0.0443</f>
        <v>2056.9553199999996</v>
      </c>
      <c r="I9" s="7">
        <f t="shared" ref="I9:I44" si="3">G9*0.0004</f>
        <v>18.572959999999998</v>
      </c>
      <c r="J9" s="7">
        <f t="shared" ref="J9:J44" si="4">G9*0.0277</f>
        <v>1286.1774799999998</v>
      </c>
      <c r="K9" s="7">
        <f t="shared" ref="K9:K44" si="5">G9*0.0342</f>
        <v>1587.9880799999999</v>
      </c>
      <c r="L9" s="7">
        <f t="shared" ref="L9:L44" si="6">G9*0.1448</f>
        <v>6723.4115199999997</v>
      </c>
      <c r="M9" s="7">
        <f t="shared" ref="M9:M44" si="7">G9*0.2951</f>
        <v>13702.201239999997</v>
      </c>
      <c r="N9" s="7">
        <f t="shared" ref="N9:N44" si="8">G9*0.0544</f>
        <v>2525.9225599999995</v>
      </c>
      <c r="O9" s="7">
        <f t="shared" ref="O9:O44" si="9">G9*0.2055</f>
        <v>9541.8581999999988</v>
      </c>
      <c r="P9" s="7">
        <f t="shared" ref="P9:P44" si="10">G9*0.049</f>
        <v>2275.1875999999997</v>
      </c>
      <c r="Q9" s="7">
        <f t="shared" ref="Q9:Q44" si="11">G9*0.1481</f>
        <v>6876.6384399999997</v>
      </c>
    </row>
    <row r="10" spans="1:18" hidden="1">
      <c r="A10" s="1">
        <v>1973</v>
      </c>
      <c r="B10" s="119">
        <f>B11</f>
        <v>5520.3</v>
      </c>
      <c r="C10" s="119">
        <f t="shared" si="0"/>
        <v>0</v>
      </c>
      <c r="D10" s="119">
        <f>D11</f>
        <v>13432.8</v>
      </c>
      <c r="E10" s="119">
        <v>10165.799999999999</v>
      </c>
      <c r="F10" s="119">
        <v>17313.5</v>
      </c>
      <c r="G10" s="7">
        <f t="shared" si="1"/>
        <v>46432.399999999994</v>
      </c>
      <c r="H10" s="7">
        <f t="shared" si="2"/>
        <v>2056.9553199999996</v>
      </c>
      <c r="I10" s="7">
        <f t="shared" si="3"/>
        <v>18.572959999999998</v>
      </c>
      <c r="J10" s="7">
        <f t="shared" si="4"/>
        <v>1286.1774799999998</v>
      </c>
      <c r="K10" s="7">
        <f t="shared" si="5"/>
        <v>1587.9880799999999</v>
      </c>
      <c r="L10" s="7">
        <f t="shared" si="6"/>
        <v>6723.4115199999997</v>
      </c>
      <c r="M10" s="7">
        <f t="shared" si="7"/>
        <v>13702.201239999997</v>
      </c>
      <c r="N10" s="7">
        <f t="shared" si="8"/>
        <v>2525.9225599999995</v>
      </c>
      <c r="O10" s="7">
        <f t="shared" si="9"/>
        <v>9541.8581999999988</v>
      </c>
      <c r="P10" s="7">
        <f t="shared" si="10"/>
        <v>2275.1875999999997</v>
      </c>
      <c r="Q10" s="7">
        <f t="shared" si="11"/>
        <v>6876.6384399999997</v>
      </c>
    </row>
    <row r="11" spans="1:18" hidden="1">
      <c r="A11" s="1">
        <v>1974</v>
      </c>
      <c r="B11" s="119">
        <f>B12</f>
        <v>5520.3</v>
      </c>
      <c r="C11" s="119">
        <f t="shared" si="0"/>
        <v>0</v>
      </c>
      <c r="D11" s="119">
        <f>D12</f>
        <v>13432.8</v>
      </c>
      <c r="E11" s="119">
        <v>10165.799999999999</v>
      </c>
      <c r="F11" s="119">
        <v>17313.5</v>
      </c>
      <c r="G11" s="7">
        <f t="shared" si="1"/>
        <v>46432.399999999994</v>
      </c>
      <c r="H11" s="7">
        <f t="shared" si="2"/>
        <v>2056.9553199999996</v>
      </c>
      <c r="I11" s="7">
        <f t="shared" si="3"/>
        <v>18.572959999999998</v>
      </c>
      <c r="J11" s="7">
        <f t="shared" si="4"/>
        <v>1286.1774799999998</v>
      </c>
      <c r="K11" s="7">
        <f t="shared" si="5"/>
        <v>1587.9880799999999</v>
      </c>
      <c r="L11" s="7">
        <f t="shared" si="6"/>
        <v>6723.4115199999997</v>
      </c>
      <c r="M11" s="7">
        <f t="shared" si="7"/>
        <v>13702.201239999997</v>
      </c>
      <c r="N11" s="7">
        <f t="shared" si="8"/>
        <v>2525.9225599999995</v>
      </c>
      <c r="O11" s="7">
        <f t="shared" si="9"/>
        <v>9541.8581999999988</v>
      </c>
      <c r="P11" s="7">
        <f t="shared" si="10"/>
        <v>2275.1875999999997</v>
      </c>
      <c r="Q11" s="7">
        <f t="shared" si="11"/>
        <v>6876.6384399999997</v>
      </c>
    </row>
    <row r="12" spans="1:18" hidden="1">
      <c r="A12" s="1">
        <v>1975</v>
      </c>
      <c r="B12" s="119">
        <f>B13</f>
        <v>5520.3</v>
      </c>
      <c r="C12" s="119">
        <f t="shared" si="0"/>
        <v>0</v>
      </c>
      <c r="D12" s="119">
        <f>D13</f>
        <v>13432.8</v>
      </c>
      <c r="E12" s="119">
        <v>10165.799999999999</v>
      </c>
      <c r="F12" s="119">
        <v>17313.5</v>
      </c>
      <c r="G12" s="7">
        <f t="shared" si="1"/>
        <v>46432.399999999994</v>
      </c>
      <c r="H12" s="7">
        <f t="shared" si="2"/>
        <v>2056.9553199999996</v>
      </c>
      <c r="I12" s="7">
        <f t="shared" si="3"/>
        <v>18.572959999999998</v>
      </c>
      <c r="J12" s="7">
        <f t="shared" si="4"/>
        <v>1286.1774799999998</v>
      </c>
      <c r="K12" s="7">
        <f t="shared" si="5"/>
        <v>1587.9880799999999</v>
      </c>
      <c r="L12" s="7">
        <f t="shared" si="6"/>
        <v>6723.4115199999997</v>
      </c>
      <c r="M12" s="7">
        <f t="shared" si="7"/>
        <v>13702.201239999997</v>
      </c>
      <c r="N12" s="7">
        <f t="shared" si="8"/>
        <v>2525.9225599999995</v>
      </c>
      <c r="O12" s="7">
        <f t="shared" si="9"/>
        <v>9541.8581999999988</v>
      </c>
      <c r="P12" s="7">
        <f t="shared" si="10"/>
        <v>2275.1875999999997</v>
      </c>
      <c r="Q12" s="7">
        <f t="shared" si="11"/>
        <v>6876.6384399999997</v>
      </c>
    </row>
    <row r="13" spans="1:18" hidden="1">
      <c r="A13" s="1">
        <v>1976</v>
      </c>
      <c r="B13" s="17">
        <v>5520.3</v>
      </c>
      <c r="C13" s="119">
        <f t="shared" si="0"/>
        <v>0</v>
      </c>
      <c r="D13" s="17">
        <v>13432.8</v>
      </c>
      <c r="E13" s="119">
        <v>10165.799999999999</v>
      </c>
      <c r="F13" s="119">
        <v>17313.5</v>
      </c>
      <c r="G13" s="7">
        <f t="shared" si="1"/>
        <v>46432.399999999994</v>
      </c>
      <c r="H13" s="7">
        <f t="shared" si="2"/>
        <v>2056.9553199999996</v>
      </c>
      <c r="I13" s="7">
        <f t="shared" si="3"/>
        <v>18.572959999999998</v>
      </c>
      <c r="J13" s="7">
        <f t="shared" si="4"/>
        <v>1286.1774799999998</v>
      </c>
      <c r="K13" s="7">
        <f t="shared" si="5"/>
        <v>1587.9880799999999</v>
      </c>
      <c r="L13" s="7">
        <f t="shared" si="6"/>
        <v>6723.4115199999997</v>
      </c>
      <c r="M13" s="7">
        <f t="shared" si="7"/>
        <v>13702.201239999997</v>
      </c>
      <c r="N13" s="7">
        <f t="shared" si="8"/>
        <v>2525.9225599999995</v>
      </c>
      <c r="O13" s="7">
        <f t="shared" si="9"/>
        <v>9541.8581999999988</v>
      </c>
      <c r="P13" s="7">
        <f t="shared" si="10"/>
        <v>2275.1875999999997</v>
      </c>
      <c r="Q13" s="7">
        <f t="shared" si="11"/>
        <v>6876.6384399999997</v>
      </c>
    </row>
    <row r="14" spans="1:18" hidden="1">
      <c r="A14" s="1">
        <v>1977</v>
      </c>
      <c r="B14" s="17">
        <v>6322.3</v>
      </c>
      <c r="C14" s="119">
        <f t="shared" si="0"/>
        <v>0</v>
      </c>
      <c r="D14" s="17">
        <v>15085.6</v>
      </c>
      <c r="E14" s="119">
        <v>10165.799999999999</v>
      </c>
      <c r="F14" s="17">
        <v>17313.5</v>
      </c>
      <c r="G14" s="7">
        <f t="shared" si="1"/>
        <v>48887.199999999997</v>
      </c>
      <c r="H14" s="7">
        <f t="shared" si="2"/>
        <v>2165.7029599999996</v>
      </c>
      <c r="I14" s="7">
        <f t="shared" si="3"/>
        <v>19.554880000000001</v>
      </c>
      <c r="J14" s="7">
        <f t="shared" si="4"/>
        <v>1354.17544</v>
      </c>
      <c r="K14" s="7">
        <f t="shared" si="5"/>
        <v>1671.9422399999999</v>
      </c>
      <c r="L14" s="7">
        <f t="shared" si="6"/>
        <v>7078.8665600000004</v>
      </c>
      <c r="M14" s="7">
        <f t="shared" si="7"/>
        <v>14426.612719999997</v>
      </c>
      <c r="N14" s="7">
        <f t="shared" si="8"/>
        <v>2659.4636799999998</v>
      </c>
      <c r="O14" s="7">
        <f t="shared" si="9"/>
        <v>10046.319599999999</v>
      </c>
      <c r="P14" s="7">
        <f t="shared" si="10"/>
        <v>2395.4728</v>
      </c>
      <c r="Q14" s="7">
        <f t="shared" si="11"/>
        <v>7240.1943199999996</v>
      </c>
    </row>
    <row r="15" spans="1:18" hidden="1">
      <c r="A15" s="1">
        <v>1978</v>
      </c>
      <c r="B15" s="17">
        <v>7622.4</v>
      </c>
      <c r="C15" s="119">
        <f>C16</f>
        <v>0</v>
      </c>
      <c r="D15" s="17">
        <v>13517.7</v>
      </c>
      <c r="E15" s="119">
        <v>10165.799999999999</v>
      </c>
      <c r="F15" s="17">
        <v>25257.9</v>
      </c>
      <c r="G15" s="7">
        <f t="shared" si="1"/>
        <v>56563.8</v>
      </c>
      <c r="H15" s="7">
        <f t="shared" si="2"/>
        <v>2505.7763399999999</v>
      </c>
      <c r="I15" s="7">
        <f t="shared" si="3"/>
        <v>22.625520000000002</v>
      </c>
      <c r="J15" s="7">
        <f t="shared" si="4"/>
        <v>1566.81726</v>
      </c>
      <c r="K15" s="7">
        <f t="shared" si="5"/>
        <v>1934.4819600000001</v>
      </c>
      <c r="L15" s="7">
        <f t="shared" si="6"/>
        <v>8190.4382400000013</v>
      </c>
      <c r="M15" s="7">
        <f t="shared" si="7"/>
        <v>16691.97738</v>
      </c>
      <c r="N15" s="7">
        <f t="shared" si="8"/>
        <v>3077.0707200000002</v>
      </c>
      <c r="O15" s="7">
        <f t="shared" si="9"/>
        <v>11623.8609</v>
      </c>
      <c r="P15" s="7">
        <f t="shared" si="10"/>
        <v>2771.6262000000002</v>
      </c>
      <c r="Q15" s="7">
        <f t="shared" si="11"/>
        <v>8377.0987800000003</v>
      </c>
    </row>
    <row r="16" spans="1:18" hidden="1">
      <c r="A16" s="1">
        <v>1979</v>
      </c>
      <c r="B16" s="17">
        <v>12718.5</v>
      </c>
      <c r="C16" s="17">
        <v>0</v>
      </c>
      <c r="D16" s="17">
        <v>25517.7</v>
      </c>
      <c r="E16" s="17">
        <v>10165.799999999999</v>
      </c>
      <c r="F16" s="17">
        <v>71351.3</v>
      </c>
      <c r="G16" s="7">
        <f>SUM(B16:F16)</f>
        <v>119753.3</v>
      </c>
      <c r="H16" s="7">
        <f t="shared" si="2"/>
        <v>5305.0711899999997</v>
      </c>
      <c r="I16" s="7">
        <f t="shared" si="3"/>
        <v>47.901320000000005</v>
      </c>
      <c r="J16" s="7">
        <f t="shared" si="4"/>
        <v>3317.1664099999998</v>
      </c>
      <c r="K16" s="7">
        <f t="shared" si="5"/>
        <v>4095.5628600000005</v>
      </c>
      <c r="L16" s="7">
        <f t="shared" si="6"/>
        <v>17340.277840000002</v>
      </c>
      <c r="M16" s="7">
        <f t="shared" si="7"/>
        <v>35339.198830000001</v>
      </c>
      <c r="N16" s="7">
        <f t="shared" si="8"/>
        <v>6514.5795200000002</v>
      </c>
      <c r="O16" s="7">
        <f t="shared" si="9"/>
        <v>24609.30315</v>
      </c>
      <c r="P16" s="7">
        <f t="shared" si="10"/>
        <v>5867.9117000000006</v>
      </c>
      <c r="Q16" s="7">
        <f t="shared" si="11"/>
        <v>17735.463730000003</v>
      </c>
    </row>
    <row r="17" spans="1:17" hidden="1">
      <c r="A17" s="1">
        <v>1980</v>
      </c>
      <c r="B17" s="17">
        <v>19265.7</v>
      </c>
      <c r="C17" s="17">
        <v>2088.1999999999998</v>
      </c>
      <c r="D17" s="17">
        <v>27438.7</v>
      </c>
      <c r="E17" s="17">
        <v>12398.8</v>
      </c>
      <c r="F17" s="17">
        <v>85622.1</v>
      </c>
      <c r="G17" s="7">
        <f t="shared" si="1"/>
        <v>146813.5</v>
      </c>
      <c r="H17" s="7">
        <f t="shared" si="2"/>
        <v>6503.8380500000003</v>
      </c>
      <c r="I17" s="7">
        <f t="shared" si="3"/>
        <v>58.7254</v>
      </c>
      <c r="J17" s="7">
        <f t="shared" si="4"/>
        <v>4066.7339499999998</v>
      </c>
      <c r="K17" s="7">
        <f t="shared" si="5"/>
        <v>5021.0217000000002</v>
      </c>
      <c r="L17" s="7">
        <f t="shared" si="6"/>
        <v>21258.594800000003</v>
      </c>
      <c r="M17" s="7">
        <f t="shared" si="7"/>
        <v>43324.663849999997</v>
      </c>
      <c r="N17" s="7">
        <f t="shared" si="8"/>
        <v>7986.6543999999994</v>
      </c>
      <c r="O17" s="7">
        <f t="shared" si="9"/>
        <v>30170.17425</v>
      </c>
      <c r="P17" s="7">
        <f t="shared" si="10"/>
        <v>7193.8615</v>
      </c>
      <c r="Q17" s="7">
        <f t="shared" si="11"/>
        <v>21743.07935</v>
      </c>
    </row>
    <row r="18" spans="1:17" hidden="1">
      <c r="B18" s="17"/>
      <c r="C18" s="17"/>
      <c r="D18" s="17"/>
      <c r="E18" s="17"/>
      <c r="F18" s="17"/>
      <c r="G18" s="7"/>
      <c r="H18" s="7"/>
      <c r="I18" s="7"/>
      <c r="J18" s="7"/>
      <c r="K18" s="7"/>
      <c r="L18" s="7"/>
      <c r="M18" s="7"/>
      <c r="N18" s="7"/>
      <c r="O18" s="7"/>
      <c r="P18" s="7"/>
      <c r="Q18" s="7"/>
    </row>
    <row r="19" spans="1:17" ht="18.75" customHeight="1">
      <c r="A19" s="1">
        <v>1981</v>
      </c>
      <c r="B19" s="17">
        <v>17877.3</v>
      </c>
      <c r="C19" s="17">
        <v>751.7</v>
      </c>
      <c r="D19" s="17">
        <v>20127.099999999999</v>
      </c>
      <c r="E19" s="17">
        <v>3479.8</v>
      </c>
      <c r="F19" s="17">
        <v>44858.1</v>
      </c>
      <c r="G19" s="7">
        <f t="shared" si="1"/>
        <v>87094</v>
      </c>
      <c r="H19" s="7">
        <f t="shared" si="2"/>
        <v>3858.2642000000001</v>
      </c>
      <c r="I19" s="7">
        <f t="shared" si="3"/>
        <v>34.837600000000002</v>
      </c>
      <c r="J19" s="7">
        <f t="shared" si="4"/>
        <v>2412.5038</v>
      </c>
      <c r="K19" s="7">
        <f t="shared" si="5"/>
        <v>2978.6148000000003</v>
      </c>
      <c r="L19" s="7">
        <f t="shared" si="6"/>
        <v>12611.211200000002</v>
      </c>
      <c r="M19" s="7">
        <f t="shared" si="7"/>
        <v>25701.439399999999</v>
      </c>
      <c r="N19" s="7">
        <f t="shared" si="8"/>
        <v>4737.9135999999999</v>
      </c>
      <c r="O19" s="7">
        <f t="shared" si="9"/>
        <v>17897.816999999999</v>
      </c>
      <c r="P19" s="7">
        <f t="shared" si="10"/>
        <v>4267.6059999999998</v>
      </c>
      <c r="Q19" s="7">
        <f t="shared" si="11"/>
        <v>12898.6214</v>
      </c>
    </row>
    <row r="20" spans="1:17" ht="18.75" customHeight="1">
      <c r="A20" s="1">
        <v>1982</v>
      </c>
      <c r="B20" s="17">
        <v>8080.7</v>
      </c>
      <c r="C20" s="17">
        <v>88.3</v>
      </c>
      <c r="D20" s="17">
        <v>14865.5</v>
      </c>
      <c r="E20" s="17">
        <v>3376.7</v>
      </c>
      <c r="F20" s="17">
        <v>31099.4</v>
      </c>
      <c r="G20" s="7">
        <f t="shared" si="1"/>
        <v>57510.600000000006</v>
      </c>
      <c r="H20" s="7">
        <f t="shared" si="2"/>
        <v>2547.7195800000004</v>
      </c>
      <c r="I20" s="7">
        <f t="shared" si="3"/>
        <v>23.004240000000003</v>
      </c>
      <c r="J20" s="7">
        <f t="shared" si="4"/>
        <v>1593.0436200000001</v>
      </c>
      <c r="K20" s="7">
        <f t="shared" si="5"/>
        <v>1966.8625200000004</v>
      </c>
      <c r="L20" s="7">
        <f t="shared" si="6"/>
        <v>8327.5348800000011</v>
      </c>
      <c r="M20" s="7">
        <f t="shared" si="7"/>
        <v>16971.378059999999</v>
      </c>
      <c r="N20" s="7">
        <f t="shared" si="8"/>
        <v>3128.5766400000002</v>
      </c>
      <c r="O20" s="7">
        <f t="shared" si="9"/>
        <v>11818.428300000001</v>
      </c>
      <c r="P20" s="7">
        <f t="shared" si="10"/>
        <v>2818.0194000000006</v>
      </c>
      <c r="Q20" s="7">
        <f t="shared" si="11"/>
        <v>8517.3198600000014</v>
      </c>
    </row>
    <row r="21" spans="1:17" ht="18.75" customHeight="1">
      <c r="A21" s="1">
        <v>1983</v>
      </c>
      <c r="B21" s="17">
        <v>7167.5</v>
      </c>
      <c r="C21" s="17">
        <v>2171.3000000000002</v>
      </c>
      <c r="D21" s="17">
        <v>12744.4</v>
      </c>
      <c r="E21" s="17">
        <v>3547.2</v>
      </c>
      <c r="F21" s="17">
        <v>32035.1</v>
      </c>
      <c r="G21" s="7">
        <f t="shared" si="1"/>
        <v>57665.5</v>
      </c>
      <c r="H21" s="7">
        <f t="shared" si="2"/>
        <v>2554.5816500000001</v>
      </c>
      <c r="I21" s="7">
        <f t="shared" si="3"/>
        <v>23.066200000000002</v>
      </c>
      <c r="J21" s="7">
        <f t="shared" si="4"/>
        <v>1597.3343499999999</v>
      </c>
      <c r="K21" s="7">
        <f t="shared" si="5"/>
        <v>1972.1601000000001</v>
      </c>
      <c r="L21" s="7">
        <f t="shared" si="6"/>
        <v>8349.9644000000008</v>
      </c>
      <c r="M21" s="7">
        <f t="shared" si="7"/>
        <v>17017.089049999999</v>
      </c>
      <c r="N21" s="7">
        <f t="shared" si="8"/>
        <v>3137.0031999999997</v>
      </c>
      <c r="O21" s="7">
        <f t="shared" si="9"/>
        <v>11850.260249999999</v>
      </c>
      <c r="P21" s="7">
        <f t="shared" si="10"/>
        <v>2825.6095</v>
      </c>
      <c r="Q21" s="7">
        <f t="shared" si="11"/>
        <v>8540.2605500000009</v>
      </c>
    </row>
    <row r="22" spans="1:17" ht="18.75" customHeight="1">
      <c r="A22" s="1">
        <v>1984</v>
      </c>
      <c r="B22" s="17">
        <v>14521.2</v>
      </c>
      <c r="C22" s="17">
        <v>1220.2</v>
      </c>
      <c r="D22" s="17">
        <v>11859.4</v>
      </c>
      <c r="E22" s="17">
        <v>4737.3</v>
      </c>
      <c r="F22" s="17">
        <v>34780.800000000003</v>
      </c>
      <c r="G22" s="7">
        <f t="shared" si="1"/>
        <v>67118.900000000009</v>
      </c>
      <c r="H22" s="7">
        <f t="shared" si="2"/>
        <v>2973.3672700000002</v>
      </c>
      <c r="I22" s="7">
        <f t="shared" si="3"/>
        <v>26.847560000000005</v>
      </c>
      <c r="J22" s="7">
        <f t="shared" si="4"/>
        <v>1859.1935300000002</v>
      </c>
      <c r="K22" s="7">
        <f t="shared" si="5"/>
        <v>2295.4663800000003</v>
      </c>
      <c r="L22" s="7">
        <f t="shared" si="6"/>
        <v>9718.8167200000025</v>
      </c>
      <c r="M22" s="7">
        <f t="shared" si="7"/>
        <v>19806.787390000001</v>
      </c>
      <c r="N22" s="7">
        <f t="shared" si="8"/>
        <v>3651.2681600000001</v>
      </c>
      <c r="O22" s="7">
        <f t="shared" si="9"/>
        <v>13792.933950000001</v>
      </c>
      <c r="P22" s="7">
        <f t="shared" si="10"/>
        <v>3288.8261000000007</v>
      </c>
      <c r="Q22" s="7">
        <f t="shared" si="11"/>
        <v>9940.3090900000025</v>
      </c>
    </row>
    <row r="23" spans="1:17" ht="18.75" customHeight="1">
      <c r="A23" s="1">
        <v>1985</v>
      </c>
      <c r="B23" s="17">
        <v>5850</v>
      </c>
      <c r="C23" s="17">
        <v>1606.3</v>
      </c>
      <c r="D23" s="17">
        <v>15268.4</v>
      </c>
      <c r="E23" s="17">
        <v>2715.8</v>
      </c>
      <c r="F23" s="17">
        <v>30485.8</v>
      </c>
      <c r="G23" s="7">
        <f t="shared" si="1"/>
        <v>55926.3</v>
      </c>
      <c r="H23" s="7">
        <f t="shared" si="2"/>
        <v>2477.5350899999999</v>
      </c>
      <c r="I23" s="7">
        <f t="shared" si="3"/>
        <v>22.370520000000003</v>
      </c>
      <c r="J23" s="7">
        <f t="shared" si="4"/>
        <v>1549.15851</v>
      </c>
      <c r="K23" s="7">
        <f t="shared" si="5"/>
        <v>1912.6794600000001</v>
      </c>
      <c r="L23" s="7">
        <f t="shared" si="6"/>
        <v>8098.1282400000009</v>
      </c>
      <c r="M23" s="7">
        <f t="shared" si="7"/>
        <v>16503.851129999999</v>
      </c>
      <c r="N23" s="7">
        <f t="shared" si="8"/>
        <v>3042.3907199999999</v>
      </c>
      <c r="O23" s="7">
        <f t="shared" si="9"/>
        <v>11492.854649999999</v>
      </c>
      <c r="P23" s="7">
        <f t="shared" si="10"/>
        <v>2740.3887000000004</v>
      </c>
      <c r="Q23" s="7">
        <f t="shared" si="11"/>
        <v>8282.6850300000006</v>
      </c>
    </row>
    <row r="24" spans="1:17" ht="18.75" customHeight="1">
      <c r="A24" s="1">
        <v>1986</v>
      </c>
      <c r="B24" s="17">
        <v>4422.7</v>
      </c>
      <c r="C24" s="17">
        <v>3640.3</v>
      </c>
      <c r="D24" s="17">
        <v>13106.2</v>
      </c>
      <c r="E24" s="17">
        <v>5091.6000000000004</v>
      </c>
      <c r="F24" s="17">
        <v>28483.599999999999</v>
      </c>
      <c r="G24" s="7">
        <f t="shared" si="1"/>
        <v>54744.4</v>
      </c>
      <c r="H24" s="7">
        <f t="shared" si="2"/>
        <v>2425.1769199999999</v>
      </c>
      <c r="I24" s="7">
        <f t="shared" si="3"/>
        <v>21.897760000000002</v>
      </c>
      <c r="J24" s="7">
        <f t="shared" si="4"/>
        <v>1516.4198799999999</v>
      </c>
      <c r="K24" s="7">
        <f t="shared" si="5"/>
        <v>1872.2584800000002</v>
      </c>
      <c r="L24" s="7">
        <f t="shared" si="6"/>
        <v>7926.9891200000011</v>
      </c>
      <c r="M24" s="7">
        <f t="shared" si="7"/>
        <v>16155.072439999998</v>
      </c>
      <c r="N24" s="7">
        <f t="shared" si="8"/>
        <v>2978.0953599999998</v>
      </c>
      <c r="O24" s="7">
        <f t="shared" si="9"/>
        <v>11249.974200000001</v>
      </c>
      <c r="P24" s="7">
        <f t="shared" si="10"/>
        <v>2682.4756000000002</v>
      </c>
      <c r="Q24" s="7">
        <f t="shared" si="11"/>
        <v>8107.6456400000006</v>
      </c>
    </row>
    <row r="25" spans="1:17" ht="18.75" customHeight="1">
      <c r="A25" s="1">
        <v>1987</v>
      </c>
      <c r="B25" s="17">
        <v>7834.2</v>
      </c>
      <c r="C25" s="17">
        <v>6520.7</v>
      </c>
      <c r="D25" s="17">
        <v>14973.3</v>
      </c>
      <c r="E25" s="17">
        <v>4346.8</v>
      </c>
      <c r="F25" s="17">
        <v>36435.599999999999</v>
      </c>
      <c r="G25" s="7">
        <f t="shared" si="1"/>
        <v>70110.600000000006</v>
      </c>
      <c r="H25" s="7">
        <f t="shared" si="2"/>
        <v>3105.8995800000002</v>
      </c>
      <c r="I25" s="7">
        <f t="shared" si="3"/>
        <v>28.044240000000002</v>
      </c>
      <c r="J25" s="7">
        <f t="shared" si="4"/>
        <v>1942.0636200000001</v>
      </c>
      <c r="K25" s="7">
        <f t="shared" si="5"/>
        <v>2397.7825200000002</v>
      </c>
      <c r="L25" s="7">
        <f t="shared" si="6"/>
        <v>10152.014880000002</v>
      </c>
      <c r="M25" s="7">
        <f t="shared" si="7"/>
        <v>20689.638060000001</v>
      </c>
      <c r="N25" s="7">
        <f t="shared" si="8"/>
        <v>3814.0166400000003</v>
      </c>
      <c r="O25" s="7">
        <f t="shared" si="9"/>
        <v>14407.728300000001</v>
      </c>
      <c r="P25" s="7">
        <f t="shared" si="10"/>
        <v>3435.4194000000002</v>
      </c>
      <c r="Q25" s="7">
        <f t="shared" si="11"/>
        <v>10383.379860000001</v>
      </c>
    </row>
    <row r="26" spans="1:17" ht="18.75" customHeight="1">
      <c r="A26" s="1">
        <v>1988</v>
      </c>
      <c r="B26" s="17">
        <v>16163.2</v>
      </c>
      <c r="C26" s="17">
        <v>5426.8</v>
      </c>
      <c r="D26" s="17">
        <v>11663.5</v>
      </c>
      <c r="E26" s="17">
        <v>5194.3999999999996</v>
      </c>
      <c r="F26" s="17">
        <v>67056.2</v>
      </c>
      <c r="G26" s="7">
        <f t="shared" si="1"/>
        <v>105504.1</v>
      </c>
      <c r="H26" s="7">
        <f t="shared" si="2"/>
        <v>4673.8316300000006</v>
      </c>
      <c r="I26" s="7">
        <f t="shared" si="3"/>
        <v>42.201640000000005</v>
      </c>
      <c r="J26" s="7">
        <f t="shared" si="4"/>
        <v>2922.4635699999999</v>
      </c>
      <c r="K26" s="7">
        <f t="shared" si="5"/>
        <v>3608.2402200000001</v>
      </c>
      <c r="L26" s="7">
        <f t="shared" si="6"/>
        <v>15276.993680000001</v>
      </c>
      <c r="M26" s="7">
        <f t="shared" si="7"/>
        <v>31134.259910000001</v>
      </c>
      <c r="N26" s="7">
        <f t="shared" si="8"/>
        <v>5739.4230399999997</v>
      </c>
      <c r="O26" s="7">
        <f t="shared" si="9"/>
        <v>21681.092550000001</v>
      </c>
      <c r="P26" s="7">
        <f t="shared" si="10"/>
        <v>5169.7009000000007</v>
      </c>
      <c r="Q26" s="7">
        <f t="shared" si="11"/>
        <v>15625.157210000001</v>
      </c>
    </row>
    <row r="27" spans="1:17" ht="18.75" customHeight="1">
      <c r="A27" s="1">
        <v>1989</v>
      </c>
      <c r="B27" s="17">
        <v>18058.2</v>
      </c>
      <c r="C27" s="17">
        <v>3022.1</v>
      </c>
      <c r="D27" s="17">
        <v>13019.6</v>
      </c>
      <c r="E27" s="17">
        <v>9866.2000000000007</v>
      </c>
      <c r="F27" s="17">
        <v>71170.2</v>
      </c>
      <c r="G27" s="7">
        <f t="shared" si="1"/>
        <v>115136.3</v>
      </c>
      <c r="H27" s="7">
        <f t="shared" si="2"/>
        <v>5100.53809</v>
      </c>
      <c r="I27" s="7">
        <f t="shared" si="3"/>
        <v>46.054520000000004</v>
      </c>
      <c r="J27" s="7">
        <f t="shared" si="4"/>
        <v>3189.2755099999999</v>
      </c>
      <c r="K27" s="7">
        <f t="shared" si="5"/>
        <v>3937.6614600000003</v>
      </c>
      <c r="L27" s="7">
        <f t="shared" si="6"/>
        <v>16671.736240000002</v>
      </c>
      <c r="M27" s="7">
        <f t="shared" si="7"/>
        <v>33976.722129999995</v>
      </c>
      <c r="N27" s="7">
        <f t="shared" si="8"/>
        <v>6263.4147199999998</v>
      </c>
      <c r="O27" s="7">
        <f t="shared" si="9"/>
        <v>23660.50965</v>
      </c>
      <c r="P27" s="7">
        <f t="shared" si="10"/>
        <v>5641.6787000000004</v>
      </c>
      <c r="Q27" s="7">
        <f t="shared" si="11"/>
        <v>17051.686030000001</v>
      </c>
    </row>
    <row r="28" spans="1:17" ht="18.75" customHeight="1">
      <c r="A28" s="1">
        <v>1990</v>
      </c>
      <c r="B28" s="17">
        <v>15392.4</v>
      </c>
      <c r="C28" s="17">
        <v>3246</v>
      </c>
      <c r="D28" s="17">
        <v>9921</v>
      </c>
      <c r="E28" s="17">
        <v>7847.5</v>
      </c>
      <c r="F28" s="17">
        <v>52109.5</v>
      </c>
      <c r="G28" s="7">
        <f t="shared" si="1"/>
        <v>88516.4</v>
      </c>
      <c r="H28" s="7">
        <f t="shared" si="2"/>
        <v>3921.2765199999994</v>
      </c>
      <c r="I28" s="7">
        <f t="shared" si="3"/>
        <v>35.406559999999999</v>
      </c>
      <c r="J28" s="7">
        <f t="shared" si="4"/>
        <v>2451.9042799999997</v>
      </c>
      <c r="K28" s="7">
        <f t="shared" si="5"/>
        <v>3027.2608799999998</v>
      </c>
      <c r="L28" s="7">
        <f t="shared" si="6"/>
        <v>12817.174720000001</v>
      </c>
      <c r="M28" s="7">
        <f t="shared" si="7"/>
        <v>26121.189639999997</v>
      </c>
      <c r="N28" s="7">
        <f t="shared" si="8"/>
        <v>4815.2921599999991</v>
      </c>
      <c r="O28" s="7">
        <f t="shared" si="9"/>
        <v>18190.120199999998</v>
      </c>
      <c r="P28" s="7">
        <f t="shared" si="10"/>
        <v>4337.3036000000002</v>
      </c>
      <c r="Q28" s="7">
        <f t="shared" si="11"/>
        <v>13109.278840000001</v>
      </c>
    </row>
    <row r="29" spans="1:17" ht="18.75" customHeight="1">
      <c r="A29" s="1">
        <v>1991</v>
      </c>
      <c r="B29" s="17">
        <v>15607.3</v>
      </c>
      <c r="C29" s="17">
        <v>2508.6999999999998</v>
      </c>
      <c r="D29" s="17">
        <v>10337.1</v>
      </c>
      <c r="E29" s="17">
        <v>3348.9</v>
      </c>
      <c r="F29" s="17">
        <v>36258.800000000003</v>
      </c>
      <c r="G29" s="7">
        <f t="shared" si="1"/>
        <v>68060.800000000003</v>
      </c>
      <c r="H29" s="7">
        <f t="shared" si="2"/>
        <v>3015.0934400000001</v>
      </c>
      <c r="I29" s="7">
        <f t="shared" si="3"/>
        <v>27.224320000000002</v>
      </c>
      <c r="J29" s="7">
        <f t="shared" si="4"/>
        <v>1885.2841599999999</v>
      </c>
      <c r="K29" s="7">
        <f t="shared" si="5"/>
        <v>2327.6793600000001</v>
      </c>
      <c r="L29" s="7">
        <f t="shared" si="6"/>
        <v>9855.2038400000019</v>
      </c>
      <c r="M29" s="7">
        <f t="shared" si="7"/>
        <v>20084.74208</v>
      </c>
      <c r="N29" s="7">
        <f t="shared" si="8"/>
        <v>3702.5075200000001</v>
      </c>
      <c r="O29" s="7">
        <f t="shared" si="9"/>
        <v>13986.4944</v>
      </c>
      <c r="P29" s="7">
        <f t="shared" si="10"/>
        <v>3334.9792000000002</v>
      </c>
      <c r="Q29" s="7">
        <f t="shared" si="11"/>
        <v>10079.804480000001</v>
      </c>
    </row>
    <row r="30" spans="1:17" ht="18.75" customHeight="1">
      <c r="A30" s="1">
        <v>1992</v>
      </c>
      <c r="B30" s="17">
        <v>17011.2</v>
      </c>
      <c r="C30" s="17">
        <v>1917.5</v>
      </c>
      <c r="D30" s="17">
        <v>8200.2999999999993</v>
      </c>
      <c r="E30" s="17">
        <v>4939.7</v>
      </c>
      <c r="F30" s="17">
        <v>36621.5</v>
      </c>
      <c r="G30" s="7">
        <f t="shared" si="1"/>
        <v>68690.2</v>
      </c>
      <c r="H30" s="7">
        <f t="shared" si="2"/>
        <v>3042.97586</v>
      </c>
      <c r="I30" s="7">
        <f t="shared" si="3"/>
        <v>27.47608</v>
      </c>
      <c r="J30" s="7">
        <f t="shared" si="4"/>
        <v>1902.7185399999998</v>
      </c>
      <c r="K30" s="7">
        <f t="shared" si="5"/>
        <v>2349.2048399999999</v>
      </c>
      <c r="L30" s="7">
        <f t="shared" si="6"/>
        <v>9946.3409599999995</v>
      </c>
      <c r="M30" s="7">
        <f t="shared" si="7"/>
        <v>20270.478019999999</v>
      </c>
      <c r="N30" s="7">
        <f t="shared" si="8"/>
        <v>3736.7468799999997</v>
      </c>
      <c r="O30" s="7">
        <f t="shared" si="9"/>
        <v>14115.836099999999</v>
      </c>
      <c r="P30" s="7">
        <f t="shared" si="10"/>
        <v>3365.8198000000002</v>
      </c>
      <c r="Q30" s="7">
        <f t="shared" si="11"/>
        <v>10173.018620000001</v>
      </c>
    </row>
    <row r="31" spans="1:17" ht="18.75" customHeight="1">
      <c r="A31" s="1">
        <v>1993</v>
      </c>
      <c r="B31" s="17">
        <v>15630.4</v>
      </c>
      <c r="C31" s="17">
        <v>2944.7</v>
      </c>
      <c r="D31" s="17">
        <v>7035.7</v>
      </c>
      <c r="E31" s="17">
        <v>1177.5</v>
      </c>
      <c r="F31" s="17">
        <v>24931.1</v>
      </c>
      <c r="G31" s="7">
        <f t="shared" si="1"/>
        <v>51719.399999999994</v>
      </c>
      <c r="H31" s="7">
        <f t="shared" si="2"/>
        <v>2291.1694199999997</v>
      </c>
      <c r="I31" s="7">
        <f t="shared" si="3"/>
        <v>20.687759999999997</v>
      </c>
      <c r="J31" s="7">
        <f t="shared" si="4"/>
        <v>1432.6273799999997</v>
      </c>
      <c r="K31" s="7">
        <f t="shared" si="5"/>
        <v>1768.8034799999998</v>
      </c>
      <c r="L31" s="7">
        <f t="shared" si="6"/>
        <v>7488.9691199999997</v>
      </c>
      <c r="M31" s="7">
        <f t="shared" si="7"/>
        <v>15262.394939999996</v>
      </c>
      <c r="N31" s="7">
        <f t="shared" si="8"/>
        <v>2813.5353599999994</v>
      </c>
      <c r="O31" s="7">
        <f t="shared" si="9"/>
        <v>10628.336699999998</v>
      </c>
      <c r="P31" s="7">
        <f t="shared" si="10"/>
        <v>2534.2505999999998</v>
      </c>
      <c r="Q31" s="7">
        <f t="shared" si="11"/>
        <v>7659.6431399999992</v>
      </c>
    </row>
    <row r="32" spans="1:17" ht="18.75" customHeight="1">
      <c r="A32" s="1">
        <v>1994</v>
      </c>
      <c r="B32" s="17">
        <v>21757.5</v>
      </c>
      <c r="C32" s="17">
        <v>4781.5</v>
      </c>
      <c r="D32" s="17">
        <v>10137.700000000001</v>
      </c>
      <c r="E32" s="17">
        <v>2207.1999999999998</v>
      </c>
      <c r="F32" s="17">
        <v>33317.800000000003</v>
      </c>
      <c r="G32" s="7">
        <f t="shared" si="1"/>
        <v>72201.7</v>
      </c>
      <c r="H32" s="7">
        <f t="shared" si="2"/>
        <v>3198.5353099999998</v>
      </c>
      <c r="I32" s="7">
        <f t="shared" si="3"/>
        <v>28.880680000000002</v>
      </c>
      <c r="J32" s="7">
        <f t="shared" si="4"/>
        <v>1999.9870899999999</v>
      </c>
      <c r="K32" s="7">
        <f t="shared" si="5"/>
        <v>2469.2981399999999</v>
      </c>
      <c r="L32" s="7">
        <f t="shared" si="6"/>
        <v>10454.80616</v>
      </c>
      <c r="M32" s="7">
        <f t="shared" si="7"/>
        <v>21306.721669999999</v>
      </c>
      <c r="N32" s="7">
        <f t="shared" si="8"/>
        <v>3927.7724799999996</v>
      </c>
      <c r="O32" s="7">
        <f t="shared" si="9"/>
        <v>14837.449349999999</v>
      </c>
      <c r="P32" s="7">
        <f t="shared" si="10"/>
        <v>3537.8833</v>
      </c>
      <c r="Q32" s="7">
        <f t="shared" si="11"/>
        <v>10693.07177</v>
      </c>
    </row>
    <row r="33" spans="1:17" ht="18.75" customHeight="1">
      <c r="A33" s="1">
        <v>1995</v>
      </c>
      <c r="B33" s="17">
        <v>25802.7</v>
      </c>
      <c r="C33" s="17">
        <v>4838.7</v>
      </c>
      <c r="D33" s="17">
        <v>11427</v>
      </c>
      <c r="E33" s="17">
        <v>2767.5</v>
      </c>
      <c r="F33" s="17">
        <v>48908.7</v>
      </c>
      <c r="G33" s="7">
        <f t="shared" si="1"/>
        <v>93744.6</v>
      </c>
      <c r="H33" s="7">
        <f t="shared" si="2"/>
        <v>4152.8857800000005</v>
      </c>
      <c r="I33" s="7">
        <f t="shared" si="3"/>
        <v>37.497840000000004</v>
      </c>
      <c r="J33" s="7">
        <f t="shared" si="4"/>
        <v>2596.7254200000002</v>
      </c>
      <c r="K33" s="7">
        <f t="shared" si="5"/>
        <v>3206.0653200000002</v>
      </c>
      <c r="L33" s="7">
        <f t="shared" si="6"/>
        <v>13574.218080000002</v>
      </c>
      <c r="M33" s="7">
        <f t="shared" si="7"/>
        <v>27664.031459999998</v>
      </c>
      <c r="N33" s="7">
        <f t="shared" si="8"/>
        <v>5099.7062400000004</v>
      </c>
      <c r="O33" s="7">
        <f t="shared" si="9"/>
        <v>19264.515299999999</v>
      </c>
      <c r="P33" s="7">
        <f t="shared" si="10"/>
        <v>4593.4854000000005</v>
      </c>
      <c r="Q33" s="7">
        <f t="shared" si="11"/>
        <v>13883.575260000001</v>
      </c>
    </row>
    <row r="34" spans="1:17" ht="18.75" customHeight="1">
      <c r="A34" s="1">
        <v>1996</v>
      </c>
      <c r="B34" s="315">
        <v>21666</v>
      </c>
      <c r="C34" s="315">
        <v>6462.1</v>
      </c>
      <c r="D34" s="315">
        <v>13914.5</v>
      </c>
      <c r="E34" s="17">
        <v>2666.9</v>
      </c>
      <c r="F34" s="315">
        <v>40320.9</v>
      </c>
      <c r="G34" s="7">
        <f t="shared" si="1"/>
        <v>85030.399999999994</v>
      </c>
      <c r="H34" s="7">
        <f t="shared" si="2"/>
        <v>3766.8467199999996</v>
      </c>
      <c r="I34" s="7">
        <f t="shared" si="3"/>
        <v>34.012160000000002</v>
      </c>
      <c r="J34" s="7">
        <f t="shared" si="4"/>
        <v>2355.3420799999999</v>
      </c>
      <c r="K34" s="7">
        <f t="shared" si="5"/>
        <v>2908.0396799999999</v>
      </c>
      <c r="L34" s="7">
        <f t="shared" si="6"/>
        <v>12312.40192</v>
      </c>
      <c r="M34" s="7">
        <f t="shared" si="7"/>
        <v>25092.471039999997</v>
      </c>
      <c r="N34" s="7">
        <f t="shared" si="8"/>
        <v>4625.6537599999992</v>
      </c>
      <c r="O34" s="7">
        <f t="shared" si="9"/>
        <v>17473.747199999998</v>
      </c>
      <c r="P34" s="7">
        <f t="shared" si="10"/>
        <v>4166.4895999999999</v>
      </c>
      <c r="Q34" s="7">
        <f t="shared" si="11"/>
        <v>12593.00224</v>
      </c>
    </row>
    <row r="35" spans="1:17" ht="18.75" customHeight="1">
      <c r="A35" s="1">
        <v>1997</v>
      </c>
      <c r="B35" s="315">
        <v>27871.599999999999</v>
      </c>
      <c r="C35" s="315">
        <v>3167.3</v>
      </c>
      <c r="D35" s="315">
        <v>16292.4</v>
      </c>
      <c r="E35" s="17">
        <v>2358.4</v>
      </c>
      <c r="F35" s="315">
        <v>35375.800000000003</v>
      </c>
      <c r="G35" s="7">
        <f t="shared" si="1"/>
        <v>85065.5</v>
      </c>
      <c r="H35" s="7">
        <f t="shared" si="2"/>
        <v>3768.4016499999998</v>
      </c>
      <c r="I35" s="7">
        <f t="shared" si="3"/>
        <v>34.026200000000003</v>
      </c>
      <c r="J35" s="7">
        <f t="shared" si="4"/>
        <v>2356.3143500000001</v>
      </c>
      <c r="K35" s="7">
        <f t="shared" si="5"/>
        <v>2909.2401</v>
      </c>
      <c r="L35" s="7">
        <f t="shared" si="6"/>
        <v>12317.484400000001</v>
      </c>
      <c r="M35" s="7">
        <f t="shared" si="7"/>
        <v>25102.829049999997</v>
      </c>
      <c r="N35" s="7">
        <f t="shared" si="8"/>
        <v>4627.5631999999996</v>
      </c>
      <c r="O35" s="7">
        <f t="shared" si="9"/>
        <v>17480.96025</v>
      </c>
      <c r="P35" s="7">
        <f t="shared" si="10"/>
        <v>4168.2094999999999</v>
      </c>
      <c r="Q35" s="7">
        <f t="shared" si="11"/>
        <v>12598.200550000001</v>
      </c>
    </row>
    <row r="36" spans="1:17" ht="18.75" customHeight="1">
      <c r="A36" s="1">
        <v>1998</v>
      </c>
      <c r="B36" s="315">
        <v>33504.1</v>
      </c>
      <c r="C36" s="315">
        <v>3121.9</v>
      </c>
      <c r="D36" s="315">
        <v>12976.4</v>
      </c>
      <c r="E36" s="119">
        <f>E35</f>
        <v>2358.4</v>
      </c>
      <c r="F36" s="315">
        <v>27783.3</v>
      </c>
      <c r="G36" s="7">
        <f t="shared" si="1"/>
        <v>79744.100000000006</v>
      </c>
      <c r="H36" s="7">
        <f t="shared" si="2"/>
        <v>3532.66363</v>
      </c>
      <c r="I36" s="7">
        <f t="shared" si="3"/>
        <v>31.897640000000003</v>
      </c>
      <c r="J36" s="7">
        <f t="shared" si="4"/>
        <v>2208.9115700000002</v>
      </c>
      <c r="K36" s="7">
        <f t="shared" si="5"/>
        <v>2727.2482200000004</v>
      </c>
      <c r="L36" s="7">
        <f t="shared" si="6"/>
        <v>11546.945680000003</v>
      </c>
      <c r="M36" s="7">
        <f t="shared" si="7"/>
        <v>23532.483909999999</v>
      </c>
      <c r="N36" s="7">
        <f t="shared" si="8"/>
        <v>4338.0790399999996</v>
      </c>
      <c r="O36" s="7">
        <f t="shared" si="9"/>
        <v>16387.412550000001</v>
      </c>
      <c r="P36" s="7">
        <f t="shared" si="10"/>
        <v>3907.4609000000005</v>
      </c>
      <c r="Q36" s="7">
        <f t="shared" si="11"/>
        <v>11810.101210000001</v>
      </c>
    </row>
    <row r="37" spans="1:17" ht="18.75" customHeight="1">
      <c r="A37" s="1">
        <v>1999</v>
      </c>
      <c r="B37" s="315">
        <v>30408.7</v>
      </c>
      <c r="C37" s="315">
        <v>1935.2</v>
      </c>
      <c r="D37" s="315">
        <v>7822.4</v>
      </c>
      <c r="E37" s="119">
        <f t="shared" ref="E37:E43" si="12">E36</f>
        <v>2358.4</v>
      </c>
      <c r="F37" s="315">
        <v>35675.9</v>
      </c>
      <c r="G37" s="7">
        <f t="shared" si="1"/>
        <v>78200.600000000006</v>
      </c>
      <c r="H37" s="7">
        <f t="shared" si="2"/>
        <v>3464.2865800000004</v>
      </c>
      <c r="I37" s="7">
        <f t="shared" si="3"/>
        <v>31.280240000000003</v>
      </c>
      <c r="J37" s="7">
        <f t="shared" si="4"/>
        <v>2166.1566200000002</v>
      </c>
      <c r="K37" s="7">
        <f t="shared" si="5"/>
        <v>2674.4605200000001</v>
      </c>
      <c r="L37" s="7">
        <f t="shared" si="6"/>
        <v>11323.446880000001</v>
      </c>
      <c r="M37" s="7">
        <f t="shared" si="7"/>
        <v>23076.997059999998</v>
      </c>
      <c r="N37" s="7">
        <f t="shared" si="8"/>
        <v>4254.1126400000003</v>
      </c>
      <c r="O37" s="7">
        <f t="shared" si="9"/>
        <v>16070.2233</v>
      </c>
      <c r="P37" s="7">
        <f t="shared" si="10"/>
        <v>3831.8294000000005</v>
      </c>
      <c r="Q37" s="7">
        <f t="shared" si="11"/>
        <v>11581.508860000002</v>
      </c>
    </row>
    <row r="38" spans="1:17" ht="18.75" customHeight="1">
      <c r="A38" s="1">
        <v>2000</v>
      </c>
      <c r="B38" s="315">
        <v>28388.2</v>
      </c>
      <c r="C38" s="315">
        <v>1531.2</v>
      </c>
      <c r="D38" s="315">
        <v>9634.9</v>
      </c>
      <c r="E38" s="119">
        <f t="shared" si="12"/>
        <v>2358.4</v>
      </c>
      <c r="F38" s="315">
        <v>50222.6</v>
      </c>
      <c r="G38" s="7">
        <f t="shared" si="1"/>
        <v>92135.3</v>
      </c>
      <c r="H38" s="7">
        <f t="shared" si="2"/>
        <v>4081.5937899999999</v>
      </c>
      <c r="I38" s="7">
        <f t="shared" si="3"/>
        <v>36.854120000000002</v>
      </c>
      <c r="J38" s="7">
        <f t="shared" si="4"/>
        <v>2552.1478099999999</v>
      </c>
      <c r="K38" s="7">
        <f t="shared" si="5"/>
        <v>3151.0272600000003</v>
      </c>
      <c r="L38" s="7">
        <f t="shared" si="6"/>
        <v>13341.191440000002</v>
      </c>
      <c r="M38" s="7">
        <f t="shared" si="7"/>
        <v>27189.12703</v>
      </c>
      <c r="N38" s="7">
        <f t="shared" si="8"/>
        <v>5012.16032</v>
      </c>
      <c r="O38" s="7">
        <f t="shared" si="9"/>
        <v>18933.80415</v>
      </c>
      <c r="P38" s="7">
        <f t="shared" si="10"/>
        <v>4514.6297000000004</v>
      </c>
      <c r="Q38" s="7">
        <f t="shared" si="11"/>
        <v>13645.237930000001</v>
      </c>
    </row>
    <row r="39" spans="1:17" ht="18.75" customHeight="1">
      <c r="A39" s="1">
        <v>2001</v>
      </c>
      <c r="B39" s="315">
        <v>27122.9</v>
      </c>
      <c r="C39" s="315">
        <v>1454.4</v>
      </c>
      <c r="D39" s="315">
        <v>8006.6</v>
      </c>
      <c r="E39" s="119">
        <f t="shared" si="12"/>
        <v>2358.4</v>
      </c>
      <c r="F39" s="315">
        <v>32875.800000000003</v>
      </c>
      <c r="G39" s="7">
        <f t="shared" si="1"/>
        <v>71818.100000000006</v>
      </c>
      <c r="H39" s="7">
        <f t="shared" si="2"/>
        <v>3181.5418300000001</v>
      </c>
      <c r="I39" s="7">
        <f t="shared" si="3"/>
        <v>28.727240000000005</v>
      </c>
      <c r="J39" s="7">
        <f t="shared" si="4"/>
        <v>1989.3613700000001</v>
      </c>
      <c r="K39" s="7">
        <f t="shared" si="5"/>
        <v>2456.1790200000005</v>
      </c>
      <c r="L39" s="7">
        <f t="shared" si="6"/>
        <v>10399.260880000002</v>
      </c>
      <c r="M39" s="7">
        <f t="shared" si="7"/>
        <v>21193.52131</v>
      </c>
      <c r="N39" s="7">
        <f t="shared" si="8"/>
        <v>3906.9046400000002</v>
      </c>
      <c r="O39" s="7">
        <f t="shared" si="9"/>
        <v>14758.619550000001</v>
      </c>
      <c r="P39" s="7">
        <f t="shared" si="10"/>
        <v>3519.0869000000002</v>
      </c>
      <c r="Q39" s="7">
        <f t="shared" si="11"/>
        <v>10636.260610000001</v>
      </c>
    </row>
    <row r="40" spans="1:17" ht="18.75" customHeight="1">
      <c r="A40" s="1">
        <v>2002</v>
      </c>
      <c r="B40" s="315">
        <v>28618.799999999999</v>
      </c>
      <c r="C40" s="315">
        <v>1926</v>
      </c>
      <c r="D40" s="315">
        <v>7901.1</v>
      </c>
      <c r="E40" s="119">
        <f t="shared" si="12"/>
        <v>2358.4</v>
      </c>
      <c r="F40" s="315">
        <v>30552.9</v>
      </c>
      <c r="G40" s="7">
        <f t="shared" si="1"/>
        <v>71357.200000000012</v>
      </c>
      <c r="H40" s="7">
        <f t="shared" si="2"/>
        <v>3161.1239600000004</v>
      </c>
      <c r="I40" s="7">
        <f t="shared" si="3"/>
        <v>28.542880000000007</v>
      </c>
      <c r="J40" s="7">
        <f t="shared" si="4"/>
        <v>1976.5944400000003</v>
      </c>
      <c r="K40" s="7">
        <f t="shared" si="5"/>
        <v>2440.4162400000005</v>
      </c>
      <c r="L40" s="7">
        <f t="shared" si="6"/>
        <v>10332.522560000003</v>
      </c>
      <c r="M40" s="7">
        <f t="shared" si="7"/>
        <v>21057.509720000002</v>
      </c>
      <c r="N40" s="7">
        <f t="shared" si="8"/>
        <v>3881.8316800000002</v>
      </c>
      <c r="O40" s="7">
        <f t="shared" si="9"/>
        <v>14663.904600000002</v>
      </c>
      <c r="P40" s="7">
        <f t="shared" si="10"/>
        <v>3496.5028000000007</v>
      </c>
      <c r="Q40" s="7">
        <f t="shared" si="11"/>
        <v>10568.001320000003</v>
      </c>
    </row>
    <row r="41" spans="1:17" ht="18.75" customHeight="1">
      <c r="A41" s="1">
        <v>2003</v>
      </c>
      <c r="B41" s="315">
        <v>25369</v>
      </c>
      <c r="C41" s="315">
        <v>2037</v>
      </c>
      <c r="D41" s="315">
        <v>8061.6</v>
      </c>
      <c r="E41" s="119">
        <f t="shared" si="12"/>
        <v>2358.4</v>
      </c>
      <c r="F41" s="315">
        <v>39721</v>
      </c>
      <c r="G41" s="7">
        <f t="shared" si="1"/>
        <v>77547</v>
      </c>
      <c r="H41" s="7">
        <f t="shared" si="2"/>
        <v>3435.3321000000001</v>
      </c>
      <c r="I41" s="7">
        <f t="shared" si="3"/>
        <v>31.018800000000002</v>
      </c>
      <c r="J41" s="7">
        <f t="shared" si="4"/>
        <v>2148.0518999999999</v>
      </c>
      <c r="K41" s="7">
        <f t="shared" si="5"/>
        <v>2652.1073999999999</v>
      </c>
      <c r="L41" s="7">
        <f t="shared" si="6"/>
        <v>11228.805600000002</v>
      </c>
      <c r="M41" s="7">
        <f t="shared" si="7"/>
        <v>22884.119699999999</v>
      </c>
      <c r="N41" s="7">
        <f t="shared" si="8"/>
        <v>4218.5567999999994</v>
      </c>
      <c r="O41" s="7">
        <f t="shared" si="9"/>
        <v>15935.9085</v>
      </c>
      <c r="P41" s="7">
        <f t="shared" si="10"/>
        <v>3799.8030000000003</v>
      </c>
      <c r="Q41" s="7">
        <f t="shared" si="11"/>
        <v>11484.710700000001</v>
      </c>
    </row>
    <row r="42" spans="1:17" ht="18.75" customHeight="1">
      <c r="A42" s="1">
        <v>2004</v>
      </c>
      <c r="B42" s="315">
        <v>37994</v>
      </c>
      <c r="C42" s="315">
        <v>1608.6</v>
      </c>
      <c r="D42" s="315">
        <v>11242.4</v>
      </c>
      <c r="E42" s="119">
        <f t="shared" si="12"/>
        <v>2358.4</v>
      </c>
      <c r="F42" s="315">
        <v>62725</v>
      </c>
      <c r="G42" s="7">
        <f t="shared" si="1"/>
        <v>115928.4</v>
      </c>
      <c r="H42" s="7">
        <f t="shared" si="2"/>
        <v>5135.6281199999994</v>
      </c>
      <c r="I42" s="7">
        <f t="shared" si="3"/>
        <v>46.371360000000003</v>
      </c>
      <c r="J42" s="7">
        <f t="shared" si="4"/>
        <v>3211.2166799999995</v>
      </c>
      <c r="K42" s="7">
        <f t="shared" si="5"/>
        <v>3964.75128</v>
      </c>
      <c r="L42" s="7">
        <f t="shared" si="6"/>
        <v>16786.43232</v>
      </c>
      <c r="M42" s="7">
        <f t="shared" si="7"/>
        <v>34210.470839999994</v>
      </c>
      <c r="N42" s="7">
        <f t="shared" si="8"/>
        <v>6306.5049599999993</v>
      </c>
      <c r="O42" s="7">
        <f t="shared" si="9"/>
        <v>23823.286199999999</v>
      </c>
      <c r="P42" s="7">
        <f t="shared" si="10"/>
        <v>5680.4916000000003</v>
      </c>
      <c r="Q42" s="7">
        <f t="shared" si="11"/>
        <v>17168.996040000002</v>
      </c>
    </row>
    <row r="43" spans="1:17" ht="18.75" customHeight="1">
      <c r="A43" s="1">
        <v>2005</v>
      </c>
      <c r="B43" s="315">
        <v>43664.9</v>
      </c>
      <c r="C43" s="315">
        <v>2152.1999999999998</v>
      </c>
      <c r="D43" s="315">
        <v>30760.2</v>
      </c>
      <c r="E43" s="119">
        <f t="shared" si="12"/>
        <v>2358.4</v>
      </c>
      <c r="F43" s="315">
        <v>71669.600000000006</v>
      </c>
      <c r="G43" s="7">
        <f t="shared" si="1"/>
        <v>150605.29999999999</v>
      </c>
      <c r="H43" s="7">
        <f t="shared" si="2"/>
        <v>6671.8147899999994</v>
      </c>
      <c r="I43" s="7">
        <f t="shared" si="3"/>
        <v>60.24212</v>
      </c>
      <c r="J43" s="7">
        <f t="shared" si="4"/>
        <v>4171.7668099999992</v>
      </c>
      <c r="K43" s="7">
        <f t="shared" si="5"/>
        <v>5150.7012599999998</v>
      </c>
      <c r="L43" s="7">
        <f t="shared" si="6"/>
        <v>21807.647440000001</v>
      </c>
      <c r="M43" s="7">
        <f t="shared" si="7"/>
        <v>44443.624029999992</v>
      </c>
      <c r="N43" s="7">
        <f t="shared" si="8"/>
        <v>8192.9283199999991</v>
      </c>
      <c r="O43" s="7">
        <f t="shared" si="9"/>
        <v>30949.389149999995</v>
      </c>
      <c r="P43" s="7">
        <f t="shared" si="10"/>
        <v>7379.6597000000002</v>
      </c>
      <c r="Q43" s="7">
        <f t="shared" si="11"/>
        <v>22304.644929999999</v>
      </c>
    </row>
    <row r="44" spans="1:17" ht="18.75" customHeight="1">
      <c r="A44" s="1">
        <v>2006</v>
      </c>
      <c r="B44" s="315">
        <v>39393.800000000003</v>
      </c>
      <c r="C44" s="315">
        <v>8294.2999999999993</v>
      </c>
      <c r="D44" s="315">
        <v>27533.3</v>
      </c>
      <c r="E44" s="119">
        <f>E43</f>
        <v>2358.4</v>
      </c>
      <c r="F44" s="315">
        <v>129607.9</v>
      </c>
      <c r="G44" s="7">
        <f t="shared" si="1"/>
        <v>207187.7</v>
      </c>
      <c r="H44" s="7">
        <f t="shared" si="2"/>
        <v>9178.4151099999999</v>
      </c>
      <c r="I44" s="7">
        <f t="shared" si="3"/>
        <v>82.875080000000011</v>
      </c>
      <c r="J44" s="7">
        <f t="shared" si="4"/>
        <v>5739.0992900000001</v>
      </c>
      <c r="K44" s="7">
        <f t="shared" si="5"/>
        <v>7085.8193400000009</v>
      </c>
      <c r="L44" s="7">
        <f t="shared" si="6"/>
        <v>30000.778960000003</v>
      </c>
      <c r="M44" s="7">
        <f t="shared" si="7"/>
        <v>61141.090270000001</v>
      </c>
      <c r="N44" s="7">
        <f t="shared" si="8"/>
        <v>11271.01088</v>
      </c>
      <c r="O44" s="7">
        <f t="shared" si="9"/>
        <v>42577.072350000002</v>
      </c>
      <c r="P44" s="7">
        <f t="shared" si="10"/>
        <v>10152.197300000002</v>
      </c>
      <c r="Q44" s="7">
        <f t="shared" si="11"/>
        <v>30684.498370000005</v>
      </c>
    </row>
    <row r="45" spans="1:17" ht="18.75" customHeight="1">
      <c r="A45" s="1">
        <v>2008</v>
      </c>
      <c r="B45" s="315">
        <v>47790</v>
      </c>
      <c r="C45" s="315">
        <v>6958.5</v>
      </c>
      <c r="D45" s="315">
        <v>26079.599999999999</v>
      </c>
      <c r="E45" s="119">
        <f>E44</f>
        <v>2358.4</v>
      </c>
      <c r="F45" s="315">
        <v>186304.7</v>
      </c>
      <c r="G45" s="7">
        <f>SUM(B45:F45)</f>
        <v>269491.20000000001</v>
      </c>
      <c r="H45" s="7">
        <f>G45*0.0443</f>
        <v>11938.460160000001</v>
      </c>
      <c r="I45" s="7">
        <f>G45*0.0004</f>
        <v>107.79648000000002</v>
      </c>
      <c r="J45" s="7">
        <f>G45*0.0277</f>
        <v>7464.9062400000003</v>
      </c>
      <c r="K45" s="7">
        <f>G45*0.0342</f>
        <v>9216.599040000001</v>
      </c>
      <c r="L45" s="7">
        <f>G45*0.1448</f>
        <v>39022.325760000007</v>
      </c>
      <c r="M45" s="7">
        <f>G45*0.2951</f>
        <v>79526.85312</v>
      </c>
      <c r="N45" s="7">
        <f>G45*0.0544</f>
        <v>14660.32128</v>
      </c>
      <c r="O45" s="7">
        <f>G45*0.2055</f>
        <v>55380.441599999998</v>
      </c>
      <c r="P45" s="7">
        <f>G45*0.049</f>
        <v>13205.068800000001</v>
      </c>
      <c r="Q45" s="7">
        <f>G45*0.1481</f>
        <v>39911.646720000004</v>
      </c>
    </row>
    <row r="46" spans="1:17" ht="18.75" customHeight="1">
      <c r="A46" s="1">
        <v>2008</v>
      </c>
      <c r="B46" s="315">
        <v>167230</v>
      </c>
      <c r="C46" s="315">
        <v>6032.1</v>
      </c>
      <c r="D46" s="315">
        <v>59001.3</v>
      </c>
      <c r="E46" s="119">
        <f>E45</f>
        <v>2358.4</v>
      </c>
      <c r="F46" s="315">
        <v>94441.9</v>
      </c>
      <c r="G46" s="7">
        <f>SUM(B46:F46)</f>
        <v>329063.7</v>
      </c>
      <c r="H46" s="7">
        <f>G46*0.0443</f>
        <v>14577.521909999999</v>
      </c>
      <c r="I46" s="7">
        <f>G46*0.0004</f>
        <v>131.62548000000001</v>
      </c>
      <c r="J46" s="7">
        <f>G46*0.0277</f>
        <v>9115.0644900000007</v>
      </c>
      <c r="K46" s="7">
        <f>G46*0.0342</f>
        <v>11253.97854</v>
      </c>
      <c r="L46" s="7">
        <f>G46*0.1448</f>
        <v>47648.423760000005</v>
      </c>
      <c r="M46" s="7">
        <f>G46*0.2951</f>
        <v>97106.697869999989</v>
      </c>
      <c r="N46" s="7">
        <f>G46*0.0544</f>
        <v>17901.065279999999</v>
      </c>
      <c r="O46" s="7">
        <f>G46*0.2055</f>
        <v>67622.590349999999</v>
      </c>
      <c r="P46" s="7">
        <f>G46*0.049</f>
        <v>16124.121300000001</v>
      </c>
      <c r="Q46" s="7">
        <f>G46*0.1481</f>
        <v>48734.333970000007</v>
      </c>
    </row>
    <row r="47" spans="1:17" ht="18.75" customHeight="1">
      <c r="A47" s="1">
        <v>2009</v>
      </c>
      <c r="B47" s="315">
        <v>73213.100000000006</v>
      </c>
      <c r="C47" s="315">
        <v>11073</v>
      </c>
      <c r="D47" s="315">
        <v>34141.599999999999</v>
      </c>
      <c r="E47" s="119">
        <f>E46</f>
        <v>2358.4</v>
      </c>
      <c r="F47" s="315">
        <v>65040.4</v>
      </c>
      <c r="G47" s="7">
        <f>SUM(B47:F47)</f>
        <v>185826.5</v>
      </c>
      <c r="H47" s="7">
        <f>G47*0.0443</f>
        <v>8232.113949999999</v>
      </c>
      <c r="I47" s="7">
        <f>G47*0.0004</f>
        <v>74.330600000000004</v>
      </c>
      <c r="J47" s="7">
        <f>G47*0.0277</f>
        <v>5147.3940499999999</v>
      </c>
      <c r="K47" s="7">
        <f>G47*0.0342</f>
        <v>6355.2663000000002</v>
      </c>
      <c r="L47" s="7">
        <f>G47*0.1448</f>
        <v>26907.677200000002</v>
      </c>
      <c r="M47" s="7">
        <f>G47*0.2951</f>
        <v>54837.400149999994</v>
      </c>
      <c r="N47" s="7">
        <f>G47*0.0544</f>
        <v>10108.961599999999</v>
      </c>
      <c r="O47" s="7">
        <f>G47*0.2055</f>
        <v>38187.34575</v>
      </c>
      <c r="P47" s="7">
        <f>G47*0.049</f>
        <v>9105.4984999999997</v>
      </c>
      <c r="Q47" s="7">
        <f>G47*0.1481</f>
        <v>27520.90465</v>
      </c>
    </row>
    <row r="48" spans="1:17" ht="18.75" customHeight="1">
      <c r="A48" s="1">
        <v>2010</v>
      </c>
      <c r="B48" s="119">
        <f t="shared" ref="B48:D48" si="13">B47</f>
        <v>73213.100000000006</v>
      </c>
      <c r="C48" s="119">
        <f t="shared" si="13"/>
        <v>11073</v>
      </c>
      <c r="D48" s="119">
        <f t="shared" si="13"/>
        <v>34141.599999999999</v>
      </c>
      <c r="E48" s="119">
        <f>E47</f>
        <v>2358.4</v>
      </c>
      <c r="F48" s="119">
        <f>F47</f>
        <v>65040.4</v>
      </c>
      <c r="G48" s="117">
        <f>SUM(B48:F48)</f>
        <v>185826.5</v>
      </c>
      <c r="H48" s="7">
        <f>G48*0.0443</f>
        <v>8232.113949999999</v>
      </c>
      <c r="I48" s="7">
        <f>G48*0.0004</f>
        <v>74.330600000000004</v>
      </c>
      <c r="J48" s="7">
        <f>G48*0.0277</f>
        <v>5147.3940499999999</v>
      </c>
      <c r="K48" s="7">
        <f>G48*0.0342</f>
        <v>6355.2663000000002</v>
      </c>
      <c r="L48" s="7">
        <f>G48*0.1448</f>
        <v>26907.677200000002</v>
      </c>
      <c r="M48" s="7">
        <f>G48*0.2951</f>
        <v>54837.400149999994</v>
      </c>
      <c r="N48" s="7">
        <f>G48*0.0544</f>
        <v>10108.961599999999</v>
      </c>
      <c r="O48" s="7">
        <f>G48*0.2055</f>
        <v>38187.34575</v>
      </c>
      <c r="P48" s="7">
        <f>G48*0.049</f>
        <v>9105.4984999999997</v>
      </c>
      <c r="Q48" s="7">
        <f>G48*0.1481</f>
        <v>27520.90465</v>
      </c>
    </row>
    <row r="49" spans="1:137" ht="18.75" customHeight="1">
      <c r="B49" s="172" t="s">
        <v>435</v>
      </c>
      <c r="C49" s="119"/>
      <c r="D49" s="119"/>
      <c r="E49" s="119"/>
      <c r="F49" s="119"/>
      <c r="G49" s="117"/>
      <c r="H49" s="7"/>
      <c r="I49" s="7"/>
      <c r="J49" s="7"/>
      <c r="K49" s="7"/>
      <c r="L49" s="7"/>
      <c r="M49" s="7"/>
      <c r="N49" s="7"/>
      <c r="O49" s="7"/>
      <c r="P49" s="7"/>
      <c r="Q49" s="7"/>
    </row>
    <row r="50" spans="1:137" s="252" customFormat="1" ht="18.75" customHeight="1">
      <c r="A50" s="252" t="s">
        <v>988</v>
      </c>
      <c r="B50" s="271">
        <f>(POWER(B48/B19, 1/29)-1)*100</f>
        <v>4.981636939936096</v>
      </c>
      <c r="C50" s="271">
        <f t="shared" ref="C50:Q50" si="14">(POWER(C48/C19, 1/29)-1)*100</f>
        <v>9.7194126634378541</v>
      </c>
      <c r="D50" s="271">
        <f t="shared" si="14"/>
        <v>1.838943457119302</v>
      </c>
      <c r="E50" s="271">
        <f t="shared" si="14"/>
        <v>-1.3323936419017413</v>
      </c>
      <c r="F50" s="271">
        <f t="shared" si="14"/>
        <v>1.2892903908345188</v>
      </c>
      <c r="G50" s="271">
        <f t="shared" si="14"/>
        <v>2.6476344074364944</v>
      </c>
      <c r="H50" s="271">
        <f t="shared" si="14"/>
        <v>2.6476344074364944</v>
      </c>
      <c r="I50" s="271">
        <f t="shared" si="14"/>
        <v>2.6476344074364944</v>
      </c>
      <c r="J50" s="271">
        <f t="shared" si="14"/>
        <v>2.6476344074364944</v>
      </c>
      <c r="K50" s="271">
        <f t="shared" si="14"/>
        <v>2.6476344074364944</v>
      </c>
      <c r="L50" s="271">
        <f t="shared" si="14"/>
        <v>2.6476344074364944</v>
      </c>
      <c r="M50" s="271">
        <f t="shared" si="14"/>
        <v>2.6476344074364944</v>
      </c>
      <c r="N50" s="271">
        <f t="shared" si="14"/>
        <v>2.6476344074364944</v>
      </c>
      <c r="O50" s="271">
        <f t="shared" si="14"/>
        <v>2.6476344074364944</v>
      </c>
      <c r="P50" s="271">
        <f t="shared" si="14"/>
        <v>2.6476344074364944</v>
      </c>
      <c r="Q50" s="271">
        <f t="shared" si="14"/>
        <v>2.6476344074364944</v>
      </c>
      <c r="R50" s="271"/>
      <c r="S50" s="271"/>
      <c r="T50" s="271"/>
      <c r="U50" s="271"/>
      <c r="V50" s="271"/>
      <c r="W50" s="271"/>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69"/>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269"/>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row>
    <row r="51" spans="1:137">
      <c r="B51" s="1" t="s">
        <v>1158</v>
      </c>
    </row>
    <row r="52" spans="1:137">
      <c r="B52" s="1" t="s">
        <v>996</v>
      </c>
    </row>
    <row r="53" spans="1:137">
      <c r="B53" s="1" t="s">
        <v>949</v>
      </c>
    </row>
    <row r="54" spans="1:137">
      <c r="B54" s="1" t="s">
        <v>340</v>
      </c>
    </row>
    <row r="55" spans="1:137">
      <c r="B55" s="1" t="s">
        <v>666</v>
      </c>
      <c r="C55" s="206"/>
      <c r="D55" s="206"/>
      <c r="E55" s="206"/>
      <c r="F55" s="206"/>
    </row>
  </sheetData>
  <phoneticPr fontId="0" type="noConversion"/>
  <pageMargins left="0.74803149606299213" right="0.74803149606299213" top="0.98425196850393704" bottom="0.98425196850393704" header="0.51181102362204722" footer="0.51181102362204722"/>
  <pageSetup scale="58" orientation="landscape" r:id="rId1"/>
  <headerFooter alignWithMargins="0"/>
  <rowBreaks count="1" manualBreakCount="1">
    <brk id="59" max="16383" man="1"/>
  </rowBreaks>
</worksheet>
</file>

<file path=xl/worksheets/sheet37.xml><?xml version="1.0" encoding="utf-8"?>
<worksheet xmlns="http://schemas.openxmlformats.org/spreadsheetml/2006/main" xmlns:r="http://schemas.openxmlformats.org/officeDocument/2006/relationships">
  <sheetPr enableFormatConditionsCalculation="0">
    <tabColor indexed="10"/>
    <pageSetUpPr fitToPage="1"/>
  </sheetPr>
  <dimension ref="A1:E83"/>
  <sheetViews>
    <sheetView view="pageBreakPreview" zoomScale="60" workbookViewId="0">
      <selection activeCell="E5" sqref="E5"/>
    </sheetView>
  </sheetViews>
  <sheetFormatPr defaultColWidth="8.875" defaultRowHeight="12.75"/>
  <cols>
    <col min="1" max="1" width="19.75" style="1" customWidth="1"/>
    <col min="2" max="2" width="13.375" style="1" customWidth="1"/>
    <col min="3" max="3" width="12.5" style="1" customWidth="1"/>
    <col min="4" max="4" width="15.75" style="1" customWidth="1"/>
    <col min="5" max="6" width="8.875" style="1" customWidth="1"/>
    <col min="7" max="7" width="9.875" style="1" customWidth="1"/>
    <col min="8" max="16384" width="8.875" style="1"/>
  </cols>
  <sheetData>
    <row r="1" spans="1:5" ht="15.75">
      <c r="A1" s="2" t="s">
        <v>580</v>
      </c>
    </row>
    <row r="3" spans="1:5" ht="45">
      <c r="B3" s="12" t="s">
        <v>476</v>
      </c>
      <c r="C3" s="12" t="s">
        <v>679</v>
      </c>
      <c r="D3" s="12" t="s">
        <v>477</v>
      </c>
      <c r="E3" s="131" t="s">
        <v>355</v>
      </c>
    </row>
    <row r="4" spans="1:5" ht="15">
      <c r="A4" s="3" t="s">
        <v>370</v>
      </c>
      <c r="B4" s="13">
        <f>'new gdp'!U3</f>
        <v>1.5453296703296704</v>
      </c>
      <c r="C4" s="13">
        <f>'new gdp'!U4</f>
        <v>7.4033025468793729</v>
      </c>
      <c r="D4" s="13" t="s">
        <v>75</v>
      </c>
      <c r="E4" s="132">
        <v>4.43</v>
      </c>
    </row>
    <row r="5" spans="1:5" ht="15">
      <c r="A5" s="3" t="s">
        <v>371</v>
      </c>
      <c r="B5" s="13">
        <f>'new gdp'!U12</f>
        <v>0.12190934065934066</v>
      </c>
      <c r="C5" s="13">
        <f>'new gdp'!U13</f>
        <v>7.0902136393320271E-3</v>
      </c>
      <c r="D5" s="13">
        <f>'new gdp'!U14</f>
        <v>0</v>
      </c>
      <c r="E5" s="132">
        <v>0.04</v>
      </c>
    </row>
    <row r="6" spans="1:5" ht="15">
      <c r="A6" s="3" t="s">
        <v>372</v>
      </c>
      <c r="B6" s="13">
        <f>'new gdp'!U20</f>
        <v>2.5618131868131866</v>
      </c>
      <c r="C6" s="13">
        <f>'new gdp'!U21</f>
        <v>1.7490437540815373</v>
      </c>
      <c r="D6" s="13" t="s">
        <v>75</v>
      </c>
      <c r="E6" s="130">
        <v>2.77</v>
      </c>
    </row>
    <row r="7" spans="1:5" ht="15">
      <c r="A7" s="3" t="s">
        <v>373</v>
      </c>
      <c r="B7" s="13">
        <f>'new gdp'!U28</f>
        <v>6.2002060439560438</v>
      </c>
      <c r="C7" s="13">
        <f>'new gdp'!U29</f>
        <v>0.39257393413564701</v>
      </c>
      <c r="D7" s="13">
        <f>'new gdp'!U30</f>
        <v>0</v>
      </c>
      <c r="E7" s="13">
        <v>3.42</v>
      </c>
    </row>
    <row r="8" spans="1:5" ht="15">
      <c r="A8" s="3" t="s">
        <v>374</v>
      </c>
      <c r="B8" s="13">
        <f>'new gdp'!U36</f>
        <v>20.197458791208792</v>
      </c>
      <c r="C8" s="13">
        <f>'new gdp'!U37</f>
        <v>2.352458251702584</v>
      </c>
      <c r="D8" s="13">
        <f>'new gdp'!U38</f>
        <v>1.2452059570652986E-3</v>
      </c>
      <c r="E8" s="13">
        <v>14.48</v>
      </c>
    </row>
    <row r="9" spans="1:5" ht="15">
      <c r="A9" s="3" t="s">
        <v>375</v>
      </c>
      <c r="B9" s="13">
        <f>'new gdp'!U44</f>
        <v>14.718406593406593</v>
      </c>
      <c r="C9" s="13">
        <f>'new gdp'!U45</f>
        <v>5.2700811642877134</v>
      </c>
      <c r="D9" s="13">
        <f>'new gdp'!U46</f>
        <v>8.7164416994570906E-2</v>
      </c>
      <c r="E9" s="13">
        <v>29.51</v>
      </c>
    </row>
    <row r="10" spans="1:5" ht="15">
      <c r="A10" s="3" t="s">
        <v>376</v>
      </c>
      <c r="B10" s="13">
        <f>'new gdp'!U52</f>
        <v>1.1349587912087911</v>
      </c>
      <c r="C10" s="13">
        <f>'new gdp'!U53</f>
        <v>1.0239761171751096</v>
      </c>
      <c r="D10" s="13">
        <f>'new gdp'!U54</f>
        <v>0.28664641131643176</v>
      </c>
      <c r="E10" s="13">
        <v>5.44</v>
      </c>
    </row>
    <row r="11" spans="1:5" ht="15">
      <c r="A11" s="3" t="s">
        <v>377</v>
      </c>
      <c r="B11" s="13">
        <f>'new gdp'!U60</f>
        <v>1.9951923076923079</v>
      </c>
      <c r="C11" s="13">
        <f>'new gdp'!U61</f>
        <v>10.557141524395933</v>
      </c>
      <c r="D11" s="13">
        <f>'new gdp'!U62</f>
        <v>9.1233750062260288</v>
      </c>
      <c r="E11" s="13">
        <v>20.55</v>
      </c>
    </row>
    <row r="12" spans="1:5" ht="15">
      <c r="A12" s="3" t="s">
        <v>378</v>
      </c>
      <c r="B12" s="13">
        <f>'new gdp'!U68</f>
        <v>5.8636675824175821</v>
      </c>
      <c r="C12" s="13">
        <f>'new gdp'!U69</f>
        <v>61.068010075566761</v>
      </c>
      <c r="D12" s="13">
        <f>'new gdp'!U70</f>
        <v>71.673058723912931</v>
      </c>
      <c r="E12" s="13">
        <v>4.9000000000000004</v>
      </c>
    </row>
    <row r="13" spans="1:5" ht="15">
      <c r="A13" s="3" t="s">
        <v>379</v>
      </c>
      <c r="B13" s="13">
        <f>'new gdp'!U76</f>
        <v>45.626717032967036</v>
      </c>
      <c r="C13" s="13">
        <f>'new gdp'!U77</f>
        <v>8.180987032372423</v>
      </c>
      <c r="D13" s="13">
        <f>'new gdp'!U78</f>
        <v>7.1586890471684015</v>
      </c>
      <c r="E13" s="13">
        <v>14.81</v>
      </c>
    </row>
    <row r="14" spans="1:5" ht="15">
      <c r="A14" s="3" t="s">
        <v>321</v>
      </c>
      <c r="B14" s="13">
        <f>'new gdp'!U84</f>
        <v>100</v>
      </c>
      <c r="C14" s="13">
        <f>'new gdp'!U85</f>
        <v>100</v>
      </c>
      <c r="D14" s="13">
        <f>'new gdp'!U86</f>
        <v>100</v>
      </c>
      <c r="E14" s="13">
        <f>'new gdp'!U90</f>
        <v>100</v>
      </c>
    </row>
    <row r="15" spans="1:5">
      <c r="B15" s="132"/>
      <c r="C15" s="132"/>
      <c r="D15" s="132"/>
      <c r="E15" s="132"/>
    </row>
    <row r="16" spans="1:5" ht="69" customHeight="1">
      <c r="A16" s="647" t="s">
        <v>678</v>
      </c>
      <c r="B16" s="647"/>
      <c r="C16" s="647"/>
      <c r="D16" s="647"/>
    </row>
    <row r="17" spans="1:5" ht="26.25" customHeight="1">
      <c r="A17" s="647" t="s">
        <v>356</v>
      </c>
      <c r="B17" s="647"/>
      <c r="C17" s="647"/>
      <c r="D17" s="647"/>
      <c r="E17" s="647"/>
    </row>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sheetData>
  <mergeCells count="2">
    <mergeCell ref="A16:D16"/>
    <mergeCell ref="A17:E17"/>
  </mergeCells>
  <phoneticPr fontId="0" type="noConversion"/>
  <pageMargins left="0.75" right="0.75" top="1" bottom="1" header="0.5" footer="0.5"/>
  <pageSetup orientation="landscape" horizontalDpi="360" verticalDpi="1200" r:id="rId1"/>
  <headerFooter alignWithMargins="0"/>
  <rowBreaks count="2" manualBreakCount="2">
    <brk id="45" max="16383" man="1"/>
    <brk id="51" max="16383" man="1"/>
  </rowBreaks>
</worksheet>
</file>

<file path=xl/worksheets/sheet38.xml><?xml version="1.0" encoding="utf-8"?>
<worksheet xmlns="http://schemas.openxmlformats.org/spreadsheetml/2006/main" xmlns:r="http://schemas.openxmlformats.org/officeDocument/2006/relationships">
  <sheetPr enableFormatConditionsCalculation="0">
    <tabColor indexed="10"/>
  </sheetPr>
  <dimension ref="A1:V94"/>
  <sheetViews>
    <sheetView workbookViewId="0">
      <pane xSplit="1" ySplit="1" topLeftCell="N65" activePane="bottomRight" state="frozen"/>
      <selection activeCell="B44" sqref="B44"/>
      <selection pane="topRight" activeCell="B44" sqref="B44"/>
      <selection pane="bottomLeft" activeCell="B44" sqref="B44"/>
      <selection pane="bottomRight" activeCell="A92" sqref="A92"/>
    </sheetView>
  </sheetViews>
  <sheetFormatPr defaultColWidth="8.875" defaultRowHeight="12.75"/>
  <cols>
    <col min="1" max="1" width="37.75" style="116" customWidth="1"/>
    <col min="2" max="6" width="8.875" style="116"/>
    <col min="7" max="7" width="9.875" style="116" customWidth="1"/>
    <col min="8" max="16384" width="8.875" style="116"/>
  </cols>
  <sheetData>
    <row r="1" spans="1:21">
      <c r="B1" s="116">
        <v>1984</v>
      </c>
      <c r="C1" s="116">
        <v>1985</v>
      </c>
      <c r="D1" s="116">
        <v>1986</v>
      </c>
      <c r="E1" s="116">
        <v>1987</v>
      </c>
      <c r="F1" s="116">
        <v>1988</v>
      </c>
      <c r="G1" s="116">
        <v>1989</v>
      </c>
      <c r="H1" s="116">
        <v>1990</v>
      </c>
      <c r="I1" s="116">
        <v>1991</v>
      </c>
      <c r="J1" s="116">
        <v>1992</v>
      </c>
      <c r="K1" s="116">
        <v>1993</v>
      </c>
      <c r="L1" s="116">
        <v>1994</v>
      </c>
      <c r="M1" s="116">
        <v>1995</v>
      </c>
      <c r="N1" s="116">
        <v>1996</v>
      </c>
      <c r="O1" s="116">
        <v>1997</v>
      </c>
      <c r="P1" s="116">
        <v>1998</v>
      </c>
      <c r="Q1" s="116">
        <v>1999</v>
      </c>
      <c r="R1" s="116">
        <v>2000</v>
      </c>
      <c r="S1" s="116">
        <v>2001</v>
      </c>
      <c r="T1" s="116">
        <v>2002</v>
      </c>
      <c r="U1" s="125" t="s">
        <v>676</v>
      </c>
    </row>
    <row r="2" spans="1:21">
      <c r="A2" s="116" t="s">
        <v>370</v>
      </c>
    </row>
    <row r="3" spans="1:21">
      <c r="A3" s="116" t="s">
        <v>214</v>
      </c>
      <c r="B3" s="116">
        <v>58.5</v>
      </c>
      <c r="C3" s="116">
        <v>49.2</v>
      </c>
      <c r="D3" s="116">
        <v>40.200000000000003</v>
      </c>
      <c r="E3" s="116">
        <v>43.4</v>
      </c>
      <c r="F3" s="116">
        <v>61.1</v>
      </c>
      <c r="G3" s="116">
        <v>64.3</v>
      </c>
      <c r="H3" s="116">
        <v>61</v>
      </c>
      <c r="I3" s="116">
        <v>55.3</v>
      </c>
      <c r="J3" s="116">
        <v>54.5</v>
      </c>
      <c r="K3" s="116">
        <v>67.900000000000006</v>
      </c>
      <c r="L3" s="116">
        <v>79.400000000000006</v>
      </c>
      <c r="M3" s="116">
        <v>88.5</v>
      </c>
      <c r="N3" s="116">
        <v>90.1</v>
      </c>
      <c r="O3" s="116">
        <v>92.9</v>
      </c>
      <c r="P3" s="116">
        <v>92.1</v>
      </c>
      <c r="Q3" s="116">
        <v>100.5</v>
      </c>
      <c r="R3" s="116">
        <v>84.3</v>
      </c>
      <c r="S3" s="116">
        <v>89.6</v>
      </c>
      <c r="T3" s="116">
        <v>90</v>
      </c>
      <c r="U3" s="127">
        <f>T3/T$84*100</f>
        <v>1.5453296703296704</v>
      </c>
    </row>
    <row r="4" spans="1:21">
      <c r="A4" s="125" t="s">
        <v>661</v>
      </c>
      <c r="B4" s="116" t="s">
        <v>662</v>
      </c>
      <c r="C4" s="116" t="s">
        <v>662</v>
      </c>
      <c r="D4" s="116" t="s">
        <v>662</v>
      </c>
      <c r="E4" s="116" t="s">
        <v>662</v>
      </c>
      <c r="F4" s="116" t="s">
        <v>662</v>
      </c>
      <c r="G4" s="116" t="s">
        <v>662</v>
      </c>
      <c r="H4" s="116" t="s">
        <v>662</v>
      </c>
      <c r="I4" s="116" t="s">
        <v>662</v>
      </c>
      <c r="J4" s="116" t="s">
        <v>662</v>
      </c>
      <c r="K4" s="116" t="s">
        <v>662</v>
      </c>
      <c r="L4" s="116" t="s">
        <v>662</v>
      </c>
      <c r="M4" s="116" t="s">
        <v>662</v>
      </c>
      <c r="N4" s="116" t="s">
        <v>662</v>
      </c>
      <c r="O4" s="116">
        <v>477.6</v>
      </c>
      <c r="P4" s="116">
        <v>782.8</v>
      </c>
      <c r="Q4" s="116">
        <v>1100.9000000000001</v>
      </c>
      <c r="R4" s="116">
        <v>2445.6999999999998</v>
      </c>
      <c r="S4" s="116">
        <v>2200.5</v>
      </c>
      <c r="T4" s="116">
        <v>3967.8</v>
      </c>
      <c r="U4" s="127">
        <f>T4/T$85*100</f>
        <v>7.4033025468793729</v>
      </c>
    </row>
    <row r="5" spans="1:21">
      <c r="A5" s="116" t="s">
        <v>215</v>
      </c>
      <c r="B5" s="116" t="s">
        <v>662</v>
      </c>
      <c r="C5" s="116" t="s">
        <v>662</v>
      </c>
      <c r="D5" s="116" t="s">
        <v>662</v>
      </c>
      <c r="E5" s="116" t="s">
        <v>662</v>
      </c>
      <c r="F5" s="116" t="s">
        <v>662</v>
      </c>
      <c r="G5" s="116" t="s">
        <v>662</v>
      </c>
      <c r="H5" s="116" t="s">
        <v>662</v>
      </c>
      <c r="I5" s="116" t="s">
        <v>662</v>
      </c>
      <c r="J5" s="116" t="s">
        <v>662</v>
      </c>
      <c r="K5" s="116" t="s">
        <v>662</v>
      </c>
      <c r="L5" s="116" t="s">
        <v>662</v>
      </c>
      <c r="M5" s="116">
        <v>6.7</v>
      </c>
      <c r="N5" s="116">
        <v>8.1</v>
      </c>
      <c r="O5" s="116" t="s">
        <v>662</v>
      </c>
      <c r="P5" s="116" t="s">
        <v>662</v>
      </c>
      <c r="Q5" s="116" t="s">
        <v>662</v>
      </c>
      <c r="R5" s="116" t="s">
        <v>662</v>
      </c>
      <c r="S5" s="116" t="s">
        <v>662</v>
      </c>
      <c r="T5" s="116" t="s">
        <v>662</v>
      </c>
      <c r="U5" s="127" t="e">
        <f>T5/T$86*100</f>
        <v>#VALUE!</v>
      </c>
    </row>
    <row r="6" spans="1:21">
      <c r="A6" s="125" t="s">
        <v>638</v>
      </c>
      <c r="B6" s="116" t="s">
        <v>642</v>
      </c>
      <c r="C6" s="116" t="s">
        <v>642</v>
      </c>
      <c r="D6" s="116" t="s">
        <v>642</v>
      </c>
      <c r="E6" s="116" t="s">
        <v>642</v>
      </c>
      <c r="F6" s="116" t="s">
        <v>642</v>
      </c>
      <c r="G6" s="116" t="s">
        <v>642</v>
      </c>
      <c r="H6" s="116" t="s">
        <v>642</v>
      </c>
      <c r="I6" s="116" t="s">
        <v>642</v>
      </c>
      <c r="J6" s="116" t="s">
        <v>642</v>
      </c>
      <c r="K6" s="116" t="s">
        <v>642</v>
      </c>
      <c r="L6" s="116" t="s">
        <v>642</v>
      </c>
      <c r="M6" s="116" t="s">
        <v>642</v>
      </c>
      <c r="N6" s="116" t="s">
        <v>642</v>
      </c>
      <c r="O6" s="116" t="s">
        <v>642</v>
      </c>
      <c r="P6" s="116" t="s">
        <v>642</v>
      </c>
      <c r="Q6" s="116" t="s">
        <v>642</v>
      </c>
      <c r="R6" s="116" t="s">
        <v>642</v>
      </c>
      <c r="S6" s="116">
        <v>0</v>
      </c>
      <c r="T6" s="116">
        <v>0</v>
      </c>
      <c r="U6" s="127"/>
    </row>
    <row r="7" spans="1:21">
      <c r="A7" s="125" t="s">
        <v>639</v>
      </c>
      <c r="B7" s="116" t="s">
        <v>662</v>
      </c>
      <c r="C7" s="116" t="s">
        <v>662</v>
      </c>
      <c r="D7" s="116" t="s">
        <v>662</v>
      </c>
      <c r="E7" s="116" t="s">
        <v>662</v>
      </c>
      <c r="F7" s="116" t="s">
        <v>662</v>
      </c>
      <c r="G7" s="116" t="s">
        <v>662</v>
      </c>
      <c r="H7" s="116" t="s">
        <v>662</v>
      </c>
      <c r="I7" s="116" t="s">
        <v>662</v>
      </c>
      <c r="J7" s="116" t="s">
        <v>662</v>
      </c>
      <c r="K7" s="116" t="s">
        <v>662</v>
      </c>
      <c r="L7" s="116" t="s">
        <v>662</v>
      </c>
      <c r="M7" s="116" t="s">
        <v>662</v>
      </c>
      <c r="N7" s="116" t="s">
        <v>662</v>
      </c>
      <c r="O7" s="116" t="s">
        <v>662</v>
      </c>
      <c r="P7" s="116">
        <v>394.1</v>
      </c>
      <c r="Q7" s="116">
        <v>256.39999999999998</v>
      </c>
      <c r="R7" s="116">
        <v>403.2</v>
      </c>
      <c r="S7" s="116">
        <v>357</v>
      </c>
      <c r="T7" s="116">
        <v>280.3</v>
      </c>
      <c r="U7" s="127"/>
    </row>
    <row r="8" spans="1:21">
      <c r="A8" s="125" t="s">
        <v>640</v>
      </c>
      <c r="B8" s="116" t="s">
        <v>662</v>
      </c>
      <c r="C8" s="116" t="s">
        <v>662</v>
      </c>
      <c r="D8" s="116" t="s">
        <v>662</v>
      </c>
      <c r="E8" s="116" t="s">
        <v>662</v>
      </c>
      <c r="F8" s="116" t="s">
        <v>662</v>
      </c>
      <c r="G8" s="116" t="s">
        <v>662</v>
      </c>
      <c r="H8" s="116" t="s">
        <v>662</v>
      </c>
      <c r="I8" s="116" t="s">
        <v>662</v>
      </c>
      <c r="J8" s="116" t="s">
        <v>662</v>
      </c>
      <c r="K8" s="116" t="s">
        <v>662</v>
      </c>
      <c r="L8" s="116" t="s">
        <v>662</v>
      </c>
      <c r="M8" s="116" t="s">
        <v>662</v>
      </c>
      <c r="N8" s="116" t="s">
        <v>662</v>
      </c>
      <c r="O8" s="116" t="s">
        <v>662</v>
      </c>
      <c r="P8" s="116">
        <v>12.3</v>
      </c>
      <c r="Q8" s="116">
        <v>11.9</v>
      </c>
      <c r="R8" s="116">
        <v>13.1</v>
      </c>
      <c r="S8" s="116">
        <v>14.2</v>
      </c>
      <c r="T8" s="116">
        <v>13.9</v>
      </c>
      <c r="U8" s="127"/>
    </row>
    <row r="9" spans="1:21">
      <c r="A9" s="125" t="s">
        <v>641</v>
      </c>
      <c r="B9" s="116">
        <f>SUM(B6:B8)</f>
        <v>0</v>
      </c>
      <c r="C9" s="116">
        <f t="shared" ref="C9:T9" si="0">SUM(C6:C8)</f>
        <v>0</v>
      </c>
      <c r="D9" s="116">
        <f t="shared" si="0"/>
        <v>0</v>
      </c>
      <c r="E9" s="116">
        <f t="shared" si="0"/>
        <v>0</v>
      </c>
      <c r="F9" s="116">
        <f t="shared" si="0"/>
        <v>0</v>
      </c>
      <c r="G9" s="116">
        <f t="shared" si="0"/>
        <v>0</v>
      </c>
      <c r="H9" s="116">
        <f t="shared" si="0"/>
        <v>0</v>
      </c>
      <c r="I9" s="116">
        <f t="shared" si="0"/>
        <v>0</v>
      </c>
      <c r="J9" s="116">
        <f t="shared" si="0"/>
        <v>0</v>
      </c>
      <c r="K9" s="116">
        <f t="shared" si="0"/>
        <v>0</v>
      </c>
      <c r="L9" s="116">
        <f t="shared" si="0"/>
        <v>0</v>
      </c>
      <c r="M9" s="116">
        <f t="shared" si="0"/>
        <v>0</v>
      </c>
      <c r="N9" s="116">
        <f t="shared" si="0"/>
        <v>0</v>
      </c>
      <c r="O9" s="116">
        <f t="shared" si="0"/>
        <v>0</v>
      </c>
      <c r="P9" s="116">
        <f t="shared" si="0"/>
        <v>406.40000000000003</v>
      </c>
      <c r="Q9" s="116">
        <f t="shared" si="0"/>
        <v>268.29999999999995</v>
      </c>
      <c r="R9" s="116">
        <f t="shared" si="0"/>
        <v>416.3</v>
      </c>
      <c r="S9" s="116">
        <f t="shared" si="0"/>
        <v>371.2</v>
      </c>
      <c r="T9" s="116">
        <f t="shared" si="0"/>
        <v>294.2</v>
      </c>
      <c r="U9" s="127">
        <f>T9/T$90*100</f>
        <v>3.4161634928007429</v>
      </c>
    </row>
    <row r="10" spans="1:21">
      <c r="A10" s="125"/>
      <c r="U10" s="127"/>
    </row>
    <row r="11" spans="1:21">
      <c r="A11" s="126" t="s">
        <v>371</v>
      </c>
    </row>
    <row r="12" spans="1:21">
      <c r="A12" s="116" t="s">
        <v>214</v>
      </c>
      <c r="B12" s="116">
        <v>3.2</v>
      </c>
      <c r="C12" s="116">
        <v>3.7</v>
      </c>
      <c r="D12" s="116">
        <v>3.7</v>
      </c>
      <c r="E12" s="116">
        <v>4.4000000000000004</v>
      </c>
      <c r="F12" s="116">
        <v>5.3</v>
      </c>
      <c r="G12" s="116">
        <v>5.6</v>
      </c>
      <c r="H12" s="116">
        <v>6.9</v>
      </c>
      <c r="I12" s="116">
        <v>7.3</v>
      </c>
      <c r="J12" s="116">
        <v>6.4</v>
      </c>
      <c r="K12" s="116">
        <v>9</v>
      </c>
      <c r="L12" s="116">
        <v>8.9</v>
      </c>
      <c r="M12" s="116">
        <v>9.8000000000000007</v>
      </c>
      <c r="N12" s="116">
        <v>15.2</v>
      </c>
      <c r="O12" s="116">
        <v>17.8</v>
      </c>
      <c r="P12" s="116">
        <v>15.6</v>
      </c>
      <c r="Q12" s="116">
        <v>13</v>
      </c>
      <c r="R12" s="116">
        <v>8.3000000000000007</v>
      </c>
      <c r="S12" s="116">
        <v>5.8</v>
      </c>
      <c r="T12" s="116">
        <v>7.1</v>
      </c>
      <c r="U12" s="127">
        <f>T12/T$84*100</f>
        <v>0.12190934065934066</v>
      </c>
    </row>
    <row r="13" spans="1:21">
      <c r="A13" s="125" t="s">
        <v>661</v>
      </c>
      <c r="B13" s="116" t="s">
        <v>662</v>
      </c>
      <c r="C13" s="116" t="s">
        <v>662</v>
      </c>
      <c r="D13" s="116" t="s">
        <v>662</v>
      </c>
      <c r="E13" s="116" t="s">
        <v>662</v>
      </c>
      <c r="F13" s="116" t="s">
        <v>662</v>
      </c>
      <c r="G13" s="116" t="s">
        <v>662</v>
      </c>
      <c r="H13" s="116" t="s">
        <v>662</v>
      </c>
      <c r="I13" s="116" t="s">
        <v>662</v>
      </c>
      <c r="J13" s="116" t="s">
        <v>662</v>
      </c>
      <c r="K13" s="116" t="s">
        <v>662</v>
      </c>
      <c r="L13" s="116" t="s">
        <v>662</v>
      </c>
      <c r="M13" s="116">
        <v>3.2</v>
      </c>
      <c r="N13" s="116">
        <v>2.6</v>
      </c>
      <c r="O13" s="116">
        <v>3.8</v>
      </c>
      <c r="P13" s="116">
        <v>4.9000000000000004</v>
      </c>
      <c r="Q13" s="116">
        <v>8.9</v>
      </c>
      <c r="R13" s="116">
        <v>4.2</v>
      </c>
      <c r="S13" s="116">
        <v>2.9</v>
      </c>
      <c r="T13" s="116">
        <v>3.8</v>
      </c>
      <c r="U13" s="127">
        <f>T13/T$85*100</f>
        <v>7.0902136393320271E-3</v>
      </c>
    </row>
    <row r="14" spans="1:21">
      <c r="A14" s="116" t="s">
        <v>215</v>
      </c>
      <c r="B14" s="116" t="s">
        <v>662</v>
      </c>
      <c r="C14" s="116" t="s">
        <v>662</v>
      </c>
      <c r="D14" s="116" t="s">
        <v>662</v>
      </c>
      <c r="E14" s="116" t="s">
        <v>662</v>
      </c>
      <c r="F14" s="116" t="s">
        <v>662</v>
      </c>
      <c r="G14" s="116" t="s">
        <v>662</v>
      </c>
      <c r="H14" s="116" t="s">
        <v>662</v>
      </c>
      <c r="I14" s="116" t="s">
        <v>662</v>
      </c>
      <c r="J14" s="116" t="s">
        <v>662</v>
      </c>
      <c r="K14" s="116">
        <v>0.3</v>
      </c>
      <c r="L14" s="116">
        <v>0.1</v>
      </c>
      <c r="M14" s="116" t="s">
        <v>662</v>
      </c>
      <c r="N14" s="116" t="s">
        <v>662</v>
      </c>
      <c r="O14" s="116">
        <v>0</v>
      </c>
      <c r="P14" s="116">
        <v>0</v>
      </c>
      <c r="Q14" s="116">
        <v>0</v>
      </c>
      <c r="R14" s="116">
        <v>0</v>
      </c>
      <c r="S14" s="116">
        <v>0</v>
      </c>
      <c r="T14" s="116">
        <v>0</v>
      </c>
      <c r="U14" s="127">
        <f>T14/T$86*100</f>
        <v>0</v>
      </c>
    </row>
    <row r="15" spans="1:21">
      <c r="A15" s="125" t="s">
        <v>638</v>
      </c>
      <c r="B15" s="116" t="s">
        <v>642</v>
      </c>
      <c r="C15" s="116" t="s">
        <v>642</v>
      </c>
      <c r="D15" s="116" t="s">
        <v>642</v>
      </c>
      <c r="E15" s="116" t="s">
        <v>642</v>
      </c>
      <c r="F15" s="116" t="s">
        <v>642</v>
      </c>
      <c r="G15" s="116" t="s">
        <v>642</v>
      </c>
      <c r="H15" s="116" t="s">
        <v>642</v>
      </c>
      <c r="I15" s="116" t="s">
        <v>642</v>
      </c>
      <c r="J15" s="116" t="s">
        <v>642</v>
      </c>
      <c r="K15" s="116" t="s">
        <v>642</v>
      </c>
      <c r="L15" s="116" t="s">
        <v>642</v>
      </c>
      <c r="M15" s="116" t="s">
        <v>642</v>
      </c>
      <c r="N15" s="116" t="s">
        <v>642</v>
      </c>
      <c r="O15" s="116" t="s">
        <v>642</v>
      </c>
      <c r="P15" s="116" t="s">
        <v>642</v>
      </c>
      <c r="Q15" s="116" t="s">
        <v>642</v>
      </c>
      <c r="R15" s="116" t="s">
        <v>642</v>
      </c>
      <c r="S15" s="116">
        <v>0</v>
      </c>
      <c r="T15" s="116">
        <v>0</v>
      </c>
      <c r="U15" s="127"/>
    </row>
    <row r="16" spans="1:21">
      <c r="A16" s="125" t="s">
        <v>639</v>
      </c>
      <c r="B16" s="116" t="s">
        <v>642</v>
      </c>
      <c r="C16" s="116" t="s">
        <v>642</v>
      </c>
      <c r="D16" s="116" t="s">
        <v>642</v>
      </c>
      <c r="E16" s="116" t="s">
        <v>642</v>
      </c>
      <c r="F16" s="116" t="s">
        <v>642</v>
      </c>
      <c r="G16" s="116" t="s">
        <v>642</v>
      </c>
      <c r="H16" s="116" t="s">
        <v>642</v>
      </c>
      <c r="I16" s="116" t="s">
        <v>642</v>
      </c>
      <c r="J16" s="116" t="s">
        <v>642</v>
      </c>
      <c r="K16" s="116" t="s">
        <v>642</v>
      </c>
      <c r="L16" s="116" t="s">
        <v>642</v>
      </c>
      <c r="M16" s="116" t="s">
        <v>642</v>
      </c>
      <c r="N16" s="116" t="s">
        <v>642</v>
      </c>
      <c r="O16" s="116" t="s">
        <v>642</v>
      </c>
      <c r="P16" s="116" t="s">
        <v>642</v>
      </c>
      <c r="Q16" s="116" t="s">
        <v>642</v>
      </c>
      <c r="R16" s="116" t="s">
        <v>642</v>
      </c>
      <c r="S16" s="116">
        <v>0</v>
      </c>
      <c r="T16" s="116">
        <v>0</v>
      </c>
      <c r="U16" s="127"/>
    </row>
    <row r="17" spans="1:21">
      <c r="A17" s="125" t="s">
        <v>640</v>
      </c>
      <c r="B17" s="116">
        <v>0.1</v>
      </c>
      <c r="C17" s="116">
        <v>0.1</v>
      </c>
      <c r="D17" s="116">
        <v>0.2</v>
      </c>
      <c r="E17" s="116">
        <v>0.1</v>
      </c>
      <c r="F17" s="116">
        <v>0.1</v>
      </c>
      <c r="G17" s="116">
        <v>0.1</v>
      </c>
      <c r="H17" s="116">
        <v>0.2</v>
      </c>
      <c r="I17" s="116">
        <v>0.1</v>
      </c>
      <c r="J17" s="116">
        <v>0.1</v>
      </c>
      <c r="K17" s="116" t="s">
        <v>662</v>
      </c>
      <c r="L17" s="116" t="s">
        <v>662</v>
      </c>
      <c r="M17" s="116" t="s">
        <v>662</v>
      </c>
      <c r="N17" s="116" t="s">
        <v>662</v>
      </c>
      <c r="O17" s="116">
        <v>2.9</v>
      </c>
      <c r="P17" s="116">
        <v>4.8</v>
      </c>
      <c r="Q17" s="116">
        <v>8.6</v>
      </c>
      <c r="R17" s="116">
        <v>4</v>
      </c>
      <c r="S17" s="116">
        <v>2.9</v>
      </c>
      <c r="T17" s="116">
        <v>3.8</v>
      </c>
      <c r="U17" s="127"/>
    </row>
    <row r="18" spans="1:21">
      <c r="A18" s="125" t="s">
        <v>641</v>
      </c>
      <c r="B18" s="116">
        <f t="shared" ref="B18:T18" si="1">SUM(B15:B17)</f>
        <v>0.1</v>
      </c>
      <c r="C18" s="116">
        <f t="shared" si="1"/>
        <v>0.1</v>
      </c>
      <c r="D18" s="116">
        <f t="shared" si="1"/>
        <v>0.2</v>
      </c>
      <c r="E18" s="116">
        <f t="shared" si="1"/>
        <v>0.1</v>
      </c>
      <c r="F18" s="116">
        <f t="shared" si="1"/>
        <v>0.1</v>
      </c>
      <c r="G18" s="116">
        <f t="shared" si="1"/>
        <v>0.1</v>
      </c>
      <c r="H18" s="116">
        <f t="shared" si="1"/>
        <v>0.2</v>
      </c>
      <c r="I18" s="116">
        <f t="shared" si="1"/>
        <v>0.1</v>
      </c>
      <c r="J18" s="116">
        <f t="shared" si="1"/>
        <v>0.1</v>
      </c>
      <c r="K18" s="116">
        <f t="shared" si="1"/>
        <v>0</v>
      </c>
      <c r="L18" s="116">
        <f t="shared" si="1"/>
        <v>0</v>
      </c>
      <c r="M18" s="116">
        <f t="shared" si="1"/>
        <v>0</v>
      </c>
      <c r="N18" s="116">
        <f t="shared" si="1"/>
        <v>0</v>
      </c>
      <c r="O18" s="116">
        <f t="shared" si="1"/>
        <v>2.9</v>
      </c>
      <c r="P18" s="116">
        <f t="shared" si="1"/>
        <v>4.8</v>
      </c>
      <c r="Q18" s="116">
        <f t="shared" si="1"/>
        <v>8.6</v>
      </c>
      <c r="R18" s="116">
        <f t="shared" si="1"/>
        <v>4</v>
      </c>
      <c r="S18" s="116">
        <f t="shared" si="1"/>
        <v>2.9</v>
      </c>
      <c r="T18" s="116">
        <f t="shared" si="1"/>
        <v>3.8</v>
      </c>
      <c r="U18" s="127">
        <f>T18/T$90*100</f>
        <v>4.4124477473293081E-2</v>
      </c>
    </row>
    <row r="19" spans="1:21">
      <c r="A19" s="126" t="s">
        <v>372</v>
      </c>
    </row>
    <row r="20" spans="1:21">
      <c r="A20" s="116" t="s">
        <v>214</v>
      </c>
      <c r="B20" s="116">
        <v>53.4</v>
      </c>
      <c r="C20" s="116">
        <v>66.099999999999994</v>
      </c>
      <c r="D20" s="116">
        <v>54.9</v>
      </c>
      <c r="E20" s="116">
        <v>70.599999999999994</v>
      </c>
      <c r="F20" s="116">
        <v>98</v>
      </c>
      <c r="G20" s="116">
        <v>89.7</v>
      </c>
      <c r="H20" s="116">
        <v>86.7</v>
      </c>
      <c r="I20" s="116">
        <v>81.099999999999994</v>
      </c>
      <c r="J20" s="116">
        <v>90.1</v>
      </c>
      <c r="K20" s="116">
        <v>89.7</v>
      </c>
      <c r="L20" s="116">
        <v>96.1</v>
      </c>
      <c r="M20" s="116">
        <v>135</v>
      </c>
      <c r="N20" s="116">
        <v>101.3</v>
      </c>
      <c r="O20" s="116">
        <v>79.099999999999994</v>
      </c>
      <c r="P20" s="116">
        <v>59.2</v>
      </c>
      <c r="Q20" s="116">
        <v>108.2</v>
      </c>
      <c r="R20" s="116">
        <v>133.9</v>
      </c>
      <c r="S20" s="116">
        <v>140.69999999999999</v>
      </c>
      <c r="T20" s="116">
        <v>149.19999999999999</v>
      </c>
      <c r="U20" s="127">
        <f>T20/T$84*100</f>
        <v>2.5618131868131866</v>
      </c>
    </row>
    <row r="21" spans="1:21">
      <c r="A21" s="125" t="s">
        <v>661</v>
      </c>
      <c r="B21" s="116" t="s">
        <v>662</v>
      </c>
      <c r="C21" s="116" t="s">
        <v>662</v>
      </c>
      <c r="D21" s="116" t="s">
        <v>662</v>
      </c>
      <c r="E21" s="116" t="s">
        <v>662</v>
      </c>
      <c r="F21" s="116" t="s">
        <v>662</v>
      </c>
      <c r="G21" s="116" t="s">
        <v>662</v>
      </c>
      <c r="H21" s="116" t="s">
        <v>662</v>
      </c>
      <c r="I21" s="116" t="s">
        <v>662</v>
      </c>
      <c r="J21" s="116" t="s">
        <v>662</v>
      </c>
      <c r="K21" s="116" t="s">
        <v>662</v>
      </c>
      <c r="L21" s="116" t="s">
        <v>662</v>
      </c>
      <c r="M21" s="116" t="s">
        <v>662</v>
      </c>
      <c r="N21" s="116" t="s">
        <v>662</v>
      </c>
      <c r="O21" s="116">
        <v>305.5</v>
      </c>
      <c r="P21" s="116">
        <v>308.2</v>
      </c>
      <c r="Q21" s="116">
        <v>278.3</v>
      </c>
      <c r="R21" s="116">
        <v>988.3</v>
      </c>
      <c r="S21" s="116">
        <v>1098.9000000000001</v>
      </c>
      <c r="T21" s="116">
        <v>937.4</v>
      </c>
      <c r="U21" s="127">
        <f>T21/T$85*100</f>
        <v>1.7490437540815373</v>
      </c>
    </row>
    <row r="22" spans="1:21">
      <c r="A22" s="116" t="s">
        <v>215</v>
      </c>
      <c r="B22" s="116">
        <v>25.8</v>
      </c>
      <c r="C22" s="116">
        <v>29.3</v>
      </c>
      <c r="D22" s="116" t="s">
        <v>662</v>
      </c>
      <c r="E22" s="116" t="s">
        <v>662</v>
      </c>
      <c r="F22" s="116" t="s">
        <v>662</v>
      </c>
      <c r="G22" s="116" t="s">
        <v>662</v>
      </c>
      <c r="H22" s="116" t="s">
        <v>662</v>
      </c>
      <c r="I22" s="116" t="s">
        <v>662</v>
      </c>
      <c r="J22" s="116">
        <v>71.5</v>
      </c>
      <c r="K22" s="116">
        <v>77.2</v>
      </c>
      <c r="L22" s="116">
        <v>104.8</v>
      </c>
      <c r="M22" s="116">
        <v>101</v>
      </c>
      <c r="N22" s="116">
        <v>92.2</v>
      </c>
      <c r="O22" s="116" t="s">
        <v>662</v>
      </c>
      <c r="P22" s="116" t="s">
        <v>662</v>
      </c>
      <c r="Q22" s="116" t="s">
        <v>662</v>
      </c>
      <c r="R22" s="116" t="s">
        <v>662</v>
      </c>
      <c r="S22" s="116" t="s">
        <v>662</v>
      </c>
      <c r="T22" s="116" t="s">
        <v>662</v>
      </c>
      <c r="U22" s="127" t="e">
        <f>T22/T$86*100</f>
        <v>#VALUE!</v>
      </c>
    </row>
    <row r="23" spans="1:21">
      <c r="A23" s="125" t="s">
        <v>638</v>
      </c>
      <c r="B23" s="116">
        <v>125</v>
      </c>
      <c r="C23" s="116">
        <v>123.6</v>
      </c>
      <c r="D23" s="116">
        <v>107.6</v>
      </c>
      <c r="E23" s="116">
        <v>141.9</v>
      </c>
      <c r="F23" s="116">
        <v>113.9</v>
      </c>
      <c r="G23" s="116">
        <v>115.7</v>
      </c>
      <c r="H23" s="116">
        <v>152.30000000000001</v>
      </c>
      <c r="I23" s="116">
        <v>165.3</v>
      </c>
      <c r="J23" s="116">
        <v>130.9</v>
      </c>
      <c r="K23" s="116">
        <v>122.4</v>
      </c>
      <c r="L23" s="116">
        <v>99.7</v>
      </c>
      <c r="M23" s="116">
        <v>97.9</v>
      </c>
      <c r="N23" s="116">
        <v>96.9</v>
      </c>
      <c r="O23" s="116" t="s">
        <v>662</v>
      </c>
      <c r="P23" s="116" t="s">
        <v>662</v>
      </c>
      <c r="Q23" s="116" t="s">
        <v>662</v>
      </c>
      <c r="R23" s="116" t="s">
        <v>662</v>
      </c>
      <c r="S23" s="116" t="s">
        <v>662</v>
      </c>
      <c r="T23" s="116" t="s">
        <v>662</v>
      </c>
      <c r="U23" s="127"/>
    </row>
    <row r="24" spans="1:21">
      <c r="A24" s="125" t="s">
        <v>639</v>
      </c>
      <c r="B24" s="116" t="s">
        <v>642</v>
      </c>
      <c r="C24" s="116" t="s">
        <v>642</v>
      </c>
      <c r="D24" s="116" t="s">
        <v>662</v>
      </c>
      <c r="E24" s="116" t="s">
        <v>662</v>
      </c>
      <c r="F24" s="116" t="s">
        <v>662</v>
      </c>
      <c r="G24" s="116" t="s">
        <v>662</v>
      </c>
      <c r="H24" s="116" t="s">
        <v>662</v>
      </c>
      <c r="I24" s="116" t="s">
        <v>662</v>
      </c>
      <c r="J24" s="116" t="s">
        <v>662</v>
      </c>
      <c r="K24" s="116">
        <v>0</v>
      </c>
      <c r="L24" s="116">
        <v>0</v>
      </c>
      <c r="M24" s="116">
        <v>0</v>
      </c>
      <c r="N24" s="116">
        <v>0</v>
      </c>
      <c r="O24" s="116">
        <v>0</v>
      </c>
      <c r="P24" s="116">
        <v>0</v>
      </c>
      <c r="Q24" s="116">
        <v>0</v>
      </c>
      <c r="R24" s="116">
        <v>0</v>
      </c>
      <c r="S24" s="116">
        <v>0</v>
      </c>
      <c r="T24" s="116">
        <v>0</v>
      </c>
      <c r="U24" s="127"/>
    </row>
    <row r="25" spans="1:21">
      <c r="A25" s="125" t="s">
        <v>640</v>
      </c>
      <c r="B25" s="116" t="s">
        <v>662</v>
      </c>
      <c r="C25" s="116" t="s">
        <v>662</v>
      </c>
      <c r="D25" s="116" t="s">
        <v>662</v>
      </c>
      <c r="E25" s="116" t="s">
        <v>662</v>
      </c>
      <c r="F25" s="116" t="s">
        <v>662</v>
      </c>
      <c r="G25" s="116" t="s">
        <v>662</v>
      </c>
      <c r="H25" s="116" t="s">
        <v>662</v>
      </c>
      <c r="I25" s="116" t="s">
        <v>662</v>
      </c>
      <c r="J25" s="116" t="s">
        <v>662</v>
      </c>
      <c r="K25" s="116">
        <v>81.599999999999994</v>
      </c>
      <c r="L25" s="116">
        <v>88.9</v>
      </c>
      <c r="M25" s="116">
        <v>90.8</v>
      </c>
      <c r="N25" s="116">
        <v>90.6</v>
      </c>
      <c r="O25" s="116" t="s">
        <v>662</v>
      </c>
      <c r="P25" s="116" t="s">
        <v>662</v>
      </c>
      <c r="Q25" s="116" t="s">
        <v>662</v>
      </c>
      <c r="R25" s="116" t="s">
        <v>662</v>
      </c>
      <c r="S25" s="116" t="s">
        <v>662</v>
      </c>
      <c r="T25" s="116" t="s">
        <v>662</v>
      </c>
      <c r="U25" s="127"/>
    </row>
    <row r="26" spans="1:21">
      <c r="A26" s="125" t="s">
        <v>641</v>
      </c>
      <c r="B26" s="116">
        <f t="shared" ref="B26:T26" si="2">SUM(B23:B25)</f>
        <v>125</v>
      </c>
      <c r="C26" s="116">
        <f t="shared" si="2"/>
        <v>123.6</v>
      </c>
      <c r="D26" s="116">
        <f t="shared" si="2"/>
        <v>107.6</v>
      </c>
      <c r="E26" s="116">
        <f t="shared" si="2"/>
        <v>141.9</v>
      </c>
      <c r="F26" s="116">
        <f t="shared" si="2"/>
        <v>113.9</v>
      </c>
      <c r="G26" s="116">
        <f t="shared" si="2"/>
        <v>115.7</v>
      </c>
      <c r="H26" s="116">
        <f t="shared" si="2"/>
        <v>152.30000000000001</v>
      </c>
      <c r="I26" s="116">
        <f t="shared" si="2"/>
        <v>165.3</v>
      </c>
      <c r="J26" s="116">
        <f t="shared" si="2"/>
        <v>130.9</v>
      </c>
      <c r="K26" s="116">
        <f t="shared" si="2"/>
        <v>204</v>
      </c>
      <c r="L26" s="116">
        <f t="shared" si="2"/>
        <v>188.60000000000002</v>
      </c>
      <c r="M26" s="116">
        <f t="shared" si="2"/>
        <v>188.7</v>
      </c>
      <c r="N26" s="116">
        <f t="shared" si="2"/>
        <v>187.5</v>
      </c>
      <c r="O26" s="116">
        <f t="shared" si="2"/>
        <v>0</v>
      </c>
      <c r="P26" s="116">
        <f t="shared" si="2"/>
        <v>0</v>
      </c>
      <c r="Q26" s="116">
        <f t="shared" si="2"/>
        <v>0</v>
      </c>
      <c r="R26" s="116">
        <f t="shared" si="2"/>
        <v>0</v>
      </c>
      <c r="S26" s="116">
        <f t="shared" si="2"/>
        <v>0</v>
      </c>
      <c r="T26" s="116">
        <f t="shared" si="2"/>
        <v>0</v>
      </c>
      <c r="U26" s="116">
        <f>T26/T$90*100</f>
        <v>0</v>
      </c>
    </row>
    <row r="27" spans="1:21">
      <c r="A27" s="126" t="s">
        <v>373</v>
      </c>
    </row>
    <row r="28" spans="1:21">
      <c r="A28" s="116" t="s">
        <v>214</v>
      </c>
      <c r="B28" s="116">
        <v>226.7</v>
      </c>
      <c r="C28" s="116">
        <v>165.9</v>
      </c>
      <c r="D28" s="116">
        <v>159.30000000000001</v>
      </c>
      <c r="E28" s="116">
        <v>193</v>
      </c>
      <c r="F28" s="116">
        <v>258.60000000000002</v>
      </c>
      <c r="G28" s="116">
        <v>271.89999999999998</v>
      </c>
      <c r="H28" s="116">
        <v>242.4</v>
      </c>
      <c r="I28" s="116">
        <v>185.2</v>
      </c>
      <c r="J28" s="116">
        <v>179.1</v>
      </c>
      <c r="K28" s="116">
        <v>181.4</v>
      </c>
      <c r="L28" s="116">
        <v>254</v>
      </c>
      <c r="M28" s="116">
        <v>297</v>
      </c>
      <c r="N28" s="116">
        <v>345.1</v>
      </c>
      <c r="O28" s="116">
        <v>292.3</v>
      </c>
      <c r="P28" s="116">
        <v>230.5</v>
      </c>
      <c r="Q28" s="116">
        <v>310</v>
      </c>
      <c r="R28" s="116">
        <v>286.39999999999998</v>
      </c>
      <c r="S28" s="116">
        <v>308.5</v>
      </c>
      <c r="T28" s="116">
        <v>361.1</v>
      </c>
      <c r="U28" s="127">
        <f>T28/T$84*100</f>
        <v>6.2002060439560438</v>
      </c>
    </row>
    <row r="29" spans="1:21">
      <c r="A29" s="125" t="s">
        <v>661</v>
      </c>
      <c r="B29" s="116" t="s">
        <v>662</v>
      </c>
      <c r="C29" s="116" t="s">
        <v>662</v>
      </c>
      <c r="D29" s="116" t="s">
        <v>662</v>
      </c>
      <c r="E29" s="116" t="s">
        <v>662</v>
      </c>
      <c r="F29" s="116" t="s">
        <v>662</v>
      </c>
      <c r="G29" s="116" t="s">
        <v>662</v>
      </c>
      <c r="H29" s="116" t="s">
        <v>662</v>
      </c>
      <c r="I29" s="116" t="s">
        <v>662</v>
      </c>
      <c r="J29" s="116" t="s">
        <v>662</v>
      </c>
      <c r="K29" s="116" t="s">
        <v>662</v>
      </c>
      <c r="L29" s="116" t="s">
        <v>662</v>
      </c>
      <c r="M29" s="116" t="s">
        <v>662</v>
      </c>
      <c r="N29" s="116" t="s">
        <v>662</v>
      </c>
      <c r="O29" s="116">
        <v>326.5</v>
      </c>
      <c r="P29" s="116">
        <v>277.39999999999998</v>
      </c>
      <c r="Q29" s="116">
        <v>343.2</v>
      </c>
      <c r="R29" s="116">
        <v>310</v>
      </c>
      <c r="S29" s="116">
        <v>309.60000000000002</v>
      </c>
      <c r="T29" s="116">
        <v>210.4</v>
      </c>
      <c r="U29" s="127">
        <f>T29/T$85*100</f>
        <v>0.39257393413564701</v>
      </c>
    </row>
    <row r="30" spans="1:21">
      <c r="A30" s="116" t="s">
        <v>215</v>
      </c>
      <c r="B30" s="116">
        <v>0.6</v>
      </c>
      <c r="C30" s="116">
        <v>0.8</v>
      </c>
      <c r="D30" s="116">
        <v>0.5</v>
      </c>
      <c r="E30" s="116">
        <v>0.6</v>
      </c>
      <c r="F30" s="116" t="s">
        <v>662</v>
      </c>
      <c r="G30" s="116" t="s">
        <v>662</v>
      </c>
      <c r="H30" s="116" t="s">
        <v>662</v>
      </c>
      <c r="I30" s="116" t="s">
        <v>662</v>
      </c>
      <c r="J30" s="116" t="s">
        <v>662</v>
      </c>
      <c r="K30" s="116" t="s">
        <v>662</v>
      </c>
      <c r="L30" s="116" t="s">
        <v>662</v>
      </c>
      <c r="M30" s="116" t="s">
        <v>662</v>
      </c>
      <c r="N30" s="116" t="s">
        <v>662</v>
      </c>
      <c r="O30" s="116">
        <v>0</v>
      </c>
      <c r="P30" s="116">
        <v>0</v>
      </c>
      <c r="Q30" s="116">
        <v>0</v>
      </c>
      <c r="R30" s="116">
        <v>0</v>
      </c>
      <c r="S30" s="116">
        <v>0</v>
      </c>
      <c r="T30" s="116">
        <v>0</v>
      </c>
      <c r="U30" s="127">
        <f>T30/T$86*100</f>
        <v>0</v>
      </c>
    </row>
    <row r="31" spans="1:21">
      <c r="A31" s="125" t="s">
        <v>638</v>
      </c>
      <c r="B31" s="116" t="s">
        <v>662</v>
      </c>
      <c r="C31" s="116" t="s">
        <v>662</v>
      </c>
      <c r="D31" s="116" t="s">
        <v>662</v>
      </c>
      <c r="E31" s="116" t="s">
        <v>662</v>
      </c>
      <c r="F31" s="116" t="s">
        <v>662</v>
      </c>
      <c r="G31" s="116" t="s">
        <v>662</v>
      </c>
      <c r="H31" s="116" t="s">
        <v>662</v>
      </c>
      <c r="I31" s="116" t="s">
        <v>662</v>
      </c>
      <c r="J31" s="116" t="s">
        <v>662</v>
      </c>
      <c r="K31" s="116" t="s">
        <v>662</v>
      </c>
      <c r="L31" s="116" t="s">
        <v>662</v>
      </c>
      <c r="M31" s="116" t="s">
        <v>662</v>
      </c>
      <c r="N31" s="116" t="s">
        <v>662</v>
      </c>
      <c r="O31" s="116" t="s">
        <v>662</v>
      </c>
      <c r="P31" s="116" t="s">
        <v>662</v>
      </c>
      <c r="Q31" s="116" t="s">
        <v>662</v>
      </c>
      <c r="R31" s="116">
        <v>11.3</v>
      </c>
      <c r="S31" s="116" t="s">
        <v>662</v>
      </c>
      <c r="T31" s="116">
        <v>6.9</v>
      </c>
      <c r="U31" s="127"/>
    </row>
    <row r="32" spans="1:21">
      <c r="A32" s="125" t="s">
        <v>639</v>
      </c>
      <c r="B32" s="116" t="s">
        <v>662</v>
      </c>
      <c r="C32" s="116" t="s">
        <v>662</v>
      </c>
      <c r="D32" s="116" t="s">
        <v>662</v>
      </c>
      <c r="E32" s="116" t="s">
        <v>662</v>
      </c>
      <c r="F32" s="116" t="s">
        <v>662</v>
      </c>
      <c r="G32" s="116" t="s">
        <v>662</v>
      </c>
      <c r="H32" s="116" t="s">
        <v>662</v>
      </c>
      <c r="I32" s="116" t="s">
        <v>662</v>
      </c>
      <c r="J32" s="116">
        <v>183</v>
      </c>
      <c r="K32" s="116" t="s">
        <v>662</v>
      </c>
      <c r="L32" s="116" t="s">
        <v>662</v>
      </c>
      <c r="M32" s="116" t="s">
        <v>662</v>
      </c>
      <c r="N32" s="116" t="s">
        <v>662</v>
      </c>
      <c r="O32" s="116" t="s">
        <v>662</v>
      </c>
      <c r="P32" s="116" t="s">
        <v>662</v>
      </c>
      <c r="Q32" s="116" t="s">
        <v>662</v>
      </c>
      <c r="R32" s="116" t="s">
        <v>662</v>
      </c>
      <c r="S32" s="116" t="s">
        <v>662</v>
      </c>
      <c r="T32" s="116" t="s">
        <v>662</v>
      </c>
      <c r="U32" s="127"/>
    </row>
    <row r="33" spans="1:21">
      <c r="A33" s="125" t="s">
        <v>640</v>
      </c>
      <c r="B33" s="116" t="s">
        <v>662</v>
      </c>
      <c r="C33" s="116" t="s">
        <v>662</v>
      </c>
      <c r="D33" s="116" t="s">
        <v>662</v>
      </c>
      <c r="E33" s="116" t="s">
        <v>662</v>
      </c>
      <c r="F33" s="116" t="s">
        <v>662</v>
      </c>
      <c r="G33" s="116" t="s">
        <v>662</v>
      </c>
      <c r="H33" s="116" t="s">
        <v>662</v>
      </c>
      <c r="I33" s="116" t="s">
        <v>662</v>
      </c>
      <c r="J33" s="116" t="s">
        <v>662</v>
      </c>
      <c r="K33" s="116" t="s">
        <v>662</v>
      </c>
      <c r="L33" s="116" t="s">
        <v>662</v>
      </c>
      <c r="M33" s="116">
        <v>216.5</v>
      </c>
      <c r="N33" s="116">
        <v>206.5</v>
      </c>
      <c r="O33" s="116" t="s">
        <v>662</v>
      </c>
      <c r="P33" s="116">
        <v>140.5</v>
      </c>
      <c r="Q33" s="116" t="s">
        <v>662</v>
      </c>
      <c r="R33" s="116" t="s">
        <v>662</v>
      </c>
      <c r="S33" s="116" t="s">
        <v>662</v>
      </c>
      <c r="T33" s="116" t="s">
        <v>662</v>
      </c>
      <c r="U33" s="127"/>
    </row>
    <row r="34" spans="1:21">
      <c r="A34" s="125" t="s">
        <v>641</v>
      </c>
      <c r="B34" s="116">
        <f t="shared" ref="B34:T34" si="3">SUM(B31:B33)</f>
        <v>0</v>
      </c>
      <c r="C34" s="116">
        <f t="shared" si="3"/>
        <v>0</v>
      </c>
      <c r="D34" s="116">
        <f t="shared" si="3"/>
        <v>0</v>
      </c>
      <c r="E34" s="116">
        <f t="shared" si="3"/>
        <v>0</v>
      </c>
      <c r="F34" s="116">
        <f t="shared" si="3"/>
        <v>0</v>
      </c>
      <c r="G34" s="116">
        <f t="shared" si="3"/>
        <v>0</v>
      </c>
      <c r="H34" s="116">
        <f t="shared" si="3"/>
        <v>0</v>
      </c>
      <c r="I34" s="116">
        <f t="shared" si="3"/>
        <v>0</v>
      </c>
      <c r="J34" s="116">
        <f t="shared" si="3"/>
        <v>183</v>
      </c>
      <c r="K34" s="116">
        <f t="shared" si="3"/>
        <v>0</v>
      </c>
      <c r="L34" s="116">
        <f t="shared" si="3"/>
        <v>0</v>
      </c>
      <c r="M34" s="116">
        <f t="shared" si="3"/>
        <v>216.5</v>
      </c>
      <c r="N34" s="116">
        <f t="shared" si="3"/>
        <v>206.5</v>
      </c>
      <c r="O34" s="116">
        <f t="shared" si="3"/>
        <v>0</v>
      </c>
      <c r="P34" s="116">
        <f t="shared" si="3"/>
        <v>140.5</v>
      </c>
      <c r="Q34" s="116">
        <f t="shared" si="3"/>
        <v>0</v>
      </c>
      <c r="R34" s="116">
        <f t="shared" si="3"/>
        <v>11.3</v>
      </c>
      <c r="S34" s="116">
        <f t="shared" si="3"/>
        <v>0</v>
      </c>
      <c r="T34" s="116">
        <f t="shared" si="3"/>
        <v>6.9</v>
      </c>
      <c r="U34" s="127">
        <f>T34/T$90*100</f>
        <v>8.0120761727821649E-2</v>
      </c>
    </row>
    <row r="35" spans="1:21">
      <c r="A35" s="126" t="s">
        <v>374</v>
      </c>
    </row>
    <row r="36" spans="1:21">
      <c r="A36" s="116" t="s">
        <v>214</v>
      </c>
      <c r="B36" s="116">
        <v>486.6</v>
      </c>
      <c r="C36" s="116">
        <v>509.5</v>
      </c>
      <c r="D36" s="116">
        <v>517</v>
      </c>
      <c r="E36" s="116">
        <v>683.8</v>
      </c>
      <c r="F36" s="116">
        <v>771.5</v>
      </c>
      <c r="G36" s="116">
        <v>855.3</v>
      </c>
      <c r="H36" s="116">
        <v>722.4</v>
      </c>
      <c r="I36" s="116">
        <v>623.5</v>
      </c>
      <c r="J36" s="116">
        <v>657.3</v>
      </c>
      <c r="K36" s="116">
        <v>730</v>
      </c>
      <c r="L36" s="116">
        <v>732.8</v>
      </c>
      <c r="M36" s="116">
        <v>955.6</v>
      </c>
      <c r="N36" s="116">
        <v>789.9</v>
      </c>
      <c r="O36" s="116">
        <v>798.1</v>
      </c>
      <c r="P36" s="116">
        <v>992.7</v>
      </c>
      <c r="Q36" s="116">
        <v>965.8</v>
      </c>
      <c r="R36" s="116">
        <v>1185</v>
      </c>
      <c r="S36" s="116">
        <v>1101.0999999999999</v>
      </c>
      <c r="T36" s="116">
        <v>1176.3</v>
      </c>
      <c r="U36" s="127">
        <f>T36/T$84*100</f>
        <v>20.197458791208792</v>
      </c>
    </row>
    <row r="37" spans="1:21">
      <c r="A37" s="125" t="s">
        <v>661</v>
      </c>
      <c r="B37" s="116">
        <v>928.9</v>
      </c>
      <c r="C37" s="116">
        <v>983.1</v>
      </c>
      <c r="D37" s="116">
        <v>996.6</v>
      </c>
      <c r="E37" s="116">
        <v>1291.8</v>
      </c>
      <c r="F37" s="116">
        <v>1292.9000000000001</v>
      </c>
      <c r="G37" s="116">
        <v>1367.3</v>
      </c>
      <c r="H37" s="116">
        <v>1439.4</v>
      </c>
      <c r="I37" s="116">
        <v>1368.8</v>
      </c>
      <c r="J37" s="116">
        <v>1178.0999999999999</v>
      </c>
      <c r="K37" s="116">
        <v>1153.5999999999999</v>
      </c>
      <c r="L37" s="116">
        <v>1309.2</v>
      </c>
      <c r="M37" s="116">
        <v>1509.6</v>
      </c>
      <c r="N37" s="116">
        <v>1469.2</v>
      </c>
      <c r="O37" s="116">
        <v>1413.3</v>
      </c>
      <c r="P37" s="116">
        <v>1510.8</v>
      </c>
      <c r="Q37" s="116">
        <v>1393.9</v>
      </c>
      <c r="R37" s="116">
        <v>1523.8</v>
      </c>
      <c r="S37" s="116">
        <v>1250.2</v>
      </c>
      <c r="T37" s="116">
        <v>1260.8</v>
      </c>
      <c r="U37" s="127">
        <f>T37/T$85*100</f>
        <v>2.352458251702584</v>
      </c>
    </row>
    <row r="38" spans="1:21">
      <c r="A38" s="116" t="s">
        <v>215</v>
      </c>
      <c r="B38" s="116">
        <v>10.199999999999999</v>
      </c>
      <c r="C38" s="116">
        <v>10.6</v>
      </c>
      <c r="D38" s="116">
        <v>7.6</v>
      </c>
      <c r="E38" s="116">
        <v>5.4</v>
      </c>
      <c r="F38" s="116">
        <v>43.9</v>
      </c>
      <c r="G38" s="116">
        <v>45.1</v>
      </c>
      <c r="H38" s="116">
        <v>47.8</v>
      </c>
      <c r="I38" s="116">
        <v>52.8</v>
      </c>
      <c r="J38" s="116">
        <v>51.1</v>
      </c>
      <c r="K38" s="116">
        <v>5.2</v>
      </c>
      <c r="L38" s="116">
        <v>2.8</v>
      </c>
      <c r="M38" s="116">
        <v>2.1</v>
      </c>
      <c r="N38" s="116">
        <v>1.1000000000000001</v>
      </c>
      <c r="O38" s="116">
        <v>0</v>
      </c>
      <c r="P38" s="116">
        <v>0.5</v>
      </c>
      <c r="Q38" s="116">
        <v>0.2</v>
      </c>
      <c r="R38" s="116">
        <v>0</v>
      </c>
      <c r="S38" s="116">
        <v>0</v>
      </c>
      <c r="T38" s="116">
        <v>0.5</v>
      </c>
      <c r="U38" s="127">
        <f>T38/T$86*100</f>
        <v>1.2452059570652986E-3</v>
      </c>
    </row>
    <row r="39" spans="1:21">
      <c r="A39" s="125" t="s">
        <v>638</v>
      </c>
      <c r="B39" s="116" t="s">
        <v>642</v>
      </c>
      <c r="C39" s="116" t="s">
        <v>642</v>
      </c>
      <c r="D39" s="116" t="s">
        <v>642</v>
      </c>
      <c r="E39" s="116" t="s">
        <v>642</v>
      </c>
      <c r="F39" s="116" t="s">
        <v>642</v>
      </c>
      <c r="G39" s="116" t="s">
        <v>642</v>
      </c>
      <c r="H39" s="116" t="s">
        <v>642</v>
      </c>
      <c r="I39" s="116" t="s">
        <v>642</v>
      </c>
      <c r="J39" s="116" t="s">
        <v>642</v>
      </c>
      <c r="K39" s="116" t="s">
        <v>642</v>
      </c>
      <c r="L39" s="116" t="s">
        <v>642</v>
      </c>
      <c r="M39" s="116" t="s">
        <v>642</v>
      </c>
      <c r="N39" s="116" t="s">
        <v>642</v>
      </c>
      <c r="O39" s="116" t="s">
        <v>642</v>
      </c>
      <c r="P39" s="116" t="s">
        <v>642</v>
      </c>
      <c r="Q39" s="116" t="s">
        <v>642</v>
      </c>
      <c r="R39" s="116" t="s">
        <v>642</v>
      </c>
      <c r="S39" s="116">
        <v>0</v>
      </c>
      <c r="T39" s="116">
        <v>0</v>
      </c>
      <c r="U39" s="127"/>
    </row>
    <row r="40" spans="1:21">
      <c r="A40" s="125" t="s">
        <v>639</v>
      </c>
      <c r="B40" s="116">
        <v>575.4</v>
      </c>
      <c r="C40" s="116">
        <v>640.29999999999995</v>
      </c>
      <c r="D40" s="116">
        <v>654.6</v>
      </c>
      <c r="E40" s="116">
        <v>850</v>
      </c>
      <c r="F40" s="116">
        <v>835.1</v>
      </c>
      <c r="G40" s="116">
        <v>911.5</v>
      </c>
      <c r="H40" s="116">
        <v>951.3</v>
      </c>
      <c r="I40" s="116">
        <v>918.4</v>
      </c>
      <c r="J40" s="116">
        <v>789.5</v>
      </c>
      <c r="K40" s="116">
        <v>768.2</v>
      </c>
      <c r="L40" s="116">
        <v>906.7</v>
      </c>
      <c r="M40" s="116">
        <v>1077.3</v>
      </c>
      <c r="N40" s="116">
        <v>1008.7</v>
      </c>
      <c r="O40" s="116">
        <v>918.8</v>
      </c>
      <c r="P40" s="116">
        <v>1020.9</v>
      </c>
      <c r="Q40" s="116">
        <v>877</v>
      </c>
      <c r="R40" s="116">
        <v>1024.8</v>
      </c>
      <c r="S40" s="116">
        <v>768.1</v>
      </c>
      <c r="T40" s="116">
        <v>783.6</v>
      </c>
      <c r="U40" s="127"/>
    </row>
    <row r="41" spans="1:21">
      <c r="A41" s="125" t="s">
        <v>640</v>
      </c>
      <c r="B41" s="116">
        <v>261.10000000000002</v>
      </c>
      <c r="C41" s="116">
        <v>249.6</v>
      </c>
      <c r="D41" s="116">
        <v>256.39999999999998</v>
      </c>
      <c r="E41" s="116">
        <v>300.7</v>
      </c>
      <c r="F41" s="116">
        <v>295.5</v>
      </c>
      <c r="G41" s="116">
        <v>339.9</v>
      </c>
      <c r="H41" s="116">
        <v>359</v>
      </c>
      <c r="I41" s="116">
        <v>337.6</v>
      </c>
      <c r="J41" s="116">
        <v>298.10000000000002</v>
      </c>
      <c r="K41" s="116">
        <v>332.3</v>
      </c>
      <c r="L41" s="116">
        <v>345.9</v>
      </c>
      <c r="M41" s="116">
        <v>376.7</v>
      </c>
      <c r="N41" s="116">
        <v>344</v>
      </c>
      <c r="O41" s="116">
        <v>340.9</v>
      </c>
      <c r="P41" s="116">
        <v>339</v>
      </c>
      <c r="Q41" s="116">
        <v>351</v>
      </c>
      <c r="R41" s="116">
        <v>356.5</v>
      </c>
      <c r="S41" s="116">
        <v>356.7</v>
      </c>
      <c r="T41" s="116">
        <v>360.5</v>
      </c>
      <c r="U41" s="127"/>
    </row>
    <row r="42" spans="1:21">
      <c r="A42" s="125" t="s">
        <v>641</v>
      </c>
      <c r="B42" s="116">
        <f t="shared" ref="B42:T42" si="4">SUM(B39:B41)</f>
        <v>836.5</v>
      </c>
      <c r="C42" s="116">
        <f t="shared" si="4"/>
        <v>889.9</v>
      </c>
      <c r="D42" s="116">
        <f t="shared" si="4"/>
        <v>911</v>
      </c>
      <c r="E42" s="116">
        <f t="shared" si="4"/>
        <v>1150.7</v>
      </c>
      <c r="F42" s="116">
        <f t="shared" si="4"/>
        <v>1130.5999999999999</v>
      </c>
      <c r="G42" s="116">
        <f t="shared" si="4"/>
        <v>1251.4000000000001</v>
      </c>
      <c r="H42" s="116">
        <f t="shared" si="4"/>
        <v>1310.3</v>
      </c>
      <c r="I42" s="116">
        <f t="shared" si="4"/>
        <v>1256</v>
      </c>
      <c r="J42" s="116">
        <f t="shared" si="4"/>
        <v>1087.5999999999999</v>
      </c>
      <c r="K42" s="116">
        <f t="shared" si="4"/>
        <v>1100.5</v>
      </c>
      <c r="L42" s="116">
        <f t="shared" si="4"/>
        <v>1252.5999999999999</v>
      </c>
      <c r="M42" s="116">
        <f t="shared" si="4"/>
        <v>1454</v>
      </c>
      <c r="N42" s="116">
        <f t="shared" si="4"/>
        <v>1352.7</v>
      </c>
      <c r="O42" s="116">
        <f t="shared" si="4"/>
        <v>1259.6999999999998</v>
      </c>
      <c r="P42" s="116">
        <f t="shared" si="4"/>
        <v>1359.9</v>
      </c>
      <c r="Q42" s="116">
        <f t="shared" si="4"/>
        <v>1228</v>
      </c>
      <c r="R42" s="116">
        <f t="shared" si="4"/>
        <v>1381.3</v>
      </c>
      <c r="S42" s="116">
        <f t="shared" si="4"/>
        <v>1124.8</v>
      </c>
      <c r="T42" s="116">
        <f t="shared" si="4"/>
        <v>1144.0999999999999</v>
      </c>
      <c r="U42" s="127">
        <f>T42/T$90*100</f>
        <v>13.284951230840687</v>
      </c>
    </row>
    <row r="43" spans="1:21">
      <c r="A43" s="125" t="s">
        <v>375</v>
      </c>
    </row>
    <row r="44" spans="1:21">
      <c r="A44" s="116" t="s">
        <v>214</v>
      </c>
      <c r="B44" s="116">
        <v>501.4</v>
      </c>
      <c r="C44" s="116">
        <v>473.2</v>
      </c>
      <c r="D44" s="116">
        <v>521</v>
      </c>
      <c r="E44" s="116">
        <v>537.6</v>
      </c>
      <c r="F44" s="116">
        <v>577</v>
      </c>
      <c r="G44" s="116">
        <v>578.70000000000005</v>
      </c>
      <c r="H44" s="116">
        <v>490.1</v>
      </c>
      <c r="I44" s="116">
        <v>420.6</v>
      </c>
      <c r="J44" s="116">
        <v>484</v>
      </c>
      <c r="K44" s="116">
        <v>513.5</v>
      </c>
      <c r="L44" s="116">
        <v>582.79999999999995</v>
      </c>
      <c r="M44" s="116">
        <v>691.3</v>
      </c>
      <c r="N44" s="116">
        <v>593.9</v>
      </c>
      <c r="O44" s="116">
        <v>744.6</v>
      </c>
      <c r="P44" s="116">
        <v>783</v>
      </c>
      <c r="Q44" s="116">
        <v>786</v>
      </c>
      <c r="R44" s="116">
        <v>923.9</v>
      </c>
      <c r="S44" s="116">
        <v>778.5</v>
      </c>
      <c r="T44" s="116">
        <v>857.2</v>
      </c>
      <c r="U44" s="127">
        <f>T44/T$84*100</f>
        <v>14.718406593406593</v>
      </c>
    </row>
    <row r="45" spans="1:21">
      <c r="A45" s="125" t="s">
        <v>661</v>
      </c>
      <c r="B45" s="116">
        <v>2460</v>
      </c>
      <c r="C45" s="116">
        <v>2251.9</v>
      </c>
      <c r="D45" s="116">
        <v>2322.4</v>
      </c>
      <c r="E45" s="116">
        <v>2889.7</v>
      </c>
      <c r="F45" s="116">
        <v>3976.4</v>
      </c>
      <c r="G45" s="116">
        <v>4192.8</v>
      </c>
      <c r="H45" s="116">
        <v>3602.4</v>
      </c>
      <c r="I45" s="116">
        <v>2917.5</v>
      </c>
      <c r="J45" s="116">
        <v>2640.2</v>
      </c>
      <c r="K45" s="116">
        <v>2388.6999999999998</v>
      </c>
      <c r="L45" s="116">
        <v>2517.8000000000002</v>
      </c>
      <c r="M45" s="116">
        <v>3154.1</v>
      </c>
      <c r="N45" s="116">
        <v>3197.4</v>
      </c>
      <c r="O45" s="116">
        <v>2856.8</v>
      </c>
      <c r="P45" s="116">
        <v>2287.4</v>
      </c>
      <c r="Q45" s="116">
        <v>2511.1</v>
      </c>
      <c r="R45" s="116">
        <v>3252.9</v>
      </c>
      <c r="S45" s="116">
        <v>2884.3</v>
      </c>
      <c r="T45" s="116">
        <v>2824.5</v>
      </c>
      <c r="U45" s="127">
        <f>T45/T$85*100</f>
        <v>5.2700811642877134</v>
      </c>
    </row>
    <row r="46" spans="1:21">
      <c r="A46" s="116" t="s">
        <v>215</v>
      </c>
      <c r="B46" s="116">
        <v>60</v>
      </c>
      <c r="C46" s="116">
        <v>69.599999999999994</v>
      </c>
      <c r="D46" s="116">
        <v>60.1</v>
      </c>
      <c r="E46" s="116">
        <v>57.5</v>
      </c>
      <c r="F46" s="116">
        <v>55.1</v>
      </c>
      <c r="G46" s="116">
        <v>55.2</v>
      </c>
      <c r="H46" s="116">
        <v>65.900000000000006</v>
      </c>
      <c r="I46" s="116">
        <v>51.7</v>
      </c>
      <c r="J46" s="116">
        <v>45.5</v>
      </c>
      <c r="K46" s="116">
        <v>47.6</v>
      </c>
      <c r="L46" s="116">
        <v>54.2</v>
      </c>
      <c r="M46" s="116">
        <v>49</v>
      </c>
      <c r="N46" s="116">
        <v>42.5</v>
      </c>
      <c r="O46" s="116">
        <v>50.9</v>
      </c>
      <c r="P46" s="116">
        <v>44.3</v>
      </c>
      <c r="Q46" s="116">
        <v>51</v>
      </c>
      <c r="R46" s="116">
        <v>93.9</v>
      </c>
      <c r="S46" s="116">
        <v>60</v>
      </c>
      <c r="T46" s="116">
        <v>35</v>
      </c>
      <c r="U46" s="127">
        <f>T46/T$86*100</f>
        <v>8.7164416994570906E-2</v>
      </c>
    </row>
    <row r="47" spans="1:21">
      <c r="A47" s="125" t="s">
        <v>638</v>
      </c>
      <c r="B47" s="116" t="s">
        <v>642</v>
      </c>
      <c r="C47" s="116" t="s">
        <v>642</v>
      </c>
      <c r="D47" s="116" t="s">
        <v>642</v>
      </c>
      <c r="E47" s="116" t="s">
        <v>642</v>
      </c>
      <c r="F47" s="116" t="s">
        <v>642</v>
      </c>
      <c r="G47" s="116" t="s">
        <v>642</v>
      </c>
      <c r="H47" s="116" t="s">
        <v>642</v>
      </c>
      <c r="I47" s="116" t="s">
        <v>642</v>
      </c>
      <c r="J47" s="116" t="s">
        <v>642</v>
      </c>
      <c r="K47" s="116" t="s">
        <v>642</v>
      </c>
      <c r="L47" s="116" t="s">
        <v>642</v>
      </c>
      <c r="M47" s="116" t="s">
        <v>642</v>
      </c>
      <c r="N47" s="116" t="s">
        <v>642</v>
      </c>
      <c r="O47" s="116" t="s">
        <v>642</v>
      </c>
      <c r="P47" s="116" t="s">
        <v>642</v>
      </c>
      <c r="Q47" s="116" t="s">
        <v>642</v>
      </c>
      <c r="R47" s="116" t="s">
        <v>642</v>
      </c>
      <c r="S47" s="116">
        <v>0</v>
      </c>
      <c r="T47" s="116">
        <v>0</v>
      </c>
      <c r="U47" s="127"/>
    </row>
    <row r="48" spans="1:21">
      <c r="A48" s="125" t="s">
        <v>639</v>
      </c>
      <c r="B48" s="116">
        <v>2003.5</v>
      </c>
      <c r="C48" s="116">
        <v>1789.1</v>
      </c>
      <c r="D48" s="116">
        <v>1805.6</v>
      </c>
      <c r="E48" s="116">
        <v>2266.3000000000002</v>
      </c>
      <c r="F48" s="116">
        <v>3274.6</v>
      </c>
      <c r="G48" s="116">
        <v>3519.9</v>
      </c>
      <c r="H48" s="116">
        <v>3026.5</v>
      </c>
      <c r="I48" s="116">
        <v>2427.1999999999998</v>
      </c>
      <c r="J48" s="116">
        <v>2173</v>
      </c>
      <c r="K48" s="116">
        <v>1826.1</v>
      </c>
      <c r="L48" s="116">
        <v>1952.8</v>
      </c>
      <c r="M48" s="116">
        <v>2561.6</v>
      </c>
      <c r="N48" s="116">
        <v>2319.6999999999998</v>
      </c>
      <c r="O48" s="116">
        <v>1958.9</v>
      </c>
      <c r="P48" s="116">
        <v>1471.7</v>
      </c>
      <c r="Q48" s="116">
        <v>1670.9</v>
      </c>
      <c r="R48" s="116">
        <v>2215.6</v>
      </c>
      <c r="S48" s="116">
        <v>1720.1</v>
      </c>
      <c r="T48" s="116">
        <v>1739.7</v>
      </c>
      <c r="U48" s="127"/>
    </row>
    <row r="49" spans="1:21">
      <c r="A49" s="125" t="s">
        <v>640</v>
      </c>
      <c r="B49" s="116">
        <v>229</v>
      </c>
      <c r="C49" s="116">
        <v>245.1</v>
      </c>
      <c r="D49" s="116">
        <v>345.3</v>
      </c>
      <c r="E49" s="116">
        <v>410.1</v>
      </c>
      <c r="F49" s="116">
        <v>426.1</v>
      </c>
      <c r="G49" s="116">
        <v>473.4</v>
      </c>
      <c r="H49" s="116">
        <v>370.2</v>
      </c>
      <c r="I49" s="116">
        <v>338.2</v>
      </c>
      <c r="J49" s="116">
        <v>355.5</v>
      </c>
      <c r="K49" s="116">
        <v>435.4</v>
      </c>
      <c r="L49" s="116">
        <v>433.5</v>
      </c>
      <c r="M49" s="116">
        <v>455.6</v>
      </c>
      <c r="N49" s="116">
        <v>563.29999999999995</v>
      </c>
      <c r="O49" s="116">
        <v>608.20000000000005</v>
      </c>
      <c r="P49" s="116">
        <v>606.29999999999995</v>
      </c>
      <c r="Q49" s="116">
        <v>633.79999999999995</v>
      </c>
      <c r="R49" s="116">
        <v>662.7</v>
      </c>
      <c r="S49" s="116">
        <v>799.2</v>
      </c>
      <c r="T49" s="116">
        <v>775.3</v>
      </c>
      <c r="U49" s="127"/>
    </row>
    <row r="50" spans="1:21">
      <c r="A50" s="125" t="s">
        <v>641</v>
      </c>
      <c r="B50" s="116">
        <f t="shared" ref="B50:T50" si="5">SUM(B47:B49)</f>
        <v>2232.5</v>
      </c>
      <c r="C50" s="116">
        <f t="shared" si="5"/>
        <v>2034.1999999999998</v>
      </c>
      <c r="D50" s="116">
        <f t="shared" si="5"/>
        <v>2150.9</v>
      </c>
      <c r="E50" s="116">
        <f t="shared" si="5"/>
        <v>2676.4</v>
      </c>
      <c r="F50" s="116">
        <f t="shared" si="5"/>
        <v>3700.7</v>
      </c>
      <c r="G50" s="116">
        <f t="shared" si="5"/>
        <v>3993.3</v>
      </c>
      <c r="H50" s="116">
        <f t="shared" si="5"/>
        <v>3396.7</v>
      </c>
      <c r="I50" s="116">
        <f t="shared" si="5"/>
        <v>2765.3999999999996</v>
      </c>
      <c r="J50" s="116">
        <f t="shared" si="5"/>
        <v>2528.5</v>
      </c>
      <c r="K50" s="116">
        <f t="shared" si="5"/>
        <v>2261.5</v>
      </c>
      <c r="L50" s="116">
        <f t="shared" si="5"/>
        <v>2386.3000000000002</v>
      </c>
      <c r="M50" s="116">
        <f t="shared" si="5"/>
        <v>3017.2</v>
      </c>
      <c r="N50" s="116">
        <f t="shared" si="5"/>
        <v>2883</v>
      </c>
      <c r="O50" s="116">
        <f t="shared" si="5"/>
        <v>2567.1000000000004</v>
      </c>
      <c r="P50" s="116">
        <f t="shared" si="5"/>
        <v>2078</v>
      </c>
      <c r="Q50" s="116">
        <f t="shared" si="5"/>
        <v>2304.6999999999998</v>
      </c>
      <c r="R50" s="116">
        <f t="shared" si="5"/>
        <v>2878.3</v>
      </c>
      <c r="S50" s="116">
        <f t="shared" si="5"/>
        <v>2519.3000000000002</v>
      </c>
      <c r="T50" s="116">
        <f t="shared" si="5"/>
        <v>2515</v>
      </c>
      <c r="U50" s="127">
        <f>T50/T$90*100</f>
        <v>29.203437064561079</v>
      </c>
    </row>
    <row r="51" spans="1:21">
      <c r="A51" s="125" t="s">
        <v>376</v>
      </c>
    </row>
    <row r="52" spans="1:21">
      <c r="A52" s="116" t="s">
        <v>214</v>
      </c>
      <c r="B52" s="116">
        <v>24.6</v>
      </c>
      <c r="C52" s="116">
        <v>23.7</v>
      </c>
      <c r="D52" s="116">
        <v>21.7</v>
      </c>
      <c r="E52" s="116">
        <v>32.5</v>
      </c>
      <c r="F52" s="116">
        <v>34.299999999999997</v>
      </c>
      <c r="G52" s="116">
        <v>27</v>
      </c>
      <c r="H52" s="116">
        <v>30.5</v>
      </c>
      <c r="I52" s="116">
        <v>22</v>
      </c>
      <c r="J52" s="116">
        <v>28.1</v>
      </c>
      <c r="K52" s="116">
        <v>32</v>
      </c>
      <c r="L52" s="116">
        <v>31</v>
      </c>
      <c r="M52" s="116">
        <v>44.7</v>
      </c>
      <c r="N52" s="116">
        <v>37.700000000000003</v>
      </c>
      <c r="O52" s="116">
        <v>48.1</v>
      </c>
      <c r="P52" s="116">
        <v>27</v>
      </c>
      <c r="Q52" s="116">
        <v>50.5</v>
      </c>
      <c r="R52" s="116">
        <v>56.5</v>
      </c>
      <c r="S52" s="116">
        <v>57.4</v>
      </c>
      <c r="T52" s="116">
        <v>66.099999999999994</v>
      </c>
      <c r="U52" s="127">
        <f>T52/T$84*100</f>
        <v>1.1349587912087911</v>
      </c>
    </row>
    <row r="53" spans="1:21">
      <c r="A53" s="125" t="s">
        <v>661</v>
      </c>
      <c r="B53" s="116" t="s">
        <v>662</v>
      </c>
      <c r="C53" s="116" t="s">
        <v>662</v>
      </c>
      <c r="D53" s="116" t="s">
        <v>662</v>
      </c>
      <c r="E53" s="116" t="s">
        <v>662</v>
      </c>
      <c r="F53" s="116" t="s">
        <v>662</v>
      </c>
      <c r="G53" s="116" t="s">
        <v>662</v>
      </c>
      <c r="H53" s="116" t="s">
        <v>662</v>
      </c>
      <c r="I53" s="116" t="s">
        <v>662</v>
      </c>
      <c r="J53" s="116" t="s">
        <v>662</v>
      </c>
      <c r="K53" s="116" t="s">
        <v>662</v>
      </c>
      <c r="L53" s="116" t="s">
        <v>662</v>
      </c>
      <c r="M53" s="116" t="s">
        <v>662</v>
      </c>
      <c r="N53" s="116" t="s">
        <v>662</v>
      </c>
      <c r="O53" s="116">
        <v>616.29999999999995</v>
      </c>
      <c r="P53" s="116">
        <v>454.1</v>
      </c>
      <c r="Q53" s="116">
        <v>464.4</v>
      </c>
      <c r="R53" s="116">
        <v>779.3</v>
      </c>
      <c r="S53" s="116">
        <v>562.6</v>
      </c>
      <c r="T53" s="116">
        <v>548.79999999999995</v>
      </c>
      <c r="U53" s="127">
        <f>T53/T$85*100</f>
        <v>1.0239761171751096</v>
      </c>
    </row>
    <row r="54" spans="1:21">
      <c r="A54" s="116" t="s">
        <v>215</v>
      </c>
      <c r="B54" s="116">
        <v>150.80000000000001</v>
      </c>
      <c r="C54" s="116">
        <v>165.9</v>
      </c>
      <c r="D54" s="116">
        <v>80.3</v>
      </c>
      <c r="E54" s="116">
        <v>91.4</v>
      </c>
      <c r="F54" s="116">
        <v>62.1</v>
      </c>
      <c r="G54" s="116">
        <v>68.900000000000006</v>
      </c>
      <c r="H54" s="116">
        <v>88.7</v>
      </c>
      <c r="I54" s="116">
        <v>70.900000000000006</v>
      </c>
      <c r="J54" s="116">
        <v>70.900000000000006</v>
      </c>
      <c r="K54" s="116">
        <v>62</v>
      </c>
      <c r="L54" s="116">
        <v>64.5</v>
      </c>
      <c r="M54" s="116">
        <v>70</v>
      </c>
      <c r="N54" s="116">
        <v>83.7</v>
      </c>
      <c r="O54" s="116">
        <v>77.5</v>
      </c>
      <c r="P54" s="116">
        <v>47.6</v>
      </c>
      <c r="Q54" s="116">
        <v>64.8</v>
      </c>
      <c r="R54" s="116">
        <v>124.1</v>
      </c>
      <c r="S54" s="116">
        <v>100.4</v>
      </c>
      <c r="T54" s="116">
        <v>115.1</v>
      </c>
      <c r="U54" s="127">
        <f>T54/T$86*100</f>
        <v>0.28664641131643176</v>
      </c>
    </row>
    <row r="55" spans="1:21">
      <c r="A55" s="125" t="s">
        <v>638</v>
      </c>
      <c r="B55" s="116" t="s">
        <v>642</v>
      </c>
      <c r="C55" s="116" t="s">
        <v>642</v>
      </c>
      <c r="D55" s="116" t="s">
        <v>642</v>
      </c>
      <c r="E55" s="116" t="s">
        <v>642</v>
      </c>
      <c r="F55" s="116" t="s">
        <v>642</v>
      </c>
      <c r="G55" s="116" t="s">
        <v>642</v>
      </c>
      <c r="H55" s="116" t="s">
        <v>642</v>
      </c>
      <c r="I55" s="116" t="s">
        <v>642</v>
      </c>
      <c r="J55" s="116" t="s">
        <v>642</v>
      </c>
      <c r="K55" s="116" t="s">
        <v>642</v>
      </c>
      <c r="L55" s="116" t="s">
        <v>642</v>
      </c>
      <c r="M55" s="116" t="s">
        <v>642</v>
      </c>
      <c r="N55" s="116" t="s">
        <v>642</v>
      </c>
      <c r="O55" s="116" t="s">
        <v>642</v>
      </c>
      <c r="P55" s="116" t="s">
        <v>642</v>
      </c>
      <c r="Q55" s="116" t="s">
        <v>642</v>
      </c>
      <c r="R55" s="116" t="s">
        <v>642</v>
      </c>
      <c r="S55" s="116">
        <v>0</v>
      </c>
      <c r="T55" s="116">
        <v>0</v>
      </c>
      <c r="U55" s="127"/>
    </row>
    <row r="56" spans="1:21">
      <c r="A56" s="125" t="s">
        <v>639</v>
      </c>
      <c r="B56" s="116" t="s">
        <v>662</v>
      </c>
      <c r="C56" s="116" t="s">
        <v>662</v>
      </c>
      <c r="D56" s="116" t="s">
        <v>662</v>
      </c>
      <c r="E56" s="116" t="s">
        <v>662</v>
      </c>
      <c r="F56" s="116" t="s">
        <v>662</v>
      </c>
      <c r="G56" s="116" t="s">
        <v>662</v>
      </c>
      <c r="H56" s="116" t="s">
        <v>662</v>
      </c>
      <c r="I56" s="116" t="s">
        <v>662</v>
      </c>
      <c r="J56" s="116" t="s">
        <v>662</v>
      </c>
      <c r="K56" s="116" t="s">
        <v>662</v>
      </c>
      <c r="L56" s="116" t="s">
        <v>662</v>
      </c>
      <c r="M56" s="116" t="s">
        <v>662</v>
      </c>
      <c r="N56" s="116" t="s">
        <v>662</v>
      </c>
      <c r="O56" s="116">
        <v>445</v>
      </c>
      <c r="P56" s="116">
        <v>321.10000000000002</v>
      </c>
      <c r="Q56" s="116">
        <v>314.60000000000002</v>
      </c>
      <c r="R56" s="116">
        <v>576</v>
      </c>
      <c r="S56" s="116">
        <v>367.5</v>
      </c>
      <c r="T56" s="116">
        <v>349.4</v>
      </c>
      <c r="U56" s="127"/>
    </row>
    <row r="57" spans="1:21">
      <c r="A57" s="125" t="s">
        <v>640</v>
      </c>
      <c r="B57" s="116" t="s">
        <v>662</v>
      </c>
      <c r="C57" s="116" t="s">
        <v>662</v>
      </c>
      <c r="D57" s="116" t="s">
        <v>662</v>
      </c>
      <c r="E57" s="116" t="s">
        <v>662</v>
      </c>
      <c r="F57" s="116" t="s">
        <v>662</v>
      </c>
      <c r="G57" s="116" t="s">
        <v>662</v>
      </c>
      <c r="H57" s="116" t="s">
        <v>662</v>
      </c>
      <c r="I57" s="116" t="s">
        <v>662</v>
      </c>
      <c r="J57" s="116" t="s">
        <v>662</v>
      </c>
      <c r="K57" s="116" t="s">
        <v>662</v>
      </c>
      <c r="L57" s="116" t="s">
        <v>662</v>
      </c>
      <c r="M57" s="116" t="s">
        <v>662</v>
      </c>
      <c r="N57" s="116" t="s">
        <v>662</v>
      </c>
      <c r="O57" s="116">
        <v>28.8</v>
      </c>
      <c r="P57" s="116">
        <v>36.200000000000003</v>
      </c>
      <c r="Q57" s="116">
        <v>40.9</v>
      </c>
      <c r="R57" s="116">
        <v>34.4</v>
      </c>
      <c r="S57" s="116">
        <v>54.9</v>
      </c>
      <c r="T57" s="116">
        <v>50.7</v>
      </c>
      <c r="U57" s="127"/>
    </row>
    <row r="58" spans="1:21">
      <c r="A58" s="125" t="s">
        <v>641</v>
      </c>
      <c r="B58" s="116">
        <f t="shared" ref="B58:T58" si="6">SUM(B55:B57)</f>
        <v>0</v>
      </c>
      <c r="C58" s="116">
        <f t="shared" si="6"/>
        <v>0</v>
      </c>
      <c r="D58" s="116">
        <f t="shared" si="6"/>
        <v>0</v>
      </c>
      <c r="E58" s="116">
        <f t="shared" si="6"/>
        <v>0</v>
      </c>
      <c r="F58" s="116">
        <f t="shared" si="6"/>
        <v>0</v>
      </c>
      <c r="G58" s="116">
        <f t="shared" si="6"/>
        <v>0</v>
      </c>
      <c r="H58" s="116">
        <f t="shared" si="6"/>
        <v>0</v>
      </c>
      <c r="I58" s="116">
        <f t="shared" si="6"/>
        <v>0</v>
      </c>
      <c r="J58" s="116">
        <f t="shared" si="6"/>
        <v>0</v>
      </c>
      <c r="K58" s="116">
        <f t="shared" si="6"/>
        <v>0</v>
      </c>
      <c r="L58" s="116">
        <f t="shared" si="6"/>
        <v>0</v>
      </c>
      <c r="M58" s="116">
        <f t="shared" si="6"/>
        <v>0</v>
      </c>
      <c r="N58" s="116">
        <f t="shared" si="6"/>
        <v>0</v>
      </c>
      <c r="O58" s="116">
        <f t="shared" si="6"/>
        <v>473.8</v>
      </c>
      <c r="P58" s="116">
        <f t="shared" si="6"/>
        <v>357.3</v>
      </c>
      <c r="Q58" s="116">
        <f t="shared" si="6"/>
        <v>355.5</v>
      </c>
      <c r="R58" s="116">
        <f t="shared" si="6"/>
        <v>610.4</v>
      </c>
      <c r="S58" s="116">
        <f t="shared" si="6"/>
        <v>422.4</v>
      </c>
      <c r="T58" s="116">
        <f t="shared" si="6"/>
        <v>400.09999999999997</v>
      </c>
      <c r="U58" s="127">
        <f>T58/T$90*100</f>
        <v>4.6458430097538317</v>
      </c>
    </row>
    <row r="59" spans="1:21">
      <c r="A59" s="126" t="s">
        <v>377</v>
      </c>
    </row>
    <row r="60" spans="1:21">
      <c r="A60" s="116" t="s">
        <v>214</v>
      </c>
      <c r="B60" s="116">
        <v>29.6</v>
      </c>
      <c r="C60" s="116">
        <v>32.700000000000003</v>
      </c>
      <c r="D60" s="116">
        <v>41.8</v>
      </c>
      <c r="E60" s="116">
        <v>48</v>
      </c>
      <c r="F60" s="116">
        <v>44.6</v>
      </c>
      <c r="G60" s="116">
        <v>44.8</v>
      </c>
      <c r="H60" s="116">
        <v>37.700000000000003</v>
      </c>
      <c r="I60" s="116">
        <v>26.2</v>
      </c>
      <c r="J60" s="116">
        <v>36.5</v>
      </c>
      <c r="K60" s="116">
        <v>43.6</v>
      </c>
      <c r="L60" s="116">
        <v>73.3</v>
      </c>
      <c r="M60" s="116">
        <v>73.2</v>
      </c>
      <c r="N60" s="116">
        <v>86.7</v>
      </c>
      <c r="O60" s="116">
        <v>67.099999999999994</v>
      </c>
      <c r="P60" s="116">
        <v>105.6</v>
      </c>
      <c r="Q60" s="116">
        <v>107.9</v>
      </c>
      <c r="R60" s="116">
        <v>88.4</v>
      </c>
      <c r="S60" s="116">
        <v>94.8</v>
      </c>
      <c r="T60" s="116">
        <v>116.2</v>
      </c>
      <c r="U60" s="127">
        <f>T60/T$84*100</f>
        <v>1.9951923076923079</v>
      </c>
    </row>
    <row r="61" spans="1:21">
      <c r="A61" s="125" t="s">
        <v>661</v>
      </c>
      <c r="B61" s="116" t="s">
        <v>662</v>
      </c>
      <c r="C61" s="116" t="s">
        <v>662</v>
      </c>
      <c r="D61" s="116" t="s">
        <v>662</v>
      </c>
      <c r="E61" s="116" t="s">
        <v>662</v>
      </c>
      <c r="F61" s="116" t="s">
        <v>662</v>
      </c>
      <c r="G61" s="116" t="s">
        <v>662</v>
      </c>
      <c r="H61" s="116" t="s">
        <v>662</v>
      </c>
      <c r="I61" s="116" t="s">
        <v>662</v>
      </c>
      <c r="J61" s="116" t="s">
        <v>662</v>
      </c>
      <c r="K61" s="116" t="s">
        <v>662</v>
      </c>
      <c r="L61" s="116" t="s">
        <v>662</v>
      </c>
      <c r="M61" s="116" t="s">
        <v>662</v>
      </c>
      <c r="N61" s="116" t="s">
        <v>662</v>
      </c>
      <c r="O61" s="116">
        <v>4084</v>
      </c>
      <c r="P61" s="116">
        <v>3606.8</v>
      </c>
      <c r="Q61" s="116">
        <v>4148.1000000000004</v>
      </c>
      <c r="R61" s="116">
        <v>6281.1</v>
      </c>
      <c r="S61" s="116">
        <v>5186.2</v>
      </c>
      <c r="T61" s="116">
        <v>5658.1</v>
      </c>
      <c r="U61" s="127">
        <f>T61/T$85*100</f>
        <v>10.557141524395933</v>
      </c>
    </row>
    <row r="62" spans="1:21">
      <c r="A62" s="116" t="s">
        <v>215</v>
      </c>
      <c r="B62" s="116">
        <v>2032.7</v>
      </c>
      <c r="C62" s="116">
        <v>2289.1999999999998</v>
      </c>
      <c r="D62" s="116">
        <v>1086.4000000000001</v>
      </c>
      <c r="E62" s="116">
        <v>1408.4</v>
      </c>
      <c r="F62" s="116">
        <v>952.6</v>
      </c>
      <c r="G62" s="116">
        <v>1119.2</v>
      </c>
      <c r="H62" s="116">
        <v>1468.5</v>
      </c>
      <c r="I62" s="116">
        <v>1070.2</v>
      </c>
      <c r="J62" s="116">
        <v>1317.2</v>
      </c>
      <c r="K62" s="116">
        <v>1342.7</v>
      </c>
      <c r="L62" s="116">
        <v>1760.5</v>
      </c>
      <c r="M62" s="116">
        <v>1968.8</v>
      </c>
      <c r="N62" s="116">
        <v>2551.5</v>
      </c>
      <c r="O62" s="116">
        <v>2296.1999999999998</v>
      </c>
      <c r="P62" s="116">
        <v>1546.2</v>
      </c>
      <c r="Q62" s="116">
        <v>2356.6</v>
      </c>
      <c r="R62" s="116">
        <v>4372.8999999999996</v>
      </c>
      <c r="S62" s="116">
        <v>3314.6</v>
      </c>
      <c r="T62" s="116">
        <v>3663.4</v>
      </c>
      <c r="U62" s="127">
        <f>T62/T$86*100</f>
        <v>9.1233750062260288</v>
      </c>
    </row>
    <row r="63" spans="1:21">
      <c r="A63" s="125" t="s">
        <v>638</v>
      </c>
      <c r="B63" s="116" t="s">
        <v>662</v>
      </c>
      <c r="C63" s="116" t="s">
        <v>662</v>
      </c>
      <c r="D63" s="116" t="s">
        <v>662</v>
      </c>
      <c r="E63" s="116" t="s">
        <v>662</v>
      </c>
      <c r="F63" s="116" t="s">
        <v>662</v>
      </c>
      <c r="G63" s="116" t="s">
        <v>662</v>
      </c>
      <c r="H63" s="116" t="s">
        <v>662</v>
      </c>
      <c r="I63" s="116" t="s">
        <v>662</v>
      </c>
      <c r="J63" s="116" t="s">
        <v>662</v>
      </c>
      <c r="K63" s="116" t="s">
        <v>662</v>
      </c>
      <c r="L63" s="116" t="s">
        <v>662</v>
      </c>
      <c r="M63" s="116" t="s">
        <v>662</v>
      </c>
      <c r="N63" s="116" t="s">
        <v>662</v>
      </c>
      <c r="O63" s="116" t="s">
        <v>662</v>
      </c>
      <c r="P63" s="116" t="s">
        <v>662</v>
      </c>
      <c r="Q63" s="116" t="s">
        <v>662</v>
      </c>
      <c r="R63" s="116" t="s">
        <v>662</v>
      </c>
      <c r="S63" s="116" t="s">
        <v>662</v>
      </c>
      <c r="T63" s="116" t="s">
        <v>662</v>
      </c>
      <c r="U63" s="127"/>
    </row>
    <row r="64" spans="1:21">
      <c r="A64" s="125" t="s">
        <v>639</v>
      </c>
      <c r="B64" s="116" t="s">
        <v>662</v>
      </c>
      <c r="C64" s="116" t="s">
        <v>662</v>
      </c>
      <c r="D64" s="116" t="s">
        <v>662</v>
      </c>
      <c r="E64" s="116" t="s">
        <v>662</v>
      </c>
      <c r="F64" s="116" t="s">
        <v>662</v>
      </c>
      <c r="G64" s="116" t="s">
        <v>662</v>
      </c>
      <c r="H64" s="116" t="s">
        <v>662</v>
      </c>
      <c r="I64" s="116" t="s">
        <v>662</v>
      </c>
      <c r="J64" s="116" t="s">
        <v>662</v>
      </c>
      <c r="K64" s="116" t="s">
        <v>662</v>
      </c>
      <c r="L64" s="116" t="s">
        <v>662</v>
      </c>
      <c r="M64" s="116" t="s">
        <v>662</v>
      </c>
      <c r="N64" s="116" t="s">
        <v>662</v>
      </c>
      <c r="O64" s="116" t="s">
        <v>662</v>
      </c>
      <c r="P64" s="116" t="s">
        <v>662</v>
      </c>
      <c r="Q64" s="116" t="s">
        <v>662</v>
      </c>
      <c r="R64" s="116" t="s">
        <v>662</v>
      </c>
      <c r="S64" s="116" t="s">
        <v>662</v>
      </c>
      <c r="T64" s="116" t="s">
        <v>662</v>
      </c>
      <c r="U64" s="127"/>
    </row>
    <row r="65" spans="1:21">
      <c r="A65" s="125" t="s">
        <v>640</v>
      </c>
      <c r="B65" s="116">
        <v>692.3</v>
      </c>
      <c r="C65" s="116">
        <v>415</v>
      </c>
      <c r="D65" s="116">
        <v>349.6</v>
      </c>
      <c r="E65" s="116">
        <v>476.7</v>
      </c>
      <c r="F65" s="116">
        <v>818.4</v>
      </c>
      <c r="G65" s="116">
        <v>712.5</v>
      </c>
      <c r="H65" s="116">
        <v>578.1</v>
      </c>
      <c r="I65" s="116">
        <v>591.29999999999995</v>
      </c>
      <c r="J65" s="116">
        <v>641.9</v>
      </c>
      <c r="K65" s="116">
        <v>594.4</v>
      </c>
      <c r="L65" s="116">
        <v>811.2</v>
      </c>
      <c r="M65" s="116">
        <v>924.7</v>
      </c>
      <c r="N65" s="116">
        <v>770.9</v>
      </c>
      <c r="O65" s="116">
        <v>986.9</v>
      </c>
      <c r="P65" s="116">
        <v>1296.5999999999999</v>
      </c>
      <c r="Q65" s="116">
        <v>1200.2</v>
      </c>
      <c r="R65" s="116">
        <v>1134.7</v>
      </c>
      <c r="S65" s="116">
        <v>1105</v>
      </c>
      <c r="T65" s="116">
        <v>1184.0999999999999</v>
      </c>
      <c r="U65" s="127"/>
    </row>
    <row r="66" spans="1:21">
      <c r="A66" s="125" t="s">
        <v>641</v>
      </c>
      <c r="B66" s="116">
        <f t="shared" ref="B66:T66" si="7">SUM(B63:B65)</f>
        <v>692.3</v>
      </c>
      <c r="C66" s="116">
        <f t="shared" si="7"/>
        <v>415</v>
      </c>
      <c r="D66" s="116">
        <f t="shared" si="7"/>
        <v>349.6</v>
      </c>
      <c r="E66" s="116">
        <f t="shared" si="7"/>
        <v>476.7</v>
      </c>
      <c r="F66" s="116">
        <f t="shared" si="7"/>
        <v>818.4</v>
      </c>
      <c r="G66" s="116">
        <f t="shared" si="7"/>
        <v>712.5</v>
      </c>
      <c r="H66" s="116">
        <f t="shared" si="7"/>
        <v>578.1</v>
      </c>
      <c r="I66" s="116">
        <f t="shared" si="7"/>
        <v>591.29999999999995</v>
      </c>
      <c r="J66" s="116">
        <f t="shared" si="7"/>
        <v>641.9</v>
      </c>
      <c r="K66" s="116">
        <f t="shared" si="7"/>
        <v>594.4</v>
      </c>
      <c r="L66" s="116">
        <f t="shared" si="7"/>
        <v>811.2</v>
      </c>
      <c r="M66" s="116">
        <f t="shared" si="7"/>
        <v>924.7</v>
      </c>
      <c r="N66" s="116">
        <f t="shared" si="7"/>
        <v>770.9</v>
      </c>
      <c r="O66" s="116">
        <f t="shared" si="7"/>
        <v>986.9</v>
      </c>
      <c r="P66" s="116">
        <f t="shared" si="7"/>
        <v>1296.5999999999999</v>
      </c>
      <c r="Q66" s="116">
        <f t="shared" si="7"/>
        <v>1200.2</v>
      </c>
      <c r="R66" s="116">
        <f t="shared" si="7"/>
        <v>1134.7</v>
      </c>
      <c r="S66" s="116">
        <f t="shared" si="7"/>
        <v>1105</v>
      </c>
      <c r="T66" s="116">
        <f t="shared" si="7"/>
        <v>1184.0999999999999</v>
      </c>
      <c r="U66" s="127">
        <f>T66/T$90*100</f>
        <v>13.749419414770086</v>
      </c>
    </row>
    <row r="67" spans="1:21">
      <c r="A67" s="125" t="s">
        <v>378</v>
      </c>
    </row>
    <row r="68" spans="1:21">
      <c r="A68" s="116" t="s">
        <v>214</v>
      </c>
      <c r="B68" s="116">
        <v>40.9</v>
      </c>
      <c r="C68" s="116">
        <v>41.4</v>
      </c>
      <c r="D68" s="116">
        <v>55.9</v>
      </c>
      <c r="E68" s="116">
        <v>69.2</v>
      </c>
      <c r="F68" s="116">
        <v>80.2</v>
      </c>
      <c r="G68" s="116">
        <v>89.9</v>
      </c>
      <c r="H68" s="116">
        <v>90.8</v>
      </c>
      <c r="I68" s="116">
        <v>116.9</v>
      </c>
      <c r="J68" s="116">
        <v>120.5</v>
      </c>
      <c r="K68" s="116">
        <v>138.80000000000001</v>
      </c>
      <c r="L68" s="116">
        <v>188.9</v>
      </c>
      <c r="M68" s="116">
        <v>270.2</v>
      </c>
      <c r="N68" s="116">
        <v>223.5</v>
      </c>
      <c r="O68" s="116">
        <v>231.1</v>
      </c>
      <c r="P68" s="116">
        <v>218.4</v>
      </c>
      <c r="Q68" s="116">
        <v>224.2</v>
      </c>
      <c r="R68" s="116">
        <v>320.89999999999998</v>
      </c>
      <c r="S68" s="116">
        <v>302.39999999999998</v>
      </c>
      <c r="T68" s="116">
        <v>341.5</v>
      </c>
      <c r="U68" s="127">
        <f>T68/T$84*100</f>
        <v>5.8636675824175821</v>
      </c>
    </row>
    <row r="69" spans="1:21">
      <c r="A69" s="125" t="s">
        <v>661</v>
      </c>
      <c r="B69" s="116">
        <v>23396.5</v>
      </c>
      <c r="C69" s="116">
        <v>24563.5</v>
      </c>
      <c r="D69" s="116">
        <v>13706.7</v>
      </c>
      <c r="E69" s="116">
        <v>14395.4</v>
      </c>
      <c r="F69" s="116">
        <v>12357.3</v>
      </c>
      <c r="G69" s="116">
        <v>12385.7</v>
      </c>
      <c r="H69" s="116">
        <v>14961.8</v>
      </c>
      <c r="I69" s="116">
        <v>12610.1</v>
      </c>
      <c r="J69" s="116">
        <v>13211.1</v>
      </c>
      <c r="K69" s="116">
        <v>14934</v>
      </c>
      <c r="L69" s="116">
        <v>16273.4</v>
      </c>
      <c r="M69" s="116">
        <v>15825.3</v>
      </c>
      <c r="N69" s="116">
        <v>20694.2</v>
      </c>
      <c r="O69" s="116">
        <v>20610.8</v>
      </c>
      <c r="P69" s="116">
        <v>15579</v>
      </c>
      <c r="Q69" s="116">
        <v>20913.599999999999</v>
      </c>
      <c r="R69" s="116">
        <v>39641.1</v>
      </c>
      <c r="S69" s="116">
        <v>39055</v>
      </c>
      <c r="T69" s="116">
        <v>32729.4</v>
      </c>
      <c r="U69" s="127">
        <f>T69/T$85*100</f>
        <v>61.068010075566761</v>
      </c>
    </row>
    <row r="70" spans="1:21">
      <c r="A70" s="116" t="s">
        <v>215</v>
      </c>
      <c r="B70" s="116">
        <v>21644.799999999999</v>
      </c>
      <c r="C70" s="116">
        <v>22514.7</v>
      </c>
      <c r="D70" s="116">
        <v>12123.9</v>
      </c>
      <c r="E70" s="116">
        <v>13005</v>
      </c>
      <c r="F70" s="116">
        <v>10628</v>
      </c>
      <c r="G70" s="116">
        <v>10839.5</v>
      </c>
      <c r="H70" s="116">
        <v>13301.2</v>
      </c>
      <c r="I70" s="116">
        <v>10756.4</v>
      </c>
      <c r="J70" s="116">
        <v>11677.1</v>
      </c>
      <c r="K70" s="116">
        <v>13196.1</v>
      </c>
      <c r="L70" s="116">
        <v>14091.2</v>
      </c>
      <c r="M70" s="116">
        <v>13522.1</v>
      </c>
      <c r="N70" s="116">
        <v>18027</v>
      </c>
      <c r="O70" s="116">
        <v>17432.7</v>
      </c>
      <c r="P70" s="116">
        <v>12420.5</v>
      </c>
      <c r="Q70" s="116">
        <v>18327.099999999999</v>
      </c>
      <c r="R70" s="116">
        <v>36077.699999999997</v>
      </c>
      <c r="S70" s="116">
        <v>34894.400000000001</v>
      </c>
      <c r="T70" s="116">
        <v>28779.599999999999</v>
      </c>
      <c r="U70" s="127">
        <f>T70/T$86*100</f>
        <v>71.673058723912931</v>
      </c>
    </row>
    <row r="71" spans="1:21">
      <c r="A71" s="125" t="s">
        <v>638</v>
      </c>
      <c r="B71" s="116" t="s">
        <v>662</v>
      </c>
      <c r="C71" s="116" t="s">
        <v>662</v>
      </c>
      <c r="D71" s="116" t="s">
        <v>662</v>
      </c>
      <c r="E71" s="116" t="s">
        <v>662</v>
      </c>
      <c r="F71" s="116" t="s">
        <v>662</v>
      </c>
      <c r="G71" s="116" t="s">
        <v>662</v>
      </c>
      <c r="H71" s="116" t="s">
        <v>662</v>
      </c>
      <c r="I71" s="116" t="s">
        <v>662</v>
      </c>
      <c r="J71" s="116" t="s">
        <v>662</v>
      </c>
      <c r="K71" s="116" t="s">
        <v>662</v>
      </c>
      <c r="L71" s="116" t="s">
        <v>662</v>
      </c>
      <c r="M71" s="116" t="s">
        <v>662</v>
      </c>
      <c r="N71" s="116" t="s">
        <v>662</v>
      </c>
      <c r="O71" s="116" t="s">
        <v>662</v>
      </c>
      <c r="P71" s="116" t="s">
        <v>662</v>
      </c>
      <c r="Q71" s="116" t="s">
        <v>662</v>
      </c>
      <c r="R71" s="116">
        <v>303.7</v>
      </c>
      <c r="S71" s="116" t="s">
        <v>662</v>
      </c>
      <c r="T71" s="116">
        <v>288.5</v>
      </c>
      <c r="U71" s="127"/>
    </row>
    <row r="72" spans="1:21">
      <c r="A72" s="125" t="s">
        <v>639</v>
      </c>
      <c r="B72" s="116" t="s">
        <v>662</v>
      </c>
      <c r="C72" s="116" t="s">
        <v>662</v>
      </c>
      <c r="D72" s="116" t="s">
        <v>662</v>
      </c>
      <c r="E72" s="116" t="s">
        <v>662</v>
      </c>
      <c r="F72" s="116" t="s">
        <v>662</v>
      </c>
      <c r="G72" s="116" t="s">
        <v>662</v>
      </c>
      <c r="H72" s="116" t="s">
        <v>662</v>
      </c>
      <c r="I72" s="116" t="s">
        <v>662</v>
      </c>
      <c r="J72" s="116" t="s">
        <v>662</v>
      </c>
      <c r="K72" s="116" t="s">
        <v>662</v>
      </c>
      <c r="L72" s="116" t="s">
        <v>662</v>
      </c>
      <c r="M72" s="116" t="s">
        <v>662</v>
      </c>
      <c r="N72" s="116" t="s">
        <v>662</v>
      </c>
      <c r="O72" s="116" t="s">
        <v>662</v>
      </c>
      <c r="P72" s="116" t="s">
        <v>662</v>
      </c>
      <c r="Q72" s="116" t="s">
        <v>662</v>
      </c>
      <c r="R72" s="116" t="s">
        <v>662</v>
      </c>
      <c r="S72" s="116" t="s">
        <v>662</v>
      </c>
      <c r="T72" s="116" t="s">
        <v>662</v>
      </c>
      <c r="U72" s="127"/>
    </row>
    <row r="73" spans="1:21">
      <c r="A73" s="125" t="s">
        <v>640</v>
      </c>
      <c r="B73" s="116" t="s">
        <v>662</v>
      </c>
      <c r="C73" s="116" t="s">
        <v>662</v>
      </c>
      <c r="D73" s="116" t="s">
        <v>662</v>
      </c>
      <c r="E73" s="116" t="s">
        <v>662</v>
      </c>
      <c r="F73" s="116" t="s">
        <v>662</v>
      </c>
      <c r="G73" s="116" t="s">
        <v>662</v>
      </c>
      <c r="H73" s="116" t="s">
        <v>662</v>
      </c>
      <c r="I73" s="116" t="s">
        <v>662</v>
      </c>
      <c r="J73" s="116" t="s">
        <v>662</v>
      </c>
      <c r="K73" s="116" t="s">
        <v>662</v>
      </c>
      <c r="L73" s="116" t="s">
        <v>662</v>
      </c>
      <c r="M73" s="116" t="s">
        <v>662</v>
      </c>
      <c r="N73" s="116">
        <v>100.2</v>
      </c>
      <c r="O73" s="116" t="s">
        <v>662</v>
      </c>
      <c r="P73" s="116" t="s">
        <v>662</v>
      </c>
      <c r="Q73" s="116" t="s">
        <v>662</v>
      </c>
      <c r="R73" s="116" t="s">
        <v>662</v>
      </c>
      <c r="S73" s="116" t="s">
        <v>662</v>
      </c>
      <c r="T73" s="116" t="s">
        <v>662</v>
      </c>
      <c r="U73" s="127"/>
    </row>
    <row r="74" spans="1:21">
      <c r="A74" s="125" t="s">
        <v>641</v>
      </c>
      <c r="B74" s="116">
        <f t="shared" ref="B74:T74" si="8">SUM(B71:B73)</f>
        <v>0</v>
      </c>
      <c r="C74" s="116">
        <f t="shared" si="8"/>
        <v>0</v>
      </c>
      <c r="D74" s="116">
        <f t="shared" si="8"/>
        <v>0</v>
      </c>
      <c r="E74" s="116">
        <f t="shared" si="8"/>
        <v>0</v>
      </c>
      <c r="F74" s="116">
        <f t="shared" si="8"/>
        <v>0</v>
      </c>
      <c r="G74" s="116">
        <f t="shared" si="8"/>
        <v>0</v>
      </c>
      <c r="H74" s="116">
        <f t="shared" si="8"/>
        <v>0</v>
      </c>
      <c r="I74" s="116">
        <f t="shared" si="8"/>
        <v>0</v>
      </c>
      <c r="J74" s="116">
        <f t="shared" si="8"/>
        <v>0</v>
      </c>
      <c r="K74" s="116">
        <f t="shared" si="8"/>
        <v>0</v>
      </c>
      <c r="L74" s="116">
        <f t="shared" si="8"/>
        <v>0</v>
      </c>
      <c r="M74" s="116">
        <f t="shared" si="8"/>
        <v>0</v>
      </c>
      <c r="N74" s="116">
        <f t="shared" si="8"/>
        <v>100.2</v>
      </c>
      <c r="O74" s="116">
        <f t="shared" si="8"/>
        <v>0</v>
      </c>
      <c r="P74" s="116">
        <f t="shared" si="8"/>
        <v>0</v>
      </c>
      <c r="Q74" s="116">
        <f t="shared" si="8"/>
        <v>0</v>
      </c>
      <c r="R74" s="116">
        <f t="shared" si="8"/>
        <v>303.7</v>
      </c>
      <c r="S74" s="116">
        <f t="shared" si="8"/>
        <v>0</v>
      </c>
      <c r="T74" s="116">
        <f t="shared" si="8"/>
        <v>288.5</v>
      </c>
      <c r="U74" s="127">
        <f>T74/T$90*100</f>
        <v>3.349976776590804</v>
      </c>
    </row>
    <row r="75" spans="1:21">
      <c r="A75" s="125" t="s">
        <v>663</v>
      </c>
    </row>
    <row r="76" spans="1:21">
      <c r="A76" s="116" t="s">
        <v>214</v>
      </c>
      <c r="B76" s="116">
        <v>1332.7</v>
      </c>
      <c r="C76" s="116">
        <v>1279.3</v>
      </c>
      <c r="D76" s="116">
        <v>1271.2</v>
      </c>
      <c r="E76" s="116">
        <v>1766.4</v>
      </c>
      <c r="F76" s="116">
        <v>1921.1</v>
      </c>
      <c r="G76" s="116">
        <v>1905.4</v>
      </c>
      <c r="H76" s="116">
        <v>1643.8</v>
      </c>
      <c r="I76" s="116">
        <v>1475.8</v>
      </c>
      <c r="J76" s="116">
        <v>1750.8</v>
      </c>
      <c r="K76" s="116">
        <v>2505.9</v>
      </c>
      <c r="L76" s="116">
        <v>2625.9</v>
      </c>
      <c r="M76" s="116">
        <v>2946.5</v>
      </c>
      <c r="N76" s="116">
        <v>3160.6</v>
      </c>
      <c r="O76" s="116">
        <v>3185.1</v>
      </c>
      <c r="P76" s="116">
        <v>3271.7</v>
      </c>
      <c r="Q76" s="116">
        <v>2918.7</v>
      </c>
      <c r="R76" s="116">
        <v>2584.1</v>
      </c>
      <c r="S76" s="116">
        <v>2344.4</v>
      </c>
      <c r="T76" s="116">
        <v>2657.3</v>
      </c>
      <c r="U76" s="127">
        <f>T76/T$84*100</f>
        <v>45.626717032967036</v>
      </c>
    </row>
    <row r="77" spans="1:21">
      <c r="A77" s="125" t="s">
        <v>661</v>
      </c>
      <c r="B77" s="116">
        <v>2101.9</v>
      </c>
      <c r="C77" s="116">
        <v>2142.6999999999998</v>
      </c>
      <c r="D77" s="116">
        <v>1822.9</v>
      </c>
      <c r="E77" s="116">
        <v>2063</v>
      </c>
      <c r="F77" s="116">
        <v>2392.1999999999998</v>
      </c>
      <c r="G77" s="116">
        <v>2164.3000000000002</v>
      </c>
      <c r="H77" s="116">
        <v>2200</v>
      </c>
      <c r="I77" s="116">
        <v>1957.1</v>
      </c>
      <c r="J77" s="116">
        <v>1744.5</v>
      </c>
      <c r="K77" s="116">
        <v>1967</v>
      </c>
      <c r="L77" s="116">
        <v>2501.6999999999998</v>
      </c>
      <c r="M77" s="116">
        <v>2663</v>
      </c>
      <c r="N77" s="116">
        <v>2540.9</v>
      </c>
      <c r="O77" s="116">
        <v>2645.7</v>
      </c>
      <c r="P77" s="116">
        <v>2185.1</v>
      </c>
      <c r="Q77" s="116">
        <v>2498.6</v>
      </c>
      <c r="R77" s="116">
        <v>4705.2</v>
      </c>
      <c r="S77" s="116">
        <v>5723.5</v>
      </c>
      <c r="T77" s="116">
        <v>4384.6000000000004</v>
      </c>
      <c r="U77" s="127">
        <f>T77/T$85*100</f>
        <v>8.180987032372423</v>
      </c>
    </row>
    <row r="78" spans="1:21">
      <c r="A78" s="116" t="s">
        <v>215</v>
      </c>
      <c r="B78" s="116">
        <v>835.4</v>
      </c>
      <c r="C78" s="116">
        <v>912.8</v>
      </c>
      <c r="D78" s="116">
        <v>602.1</v>
      </c>
      <c r="E78" s="116">
        <v>657</v>
      </c>
      <c r="F78" s="116">
        <v>553</v>
      </c>
      <c r="G78" s="116">
        <v>650.6</v>
      </c>
      <c r="H78" s="116">
        <v>712.5</v>
      </c>
      <c r="I78" s="116">
        <v>704.3</v>
      </c>
      <c r="J78" s="116">
        <v>753.8</v>
      </c>
      <c r="K78" s="116">
        <v>914.4</v>
      </c>
      <c r="L78" s="116">
        <v>1132.5</v>
      </c>
      <c r="M78" s="116">
        <v>806.4</v>
      </c>
      <c r="N78" s="116">
        <v>967.2</v>
      </c>
      <c r="O78" s="116">
        <v>1080.2</v>
      </c>
      <c r="P78" s="116">
        <v>803.3</v>
      </c>
      <c r="Q78" s="116">
        <v>1238.5999999999999</v>
      </c>
      <c r="R78" s="116">
        <v>3380.1</v>
      </c>
      <c r="S78" s="116">
        <v>4160.8</v>
      </c>
      <c r="T78" s="116">
        <v>2874.5</v>
      </c>
      <c r="U78" s="127">
        <f>T78/T$86*100</f>
        <v>7.1586890471684015</v>
      </c>
    </row>
    <row r="79" spans="1:21">
      <c r="A79" s="125" t="s">
        <v>638</v>
      </c>
      <c r="B79" s="116">
        <v>696.4</v>
      </c>
      <c r="C79" s="116">
        <v>676.1</v>
      </c>
      <c r="D79" s="116">
        <v>587.79999999999995</v>
      </c>
      <c r="E79" s="116">
        <v>558.4</v>
      </c>
      <c r="F79" s="116">
        <v>641.4</v>
      </c>
      <c r="G79" s="116">
        <v>489.2</v>
      </c>
      <c r="H79" s="116">
        <v>561.6</v>
      </c>
      <c r="I79" s="116">
        <v>475</v>
      </c>
      <c r="J79" s="116">
        <v>305.5</v>
      </c>
      <c r="K79" s="116">
        <v>473.5</v>
      </c>
      <c r="L79" s="116">
        <v>433.5</v>
      </c>
      <c r="M79" s="116">
        <v>527.5</v>
      </c>
      <c r="N79" s="116">
        <v>598.4</v>
      </c>
      <c r="O79" s="116">
        <v>670.4</v>
      </c>
      <c r="P79" s="116">
        <v>582.4</v>
      </c>
      <c r="Q79" s="116">
        <v>427.1</v>
      </c>
      <c r="R79" s="116">
        <v>414</v>
      </c>
      <c r="S79" s="116">
        <v>651.9</v>
      </c>
      <c r="T79" s="116" t="s">
        <v>662</v>
      </c>
      <c r="U79" s="127"/>
    </row>
    <row r="80" spans="1:21">
      <c r="A80" s="125" t="s">
        <v>639</v>
      </c>
      <c r="B80" s="116">
        <v>357.2</v>
      </c>
      <c r="C80" s="116">
        <v>337.5</v>
      </c>
      <c r="D80" s="116">
        <v>437.1</v>
      </c>
      <c r="E80" s="116">
        <v>645</v>
      </c>
      <c r="F80" s="116">
        <v>930.5</v>
      </c>
      <c r="G80" s="116">
        <v>775.7</v>
      </c>
      <c r="H80" s="116">
        <v>656.4</v>
      </c>
      <c r="I80" s="116">
        <v>512</v>
      </c>
      <c r="J80" s="116">
        <v>516.20000000000005</v>
      </c>
      <c r="K80" s="116">
        <v>335.5</v>
      </c>
      <c r="L80" s="116">
        <v>563.1</v>
      </c>
      <c r="M80" s="116">
        <v>968.7</v>
      </c>
      <c r="N80" s="116">
        <v>571</v>
      </c>
      <c r="O80" s="116">
        <v>512.70000000000005</v>
      </c>
      <c r="P80" s="116">
        <v>465.8</v>
      </c>
      <c r="Q80" s="116">
        <v>453.4</v>
      </c>
      <c r="R80" s="116">
        <v>521.6</v>
      </c>
      <c r="S80" s="116">
        <v>466.9</v>
      </c>
      <c r="T80" s="116" t="s">
        <v>662</v>
      </c>
      <c r="U80" s="127"/>
    </row>
    <row r="81" spans="1:22">
      <c r="A81" s="125" t="s">
        <v>640</v>
      </c>
      <c r="B81" s="116">
        <v>85.7</v>
      </c>
      <c r="C81" s="116">
        <v>74.5</v>
      </c>
      <c r="D81" s="116">
        <v>78.7</v>
      </c>
      <c r="E81" s="116">
        <v>83.2</v>
      </c>
      <c r="F81" s="116">
        <v>92.2</v>
      </c>
      <c r="G81" s="116">
        <v>97.3</v>
      </c>
      <c r="H81" s="116">
        <v>95.1</v>
      </c>
      <c r="I81" s="116">
        <v>80</v>
      </c>
      <c r="J81" s="116">
        <v>59.4</v>
      </c>
      <c r="K81" s="116">
        <v>80</v>
      </c>
      <c r="L81" s="116">
        <v>93</v>
      </c>
      <c r="M81" s="116">
        <v>104.1</v>
      </c>
      <c r="N81" s="116">
        <v>108</v>
      </c>
      <c r="O81" s="116">
        <v>105.8</v>
      </c>
      <c r="P81" s="116">
        <v>94.8</v>
      </c>
      <c r="Q81" s="116">
        <v>126</v>
      </c>
      <c r="R81" s="116">
        <v>115.9</v>
      </c>
      <c r="S81" s="116">
        <v>108.2</v>
      </c>
      <c r="T81" s="116" t="s">
        <v>662</v>
      </c>
      <c r="U81" s="127"/>
    </row>
    <row r="82" spans="1:22">
      <c r="A82" s="125" t="s">
        <v>641</v>
      </c>
      <c r="B82" s="116">
        <f t="shared" ref="B82:T82" si="9">SUM(B79:B81)</f>
        <v>1139.3</v>
      </c>
      <c r="C82" s="116">
        <f t="shared" si="9"/>
        <v>1088.0999999999999</v>
      </c>
      <c r="D82" s="116">
        <f t="shared" si="9"/>
        <v>1103.6000000000001</v>
      </c>
      <c r="E82" s="116">
        <f t="shared" si="9"/>
        <v>1286.6000000000001</v>
      </c>
      <c r="F82" s="116">
        <f t="shared" si="9"/>
        <v>1664.1000000000001</v>
      </c>
      <c r="G82" s="116">
        <f t="shared" si="9"/>
        <v>1362.2</v>
      </c>
      <c r="H82" s="116">
        <f t="shared" si="9"/>
        <v>1313.1</v>
      </c>
      <c r="I82" s="116">
        <f t="shared" si="9"/>
        <v>1067</v>
      </c>
      <c r="J82" s="116">
        <f t="shared" si="9"/>
        <v>881.1</v>
      </c>
      <c r="K82" s="116">
        <f t="shared" si="9"/>
        <v>889</v>
      </c>
      <c r="L82" s="116">
        <f t="shared" si="9"/>
        <v>1089.5999999999999</v>
      </c>
      <c r="M82" s="116">
        <f t="shared" si="9"/>
        <v>1600.3</v>
      </c>
      <c r="N82" s="116">
        <f t="shared" si="9"/>
        <v>1277.4000000000001</v>
      </c>
      <c r="O82" s="116">
        <f t="shared" si="9"/>
        <v>1288.8999999999999</v>
      </c>
      <c r="P82" s="116">
        <f t="shared" si="9"/>
        <v>1143</v>
      </c>
      <c r="Q82" s="116">
        <f t="shared" si="9"/>
        <v>1006.5</v>
      </c>
      <c r="R82" s="116">
        <f t="shared" si="9"/>
        <v>1051.5</v>
      </c>
      <c r="S82" s="116">
        <f t="shared" si="9"/>
        <v>1227</v>
      </c>
      <c r="T82" s="116">
        <f t="shared" si="9"/>
        <v>0</v>
      </c>
      <c r="U82" s="127">
        <f>S82/S90*100</f>
        <v>14.051763628034813</v>
      </c>
      <c r="V82" s="125" t="s">
        <v>644</v>
      </c>
    </row>
    <row r="83" spans="1:22">
      <c r="A83" s="125" t="s">
        <v>321</v>
      </c>
    </row>
    <row r="84" spans="1:22">
      <c r="A84" s="116" t="s">
        <v>214</v>
      </c>
      <c r="B84" s="116">
        <v>2760</v>
      </c>
      <c r="C84" s="116">
        <v>2647</v>
      </c>
      <c r="D84" s="116">
        <v>2690</v>
      </c>
      <c r="E84" s="116">
        <v>3453</v>
      </c>
      <c r="F84" s="116">
        <v>3855</v>
      </c>
      <c r="G84" s="116">
        <v>3936</v>
      </c>
      <c r="H84" s="116">
        <v>3416</v>
      </c>
      <c r="I84" s="116">
        <v>3017</v>
      </c>
      <c r="J84" s="116">
        <v>3410</v>
      </c>
      <c r="K84" s="116">
        <v>4313</v>
      </c>
      <c r="L84" s="116">
        <v>4675</v>
      </c>
      <c r="M84" s="116">
        <v>5514</v>
      </c>
      <c r="N84" s="116">
        <v>5450</v>
      </c>
      <c r="O84" s="116">
        <v>5564</v>
      </c>
      <c r="P84" s="116">
        <v>5802</v>
      </c>
      <c r="Q84" s="116">
        <v>5588</v>
      </c>
      <c r="R84" s="116">
        <v>5675</v>
      </c>
      <c r="S84" s="116">
        <v>5226</v>
      </c>
      <c r="T84" s="116">
        <v>5824</v>
      </c>
      <c r="U84" s="127">
        <f>T84/T$84*100</f>
        <v>100</v>
      </c>
    </row>
    <row r="85" spans="1:22">
      <c r="A85" s="125" t="s">
        <v>661</v>
      </c>
      <c r="B85" s="116">
        <v>34312</v>
      </c>
      <c r="C85" s="116">
        <v>35409</v>
      </c>
      <c r="D85" s="116">
        <v>22661</v>
      </c>
      <c r="E85" s="116">
        <v>25391</v>
      </c>
      <c r="F85" s="116">
        <v>25698</v>
      </c>
      <c r="G85" s="116">
        <v>25764</v>
      </c>
      <c r="H85" s="116">
        <v>27451</v>
      </c>
      <c r="I85" s="116">
        <v>23086</v>
      </c>
      <c r="J85" s="116">
        <v>23386</v>
      </c>
      <c r="K85" s="116">
        <v>24600</v>
      </c>
      <c r="L85" s="116">
        <v>27625</v>
      </c>
      <c r="M85" s="116">
        <v>28926</v>
      </c>
      <c r="N85" s="116">
        <v>34313</v>
      </c>
      <c r="O85" s="116">
        <v>33936</v>
      </c>
      <c r="P85" s="116">
        <v>27434</v>
      </c>
      <c r="Q85" s="116">
        <v>34468</v>
      </c>
      <c r="R85" s="116">
        <v>60906</v>
      </c>
      <c r="S85" s="116">
        <v>59442</v>
      </c>
      <c r="T85" s="116">
        <v>53595</v>
      </c>
      <c r="U85" s="127">
        <f>T85/T$85*100</f>
        <v>100</v>
      </c>
    </row>
    <row r="86" spans="1:22">
      <c r="A86" s="116" t="s">
        <v>215</v>
      </c>
      <c r="B86" s="116">
        <v>24803</v>
      </c>
      <c r="C86" s="116">
        <v>26214</v>
      </c>
      <c r="D86" s="116">
        <v>14100</v>
      </c>
      <c r="E86" s="116">
        <v>15386</v>
      </c>
      <c r="F86" s="116">
        <v>12437</v>
      </c>
      <c r="G86" s="116">
        <v>12953</v>
      </c>
      <c r="H86" s="116">
        <v>15922</v>
      </c>
      <c r="I86" s="116">
        <v>12892</v>
      </c>
      <c r="J86" s="116">
        <v>14162</v>
      </c>
      <c r="K86" s="116">
        <v>15802</v>
      </c>
      <c r="L86" s="116">
        <v>17378</v>
      </c>
      <c r="M86" s="116">
        <v>16710</v>
      </c>
      <c r="N86" s="116">
        <v>22018</v>
      </c>
      <c r="O86" s="116">
        <v>21203</v>
      </c>
      <c r="P86" s="116">
        <v>15364</v>
      </c>
      <c r="Q86" s="116">
        <v>22918</v>
      </c>
      <c r="R86" s="116">
        <v>46995</v>
      </c>
      <c r="S86" s="116">
        <v>45586</v>
      </c>
      <c r="T86" s="116">
        <v>40154</v>
      </c>
      <c r="U86" s="127">
        <f>T86/T$86*100</f>
        <v>100</v>
      </c>
    </row>
    <row r="87" spans="1:22">
      <c r="A87" s="125" t="s">
        <v>638</v>
      </c>
      <c r="B87" s="116">
        <v>1214</v>
      </c>
      <c r="C87" s="116">
        <v>1147</v>
      </c>
      <c r="D87" s="116">
        <v>996</v>
      </c>
      <c r="E87" s="116">
        <v>1017</v>
      </c>
      <c r="F87" s="116">
        <v>1110</v>
      </c>
      <c r="G87" s="116">
        <v>949</v>
      </c>
      <c r="H87" s="116">
        <v>1076</v>
      </c>
      <c r="I87" s="116">
        <v>1024</v>
      </c>
      <c r="J87" s="116">
        <v>818</v>
      </c>
      <c r="K87" s="116">
        <v>1006</v>
      </c>
      <c r="L87" s="116">
        <v>941</v>
      </c>
      <c r="M87" s="116">
        <v>1057</v>
      </c>
      <c r="N87" s="116">
        <v>1139</v>
      </c>
      <c r="O87" s="116">
        <v>1209</v>
      </c>
      <c r="P87" s="116">
        <v>1133</v>
      </c>
      <c r="Q87" s="116">
        <v>857</v>
      </c>
      <c r="R87" s="116">
        <v>954</v>
      </c>
      <c r="S87" s="116">
        <v>1151</v>
      </c>
      <c r="T87" s="116">
        <v>1099</v>
      </c>
      <c r="U87" s="127"/>
    </row>
    <row r="88" spans="1:22">
      <c r="A88" s="125" t="s">
        <v>639</v>
      </c>
      <c r="B88" s="116">
        <v>4293</v>
      </c>
      <c r="C88" s="116">
        <v>3973</v>
      </c>
      <c r="D88" s="116">
        <v>4086</v>
      </c>
      <c r="E88" s="116">
        <v>5512</v>
      </c>
      <c r="F88" s="116">
        <v>7726</v>
      </c>
      <c r="G88" s="116">
        <v>7924</v>
      </c>
      <c r="H88" s="116">
        <v>6641</v>
      </c>
      <c r="I88" s="116">
        <v>5375</v>
      </c>
      <c r="J88" s="116">
        <v>5108</v>
      </c>
      <c r="K88" s="116">
        <v>4057</v>
      </c>
      <c r="L88" s="116">
        <v>4683</v>
      </c>
      <c r="M88" s="116">
        <v>6192</v>
      </c>
      <c r="N88" s="116">
        <v>5531</v>
      </c>
      <c r="O88" s="116">
        <v>5027</v>
      </c>
      <c r="P88" s="116">
        <v>4330</v>
      </c>
      <c r="Q88" s="116">
        <v>4097</v>
      </c>
      <c r="R88" s="116">
        <v>5354</v>
      </c>
      <c r="S88" s="116">
        <v>4205</v>
      </c>
      <c r="T88" s="116">
        <v>4096</v>
      </c>
      <c r="U88" s="127"/>
    </row>
    <row r="89" spans="1:22">
      <c r="A89" s="125" t="s">
        <v>640</v>
      </c>
      <c r="B89" s="116">
        <v>1544</v>
      </c>
      <c r="C89" s="116">
        <v>1308</v>
      </c>
      <c r="D89" s="116">
        <v>1444</v>
      </c>
      <c r="E89" s="116">
        <v>1718</v>
      </c>
      <c r="F89" s="116">
        <v>2128</v>
      </c>
      <c r="G89" s="116">
        <v>2112</v>
      </c>
      <c r="H89" s="116">
        <v>1846</v>
      </c>
      <c r="I89" s="116">
        <v>1763</v>
      </c>
      <c r="J89" s="116">
        <v>1777</v>
      </c>
      <c r="K89" s="116">
        <v>1814</v>
      </c>
      <c r="L89" s="116">
        <v>2100</v>
      </c>
      <c r="M89" s="116">
        <v>2330</v>
      </c>
      <c r="N89" s="116">
        <v>2236</v>
      </c>
      <c r="O89" s="116">
        <v>2464</v>
      </c>
      <c r="P89" s="116">
        <v>2867</v>
      </c>
      <c r="Q89" s="116">
        <v>3298</v>
      </c>
      <c r="R89" s="116">
        <v>3080</v>
      </c>
      <c r="S89" s="116">
        <v>3376</v>
      </c>
      <c r="T89" s="116">
        <v>3417</v>
      </c>
      <c r="U89" s="127"/>
    </row>
    <row r="90" spans="1:22">
      <c r="A90" s="125" t="s">
        <v>641</v>
      </c>
      <c r="B90" s="116">
        <v>7051</v>
      </c>
      <c r="C90" s="116">
        <v>6427</v>
      </c>
      <c r="D90" s="116">
        <v>6526</v>
      </c>
      <c r="E90" s="116">
        <v>8247</v>
      </c>
      <c r="F90" s="116">
        <v>10964</v>
      </c>
      <c r="G90" s="116">
        <v>10985</v>
      </c>
      <c r="H90" s="116">
        <v>9562</v>
      </c>
      <c r="I90" s="116">
        <v>8161</v>
      </c>
      <c r="J90" s="116">
        <v>7703</v>
      </c>
      <c r="K90" s="116">
        <v>6878</v>
      </c>
      <c r="L90" s="116">
        <v>7724</v>
      </c>
      <c r="M90" s="116">
        <v>9579</v>
      </c>
      <c r="N90" s="116">
        <v>8907</v>
      </c>
      <c r="O90" s="116">
        <v>8700</v>
      </c>
      <c r="P90" s="116">
        <v>8330</v>
      </c>
      <c r="Q90" s="116">
        <v>8253</v>
      </c>
      <c r="R90" s="116">
        <v>9387</v>
      </c>
      <c r="S90" s="116">
        <v>8732</v>
      </c>
      <c r="T90" s="116">
        <v>8612</v>
      </c>
      <c r="U90" s="116">
        <f>T90/T$90*100</f>
        <v>100</v>
      </c>
    </row>
    <row r="92" spans="1:22">
      <c r="A92" s="324" t="s">
        <v>675</v>
      </c>
    </row>
    <row r="93" spans="1:22">
      <c r="A93" s="125" t="s">
        <v>0</v>
      </c>
    </row>
    <row r="94" spans="1:22">
      <c r="A94" s="125" t="s">
        <v>643</v>
      </c>
    </row>
  </sheetData>
  <phoneticPr fontId="0" type="noConversion"/>
  <pageMargins left="0.75" right="0.75" top="1" bottom="1" header="0.5" footer="0.5"/>
  <pageSetup orientation="portrait" horizontalDpi="1200" verticalDpi="1200" r:id="rId1"/>
  <headerFooter alignWithMargins="0"/>
  <rowBreaks count="2" manualBreakCount="2">
    <brk id="45" max="16383" man="1"/>
    <brk id="51" max="16383" man="1"/>
  </rowBreaks>
</worksheet>
</file>

<file path=xl/worksheets/sheet39.xml><?xml version="1.0" encoding="utf-8"?>
<worksheet xmlns="http://schemas.openxmlformats.org/spreadsheetml/2006/main" xmlns:r="http://schemas.openxmlformats.org/officeDocument/2006/relationships">
  <dimension ref="A1:EJ92"/>
  <sheetViews>
    <sheetView view="pageBreakPreview" topLeftCell="AF1" zoomScaleSheetLayoutView="100" workbookViewId="0">
      <pane ySplit="6" topLeftCell="A7" activePane="bottomLeft" state="frozen"/>
      <selection activeCell="E9" sqref="E9"/>
      <selection pane="bottomLeft" activeCell="E9" sqref="E9"/>
    </sheetView>
  </sheetViews>
  <sheetFormatPr defaultColWidth="8.875" defaultRowHeight="12.75"/>
  <cols>
    <col min="1" max="8" width="8.875" style="1"/>
    <col min="9" max="9" width="9.875" style="1" customWidth="1"/>
    <col min="10" max="16384" width="8.875" style="1"/>
  </cols>
  <sheetData>
    <row r="1" spans="1:47" ht="15.75">
      <c r="B1" s="2" t="s">
        <v>160</v>
      </c>
      <c r="C1" s="2"/>
      <c r="D1" s="2"/>
      <c r="T1" s="2" t="s">
        <v>161</v>
      </c>
      <c r="AJ1" s="2" t="s">
        <v>162</v>
      </c>
    </row>
    <row r="3" spans="1:47" s="3" customFormat="1" ht="15">
      <c r="B3" s="3" t="s">
        <v>321</v>
      </c>
      <c r="H3" s="3" t="s">
        <v>370</v>
      </c>
      <c r="L3" s="3" t="s">
        <v>371</v>
      </c>
      <c r="P3" s="3" t="s">
        <v>372</v>
      </c>
      <c r="T3" s="3" t="s">
        <v>373</v>
      </c>
      <c r="X3" s="3" t="s">
        <v>374</v>
      </c>
      <c r="AB3" s="3" t="s">
        <v>375</v>
      </c>
      <c r="AF3" s="3" t="s">
        <v>376</v>
      </c>
      <c r="AJ3" s="3" t="s">
        <v>377</v>
      </c>
      <c r="AN3" s="3" t="s">
        <v>378</v>
      </c>
      <c r="AR3" s="3" t="s">
        <v>379</v>
      </c>
    </row>
    <row r="4" spans="1:47" s="4" customFormat="1" ht="63.75">
      <c r="B4" s="4" t="s">
        <v>1035</v>
      </c>
      <c r="C4" s="4" t="s">
        <v>1034</v>
      </c>
      <c r="D4" s="4" t="s">
        <v>1036</v>
      </c>
      <c r="E4" s="4" t="s">
        <v>550</v>
      </c>
      <c r="F4" s="4" t="s">
        <v>762</v>
      </c>
      <c r="G4" s="4" t="s">
        <v>763</v>
      </c>
      <c r="H4" s="4" t="s">
        <v>549</v>
      </c>
      <c r="I4" s="4" t="s">
        <v>550</v>
      </c>
      <c r="J4" s="4" t="s">
        <v>762</v>
      </c>
      <c r="K4" s="4" t="s">
        <v>763</v>
      </c>
      <c r="L4" s="4" t="s">
        <v>549</v>
      </c>
      <c r="M4" s="4" t="s">
        <v>550</v>
      </c>
      <c r="N4" s="4" t="s">
        <v>762</v>
      </c>
      <c r="O4" s="4" t="s">
        <v>763</v>
      </c>
      <c r="P4" s="4" t="s">
        <v>549</v>
      </c>
      <c r="Q4" s="4" t="s">
        <v>550</v>
      </c>
      <c r="R4" s="4" t="s">
        <v>762</v>
      </c>
      <c r="S4" s="4" t="s">
        <v>763</v>
      </c>
      <c r="T4" s="4" t="s">
        <v>549</v>
      </c>
      <c r="U4" s="4" t="s">
        <v>550</v>
      </c>
      <c r="V4" s="4" t="s">
        <v>762</v>
      </c>
      <c r="W4" s="4" t="s">
        <v>763</v>
      </c>
      <c r="X4" s="4" t="s">
        <v>549</v>
      </c>
      <c r="Y4" s="4" t="s">
        <v>550</v>
      </c>
      <c r="Z4" s="4" t="s">
        <v>762</v>
      </c>
      <c r="AA4" s="4" t="s">
        <v>763</v>
      </c>
      <c r="AB4" s="4" t="s">
        <v>549</v>
      </c>
      <c r="AC4" s="4" t="s">
        <v>550</v>
      </c>
      <c r="AD4" s="4" t="s">
        <v>762</v>
      </c>
      <c r="AE4" s="4" t="s">
        <v>763</v>
      </c>
      <c r="AF4" s="4" t="s">
        <v>549</v>
      </c>
      <c r="AG4" s="4" t="s">
        <v>550</v>
      </c>
      <c r="AH4" s="4" t="s">
        <v>762</v>
      </c>
      <c r="AI4" s="4" t="s">
        <v>763</v>
      </c>
      <c r="AJ4" s="4" t="s">
        <v>549</v>
      </c>
      <c r="AK4" s="4" t="s">
        <v>550</v>
      </c>
      <c r="AL4" s="4" t="s">
        <v>762</v>
      </c>
      <c r="AM4" s="4" t="s">
        <v>763</v>
      </c>
      <c r="AN4" s="4" t="s">
        <v>549</v>
      </c>
      <c r="AO4" s="4" t="s">
        <v>550</v>
      </c>
      <c r="AP4" s="4" t="s">
        <v>762</v>
      </c>
      <c r="AQ4" s="4" t="s">
        <v>763</v>
      </c>
      <c r="AR4" s="4" t="s">
        <v>549</v>
      </c>
      <c r="AS4" s="4" t="s">
        <v>550</v>
      </c>
      <c r="AT4" s="4" t="s">
        <v>762</v>
      </c>
      <c r="AU4" s="4" t="s">
        <v>763</v>
      </c>
    </row>
    <row r="5" spans="1:47" s="4" customFormat="1"/>
    <row r="6" spans="1:47" s="4" customFormat="1" ht="38.25">
      <c r="B6" s="4" t="s">
        <v>105</v>
      </c>
      <c r="C6" s="4" t="s">
        <v>106</v>
      </c>
      <c r="D6" s="4" t="s">
        <v>341</v>
      </c>
      <c r="E6" s="4" t="s">
        <v>108</v>
      </c>
      <c r="F6" s="4" t="s">
        <v>342</v>
      </c>
      <c r="G6" s="4" t="s">
        <v>343</v>
      </c>
      <c r="H6" s="4" t="s">
        <v>111</v>
      </c>
      <c r="I6" s="4" t="s">
        <v>112</v>
      </c>
      <c r="J6" s="4" t="s">
        <v>176</v>
      </c>
      <c r="K6" s="4" t="s">
        <v>344</v>
      </c>
      <c r="L6" s="4" t="s">
        <v>114</v>
      </c>
      <c r="M6" s="4" t="s">
        <v>115</v>
      </c>
      <c r="N6" s="4" t="s">
        <v>345</v>
      </c>
      <c r="O6" s="4" t="s">
        <v>346</v>
      </c>
      <c r="P6" s="4" t="s">
        <v>170</v>
      </c>
      <c r="Q6" s="4" t="s">
        <v>347</v>
      </c>
      <c r="R6" s="4" t="s">
        <v>348</v>
      </c>
      <c r="S6" s="4" t="s">
        <v>349</v>
      </c>
      <c r="T6" s="4" t="s">
        <v>105</v>
      </c>
      <c r="U6" s="4" t="s">
        <v>106</v>
      </c>
      <c r="V6" s="4" t="s">
        <v>152</v>
      </c>
      <c r="W6" s="4" t="s">
        <v>153</v>
      </c>
      <c r="X6" s="4" t="s">
        <v>109</v>
      </c>
      <c r="Y6" s="4" t="s">
        <v>110</v>
      </c>
      <c r="Z6" s="4" t="s">
        <v>154</v>
      </c>
      <c r="AA6" s="4" t="s">
        <v>155</v>
      </c>
      <c r="AB6" s="4" t="s">
        <v>138</v>
      </c>
      <c r="AC6" s="4" t="s">
        <v>113</v>
      </c>
      <c r="AD6" s="4" t="s">
        <v>156</v>
      </c>
      <c r="AE6" s="4" t="s">
        <v>157</v>
      </c>
      <c r="AF6" s="4" t="s">
        <v>116</v>
      </c>
      <c r="AG6" s="4" t="s">
        <v>139</v>
      </c>
      <c r="AH6" s="4" t="s">
        <v>158</v>
      </c>
      <c r="AI6" s="4" t="s">
        <v>159</v>
      </c>
      <c r="AJ6" s="4" t="s">
        <v>105</v>
      </c>
      <c r="AK6" s="4" t="s">
        <v>106</v>
      </c>
      <c r="AL6" s="4" t="s">
        <v>152</v>
      </c>
      <c r="AM6" s="4" t="s">
        <v>153</v>
      </c>
      <c r="AN6" s="4" t="s">
        <v>109</v>
      </c>
      <c r="AO6" s="4" t="s">
        <v>110</v>
      </c>
      <c r="AP6" s="4" t="s">
        <v>154</v>
      </c>
      <c r="AQ6" s="4" t="s">
        <v>155</v>
      </c>
      <c r="AR6" s="4" t="s">
        <v>138</v>
      </c>
      <c r="AS6" s="4" t="s">
        <v>113</v>
      </c>
      <c r="AT6" s="4" t="s">
        <v>156</v>
      </c>
      <c r="AU6" s="4" t="s">
        <v>157</v>
      </c>
    </row>
    <row r="7" spans="1:47" s="4" customFormat="1" hidden="1"/>
    <row r="8" spans="1:47" hidden="1">
      <c r="A8" s="1">
        <v>1971</v>
      </c>
      <c r="B8" s="7">
        <f>'a10'!B4</f>
        <v>17757.2</v>
      </c>
      <c r="C8" s="117">
        <f>C9</f>
        <v>90816</v>
      </c>
      <c r="D8" s="7">
        <f>B8+C8</f>
        <v>108573.2</v>
      </c>
      <c r="E8" s="11">
        <f>'a8'!C8</f>
        <v>22.647265812619505</v>
      </c>
      <c r="F8" s="7">
        <f>D8/E8*100</f>
        <v>479409.74817145854</v>
      </c>
      <c r="G8" s="7">
        <f>F8*1000000/'a1'!F8</f>
        <v>21829.025118051853</v>
      </c>
      <c r="H8" s="7">
        <f>'a10'!C4+'a11'!L8+'a12'!H8</f>
        <v>2101.7553199999998</v>
      </c>
      <c r="I8" s="11">
        <f>'a8'!I8</f>
        <v>23.423910831234249</v>
      </c>
      <c r="J8" s="7">
        <f>H8/I8*100</f>
        <v>8972.6917727053806</v>
      </c>
      <c r="K8" s="7">
        <f>J8*1000000/'a1'!L8</f>
        <v>16902.371975543901</v>
      </c>
      <c r="L8" s="7">
        <f>'a10'!D4+'a11'!Q8+'a12'!I8</f>
        <v>18.572959999999998</v>
      </c>
      <c r="M8" s="11">
        <f>'a8'!O8</f>
        <v>26.941772000000004</v>
      </c>
      <c r="N8" s="7">
        <f>L8/M8*100</f>
        <v>68.937410649900812</v>
      </c>
      <c r="O8" s="7">
        <f>N8*1000000/'a1'!R8</f>
        <v>612.28171567799211</v>
      </c>
      <c r="P8" s="7">
        <f>'a10'!E4+'a11'!V8+'a12'!J8</f>
        <v>1926.8774799999999</v>
      </c>
      <c r="Q8" s="11">
        <f>'a8'!U8</f>
        <v>22.263649032258058</v>
      </c>
      <c r="R8" s="7">
        <f>P8/Q8*100</f>
        <v>8654.8142993456495</v>
      </c>
      <c r="S8" s="7">
        <f>R8*1000000/'a1'!X8</f>
        <v>10855.235708967644</v>
      </c>
      <c r="T8" s="7">
        <f>'a10'!F4+'a11'!AA8+'a12'!K8</f>
        <v>1923.4880799999999</v>
      </c>
      <c r="U8" s="11">
        <f>'a8'!AA8</f>
        <v>22.97542846153846</v>
      </c>
      <c r="V8" s="7">
        <f>T8/U8*100</f>
        <v>8371.9356233986036</v>
      </c>
      <c r="W8" s="7">
        <f>V8*1000000/'a1'!AD8</f>
        <v>13030.838159852512</v>
      </c>
      <c r="X8" s="7">
        <f>'a10'!G4+'a11'!AF8+'a12'!L8</f>
        <v>11306.51152</v>
      </c>
      <c r="Y8" s="11">
        <f>'a8'!AG8</f>
        <v>22.331335166240407</v>
      </c>
      <c r="Z8" s="7">
        <f>X8/Y8*100</f>
        <v>50630.70092240932</v>
      </c>
      <c r="AA8" s="7">
        <f>Z8*1000000/'a1'!AJ8</f>
        <v>8249.6634797210372</v>
      </c>
      <c r="AB8" s="7">
        <f>'a10'!H4+'a11'!AK8+'a12'!M8</f>
        <v>16941.701239999995</v>
      </c>
      <c r="AC8" s="11">
        <f>'a8'!AM8</f>
        <v>23.660936632390744</v>
      </c>
      <c r="AD8" s="7">
        <f>AB8/AC8*100</f>
        <v>71601.988979622969</v>
      </c>
      <c r="AE8" s="7">
        <f>AD8*1000000/'a1'!AP8</f>
        <v>9122.4031946409377</v>
      </c>
      <c r="AF8" s="7">
        <f>'a10'!I4+'a11'!AP8+'a12'!N8</f>
        <v>2635.9225599999995</v>
      </c>
      <c r="AG8" s="11">
        <f>'a8'!AS8</f>
        <v>24.190250000000006</v>
      </c>
      <c r="AH8" s="7">
        <f>AF8/AG8*100</f>
        <v>10896.632155517198</v>
      </c>
      <c r="AI8" s="7">
        <f>AH8*1000000/'a1'!AV8</f>
        <v>10908.893752094553</v>
      </c>
      <c r="AJ8" s="7">
        <f>'a10'!J4+'a11'!AU8+'a12'!O8</f>
        <v>11047.758199999998</v>
      </c>
      <c r="AK8" s="11">
        <f>'a8'!AY8</f>
        <v>27.583661034047918</v>
      </c>
      <c r="AL8" s="7">
        <f>AJ8/AK8*100</f>
        <v>40051.81975794724</v>
      </c>
      <c r="AM8" s="7">
        <f>AL8*1000000/'a1'!BB8</f>
        <v>42972.303444652731</v>
      </c>
      <c r="AN8" s="7">
        <f>'a10'!K4+'a11'!BA8+'a12'!P8</f>
        <v>17935.087599999999</v>
      </c>
      <c r="AO8" s="11">
        <f>'a8'!BE8</f>
        <v>27.990659605911311</v>
      </c>
      <c r="AP8" s="7">
        <f>AN8/AO8*100</f>
        <v>64075.258863182738</v>
      </c>
      <c r="AQ8" s="7">
        <f>AP8*1000000/'a1'!BH8</f>
        <v>38467.073856593131</v>
      </c>
      <c r="AR8" s="7">
        <f>'a10'!L4+'a11'!BF8+'a12'!Q8</f>
        <v>19941.238440000001</v>
      </c>
      <c r="AS8" s="11">
        <f>'a8'!BK8</f>
        <v>23.353543206854347</v>
      </c>
      <c r="AT8" s="7">
        <f>AR8/AS8*100</f>
        <v>85388.492287316723</v>
      </c>
      <c r="AU8" s="7">
        <f>AT8*1000000/'a1'!BN8</f>
        <v>38111.865942108903</v>
      </c>
    </row>
    <row r="9" spans="1:47" hidden="1">
      <c r="A9" s="1">
        <v>1972</v>
      </c>
      <c r="B9" s="7">
        <f>'a10'!B5</f>
        <v>19623.599999999999</v>
      </c>
      <c r="C9" s="117">
        <f>C10</f>
        <v>90816</v>
      </c>
      <c r="D9" s="7">
        <f t="shared" ref="D9:D45" si="0">B9+C9</f>
        <v>110439.6</v>
      </c>
      <c r="E9" s="11">
        <f>'a8'!C9</f>
        <v>24.010788871892935</v>
      </c>
      <c r="F9" s="7">
        <f t="shared" ref="F9:F46" si="1">D9/E9*100</f>
        <v>459958.23206492298</v>
      </c>
      <c r="G9" s="7">
        <f>F9*1000000/'a1'!F9</f>
        <v>20701.622432880391</v>
      </c>
      <c r="H9" s="7">
        <f>'a10'!C5+'a11'!L9+'a12'!H9</f>
        <v>2056.9553199999996</v>
      </c>
      <c r="I9" s="11">
        <f>'a8'!I9</f>
        <v>24.67133803526448</v>
      </c>
      <c r="J9" s="7">
        <f t="shared" ref="J9:J39" si="2">H9/I9*100</f>
        <v>8337.4291133291954</v>
      </c>
      <c r="K9" s="7">
        <f>J9*1000000/'a1'!L9</f>
        <v>15464.770838117382</v>
      </c>
      <c r="L9" s="7">
        <f>'a10'!D5+'a11'!Q9+'a12'!I9</f>
        <v>18.572959999999998</v>
      </c>
      <c r="M9" s="11">
        <f>'a8'!O9</f>
        <v>28.319476249999997</v>
      </c>
      <c r="N9" s="7">
        <f t="shared" ref="N9:N39" si="3">L9/M9*100</f>
        <v>65.583698780446198</v>
      </c>
      <c r="O9" s="7">
        <f>N9*1000000/'a1'!R9</f>
        <v>578.03365750437331</v>
      </c>
      <c r="P9" s="7">
        <f>'a10'!E5+'a11'!V9+'a12'!J9</f>
        <v>1944.3774799999999</v>
      </c>
      <c r="Q9" s="11">
        <f>'a8'!U9</f>
        <v>23.486219354838706</v>
      </c>
      <c r="R9" s="7">
        <f t="shared" ref="R9:R39" si="4">P9/Q9*100</f>
        <v>8278.8014989709827</v>
      </c>
      <c r="S9" s="7">
        <f>R9*1000000/'a1'!X9</f>
        <v>10319.414025429549</v>
      </c>
      <c r="T9" s="7">
        <f>'a10'!F5+'a11'!AA9+'a12'!K9</f>
        <v>1892.1880799999999</v>
      </c>
      <c r="U9" s="11">
        <f>'a8'!AA9</f>
        <v>24.319020769230768</v>
      </c>
      <c r="V9" s="7">
        <f t="shared" ref="V9:V39" si="5">T9/U9*100</f>
        <v>7780.6919034916864</v>
      </c>
      <c r="W9" s="7">
        <f>V9*1000000/'a1'!AD9</f>
        <v>11993.008148496132</v>
      </c>
      <c r="X9" s="7">
        <f>'a10'!G5+'a11'!AF9+'a12'!L9</f>
        <v>11616.01152</v>
      </c>
      <c r="Y9" s="11">
        <f>'a8'!AG9</f>
        <v>23.5241067774936</v>
      </c>
      <c r="Z9" s="7">
        <f t="shared" ref="Z9:Z39" si="6">X9/Y9*100</f>
        <v>49379.182087004789</v>
      </c>
      <c r="AA9" s="7">
        <f>Z9*1000000/'a1'!AJ9</f>
        <v>7997.6440874444288</v>
      </c>
      <c r="AB9" s="7">
        <f>'a10'!H5+'a11'!AK9+'a12'!M9</f>
        <v>16984.401239999996</v>
      </c>
      <c r="AC9" s="11">
        <f>'a8'!AM9</f>
        <v>24.934471465295626</v>
      </c>
      <c r="AD9" s="7">
        <f t="shared" ref="AD9:AD39" si="7">AB9/AC9*100</f>
        <v>68116.147012136498</v>
      </c>
      <c r="AE9" s="7">
        <f>AD9*1000000/'a1'!AP9</f>
        <v>8553.955318267519</v>
      </c>
      <c r="AF9" s="7">
        <f>'a10'!I5+'a11'!AP9+'a12'!N9</f>
        <v>2629.8225599999996</v>
      </c>
      <c r="AG9" s="11">
        <f>'a8'!AS9</f>
        <v>25.389183673469397</v>
      </c>
      <c r="AH9" s="7">
        <f t="shared" ref="AH9:AH39" si="8">AF9/AG9*100</f>
        <v>10358.04299115001</v>
      </c>
      <c r="AI9" s="7">
        <f>AH9*1000000/'a1'!AV9</f>
        <v>10340.959725683182</v>
      </c>
      <c r="AJ9" s="7">
        <f>'a10'!J5+'a11'!AU9+'a12'!O9</f>
        <v>10929.558199999999</v>
      </c>
      <c r="AK9" s="11">
        <f>'a8'!AY9</f>
        <v>29.09837074401009</v>
      </c>
      <c r="AL9" s="7">
        <f t="shared" ref="AL9:AL39" si="9">AJ9/AK9*100</f>
        <v>37560.722200399665</v>
      </c>
      <c r="AM9" s="7">
        <f>AL9*1000000/'a1'!BB9</f>
        <v>40792.287191728392</v>
      </c>
      <c r="AN9" s="7">
        <f>'a10'!K5+'a11'!BA9+'a12'!P9</f>
        <v>18490.587600000003</v>
      </c>
      <c r="AO9" s="11">
        <f>'a8'!BE9</f>
        <v>29.514506403940867</v>
      </c>
      <c r="AP9" s="7">
        <f t="shared" ref="AP9:AP39" si="10">AN9/AO9*100</f>
        <v>62649.150715700547</v>
      </c>
      <c r="AQ9" s="7">
        <f>AP9*1000000/'a1'!BH9</f>
        <v>36981.004973584961</v>
      </c>
      <c r="AR9" s="7">
        <f>'a10'!L5+'a11'!BF9+'a12'!Q9</f>
        <v>21200.138439999999</v>
      </c>
      <c r="AS9" s="11">
        <f>'a8'!BK9</f>
        <v>24.524472949816406</v>
      </c>
      <c r="AT9" s="7">
        <f t="shared" ref="AT9:AT39" si="11">AR9/AS9*100</f>
        <v>86444.827920995973</v>
      </c>
      <c r="AU9" s="7">
        <f>AT9*1000000/'a1'!BN9</f>
        <v>37550.650983931955</v>
      </c>
    </row>
    <row r="10" spans="1:47" hidden="1">
      <c r="A10" s="1">
        <v>1973</v>
      </c>
      <c r="B10" s="7">
        <f>'a10'!B6</f>
        <v>24804.1</v>
      </c>
      <c r="C10" s="117">
        <f>C11</f>
        <v>90816</v>
      </c>
      <c r="D10" s="7">
        <f t="shared" si="0"/>
        <v>115620.1</v>
      </c>
      <c r="E10" s="11">
        <f>'a8'!C10</f>
        <v>26.269123938814541</v>
      </c>
      <c r="F10" s="7">
        <f t="shared" si="1"/>
        <v>440136.87045407289</v>
      </c>
      <c r="G10" s="7">
        <f>F10*1000000/'a1'!F10</f>
        <v>19568.790427455904</v>
      </c>
      <c r="H10" s="7">
        <f>'a10'!C6+'a11'!L10+'a12'!H10</f>
        <v>2056.9553199999996</v>
      </c>
      <c r="I10" s="11">
        <f>'a8'!I10</f>
        <v>26.750383375314861</v>
      </c>
      <c r="J10" s="7">
        <f t="shared" si="2"/>
        <v>7689.4423946766647</v>
      </c>
      <c r="K10" s="7">
        <f>J10*1000000/'a1'!L10</f>
        <v>14094.56026856147</v>
      </c>
      <c r="L10" s="7">
        <f>'a10'!D6+'a11'!Q10+'a12'!I10</f>
        <v>18.572959999999998</v>
      </c>
      <c r="M10" s="11">
        <f>'a8'!O10</f>
        <v>30.921806500000002</v>
      </c>
      <c r="N10" s="7">
        <f t="shared" si="3"/>
        <v>60.064278586052197</v>
      </c>
      <c r="O10" s="7">
        <f>N10*1000000/'a1'!R10</f>
        <v>524.02965089907696</v>
      </c>
      <c r="P10" s="7">
        <f>'a10'!E6+'a11'!V10+'a12'!J10</f>
        <v>2045.2774799999997</v>
      </c>
      <c r="Q10" s="11">
        <f>'a8'!U10</f>
        <v>25.352247741935482</v>
      </c>
      <c r="R10" s="7">
        <f t="shared" si="4"/>
        <v>8067.4404132493537</v>
      </c>
      <c r="S10" s="7">
        <f>R10*1000000/'a1'!X10</f>
        <v>9930.5507643526034</v>
      </c>
      <c r="T10" s="7">
        <f>'a10'!F6+'a11'!AA10+'a12'!K10</f>
        <v>2064.8880799999997</v>
      </c>
      <c r="U10" s="11">
        <f>'a8'!AA10</f>
        <v>26.267229615384615</v>
      </c>
      <c r="V10" s="7">
        <f t="shared" si="5"/>
        <v>7861.0805564002176</v>
      </c>
      <c r="W10" s="7">
        <f>V10*1000000/'a1'!AD10</f>
        <v>11970.216464246891</v>
      </c>
      <c r="X10" s="7">
        <f>'a10'!G6+'a11'!AF10+'a12'!L10</f>
        <v>12522.711520000001</v>
      </c>
      <c r="Y10" s="11">
        <f>'a8'!AG10</f>
        <v>25.246999104859331</v>
      </c>
      <c r="Z10" s="7">
        <f t="shared" si="6"/>
        <v>49600.792030723896</v>
      </c>
      <c r="AA10" s="7">
        <f>Z10*1000000/'a1'!AJ10</f>
        <v>7983.1969313344807</v>
      </c>
      <c r="AB10" s="7">
        <f>'a10'!H6+'a11'!AK10+'a12'!M10</f>
        <v>17593.401239999996</v>
      </c>
      <c r="AC10" s="11">
        <f>'a8'!AM10</f>
        <v>26.744231491002562</v>
      </c>
      <c r="AD10" s="7">
        <f t="shared" si="7"/>
        <v>65783.910245911757</v>
      </c>
      <c r="AE10" s="7">
        <f>AD10*1000000/'a1'!AP10</f>
        <v>8146.0624581730199</v>
      </c>
      <c r="AF10" s="7">
        <f>'a10'!I6+'a11'!AP10+'a12'!N10</f>
        <v>2666.0225599999994</v>
      </c>
      <c r="AG10" s="11">
        <f>'a8'!AS10</f>
        <v>27.293372448979607</v>
      </c>
      <c r="AH10" s="7">
        <f t="shared" si="8"/>
        <v>9768.0217605342932</v>
      </c>
      <c r="AI10" s="7">
        <f>AH10*1000000/'a1'!AV10</f>
        <v>9696.6736359211864</v>
      </c>
      <c r="AJ10" s="7">
        <f>'a10'!J6+'a11'!AU10+'a12'!O10</f>
        <v>11368.458199999999</v>
      </c>
      <c r="AK10" s="11">
        <f>'a8'!AY10</f>
        <v>31.091409836065576</v>
      </c>
      <c r="AL10" s="7">
        <f t="shared" si="9"/>
        <v>36564.627528767625</v>
      </c>
      <c r="AM10" s="7">
        <f>AL10*1000000/'a1'!BB10</f>
        <v>40095.563102240201</v>
      </c>
      <c r="AN10" s="7">
        <f>'a10'!K6+'a11'!BA10+'a12'!P10</f>
        <v>24740.687600000005</v>
      </c>
      <c r="AO10" s="11">
        <f>'a8'!BE10</f>
        <v>31.679972906403918</v>
      </c>
      <c r="AP10" s="7">
        <f t="shared" si="10"/>
        <v>78095.671587518387</v>
      </c>
      <c r="AQ10" s="7">
        <f>AP10*1000000/'a1'!BH10</f>
        <v>45264.272562545179</v>
      </c>
      <c r="AR10" s="7">
        <f>'a10'!L6+'a11'!BF10+'a12'!Q10</f>
        <v>24087.138439999999</v>
      </c>
      <c r="AS10" s="11">
        <f>'a8'!BK10</f>
        <v>26.345919216646273</v>
      </c>
      <c r="AT10" s="7">
        <f t="shared" si="11"/>
        <v>91426.449166294042</v>
      </c>
      <c r="AU10" s="7">
        <f>AT10*1000000/'a1'!BN10</f>
        <v>38621.032051798902</v>
      </c>
    </row>
    <row r="11" spans="1:47" hidden="1">
      <c r="A11" s="1">
        <v>1974</v>
      </c>
      <c r="B11" s="7">
        <f>'a10'!B7</f>
        <v>31849.3</v>
      </c>
      <c r="C11" s="117">
        <f>C12</f>
        <v>90816</v>
      </c>
      <c r="D11" s="7">
        <f t="shared" si="0"/>
        <v>122665.3</v>
      </c>
      <c r="E11" s="11">
        <f>'a8'!C11</f>
        <v>30.125337590822191</v>
      </c>
      <c r="F11" s="7">
        <f t="shared" si="1"/>
        <v>407183.15481175057</v>
      </c>
      <c r="G11" s="7">
        <f>F11*1000000/'a1'!F11</f>
        <v>17852.670477224452</v>
      </c>
      <c r="H11" s="7">
        <f>'a10'!C7+'a11'!L11+'a12'!H11</f>
        <v>2266.6553199999994</v>
      </c>
      <c r="I11" s="11">
        <f>'a8'!I11</f>
        <v>30.49266498740554</v>
      </c>
      <c r="J11" s="7">
        <f t="shared" si="2"/>
        <v>7433.4444724205041</v>
      </c>
      <c r="K11" s="7">
        <f>J11*1000000/'a1'!L11</f>
        <v>13525.09165220869</v>
      </c>
      <c r="L11" s="7">
        <f>'a10'!D7+'a11'!Q11+'a12'!I11</f>
        <v>18.572959999999998</v>
      </c>
      <c r="M11" s="11">
        <f>'a8'!O11</f>
        <v>34.672223625000001</v>
      </c>
      <c r="N11" s="7">
        <f t="shared" si="3"/>
        <v>53.567259489547659</v>
      </c>
      <c r="O11" s="7">
        <f>N11*1000000/'a1'!R11</f>
        <v>461.93804426922321</v>
      </c>
      <c r="P11" s="7">
        <f>'a10'!E7+'a11'!V11+'a12'!J11</f>
        <v>2280.7774799999997</v>
      </c>
      <c r="Q11" s="11">
        <f>'a8'!U11</f>
        <v>28.183463225806445</v>
      </c>
      <c r="R11" s="7">
        <f t="shared" si="4"/>
        <v>8092.6089945950462</v>
      </c>
      <c r="S11" s="7">
        <f>R11*1000000/'a1'!X11</f>
        <v>9884.0905166467528</v>
      </c>
      <c r="T11" s="7">
        <f>'a10'!F7+'a11'!AA11+'a12'!K11</f>
        <v>2780.1880799999999</v>
      </c>
      <c r="U11" s="11">
        <f>'a8'!AA11</f>
        <v>29.559030769230773</v>
      </c>
      <c r="V11" s="7">
        <f t="shared" si="5"/>
        <v>9405.5454717209923</v>
      </c>
      <c r="W11" s="7">
        <f>V11*1000000/'a1'!AD11</f>
        <v>14149.124282010809</v>
      </c>
      <c r="X11" s="7">
        <f>'a10'!G7+'a11'!AF11+'a12'!L11</f>
        <v>14465.711520000001</v>
      </c>
      <c r="Y11" s="11">
        <f>'a8'!AG11</f>
        <v>28.560253580562652</v>
      </c>
      <c r="Z11" s="7">
        <f t="shared" si="6"/>
        <v>50649.800707109192</v>
      </c>
      <c r="AA11" s="7">
        <f>Z11*1000000/'a1'!AJ11</f>
        <v>8079.9596442489355</v>
      </c>
      <c r="AB11" s="7">
        <f>'a10'!H7+'a11'!AK11+'a12'!M11</f>
        <v>19204.801239999997</v>
      </c>
      <c r="AC11" s="11">
        <f>'a8'!AM11</f>
        <v>29.961582647814897</v>
      </c>
      <c r="AD11" s="7">
        <f t="shared" si="7"/>
        <v>64098.086759113859</v>
      </c>
      <c r="AE11" s="7">
        <f>AD11*1000000/'a1'!AP11</f>
        <v>7812.7667294323828</v>
      </c>
      <c r="AF11" s="7">
        <f>'a10'!I7+'a11'!AP11+'a12'!N11</f>
        <v>2772.0225599999994</v>
      </c>
      <c r="AG11" s="11">
        <f>'a8'!AS11</f>
        <v>30.467020408163279</v>
      </c>
      <c r="AH11" s="7">
        <f t="shared" si="8"/>
        <v>9098.4366796080558</v>
      </c>
      <c r="AI11" s="7">
        <f>AH11*1000000/'a1'!AV11</f>
        <v>8935.7523719247929</v>
      </c>
      <c r="AJ11" s="7">
        <f>'a10'!J7+'a11'!AU11+'a12'!O11</f>
        <v>12610.158199999998</v>
      </c>
      <c r="AK11" s="11">
        <f>'a8'!AY11</f>
        <v>34.997766456494332</v>
      </c>
      <c r="AL11" s="7">
        <f t="shared" si="9"/>
        <v>36031.322786486002</v>
      </c>
      <c r="AM11" s="7">
        <f>AL11*1000000/'a1'!BB11</f>
        <v>39662.11145545249</v>
      </c>
      <c r="AN11" s="7">
        <f>'a10'!K7+'a11'!BA11+'a12'!P11</f>
        <v>42357.487599999993</v>
      </c>
      <c r="AO11" s="11">
        <f>'a8'!BE11</f>
        <v>35.529691133004903</v>
      </c>
      <c r="AP11" s="7">
        <f t="shared" si="10"/>
        <v>119217.15683211356</v>
      </c>
      <c r="AQ11" s="7">
        <f>AP11*1000000/'a1'!BH11</f>
        <v>67944.676845947673</v>
      </c>
      <c r="AR11" s="7">
        <f>'a10'!L7+'a11'!BF11+'a12'!Q11</f>
        <v>26479.238439999997</v>
      </c>
      <c r="AS11" s="11">
        <f>'a8'!BK11</f>
        <v>29.793656793145662</v>
      </c>
      <c r="AT11" s="7">
        <f t="shared" si="11"/>
        <v>88875.422791645426</v>
      </c>
      <c r="AU11" s="7">
        <f>AT11*1000000/'a1'!BN11</f>
        <v>36385.909801711729</v>
      </c>
    </row>
    <row r="12" spans="1:47" hidden="1">
      <c r="A12" s="1">
        <v>1975</v>
      </c>
      <c r="B12" s="7">
        <f>'a10'!B8</f>
        <v>35839</v>
      </c>
      <c r="C12" s="7">
        <v>90816</v>
      </c>
      <c r="D12" s="7">
        <f t="shared" si="0"/>
        <v>126655</v>
      </c>
      <c r="E12" s="11">
        <f>'a8'!C12</f>
        <v>33.235874569789679</v>
      </c>
      <c r="F12" s="7">
        <f t="shared" si="1"/>
        <v>381079.18518601352</v>
      </c>
      <c r="G12" s="7">
        <f>F12*1000000/'a1'!F12</f>
        <v>16466.087240721703</v>
      </c>
      <c r="H12" s="7">
        <f>'a10'!C8+'a11'!L12+'a12'!H12</f>
        <v>2322.9553199999996</v>
      </c>
      <c r="I12" s="11">
        <f>'a8'!I12</f>
        <v>34.027042065491187</v>
      </c>
      <c r="J12" s="7">
        <f t="shared" si="2"/>
        <v>6826.7918073191677</v>
      </c>
      <c r="K12" s="7">
        <f>J12*1000000/'a1'!L12</f>
        <v>12267.458898750698</v>
      </c>
      <c r="L12" s="7">
        <f>'a10'!D8+'a11'!Q12+'a12'!I12</f>
        <v>18.572959999999998</v>
      </c>
      <c r="M12" s="11">
        <f>'a8'!O12</f>
        <v>38.575718999999999</v>
      </c>
      <c r="N12" s="7">
        <f t="shared" si="3"/>
        <v>48.146762993581525</v>
      </c>
      <c r="O12" s="7">
        <f>N12*1000000/'a1'!R12</f>
        <v>408.98001251725668</v>
      </c>
      <c r="P12" s="7">
        <f>'a10'!E8+'a11'!V12+'a12'!J12</f>
        <v>2527.3774800000001</v>
      </c>
      <c r="Q12" s="11">
        <f>'a8'!U12</f>
        <v>31.336407741935489</v>
      </c>
      <c r="R12" s="7">
        <f t="shared" si="4"/>
        <v>8065.3069771548007</v>
      </c>
      <c r="S12" s="7">
        <f>R12*1000000/'a1'!X12</f>
        <v>9757.8086443209068</v>
      </c>
      <c r="T12" s="7">
        <f>'a10'!F8+'a11'!AA12+'a12'!K12</f>
        <v>3244.7880799999998</v>
      </c>
      <c r="U12" s="11">
        <f>'a8'!AA12</f>
        <v>33.119550384615387</v>
      </c>
      <c r="V12" s="7">
        <f t="shared" si="5"/>
        <v>9797.1984592739536</v>
      </c>
      <c r="W12" s="7">
        <f>V12*1000000/'a1'!AD12</f>
        <v>14471.318594867349</v>
      </c>
      <c r="X12" s="7">
        <f>'a10'!G8+'a11'!AF12+'a12'!L12</f>
        <v>15611.811519999999</v>
      </c>
      <c r="Y12" s="11">
        <f>'a8'!AG12</f>
        <v>31.674712787723781</v>
      </c>
      <c r="Z12" s="7">
        <f t="shared" si="6"/>
        <v>49287.933957370231</v>
      </c>
      <c r="AA12" s="7">
        <f>Z12*1000000/'a1'!AJ12</f>
        <v>7786.0307725191406</v>
      </c>
      <c r="AB12" s="7">
        <f>'a10'!H8+'a11'!AK12+'a12'!M12</f>
        <v>19756.801239999997</v>
      </c>
      <c r="AC12" s="11">
        <f>'a8'!AM12</f>
        <v>33.111905655526982</v>
      </c>
      <c r="AD12" s="7">
        <f t="shared" si="7"/>
        <v>59666.75988249026</v>
      </c>
      <c r="AE12" s="7">
        <f>AD12*1000000/'a1'!AP12</f>
        <v>7171.6622684201066</v>
      </c>
      <c r="AF12" s="7">
        <f>'a10'!I8+'a11'!AP12+'a12'!N12</f>
        <v>2893.3225599999996</v>
      </c>
      <c r="AG12" s="11">
        <f>'a8'!AS12</f>
        <v>34.204872448979607</v>
      </c>
      <c r="AH12" s="7">
        <f t="shared" si="8"/>
        <v>8458.8023659954124</v>
      </c>
      <c r="AI12" s="7">
        <f>AH12*1000000/'a1'!AV12</f>
        <v>8252.691398322313</v>
      </c>
      <c r="AJ12" s="7">
        <f>'a10'!J8+'a11'!AU12+'a12'!O12</f>
        <v>13076.658199999998</v>
      </c>
      <c r="AK12" s="11">
        <f>'a8'!AY12</f>
        <v>39.143287767969753</v>
      </c>
      <c r="AL12" s="7">
        <f t="shared" si="9"/>
        <v>33407.153424399861</v>
      </c>
      <c r="AM12" s="7">
        <f>AL12*1000000/'a1'!BB12</f>
        <v>36414.439947460924</v>
      </c>
      <c r="AN12" s="7">
        <f>'a10'!K8+'a11'!BA12+'a12'!P12</f>
        <v>57955.287599999996</v>
      </c>
      <c r="AO12" s="11">
        <f>'a8'!BE12</f>
        <v>40.101231527093574</v>
      </c>
      <c r="AP12" s="7">
        <f t="shared" si="10"/>
        <v>144522.4632586251</v>
      </c>
      <c r="AQ12" s="7">
        <f>AP12*1000000/'a1'!BH12</f>
        <v>79904.540392861949</v>
      </c>
      <c r="AR12" s="7">
        <f>'a10'!L8+'a11'!BF12+'a12'!Q12</f>
        <v>27967.138439999999</v>
      </c>
      <c r="AS12" s="11">
        <f>'a8'!BK12</f>
        <v>33.306446022031828</v>
      </c>
      <c r="AT12" s="7">
        <f t="shared" si="11"/>
        <v>83969.146457415656</v>
      </c>
      <c r="AU12" s="7">
        <f>AT12*1000000/'a1'!BN12</f>
        <v>33593.51729238205</v>
      </c>
    </row>
    <row r="13" spans="1:47" hidden="1">
      <c r="A13" s="1">
        <v>1976</v>
      </c>
      <c r="B13" s="7">
        <f>'a10'!B9</f>
        <v>41340.1</v>
      </c>
      <c r="C13" s="7">
        <v>121011</v>
      </c>
      <c r="D13" s="7">
        <f t="shared" si="0"/>
        <v>162351.1</v>
      </c>
      <c r="E13" s="11">
        <f>'a8'!C13</f>
        <v>36.282496405353747</v>
      </c>
      <c r="F13" s="7">
        <f t="shared" si="1"/>
        <v>447463.97322330857</v>
      </c>
      <c r="G13" s="7">
        <f>F13*1000000/'a1'!F13</f>
        <v>19081.775561800274</v>
      </c>
      <c r="H13" s="7">
        <f>'a10'!C9+'a11'!L13+'a12'!H13</f>
        <v>2344.7553199999998</v>
      </c>
      <c r="I13" s="11">
        <f>'a8'!I13</f>
        <v>36.937705541561719</v>
      </c>
      <c r="J13" s="7">
        <f t="shared" si="2"/>
        <v>6347.8640203077002</v>
      </c>
      <c r="K13" s="7">
        <f>J13*1000000/'a1'!L13</f>
        <v>11282.303609077402</v>
      </c>
      <c r="L13" s="7">
        <f>'a10'!D9+'a11'!Q13+'a12'!I13</f>
        <v>18.572959999999998</v>
      </c>
      <c r="M13" s="11">
        <f>'a8'!O13</f>
        <v>42.173057875000005</v>
      </c>
      <c r="N13" s="7">
        <f t="shared" si="3"/>
        <v>44.039870324437544</v>
      </c>
      <c r="O13" s="7">
        <f>N13*1000000/'a1'!R13</f>
        <v>371.18089073930906</v>
      </c>
      <c r="P13" s="7">
        <f>'a10'!E9+'a11'!V13+'a12'!J13</f>
        <v>2769.5774799999999</v>
      </c>
      <c r="Q13" s="11">
        <f>'a8'!U13</f>
        <v>33.717202580645164</v>
      </c>
      <c r="R13" s="7">
        <f t="shared" si="4"/>
        <v>8214.1377932398009</v>
      </c>
      <c r="S13" s="7">
        <f>R13*1000000/'a1'!X13</f>
        <v>9835.3354820955356</v>
      </c>
      <c r="T13" s="7">
        <f>'a10'!F9+'a11'!AA13+'a12'!K13</f>
        <v>3601.6880799999999</v>
      </c>
      <c r="U13" s="11">
        <f>'a8'!AA13</f>
        <v>35.605196153846158</v>
      </c>
      <c r="V13" s="7">
        <f t="shared" si="5"/>
        <v>10115.624878002356</v>
      </c>
      <c r="W13" s="7">
        <f>V13*1000000/'a1'!AD13</f>
        <v>14671.084705599114</v>
      </c>
      <c r="X13" s="7">
        <f>'a10'!G9+'a11'!AF13+'a12'!L13</f>
        <v>16633.211519999997</v>
      </c>
      <c r="Y13" s="11">
        <f>'a8'!AG13</f>
        <v>34.325316368286437</v>
      </c>
      <c r="Z13" s="7">
        <f t="shared" si="6"/>
        <v>48457.562172296879</v>
      </c>
      <c r="AA13" s="7">
        <f>Z13*1000000/'a1'!AJ13</f>
        <v>7575.3279155336404</v>
      </c>
      <c r="AB13" s="7">
        <f>'a10'!H9+'a11'!AK13+'a12'!M13</f>
        <v>20045.301239999997</v>
      </c>
      <c r="AC13" s="11">
        <f>'a8'!AM13</f>
        <v>35.658975321336754</v>
      </c>
      <c r="AD13" s="7">
        <f t="shared" si="7"/>
        <v>56213.901435372361</v>
      </c>
      <c r="AE13" s="7">
        <f>AD13*1000000/'a1'!AP13</f>
        <v>6681.1716156761859</v>
      </c>
      <c r="AF13" s="7">
        <f>'a10'!I9+'a11'!AP13+'a12'!N13</f>
        <v>2953.6225599999998</v>
      </c>
      <c r="AG13" s="11">
        <f>'a8'!AS13</f>
        <v>37.025892857142871</v>
      </c>
      <c r="AH13" s="7">
        <f t="shared" si="8"/>
        <v>7977.1811888398533</v>
      </c>
      <c r="AI13" s="7">
        <f>AH13*1000000/'a1'!AV13</f>
        <v>7731.6397729311075</v>
      </c>
      <c r="AJ13" s="7">
        <f>'a10'!J9+'a11'!AU13+'a12'!O13</f>
        <v>13385.758199999998</v>
      </c>
      <c r="AK13" s="11">
        <f>'a8'!AY13</f>
        <v>42.730758133669624</v>
      </c>
      <c r="AL13" s="7">
        <f t="shared" si="9"/>
        <v>31325.814903931496</v>
      </c>
      <c r="AM13" s="7">
        <f>AL13*1000000/'a1'!BB13</f>
        <v>33625.387933959093</v>
      </c>
      <c r="AN13" s="7">
        <f>'a10'!K9+'a11'!BA13+'a12'!P13</f>
        <v>71798.087599999999</v>
      </c>
      <c r="AO13" s="11">
        <f>'a8'!BE13</f>
        <v>43.710342364532004</v>
      </c>
      <c r="AP13" s="7">
        <f t="shared" si="10"/>
        <v>164258.80859322508</v>
      </c>
      <c r="AQ13" s="7">
        <f>AP13*1000000/'a1'!BH13</f>
        <v>87872.439381018048</v>
      </c>
      <c r="AR13" s="7">
        <f>'a10'!L9+'a11'!BF13+'a12'!Q13</f>
        <v>34307.83844</v>
      </c>
      <c r="AS13" s="11">
        <f>'a8'!BK13</f>
        <v>36.103667074663399</v>
      </c>
      <c r="AT13" s="7">
        <f t="shared" si="11"/>
        <v>95025.91071718678</v>
      </c>
      <c r="AU13" s="7">
        <f>AT13*1000000/'a1'!BN13</f>
        <v>37501.854145404686</v>
      </c>
    </row>
    <row r="14" spans="1:47" hidden="1">
      <c r="A14" s="1">
        <v>1977</v>
      </c>
      <c r="B14" s="7">
        <f>'a10'!B10</f>
        <v>46316</v>
      </c>
      <c r="C14" s="7">
        <v>128217</v>
      </c>
      <c r="D14" s="7">
        <f t="shared" si="0"/>
        <v>174533</v>
      </c>
      <c r="E14" s="11">
        <f>'a8'!C14</f>
        <v>38.753881950286818</v>
      </c>
      <c r="F14" s="7">
        <f t="shared" si="1"/>
        <v>450362.62489494495</v>
      </c>
      <c r="G14" s="7">
        <f>F14*1000000/'a1'!F14</f>
        <v>18981.944072332644</v>
      </c>
      <c r="H14" s="7">
        <f>'a10'!C10+'a11'!L14+'a12'!H14</f>
        <v>2741.2029599999996</v>
      </c>
      <c r="I14" s="11">
        <f>'a8'!I14</f>
        <v>39.155353904282123</v>
      </c>
      <c r="J14" s="7">
        <f t="shared" si="2"/>
        <v>7000.8381655828043</v>
      </c>
      <c r="K14" s="7">
        <f>J14*1000000/'a1'!L14</f>
        <v>12383.236812693784</v>
      </c>
      <c r="L14" s="7">
        <f>'a10'!D10+'a11'!Q14+'a12'!I14</f>
        <v>19.554880000000001</v>
      </c>
      <c r="M14" s="11">
        <f>'a8'!O14</f>
        <v>45.311162000000003</v>
      </c>
      <c r="N14" s="7">
        <f t="shared" si="3"/>
        <v>43.156871589388942</v>
      </c>
      <c r="O14" s="7">
        <f>N14*1000000/'a1'!R14</f>
        <v>359.93454312179068</v>
      </c>
      <c r="P14" s="7">
        <f>'a10'!E10+'a11'!V14+'a12'!J14</f>
        <v>3371.4754400000002</v>
      </c>
      <c r="Q14" s="11">
        <f>'a8'!U14</f>
        <v>36.097997419354833</v>
      </c>
      <c r="R14" s="7">
        <f t="shared" si="4"/>
        <v>9339.785254104705</v>
      </c>
      <c r="S14" s="7">
        <f>R14*1000000/'a1'!X14</f>
        <v>11118.421355127099</v>
      </c>
      <c r="T14" s="7">
        <f>'a10'!F10+'a11'!AA14+'a12'!K14</f>
        <v>3830.74224</v>
      </c>
      <c r="U14" s="11">
        <f>'a8'!AA14</f>
        <v>37.889303076923085</v>
      </c>
      <c r="V14" s="7">
        <f t="shared" si="5"/>
        <v>10110.352867200552</v>
      </c>
      <c r="W14" s="7">
        <f>V14*1000000/'a1'!AD14</f>
        <v>14529.646582922516</v>
      </c>
      <c r="X14" s="7">
        <f>'a10'!G10+'a11'!AF14+'a12'!L14</f>
        <v>18272.366560000002</v>
      </c>
      <c r="Y14" s="11">
        <f>'a8'!AG14</f>
        <v>36.909654859335028</v>
      </c>
      <c r="Z14" s="7">
        <f t="shared" si="6"/>
        <v>49505.655443371441</v>
      </c>
      <c r="AA14" s="7">
        <f>Z14*1000000/'a1'!AJ14</f>
        <v>7695.4192371541894</v>
      </c>
      <c r="AB14" s="7">
        <f>'a10'!H10+'a11'!AK14+'a12'!M14</f>
        <v>21321.412719999997</v>
      </c>
      <c r="AC14" s="11">
        <f>'a8'!AM14</f>
        <v>38.139016838046267</v>
      </c>
      <c r="AD14" s="7">
        <f t="shared" si="7"/>
        <v>55904.463427936185</v>
      </c>
      <c r="AE14" s="7">
        <f>AD14*1000000/'a1'!AP14</f>
        <v>6573.8402540822981</v>
      </c>
      <c r="AF14" s="7">
        <f>'a10'!I10+'a11'!AP14+'a12'!N14</f>
        <v>3126.3636799999999</v>
      </c>
      <c r="AG14" s="11">
        <f>'a8'!AS14</f>
        <v>39.91743877551022</v>
      </c>
      <c r="AH14" s="7">
        <f t="shared" si="8"/>
        <v>7832.0748422317565</v>
      </c>
      <c r="AI14" s="7">
        <f>AH14*1000000/'a1'!AV14</f>
        <v>7549.9410935084397</v>
      </c>
      <c r="AJ14" s="7">
        <f>'a10'!J10+'a11'!AU14+'a12'!O14</f>
        <v>14724.5196</v>
      </c>
      <c r="AK14" s="11">
        <f>'a8'!AY14</f>
        <v>46.079063808322829</v>
      </c>
      <c r="AL14" s="7">
        <f t="shared" si="9"/>
        <v>31954.901821031461</v>
      </c>
      <c r="AM14" s="7">
        <f>AL14*1000000/'a1'!BB14</f>
        <v>33828.278030058042</v>
      </c>
      <c r="AN14" s="7">
        <f>'a10'!K10+'a11'!BA14+'a12'!P14</f>
        <v>77952.672800000015</v>
      </c>
      <c r="AO14" s="11">
        <f>'a8'!BE14</f>
        <v>46.918440886699493</v>
      </c>
      <c r="AP14" s="7">
        <f t="shared" si="10"/>
        <v>166145.06221177129</v>
      </c>
      <c r="AQ14" s="7">
        <f>AP14*1000000/'a1'!BH14</f>
        <v>85278.559522903888</v>
      </c>
      <c r="AR14" s="7">
        <f>'a10'!L10+'a11'!BF14+'a12'!Q14</f>
        <v>36858.094320000004</v>
      </c>
      <c r="AS14" s="11">
        <f>'a8'!BK14</f>
        <v>38.315423255813947</v>
      </c>
      <c r="AT14" s="7">
        <f t="shared" si="11"/>
        <v>96196.495270105588</v>
      </c>
      <c r="AU14" s="7">
        <f>AT14*1000000/'a1'!BN14</f>
        <v>37425.955678625221</v>
      </c>
    </row>
    <row r="15" spans="1:47" hidden="1">
      <c r="A15" s="1">
        <v>1978</v>
      </c>
      <c r="B15" s="7">
        <f>'a10'!B11</f>
        <v>51208.800000000003</v>
      </c>
      <c r="C15" s="7">
        <v>153271</v>
      </c>
      <c r="D15" s="7">
        <f t="shared" si="0"/>
        <v>204479.8</v>
      </c>
      <c r="E15" s="11">
        <f>'a8'!C15</f>
        <v>41.310487686424487</v>
      </c>
      <c r="F15" s="7">
        <f t="shared" si="1"/>
        <v>494982.77907572722</v>
      </c>
      <c r="G15" s="7">
        <f>F15*1000000/'a1'!F15</f>
        <v>20655.952339748874</v>
      </c>
      <c r="H15" s="7">
        <f>'a10'!C11+'a11'!L15+'a12'!H15</f>
        <v>3372.9763400000002</v>
      </c>
      <c r="I15" s="11">
        <f>'a8'!I15</f>
        <v>41.511605289672559</v>
      </c>
      <c r="J15" s="7">
        <f t="shared" si="2"/>
        <v>8125.3816046452539</v>
      </c>
      <c r="K15" s="7">
        <f>J15*1000000/'a1'!L15</f>
        <v>14314.346978705224</v>
      </c>
      <c r="L15" s="7">
        <f>'a10'!D11+'a11'!Q15+'a12'!I15</f>
        <v>22.625520000000002</v>
      </c>
      <c r="M15" s="11">
        <f>'a8'!O15</f>
        <v>48.372727000000005</v>
      </c>
      <c r="N15" s="7">
        <f t="shared" si="3"/>
        <v>46.773298515917858</v>
      </c>
      <c r="O15" s="7">
        <f>N15*1000000/'a1'!R15</f>
        <v>384.38330853619095</v>
      </c>
      <c r="P15" s="7">
        <f>'a10'!E11+'a11'!V15+'a12'!J15</f>
        <v>3496.7172600000004</v>
      </c>
      <c r="Q15" s="11">
        <f>'a8'!U15</f>
        <v>38.478792258064509</v>
      </c>
      <c r="R15" s="7">
        <f t="shared" si="4"/>
        <v>9087.3882853408613</v>
      </c>
      <c r="S15" s="7">
        <f>R15*1000000/'a1'!X15</f>
        <v>10759.042188206953</v>
      </c>
      <c r="T15" s="7">
        <f>'a10'!F11+'a11'!AA15+'a12'!K15</f>
        <v>4091.2819600000003</v>
      </c>
      <c r="U15" s="11">
        <f>'a8'!AA15</f>
        <v>40.643667307692311</v>
      </c>
      <c r="V15" s="7">
        <f t="shared" si="5"/>
        <v>10066.222442544389</v>
      </c>
      <c r="W15" s="7">
        <f>V15*1000000/'a1'!AD15</f>
        <v>14390.30876086024</v>
      </c>
      <c r="X15" s="7">
        <f>'a10'!G11+'a11'!AF15+'a12'!L15</f>
        <v>21406.338240000001</v>
      </c>
      <c r="Y15" s="11">
        <f>'a8'!AG15</f>
        <v>39.493993350383633</v>
      </c>
      <c r="Z15" s="7">
        <f t="shared" si="6"/>
        <v>54201.503631417574</v>
      </c>
      <c r="AA15" s="7">
        <f>Z15*1000000/'a1'!AJ15</f>
        <v>8415.7827309229942</v>
      </c>
      <c r="AB15" s="7">
        <f>'a10'!H11+'a11'!AK15+'a12'!M15</f>
        <v>23981.577379999999</v>
      </c>
      <c r="AC15" s="11">
        <f>'a8'!AM15</f>
        <v>40.619058354755772</v>
      </c>
      <c r="AD15" s="7">
        <f t="shared" si="7"/>
        <v>59040.210067282816</v>
      </c>
      <c r="AE15" s="7">
        <f>AD15*1000000/'a1'!AP15</f>
        <v>6873.0175032319385</v>
      </c>
      <c r="AF15" s="7">
        <f>'a10'!I11+'a11'!AP15+'a12'!N15</f>
        <v>3590.1707200000001</v>
      </c>
      <c r="AG15" s="11">
        <f>'a8'!AS15</f>
        <v>42.808984693877569</v>
      </c>
      <c r="AH15" s="7">
        <f t="shared" si="8"/>
        <v>8386.4888309613598</v>
      </c>
      <c r="AI15" s="7">
        <f>AH15*1000000/'a1'!AV15</f>
        <v>8057.1062695556557</v>
      </c>
      <c r="AJ15" s="7">
        <f>'a10'!J11+'a11'!AU15+'a12'!O15</f>
        <v>17395.260900000001</v>
      </c>
      <c r="AK15" s="11">
        <f>'a8'!AY15</f>
        <v>49.586812610340495</v>
      </c>
      <c r="AL15" s="7">
        <f t="shared" si="9"/>
        <v>35080.417522888965</v>
      </c>
      <c r="AM15" s="7">
        <f>AL15*1000000/'a1'!BB15</f>
        <v>36832.541523144966</v>
      </c>
      <c r="AN15" s="7">
        <f>'a10'!K11+'a11'!BA15+'a12'!P15</f>
        <v>93787.826199999996</v>
      </c>
      <c r="AO15" s="11">
        <f>'a8'!BE15</f>
        <v>50.607754187192107</v>
      </c>
      <c r="AP15" s="7">
        <f t="shared" si="10"/>
        <v>185323.03538522951</v>
      </c>
      <c r="AQ15" s="7">
        <f>AP15*1000000/'a1'!BH15</f>
        <v>91642.408291212341</v>
      </c>
      <c r="AR15" s="7">
        <f>'a10'!L11+'a11'!BF15+'a12'!Q15</f>
        <v>41270.498779999994</v>
      </c>
      <c r="AS15" s="11">
        <f>'a8'!BK15</f>
        <v>40.657282741738058</v>
      </c>
      <c r="AT15" s="7">
        <f t="shared" si="11"/>
        <v>101508.256324352</v>
      </c>
      <c r="AU15" s="7">
        <f>AT15*1000000/'a1'!BN15</f>
        <v>38815.28422497421</v>
      </c>
    </row>
    <row r="16" spans="1:47" hidden="1">
      <c r="A16" s="1">
        <v>1979</v>
      </c>
      <c r="B16" s="7">
        <f>'a10'!B12</f>
        <v>60327</v>
      </c>
      <c r="C16" s="7">
        <v>232242</v>
      </c>
      <c r="D16" s="7">
        <f t="shared" si="0"/>
        <v>292569</v>
      </c>
      <c r="E16" s="11">
        <f>'a8'!C16</f>
        <v>45.251921529636718</v>
      </c>
      <c r="F16" s="7">
        <f t="shared" si="1"/>
        <v>646533.87107194681</v>
      </c>
      <c r="G16" s="7">
        <f>F16*1000000/'a1'!F16</f>
        <v>26714.57123032922</v>
      </c>
      <c r="H16" s="7">
        <f>'a10'!C12+'a11'!L16+'a12'!H16</f>
        <v>6309.17119</v>
      </c>
      <c r="I16" s="11">
        <f>'a8'!I16</f>
        <v>45.253886901763224</v>
      </c>
      <c r="J16" s="7">
        <f t="shared" si="2"/>
        <v>13941.722185534911</v>
      </c>
      <c r="K16" s="7">
        <f>J16*1000000/'a1'!L16</f>
        <v>24455.943841661028</v>
      </c>
      <c r="L16" s="7">
        <f>'a10'!D12+'a11'!Q16+'a12'!I16</f>
        <v>47.901320000000005</v>
      </c>
      <c r="M16" s="11">
        <f>'a8'!O16</f>
        <v>52.50583975</v>
      </c>
      <c r="N16" s="7">
        <f t="shared" si="3"/>
        <v>91.230461655458058</v>
      </c>
      <c r="O16" s="7">
        <f>N16*1000000/'a1'!R16</f>
        <v>742.40518904225951</v>
      </c>
      <c r="P16" s="7">
        <f>'a10'!E12+'a11'!V16+'a12'!J16</f>
        <v>5581.2664100000002</v>
      </c>
      <c r="Q16" s="11">
        <f>'a8'!U16</f>
        <v>41.631736774193548</v>
      </c>
      <c r="R16" s="7">
        <f t="shared" si="4"/>
        <v>13406.278100460333</v>
      </c>
      <c r="S16" s="7">
        <f>R16*1000000/'a1'!X16</f>
        <v>15783.307315386855</v>
      </c>
      <c r="T16" s="7">
        <f>'a10'!F12+'a11'!AA16+'a12'!K16</f>
        <v>6002.1628600000004</v>
      </c>
      <c r="U16" s="11">
        <f>'a8'!AA16</f>
        <v>43.733929615384625</v>
      </c>
      <c r="V16" s="7">
        <f t="shared" si="5"/>
        <v>13724.270635604109</v>
      </c>
      <c r="W16" s="7">
        <f>V16*1000000/'a1'!AD16</f>
        <v>19518.046634759343</v>
      </c>
      <c r="X16" s="7">
        <f>'a10'!G12+'a11'!AF16+'a12'!L16</f>
        <v>32991.877840000001</v>
      </c>
      <c r="Y16" s="11">
        <f>'a8'!AG16</f>
        <v>42.873512915601019</v>
      </c>
      <c r="Z16" s="7">
        <f t="shared" si="6"/>
        <v>76951.655221130146</v>
      </c>
      <c r="AA16" s="7">
        <f>Z16*1000000/'a1'!AJ16</f>
        <v>11900.974764155459</v>
      </c>
      <c r="AB16" s="7">
        <f>'a10'!H12+'a11'!AK16+'a12'!M16</f>
        <v>42830.898829999998</v>
      </c>
      <c r="AC16" s="11">
        <f>'a8'!AM16</f>
        <v>43.970465809768619</v>
      </c>
      <c r="AD16" s="7">
        <f t="shared" si="7"/>
        <v>97408.335438840295</v>
      </c>
      <c r="AE16" s="7">
        <f>AD16*1000000/'a1'!AP16</f>
        <v>11245.364332345769</v>
      </c>
      <c r="AF16" s="7">
        <f>'a10'!I12+'a11'!AP16+'a12'!N16</f>
        <v>7031.5795200000002</v>
      </c>
      <c r="AG16" s="11">
        <f>'a8'!AS16</f>
        <v>46.264734693877557</v>
      </c>
      <c r="AH16" s="7">
        <f t="shared" si="8"/>
        <v>15198.573095741807</v>
      </c>
      <c r="AI16" s="7">
        <f>AH16*1000000/'a1'!AV16</f>
        <v>14652.447087882259</v>
      </c>
      <c r="AJ16" s="7">
        <f>'a10'!J12+'a11'!AU16+'a12'!O16</f>
        <v>30607.103149999999</v>
      </c>
      <c r="AK16" s="11">
        <f>'a8'!AY16</f>
        <v>53.732333921815915</v>
      </c>
      <c r="AL16" s="7">
        <f t="shared" si="9"/>
        <v>56962.169546804624</v>
      </c>
      <c r="AM16" s="7">
        <f>AL16*1000000/'a1'!BB16</f>
        <v>59351.976896543973</v>
      </c>
      <c r="AN16" s="7">
        <f>'a10'!K12+'a11'!BA16+'a12'!P16</f>
        <v>110181.21169999999</v>
      </c>
      <c r="AO16" s="11">
        <f>'a8'!BE16</f>
        <v>54.617877339901462</v>
      </c>
      <c r="AP16" s="7">
        <f t="shared" si="10"/>
        <v>201731.03948055915</v>
      </c>
      <c r="AQ16" s="7">
        <f>AP16*1000000/'a1'!BH16</f>
        <v>96201.387853002452</v>
      </c>
      <c r="AR16" s="7">
        <f>'a10'!L12+'a11'!BF16+'a12'!Q16</f>
        <v>58875.563730000002</v>
      </c>
      <c r="AS16" s="11">
        <f>'a8'!BK16</f>
        <v>43.844813708690317</v>
      </c>
      <c r="AT16" s="7">
        <f t="shared" si="11"/>
        <v>134281.70574785792</v>
      </c>
      <c r="AU16" s="7">
        <f>AT16*1000000/'a1'!BN16</f>
        <v>50382.632150621415</v>
      </c>
    </row>
    <row r="17" spans="1:47" hidden="1">
      <c r="A17" s="1">
        <v>1980</v>
      </c>
      <c r="B17" s="7">
        <f>'a10'!B13</f>
        <v>71302.5</v>
      </c>
      <c r="C17" s="7">
        <v>318245</v>
      </c>
      <c r="D17" s="7">
        <f t="shared" si="0"/>
        <v>389547.5</v>
      </c>
      <c r="E17" s="11">
        <f>'a8'!C17</f>
        <v>50.215997667304016</v>
      </c>
      <c r="F17" s="7">
        <f t="shared" si="1"/>
        <v>775743.82287666283</v>
      </c>
      <c r="G17" s="7">
        <f>F17*1000000/'a1'!F17</f>
        <v>31642.778590387235</v>
      </c>
      <c r="H17" s="7">
        <f>'a10'!C13+'a11'!L17+'a12'!H17</f>
        <v>7769.7380499999999</v>
      </c>
      <c r="I17" s="11">
        <f>'a8'!I17</f>
        <v>49.481279093198992</v>
      </c>
      <c r="J17" s="7">
        <f t="shared" si="2"/>
        <v>15702.379147001315</v>
      </c>
      <c r="K17" s="7">
        <f>J17*1000000/'a1'!L17</f>
        <v>27415.333756433884</v>
      </c>
      <c r="L17" s="7">
        <f>'a10'!D13+'a11'!Q17+'a12'!I17</f>
        <v>58.7254</v>
      </c>
      <c r="M17" s="11">
        <f>'a8'!O17</f>
        <v>57.787039374999992</v>
      </c>
      <c r="N17" s="7">
        <f t="shared" si="3"/>
        <v>101.62382540297776</v>
      </c>
      <c r="O17" s="7">
        <f>N17*1000000/'a1'!R17</f>
        <v>821.3021812985636</v>
      </c>
      <c r="P17" s="7">
        <f>'a10'!E13+'a11'!V17+'a12'!J17</f>
        <v>6580.4339499999996</v>
      </c>
      <c r="Q17" s="11">
        <f>'a8'!U17</f>
        <v>45.170756129032256</v>
      </c>
      <c r="R17" s="7">
        <f t="shared" si="4"/>
        <v>14567.90745588296</v>
      </c>
      <c r="S17" s="7">
        <f>R17*1000000/'a1'!X17</f>
        <v>17085.267915876051</v>
      </c>
      <c r="T17" s="7">
        <f>'a10'!F13+'a11'!AA17+'a12'!K17</f>
        <v>7419.5217000000002</v>
      </c>
      <c r="U17" s="11">
        <f>'a8'!AA17</f>
        <v>47.630347307692318</v>
      </c>
      <c r="V17" s="7">
        <f t="shared" si="5"/>
        <v>15577.299178756452</v>
      </c>
      <c r="W17" s="7">
        <f>V17*1000000/'a1'!AD17</f>
        <v>22057.320999231753</v>
      </c>
      <c r="X17" s="7">
        <f>'a10'!G13+'a11'!AF17+'a12'!L17</f>
        <v>40365.294800000003</v>
      </c>
      <c r="Y17" s="11">
        <f>'a8'!AG17</f>
        <v>46.584357928388734</v>
      </c>
      <c r="Z17" s="7">
        <f t="shared" si="6"/>
        <v>86649.889780709404</v>
      </c>
      <c r="AA17" s="7">
        <f>Z17*1000000/'a1'!AJ17</f>
        <v>13318.464453750808</v>
      </c>
      <c r="AB17" s="7">
        <f>'a10'!H13+'a11'!AK17+'a12'!M17</f>
        <v>52782.96385</v>
      </c>
      <c r="AC17" s="11">
        <f>'a8'!AM17</f>
        <v>47.38890141388174</v>
      </c>
      <c r="AD17" s="7">
        <f t="shared" si="7"/>
        <v>111382.5437500819</v>
      </c>
      <c r="AE17" s="7">
        <f>AD17*1000000/'a1'!AP17</f>
        <v>12735.236472902783</v>
      </c>
      <c r="AF17" s="7">
        <f>'a10'!I13+'a11'!AP17+'a12'!N17</f>
        <v>8078.8543999999993</v>
      </c>
      <c r="AG17" s="11">
        <f>'a8'!AS17</f>
        <v>50.073112244897963</v>
      </c>
      <c r="AH17" s="7">
        <f t="shared" si="8"/>
        <v>16134.116770069886</v>
      </c>
      <c r="AI17" s="7">
        <f>AH17*1000000/'a1'!AV17</f>
        <v>15597.032940754987</v>
      </c>
      <c r="AJ17" s="7">
        <f>'a10'!J13+'a11'!AU17+'a12'!O17</f>
        <v>31762.074250000001</v>
      </c>
      <c r="AK17" s="11">
        <f>'a8'!AY17</f>
        <v>58.356184615384635</v>
      </c>
      <c r="AL17" s="7">
        <f t="shared" si="9"/>
        <v>54427.948741574277</v>
      </c>
      <c r="AM17" s="7">
        <f>AL17*1000000/'a1'!BB17</f>
        <v>56253.486898401192</v>
      </c>
      <c r="AN17" s="7">
        <f>'a10'!K13+'a11'!BA17+'a12'!P17</f>
        <v>128666.06149999998</v>
      </c>
      <c r="AO17" s="11">
        <f>'a8'!BE17</f>
        <v>59.189417733990133</v>
      </c>
      <c r="AP17" s="7">
        <f t="shared" si="10"/>
        <v>217380.17778490862</v>
      </c>
      <c r="AQ17" s="7">
        <f>AP17*1000000/'a1'!BH17</f>
        <v>99213.738286854554</v>
      </c>
      <c r="AR17" s="7">
        <f>'a10'!L13+'a11'!BF17+'a12'!Q17</f>
        <v>63721.779350000004</v>
      </c>
      <c r="AS17" s="11">
        <f>'a8'!BK17</f>
        <v>47.878016156670732</v>
      </c>
      <c r="AT17" s="7">
        <f t="shared" si="11"/>
        <v>133091.93752198064</v>
      </c>
      <c r="AU17" s="7">
        <f>AT17*1000000/'a1'!BN17</f>
        <v>48470.019976240837</v>
      </c>
    </row>
    <row r="18" spans="1:47" hidden="1">
      <c r="B18" s="7"/>
      <c r="C18" s="7"/>
      <c r="D18" s="7"/>
      <c r="E18" s="11"/>
      <c r="F18" s="7"/>
      <c r="G18" s="7"/>
      <c r="H18" s="7"/>
      <c r="I18" s="11"/>
      <c r="J18" s="7"/>
      <c r="K18" s="7"/>
      <c r="L18" s="7"/>
      <c r="M18" s="11"/>
      <c r="N18" s="7"/>
      <c r="O18" s="7"/>
      <c r="P18" s="7"/>
      <c r="Q18" s="11"/>
      <c r="R18" s="7"/>
      <c r="S18" s="7"/>
      <c r="T18" s="7"/>
      <c r="U18" s="11"/>
      <c r="V18" s="7"/>
      <c r="W18" s="7"/>
      <c r="X18" s="7"/>
      <c r="Y18" s="11"/>
      <c r="Z18" s="7"/>
      <c r="AA18" s="7"/>
      <c r="AB18" s="7"/>
      <c r="AC18" s="11"/>
      <c r="AD18" s="7"/>
      <c r="AE18" s="7"/>
      <c r="AF18" s="7"/>
      <c r="AG18" s="11"/>
      <c r="AH18" s="7"/>
      <c r="AI18" s="7"/>
      <c r="AJ18" s="7"/>
      <c r="AK18" s="11"/>
      <c r="AL18" s="7"/>
      <c r="AM18" s="7"/>
      <c r="AN18" s="7"/>
      <c r="AO18" s="11"/>
      <c r="AP18" s="7"/>
      <c r="AQ18" s="7"/>
      <c r="AR18" s="7"/>
      <c r="AS18" s="11"/>
      <c r="AT18" s="7"/>
      <c r="AU18" s="7"/>
    </row>
    <row r="19" spans="1:47" ht="18" customHeight="1">
      <c r="A19" s="1">
        <v>1981</v>
      </c>
      <c r="B19" s="7">
        <f>'a10'!B15</f>
        <v>75656.2</v>
      </c>
      <c r="C19" s="7">
        <v>286342</v>
      </c>
      <c r="D19" s="7">
        <f t="shared" si="0"/>
        <v>361998.2</v>
      </c>
      <c r="E19" s="11">
        <f>'a8'!C19</f>
        <v>55.7</v>
      </c>
      <c r="F19" s="7">
        <f t="shared" si="1"/>
        <v>649907.00179533218</v>
      </c>
      <c r="G19" s="7">
        <f>F19*1000000/'a1'!F19</f>
        <v>26184.900383233871</v>
      </c>
      <c r="H19" s="7">
        <f>'a10'!C15+'a11'!L19+'a12'!H19</f>
        <v>5525.1642000000002</v>
      </c>
      <c r="I19" s="11">
        <f>'a8'!I19</f>
        <v>55</v>
      </c>
      <c r="J19" s="7">
        <f t="shared" si="2"/>
        <v>10045.753090909091</v>
      </c>
      <c r="K19" s="7">
        <f>J19*1000000/'a1'!L19</f>
        <v>17461.703750220044</v>
      </c>
      <c r="L19" s="7">
        <f>'a10'!D15+'a11'!Q19+'a12'!I19</f>
        <v>34.837600000000002</v>
      </c>
      <c r="M19" s="11">
        <f>'a8'!O19</f>
        <v>50.5</v>
      </c>
      <c r="N19" s="7">
        <f t="shared" si="3"/>
        <v>68.985346534653473</v>
      </c>
      <c r="O19" s="7">
        <f>N19*1000000/'a1'!R19</f>
        <v>558.35522605768847</v>
      </c>
      <c r="P19" s="7">
        <f>'a10'!E15+'a11'!V19+'a12'!J19</f>
        <v>4974.2037999999993</v>
      </c>
      <c r="Q19" s="11">
        <f>'a8'!U19</f>
        <v>49.9</v>
      </c>
      <c r="R19" s="7">
        <f t="shared" si="4"/>
        <v>9968.3442885771528</v>
      </c>
      <c r="S19" s="7">
        <f>R19*1000000/'a1'!X19</f>
        <v>11660.641533725149</v>
      </c>
      <c r="T19" s="7">
        <f>'a10'!F15+'a11'!AA19+'a12'!K19</f>
        <v>5676.8148000000001</v>
      </c>
      <c r="U19" s="11">
        <f>'a8'!AA19</f>
        <v>52.4</v>
      </c>
      <c r="V19" s="7">
        <f t="shared" si="5"/>
        <v>10833.616030534351</v>
      </c>
      <c r="W19" s="7">
        <f>V19*1000000/'a1'!AD19</f>
        <v>15335.551075302223</v>
      </c>
      <c r="X19" s="7">
        <f>'a10'!G15+'a11'!AF19+'a12'!L19</f>
        <v>35674.711200000005</v>
      </c>
      <c r="Y19" s="11">
        <f>'a8'!AG19</f>
        <v>51.9</v>
      </c>
      <c r="Z19" s="7">
        <f t="shared" si="6"/>
        <v>68737.401156069376</v>
      </c>
      <c r="AA19" s="7">
        <f>Z19*1000000/'a1'!AJ19</f>
        <v>10498.736507959711</v>
      </c>
      <c r="AB19" s="7">
        <f>'a10'!H15+'a11'!AK19+'a12'!M19</f>
        <v>37174.039399999994</v>
      </c>
      <c r="AC19" s="11">
        <f>'a8'!AM19</f>
        <v>52.1</v>
      </c>
      <c r="AD19" s="7">
        <f t="shared" si="7"/>
        <v>71351.323224568128</v>
      </c>
      <c r="AE19" s="7">
        <f>AD19*1000000/'a1'!AP19</f>
        <v>8096.80067403261</v>
      </c>
      <c r="AF19" s="7">
        <f>'a10'!I15+'a11'!AP19+'a12'!N19</f>
        <v>5429.6135999999997</v>
      </c>
      <c r="AG19" s="11">
        <f>'a8'!AS19</f>
        <v>55.3</v>
      </c>
      <c r="AH19" s="7">
        <f t="shared" si="8"/>
        <v>9818.4694394213384</v>
      </c>
      <c r="AI19" s="7">
        <f>AH19*1000000/'a1'!AV19</f>
        <v>9481.451254577385</v>
      </c>
      <c r="AJ19" s="7">
        <f>'a10'!J15+'a11'!AU19+'a12'!O19</f>
        <v>25865.116999999998</v>
      </c>
      <c r="AK19" s="11">
        <f>'a8'!AY19</f>
        <v>63.2</v>
      </c>
      <c r="AL19" s="7">
        <f t="shared" si="9"/>
        <v>40925.818037974685</v>
      </c>
      <c r="AM19" s="7">
        <f>AL19*1000000/'a1'!BB19</f>
        <v>41942.547327746594</v>
      </c>
      <c r="AN19" s="7">
        <f>'a10'!K15+'a11'!BA19+'a12'!P19</f>
        <v>187665.40599999999</v>
      </c>
      <c r="AO19" s="11">
        <f>'a8'!BE19</f>
        <v>65.099999999999994</v>
      </c>
      <c r="AP19" s="7">
        <f t="shared" si="10"/>
        <v>288272.51305683563</v>
      </c>
      <c r="AQ19" s="7">
        <f>AP19*1000000/'a1'!BH19</f>
        <v>125822.53492501241</v>
      </c>
      <c r="AR19" s="7">
        <f>'a10'!L15+'a11'!BF19+'a12'!Q19</f>
        <v>55960.321400000001</v>
      </c>
      <c r="AS19" s="11">
        <f>'a8'!BK19</f>
        <v>53.1</v>
      </c>
      <c r="AT19" s="7">
        <f t="shared" si="11"/>
        <v>105386.6693032015</v>
      </c>
      <c r="AU19" s="7">
        <f>AT19*1000000/'a1'!BN19</f>
        <v>37284.453141666119</v>
      </c>
    </row>
    <row r="20" spans="1:47" ht="18" customHeight="1">
      <c r="A20" s="1">
        <v>1982</v>
      </c>
      <c r="B20" s="7">
        <f>'a10'!B16</f>
        <v>70369.3</v>
      </c>
      <c r="C20" s="7">
        <v>284198</v>
      </c>
      <c r="D20" s="7">
        <f t="shared" si="0"/>
        <v>354567.3</v>
      </c>
      <c r="E20" s="11">
        <f>'a8'!C20</f>
        <v>60.4</v>
      </c>
      <c r="F20" s="7">
        <f t="shared" si="1"/>
        <v>587031.95364238403</v>
      </c>
      <c r="G20" s="7">
        <f>F20*1000000/'a1'!F20</f>
        <v>23371.951634971487</v>
      </c>
      <c r="H20" s="7">
        <f>'a10'!C16+'a11'!L20+'a12'!H20</f>
        <v>4154.7195800000009</v>
      </c>
      <c r="I20" s="11">
        <f>'a8'!I20</f>
        <v>59.3</v>
      </c>
      <c r="J20" s="7">
        <f t="shared" si="2"/>
        <v>7006.2724789207441</v>
      </c>
      <c r="K20" s="7">
        <f>J20*1000000/'a1'!L20</f>
        <v>12210.41047572869</v>
      </c>
      <c r="L20" s="7">
        <f>'a10'!D16+'a11'!Q20+'a12'!I20</f>
        <v>23.004240000000003</v>
      </c>
      <c r="M20" s="11">
        <f>'a8'!O20</f>
        <v>54.1</v>
      </c>
      <c r="N20" s="7">
        <f t="shared" si="3"/>
        <v>42.521700554528657</v>
      </c>
      <c r="O20" s="7">
        <f>N20*1000000/'a1'!R20</f>
        <v>344.06010740952723</v>
      </c>
      <c r="P20" s="7">
        <f>'a10'!E16+'a11'!V20+'a12'!J20</f>
        <v>4591.1436200000007</v>
      </c>
      <c r="Q20" s="11">
        <f>'a8'!U20</f>
        <v>55.4</v>
      </c>
      <c r="R20" s="7">
        <f t="shared" si="4"/>
        <v>8287.2628519855607</v>
      </c>
      <c r="S20" s="7">
        <f>R20*1000000/'a1'!X20</f>
        <v>9647.1434930533469</v>
      </c>
      <c r="T20" s="7">
        <f>'a10'!F16+'a11'!AA20+'a12'!K20</f>
        <v>4235.7625200000002</v>
      </c>
      <c r="U20" s="11">
        <f>'a8'!AA20</f>
        <v>57.2</v>
      </c>
      <c r="V20" s="7">
        <f t="shared" si="5"/>
        <v>7405.1792307692313</v>
      </c>
      <c r="W20" s="7">
        <f>V20*1000000/'a1'!AD20</f>
        <v>10467.320601491301</v>
      </c>
      <c r="X20" s="7">
        <f>'a10'!G16+'a11'!AF20+'a12'!L20</f>
        <v>32598.834880000002</v>
      </c>
      <c r="Y20" s="11">
        <f>'a8'!AG20</f>
        <v>57</v>
      </c>
      <c r="Z20" s="7">
        <f t="shared" si="6"/>
        <v>57190.938385964924</v>
      </c>
      <c r="AA20" s="7">
        <f>Z20*1000000/'a1'!AJ20</f>
        <v>8690.798555026855</v>
      </c>
      <c r="AB20" s="7">
        <f>'a10'!H16+'a11'!AK20+'a12'!M20</f>
        <v>28550.57806</v>
      </c>
      <c r="AC20" s="11">
        <f>'a8'!AM20</f>
        <v>56.7</v>
      </c>
      <c r="AD20" s="7">
        <f t="shared" si="7"/>
        <v>50353.753192239856</v>
      </c>
      <c r="AE20" s="7">
        <f>AD20*1000000/'a1'!AP20</f>
        <v>5644.8573400589594</v>
      </c>
      <c r="AF20" s="7">
        <f>'a10'!I16+'a11'!AP20+'a12'!N20</f>
        <v>4045.3766400000004</v>
      </c>
      <c r="AG20" s="11">
        <f>'a8'!AS20</f>
        <v>58.6</v>
      </c>
      <c r="AH20" s="7">
        <f t="shared" si="8"/>
        <v>6903.3731058020476</v>
      </c>
      <c r="AI20" s="7">
        <f>AH20*1000000/'a1'!AV20</f>
        <v>6604.682925193114</v>
      </c>
      <c r="AJ20" s="7">
        <f>'a10'!J16+'a11'!AU20+'a12'!O20</f>
        <v>22489.728300000002</v>
      </c>
      <c r="AK20" s="11">
        <f>'a8'!AY20</f>
        <v>65.400000000000006</v>
      </c>
      <c r="AL20" s="7">
        <f t="shared" si="9"/>
        <v>34387.963761467894</v>
      </c>
      <c r="AM20" s="7">
        <f>AL20*1000000/'a1'!BB20</f>
        <v>34855.656966646355</v>
      </c>
      <c r="AN20" s="7">
        <f>'a10'!K16+'a11'!BA20+'a12'!P20</f>
        <v>207075.2194</v>
      </c>
      <c r="AO20" s="11">
        <f>'a8'!BE20</f>
        <v>71.599999999999994</v>
      </c>
      <c r="AP20" s="7">
        <f t="shared" si="10"/>
        <v>289211.20027932961</v>
      </c>
      <c r="AQ20" s="7">
        <f>AP20*1000000/'a1'!BH20</f>
        <v>122038.95064041788</v>
      </c>
      <c r="AR20" s="7">
        <f>'a10'!L16+'a11'!BF20+'a12'!Q20</f>
        <v>48984.01986</v>
      </c>
      <c r="AS20" s="11">
        <f>'a8'!BK20</f>
        <v>56.8</v>
      </c>
      <c r="AT20" s="7">
        <f t="shared" si="11"/>
        <v>86239.471584507046</v>
      </c>
      <c r="AU20" s="7">
        <f>AT20*1000000/'a1'!BN20</f>
        <v>29980.56034667914</v>
      </c>
    </row>
    <row r="21" spans="1:47" ht="18" customHeight="1">
      <c r="A21" s="1">
        <v>1983</v>
      </c>
      <c r="B21" s="7">
        <f>'a10'!B17</f>
        <v>64776.7</v>
      </c>
      <c r="C21" s="7">
        <v>336609</v>
      </c>
      <c r="D21" s="7">
        <f t="shared" si="0"/>
        <v>401385.7</v>
      </c>
      <c r="E21" s="11">
        <f>'a8'!C21</f>
        <v>63.7</v>
      </c>
      <c r="F21" s="7">
        <f t="shared" si="1"/>
        <v>630118.83830455248</v>
      </c>
      <c r="G21" s="7">
        <f>F21*1000000/'a1'!F21</f>
        <v>24840.638460009737</v>
      </c>
      <c r="H21" s="7">
        <f>'a10'!C17+'a11'!L21+'a12'!H21</f>
        <v>3629.8816500000003</v>
      </c>
      <c r="I21" s="11">
        <f>'a8'!I21</f>
        <v>61.4</v>
      </c>
      <c r="J21" s="7">
        <f t="shared" si="2"/>
        <v>5911.8593648208471</v>
      </c>
      <c r="K21" s="7">
        <f>J21*1000000/'a1'!L21</f>
        <v>10207.573959743437</v>
      </c>
      <c r="L21" s="7">
        <f>'a10'!D17+'a11'!Q21+'a12'!I21</f>
        <v>23.066200000000002</v>
      </c>
      <c r="M21" s="11">
        <f>'a8'!O21</f>
        <v>58.1</v>
      </c>
      <c r="N21" s="7">
        <f t="shared" si="3"/>
        <v>39.700860585197937</v>
      </c>
      <c r="O21" s="7">
        <f>N21*1000000/'a1'!R21</f>
        <v>317.34792877170582</v>
      </c>
      <c r="P21" s="7">
        <f>'a10'!E17+'a11'!V21+'a12'!J21</f>
        <v>4719.8343500000001</v>
      </c>
      <c r="Q21" s="11">
        <f>'a8'!U21</f>
        <v>61</v>
      </c>
      <c r="R21" s="7">
        <f t="shared" si="4"/>
        <v>7737.4333606557375</v>
      </c>
      <c r="S21" s="7">
        <f>R21*1000000/'a1'!X21</f>
        <v>8911.1267799727248</v>
      </c>
      <c r="T21" s="7">
        <f>'a10'!F17+'a11'!AA21+'a12'!K21</f>
        <v>4063.9601000000002</v>
      </c>
      <c r="U21" s="11">
        <f>'a8'!AA21</f>
        <v>61</v>
      </c>
      <c r="V21" s="7">
        <f t="shared" si="5"/>
        <v>6662.2296721311486</v>
      </c>
      <c r="W21" s="7">
        <f>V21*1000000/'a1'!AD21</f>
        <v>9319.8632314989154</v>
      </c>
      <c r="X21" s="7">
        <f>'a10'!G17+'a11'!AF21+'a12'!L21</f>
        <v>31927.864400000002</v>
      </c>
      <c r="Y21" s="11">
        <f>'a8'!AG21</f>
        <v>60.3</v>
      </c>
      <c r="Z21" s="7">
        <f t="shared" si="6"/>
        <v>52948.365505804315</v>
      </c>
      <c r="AA21" s="7">
        <f>Z21*1000000/'a1'!AJ21</f>
        <v>8018.863843485773</v>
      </c>
      <c r="AB21" s="7">
        <f>'a10'!H17+'a11'!AK21+'a12'!M21</f>
        <v>28536.189050000001</v>
      </c>
      <c r="AC21" s="11">
        <f>'a8'!AM21</f>
        <v>60.5</v>
      </c>
      <c r="AD21" s="7">
        <f t="shared" si="7"/>
        <v>47167.254628099174</v>
      </c>
      <c r="AE21" s="7">
        <f>AD21*1000000/'a1'!AP21</f>
        <v>5217.8683206512142</v>
      </c>
      <c r="AF21" s="7">
        <f>'a10'!I17+'a11'!AP21+'a12'!N21</f>
        <v>4334.2031999999999</v>
      </c>
      <c r="AG21" s="11">
        <f>'a8'!AS21</f>
        <v>62.5</v>
      </c>
      <c r="AH21" s="7">
        <f t="shared" si="8"/>
        <v>6934.7251200000001</v>
      </c>
      <c r="AI21" s="7">
        <f>AH21*1000000/'a1'!AV21</f>
        <v>6543.7244940325663</v>
      </c>
      <c r="AJ21" s="7">
        <f>'a10'!J17+'a11'!AU21+'a12'!O21</f>
        <v>26440.160249999997</v>
      </c>
      <c r="AK21" s="11">
        <f>'a8'!AY21</f>
        <v>67.599999999999994</v>
      </c>
      <c r="AL21" s="7">
        <f t="shared" si="9"/>
        <v>39112.663091715971</v>
      </c>
      <c r="AM21" s="7">
        <f>AL21*1000000/'a1'!BB21</f>
        <v>39063.872315194298</v>
      </c>
      <c r="AN21" s="7">
        <f>'a10'!K17+'a11'!BA21+'a12'!P21</f>
        <v>253274.60949999999</v>
      </c>
      <c r="AO21" s="11">
        <f>'a8'!BE21</f>
        <v>74.400000000000006</v>
      </c>
      <c r="AP21" s="7">
        <f t="shared" si="10"/>
        <v>340422.86223118275</v>
      </c>
      <c r="AQ21" s="7">
        <f>AP21*1000000/'a1'!BH21</f>
        <v>142222.89067879409</v>
      </c>
      <c r="AR21" s="7">
        <f>'a10'!L17+'a11'!BF21+'a12'!Q21</f>
        <v>46613.760549999999</v>
      </c>
      <c r="AS21" s="11">
        <f>'a8'!BK21</f>
        <v>59.5</v>
      </c>
      <c r="AT21" s="7">
        <f t="shared" si="11"/>
        <v>78342.454705882352</v>
      </c>
      <c r="AU21" s="7">
        <f>AT21*1000000/'a1'!BN21</f>
        <v>26944.935792265096</v>
      </c>
    </row>
    <row r="22" spans="1:47" ht="18" customHeight="1">
      <c r="A22" s="1">
        <v>1984</v>
      </c>
      <c r="B22" s="7">
        <f>'a10'!B18</f>
        <v>57568.4</v>
      </c>
      <c r="C22" s="7">
        <v>344374</v>
      </c>
      <c r="D22" s="7">
        <f t="shared" si="0"/>
        <v>401942.4</v>
      </c>
      <c r="E22" s="11">
        <f>'a8'!C22</f>
        <v>65.8</v>
      </c>
      <c r="F22" s="7">
        <f t="shared" si="1"/>
        <v>610854.71124620072</v>
      </c>
      <c r="G22" s="7">
        <f>F22*1000000/'a1'!F22</f>
        <v>23854.9399357357</v>
      </c>
      <c r="H22" s="7">
        <f>'a10'!C18+'a11'!L22+'a12'!H22</f>
        <v>3679.3672700000002</v>
      </c>
      <c r="I22" s="11">
        <f>'a8'!I22</f>
        <v>63.6</v>
      </c>
      <c r="J22" s="7">
        <f t="shared" si="2"/>
        <v>5785.168663522013</v>
      </c>
      <c r="K22" s="7">
        <f>J22*1000000/'a1'!L22</f>
        <v>9973.3110315602789</v>
      </c>
      <c r="L22" s="7">
        <f>'a10'!D18+'a11'!Q22+'a12'!I22</f>
        <v>26.847560000000005</v>
      </c>
      <c r="M22" s="11">
        <f>'a8'!O22</f>
        <v>58.2</v>
      </c>
      <c r="N22" s="7">
        <f t="shared" si="3"/>
        <v>46.129828178694169</v>
      </c>
      <c r="O22" s="7">
        <f>N22*1000000/'a1'!R22</f>
        <v>364.48115309129975</v>
      </c>
      <c r="P22" s="7">
        <f>'a10'!E18+'a11'!V22+'a12'!J22</f>
        <v>5827.6935300000005</v>
      </c>
      <c r="Q22" s="11">
        <f>'a8'!U22</f>
        <v>63.4</v>
      </c>
      <c r="R22" s="7">
        <f t="shared" si="4"/>
        <v>9191.9456309148281</v>
      </c>
      <c r="S22" s="7">
        <f>R22*1000000/'a1'!X22</f>
        <v>10475.497914933743</v>
      </c>
      <c r="T22" s="7">
        <f>'a10'!F18+'a11'!AA22+'a12'!K22</f>
        <v>4254.1663800000006</v>
      </c>
      <c r="U22" s="11">
        <f>'a8'!AA22</f>
        <v>65.5</v>
      </c>
      <c r="V22" s="7">
        <f t="shared" si="5"/>
        <v>6494.9105038167945</v>
      </c>
      <c r="W22" s="7">
        <f>V22*1000000/'a1'!AD22</f>
        <v>9014.5991381074964</v>
      </c>
      <c r="X22" s="7">
        <f>'a10'!G18+'a11'!AF22+'a12'!L22</f>
        <v>33288.116720000005</v>
      </c>
      <c r="Y22" s="11">
        <f>'a8'!AG22</f>
        <v>63.1</v>
      </c>
      <c r="Z22" s="7">
        <f t="shared" si="6"/>
        <v>52754.543137876397</v>
      </c>
      <c r="AA22" s="7">
        <f>Z22*1000000/'a1'!AJ22</f>
        <v>7955.4807618924415</v>
      </c>
      <c r="AB22" s="7">
        <f>'a10'!H18+'a11'!AK22+'a12'!M22</f>
        <v>31896.787390000001</v>
      </c>
      <c r="AC22" s="11">
        <f>'a8'!AM22</f>
        <v>62.6</v>
      </c>
      <c r="AD22" s="7">
        <f t="shared" si="7"/>
        <v>50953.334488817891</v>
      </c>
      <c r="AE22" s="7">
        <f>AD22*1000000/'a1'!AP22</f>
        <v>5558.0500046488105</v>
      </c>
      <c r="AF22" s="7">
        <f>'a10'!I18+'a11'!AP22+'a12'!N22</f>
        <v>4767.86816</v>
      </c>
      <c r="AG22" s="11">
        <f>'a8'!AS22</f>
        <v>65</v>
      </c>
      <c r="AH22" s="7">
        <f t="shared" si="8"/>
        <v>7335.1817846153854</v>
      </c>
      <c r="AI22" s="7">
        <f>AH22*1000000/'a1'!AV22</f>
        <v>6843.7332965874411</v>
      </c>
      <c r="AJ22" s="7">
        <f>'a10'!J18+'a11'!AU22+'a12'!O22</f>
        <v>31066.533950000005</v>
      </c>
      <c r="AK22" s="11">
        <f>'a8'!AY22</f>
        <v>70.7</v>
      </c>
      <c r="AL22" s="7">
        <f t="shared" si="9"/>
        <v>43941.349292786421</v>
      </c>
      <c r="AM22" s="7">
        <f>AL22*1000000/'a1'!BB22</f>
        <v>43308.397069614017</v>
      </c>
      <c r="AN22" s="7">
        <f>'a10'!K18+'a11'!BA22+'a12'!P22</f>
        <v>243397.62609999999</v>
      </c>
      <c r="AO22" s="11">
        <f>'a8'!BE22</f>
        <v>76.2</v>
      </c>
      <c r="AP22" s="7">
        <f t="shared" si="10"/>
        <v>319419.45682414697</v>
      </c>
      <c r="AQ22" s="7">
        <f>AP22*1000000/'a1'!BH22</f>
        <v>133430.18622868264</v>
      </c>
      <c r="AR22" s="7">
        <f>'a10'!L18+'a11'!BF22+'a12'!Q22</f>
        <v>46990.409090000001</v>
      </c>
      <c r="AS22" s="11">
        <f>'a8'!BK22</f>
        <v>62</v>
      </c>
      <c r="AT22" s="7">
        <f t="shared" si="11"/>
        <v>75790.982403225804</v>
      </c>
      <c r="AU22" s="7">
        <f>AT22*1000000/'a1'!BN22</f>
        <v>25716.432890693108</v>
      </c>
    </row>
    <row r="23" spans="1:47" ht="18" customHeight="1">
      <c r="A23" s="1">
        <v>1985</v>
      </c>
      <c r="B23" s="7">
        <f>'a10'!B19</f>
        <v>52736.6</v>
      </c>
      <c r="C23" s="7">
        <v>325728</v>
      </c>
      <c r="D23" s="7">
        <f t="shared" si="0"/>
        <v>378464.6</v>
      </c>
      <c r="E23" s="11">
        <f>'a8'!C23</f>
        <v>67.8</v>
      </c>
      <c r="F23" s="7">
        <f t="shared" si="1"/>
        <v>558207.37463126844</v>
      </c>
      <c r="G23" s="7">
        <f>F23*1000000/'a1'!F23</f>
        <v>21600.683730050143</v>
      </c>
      <c r="H23" s="7">
        <f>'a10'!C19+'a11'!L23+'a12'!H23</f>
        <v>2851.7350899999997</v>
      </c>
      <c r="I23" s="11">
        <f>'a8'!I23</f>
        <v>65.400000000000006</v>
      </c>
      <c r="J23" s="7">
        <f t="shared" si="2"/>
        <v>4360.4512079510687</v>
      </c>
      <c r="K23" s="7">
        <f>J23*1000000/'a1'!L23</f>
        <v>7527.4286098158373</v>
      </c>
      <c r="L23" s="7">
        <f>'a10'!D19+'a11'!Q23+'a12'!I23</f>
        <v>22.370520000000003</v>
      </c>
      <c r="M23" s="11">
        <f>'a8'!O23</f>
        <v>60.8</v>
      </c>
      <c r="N23" s="7">
        <f t="shared" si="3"/>
        <v>36.793618421052635</v>
      </c>
      <c r="O23" s="7">
        <f>N23*1000000/'a1'!R23</f>
        <v>288.30831162328991</v>
      </c>
      <c r="P23" s="7">
        <f>'a10'!E19+'a11'!V23+'a12'!J23</f>
        <v>5369.35851</v>
      </c>
      <c r="Q23" s="11">
        <f>'a8'!U23</f>
        <v>65.5</v>
      </c>
      <c r="R23" s="7">
        <f t="shared" si="4"/>
        <v>8197.4939083969457</v>
      </c>
      <c r="S23" s="7">
        <f>R23*1000000/'a1'!X23</f>
        <v>9253.8380268363708</v>
      </c>
      <c r="T23" s="7">
        <f>'a10'!F19+'a11'!AA23+'a12'!K23</f>
        <v>3369.7794599999997</v>
      </c>
      <c r="U23" s="11">
        <f>'a8'!AA23</f>
        <v>67.5</v>
      </c>
      <c r="V23" s="7">
        <f t="shared" si="5"/>
        <v>4992.2658666666666</v>
      </c>
      <c r="W23" s="7">
        <f>V23*1000000/'a1'!AD23</f>
        <v>6902.1921680697524</v>
      </c>
      <c r="X23" s="7">
        <f>'a10'!G19+'a11'!AF23+'a12'!L23</f>
        <v>31866.028240000003</v>
      </c>
      <c r="Y23" s="11">
        <f>'a8'!AG23</f>
        <v>65.400000000000006</v>
      </c>
      <c r="Z23" s="7">
        <f t="shared" si="6"/>
        <v>48724.813822629971</v>
      </c>
      <c r="AA23" s="7">
        <f>Z23*1000000/'a1'!AJ23</f>
        <v>7309.6701376113442</v>
      </c>
      <c r="AB23" s="7">
        <f>'a10'!H19+'a11'!AK23+'a12'!M23</f>
        <v>28160.05113</v>
      </c>
      <c r="AC23" s="11">
        <f>'a8'!AM23</f>
        <v>65.8</v>
      </c>
      <c r="AD23" s="7">
        <f t="shared" si="7"/>
        <v>42796.4302887538</v>
      </c>
      <c r="AE23" s="7">
        <f>AD23*1000000/'a1'!AP23</f>
        <v>4604.4120066780088</v>
      </c>
      <c r="AF23" s="7">
        <f>'a10'!I19+'a11'!AP23+'a12'!N23</f>
        <v>4230.4907199999998</v>
      </c>
      <c r="AG23" s="11">
        <f>'a8'!AS23</f>
        <v>66.599999999999994</v>
      </c>
      <c r="AH23" s="7">
        <f t="shared" si="8"/>
        <v>6352.0881681681685</v>
      </c>
      <c r="AI23" s="7">
        <f>AH23*1000000/'a1'!AV23</f>
        <v>5868.0069359841555</v>
      </c>
      <c r="AJ23" s="7">
        <f>'a10'!J19+'a11'!AU23+'a12'!O23</f>
        <v>28730.254649999995</v>
      </c>
      <c r="AK23" s="11">
        <f>'a8'!AY23</f>
        <v>72.5</v>
      </c>
      <c r="AL23" s="7">
        <f t="shared" si="9"/>
        <v>39627.937448275858</v>
      </c>
      <c r="AM23" s="7">
        <f>AL23*1000000/'a1'!BB23</f>
        <v>38664.118307116063</v>
      </c>
      <c r="AN23" s="7">
        <f>'a10'!K19+'a11'!BA23+'a12'!P23</f>
        <v>233220.38870000001</v>
      </c>
      <c r="AO23" s="11">
        <f>'a8'!BE23</f>
        <v>75.599999999999994</v>
      </c>
      <c r="AP23" s="7">
        <f t="shared" si="10"/>
        <v>308492.57764550264</v>
      </c>
      <c r="AQ23" s="7">
        <f>AP23*1000000/'a1'!BH23</f>
        <v>128298.54881721389</v>
      </c>
      <c r="AR23" s="7">
        <f>'a10'!L19+'a11'!BF23+'a12'!Q23</f>
        <v>42142.985030000003</v>
      </c>
      <c r="AS23" s="11">
        <f>'a8'!BK23</f>
        <v>62.2</v>
      </c>
      <c r="AT23" s="7">
        <f t="shared" si="11"/>
        <v>67753.995225080391</v>
      </c>
      <c r="AU23" s="7">
        <f>AT23*1000000/'a1'!BN23</f>
        <v>22773.449379230828</v>
      </c>
    </row>
    <row r="24" spans="1:47" ht="18" customHeight="1">
      <c r="A24" s="1">
        <v>1986</v>
      </c>
      <c r="B24" s="7">
        <f>'a10'!B20</f>
        <v>60805.4</v>
      </c>
      <c r="C24" s="7">
        <v>205500</v>
      </c>
      <c r="D24" s="7">
        <f t="shared" si="0"/>
        <v>266305.40000000002</v>
      </c>
      <c r="E24" s="11">
        <f>'a8'!C24</f>
        <v>69.900000000000006</v>
      </c>
      <c r="F24" s="7">
        <f t="shared" si="1"/>
        <v>380980.54363376251</v>
      </c>
      <c r="G24" s="7">
        <f>F24*1000000/'a1'!F24</f>
        <v>14596.800219283585</v>
      </c>
      <c r="H24" s="7">
        <f>'a10'!C20+'a11'!L24+'a12'!H24</f>
        <v>2425.1769199999999</v>
      </c>
      <c r="I24" s="11">
        <f>'a8'!I24</f>
        <v>71.2</v>
      </c>
      <c r="J24" s="7">
        <f t="shared" si="2"/>
        <v>3406.1473595505618</v>
      </c>
      <c r="K24" s="7">
        <f>J24*1000000/'a1'!L24</f>
        <v>5910.3104245844424</v>
      </c>
      <c r="L24" s="7">
        <f>'a10'!D20+'a11'!Q24+'a12'!I24</f>
        <v>21.897760000000002</v>
      </c>
      <c r="M24" s="11">
        <f>'a8'!O24</f>
        <v>65.7</v>
      </c>
      <c r="N24" s="7">
        <f t="shared" si="3"/>
        <v>33.329923896499238</v>
      </c>
      <c r="O24" s="7">
        <f>N24*1000000/'a1'!R24</f>
        <v>259.50608782973029</v>
      </c>
      <c r="P24" s="7">
        <f>'a10'!E20+'a11'!V24+'a12'!J24</f>
        <v>4873.0198799999998</v>
      </c>
      <c r="Q24" s="11">
        <f>'a8'!U24</f>
        <v>69.400000000000006</v>
      </c>
      <c r="R24" s="7">
        <f t="shared" si="4"/>
        <v>7021.6424783861667</v>
      </c>
      <c r="S24" s="7">
        <f>R24*1000000/'a1'!X24</f>
        <v>7897.5876133451129</v>
      </c>
      <c r="T24" s="7">
        <f>'a10'!F20+'a11'!AA24+'a12'!K24</f>
        <v>3663.6584800000001</v>
      </c>
      <c r="U24" s="11">
        <f>'a8'!AA24</f>
        <v>70.5</v>
      </c>
      <c r="V24" s="7">
        <f t="shared" si="5"/>
        <v>5196.6786950354608</v>
      </c>
      <c r="W24" s="7">
        <f>V24*1000000/'a1'!AD24</f>
        <v>7167.6448410806615</v>
      </c>
      <c r="X24" s="7">
        <f>'a10'!G20+'a11'!AF24+'a12'!L24</f>
        <v>32839.689120000003</v>
      </c>
      <c r="Y24" s="11">
        <f>'a8'!AG24</f>
        <v>70</v>
      </c>
      <c r="Z24" s="7">
        <f t="shared" si="6"/>
        <v>46913.841600000007</v>
      </c>
      <c r="AA24" s="7">
        <f>Z24*1000000/'a1'!AJ24</f>
        <v>6993.5379693716777</v>
      </c>
      <c r="AB24" s="7">
        <f>'a10'!H20+'a11'!AK24+'a12'!M24</f>
        <v>28911.472439999998</v>
      </c>
      <c r="AC24" s="11">
        <f>'a8'!AM24</f>
        <v>69.7</v>
      </c>
      <c r="AD24" s="7">
        <f t="shared" si="7"/>
        <v>41479.874375896696</v>
      </c>
      <c r="AE24" s="7">
        <f>AD24*1000000/'a1'!AP24</f>
        <v>4395.2841442077915</v>
      </c>
      <c r="AF24" s="7">
        <f>'a10'!I20+'a11'!AP24+'a12'!N24</f>
        <v>3438.4953599999999</v>
      </c>
      <c r="AG24" s="11">
        <f>'a8'!AS24</f>
        <v>69</v>
      </c>
      <c r="AH24" s="7">
        <f t="shared" si="8"/>
        <v>4983.3266086956519</v>
      </c>
      <c r="AI24" s="7">
        <f>AH24*1000000/'a1'!AV24</f>
        <v>4565.3588731417758</v>
      </c>
      <c r="AJ24" s="7">
        <f>'a10'!J20+'a11'!AU24+'a12'!O24</f>
        <v>18960.7742</v>
      </c>
      <c r="AK24" s="11">
        <f>'a8'!AY24</f>
        <v>68</v>
      </c>
      <c r="AL24" s="7">
        <f t="shared" si="9"/>
        <v>27883.491470588233</v>
      </c>
      <c r="AM24" s="7">
        <f>AL24*1000000/'a1'!BB24</f>
        <v>27105.113914310965</v>
      </c>
      <c r="AN24" s="7">
        <f>'a10'!K20+'a11'!BA24+'a12'!P24</f>
        <v>132072.67559999999</v>
      </c>
      <c r="AO24" s="11">
        <f>'a8'!BE24</f>
        <v>67.099999999999994</v>
      </c>
      <c r="AP24" s="7">
        <f t="shared" si="10"/>
        <v>196829.62086438152</v>
      </c>
      <c r="AQ24" s="7">
        <f>AP24*1000000/'a1'!BH24</f>
        <v>80902.295119210801</v>
      </c>
      <c r="AR24" s="7">
        <f>'a10'!L20+'a11'!BF24+'a12'!Q24</f>
        <v>43146.445640000005</v>
      </c>
      <c r="AS24" s="11">
        <f>'a8'!BK24</f>
        <v>65.599999999999994</v>
      </c>
      <c r="AT24" s="7">
        <f t="shared" si="11"/>
        <v>65772.020792682946</v>
      </c>
      <c r="AU24" s="7">
        <f>AT24*1000000/'a1'!BN24</f>
        <v>21897.576555991232</v>
      </c>
    </row>
    <row r="25" spans="1:47" ht="18" customHeight="1">
      <c r="A25" s="1">
        <v>1987</v>
      </c>
      <c r="B25" s="7">
        <f>'a10'!B21</f>
        <v>89012.3</v>
      </c>
      <c r="C25" s="7">
        <v>211628</v>
      </c>
      <c r="D25" s="7">
        <f t="shared" si="0"/>
        <v>300640.3</v>
      </c>
      <c r="E25" s="11">
        <f>'a8'!C25</f>
        <v>73.099999999999994</v>
      </c>
      <c r="F25" s="7">
        <f t="shared" si="1"/>
        <v>411272.64021887822</v>
      </c>
      <c r="G25" s="7">
        <f>F25*1000000/'a1'!F25</f>
        <v>15551.058535608347</v>
      </c>
      <c r="H25" s="7">
        <f>'a10'!C21+'a11'!L25+'a12'!H25</f>
        <v>3105.8995800000002</v>
      </c>
      <c r="I25" s="11">
        <f>'a8'!I25</f>
        <v>73.8</v>
      </c>
      <c r="J25" s="7">
        <f t="shared" si="2"/>
        <v>4208.5360162601628</v>
      </c>
      <c r="K25" s="7">
        <f>J25*1000000/'a1'!L25</f>
        <v>7316.1139420629279</v>
      </c>
      <c r="L25" s="7">
        <f>'a10'!D21+'a11'!Q25+'a12'!I25</f>
        <v>28.044240000000002</v>
      </c>
      <c r="M25" s="11">
        <f>'a8'!O25</f>
        <v>69</v>
      </c>
      <c r="N25" s="7">
        <f t="shared" si="3"/>
        <v>40.643826086956523</v>
      </c>
      <c r="O25" s="7">
        <f>N25*1000000/'a1'!R25</f>
        <v>315.94768454036057</v>
      </c>
      <c r="P25" s="7">
        <f>'a10'!E21+'a11'!V25+'a12'!J25</f>
        <v>6757.5636199999999</v>
      </c>
      <c r="Q25" s="11">
        <f>'a8'!U25</f>
        <v>72.400000000000006</v>
      </c>
      <c r="R25" s="7">
        <f t="shared" si="4"/>
        <v>9333.651408839778</v>
      </c>
      <c r="S25" s="7">
        <f>R25*1000000/'a1'!X25</f>
        <v>10444.929206876161</v>
      </c>
      <c r="T25" s="7">
        <f>'a10'!F21+'a11'!AA25+'a12'!K25</f>
        <v>6626.7825200000007</v>
      </c>
      <c r="U25" s="11">
        <f>'a8'!AA25</f>
        <v>74.099999999999994</v>
      </c>
      <c r="V25" s="7">
        <f t="shared" si="5"/>
        <v>8943.0263427800292</v>
      </c>
      <c r="W25" s="7">
        <f>V25*1000000/'a1'!AD25</f>
        <v>12288.292893861821</v>
      </c>
      <c r="X25" s="7">
        <f>'a10'!G21+'a11'!AF25+'a12'!L25</f>
        <v>39725.114880000001</v>
      </c>
      <c r="Y25" s="11">
        <f>'a8'!AG25</f>
        <v>73.599999999999994</v>
      </c>
      <c r="Z25" s="7">
        <f t="shared" si="6"/>
        <v>53974.340869565218</v>
      </c>
      <c r="AA25" s="7">
        <f>Z25*1000000/'a1'!AJ25</f>
        <v>7958.4883818017288</v>
      </c>
      <c r="AB25" s="7">
        <f>'a10'!H21+'a11'!AK25+'a12'!M25</f>
        <v>37748.538060000006</v>
      </c>
      <c r="AC25" s="11">
        <f>'a8'!AM25</f>
        <v>73.5</v>
      </c>
      <c r="AD25" s="7">
        <f t="shared" si="7"/>
        <v>51358.555183673481</v>
      </c>
      <c r="AE25" s="7">
        <f>AD25*1000000/'a1'!AP25</f>
        <v>5328.7869129439405</v>
      </c>
      <c r="AF25" s="7">
        <f>'a10'!I21+'a11'!AP25+'a12'!N25</f>
        <v>4510.0166399999998</v>
      </c>
      <c r="AG25" s="11">
        <f>'a8'!AS25</f>
        <v>72</v>
      </c>
      <c r="AH25" s="7">
        <f t="shared" si="8"/>
        <v>6263.9120000000003</v>
      </c>
      <c r="AI25" s="7">
        <f>AH25*1000000/'a1'!AV25</f>
        <v>5702.9005629235244</v>
      </c>
      <c r="AJ25" s="7">
        <f>'a10'!J21+'a11'!AU25+'a12'!O25</f>
        <v>25653.628300000004</v>
      </c>
      <c r="AK25" s="11">
        <f>'a8'!AY25</f>
        <v>69.3</v>
      </c>
      <c r="AL25" s="7">
        <f t="shared" si="9"/>
        <v>37018.222655122663</v>
      </c>
      <c r="AM25" s="7">
        <f>AL25*1000000/'a1'!BB25</f>
        <v>35842.620543903184</v>
      </c>
      <c r="AN25" s="7">
        <f>'a10'!K21+'a11'!BA25+'a12'!P25</f>
        <v>121460.51939999999</v>
      </c>
      <c r="AO25" s="11">
        <f>'a8'!BE25</f>
        <v>68.2</v>
      </c>
      <c r="AP25" s="7">
        <f t="shared" si="10"/>
        <v>178094.60322580644</v>
      </c>
      <c r="AQ25" s="7">
        <f>AP25*1000000/'a1'!BH25</f>
        <v>72963.366538259172</v>
      </c>
      <c r="AR25" s="7">
        <f>'a10'!L21+'a11'!BF25+'a12'!Q25</f>
        <v>59438.479859999999</v>
      </c>
      <c r="AS25" s="11">
        <f>'a8'!BK25</f>
        <v>68.3</v>
      </c>
      <c r="AT25" s="7">
        <f t="shared" si="11"/>
        <v>87025.592767203518</v>
      </c>
      <c r="AU25" s="7">
        <f>AT25*1000000/'a1'!BN25</f>
        <v>28545.606816655472</v>
      </c>
    </row>
    <row r="26" spans="1:47" ht="18" customHeight="1">
      <c r="A26" s="1">
        <v>1988</v>
      </c>
      <c r="B26" s="7">
        <f>'a10'!B22</f>
        <v>120006.5</v>
      </c>
      <c r="C26" s="7">
        <v>201840</v>
      </c>
      <c r="D26" s="7">
        <f t="shared" si="0"/>
        <v>321846.5</v>
      </c>
      <c r="E26" s="11">
        <f>'a8'!C26</f>
        <v>76.400000000000006</v>
      </c>
      <c r="F26" s="7">
        <f t="shared" si="1"/>
        <v>421265.0523560209</v>
      </c>
      <c r="G26" s="7">
        <f>F26*1000000/'a1'!F26</f>
        <v>15723.687311470239</v>
      </c>
      <c r="H26" s="7">
        <f>'a10'!C22+'a11'!L26+'a12'!H26</f>
        <v>5291.7316300000002</v>
      </c>
      <c r="I26" s="11">
        <f>'a8'!I26</f>
        <v>75.8</v>
      </c>
      <c r="J26" s="7">
        <f t="shared" si="2"/>
        <v>6981.1762928759908</v>
      </c>
      <c r="K26" s="7">
        <f>J26*1000000/'a1'!L26</f>
        <v>12141.556245023306</v>
      </c>
      <c r="L26" s="7">
        <f>'a10'!D22+'a11'!Q26+'a12'!I26</f>
        <v>42.201640000000005</v>
      </c>
      <c r="M26" s="11">
        <f>'a8'!O26</f>
        <v>73.5</v>
      </c>
      <c r="N26" s="7">
        <f t="shared" si="3"/>
        <v>57.417197278911573</v>
      </c>
      <c r="O26" s="7">
        <f>N26*1000000/'a1'!R26</f>
        <v>444.09963166945045</v>
      </c>
      <c r="P26" s="7">
        <f>'a10'!E22+'a11'!V26+'a12'!J26</f>
        <v>7905.3635699999995</v>
      </c>
      <c r="Q26" s="11">
        <f>'a8'!U26</f>
        <v>75.8</v>
      </c>
      <c r="R26" s="7">
        <f t="shared" si="4"/>
        <v>10429.239538258575</v>
      </c>
      <c r="S26" s="7">
        <f>R26*1000000/'a1'!X26</f>
        <v>11624.000840665543</v>
      </c>
      <c r="T26" s="7">
        <f>'a10'!F22+'a11'!AA26+'a12'!K26</f>
        <v>10646.74022</v>
      </c>
      <c r="U26" s="11">
        <f>'a8'!AA26</f>
        <v>79.099999999999994</v>
      </c>
      <c r="V26" s="7">
        <f t="shared" si="5"/>
        <v>13459.848571428571</v>
      </c>
      <c r="W26" s="7">
        <f>V26*1000000/'a1'!AD26</f>
        <v>18429.337989685166</v>
      </c>
      <c r="X26" s="7">
        <f>'a10'!G22+'a11'!AF26+'a12'!L26</f>
        <v>52159.093679999998</v>
      </c>
      <c r="Y26" s="11">
        <f>'a8'!AG26</f>
        <v>77.2</v>
      </c>
      <c r="Z26" s="7">
        <f t="shared" si="6"/>
        <v>67563.592849740933</v>
      </c>
      <c r="AA26" s="7">
        <f>Z26*1000000/'a1'!AJ26</f>
        <v>9881.9411935452736</v>
      </c>
      <c r="AB26" s="7">
        <f>'a10'!H22+'a11'!AK26+'a12'!M26</f>
        <v>53708.659910000002</v>
      </c>
      <c r="AC26" s="11">
        <f>'a8'!AM26</f>
        <v>77.5</v>
      </c>
      <c r="AD26" s="7">
        <f t="shared" si="7"/>
        <v>69301.496658064512</v>
      </c>
      <c r="AE26" s="7">
        <f>AD26*1000000/'a1'!AP26</f>
        <v>7043.8228794347697</v>
      </c>
      <c r="AF26" s="7">
        <f>'a10'!I22+'a11'!AP26+'a12'!N26</f>
        <v>6435.8230399999993</v>
      </c>
      <c r="AG26" s="11">
        <f>'a8'!AS26</f>
        <v>78.2</v>
      </c>
      <c r="AH26" s="7">
        <f t="shared" si="8"/>
        <v>8229.95273657289</v>
      </c>
      <c r="AI26" s="7">
        <f>AH26*1000000/'a1'!AV26</f>
        <v>7467.1667216254109</v>
      </c>
      <c r="AJ26" s="7">
        <f>'a10'!J22+'a11'!AU26+'a12'!O26</f>
        <v>29383.492550000003</v>
      </c>
      <c r="AK26" s="11">
        <f>'a8'!AY26</f>
        <v>74.3</v>
      </c>
      <c r="AL26" s="7">
        <f t="shared" si="9"/>
        <v>39547.096298788696</v>
      </c>
      <c r="AM26" s="7">
        <f>AL26*1000000/'a1'!BB26</f>
        <v>38461.519899621868</v>
      </c>
      <c r="AN26" s="7">
        <f>'a10'!K22+'a11'!BA26+'a12'!P26</f>
        <v>83853.60089999999</v>
      </c>
      <c r="AO26" s="11">
        <f>'a8'!BE26</f>
        <v>67.2</v>
      </c>
      <c r="AP26" s="7">
        <f t="shared" si="10"/>
        <v>124782.14419642855</v>
      </c>
      <c r="AQ26" s="7">
        <f>AP26*1000000/'a1'!BH26</f>
        <v>50794.363378385264</v>
      </c>
      <c r="AR26" s="7">
        <f>'a10'!L22+'a11'!BF26+'a12'!Q26</f>
        <v>79128.757210000011</v>
      </c>
      <c r="AS26" s="11">
        <f>'a8'!BK26</f>
        <v>71.7</v>
      </c>
      <c r="AT26" s="7">
        <f t="shared" si="11"/>
        <v>110360.8887168759</v>
      </c>
      <c r="AU26" s="7">
        <f>AT26*1000000/'a1'!BN26</f>
        <v>35431.575237032921</v>
      </c>
    </row>
    <row r="27" spans="1:47" ht="18" customHeight="1">
      <c r="A27" s="1">
        <v>1989</v>
      </c>
      <c r="B27" s="7">
        <f>'a10'!B23</f>
        <v>140337.29999999999</v>
      </c>
      <c r="C27" s="7">
        <v>209840</v>
      </c>
      <c r="D27" s="7">
        <f t="shared" si="0"/>
        <v>350177.3</v>
      </c>
      <c r="E27" s="11">
        <f>'a8'!C27</f>
        <v>79.8</v>
      </c>
      <c r="F27" s="7">
        <f t="shared" si="1"/>
        <v>438818.67167919799</v>
      </c>
      <c r="G27" s="7">
        <f>F27*1000000/'a1'!F27</f>
        <v>16087.626750355843</v>
      </c>
      <c r="H27" s="7">
        <f>'a10'!C23+'a11'!L27+'a12'!H27</f>
        <v>5900.6380900000004</v>
      </c>
      <c r="I27" s="11">
        <f>'a8'!I27</f>
        <v>77.2</v>
      </c>
      <c r="J27" s="7">
        <f t="shared" si="2"/>
        <v>7643.3135880829013</v>
      </c>
      <c r="K27" s="7">
        <f>J27*1000000/'a1'!L27</f>
        <v>13256.960074794599</v>
      </c>
      <c r="L27" s="7">
        <f>'a10'!D23+'a11'!Q27+'a12'!I27</f>
        <v>46.054520000000004</v>
      </c>
      <c r="M27" s="11">
        <f>'a8'!O27</f>
        <v>77.099999999999994</v>
      </c>
      <c r="N27" s="7">
        <f t="shared" si="3"/>
        <v>59.733488975356686</v>
      </c>
      <c r="O27" s="7">
        <f>N27*1000000/'a1'!R27</f>
        <v>458.94822997054763</v>
      </c>
      <c r="P27" s="7">
        <f>'a10'!E23+'a11'!V27+'a12'!J27</f>
        <v>8894.9755100000002</v>
      </c>
      <c r="Q27" s="11">
        <f>'a8'!U27</f>
        <v>79</v>
      </c>
      <c r="R27" s="7">
        <f t="shared" si="4"/>
        <v>11259.462670886076</v>
      </c>
      <c r="S27" s="7">
        <f>R27*1000000/'a1'!X27</f>
        <v>12457.348882033539</v>
      </c>
      <c r="T27" s="7">
        <f>'a10'!F23+'a11'!AA27+'a12'!K27</f>
        <v>12791.561460000001</v>
      </c>
      <c r="U27" s="11">
        <f>'a8'!AA27</f>
        <v>82.8</v>
      </c>
      <c r="V27" s="7">
        <f t="shared" si="5"/>
        <v>15448.745724637683</v>
      </c>
      <c r="W27" s="7">
        <f>V27*1000000/'a1'!AD27</f>
        <v>21015.013316897694</v>
      </c>
      <c r="X27" s="7">
        <f>'a10'!G23+'a11'!AF27+'a12'!L27</f>
        <v>56229.736239999998</v>
      </c>
      <c r="Y27" s="11">
        <f>'a8'!AG27</f>
        <v>80.8</v>
      </c>
      <c r="Z27" s="7">
        <f t="shared" si="6"/>
        <v>69591.25772277228</v>
      </c>
      <c r="AA27" s="7">
        <f>Z27*1000000/'a1'!AJ27</f>
        <v>10049.093348566594</v>
      </c>
      <c r="AB27" s="7">
        <f>'a10'!H23+'a11'!AK27+'a12'!M27</f>
        <v>59887.422129999992</v>
      </c>
      <c r="AC27" s="11">
        <f>'a8'!AM27</f>
        <v>81.5</v>
      </c>
      <c r="AD27" s="7">
        <f t="shared" si="7"/>
        <v>73481.499546012259</v>
      </c>
      <c r="AE27" s="7">
        <f>AD27*1000000/'a1'!AP27</f>
        <v>7273.0160621709683</v>
      </c>
      <c r="AF27" s="7">
        <f>'a10'!I23+'a11'!AP27+'a12'!N27</f>
        <v>7213.7147199999999</v>
      </c>
      <c r="AG27" s="11">
        <f>'a8'!AS27</f>
        <v>80.8</v>
      </c>
      <c r="AH27" s="7">
        <f t="shared" si="8"/>
        <v>8927.8647524752469</v>
      </c>
      <c r="AI27" s="7">
        <f>AH27*1000000/'a1'!AV27</f>
        <v>8088.3579084422126</v>
      </c>
      <c r="AJ27" s="7">
        <f>'a10'!J23+'a11'!AU27+'a12'!O27</f>
        <v>31906.209650000001</v>
      </c>
      <c r="AK27" s="11">
        <f>'a8'!AY27</f>
        <v>76.900000000000006</v>
      </c>
      <c r="AL27" s="7">
        <f t="shared" si="9"/>
        <v>41490.51970091027</v>
      </c>
      <c r="AM27" s="7">
        <f>AL27*1000000/'a1'!BB27</f>
        <v>40699.364749543885</v>
      </c>
      <c r="AN27" s="7">
        <f>'a10'!K23+'a11'!BA27+'a12'!P27</f>
        <v>90828.978699999992</v>
      </c>
      <c r="AO27" s="11">
        <f>'a8'!BE27</f>
        <v>69.8</v>
      </c>
      <c r="AP27" s="7">
        <f t="shared" si="10"/>
        <v>130127.47664756446</v>
      </c>
      <c r="AQ27" s="7">
        <f>AP27*1000000/'a1'!BH27</f>
        <v>52085.888204122544</v>
      </c>
      <c r="AR27" s="7">
        <f>'a10'!L23+'a11'!BF27+'a12'!Q27</f>
        <v>89235.886029999994</v>
      </c>
      <c r="AS27" s="11">
        <f>'a8'!BK27</f>
        <v>75.599999999999994</v>
      </c>
      <c r="AT27" s="7">
        <f t="shared" si="11"/>
        <v>118036.88628306879</v>
      </c>
      <c r="AU27" s="7">
        <f>AT27*1000000/'a1'!BN27</f>
        <v>36924.316693825334</v>
      </c>
    </row>
    <row r="28" spans="1:47" ht="18" customHeight="1">
      <c r="A28" s="1">
        <v>1990</v>
      </c>
      <c r="B28" s="7">
        <f>'a10'!B24</f>
        <v>147369.70000000001</v>
      </c>
      <c r="C28" s="7">
        <v>218634</v>
      </c>
      <c r="D28" s="7">
        <f t="shared" si="0"/>
        <v>366003.7</v>
      </c>
      <c r="E28" s="11">
        <f>'a8'!C28</f>
        <v>82.4</v>
      </c>
      <c r="F28" s="7">
        <f t="shared" si="1"/>
        <v>444179.24757281551</v>
      </c>
      <c r="G28" s="7">
        <f>F28*1000000/'a1'!F28</f>
        <v>16040.483694560169</v>
      </c>
      <c r="H28" s="7">
        <f>'a10'!C24+'a11'!L28+'a12'!H28</f>
        <v>4755.9765199999993</v>
      </c>
      <c r="I28" s="11">
        <f>'a8'!I28</f>
        <v>79.099999999999994</v>
      </c>
      <c r="J28" s="7">
        <f t="shared" si="2"/>
        <v>6012.6125410872301</v>
      </c>
      <c r="K28" s="7">
        <f>J28*1000000/'a1'!L28</f>
        <v>10413.830591732187</v>
      </c>
      <c r="L28" s="7">
        <f>'a10'!D24+'a11'!Q28+'a12'!I28</f>
        <v>35.406559999999999</v>
      </c>
      <c r="M28" s="11">
        <f>'a8'!O28</f>
        <v>80.7</v>
      </c>
      <c r="N28" s="7">
        <f t="shared" si="3"/>
        <v>43.874299876084258</v>
      </c>
      <c r="O28" s="7">
        <f>N28*1000000/'a1'!R28</f>
        <v>336.44903435542057</v>
      </c>
      <c r="P28" s="7">
        <f>'a10'!E24+'a11'!V28+'a12'!J28</f>
        <v>9632.4042799999988</v>
      </c>
      <c r="Q28" s="11">
        <f>'a8'!U28</f>
        <v>82.6</v>
      </c>
      <c r="R28" s="7">
        <f t="shared" si="4"/>
        <v>11661.506392251817</v>
      </c>
      <c r="S28" s="7">
        <f>R28*1000000/'a1'!X28</f>
        <v>12808.494243239686</v>
      </c>
      <c r="T28" s="7">
        <f>'a10'!F24+'a11'!AA28+'a12'!K28</f>
        <v>12823.960879999999</v>
      </c>
      <c r="U28" s="11">
        <f>'a8'!AA28</f>
        <v>85.3</v>
      </c>
      <c r="V28" s="7">
        <f t="shared" si="5"/>
        <v>15033.951793669403</v>
      </c>
      <c r="W28" s="7">
        <f>V28*1000000/'a1'!AD28</f>
        <v>20311.869110929863</v>
      </c>
      <c r="X28" s="7">
        <f>'a10'!G24+'a11'!AF28+'a12'!L28</f>
        <v>51361.274720000001</v>
      </c>
      <c r="Y28" s="11">
        <f>'a8'!AG28</f>
        <v>83.2</v>
      </c>
      <c r="Z28" s="7">
        <f t="shared" si="6"/>
        <v>61732.30134615385</v>
      </c>
      <c r="AA28" s="7">
        <f>Z28*1000000/'a1'!AJ28</f>
        <v>8822.6989944175748</v>
      </c>
      <c r="AB28" s="7">
        <f>'a10'!H24+'a11'!AK28+'a12'!M28</f>
        <v>53771.98964</v>
      </c>
      <c r="AC28" s="11">
        <f>'a8'!AM28</f>
        <v>84.1</v>
      </c>
      <c r="AD28" s="7">
        <f t="shared" si="7"/>
        <v>63938.156527942934</v>
      </c>
      <c r="AE28" s="7">
        <f>AD28*1000000/'a1'!AP28</f>
        <v>6210.1009930953551</v>
      </c>
      <c r="AF28" s="7">
        <f>'a10'!I24+'a11'!AP28+'a12'!N28</f>
        <v>5941.0921599999992</v>
      </c>
      <c r="AG28" s="11">
        <f>'a8'!AS28</f>
        <v>81.7</v>
      </c>
      <c r="AH28" s="7">
        <f t="shared" si="8"/>
        <v>7271.8386291309653</v>
      </c>
      <c r="AI28" s="7">
        <f>AH28*1000000/'a1'!AV28</f>
        <v>6578.3431191654272</v>
      </c>
      <c r="AJ28" s="7">
        <f>'a10'!J24+'a11'!AU28+'a12'!O28</f>
        <v>29376.620199999998</v>
      </c>
      <c r="AK28" s="11">
        <f>'a8'!AY28</f>
        <v>76.400000000000006</v>
      </c>
      <c r="AL28" s="7">
        <f t="shared" si="9"/>
        <v>38451.073560209421</v>
      </c>
      <c r="AM28" s="7">
        <f>AL28*1000000/'a1'!BB28</f>
        <v>38156.240291477174</v>
      </c>
      <c r="AN28" s="7">
        <f>'a10'!K24+'a11'!BA28+'a12'!P28</f>
        <v>115663.0036</v>
      </c>
      <c r="AO28" s="11">
        <f>'a8'!BE28</f>
        <v>74.2</v>
      </c>
      <c r="AP28" s="7">
        <f t="shared" si="10"/>
        <v>155880.05876010779</v>
      </c>
      <c r="AQ28" s="7">
        <f>AP28*1000000/'a1'!BH28</f>
        <v>61182.507634115471</v>
      </c>
      <c r="AR28" s="7">
        <f>'a10'!L24+'a11'!BF28+'a12'!Q28</f>
        <v>93975.678839999993</v>
      </c>
      <c r="AS28" s="11">
        <f>'a8'!BK28</f>
        <v>78.2</v>
      </c>
      <c r="AT28" s="7">
        <f t="shared" si="11"/>
        <v>120173.50235294116</v>
      </c>
      <c r="AU28" s="7">
        <f>AT28*1000000/'a1'!BN28</f>
        <v>36503.478270611522</v>
      </c>
    </row>
    <row r="29" spans="1:47" ht="18" customHeight="1">
      <c r="A29" s="1">
        <v>1991</v>
      </c>
      <c r="B29" s="7">
        <f>'a10'!B25</f>
        <v>132049.29999999999</v>
      </c>
      <c r="C29" s="7">
        <v>158032</v>
      </c>
      <c r="D29" s="7">
        <f t="shared" si="0"/>
        <v>290081.3</v>
      </c>
      <c r="E29" s="11">
        <f>'a8'!C29</f>
        <v>84.8</v>
      </c>
      <c r="F29" s="7">
        <f t="shared" si="1"/>
        <v>342077.00471698114</v>
      </c>
      <c r="G29" s="7">
        <f>F29*1000000/'a1'!F29</f>
        <v>12200.730477946299</v>
      </c>
      <c r="H29" s="7">
        <f>'a10'!C25+'a11'!L29+'a12'!H29</f>
        <v>3787.0934400000001</v>
      </c>
      <c r="I29" s="11">
        <f>'a8'!I29</f>
        <v>81.8</v>
      </c>
      <c r="J29" s="7">
        <f t="shared" si="2"/>
        <v>4629.6985819070906</v>
      </c>
      <c r="K29" s="7">
        <f>J29*1000000/'a1'!L29</f>
        <v>7987.1413866219445</v>
      </c>
      <c r="L29" s="7">
        <f>'a10'!D25+'a11'!Q29+'a12'!I29</f>
        <v>27.224320000000002</v>
      </c>
      <c r="M29" s="11">
        <f>'a8'!O29</f>
        <v>84.1</v>
      </c>
      <c r="N29" s="7">
        <f t="shared" si="3"/>
        <v>32.371367419738412</v>
      </c>
      <c r="O29" s="7">
        <f>N29*1000000/'a1'!R29</f>
        <v>248.30571239894769</v>
      </c>
      <c r="P29" s="7">
        <f>'a10'!E25+'a11'!V29+'a12'!J29</f>
        <v>8529.48416</v>
      </c>
      <c r="Q29" s="11">
        <f>'a8'!U29</f>
        <v>86.5</v>
      </c>
      <c r="R29" s="7">
        <f t="shared" si="4"/>
        <v>9860.6753294797691</v>
      </c>
      <c r="S29" s="7">
        <f>R29*1000000/'a1'!X29</f>
        <v>10777.059473577541</v>
      </c>
      <c r="T29" s="7">
        <f>'a10'!F25+'a11'!AA29+'a12'!K29</f>
        <v>11679.17936</v>
      </c>
      <c r="U29" s="11">
        <f>'a8'!AA29</f>
        <v>86.5</v>
      </c>
      <c r="V29" s="7">
        <f t="shared" si="5"/>
        <v>13501.941456647399</v>
      </c>
      <c r="W29" s="7">
        <f>V29*1000000/'a1'!AD29</f>
        <v>18109.628586897485</v>
      </c>
      <c r="X29" s="7">
        <f>'a10'!G25+'a11'!AF29+'a12'!L29</f>
        <v>43741.80384</v>
      </c>
      <c r="Y29" s="11">
        <f>'a8'!AG29</f>
        <v>86.5</v>
      </c>
      <c r="Z29" s="7">
        <f t="shared" si="6"/>
        <v>50568.559352601158</v>
      </c>
      <c r="AA29" s="7">
        <f>Z29*1000000/'a1'!AJ29</f>
        <v>7155.1897406910775</v>
      </c>
      <c r="AB29" s="7">
        <f>'a10'!H25+'a11'!AK29+'a12'!M29</f>
        <v>43989.242079999996</v>
      </c>
      <c r="AC29" s="11">
        <f>'a8'!AM29</f>
        <v>87.6</v>
      </c>
      <c r="AD29" s="7">
        <f t="shared" si="7"/>
        <v>50216.029771689493</v>
      </c>
      <c r="AE29" s="7">
        <f>AD29*1000000/'a1'!AP29</f>
        <v>4813.9688004552345</v>
      </c>
      <c r="AF29" s="7">
        <f>'a10'!I25+'a11'!AP29+'a12'!N29</f>
        <v>4490.0075200000001</v>
      </c>
      <c r="AG29" s="11">
        <f>'a8'!AS29</f>
        <v>83.9</v>
      </c>
      <c r="AH29" s="7">
        <f t="shared" si="8"/>
        <v>5351.6180214541118</v>
      </c>
      <c r="AI29" s="7">
        <f>AH29*1000000/'a1'!AV29</f>
        <v>4822.9981339776277</v>
      </c>
      <c r="AJ29" s="7">
        <f>'a10'!J25+'a11'!AU29+'a12'!O29</f>
        <v>21600.9944</v>
      </c>
      <c r="AK29" s="11">
        <f>'a8'!AY29</f>
        <v>76.099999999999994</v>
      </c>
      <c r="AL29" s="7">
        <f t="shared" si="9"/>
        <v>28385.0123521682</v>
      </c>
      <c r="AM29" s="7">
        <f>AL29*1000000/'a1'!BB29</f>
        <v>28308.212172544088</v>
      </c>
      <c r="AN29" s="7">
        <f>'a10'!K25+'a11'!BA29+'a12'!P29</f>
        <v>75819.979200000002</v>
      </c>
      <c r="AO29" s="11">
        <f>'a8'!BE29</f>
        <v>73.5</v>
      </c>
      <c r="AP29" s="7">
        <f t="shared" si="10"/>
        <v>103156.43428571429</v>
      </c>
      <c r="AQ29" s="7">
        <f>AP29*1000000/'a1'!BH29</f>
        <v>39793.309233444779</v>
      </c>
      <c r="AR29" s="7">
        <f>'a10'!L25+'a11'!BF29+'a12'!Q29</f>
        <v>83782.304480000006</v>
      </c>
      <c r="AS29" s="11">
        <f>'a8'!BK29</f>
        <v>80.599999999999994</v>
      </c>
      <c r="AT29" s="7">
        <f t="shared" si="11"/>
        <v>103948.26858560796</v>
      </c>
      <c r="AU29" s="7">
        <f>AT29*1000000/'a1'!BN29</f>
        <v>30810.560532009862</v>
      </c>
    </row>
    <row r="30" spans="1:47" ht="18" customHeight="1">
      <c r="A30" s="1">
        <v>1992</v>
      </c>
      <c r="B30" s="7">
        <f>'a10'!B26</f>
        <v>108879.8</v>
      </c>
      <c r="C30" s="7">
        <v>158357</v>
      </c>
      <c r="D30" s="7">
        <f t="shared" si="0"/>
        <v>267236.8</v>
      </c>
      <c r="E30" s="11">
        <f>'a8'!C30</f>
        <v>85.9</v>
      </c>
      <c r="F30" s="7">
        <f t="shared" si="1"/>
        <v>311102.21187427238</v>
      </c>
      <c r="G30" s="7">
        <f>F30*1000000/'a1'!F30</f>
        <v>10965.398364848052</v>
      </c>
      <c r="H30" s="7">
        <f>'a10'!C26+'a11'!L30+'a12'!H30</f>
        <v>3576.8758600000001</v>
      </c>
      <c r="I30" s="11">
        <f>'a8'!I30</f>
        <v>82.7</v>
      </c>
      <c r="J30" s="7">
        <f t="shared" si="2"/>
        <v>4325.1219588875447</v>
      </c>
      <c r="K30" s="7">
        <f>J30*1000000/'a1'!L30</f>
        <v>7455.705667189347</v>
      </c>
      <c r="L30" s="7">
        <f>'a10'!D26+'a11'!Q30+'a12'!I30</f>
        <v>27.47608</v>
      </c>
      <c r="M30" s="11">
        <f>'a8'!O30</f>
        <v>85.2</v>
      </c>
      <c r="N30" s="7">
        <f t="shared" si="3"/>
        <v>32.248920187793431</v>
      </c>
      <c r="O30" s="7">
        <f>N30*1000000/'a1'!R30</f>
        <v>246.50049445292967</v>
      </c>
      <c r="P30" s="7">
        <f>'a10'!E26+'a11'!V30+'a12'!J30</f>
        <v>7219.6185399999995</v>
      </c>
      <c r="Q30" s="11">
        <f>'a8'!U30</f>
        <v>87.5</v>
      </c>
      <c r="R30" s="7">
        <f t="shared" si="4"/>
        <v>8250.992617142856</v>
      </c>
      <c r="S30" s="7">
        <f>R30*1000000/'a1'!X30</f>
        <v>8973.8252687123677</v>
      </c>
      <c r="T30" s="7">
        <f>'a10'!F26+'a11'!AA30+'a12'!K30</f>
        <v>9610.0048399999996</v>
      </c>
      <c r="U30" s="11">
        <f>'a8'!AA30</f>
        <v>87.6</v>
      </c>
      <c r="V30" s="7">
        <f t="shared" si="5"/>
        <v>10970.325159817352</v>
      </c>
      <c r="W30" s="7">
        <f>V30*1000000/'a1'!AD30</f>
        <v>14663.838015264044</v>
      </c>
      <c r="X30" s="7">
        <f>'a10'!G26+'a11'!AF30+'a12'!L30</f>
        <v>37198.140959999997</v>
      </c>
      <c r="Y30" s="11">
        <f>'a8'!AG30</f>
        <v>87.9</v>
      </c>
      <c r="Z30" s="7">
        <f t="shared" si="6"/>
        <v>42318.70416382252</v>
      </c>
      <c r="AA30" s="7">
        <f>Z30*1000000/'a1'!AJ30</f>
        <v>5951.989401396414</v>
      </c>
      <c r="AB30" s="7">
        <f>'a10'!H26+'a11'!AK30+'a12'!M30</f>
        <v>40746.678019999999</v>
      </c>
      <c r="AC30" s="11">
        <f>'a8'!AM30</f>
        <v>87.9</v>
      </c>
      <c r="AD30" s="7">
        <f t="shared" si="7"/>
        <v>46355.720159271899</v>
      </c>
      <c r="AE30" s="7">
        <f>AD30*1000000/'a1'!AP30</f>
        <v>4384.6785187453224</v>
      </c>
      <c r="AF30" s="7">
        <f>'a10'!I26+'a11'!AP30+'a12'!N30</f>
        <v>4415.2468799999997</v>
      </c>
      <c r="AG30" s="11">
        <f>'a8'!AS30</f>
        <v>84.5</v>
      </c>
      <c r="AH30" s="7">
        <f t="shared" si="8"/>
        <v>5225.1442366863903</v>
      </c>
      <c r="AI30" s="7">
        <f>AH30*1000000/'a1'!AV30</f>
        <v>4695.9610786899038</v>
      </c>
      <c r="AJ30" s="7">
        <f>'a10'!J26+'a11'!AU30+'a12'!O30</f>
        <v>22330.8361</v>
      </c>
      <c r="AK30" s="11">
        <f>'a8'!AY30</f>
        <v>78.5</v>
      </c>
      <c r="AL30" s="7">
        <f t="shared" si="9"/>
        <v>28446.924968152864</v>
      </c>
      <c r="AM30" s="7">
        <f>AL30*1000000/'a1'!BB30</f>
        <v>28333.731709971526</v>
      </c>
      <c r="AN30" s="7">
        <f>'a10'!K26+'a11'!BA30+'a12'!P30</f>
        <v>78603.219800000006</v>
      </c>
      <c r="AO30" s="11">
        <f>'a8'!BE30</f>
        <v>74.900000000000006</v>
      </c>
      <c r="AP30" s="7">
        <f t="shared" si="10"/>
        <v>104944.21869158877</v>
      </c>
      <c r="AQ30" s="7">
        <f>AP30*1000000/'a1'!BH30</f>
        <v>39862.24592033826</v>
      </c>
      <c r="AR30" s="7">
        <f>'a10'!L26+'a11'!BF30+'a12'!Q30</f>
        <v>72376.71862</v>
      </c>
      <c r="AS30" s="11">
        <f>'a8'!BK30</f>
        <v>83.7</v>
      </c>
      <c r="AT30" s="7">
        <f t="shared" si="11"/>
        <v>86471.587359617683</v>
      </c>
      <c r="AU30" s="7">
        <f>AT30*1000000/'a1'!BN30</f>
        <v>24928.372204472227</v>
      </c>
    </row>
    <row r="31" spans="1:47" ht="18" customHeight="1">
      <c r="A31" s="1">
        <v>1993</v>
      </c>
      <c r="B31" s="7">
        <f>'a10'!B27</f>
        <v>89322.8</v>
      </c>
      <c r="C31" s="7">
        <v>160006</v>
      </c>
      <c r="D31" s="7">
        <f t="shared" si="0"/>
        <v>249328.8</v>
      </c>
      <c r="E31" s="11">
        <f>'a8'!C31</f>
        <v>87.2</v>
      </c>
      <c r="F31" s="7">
        <f t="shared" si="1"/>
        <v>285927.52293577977</v>
      </c>
      <c r="G31" s="7">
        <f>F31*1000000/'a1'!F31</f>
        <v>9967.9231433028272</v>
      </c>
      <c r="H31" s="7">
        <f>'a10'!C27+'a11'!L31+'a12'!H31</f>
        <v>2479.3694199999995</v>
      </c>
      <c r="I31" s="11">
        <f>'a8'!I31</f>
        <v>84</v>
      </c>
      <c r="J31" s="7">
        <f t="shared" si="2"/>
        <v>2951.6302619047615</v>
      </c>
      <c r="K31" s="7">
        <f>J31*1000000/'a1'!L31</f>
        <v>5089.2195068162382</v>
      </c>
      <c r="L31" s="7">
        <f>'a10'!D27+'a11'!Q31+'a12'!I31</f>
        <v>20.687759999999997</v>
      </c>
      <c r="M31" s="11">
        <f>'a8'!O31</f>
        <v>88.7</v>
      </c>
      <c r="N31" s="7">
        <f t="shared" si="3"/>
        <v>23.323291995490415</v>
      </c>
      <c r="O31" s="7">
        <f>N31*1000000/'a1'!R31</f>
        <v>176.45499591827937</v>
      </c>
      <c r="P31" s="7">
        <f>'a10'!E27+'a11'!V31+'a12'!J31</f>
        <v>5704.0273799999995</v>
      </c>
      <c r="Q31" s="11">
        <f>'a8'!U31</f>
        <v>87.8</v>
      </c>
      <c r="R31" s="7">
        <f t="shared" si="4"/>
        <v>6496.6143280182223</v>
      </c>
      <c r="S31" s="7">
        <f>R31*1000000/'a1'!X31</f>
        <v>7031.5386292374615</v>
      </c>
      <c r="T31" s="7">
        <f>'a10'!F27+'a11'!AA31+'a12'!K31</f>
        <v>6869.4034799999999</v>
      </c>
      <c r="U31" s="11">
        <f>'a8'!AA31</f>
        <v>89.1</v>
      </c>
      <c r="V31" s="7">
        <f t="shared" si="5"/>
        <v>7709.7682154882168</v>
      </c>
      <c r="W31" s="7">
        <f>V31*1000000/'a1'!AD31</f>
        <v>10295.999817695518</v>
      </c>
      <c r="X31" s="7">
        <f>'a10'!G27+'a11'!AF31+'a12'!L31</f>
        <v>29310.769119999997</v>
      </c>
      <c r="Y31" s="11">
        <f>'a8'!AG31</f>
        <v>88.3</v>
      </c>
      <c r="Z31" s="7">
        <f t="shared" si="6"/>
        <v>33194.529014722539</v>
      </c>
      <c r="AA31" s="7">
        <f>Z31*1000000/'a1'!AJ31</f>
        <v>4638.3507854039653</v>
      </c>
      <c r="AB31" s="7">
        <f>'a10'!H27+'a11'!AK31+'a12'!M31</f>
        <v>30909.394939999998</v>
      </c>
      <c r="AC31" s="11">
        <f>'a8'!AM31</f>
        <v>89.2</v>
      </c>
      <c r="AD31" s="7">
        <f t="shared" si="7"/>
        <v>34651.788049327355</v>
      </c>
      <c r="AE31" s="7">
        <f>AD31*1000000/'a1'!AP31</f>
        <v>3241.502794407967</v>
      </c>
      <c r="AF31" s="7">
        <f>'a10'!I27+'a11'!AP31+'a12'!N31</f>
        <v>3324.8353599999991</v>
      </c>
      <c r="AG31" s="11">
        <f>'a8'!AS31</f>
        <v>84.7</v>
      </c>
      <c r="AH31" s="7">
        <f t="shared" si="8"/>
        <v>3925.4254545454537</v>
      </c>
      <c r="AI31" s="7">
        <f>AH31*1000000/'a1'!AV31</f>
        <v>3512.3140952860936</v>
      </c>
      <c r="AJ31" s="7">
        <f>'a10'!J27+'a11'!AU31+'a12'!O31</f>
        <v>18641.636699999999</v>
      </c>
      <c r="AK31" s="11">
        <f>'a8'!AY31</f>
        <v>79.599999999999994</v>
      </c>
      <c r="AL31" s="7">
        <f t="shared" si="9"/>
        <v>23419.141582914574</v>
      </c>
      <c r="AM31" s="7">
        <f>AL31*1000000/'a1'!BB31</f>
        <v>23258.656850645122</v>
      </c>
      <c r="AN31" s="7">
        <f>'a10'!K27+'a11'!BA31+'a12'!P31</f>
        <v>87800.550600000002</v>
      </c>
      <c r="AO31" s="11">
        <f>'a8'!BE31</f>
        <v>75.7</v>
      </c>
      <c r="AP31" s="7">
        <f t="shared" si="10"/>
        <v>115984.87529722588</v>
      </c>
      <c r="AQ31" s="7">
        <f>AP31*1000000/'a1'!BH31</f>
        <v>43484.131207691498</v>
      </c>
      <c r="AR31" s="7">
        <f>'a10'!L27+'a11'!BF31+'a12'!Q31</f>
        <v>70053.843139999997</v>
      </c>
      <c r="AS31" s="11">
        <f>'a8'!BK31</f>
        <v>86.4</v>
      </c>
      <c r="AT31" s="7">
        <f t="shared" si="11"/>
        <v>81080.836967592593</v>
      </c>
      <c r="AU31" s="7">
        <f>AT31*1000000/'a1'!BN31</f>
        <v>22725.90203846899</v>
      </c>
    </row>
    <row r="32" spans="1:47" ht="18" customHeight="1">
      <c r="A32" s="1">
        <v>1994</v>
      </c>
      <c r="B32" s="7">
        <f>'a10'!B28</f>
        <v>96739</v>
      </c>
      <c r="C32" s="7">
        <v>184286</v>
      </c>
      <c r="D32" s="7">
        <f t="shared" si="0"/>
        <v>281025</v>
      </c>
      <c r="E32" s="11">
        <f>'a8'!C32</f>
        <v>88.2</v>
      </c>
      <c r="F32" s="7">
        <f t="shared" si="1"/>
        <v>318622.44897959183</v>
      </c>
      <c r="G32" s="7">
        <f>F32*1000000/'a1'!F32</f>
        <v>10986.729819921422</v>
      </c>
      <c r="H32" s="7">
        <f>'a10'!C28+'a11'!L32+'a12'!H32</f>
        <v>3621.0353099999998</v>
      </c>
      <c r="I32" s="11">
        <f>'a8'!I32</f>
        <v>84.6</v>
      </c>
      <c r="J32" s="7">
        <f t="shared" si="2"/>
        <v>4280.1835815602835</v>
      </c>
      <c r="K32" s="7">
        <f>J32*1000000/'a1'!L32</f>
        <v>7450.7169816147234</v>
      </c>
      <c r="L32" s="7">
        <f>'a10'!D28+'a11'!Q32+'a12'!I32</f>
        <v>28.880680000000002</v>
      </c>
      <c r="M32" s="11">
        <f>'a8'!O32</f>
        <v>86.3</v>
      </c>
      <c r="N32" s="7">
        <f t="shared" si="3"/>
        <v>33.465446118192354</v>
      </c>
      <c r="O32" s="7">
        <f>N32*1000000/'a1'!R32</f>
        <v>250.795852111426</v>
      </c>
      <c r="P32" s="7">
        <f>'a10'!E28+'a11'!V32+'a12'!J32</f>
        <v>5337.1870899999994</v>
      </c>
      <c r="Q32" s="11">
        <f>'a8'!U32</f>
        <v>89</v>
      </c>
      <c r="R32" s="7">
        <f t="shared" si="4"/>
        <v>5996.8394269662913</v>
      </c>
      <c r="S32" s="7">
        <f>R32*1000000/'a1'!X32</f>
        <v>6469.9827990802296</v>
      </c>
      <c r="T32" s="7">
        <f>'a10'!F28+'a11'!AA32+'a12'!K32</f>
        <v>7516.3981400000002</v>
      </c>
      <c r="U32" s="11">
        <f>'a8'!AA32</f>
        <v>90.8</v>
      </c>
      <c r="V32" s="7">
        <f t="shared" si="5"/>
        <v>8277.97151982379</v>
      </c>
      <c r="W32" s="7">
        <f>V32*1000000/'a1'!AD32</f>
        <v>11034.573498302138</v>
      </c>
      <c r="X32" s="7">
        <f>'a10'!G28+'a11'!AF32+'a12'!L32</f>
        <v>34812.706160000002</v>
      </c>
      <c r="Y32" s="11">
        <f>'a8'!AG32</f>
        <v>88.9</v>
      </c>
      <c r="Z32" s="7">
        <f t="shared" si="6"/>
        <v>39159.399505061869</v>
      </c>
      <c r="AA32" s="7">
        <f>Z32*1000000/'a1'!AJ32</f>
        <v>5444.5502435085837</v>
      </c>
      <c r="AB32" s="7">
        <f>'a10'!H28+'a11'!AK32+'a12'!M32</f>
        <v>36186.12167</v>
      </c>
      <c r="AC32" s="11">
        <f>'a8'!AM32</f>
        <v>89.3</v>
      </c>
      <c r="AD32" s="7">
        <f t="shared" si="7"/>
        <v>40521.972754759241</v>
      </c>
      <c r="AE32" s="7">
        <f>AD32*1000000/'a1'!AP32</f>
        <v>3745.3947617269641</v>
      </c>
      <c r="AF32" s="7">
        <f>'a10'!I28+'a11'!AP32+'a12'!N32</f>
        <v>4494.6724799999993</v>
      </c>
      <c r="AG32" s="11">
        <f>'a8'!AS32</f>
        <v>86</v>
      </c>
      <c r="AH32" s="7">
        <f t="shared" si="8"/>
        <v>5226.3633488372088</v>
      </c>
      <c r="AI32" s="7">
        <f>AH32*1000000/'a1'!AV32</f>
        <v>4652.9769938812251</v>
      </c>
      <c r="AJ32" s="7">
        <f>'a10'!J28+'a11'!AU32+'a12'!O32</f>
        <v>26149.749349999998</v>
      </c>
      <c r="AK32" s="11">
        <f>'a8'!AY32</f>
        <v>81.5</v>
      </c>
      <c r="AL32" s="7">
        <f t="shared" si="9"/>
        <v>32085.582024539879</v>
      </c>
      <c r="AM32" s="7">
        <f>AL32*1000000/'a1'!BB32</f>
        <v>31781.27630392975</v>
      </c>
      <c r="AN32" s="7">
        <f>'a10'!K28+'a11'!BA32+'a12'!P32</f>
        <v>93124.083300000013</v>
      </c>
      <c r="AO32" s="11">
        <f>'a8'!BE32</f>
        <v>77.3</v>
      </c>
      <c r="AP32" s="7">
        <f t="shared" si="10"/>
        <v>120471.00038809833</v>
      </c>
      <c r="AQ32" s="7">
        <f>AP32*1000000/'a1'!BH32</f>
        <v>44608.87681805429</v>
      </c>
      <c r="AR32" s="7">
        <f>'a10'!L28+'a11'!BF32+'a12'!Q32</f>
        <v>77133.671770000001</v>
      </c>
      <c r="AS32" s="11">
        <f>'a8'!BK32</f>
        <v>89.8</v>
      </c>
      <c r="AT32" s="7">
        <f t="shared" si="11"/>
        <v>85894.95742761693</v>
      </c>
      <c r="AU32" s="7">
        <f>AT32*1000000/'a1'!BN32</f>
        <v>23365.942595735105</v>
      </c>
    </row>
    <row r="33" spans="1:47" ht="18" customHeight="1">
      <c r="A33" s="1">
        <v>1995</v>
      </c>
      <c r="B33" s="7">
        <f>'a10'!B29</f>
        <v>144236</v>
      </c>
      <c r="C33" s="7">
        <v>189710</v>
      </c>
      <c r="D33" s="7">
        <f t="shared" si="0"/>
        <v>333946</v>
      </c>
      <c r="E33" s="11">
        <f>'a8'!C33</f>
        <v>90.2</v>
      </c>
      <c r="F33" s="7">
        <f t="shared" si="1"/>
        <v>370228.38137472281</v>
      </c>
      <c r="G33" s="7">
        <f>F33*1000000/'a1'!F33</f>
        <v>12634.784381843563</v>
      </c>
      <c r="H33" s="7">
        <f>'a10'!C29+'a11'!L33+'a12'!H33</f>
        <v>5724.1857800000007</v>
      </c>
      <c r="I33" s="11">
        <f>'a8'!I33</f>
        <v>85.8</v>
      </c>
      <c r="J33" s="7">
        <f t="shared" si="2"/>
        <v>6671.5451981351989</v>
      </c>
      <c r="K33" s="7">
        <f>J33*1000000/'a1'!L33</f>
        <v>11758.160861152242</v>
      </c>
      <c r="L33" s="7">
        <f>'a10'!D29+'a11'!Q33+'a12'!I33</f>
        <v>37.497840000000004</v>
      </c>
      <c r="M33" s="11">
        <f>'a8'!O33</f>
        <v>85.6</v>
      </c>
      <c r="N33" s="7">
        <f t="shared" si="3"/>
        <v>43.805887850467293</v>
      </c>
      <c r="O33" s="7">
        <f>N33*1000000/'a1'!R33</f>
        <v>325.90029275354158</v>
      </c>
      <c r="P33" s="7">
        <f>'a10'!E29+'a11'!V33+'a12'!J33</f>
        <v>7402.0254199999999</v>
      </c>
      <c r="Q33" s="11">
        <f>'a8'!U33</f>
        <v>90.5</v>
      </c>
      <c r="R33" s="7">
        <f t="shared" si="4"/>
        <v>8179.0336132596676</v>
      </c>
      <c r="S33" s="7">
        <f>R33*1000000/'a1'!X33</f>
        <v>8812.4742633061105</v>
      </c>
      <c r="T33" s="7">
        <f>'a10'!F29+'a11'!AA33+'a12'!K33</f>
        <v>12634.765319999999</v>
      </c>
      <c r="U33" s="11">
        <f>'a8'!AA33</f>
        <v>94.2</v>
      </c>
      <c r="V33" s="7">
        <f t="shared" si="5"/>
        <v>13412.702038216559</v>
      </c>
      <c r="W33" s="7">
        <f>V33*1000000/'a1'!AD33</f>
        <v>17861.145304259524</v>
      </c>
      <c r="X33" s="7">
        <f>'a10'!G29+'a11'!AF33+'a12'!L33</f>
        <v>53269.418080000003</v>
      </c>
      <c r="Y33" s="11">
        <f>'a8'!AG33</f>
        <v>90.9</v>
      </c>
      <c r="Z33" s="7">
        <f t="shared" si="6"/>
        <v>58602.220110011003</v>
      </c>
      <c r="AA33" s="7">
        <f>Z33*1000000/'a1'!AJ33</f>
        <v>8117.5290720521152</v>
      </c>
      <c r="AB33" s="7">
        <f>'a10'!H29+'a11'!AK33+'a12'!M33</f>
        <v>49731.531459999998</v>
      </c>
      <c r="AC33" s="11">
        <f>'a8'!AM33</f>
        <v>91.3</v>
      </c>
      <c r="AD33" s="7">
        <f t="shared" si="7"/>
        <v>54470.461621029572</v>
      </c>
      <c r="AE33" s="7">
        <f>AD33*1000000/'a1'!AP33</f>
        <v>4974.4173210382069</v>
      </c>
      <c r="AF33" s="7">
        <f>'a10'!I29+'a11'!AP33+'a12'!N33</f>
        <v>6219.0062400000006</v>
      </c>
      <c r="AG33" s="11">
        <f>'a8'!AS33</f>
        <v>89.1</v>
      </c>
      <c r="AH33" s="7">
        <f t="shared" si="8"/>
        <v>6979.8049831649851</v>
      </c>
      <c r="AI33" s="7">
        <f>AH33*1000000/'a1'!AV33</f>
        <v>6181.4683462471639</v>
      </c>
      <c r="AJ33" s="7">
        <f>'a10'!J29+'a11'!AU33+'a12'!O33</f>
        <v>32166.215299999996</v>
      </c>
      <c r="AK33" s="11">
        <f>'a8'!AY33</f>
        <v>87</v>
      </c>
      <c r="AL33" s="7">
        <f t="shared" si="9"/>
        <v>36972.661264367809</v>
      </c>
      <c r="AM33" s="7">
        <f>AL33*1000000/'a1'!BB33</f>
        <v>36455.467546288608</v>
      </c>
      <c r="AN33" s="7">
        <f>'a10'!K29+'a11'!BA33+'a12'!P33</f>
        <v>84015.385399999999</v>
      </c>
      <c r="AO33" s="11">
        <f>'a8'!BE33</f>
        <v>78.3</v>
      </c>
      <c r="AP33" s="7">
        <f t="shared" si="10"/>
        <v>107299.34278416347</v>
      </c>
      <c r="AQ33" s="7">
        <f>AP33*1000000/'a1'!BH33</f>
        <v>39238.836074703984</v>
      </c>
      <c r="AR33" s="7">
        <f>'a10'!L29+'a11'!BF33+'a12'!Q33</f>
        <v>90961.375259999986</v>
      </c>
      <c r="AS33" s="11">
        <f>'a8'!BK33</f>
        <v>92.2</v>
      </c>
      <c r="AT33" s="7">
        <f t="shared" si="11"/>
        <v>98656.589219088914</v>
      </c>
      <c r="AU33" s="7">
        <f>AT33*1000000/'a1'!BN33</f>
        <v>26117.660400194025</v>
      </c>
    </row>
    <row r="34" spans="1:47" ht="18" customHeight="1">
      <c r="A34" s="1">
        <v>1996</v>
      </c>
      <c r="B34" s="7">
        <f>'a10'!B30</f>
        <v>188543.2</v>
      </c>
      <c r="C34" s="7">
        <v>217813</v>
      </c>
      <c r="D34" s="7">
        <f t="shared" si="0"/>
        <v>406356.2</v>
      </c>
      <c r="E34" s="11">
        <f>'a8'!C34</f>
        <v>91.6</v>
      </c>
      <c r="F34" s="7">
        <f t="shared" si="1"/>
        <v>443620.30567685596</v>
      </c>
      <c r="G34" s="7">
        <f>F34*1000000/'a1'!F34</f>
        <v>14982.000661962569</v>
      </c>
      <c r="H34" s="7">
        <f>'a10'!C30+'a11'!L34+'a12'!H34</f>
        <v>6488.9467199999999</v>
      </c>
      <c r="I34" s="11">
        <f>'a8'!I34</f>
        <v>88</v>
      </c>
      <c r="J34" s="7">
        <f t="shared" si="2"/>
        <v>7373.8030909090912</v>
      </c>
      <c r="K34" s="7">
        <f>J34*1000000/'a1'!L34</f>
        <v>13174.610398659797</v>
      </c>
      <c r="L34" s="7">
        <f>'a10'!D30+'a11'!Q34+'a12'!I34</f>
        <v>34.012160000000002</v>
      </c>
      <c r="M34" s="11">
        <f>'a8'!O34</f>
        <v>88.2</v>
      </c>
      <c r="N34" s="7">
        <f t="shared" si="3"/>
        <v>38.562539682539679</v>
      </c>
      <c r="O34" s="7">
        <f>N34*1000000/'a1'!R34</f>
        <v>284.09748029306439</v>
      </c>
      <c r="P34" s="7">
        <f>'a10'!E30+'a11'!V34+'a12'!J34</f>
        <v>7744.3420800000004</v>
      </c>
      <c r="Q34" s="11">
        <f>'a8'!U34</f>
        <v>90.9</v>
      </c>
      <c r="R34" s="7">
        <f t="shared" si="4"/>
        <v>8519.6282508250824</v>
      </c>
      <c r="S34" s="7">
        <f>R34*1000000/'a1'!X34</f>
        <v>9147.8377098753535</v>
      </c>
      <c r="T34" s="7">
        <f>'a10'!F30+'a11'!AA34+'a12'!K34</f>
        <v>15652.53968</v>
      </c>
      <c r="U34" s="11">
        <f>'a8'!AA34</f>
        <v>95</v>
      </c>
      <c r="V34" s="7">
        <f t="shared" si="5"/>
        <v>16476.357557894735</v>
      </c>
      <c r="W34" s="7">
        <f>V34*1000000/'a1'!AD34</f>
        <v>21902.244356924308</v>
      </c>
      <c r="X34" s="7">
        <f>'a10'!G30+'a11'!AF34+'a12'!L34</f>
        <v>65763.701920000007</v>
      </c>
      <c r="Y34" s="11">
        <f>'a8'!AG34</f>
        <v>91.7</v>
      </c>
      <c r="Z34" s="7">
        <f t="shared" si="6"/>
        <v>71716.141679389315</v>
      </c>
      <c r="AA34" s="7">
        <f>Z34*1000000/'a1'!AJ34</f>
        <v>9896.1171490900597</v>
      </c>
      <c r="AB34" s="7">
        <f>'a10'!H30+'a11'!AK34+'a12'!M34</f>
        <v>56729.871039999998</v>
      </c>
      <c r="AC34" s="11">
        <f>'a8'!AM34</f>
        <v>92.7</v>
      </c>
      <c r="AD34" s="7">
        <f t="shared" si="7"/>
        <v>61197.27188781013</v>
      </c>
      <c r="AE34" s="7">
        <f>AD34*1000000/'a1'!AP34</f>
        <v>5521.7727600620638</v>
      </c>
      <c r="AF34" s="7">
        <f>'a10'!I30+'a11'!AP34+'a12'!N34</f>
        <v>6361.9537599999994</v>
      </c>
      <c r="AG34" s="11">
        <f>'a8'!AS34</f>
        <v>91.2</v>
      </c>
      <c r="AH34" s="7">
        <f t="shared" si="8"/>
        <v>6975.8264912280692</v>
      </c>
      <c r="AI34" s="7">
        <f>AH34*1000000/'a1'!AV34</f>
        <v>6150.4594366653291</v>
      </c>
      <c r="AJ34" s="7">
        <f>'a10'!J30+'a11'!AU34+'a12'!O34</f>
        <v>33210.447199999995</v>
      </c>
      <c r="AK34" s="11">
        <f>'a8'!AY34</f>
        <v>92.6</v>
      </c>
      <c r="AL34" s="7">
        <f t="shared" si="9"/>
        <v>35864.413822894167</v>
      </c>
      <c r="AM34" s="7">
        <f>AL34*1000000/'a1'!BB34</f>
        <v>35197.595378449441</v>
      </c>
      <c r="AN34" s="7">
        <f>'a10'!K30+'a11'!BA34+'a12'!P34</f>
        <v>118568.08960000001</v>
      </c>
      <c r="AO34" s="11">
        <f>'a8'!BE34</f>
        <v>82.3</v>
      </c>
      <c r="AP34" s="7">
        <f t="shared" si="10"/>
        <v>144068.15261239369</v>
      </c>
      <c r="AQ34" s="7">
        <f>AP34*1000000/'a1'!BH34</f>
        <v>51913.96326316386</v>
      </c>
      <c r="AR34" s="7">
        <f>'a10'!L30+'a11'!BF34+'a12'!Q34</f>
        <v>105647.10224000001</v>
      </c>
      <c r="AS34" s="11">
        <f>'a8'!BK34</f>
        <v>92.7</v>
      </c>
      <c r="AT34" s="7">
        <f t="shared" si="11"/>
        <v>113966.66908306365</v>
      </c>
      <c r="AU34" s="7">
        <f>AT34*1000000/'a1'!BN34</f>
        <v>29415.938108075214</v>
      </c>
    </row>
    <row r="35" spans="1:47" ht="18" customHeight="1">
      <c r="A35" s="1">
        <v>1997</v>
      </c>
      <c r="B35" s="7">
        <f>'a10'!B31</f>
        <v>225830.7</v>
      </c>
      <c r="C35" s="7">
        <v>215993</v>
      </c>
      <c r="D35" s="7">
        <f t="shared" si="0"/>
        <v>441823.7</v>
      </c>
      <c r="E35" s="11">
        <f>'a8'!C35</f>
        <v>92.7</v>
      </c>
      <c r="F35" s="7">
        <f t="shared" si="1"/>
        <v>476616.72060409928</v>
      </c>
      <c r="G35" s="7">
        <f>F35*1000000/'a1'!F35</f>
        <v>15937.188167521033</v>
      </c>
      <c r="H35" s="7">
        <f>'a10'!C31+'a11'!L35+'a12'!H35</f>
        <v>7328.8016499999994</v>
      </c>
      <c r="I35" s="11">
        <f>'a8'!I35</f>
        <v>87.9</v>
      </c>
      <c r="J35" s="7">
        <f t="shared" si="2"/>
        <v>8337.6583048919219</v>
      </c>
      <c r="K35" s="7">
        <f>J35*1000000/'a1'!L35</f>
        <v>15134.310814073275</v>
      </c>
      <c r="L35" s="7">
        <f>'a10'!D31+'a11'!Q35+'a12'!I35</f>
        <v>34.026200000000003</v>
      </c>
      <c r="M35" s="11">
        <f>'a8'!O35</f>
        <v>87.1</v>
      </c>
      <c r="N35" s="7">
        <f t="shared" si="3"/>
        <v>39.065671641791049</v>
      </c>
      <c r="O35" s="7">
        <f>N35*1000000/'a1'!R35</f>
        <v>287.0470747771119</v>
      </c>
      <c r="P35" s="7">
        <f>'a10'!E31+'a11'!V35+'a12'!J35</f>
        <v>8047.6143499999998</v>
      </c>
      <c r="Q35" s="11">
        <f>'a8'!U35</f>
        <v>91</v>
      </c>
      <c r="R35" s="7">
        <f t="shared" si="4"/>
        <v>8843.5322527472526</v>
      </c>
      <c r="S35" s="7">
        <f>R35*1000000/'a1'!X35</f>
        <v>9484.6774811157138</v>
      </c>
      <c r="T35" s="7">
        <f>'a10'!F31+'a11'!AA35+'a12'!K35</f>
        <v>17149.9401</v>
      </c>
      <c r="U35" s="11">
        <f>'a8'!AA35</f>
        <v>95.1</v>
      </c>
      <c r="V35" s="7">
        <f t="shared" si="5"/>
        <v>18033.585804416405</v>
      </c>
      <c r="W35" s="7">
        <f>V35*1000000/'a1'!AD35</f>
        <v>23964.547766632521</v>
      </c>
      <c r="X35" s="7">
        <f>'a10'!G31+'a11'!AF35+'a12'!L35</f>
        <v>79022.984400000001</v>
      </c>
      <c r="Y35" s="11">
        <f>'a8'!AG35</f>
        <v>92.7</v>
      </c>
      <c r="Z35" s="7">
        <f t="shared" si="6"/>
        <v>85245.93786407767</v>
      </c>
      <c r="AA35" s="7">
        <f>Z35*1000000/'a1'!AJ35</f>
        <v>11718.281274981942</v>
      </c>
      <c r="AB35" s="7">
        <f>'a10'!H31+'a11'!AK35+'a12'!M35</f>
        <v>63664.629050000003</v>
      </c>
      <c r="AC35" s="11">
        <f>'a8'!AM35</f>
        <v>94.3</v>
      </c>
      <c r="AD35" s="7">
        <f t="shared" si="7"/>
        <v>67512.862195121954</v>
      </c>
      <c r="AE35" s="7">
        <f>AD35*1000000/'a1'!AP35</f>
        <v>6013.0887747688239</v>
      </c>
      <c r="AF35" s="7">
        <f>'a10'!I31+'a11'!AP35+'a12'!N35</f>
        <v>6578.3631999999998</v>
      </c>
      <c r="AG35" s="11">
        <f>'a8'!AS35</f>
        <v>92</v>
      </c>
      <c r="AH35" s="7">
        <f t="shared" si="8"/>
        <v>7150.394782608696</v>
      </c>
      <c r="AI35" s="7">
        <f>AH35*1000000/'a1'!AV35</f>
        <v>6293.6524604698552</v>
      </c>
      <c r="AJ35" s="7">
        <f>'a10'!J31+'a11'!AU35+'a12'!O35</f>
        <v>31382.060250000002</v>
      </c>
      <c r="AK35" s="11">
        <f>'a8'!AY35</f>
        <v>89.8</v>
      </c>
      <c r="AL35" s="7">
        <f t="shared" si="9"/>
        <v>34946.614977728292</v>
      </c>
      <c r="AM35" s="7">
        <f>AL35*1000000/'a1'!BB35</f>
        <v>34332.003451931814</v>
      </c>
      <c r="AN35" s="7">
        <f>'a10'!K31+'a11'!BA35+'a12'!P35</f>
        <v>120267.0095</v>
      </c>
      <c r="AO35" s="11">
        <f>'a8'!BE35</f>
        <v>83.6</v>
      </c>
      <c r="AP35" s="7">
        <f t="shared" si="10"/>
        <v>143860.05921052632</v>
      </c>
      <c r="AQ35" s="7">
        <f>AP35*1000000/'a1'!BH35</f>
        <v>50836.673634246894</v>
      </c>
      <c r="AR35" s="7">
        <f>'a10'!L31+'a11'!BF35+'a12'!Q35</f>
        <v>118625.50055</v>
      </c>
      <c r="AS35" s="11">
        <f>'a8'!BK35</f>
        <v>94.4</v>
      </c>
      <c r="AT35" s="7">
        <f t="shared" si="11"/>
        <v>125662.60651483051</v>
      </c>
      <c r="AU35" s="7">
        <f>AT35*1000000/'a1'!BN35</f>
        <v>31824.734725047063</v>
      </c>
    </row>
    <row r="36" spans="1:47" ht="18" customHeight="1">
      <c r="A36" s="1">
        <v>1998</v>
      </c>
      <c r="B36" s="7">
        <f>'a10'!B32</f>
        <v>247107.4</v>
      </c>
      <c r="C36" s="7">
        <v>171421</v>
      </c>
      <c r="D36" s="7">
        <f t="shared" si="0"/>
        <v>418528.4</v>
      </c>
      <c r="E36" s="11">
        <f>'a8'!C36</f>
        <v>92.3</v>
      </c>
      <c r="F36" s="7">
        <f t="shared" si="1"/>
        <v>453443.55362946918</v>
      </c>
      <c r="G36" s="7">
        <f>F36*1000000/'a1'!F36</f>
        <v>15037.007203688374</v>
      </c>
      <c r="H36" s="7">
        <f>'a10'!C32+'a11'!L36+'a12'!H36</f>
        <v>8938.0076713991548</v>
      </c>
      <c r="I36" s="11">
        <f>'a8'!I36</f>
        <v>88.5</v>
      </c>
      <c r="J36" s="7">
        <f t="shared" si="2"/>
        <v>10099.443696496221</v>
      </c>
      <c r="K36" s="7">
        <f>J36*1000000/'a1'!L36</f>
        <v>18708.11272258086</v>
      </c>
      <c r="L36" s="7">
        <f>'a10'!D32+'a11'!Q36+'a12'!I36</f>
        <v>31.897640000000003</v>
      </c>
      <c r="M36" s="11">
        <f>'a8'!O36</f>
        <v>88.7</v>
      </c>
      <c r="N36" s="7">
        <f t="shared" si="3"/>
        <v>35.961262683201802</v>
      </c>
      <c r="O36" s="7">
        <f>N36*1000000/'a1'!R36</f>
        <v>264.80267652795061</v>
      </c>
      <c r="P36" s="7">
        <f>'a10'!E32+'a11'!V36+'a12'!J36</f>
        <v>8325.3279730399772</v>
      </c>
      <c r="Q36" s="11">
        <f>'a8'!U36</f>
        <v>92.2</v>
      </c>
      <c r="R36" s="7">
        <f t="shared" si="4"/>
        <v>9029.6398839912981</v>
      </c>
      <c r="S36" s="7">
        <f>R36*1000000/'a1'!X36</f>
        <v>9690.1599465907075</v>
      </c>
      <c r="T36" s="7">
        <f>'a10'!F32+'a11'!AA36+'a12'!K36</f>
        <v>18302.69236554797</v>
      </c>
      <c r="U36" s="11">
        <f>'a8'!AA36</f>
        <v>96</v>
      </c>
      <c r="V36" s="7">
        <f t="shared" si="5"/>
        <v>19065.304547445801</v>
      </c>
      <c r="W36" s="7">
        <f>V36*1000000/'a1'!AD36</f>
        <v>25402.454995064556</v>
      </c>
      <c r="X36" s="7">
        <f>'a10'!G32+'a11'!AF36+'a12'!L36</f>
        <v>84537.122262280434</v>
      </c>
      <c r="Y36" s="11">
        <f>'a8'!AG36</f>
        <v>93.6</v>
      </c>
      <c r="Z36" s="7">
        <f t="shared" si="6"/>
        <v>90317.438314402185</v>
      </c>
      <c r="AA36" s="7">
        <f>Z36*1000000/'a1'!AJ36</f>
        <v>12379.145142384381</v>
      </c>
      <c r="AB36" s="7">
        <f>'a10'!H32+'a11'!AK36+'a12'!M36</f>
        <v>65642.59256139239</v>
      </c>
      <c r="AC36" s="11">
        <f>'a8'!AM36</f>
        <v>94.6</v>
      </c>
      <c r="AD36" s="7">
        <f t="shared" si="7"/>
        <v>69389.632728744604</v>
      </c>
      <c r="AE36" s="7">
        <f>AD36*1000000/'a1'!AP36</f>
        <v>6105.0710127375378</v>
      </c>
      <c r="AF36" s="7">
        <f>'a10'!I32+'a11'!AP36+'a12'!N36</f>
        <v>6226.6477794583634</v>
      </c>
      <c r="AG36" s="11">
        <f>'a8'!AS36</f>
        <v>91.9</v>
      </c>
      <c r="AH36" s="7">
        <f t="shared" si="8"/>
        <v>6775.4600429361944</v>
      </c>
      <c r="AI36" s="7">
        <f>AH36*1000000/'a1'!AV36</f>
        <v>5956.5059907710711</v>
      </c>
      <c r="AJ36" s="7">
        <f>'a10'!J32+'a11'!AU36+'a12'!O36</f>
        <v>24238.58247981911</v>
      </c>
      <c r="AK36" s="11">
        <f>'a8'!AY36</f>
        <v>87.3</v>
      </c>
      <c r="AL36" s="7">
        <f t="shared" si="9"/>
        <v>27764.699289598066</v>
      </c>
      <c r="AM36" s="7">
        <f>AL36*1000000/'a1'!BB36</f>
        <v>27291.67989368079</v>
      </c>
      <c r="AN36" s="7">
        <f>'a10'!K32+'a11'!BA36+'a12'!P36</f>
        <v>85093.186970193303</v>
      </c>
      <c r="AO36" s="11">
        <f>'a8'!BE36</f>
        <v>79.7</v>
      </c>
      <c r="AP36" s="7">
        <f t="shared" si="10"/>
        <v>106766.85943562523</v>
      </c>
      <c r="AQ36" s="7">
        <f>AP36*1000000/'a1'!BH36</f>
        <v>36828.019588248499</v>
      </c>
      <c r="AR36" s="7">
        <f>'a10'!L32+'a11'!BF36+'a12'!Q36</f>
        <v>123350.14600063296</v>
      </c>
      <c r="AS36" s="11">
        <f>'a8'!BK36</f>
        <v>94.2</v>
      </c>
      <c r="AT36" s="7">
        <f t="shared" si="11"/>
        <v>130944.95329154242</v>
      </c>
      <c r="AU36" s="7">
        <f>AT36*1000000/'a1'!BN36</f>
        <v>32875.028474347178</v>
      </c>
    </row>
    <row r="37" spans="1:47" ht="18" customHeight="1">
      <c r="A37" s="1">
        <v>1999</v>
      </c>
      <c r="B37" s="7">
        <f>'a10'!B33</f>
        <v>256136</v>
      </c>
      <c r="C37" s="7">
        <v>245567</v>
      </c>
      <c r="D37" s="7">
        <f t="shared" si="0"/>
        <v>501703</v>
      </c>
      <c r="E37" s="11">
        <f>'a8'!C37</f>
        <v>93.9</v>
      </c>
      <c r="F37" s="7">
        <f t="shared" si="1"/>
        <v>534294.99467518635</v>
      </c>
      <c r="G37" s="7">
        <f>F37*1000000/'a1'!F37</f>
        <v>17574.749787728924</v>
      </c>
      <c r="H37" s="7">
        <f>'a10'!C33+'a11'!L37+'a12'!H37</f>
        <v>14815.57365731057</v>
      </c>
      <c r="I37" s="11">
        <f>'a8'!I37</f>
        <v>91.5</v>
      </c>
      <c r="J37" s="7">
        <f t="shared" si="2"/>
        <v>16191.883778481497</v>
      </c>
      <c r="K37" s="7">
        <f>J37*1000000/'a1'!L37</f>
        <v>30360.028759886482</v>
      </c>
      <c r="L37" s="7">
        <f>'a10'!D33+'a11'!Q37+'a12'!I37</f>
        <v>31.280240000000003</v>
      </c>
      <c r="M37" s="11">
        <f>'a8'!O37</f>
        <v>90.2</v>
      </c>
      <c r="N37" s="7">
        <f t="shared" si="3"/>
        <v>34.678758314855877</v>
      </c>
      <c r="O37" s="7">
        <f>N37*1000000/'a1'!R37</f>
        <v>254.4651001596398</v>
      </c>
      <c r="P37" s="7">
        <f>'a10'!E33+'a11'!V37+'a12'!J37</f>
        <v>7058.7326214028199</v>
      </c>
      <c r="Q37" s="11">
        <f>'a8'!U37</f>
        <v>94.2</v>
      </c>
      <c r="R37" s="7">
        <f t="shared" si="4"/>
        <v>7493.3467318501271</v>
      </c>
      <c r="S37" s="7">
        <f>R37*1000000/'a1'!X37</f>
        <v>8024.7109951017874</v>
      </c>
      <c r="T37" s="7">
        <f>'a10'!F33+'a11'!AA37+'a12'!K37</f>
        <v>18811.227037085588</v>
      </c>
      <c r="U37" s="11">
        <f>'a8'!AA37</f>
        <v>97.6</v>
      </c>
      <c r="V37" s="7">
        <f t="shared" si="5"/>
        <v>19273.798193735234</v>
      </c>
      <c r="W37" s="7">
        <f>V37*1000000/'a1'!AD37</f>
        <v>25677.821097674041</v>
      </c>
      <c r="X37" s="7">
        <f>'a10'!G33+'a11'!AF37+'a12'!L37</f>
        <v>86980.476451267314</v>
      </c>
      <c r="Y37" s="11">
        <f>'a8'!AG37</f>
        <v>94.7</v>
      </c>
      <c r="Z37" s="7">
        <f t="shared" si="6"/>
        <v>91848.443982330849</v>
      </c>
      <c r="AA37" s="7">
        <f>Z37*1000000/'a1'!AJ37</f>
        <v>12542.033111300427</v>
      </c>
      <c r="AB37" s="7">
        <f>'a10'!H33+'a11'!AK37+'a12'!M37</f>
        <v>66966.189043862236</v>
      </c>
      <c r="AC37" s="11">
        <f>'a8'!AM37</f>
        <v>95.2</v>
      </c>
      <c r="AD37" s="7">
        <f t="shared" si="7"/>
        <v>70342.635550275445</v>
      </c>
      <c r="AE37" s="7">
        <f>AD37*1000000/'a1'!AP37</f>
        <v>6114.220693390922</v>
      </c>
      <c r="AF37" s="7">
        <f>'a10'!I33+'a11'!AP37+'a12'!N37</f>
        <v>6404.6319324611231</v>
      </c>
      <c r="AG37" s="11">
        <f>'a8'!AS37</f>
        <v>93.3</v>
      </c>
      <c r="AH37" s="7">
        <f t="shared" si="8"/>
        <v>6864.5572695188894</v>
      </c>
      <c r="AI37" s="7">
        <f>AH37*1000000/'a1'!AV37</f>
        <v>6008.6387034848758</v>
      </c>
      <c r="AJ37" s="7">
        <f>'a10'!J33+'a11'!AU37+'a12'!O37</f>
        <v>32815.885407100584</v>
      </c>
      <c r="AK37" s="11">
        <f>'a8'!AY37</f>
        <v>90.7</v>
      </c>
      <c r="AL37" s="7">
        <f t="shared" si="9"/>
        <v>36180.689533738238</v>
      </c>
      <c r="AM37" s="7">
        <f>AL37*1000000/'a1'!BB37</f>
        <v>35662.72412849596</v>
      </c>
      <c r="AN37" s="7">
        <f>'a10'!K33+'a11'!BA37+'a12'!P37</f>
        <v>151284.69418330892</v>
      </c>
      <c r="AO37" s="11">
        <f>'a8'!BE37</f>
        <v>85.7</v>
      </c>
      <c r="AP37" s="7">
        <f t="shared" si="10"/>
        <v>176528.23125240247</v>
      </c>
      <c r="AQ37" s="7">
        <f>AP37*1000000/'a1'!BH37</f>
        <v>59785.521568928445</v>
      </c>
      <c r="AR37" s="7">
        <f>'a10'!L33+'a11'!BF37+'a12'!Q37</f>
        <v>128042.93068263085</v>
      </c>
      <c r="AS37" s="11">
        <f>'a8'!BK37</f>
        <v>95.4</v>
      </c>
      <c r="AT37" s="7">
        <f t="shared" si="11"/>
        <v>134216.90847235936</v>
      </c>
      <c r="AU37" s="7">
        <f>AT37*1000000/'a1'!BN37</f>
        <v>33459.07786541008</v>
      </c>
    </row>
    <row r="38" spans="1:47" ht="18" customHeight="1">
      <c r="A38" s="1">
        <v>2000</v>
      </c>
      <c r="B38" s="7">
        <f>'a10'!B34</f>
        <v>258028.1</v>
      </c>
      <c r="C38" s="7">
        <v>465750</v>
      </c>
      <c r="D38" s="7">
        <f t="shared" si="0"/>
        <v>723778.1</v>
      </c>
      <c r="E38" s="11">
        <f>'a8'!C38</f>
        <v>97.8</v>
      </c>
      <c r="F38" s="7">
        <f t="shared" si="1"/>
        <v>740059.40695296519</v>
      </c>
      <c r="G38" s="7">
        <f>F38*1000000/'a1'!F38</f>
        <v>24117.379868524073</v>
      </c>
      <c r="H38" s="7">
        <f>'a10'!C34+'a11'!L38+'a12'!H38</f>
        <v>28897.311323665708</v>
      </c>
      <c r="I38" s="11">
        <f>'a8'!I38</f>
        <v>99.4</v>
      </c>
      <c r="J38" s="7">
        <f t="shared" si="2"/>
        <v>29071.741774311573</v>
      </c>
      <c r="K38" s="7">
        <f>J38*1000000/'a1'!L38</f>
        <v>55063.662762964988</v>
      </c>
      <c r="L38" s="7">
        <f>'a10'!D34+'a11'!Q38+'a12'!I38</f>
        <v>36.854120000000002</v>
      </c>
      <c r="M38" s="11">
        <f>'a8'!O38</f>
        <v>94.3</v>
      </c>
      <c r="N38" s="7">
        <f t="shared" si="3"/>
        <v>39.08178154825027</v>
      </c>
      <c r="O38" s="7">
        <f>N38*1000000/'a1'!R38</f>
        <v>286.37635779475545</v>
      </c>
      <c r="P38" s="7">
        <f>'a10'!E34+'a11'!V38+'a12'!J38</f>
        <v>14466.165716688505</v>
      </c>
      <c r="Q38" s="11">
        <f>'a8'!U38</f>
        <v>97.7</v>
      </c>
      <c r="R38" s="7">
        <f t="shared" si="4"/>
        <v>14806.720283202154</v>
      </c>
      <c r="S38" s="7">
        <f>R38*1000000/'a1'!X38</f>
        <v>15856.058370075372</v>
      </c>
      <c r="T38" s="7">
        <f>'a10'!F34+'a11'!AA38+'a12'!K38</f>
        <v>19380.369406661193</v>
      </c>
      <c r="U38" s="11">
        <f>'a8'!AA38</f>
        <v>100.8</v>
      </c>
      <c r="V38" s="7">
        <f t="shared" si="5"/>
        <v>19226.556951052771</v>
      </c>
      <c r="W38" s="7">
        <f>V38*1000000/'a1'!AD38</f>
        <v>25617.750099002118</v>
      </c>
      <c r="X38" s="7">
        <f>'a10'!G34+'a11'!AF38+'a12'!L38</f>
        <v>89557.106391111593</v>
      </c>
      <c r="Y38" s="11">
        <f>'a8'!AG38</f>
        <v>96.8</v>
      </c>
      <c r="Z38" s="7">
        <f t="shared" si="6"/>
        <v>92517.671891644219</v>
      </c>
      <c r="AA38" s="7">
        <f>Z38*1000000/'a1'!AJ38</f>
        <v>12575.545479593955</v>
      </c>
      <c r="AB38" s="7">
        <f>'a10'!H34+'a11'!AK38+'a12'!M38</f>
        <v>71909.155883738655</v>
      </c>
      <c r="AC38" s="11">
        <f>'a8'!AM38</f>
        <v>96.8</v>
      </c>
      <c r="AD38" s="7">
        <f t="shared" si="7"/>
        <v>74286.318061713479</v>
      </c>
      <c r="AE38" s="7">
        <f>AD38*1000000/'a1'!AP38</f>
        <v>6358.3389663111575</v>
      </c>
      <c r="AF38" s="7">
        <f>'a10'!I34+'a11'!AP38+'a12'!N38</f>
        <v>7570.0539995572963</v>
      </c>
      <c r="AG38" s="11">
        <f>'a8'!AS38</f>
        <v>95.4</v>
      </c>
      <c r="AH38" s="7">
        <f t="shared" si="8"/>
        <v>7935.0670854898281</v>
      </c>
      <c r="AI38" s="7">
        <f>AH38*1000000/'a1'!AV38</f>
        <v>6916.2182294542363</v>
      </c>
      <c r="AJ38" s="7">
        <f>'a10'!J34+'a11'!AU38+'a12'!O38</f>
        <v>50324.882628258274</v>
      </c>
      <c r="AK38" s="11">
        <f>'a8'!AY38</f>
        <v>97.2</v>
      </c>
      <c r="AL38" s="7">
        <f t="shared" si="9"/>
        <v>51774.570605203982</v>
      </c>
      <c r="AM38" s="7">
        <f>AL38*1000000/'a1'!BB38</f>
        <v>51385.836750188799</v>
      </c>
      <c r="AN38" s="7">
        <f>'a10'!K34+'a11'!BA38+'a12'!P38</f>
        <v>298302.45371276711</v>
      </c>
      <c r="AO38" s="11">
        <f>'a8'!BE38</f>
        <v>99.9</v>
      </c>
      <c r="AP38" s="7">
        <f t="shared" si="10"/>
        <v>298601.0547675346</v>
      </c>
      <c r="AQ38" s="7">
        <f>AP38*1000000/'a1'!BH38</f>
        <v>99394.598747331111</v>
      </c>
      <c r="AR38" s="7">
        <f>'a10'!L34+'a11'!BF38+'a12'!Q38</f>
        <v>154722.998853072</v>
      </c>
      <c r="AS38" s="11">
        <f>'a8'!BK38</f>
        <v>99.1</v>
      </c>
      <c r="AT38" s="7">
        <f t="shared" si="11"/>
        <v>156128.15222307973</v>
      </c>
      <c r="AU38" s="7">
        <f>AT38*1000000/'a1'!BN38</f>
        <v>38652.94925594228</v>
      </c>
    </row>
    <row r="39" spans="1:47" ht="18" customHeight="1">
      <c r="A39" s="1">
        <v>2001</v>
      </c>
      <c r="B39" s="7">
        <f>'a10'!B35</f>
        <v>267112.7</v>
      </c>
      <c r="C39" s="7">
        <v>396760</v>
      </c>
      <c r="D39" s="7">
        <f t="shared" si="0"/>
        <v>663872.69999999995</v>
      </c>
      <c r="E39" s="11">
        <f>'a8'!C39</f>
        <v>98.9</v>
      </c>
      <c r="F39" s="7">
        <f t="shared" si="1"/>
        <v>671256.52173913026</v>
      </c>
      <c r="G39" s="7">
        <f>F39*1000000/'a1'!F39</f>
        <v>21640.158900543287</v>
      </c>
      <c r="H39" s="7">
        <f>'a10'!C35+'a11'!L39+'a12'!H39</f>
        <v>24422.485283967952</v>
      </c>
      <c r="I39" s="11">
        <f>'a8'!I39</f>
        <v>99.6</v>
      </c>
      <c r="J39" s="7">
        <f t="shared" si="2"/>
        <v>24520.56755418469</v>
      </c>
      <c r="K39" s="7">
        <f>J39*1000000/'a1'!L39</f>
        <v>46971.297895314448</v>
      </c>
      <c r="L39" s="7">
        <f>'a10'!D35+'a11'!Q39+'a12'!I39</f>
        <v>28.727240000000005</v>
      </c>
      <c r="M39" s="11">
        <f>'a8'!O39</f>
        <v>97.1</v>
      </c>
      <c r="N39" s="7">
        <f t="shared" si="3"/>
        <v>29.585211122554071</v>
      </c>
      <c r="O39" s="7">
        <f>N39*1000000/'a1'!R39</f>
        <v>216.48296263475902</v>
      </c>
      <c r="P39" s="7">
        <f>'a10'!E35+'a11'!V39+'a12'!J39</f>
        <v>12141.708557782707</v>
      </c>
      <c r="Q39" s="11">
        <f>'a8'!U39</f>
        <v>99.5</v>
      </c>
      <c r="R39" s="7">
        <f t="shared" si="4"/>
        <v>12202.722168625838</v>
      </c>
      <c r="S39" s="7">
        <f>R39*1000000/'a1'!X39</f>
        <v>13086.674697760787</v>
      </c>
      <c r="T39" s="7">
        <f>'a10'!F35+'a11'!AA39+'a12'!K39</f>
        <v>19170.599716654619</v>
      </c>
      <c r="U39" s="11">
        <f>'a8'!AA39</f>
        <v>102.2</v>
      </c>
      <c r="V39" s="7">
        <f t="shared" si="5"/>
        <v>18757.925358761859</v>
      </c>
      <c r="W39" s="7">
        <f>V39*1000000/'a1'!AD39</f>
        <v>25017.205043420669</v>
      </c>
      <c r="X39" s="7">
        <f>'a10'!G35+'a11'!AF39+'a12'!L39</f>
        <v>89298.570007811228</v>
      </c>
      <c r="Y39" s="11">
        <f>'a8'!AG39</f>
        <v>98.2</v>
      </c>
      <c r="Z39" s="7">
        <f t="shared" si="6"/>
        <v>90935.407339929967</v>
      </c>
      <c r="AA39" s="7">
        <f>Z39*1000000/'a1'!AJ39</f>
        <v>12294.664386968345</v>
      </c>
      <c r="AB39" s="7">
        <f>'a10'!H35+'a11'!AK39+'a12'!M39</f>
        <v>67464.97657781787</v>
      </c>
      <c r="AC39" s="11">
        <f>'a8'!AM39</f>
        <v>97.9</v>
      </c>
      <c r="AD39" s="7">
        <f t="shared" si="7"/>
        <v>68912.131335871163</v>
      </c>
      <c r="AE39" s="7">
        <f>AD39*1000000/'a1'!AP39</f>
        <v>5792.5597569563133</v>
      </c>
      <c r="AF39" s="7">
        <f>'a10'!I35+'a11'!AP39+'a12'!N39</f>
        <v>6243.0535898991948</v>
      </c>
      <c r="AG39" s="11">
        <f>'a8'!AS39</f>
        <v>97.7</v>
      </c>
      <c r="AH39" s="7">
        <f t="shared" si="8"/>
        <v>6390.0241452397077</v>
      </c>
      <c r="AI39" s="7">
        <f>AH39*1000000/'a1'!AV39</f>
        <v>5549.5984982614864</v>
      </c>
      <c r="AJ39" s="7">
        <f>'a10'!J35+'a11'!AU39+'a12'!O39</f>
        <v>39168.120471796727</v>
      </c>
      <c r="AK39" s="11">
        <f>'a8'!AY39</f>
        <v>96.1</v>
      </c>
      <c r="AL39" s="7">
        <f t="shared" si="9"/>
        <v>40757.669585636555</v>
      </c>
      <c r="AM39" s="7">
        <f>AL39*1000000/'a1'!BB39</f>
        <v>40748.664130863639</v>
      </c>
      <c r="AN39" s="7">
        <f>'a10'!K35+'a11'!BA39+'a12'!P39</f>
        <v>258380.25966597028</v>
      </c>
      <c r="AO39" s="11">
        <f>'a8'!BE39</f>
        <v>102.6</v>
      </c>
      <c r="AP39" s="7">
        <f t="shared" si="10"/>
        <v>251832.61176020495</v>
      </c>
      <c r="AQ39" s="7">
        <f>AP39*1000000/'a1'!BH39</f>
        <v>82351.606207619174</v>
      </c>
      <c r="AR39" s="7">
        <f>'a10'!L35+'a11'!BF39+'a12'!Q39</f>
        <v>159178.45055472408</v>
      </c>
      <c r="AS39" s="11">
        <f>'a8'!BK39</f>
        <v>100.1</v>
      </c>
      <c r="AT39" s="7">
        <f t="shared" si="11"/>
        <v>159019.43112360049</v>
      </c>
      <c r="AU39" s="7">
        <f>AT39*1000000/'a1'!BN39</f>
        <v>39011.07266938562</v>
      </c>
    </row>
    <row r="40" spans="1:47" ht="18" customHeight="1">
      <c r="A40" s="1">
        <v>2002</v>
      </c>
      <c r="B40" s="7">
        <f>'a10'!B36</f>
        <v>270854.59999999998</v>
      </c>
      <c r="C40" s="7">
        <v>375276</v>
      </c>
      <c r="D40" s="7">
        <f t="shared" si="0"/>
        <v>646130.6</v>
      </c>
      <c r="E40" s="11">
        <f>'a8'!C40</f>
        <v>100</v>
      </c>
      <c r="F40" s="7">
        <f t="shared" si="1"/>
        <v>646130.6</v>
      </c>
      <c r="G40" s="7">
        <f>F40*1000000/'a1'!F40</f>
        <v>20607.823215257577</v>
      </c>
      <c r="H40" s="7">
        <f>'a10'!C36+'a11'!L40+'a12'!H40</f>
        <v>25632.861433647293</v>
      </c>
      <c r="I40" s="11">
        <f>'a8'!I40</f>
        <v>100</v>
      </c>
      <c r="J40" s="7">
        <f t="shared" ref="J40:J44" si="12">H40/I40*100</f>
        <v>25632.861433647293</v>
      </c>
      <c r="K40" s="7">
        <f>J40*1000000/'a1'!L40</f>
        <v>49338.463794551804</v>
      </c>
      <c r="L40" s="7">
        <f>'a10'!D36+'a11'!Q40+'a12'!I40</f>
        <v>28.542880000000007</v>
      </c>
      <c r="M40" s="11">
        <f>'a8'!O40</f>
        <v>100</v>
      </c>
      <c r="N40" s="7">
        <f t="shared" ref="N40:N46" si="13">L40/M40*100</f>
        <v>28.542880000000011</v>
      </c>
      <c r="O40" s="7">
        <f>N40*1000000/'a1'!R40</f>
        <v>208.53093310733811</v>
      </c>
      <c r="P40" s="7">
        <f>'a10'!E36+'a11'!V40+'a12'!J40</f>
        <v>9818.2174458623558</v>
      </c>
      <c r="Q40" s="11">
        <f>'a8'!U40</f>
        <v>100</v>
      </c>
      <c r="R40" s="7">
        <f t="shared" ref="R40:R45" si="14">P40/Q40*100</f>
        <v>9818.2174458623558</v>
      </c>
      <c r="S40" s="7">
        <f>R40*1000000/'a1'!X40</f>
        <v>10500.598862972633</v>
      </c>
      <c r="T40" s="7">
        <f>'a10'!F36+'a11'!AA40+'a12'!K40</f>
        <v>19457.577546722248</v>
      </c>
      <c r="U40" s="11">
        <f>'a8'!AA40</f>
        <v>100</v>
      </c>
      <c r="V40" s="7">
        <f t="shared" ref="V40:V45" si="15">T40/U40*100</f>
        <v>19457.577546722248</v>
      </c>
      <c r="W40" s="7">
        <f>V40*1000000/'a1'!AD40</f>
        <v>25966.598935213209</v>
      </c>
      <c r="X40" s="7">
        <f>'a10'!G36+'a11'!AF40+'a12'!L40</f>
        <v>90337.107943209616</v>
      </c>
      <c r="Y40" s="11">
        <f>'a8'!AG40</f>
        <v>100</v>
      </c>
      <c r="Z40" s="7">
        <f t="shared" ref="Z40:Z45" si="16">X40/Y40*100</f>
        <v>90337.107943209616</v>
      </c>
      <c r="AA40" s="7">
        <f>Z40*1000000/'a1'!AJ40</f>
        <v>12140.328622259685</v>
      </c>
      <c r="AB40" s="7">
        <f>'a10'!H36+'a11'!AK40+'a12'!M40</f>
        <v>67438.830292712199</v>
      </c>
      <c r="AC40" s="11">
        <f>'a8'!AM40</f>
        <v>100</v>
      </c>
      <c r="AD40" s="7">
        <f t="shared" ref="AD40:AD45" si="17">AB40/AC40*100</f>
        <v>67438.830292712199</v>
      </c>
      <c r="AE40" s="7">
        <f>AD40*1000000/'a1'!AP40</f>
        <v>5577.5923035758324</v>
      </c>
      <c r="AF40" s="7">
        <f>'a10'!I36+'a11'!AP40+'a12'!N40</f>
        <v>6182.0236979585861</v>
      </c>
      <c r="AG40" s="11">
        <f>'a8'!AS40</f>
        <v>100</v>
      </c>
      <c r="AH40" s="7">
        <f t="shared" ref="AH40:AH45" si="18">AF40/AG40*100</f>
        <v>6182.0236979585861</v>
      </c>
      <c r="AI40" s="7">
        <f>AH40*1000000/'a1'!AV40</f>
        <v>5344.9370688022582</v>
      </c>
      <c r="AJ40" s="7">
        <f>'a10'!J36+'a11'!AU40+'a12'!O40</f>
        <v>39280.437723707277</v>
      </c>
      <c r="AK40" s="11">
        <f>'a8'!AY40</f>
        <v>100</v>
      </c>
      <c r="AL40" s="7">
        <f t="shared" ref="AL40:AL45" si="19">AJ40/AK40*100</f>
        <v>39280.437723707277</v>
      </c>
      <c r="AM40" s="7">
        <f>AL40*1000000/'a1'!BB40</f>
        <v>39406.499114374157</v>
      </c>
      <c r="AN40" s="7">
        <f>'a10'!K36+'a11'!BA40+'a12'!P40</f>
        <v>253126.66929817761</v>
      </c>
      <c r="AO40" s="11">
        <f>'a8'!BE40</f>
        <v>100</v>
      </c>
      <c r="AP40" s="7">
        <f t="shared" ref="AP40:AP45" si="20">AN40/AO40*100</f>
        <v>253126.66929817761</v>
      </c>
      <c r="AQ40" s="7">
        <f>AP40*1000000/'a1'!BH40</f>
        <v>80913.432483616867</v>
      </c>
      <c r="AR40" s="7">
        <f>'a10'!L36+'a11'!BF40+'a12'!Q40</f>
        <v>147344.26126627836</v>
      </c>
      <c r="AS40" s="11">
        <f>'a8'!BK40</f>
        <v>100</v>
      </c>
      <c r="AT40" s="7">
        <f t="shared" ref="AT40:AT45" si="21">AR40/AS40*100</f>
        <v>147344.26126627836</v>
      </c>
      <c r="AU40" s="7">
        <f>AT40*1000000/'a1'!BN40</f>
        <v>35953.602129111605</v>
      </c>
    </row>
    <row r="41" spans="1:47" ht="18" customHeight="1">
      <c r="A41" s="1">
        <v>2003</v>
      </c>
      <c r="B41" s="7">
        <f>'a10'!B37</f>
        <v>266507.90000000002</v>
      </c>
      <c r="C41" s="7">
        <v>465083</v>
      </c>
      <c r="D41" s="7">
        <f t="shared" si="0"/>
        <v>731590.9</v>
      </c>
      <c r="E41" s="11">
        <f>'a8'!C41</f>
        <v>103.3</v>
      </c>
      <c r="F41" s="7">
        <f t="shared" si="1"/>
        <v>708219.65150048409</v>
      </c>
      <c r="G41" s="7">
        <f>F41*1000000/'a1'!F41</f>
        <v>22383.913975729967</v>
      </c>
      <c r="H41" s="7">
        <f>'a10'!C37+'a11'!L41+'a12'!H41</f>
        <v>25080.640402546996</v>
      </c>
      <c r="I41" s="11">
        <f>'a8'!I41</f>
        <v>104</v>
      </c>
      <c r="J41" s="7">
        <f t="shared" si="12"/>
        <v>24116.000387064421</v>
      </c>
      <c r="K41" s="7">
        <f>J41*1000000/'a1'!L41</f>
        <v>46509.296434205862</v>
      </c>
      <c r="L41" s="7">
        <f>'a10'!D37+'a11'!Q41+'a12'!I41</f>
        <v>31.018800000000002</v>
      </c>
      <c r="M41" s="11">
        <f>'a8'!O41</f>
        <v>100.5</v>
      </c>
      <c r="N41" s="7">
        <f t="shared" si="13"/>
        <v>30.864477611940298</v>
      </c>
      <c r="O41" s="7">
        <f>N41*1000000/'a1'!R41</f>
        <v>224.92532201295938</v>
      </c>
      <c r="P41" s="7">
        <f>'a10'!E37+'a11'!V41+'a12'!J41</f>
        <v>8264.046514284064</v>
      </c>
      <c r="Q41" s="11">
        <f>'a8'!U41</f>
        <v>105.1</v>
      </c>
      <c r="R41" s="7">
        <f t="shared" si="14"/>
        <v>7863.031887996256</v>
      </c>
      <c r="S41" s="7">
        <f>R41*1000000/'a1'!X41</f>
        <v>8387.3145320821804</v>
      </c>
      <c r="T41" s="7">
        <f>'a10'!F37+'a11'!AA41+'a12'!K41</f>
        <v>19401.001369331894</v>
      </c>
      <c r="U41" s="11">
        <f>'a8'!AA41</f>
        <v>102.8</v>
      </c>
      <c r="V41" s="7">
        <f t="shared" si="15"/>
        <v>18872.56942542013</v>
      </c>
      <c r="W41" s="7">
        <f>V41*1000000/'a1'!AD41</f>
        <v>25183.942418984174</v>
      </c>
      <c r="X41" s="7">
        <f>'a10'!G37+'a11'!AF41+'a12'!L41</f>
        <v>89949.469900513621</v>
      </c>
      <c r="Y41" s="11">
        <f>'a8'!AG41</f>
        <v>102.6</v>
      </c>
      <c r="Z41" s="7">
        <f t="shared" si="16"/>
        <v>87670.048635978193</v>
      </c>
      <c r="AA41" s="7">
        <f>Z41*1000000/'a1'!AJ41</f>
        <v>11711.454166651509</v>
      </c>
      <c r="AB41" s="7">
        <f>'a10'!H37+'a11'!AK41+'a12'!M41</f>
        <v>68887.80968643674</v>
      </c>
      <c r="AC41" s="11">
        <f>'a8'!AM41</f>
        <v>101.8</v>
      </c>
      <c r="AD41" s="7">
        <f t="shared" si="17"/>
        <v>67669.754112413313</v>
      </c>
      <c r="AE41" s="7">
        <f>AD41*1000000/'a1'!AP41</f>
        <v>5527.5482022344477</v>
      </c>
      <c r="AF41" s="7">
        <f>'a10'!I37+'a11'!AP41+'a12'!N41</f>
        <v>6716.0348026364882</v>
      </c>
      <c r="AG41" s="11">
        <f>'a8'!AS41</f>
        <v>101.1</v>
      </c>
      <c r="AH41" s="7">
        <f t="shared" si="18"/>
        <v>6642.9622182358944</v>
      </c>
      <c r="AI41" s="7">
        <f>AH41*1000000/'a1'!AV41</f>
        <v>5707.899783588251</v>
      </c>
      <c r="AJ41" s="7">
        <f>'a10'!J37+'a11'!AU41+'a12'!O41</f>
        <v>47009.88254622135</v>
      </c>
      <c r="AK41" s="11">
        <f>'a8'!AY41</f>
        <v>102</v>
      </c>
      <c r="AL41" s="7">
        <f t="shared" si="19"/>
        <v>46088.120143354259</v>
      </c>
      <c r="AM41" s="7">
        <f>AL41*1000000/'a1'!BB41</f>
        <v>46250.784151214073</v>
      </c>
      <c r="AN41" s="7">
        <f>'a10'!K37+'a11'!BA41+'a12'!P41</f>
        <v>321138.70733302471</v>
      </c>
      <c r="AO41" s="11">
        <f>'a8'!BE41</f>
        <v>109.5</v>
      </c>
      <c r="AP41" s="7">
        <f t="shared" si="20"/>
        <v>293277.35829499975</v>
      </c>
      <c r="AQ41" s="7">
        <f>AP41*1000000/'a1'!BH41</f>
        <v>92127.199473455315</v>
      </c>
      <c r="AR41" s="7">
        <f>'a10'!L37+'a11'!BF41+'a12'!Q41</f>
        <v>163947.77915645877</v>
      </c>
      <c r="AS41" s="11">
        <f>'a8'!BK41</f>
        <v>103</v>
      </c>
      <c r="AT41" s="7">
        <f t="shared" si="21"/>
        <v>159172.60112277549</v>
      </c>
      <c r="AU41" s="7">
        <f>AT41*1000000/'a1'!BN41</f>
        <v>38611.671737207071</v>
      </c>
    </row>
    <row r="42" spans="1:47" ht="18" customHeight="1">
      <c r="A42" s="1">
        <v>2004</v>
      </c>
      <c r="B42" s="7">
        <f>'a10'!B38</f>
        <v>282528.59999999998</v>
      </c>
      <c r="C42" s="7">
        <v>566179</v>
      </c>
      <c r="D42" s="7">
        <f t="shared" si="0"/>
        <v>848707.6</v>
      </c>
      <c r="E42" s="11">
        <f>'a8'!C42</f>
        <v>106.6</v>
      </c>
      <c r="F42" s="7">
        <f t="shared" si="1"/>
        <v>796160.97560975607</v>
      </c>
      <c r="G42" s="7">
        <f>F42*1000000/'a1'!F42</f>
        <v>24926.240622138244</v>
      </c>
      <c r="H42" s="7">
        <f>'a10'!C38+'a11'!L42+'a12'!H42</f>
        <v>35896.015457549765</v>
      </c>
      <c r="I42" s="11">
        <f>'a8'!I42</f>
        <v>112.8</v>
      </c>
      <c r="J42" s="7">
        <f t="shared" si="12"/>
        <v>31822.708738962559</v>
      </c>
      <c r="K42" s="7">
        <f>J42*1000000/'a1'!L42</f>
        <v>61499.455478459742</v>
      </c>
      <c r="L42" s="7">
        <f>'a10'!D38+'a11'!Q42+'a12'!I42</f>
        <v>46.371360000000003</v>
      </c>
      <c r="M42" s="11">
        <f>'a8'!O42</f>
        <v>102.7</v>
      </c>
      <c r="N42" s="7">
        <f t="shared" si="13"/>
        <v>45.152249269717629</v>
      </c>
      <c r="O42" s="7">
        <f>N42*1000000/'a1'!R42</f>
        <v>327.96496992691158</v>
      </c>
      <c r="P42" s="7">
        <f>'a10'!E38+'a11'!V42+'a12'!J42</f>
        <v>8854.8303323953551</v>
      </c>
      <c r="Q42" s="11">
        <f>'a8'!U42</f>
        <v>107.7</v>
      </c>
      <c r="R42" s="7">
        <f t="shared" si="14"/>
        <v>8221.7551832825939</v>
      </c>
      <c r="S42" s="7">
        <f>R42*1000000/'a1'!X42</f>
        <v>8752.3581433660147</v>
      </c>
      <c r="T42" s="7">
        <f>'a10'!F38+'a11'!AA42+'a12'!K42</f>
        <v>21702.402359813328</v>
      </c>
      <c r="U42" s="11">
        <f>'a8'!AA42</f>
        <v>105.8</v>
      </c>
      <c r="V42" s="7">
        <f t="shared" si="15"/>
        <v>20512.667636874601</v>
      </c>
      <c r="W42" s="7">
        <f>V42*1000000/'a1'!AD42</f>
        <v>27373.25354648324</v>
      </c>
      <c r="X42" s="7">
        <f>'a10'!G38+'a11'!AF42+'a12'!L42</f>
        <v>100239.26458461236</v>
      </c>
      <c r="Y42" s="11">
        <f>'a8'!AG42</f>
        <v>104.7</v>
      </c>
      <c r="Z42" s="7">
        <f t="shared" si="16"/>
        <v>95739.507721692804</v>
      </c>
      <c r="AA42" s="7">
        <f>Z42*1000000/'a1'!AJ42</f>
        <v>12704.406811913012</v>
      </c>
      <c r="AB42" s="7">
        <f>'a10'!H38+'a11'!AK42+'a12'!M42</f>
        <v>83374.083103921585</v>
      </c>
      <c r="AC42" s="11">
        <f>'a8'!AM42</f>
        <v>103.9</v>
      </c>
      <c r="AD42" s="7">
        <f t="shared" si="17"/>
        <v>80244.54581705638</v>
      </c>
      <c r="AE42" s="7">
        <f>AD42*1000000/'a1'!AP42</f>
        <v>6476.2442733443622</v>
      </c>
      <c r="AF42" s="7">
        <f>'a10'!I38+'a11'!AP42+'a12'!N42</f>
        <v>8905.1660889784762</v>
      </c>
      <c r="AG42" s="11">
        <f>'a8'!AS42</f>
        <v>105</v>
      </c>
      <c r="AH42" s="7">
        <f t="shared" si="18"/>
        <v>8481.110560931882</v>
      </c>
      <c r="AI42" s="7">
        <f>AH42*1000000/'a1'!AV42</f>
        <v>7226.786189214652</v>
      </c>
      <c r="AJ42" s="7">
        <f>'a10'!J38+'a11'!AU42+'a12'!O42</f>
        <v>58652.460900206832</v>
      </c>
      <c r="AK42" s="11">
        <f>'a8'!AY42</f>
        <v>108.1</v>
      </c>
      <c r="AL42" s="7">
        <f t="shared" si="19"/>
        <v>54257.595652365249</v>
      </c>
      <c r="AM42" s="7">
        <f>AL42*1000000/'a1'!BB42</f>
        <v>54396.469839866426</v>
      </c>
      <c r="AN42" s="7">
        <f>'a10'!K38+'a11'!BA42+'a12'!P42</f>
        <v>364486.33681214345</v>
      </c>
      <c r="AO42" s="11">
        <f>'a8'!BE42</f>
        <v>116</v>
      </c>
      <c r="AP42" s="7">
        <f t="shared" si="20"/>
        <v>314212.35932081332</v>
      </c>
      <c r="AQ42" s="7">
        <f>AP42*1000000/'a1'!BH42</f>
        <v>96994.959769917172</v>
      </c>
      <c r="AR42" s="7">
        <f>'a10'!L38+'a11'!BF42+'a12'!Q42</f>
        <v>176869.70111526214</v>
      </c>
      <c r="AS42" s="11">
        <f>'a8'!BK42</f>
        <v>107.6</v>
      </c>
      <c r="AT42" s="7">
        <f t="shared" si="21"/>
        <v>164377.04564615441</v>
      </c>
      <c r="AU42" s="7">
        <f>AT42*1000000/'a1'!BN42</f>
        <v>39559.643924593802</v>
      </c>
    </row>
    <row r="43" spans="1:47" ht="18" customHeight="1">
      <c r="A43" s="1">
        <v>2005</v>
      </c>
      <c r="B43" s="7">
        <f>'a10'!B39</f>
        <v>256050.5</v>
      </c>
      <c r="C43" s="7">
        <v>805761</v>
      </c>
      <c r="D43" s="7">
        <f t="shared" si="0"/>
        <v>1061811.5</v>
      </c>
      <c r="E43" s="11">
        <f>'a8'!C43</f>
        <v>110.1</v>
      </c>
      <c r="F43" s="7">
        <f t="shared" si="1"/>
        <v>964406.44868301554</v>
      </c>
      <c r="G43" s="7">
        <f>F43*1000000/'a1'!F43</f>
        <v>29908.519082106603</v>
      </c>
      <c r="H43" s="7">
        <f>'a10'!C39+'a11'!L43+'a12'!H43</f>
        <v>78450.65389203529</v>
      </c>
      <c r="I43" s="11">
        <f>'a8'!I43</f>
        <v>124.8</v>
      </c>
      <c r="J43" s="7">
        <f t="shared" si="12"/>
        <v>62861.100875028271</v>
      </c>
      <c r="K43" s="7">
        <f>J43*1000000/'a1'!L43</f>
        <v>122211.55268755388</v>
      </c>
      <c r="L43" s="7">
        <f>'a10'!D39+'a11'!Q43+'a12'!I43</f>
        <v>60.24212</v>
      </c>
      <c r="M43" s="11">
        <f>'a8'!O43</f>
        <v>104.5</v>
      </c>
      <c r="N43" s="7">
        <f t="shared" si="13"/>
        <v>57.647961722488041</v>
      </c>
      <c r="O43" s="7">
        <f>N43*1000000/'a1'!R43</f>
        <v>417.57242926723433</v>
      </c>
      <c r="P43" s="7">
        <f>'a10'!E39+'a11'!V43+'a12'!J43</f>
        <v>9309.6096350897678</v>
      </c>
      <c r="Q43" s="11">
        <f>'a8'!U43</f>
        <v>111.4</v>
      </c>
      <c r="R43" s="7">
        <f t="shared" si="14"/>
        <v>8356.9206778184616</v>
      </c>
      <c r="S43" s="7">
        <f>R43*1000000/'a1'!X43</f>
        <v>8909.8575260261168</v>
      </c>
      <c r="T43" s="7">
        <f>'a10'!F39+'a11'!AA43+'a12'!K43</f>
        <v>21254.19093319324</v>
      </c>
      <c r="U43" s="11">
        <f>'a8'!AA43</f>
        <v>109.2</v>
      </c>
      <c r="V43" s="7">
        <f t="shared" si="15"/>
        <v>19463.54481061652</v>
      </c>
      <c r="W43" s="7">
        <f>V43*1000000/'a1'!AD43</f>
        <v>26022.173392449487</v>
      </c>
      <c r="X43" s="7">
        <f>'a10'!G39+'a11'!AF43+'a12'!L43</f>
        <v>97439.422162170187</v>
      </c>
      <c r="Y43" s="11">
        <f>'a8'!AG43</f>
        <v>106.5</v>
      </c>
      <c r="Z43" s="7">
        <f t="shared" si="16"/>
        <v>91492.415175746661</v>
      </c>
      <c r="AA43" s="7">
        <f>Z43*1000000/'a1'!AJ43</f>
        <v>12067.197198139975</v>
      </c>
      <c r="AB43" s="7">
        <f>'a10'!H39+'a11'!AK43+'a12'!M43</f>
        <v>89597.94577319079</v>
      </c>
      <c r="AC43" s="11">
        <f>'a8'!AM43</f>
        <v>105.3</v>
      </c>
      <c r="AD43" s="7">
        <f t="shared" si="17"/>
        <v>85088.267590874442</v>
      </c>
      <c r="AE43" s="7">
        <f>AD43*1000000/'a1'!AP43</f>
        <v>6791.5874544138187</v>
      </c>
      <c r="AF43" s="7">
        <f>'a10'!I39+'a11'!AP43+'a12'!N43</f>
        <v>10859.0296958094</v>
      </c>
      <c r="AG43" s="11">
        <f>'a8'!AS43</f>
        <v>107.3</v>
      </c>
      <c r="AH43" s="7">
        <f t="shared" si="18"/>
        <v>10120.251347445852</v>
      </c>
      <c r="AI43" s="7">
        <f>AH43*1000000/'a1'!AV43</f>
        <v>8588.8506819953927</v>
      </c>
      <c r="AJ43" s="7">
        <f>'a10'!J39+'a11'!AU43+'a12'!O43</f>
        <v>76679.341654154661</v>
      </c>
      <c r="AK43" s="11">
        <f>'a8'!AY43</f>
        <v>113.1</v>
      </c>
      <c r="AL43" s="7">
        <f t="shared" si="19"/>
        <v>67797.826396246383</v>
      </c>
      <c r="AM43" s="7">
        <f>AL43*1000000/'a1'!BB43</f>
        <v>68235.969556770404</v>
      </c>
      <c r="AN43" s="7">
        <f>'a10'!K39+'a11'!BA43+'a12'!P43</f>
        <v>465967.22343996092</v>
      </c>
      <c r="AO43" s="11">
        <f>'a8'!BE43</f>
        <v>128.6</v>
      </c>
      <c r="AP43" s="7">
        <f t="shared" si="20"/>
        <v>362338.43191287789</v>
      </c>
      <c r="AQ43" s="7">
        <f>AP43*1000000/'a1'!BH43</f>
        <v>109065.80937718315</v>
      </c>
      <c r="AR43" s="7">
        <f>'a10'!L39+'a11'!BF43+'a12'!Q43</f>
        <v>198151.09273271239</v>
      </c>
      <c r="AS43" s="11">
        <f>'a8'!BK43</f>
        <v>110.5</v>
      </c>
      <c r="AT43" s="7">
        <f t="shared" si="21"/>
        <v>179322.25586670803</v>
      </c>
      <c r="AU43" s="7">
        <f>AT43*1000000/'a1'!BN43</f>
        <v>42728.452298926713</v>
      </c>
    </row>
    <row r="44" spans="1:47" ht="18" customHeight="1">
      <c r="A44" s="1">
        <v>2006</v>
      </c>
      <c r="B44" s="7">
        <f>'a10'!B40</f>
        <v>239909.7</v>
      </c>
      <c r="C44" s="7">
        <v>931530</v>
      </c>
      <c r="D44" s="7">
        <f t="shared" si="0"/>
        <v>1171439.7</v>
      </c>
      <c r="E44" s="11">
        <f>'a8'!C44</f>
        <v>113</v>
      </c>
      <c r="F44" s="7">
        <f t="shared" si="1"/>
        <v>1036672.3008849556</v>
      </c>
      <c r="G44" s="7">
        <f>F44*1000000/'a1'!F44</f>
        <v>31823.119657849365</v>
      </c>
      <c r="H44" s="7">
        <f>'a10'!C40+'a11'!L44+'a12'!H44</f>
        <v>84628.381705330044</v>
      </c>
      <c r="I44" s="11">
        <f>'a8'!I44</f>
        <v>143.80000000000001</v>
      </c>
      <c r="J44" s="7">
        <f t="shared" si="12"/>
        <v>58851.447639311576</v>
      </c>
      <c r="K44" s="7">
        <f>J44*1000000/'a1'!L44</f>
        <v>115324.2179590008</v>
      </c>
      <c r="L44" s="7">
        <f>'a10'!D40+'a11'!Q44+'a12'!I44</f>
        <v>82.875080000000011</v>
      </c>
      <c r="M44" s="11">
        <f>'a8'!O44</f>
        <v>105.8</v>
      </c>
      <c r="N44" s="7">
        <f t="shared" si="13"/>
        <v>78.331833648393214</v>
      </c>
      <c r="O44" s="7">
        <f>N44*1000000/'a1'!R44</f>
        <v>567.95123004925472</v>
      </c>
      <c r="P44" s="7">
        <f>'a10'!E40+'a11'!V44+'a12'!J44</f>
        <v>10568.628989549263</v>
      </c>
      <c r="Q44" s="11">
        <f>'a8'!U44</f>
        <v>112.3</v>
      </c>
      <c r="R44" s="7">
        <f t="shared" si="14"/>
        <v>9411.0676665621231</v>
      </c>
      <c r="S44" s="7">
        <f>R44*1000000/'a1'!X44</f>
        <v>10033.014217931708</v>
      </c>
      <c r="T44" s="7">
        <f>'a10'!F40+'a11'!AA44+'a12'!K44</f>
        <v>22193.139634273546</v>
      </c>
      <c r="U44" s="11">
        <f>'a8'!AA44</f>
        <v>111.5</v>
      </c>
      <c r="V44" s="7">
        <f t="shared" si="15"/>
        <v>19904.161106971791</v>
      </c>
      <c r="W44" s="7">
        <f>V44*1000000/'a1'!AD44</f>
        <v>26692.845810597915</v>
      </c>
      <c r="X44" s="7">
        <f>'a10'!G40+'a11'!AF44+'a12'!L44</f>
        <v>100864.91077799464</v>
      </c>
      <c r="Y44" s="11">
        <f>'a8'!AG44</f>
        <v>108.6</v>
      </c>
      <c r="Z44" s="7">
        <f t="shared" si="16"/>
        <v>92877.450071818268</v>
      </c>
      <c r="AA44" s="7">
        <f>Z44*1000000/'a1'!AJ44</f>
        <v>12170.191603466539</v>
      </c>
      <c r="AB44" s="7">
        <f>'a10'!H40+'a11'!AK44+'a12'!M44</f>
        <v>103314.12323389729</v>
      </c>
      <c r="AC44" s="11">
        <f>'a8'!AM44</f>
        <v>107.2</v>
      </c>
      <c r="AD44" s="7">
        <f t="shared" si="17"/>
        <v>96375.114956993741</v>
      </c>
      <c r="AE44" s="7">
        <f>AD44*1000000/'a1'!AP44</f>
        <v>7609.3550825215307</v>
      </c>
      <c r="AF44" s="7">
        <f>'a10'!I40+'a11'!AP44+'a12'!N44</f>
        <v>14798.061155316864</v>
      </c>
      <c r="AG44" s="11">
        <f>'a8'!AS44</f>
        <v>112.4</v>
      </c>
      <c r="AH44" s="7">
        <f t="shared" si="18"/>
        <v>13165.534835691158</v>
      </c>
      <c r="AI44" s="7">
        <f>AH44*1000000/'a1'!AV44</f>
        <v>11119.248428200915</v>
      </c>
      <c r="AJ44" s="7">
        <f>'a10'!J40+'a11'!AU44+'a12'!O44</f>
        <v>86177.386968428764</v>
      </c>
      <c r="AK44" s="11">
        <f>'a8'!AY44</f>
        <v>119.2</v>
      </c>
      <c r="AL44" s="7">
        <f t="shared" si="19"/>
        <v>72296.465577540905</v>
      </c>
      <c r="AM44" s="7">
        <f>AL44*1000000/'a1'!BB44</f>
        <v>72870.539689212528</v>
      </c>
      <c r="AN44" s="7">
        <f>'a10'!K40+'a11'!BA44+'a12'!P44</f>
        <v>551527.53577129741</v>
      </c>
      <c r="AO44" s="11">
        <f>'a8'!BE44</f>
        <v>132.1</v>
      </c>
      <c r="AP44" s="7">
        <f t="shared" si="20"/>
        <v>417507.59710166347</v>
      </c>
      <c r="AQ44" s="7">
        <f>AP44*1000000/'a1'!BH44</f>
        <v>122033.53481945458</v>
      </c>
      <c r="AR44" s="7">
        <f>'a10'!L40+'a11'!BF44+'a12'!Q44</f>
        <v>186212.28698323993</v>
      </c>
      <c r="AS44" s="11">
        <f>'a8'!BK44</f>
        <v>114.1</v>
      </c>
      <c r="AT44" s="7">
        <f t="shared" si="21"/>
        <v>163200.95265840486</v>
      </c>
      <c r="AU44" s="7">
        <f>AT44*1000000/'a1'!BN44</f>
        <v>38458.318838906031</v>
      </c>
    </row>
    <row r="45" spans="1:47" ht="18" customHeight="1">
      <c r="A45" s="1">
        <v>2007</v>
      </c>
      <c r="B45" s="7">
        <f>'a10'!B41</f>
        <v>222369.3</v>
      </c>
      <c r="C45" s="7">
        <v>941765</v>
      </c>
      <c r="D45" s="7">
        <f t="shared" si="0"/>
        <v>1164134.3</v>
      </c>
      <c r="E45" s="11">
        <f>'a8'!C45</f>
        <v>116.7</v>
      </c>
      <c r="F45" s="7">
        <f t="shared" si="1"/>
        <v>997544.38731790928</v>
      </c>
      <c r="G45" s="7">
        <f>F45*1000000/'a1'!F45</f>
        <v>30293.121031923012</v>
      </c>
      <c r="H45" s="7">
        <f>'a10'!C41+'a11'!L45+'a12'!H45</f>
        <v>100590.08844517115</v>
      </c>
      <c r="I45" s="11">
        <f>'a8'!I45</f>
        <v>147.80000000000001</v>
      </c>
      <c r="J45" s="7">
        <f t="shared" ref="J45" si="22">H45/I45*100</f>
        <v>68058.246579953411</v>
      </c>
      <c r="K45" s="7">
        <f>J45*1000000/'a1'!L45</f>
        <v>134401.79505854985</v>
      </c>
      <c r="L45" s="7">
        <f>'a10'!D41+'a11'!Q45+'a12'!I45</f>
        <v>107.79648000000002</v>
      </c>
      <c r="M45" s="11">
        <f>'a8'!O45</f>
        <v>109.5</v>
      </c>
      <c r="N45" s="7">
        <f t="shared" si="13"/>
        <v>98.444273972602758</v>
      </c>
      <c r="O45" s="7">
        <f>N45*1000000/'a1'!R45</f>
        <v>712.53301563105913</v>
      </c>
      <c r="P45" s="7">
        <f>'a10'!E41+'a11'!V45+'a12'!J45</f>
        <v>11959.388386315801</v>
      </c>
      <c r="Q45" s="11">
        <f>'a8'!U45</f>
        <v>115.4</v>
      </c>
      <c r="R45" s="7">
        <f t="shared" si="14"/>
        <v>10363.42147860988</v>
      </c>
      <c r="S45" s="7">
        <f>R45*1000000/'a1'!X45</f>
        <v>11074.468823918383</v>
      </c>
      <c r="T45" s="7">
        <f>'a10'!F41+'a11'!AA45+'a12'!K45</f>
        <v>23241.370180947622</v>
      </c>
      <c r="U45" s="11">
        <f>'a8'!AA45</f>
        <v>115.4</v>
      </c>
      <c r="V45" s="7">
        <f t="shared" si="15"/>
        <v>20139.835512086327</v>
      </c>
      <c r="W45" s="7">
        <f>V45*1000000/'a1'!AD45</f>
        <v>27014.661693039478</v>
      </c>
      <c r="X45" s="7">
        <f>'a10'!G41+'a11'!AF45+'a12'!L45</f>
        <v>104705.40313234132</v>
      </c>
      <c r="Y45" s="11">
        <f>'a8'!AG45</f>
        <v>111.4</v>
      </c>
      <c r="Z45" s="7">
        <f t="shared" si="16"/>
        <v>93990.487551473358</v>
      </c>
      <c r="AA45" s="7">
        <f>Z45*1000000/'a1'!AJ45</f>
        <v>12226.527348823312</v>
      </c>
      <c r="AB45" s="7">
        <f>'a10'!H41+'a11'!AK45+'a12'!M45</f>
        <v>118346.18842923829</v>
      </c>
      <c r="AC45" s="11">
        <f>'a8'!AM45</f>
        <v>109.5</v>
      </c>
      <c r="AD45" s="7">
        <f t="shared" si="17"/>
        <v>108078.71089428154</v>
      </c>
      <c r="AE45" s="7">
        <f>AD45*1000000/'a1'!AP45</f>
        <v>8448.311040246781</v>
      </c>
      <c r="AF45" s="7">
        <f>'a10'!I41+'a11'!AP45+'a12'!N45</f>
        <v>18140.505412183978</v>
      </c>
      <c r="AG45" s="11">
        <f>'a8'!AS45</f>
        <v>118.6</v>
      </c>
      <c r="AH45" s="7">
        <f t="shared" si="18"/>
        <v>15295.535760694756</v>
      </c>
      <c r="AI45" s="7">
        <f>AH45*1000000/'a1'!AV45</f>
        <v>12815.075397001869</v>
      </c>
      <c r="AJ45" s="7">
        <f>'a10'!J41+'a11'!AU45+'a12'!O45</f>
        <v>98365.465463894507</v>
      </c>
      <c r="AK45" s="11">
        <f>'a8'!AY45</f>
        <v>128.4</v>
      </c>
      <c r="AL45" s="7">
        <f t="shared" si="19"/>
        <v>76608.617962534656</v>
      </c>
      <c r="AM45" s="7">
        <f>AL45*1000000/'a1'!BB45</f>
        <v>76588.93460634083</v>
      </c>
      <c r="AN45" s="7">
        <f>'a10'!K41+'a11'!BA45+'a12'!P45</f>
        <v>498833.75392930262</v>
      </c>
      <c r="AO45" s="11">
        <f>'a8'!BE45</f>
        <v>139</v>
      </c>
      <c r="AP45" s="7">
        <f t="shared" si="20"/>
        <v>358873.20426568534</v>
      </c>
      <c r="AQ45" s="7">
        <f>AP45*1000000/'a1'!BH45</f>
        <v>102164.75182863661</v>
      </c>
      <c r="AR45" s="7">
        <f>'a10'!L41+'a11'!BF45+'a12'!Q45</f>
        <v>182066.73534519575</v>
      </c>
      <c r="AS45" s="11">
        <f>'a8'!BK45</f>
        <v>116.8</v>
      </c>
      <c r="AT45" s="7">
        <f t="shared" si="21"/>
        <v>155879.05423390048</v>
      </c>
      <c r="AU45" s="7">
        <f>AT45*1000000/'a1'!BN45</f>
        <v>36169.922219321852</v>
      </c>
    </row>
    <row r="46" spans="1:47" ht="18" customHeight="1">
      <c r="A46" s="1">
        <v>2008</v>
      </c>
      <c r="B46" s="7">
        <f>'a10'!B42</f>
        <v>213197.1</v>
      </c>
      <c r="C46" s="7">
        <v>1543864</v>
      </c>
      <c r="D46" s="7">
        <f>B46+C46</f>
        <v>1757061.1</v>
      </c>
      <c r="E46" s="11">
        <f>'a8'!C46</f>
        <v>121.4</v>
      </c>
      <c r="F46" s="7">
        <f t="shared" si="1"/>
        <v>1447332.0428336079</v>
      </c>
      <c r="G46" s="7">
        <f>F46*1000000/'a1'!F46</f>
        <v>43442.582706675261</v>
      </c>
      <c r="H46" s="7">
        <f>'a10'!C42+'a11'!L46+'a12'!H46</f>
        <v>122139.24319142896</v>
      </c>
      <c r="I46" s="11">
        <f>'a8'!I46</f>
        <v>156.9</v>
      </c>
      <c r="J46" s="7">
        <f>H46/I46*100</f>
        <v>77845.279280706789</v>
      </c>
      <c r="K46" s="7">
        <f>J46*1000000/'a1'!L46</f>
        <v>153785.76803848884</v>
      </c>
      <c r="L46" s="7">
        <f>'a10'!D42+'a11'!Q46+'a12'!I46</f>
        <v>131.62548000000001</v>
      </c>
      <c r="M46" s="11">
        <f>'a8'!O46</f>
        <v>111.6</v>
      </c>
      <c r="N46" s="7">
        <f t="shared" si="13"/>
        <v>117.94397849462368</v>
      </c>
      <c r="O46" s="7">
        <f>N46*1000000/'a1'!R46</f>
        <v>845.20390192857985</v>
      </c>
      <c r="P46" s="7">
        <f>'a10'!E42+'a11'!V46+'a12'!J46</f>
        <v>13434.344065806123</v>
      </c>
      <c r="Q46" s="11">
        <f>'a8'!U46</f>
        <v>117.5</v>
      </c>
      <c r="R46" s="7">
        <f t="shared" ref="R46" si="23">P46/Q46*100</f>
        <v>11433.484311324359</v>
      </c>
      <c r="S46" s="7">
        <f>R46*1000000/'a1'!X46</f>
        <v>12205.650370727704</v>
      </c>
      <c r="T46" s="7">
        <f>'a10'!F42+'a11'!AA46+'a12'!K46</f>
        <v>24712.664680369759</v>
      </c>
      <c r="U46" s="11">
        <f>'a8'!AA46</f>
        <v>117</v>
      </c>
      <c r="V46" s="7">
        <f t="shared" ref="V46" si="24">T46/U46*100</f>
        <v>21121.935624247657</v>
      </c>
      <c r="W46" s="7">
        <f>V46*1000000/'a1'!AD46</f>
        <v>28279.393580747754</v>
      </c>
      <c r="X46" s="7">
        <f>'a10'!G42+'a11'!AF46+'a12'!L46</f>
        <v>110622.23181200534</v>
      </c>
      <c r="Y46" s="11">
        <f>'a8'!AG46</f>
        <v>112.8</v>
      </c>
      <c r="Z46" s="7">
        <f t="shared" ref="Z46" si="25">X46/Y46*100</f>
        <v>98069.354443267148</v>
      </c>
      <c r="AA46" s="7">
        <f>Z46*1000000/'a1'!AJ46</f>
        <v>12651.935750302935</v>
      </c>
      <c r="AB46" s="7">
        <f>'a10'!H42+'a11'!AK46+'a12'!M46</f>
        <v>134327.47865892726</v>
      </c>
      <c r="AC46" s="11">
        <f>'a8'!AM46</f>
        <v>110.6</v>
      </c>
      <c r="AD46" s="7">
        <f t="shared" ref="AD46" si="26">AB46/AC46*100</f>
        <v>121453.41650897583</v>
      </c>
      <c r="AE46" s="7">
        <f>AD46*1000000/'a1'!AP46</f>
        <v>9391.4806092820036</v>
      </c>
      <c r="AF46" s="7">
        <f>'a10'!I42+'a11'!AP46+'a12'!N46</f>
        <v>22895.961048290141</v>
      </c>
      <c r="AG46" s="11">
        <f>'a8'!AS46</f>
        <v>121.4</v>
      </c>
      <c r="AH46" s="7">
        <f t="shared" ref="AH46" si="27">AF46/AG46*100</f>
        <v>18859.93496564262</v>
      </c>
      <c r="AI46" s="7">
        <f>AH46*1000000/'a1'!AV46</f>
        <v>15644.686027358071</v>
      </c>
      <c r="AJ46" s="7">
        <f>'a10'!J42+'a11'!AU46+'a12'!O46</f>
        <v>147558.26228242548</v>
      </c>
      <c r="AK46" s="11">
        <f>'a8'!AY46</f>
        <v>157.9</v>
      </c>
      <c r="AL46" s="7">
        <f t="shared" ref="AL46" si="28">AJ46/AK46*100</f>
        <v>93450.451097166224</v>
      </c>
      <c r="AM46" s="7">
        <f>AL46*1000000/'a1'!BB46</f>
        <v>92179.116719372643</v>
      </c>
      <c r="AN46" s="7">
        <f>'a10'!K42+'a11'!BA46+'a12'!P46</f>
        <v>912995.83625624818</v>
      </c>
      <c r="AO46" s="11">
        <f>'a8'!BE46</f>
        <v>156.30000000000001</v>
      </c>
      <c r="AP46" s="7">
        <f t="shared" ref="AP46" si="29">AN46/AO46*100</f>
        <v>584130.41347168782</v>
      </c>
      <c r="AQ46" s="7">
        <f>AP46*1000000/'a1'!BH46</f>
        <v>162647.40137503488</v>
      </c>
      <c r="AR46" s="7">
        <f>'a10'!L42+'a11'!BF46+'a12'!Q46</f>
        <v>218886.58510401324</v>
      </c>
      <c r="AS46" s="11">
        <f>'a8'!BK46</f>
        <v>119.9</v>
      </c>
      <c r="AT46" s="7">
        <f t="shared" ref="AT46" si="30">AR46/AS46*100</f>
        <v>182557.61893579084</v>
      </c>
      <c r="AU46" s="7">
        <f>AT46*1000000/'a1'!BN46</f>
        <v>41643.12248470317</v>
      </c>
    </row>
    <row r="47" spans="1:47" ht="18" customHeight="1">
      <c r="A47" s="1">
        <v>2009</v>
      </c>
      <c r="B47" s="7">
        <f>'a10'!B43</f>
        <v>170171.4</v>
      </c>
      <c r="C47" s="7">
        <v>914173</v>
      </c>
      <c r="D47" s="7">
        <f>B47+C47</f>
        <v>1084344.3999999999</v>
      </c>
      <c r="E47" s="11">
        <f>'a8'!C47</f>
        <v>118.8</v>
      </c>
      <c r="F47" s="7">
        <f t="shared" ref="F47" si="31">D47/E47*100</f>
        <v>912747.81144781131</v>
      </c>
      <c r="G47" s="7">
        <f>F47*1000000/'a1'!F47</f>
        <v>27068.292730781399</v>
      </c>
      <c r="H47" s="7">
        <f>'a10'!C43+'a11'!L47+'a12'!H47</f>
        <v>115115.50096474157</v>
      </c>
      <c r="I47" s="11">
        <f>'a8'!I47</f>
        <v>137.80000000000001</v>
      </c>
      <c r="J47" s="7">
        <f>H47/I47*100</f>
        <v>83538.09939386179</v>
      </c>
      <c r="K47" s="7">
        <f>J47*1000000/'a1'!L47</f>
        <v>164398.79993203052</v>
      </c>
      <c r="L47" s="7">
        <f>'a10'!D43+'a11'!Q47+'a12'!I47</f>
        <v>74.330600000000004</v>
      </c>
      <c r="M47" s="11">
        <f>'a8'!O47</f>
        <v>114.1</v>
      </c>
      <c r="N47" s="7">
        <f t="shared" ref="N47" si="32">L47/M47*100</f>
        <v>65.145135845749351</v>
      </c>
      <c r="O47" s="7">
        <f>N47*1000000/'a1'!R47</f>
        <v>461.70461346271964</v>
      </c>
      <c r="P47" s="7">
        <f>'a10'!E43+'a11'!V47+'a12'!J47</f>
        <v>8644.8191919758247</v>
      </c>
      <c r="Q47" s="11">
        <f>'a8'!U47</f>
        <v>118.5</v>
      </c>
      <c r="R47" s="7">
        <f t="shared" ref="R47" si="33">P47/Q47*100</f>
        <v>7295.2060691779106</v>
      </c>
      <c r="S47" s="7">
        <f>R47*1000000/'a1'!X47</f>
        <v>7768.0967254355237</v>
      </c>
      <c r="T47" s="7">
        <f>'a10'!F43+'a11'!AA47+'a12'!K47</f>
        <v>17158.514987047423</v>
      </c>
      <c r="U47" s="11">
        <f>'a8'!AA47</f>
        <v>117.9</v>
      </c>
      <c r="V47" s="7">
        <f t="shared" ref="V47" si="34">T47/U47*100</f>
        <v>14553.447826164058</v>
      </c>
      <c r="W47" s="7">
        <f>V47*1000000/'a1'!AD47</f>
        <v>19422.102890290527</v>
      </c>
      <c r="X47" s="7">
        <f>'a10'!G43+'a11'!AF47+'a12'!L47</f>
        <v>77172.624891788582</v>
      </c>
      <c r="Y47" s="11">
        <f>'a8'!AG47</f>
        <v>113.6</v>
      </c>
      <c r="Z47" s="7">
        <f t="shared" ref="Z47" si="35">X47/Y47*100</f>
        <v>67933.648672349096</v>
      </c>
      <c r="AA47" s="7">
        <f>Z47*1000000/'a1'!AJ47</f>
        <v>8677.893544245504</v>
      </c>
      <c r="AB47" s="7">
        <f>'a10'!H43+'a11'!AK47+'a12'!M47</f>
        <v>84726.077967497797</v>
      </c>
      <c r="AC47" s="11">
        <f>'a8'!AM47</f>
        <v>113.5</v>
      </c>
      <c r="AD47" s="7">
        <f t="shared" ref="AD47" si="36">AB47/AC47*100</f>
        <v>74648.526843610394</v>
      </c>
      <c r="AE47" s="7">
        <f>AD47*1000000/'a1'!AP47</f>
        <v>5713.6699740227941</v>
      </c>
      <c r="AF47" s="7">
        <f>'a10'!I43+'a11'!AP47+'a12'!N47</f>
        <v>14792.906532243489</v>
      </c>
      <c r="AG47" s="11">
        <f>'a8'!AS47</f>
        <v>121.1</v>
      </c>
      <c r="AH47" s="7">
        <f t="shared" ref="AH47" si="37">AF47/AG47*100</f>
        <v>12215.447177740289</v>
      </c>
      <c r="AI47" s="7">
        <f>AH47*1000000/'a1'!AV47</f>
        <v>10016.257621785762</v>
      </c>
      <c r="AJ47" s="7">
        <f>'a10'!J43+'a11'!AU47+'a12'!O47</f>
        <v>117715.60559505207</v>
      </c>
      <c r="AK47" s="11">
        <f>'a8'!AY47</f>
        <v>142.1</v>
      </c>
      <c r="AL47" s="7">
        <f t="shared" ref="AL47" si="38">AJ47/AK47*100</f>
        <v>82839.975788213982</v>
      </c>
      <c r="AM47" s="7">
        <f>AL47*1000000/'a1'!BB47</f>
        <v>80495.621313091513</v>
      </c>
      <c r="AN47" s="7">
        <f>'a10'!K43+'a11'!BA47+'a12'!P47</f>
        <v>729998.28806705168</v>
      </c>
      <c r="AO47" s="11">
        <f>'a8'!BE47</f>
        <v>138.69999999999999</v>
      </c>
      <c r="AP47" s="7">
        <f t="shared" ref="AP47" si="39">AN47/AO47*100</f>
        <v>526314.55520335387</v>
      </c>
      <c r="AQ47" s="7">
        <f>AP47*1000000/'a1'!BH47</f>
        <v>143380.97180443461</v>
      </c>
      <c r="AR47" s="7">
        <f>'a10'!L43+'a11'!BF47+'a12'!Q47</f>
        <v>180576.59451143161</v>
      </c>
      <c r="AS47" s="11">
        <f>'a8'!BK47</f>
        <v>118</v>
      </c>
      <c r="AT47" s="7">
        <f t="shared" ref="AT47" si="40">AR47/AS47*100</f>
        <v>153031.01229782338</v>
      </c>
      <c r="AU47" s="7">
        <f>AT47*1000000/'a1'!BN47</f>
        <v>34309.639884075616</v>
      </c>
    </row>
    <row r="48" spans="1:47" ht="18" customHeight="1">
      <c r="A48" s="1">
        <v>2010</v>
      </c>
      <c r="B48" s="7">
        <f>'a10'!B44</f>
        <v>153762.84384791786</v>
      </c>
      <c r="C48" s="117">
        <f>C47*POWER(C47/C42, 1/5)</f>
        <v>1006105.022371953</v>
      </c>
      <c r="D48" s="7">
        <f>B48+C48</f>
        <v>1159867.8662198707</v>
      </c>
      <c r="E48" s="11">
        <f>'a8'!C48</f>
        <v>121.40268386104673</v>
      </c>
      <c r="F48" s="7">
        <f t="shared" ref="F48" si="41">D48/E48*100</f>
        <v>955388.98262530589</v>
      </c>
      <c r="G48" s="7">
        <f>F48*1000000/'a1'!F48</f>
        <v>28010.083236856801</v>
      </c>
      <c r="H48" s="7">
        <f>'a10'!C44+'a11'!L48+'a12'!H48</f>
        <v>114856.80707005023</v>
      </c>
      <c r="I48" s="11">
        <f>'a8'!I48</f>
        <v>143.42908939114417</v>
      </c>
      <c r="J48" s="7">
        <f>H48/I48*100</f>
        <v>80079.157971103938</v>
      </c>
      <c r="K48" s="7">
        <f>J48*1000000/'a1'!L48</f>
        <v>157098.35419911749</v>
      </c>
      <c r="L48" s="7">
        <f>'a10'!D44+'a11'!Q48+'a12'!I48</f>
        <v>74.330600000000004</v>
      </c>
      <c r="M48" s="11">
        <f>'a8'!O48</f>
        <v>116.52756854179917</v>
      </c>
      <c r="N48" s="7">
        <f t="shared" ref="N48" si="42">L48/M48*100</f>
        <v>63.787995347501955</v>
      </c>
      <c r="O48" s="7">
        <f>N48*1000000/'a1'!R48</f>
        <v>448.37132798772689</v>
      </c>
      <c r="P48" s="7">
        <f>'a10'!E44+'a11'!V48+'a12'!J48</f>
        <v>8331.3915283621682</v>
      </c>
      <c r="Q48" s="11">
        <f>'a8'!U48</f>
        <v>120.7866342626011</v>
      </c>
      <c r="R48" s="7">
        <f t="shared" ref="R48" si="43">P48/Q48*100</f>
        <v>6897.6104676027053</v>
      </c>
      <c r="S48" s="7">
        <f>R48*1000000/'a1'!X48</f>
        <v>7318.3730051614575</v>
      </c>
      <c r="T48" s="7">
        <f>'a10'!F44+'a11'!AA48+'a12'!K48</f>
        <v>16145.820375194937</v>
      </c>
      <c r="U48" s="11">
        <f>'a8'!AA48</f>
        <v>120.48124108479578</v>
      </c>
      <c r="V48" s="7">
        <f t="shared" ref="V48" si="44">T48/U48*100</f>
        <v>13401.10728427122</v>
      </c>
      <c r="W48" s="7">
        <f>V48*1000000/'a1'!AD48</f>
        <v>17826.429201363768</v>
      </c>
      <c r="X48" s="7">
        <f>'a10'!G44+'a11'!AF48+'a12'!L48</f>
        <v>72325.892616669589</v>
      </c>
      <c r="Y48" s="11">
        <f>'a8'!AG48</f>
        <v>115.46880235199436</v>
      </c>
      <c r="Z48" s="7">
        <f t="shared" ref="Z48" si="45">X48/Y48*100</f>
        <v>62636.73922605675</v>
      </c>
      <c r="AA48" s="7">
        <f>Z48*1000000/'a1'!AJ48</f>
        <v>7921.3062775012877</v>
      </c>
      <c r="AB48" s="7">
        <f>'a10'!H44+'a11'!AK48+'a12'!M48</f>
        <v>81929.86028086982</v>
      </c>
      <c r="AC48" s="11">
        <f>'a8'!AM48</f>
        <v>115.52392191745675</v>
      </c>
      <c r="AD48" s="7">
        <f t="shared" ref="AD48" si="46">AB48/AC48*100</f>
        <v>70920.255234590906</v>
      </c>
      <c r="AE48" s="7">
        <f>AD48*1000000/'a1'!AP48</f>
        <v>5368.4083653452863</v>
      </c>
      <c r="AF48" s="7">
        <f>'a10'!I44+'a11'!AP48+'a12'!N48</f>
        <v>14674.320332511506</v>
      </c>
      <c r="AG48" s="11">
        <f>'a8'!AS48</f>
        <v>124.60489741027938</v>
      </c>
      <c r="AH48" s="7">
        <f t="shared" ref="AH48" si="47">AF48/AG48*100</f>
        <v>11776.68024090114</v>
      </c>
      <c r="AI48" s="7">
        <f>AH48*1000000/'a1'!AV48</f>
        <v>9532.5933703907194</v>
      </c>
      <c r="AJ48" s="7">
        <f>'a10'!J44+'a11'!AU48+'a12'!O48</f>
        <v>117560.23231553068</v>
      </c>
      <c r="AK48" s="11">
        <f>'a8'!AY48</f>
        <v>150.08861663080913</v>
      </c>
      <c r="AL48" s="7">
        <f t="shared" ref="AL48" si="48">AJ48/AK48*100</f>
        <v>78327.214251502897</v>
      </c>
      <c r="AM48" s="7">
        <f>AL48*1000000/'a1'!BB48</f>
        <v>74909.68461977932</v>
      </c>
      <c r="AN48" s="7">
        <f>'a10'!K44+'a11'!BA48+'a12'!P48</f>
        <v>729057.71444156894</v>
      </c>
      <c r="AO48" s="11">
        <f>'a8'!BE48</f>
        <v>143.74745203747423</v>
      </c>
      <c r="AP48" s="7">
        <f t="shared" ref="AP48" si="49">AN48/AO48*100</f>
        <v>507179.57369533571</v>
      </c>
      <c r="AQ48" s="7">
        <f>AP48*1000000/'a1'!BH48</f>
        <v>136303.93284270604</v>
      </c>
      <c r="AR48" s="7">
        <f>'a10'!L44+'a11'!BF48+'a12'!Q48</f>
        <v>174056.54055185235</v>
      </c>
      <c r="AS48" s="11">
        <f>'a8'!BK48</f>
        <v>120.19764382809413</v>
      </c>
      <c r="AT48" s="7">
        <f t="shared" ref="AT48" si="50">AR48/AS48*100</f>
        <v>144808.61272188235</v>
      </c>
      <c r="AU48" s="7">
        <f>AT48*1000000/'a1'!BN48</f>
        <v>31959.808235314889</v>
      </c>
    </row>
    <row r="49" spans="1:140" ht="18" customHeight="1">
      <c r="B49" s="172" t="s">
        <v>435</v>
      </c>
      <c r="C49" s="117"/>
      <c r="D49" s="7"/>
      <c r="E49" s="11"/>
      <c r="F49" s="7"/>
      <c r="G49" s="7"/>
      <c r="H49" s="7"/>
      <c r="I49" s="11"/>
      <c r="J49" s="7"/>
      <c r="K49" s="7"/>
      <c r="L49" s="7"/>
      <c r="M49" s="11"/>
      <c r="N49" s="7"/>
      <c r="O49" s="7"/>
      <c r="P49" s="7"/>
      <c r="Q49" s="11"/>
      <c r="R49" s="7"/>
      <c r="S49" s="7"/>
      <c r="T49" s="172" t="s">
        <v>435</v>
      </c>
      <c r="U49" s="11"/>
      <c r="V49" s="7"/>
      <c r="W49" s="7"/>
      <c r="X49" s="7"/>
      <c r="Y49" s="11"/>
      <c r="Z49" s="7"/>
      <c r="AA49" s="7"/>
      <c r="AB49" s="7"/>
      <c r="AC49" s="11"/>
      <c r="AD49" s="7"/>
      <c r="AE49" s="7"/>
      <c r="AF49" s="7"/>
      <c r="AG49" s="11"/>
      <c r="AH49" s="7"/>
      <c r="AI49" s="7"/>
      <c r="AJ49" s="172" t="s">
        <v>435</v>
      </c>
      <c r="AK49" s="11"/>
      <c r="AL49" s="7"/>
      <c r="AM49" s="7"/>
      <c r="AN49" s="7"/>
      <c r="AO49" s="11"/>
      <c r="AP49" s="7"/>
      <c r="AQ49" s="7"/>
      <c r="AR49" s="7"/>
      <c r="AS49" s="11"/>
      <c r="AT49" s="7"/>
      <c r="AU49" s="7"/>
    </row>
    <row r="50" spans="1:140" s="252" customFormat="1" ht="18" customHeight="1">
      <c r="A50" s="252" t="s">
        <v>988</v>
      </c>
      <c r="B50" s="271">
        <f t="shared" ref="B50:AU50" si="51">(POWER(B48/B19, 1/29)-1)*100</f>
        <v>2.4757078414351597</v>
      </c>
      <c r="C50" s="271">
        <f t="shared" si="51"/>
        <v>4.4285506296813049</v>
      </c>
      <c r="D50" s="271">
        <f t="shared" si="51"/>
        <v>4.0969496648203041</v>
      </c>
      <c r="E50" s="271">
        <f t="shared" si="51"/>
        <v>2.7230812012615013</v>
      </c>
      <c r="F50" s="271">
        <f t="shared" si="51"/>
        <v>1.3374486507730765</v>
      </c>
      <c r="G50" s="271">
        <f t="shared" si="51"/>
        <v>0.23262061728537287</v>
      </c>
      <c r="H50" s="271">
        <f t="shared" si="51"/>
        <v>11.030367574674527</v>
      </c>
      <c r="I50" s="271">
        <f t="shared" si="51"/>
        <v>3.3604270199282471</v>
      </c>
      <c r="J50" s="271">
        <f t="shared" si="51"/>
        <v>7.420577464591438</v>
      </c>
      <c r="K50" s="271">
        <f t="shared" si="51"/>
        <v>7.8697031110960047</v>
      </c>
      <c r="L50" s="271">
        <f t="shared" si="51"/>
        <v>2.6476344074364944</v>
      </c>
      <c r="M50" s="271">
        <f t="shared" si="51"/>
        <v>2.9252607917130913</v>
      </c>
      <c r="N50" s="271">
        <f t="shared" si="51"/>
        <v>-0.269735905589219</v>
      </c>
      <c r="O50" s="271">
        <f t="shared" si="51"/>
        <v>-0.75360679326039737</v>
      </c>
      <c r="P50" s="271">
        <f t="shared" si="51"/>
        <v>1.7944101017948633</v>
      </c>
      <c r="Q50" s="271">
        <f t="shared" si="51"/>
        <v>3.0952279566149876</v>
      </c>
      <c r="R50" s="271">
        <f t="shared" si="51"/>
        <v>-1.2617634012774381</v>
      </c>
      <c r="S50" s="271">
        <f t="shared" si="51"/>
        <v>-1.5934819285327695</v>
      </c>
      <c r="T50" s="271">
        <f t="shared" si="51"/>
        <v>3.6701278574457596</v>
      </c>
      <c r="U50" s="271">
        <f t="shared" si="51"/>
        <v>2.9126014979752091</v>
      </c>
      <c r="V50" s="271">
        <f t="shared" si="51"/>
        <v>0.73608707626096059</v>
      </c>
      <c r="W50" s="271">
        <f t="shared" si="51"/>
        <v>0.52034362663366807</v>
      </c>
      <c r="X50" s="271">
        <f t="shared" si="51"/>
        <v>2.4669733163087404</v>
      </c>
      <c r="Y50" s="271">
        <f t="shared" si="51"/>
        <v>2.795894284875966</v>
      </c>
      <c r="Z50" s="271">
        <f t="shared" si="51"/>
        <v>-0.3199748111103462</v>
      </c>
      <c r="AA50" s="271">
        <f t="shared" si="51"/>
        <v>-0.96667253234928863</v>
      </c>
      <c r="AB50" s="271">
        <f t="shared" si="51"/>
        <v>2.7624778405939798</v>
      </c>
      <c r="AC50" s="271">
        <f t="shared" si="51"/>
        <v>2.7839532224346319</v>
      </c>
      <c r="AD50" s="271">
        <f t="shared" si="51"/>
        <v>-2.0893710708103086E-2</v>
      </c>
      <c r="AE50" s="271">
        <f t="shared" si="51"/>
        <v>-1.4070334220760317</v>
      </c>
      <c r="AF50" s="271">
        <f t="shared" si="51"/>
        <v>3.4878294867770165</v>
      </c>
      <c r="AG50" s="271">
        <f t="shared" si="51"/>
        <v>2.8408982802325733</v>
      </c>
      <c r="AH50" s="271">
        <f t="shared" si="51"/>
        <v>0.62906024486641954</v>
      </c>
      <c r="AI50" s="271">
        <f t="shared" si="51"/>
        <v>1.8551434974112269E-2</v>
      </c>
      <c r="AJ50" s="271">
        <f t="shared" si="51"/>
        <v>5.3595724528919364</v>
      </c>
      <c r="AK50" s="271">
        <f t="shared" si="51"/>
        <v>3.0274099256605069</v>
      </c>
      <c r="AL50" s="271">
        <f t="shared" si="51"/>
        <v>2.2636330748430966</v>
      </c>
      <c r="AM50" s="271">
        <f t="shared" si="51"/>
        <v>2.0200721636173702</v>
      </c>
      <c r="AN50" s="271">
        <f t="shared" si="51"/>
        <v>4.790851306130528</v>
      </c>
      <c r="AO50" s="271">
        <f t="shared" si="51"/>
        <v>2.7691418086340791</v>
      </c>
      <c r="AP50" s="271">
        <f t="shared" si="51"/>
        <v>1.9672339983738407</v>
      </c>
      <c r="AQ50" s="271">
        <f t="shared" si="51"/>
        <v>0.27629385685266072</v>
      </c>
      <c r="AR50" s="271">
        <f t="shared" si="51"/>
        <v>3.9904489979649238</v>
      </c>
      <c r="AS50" s="271">
        <f t="shared" si="51"/>
        <v>2.8571608022796235</v>
      </c>
      <c r="AT50" s="271">
        <f t="shared" si="51"/>
        <v>1.1018077757987133</v>
      </c>
      <c r="AU50" s="271">
        <f t="shared" si="51"/>
        <v>-0.52996077206267644</v>
      </c>
      <c r="AV50" s="271"/>
      <c r="AW50" s="271"/>
      <c r="AX50" s="271"/>
      <c r="AY50" s="271"/>
      <c r="AZ50" s="271"/>
      <c r="BA50" s="271"/>
      <c r="BB50" s="271"/>
      <c r="BC50" s="271"/>
      <c r="BD50" s="271"/>
      <c r="BE50" s="271"/>
      <c r="BF50" s="271"/>
      <c r="BG50" s="271"/>
      <c r="BH50" s="271"/>
      <c r="BI50" s="271"/>
      <c r="BJ50" s="271"/>
      <c r="BK50" s="271"/>
      <c r="BL50" s="271"/>
      <c r="BM50" s="271"/>
      <c r="BN50" s="271"/>
      <c r="BO50" s="271"/>
      <c r="BP50" s="271"/>
      <c r="BQ50" s="271"/>
      <c r="BR50" s="269"/>
      <c r="BS50" s="269"/>
      <c r="BT50" s="269"/>
      <c r="BU50" s="269"/>
      <c r="BV50" s="269"/>
      <c r="BW50" s="269"/>
      <c r="BX50" s="269"/>
      <c r="BY50" s="269"/>
      <c r="BZ50" s="269"/>
      <c r="CA50" s="269"/>
      <c r="CB50" s="269"/>
      <c r="CC50" s="269"/>
      <c r="CD50" s="269"/>
      <c r="CE50" s="269"/>
      <c r="CF50" s="269"/>
      <c r="CG50" s="269"/>
      <c r="CH50" s="269"/>
      <c r="CI50" s="269"/>
      <c r="CJ50" s="269"/>
      <c r="CK50" s="269"/>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c r="EI50" s="269"/>
      <c r="EJ50" s="269"/>
    </row>
    <row r="51" spans="1:140">
      <c r="B51" s="1" t="s">
        <v>350</v>
      </c>
      <c r="T51" s="1" t="s">
        <v>380</v>
      </c>
      <c r="AJ51" s="1" t="s">
        <v>380</v>
      </c>
    </row>
    <row r="52" spans="1:140">
      <c r="B52" s="1" t="s">
        <v>957</v>
      </c>
    </row>
    <row r="53" spans="1:140" hidden="1"/>
    <row r="54" spans="1:140" hidden="1"/>
    <row r="55" spans="1:140" hidden="1"/>
    <row r="56" spans="1:140" hidden="1"/>
    <row r="57" spans="1:140" hidden="1"/>
    <row r="58" spans="1:140" hidden="1"/>
    <row r="59" spans="1:140" hidden="1"/>
    <row r="60" spans="1:140" hidden="1"/>
    <row r="61" spans="1:140" hidden="1"/>
    <row r="62" spans="1:140" hidden="1"/>
    <row r="63" spans="1:140" hidden="1"/>
    <row r="64" spans="1:140" hidden="1"/>
    <row r="65" hidden="1"/>
    <row r="66" hidden="1"/>
    <row r="67" hidden="1"/>
    <row r="68" hidden="1"/>
    <row r="69" hidden="1"/>
    <row r="70" hidden="1"/>
    <row r="71" hidden="1"/>
    <row r="72" hidden="1"/>
    <row r="73" hidden="1"/>
    <row r="74" hidden="1"/>
    <row r="75" hidden="1"/>
    <row r="76" hidden="1"/>
    <row r="77" hidden="1"/>
    <row r="78" hidden="1"/>
    <row r="79" hidden="1"/>
    <row r="80" hidden="1"/>
    <row r="81" spans="2:2" hidden="1"/>
    <row r="82" spans="2:2" hidden="1"/>
    <row r="83" spans="2:2" hidden="1"/>
    <row r="84" spans="2:2" hidden="1"/>
    <row r="85" spans="2:2" hidden="1"/>
    <row r="86" spans="2:2" hidden="1"/>
    <row r="87" spans="2:2" hidden="1"/>
    <row r="88" spans="2:2" hidden="1"/>
    <row r="89" spans="2:2" hidden="1"/>
    <row r="90" spans="2:2" hidden="1"/>
    <row r="91" spans="2:2">
      <c r="B91" s="1" t="s">
        <v>1037</v>
      </c>
    </row>
    <row r="92" spans="2:2">
      <c r="B92" s="1" t="s">
        <v>1031</v>
      </c>
    </row>
  </sheetData>
  <phoneticPr fontId="0" type="noConversion"/>
  <pageMargins left="0.35433070866141736" right="0.35433070866141736" top="0.59055118110236227" bottom="0.59055118110236227" header="0.51181102362204722" footer="0.51181102362204722"/>
  <pageSetup scale="70" orientation="landscape" r:id="rId1"/>
  <headerFooter alignWithMargins="0"/>
  <colBreaks count="2" manualBreakCount="2">
    <brk id="19" max="1048575" man="1"/>
    <brk id="35" max="1048575" man="1"/>
  </colBreaks>
</worksheet>
</file>

<file path=xl/worksheets/sheet4.xml><?xml version="1.0" encoding="utf-8"?>
<worksheet xmlns="http://schemas.openxmlformats.org/spreadsheetml/2006/main" xmlns:r="http://schemas.openxmlformats.org/officeDocument/2006/relationships">
  <dimension ref="A1:EH53"/>
  <sheetViews>
    <sheetView view="pageBreakPreview" zoomScaleSheetLayoutView="100" workbookViewId="0">
      <pane ySplit="5" topLeftCell="A6" activePane="bottomLeft" state="frozen"/>
      <selection activeCell="E9" sqref="E9"/>
      <selection pane="bottomLeft" activeCell="C48" sqref="C48"/>
    </sheetView>
  </sheetViews>
  <sheetFormatPr defaultColWidth="8.875" defaultRowHeight="12.75"/>
  <cols>
    <col min="1" max="1" width="8.875" style="1" customWidth="1"/>
    <col min="2" max="34" width="12.875" style="1" customWidth="1"/>
    <col min="35" max="37" width="10.375" style="1" customWidth="1"/>
    <col min="38" max="16384" width="8.875" style="1"/>
  </cols>
  <sheetData>
    <row r="1" spans="1:34" ht="15.75">
      <c r="B1" s="2" t="s">
        <v>494</v>
      </c>
      <c r="K1" s="2" t="s">
        <v>495</v>
      </c>
      <c r="T1" s="2" t="s">
        <v>496</v>
      </c>
      <c r="AC1" s="2" t="s">
        <v>493</v>
      </c>
    </row>
    <row r="3" spans="1:34" s="3" customFormat="1" ht="15">
      <c r="B3" s="3" t="s">
        <v>321</v>
      </c>
      <c r="E3" s="3" t="s">
        <v>370</v>
      </c>
      <c r="H3" s="3" t="s">
        <v>371</v>
      </c>
      <c r="K3" s="3" t="s">
        <v>372</v>
      </c>
      <c r="N3" s="3" t="s">
        <v>373</v>
      </c>
      <c r="Q3" s="3" t="s">
        <v>374</v>
      </c>
      <c r="T3" s="3" t="s">
        <v>375</v>
      </c>
      <c r="W3" s="3" t="s">
        <v>376</v>
      </c>
      <c r="Z3" s="3" t="s">
        <v>377</v>
      </c>
      <c r="AC3" s="3" t="s">
        <v>378</v>
      </c>
      <c r="AF3" s="3" t="s">
        <v>379</v>
      </c>
    </row>
    <row r="4" spans="1:34" s="4" customFormat="1" ht="25.5">
      <c r="B4" s="4" t="s">
        <v>620</v>
      </c>
      <c r="C4" s="4" t="s">
        <v>621</v>
      </c>
      <c r="D4" s="4" t="s">
        <v>628</v>
      </c>
      <c r="E4" s="4" t="s">
        <v>620</v>
      </c>
      <c r="F4" s="4" t="s">
        <v>621</v>
      </c>
      <c r="G4" s="4" t="s">
        <v>628</v>
      </c>
      <c r="H4" s="4" t="s">
        <v>620</v>
      </c>
      <c r="I4" s="4" t="s">
        <v>621</v>
      </c>
      <c r="J4" s="4" t="s">
        <v>628</v>
      </c>
      <c r="K4" s="4" t="s">
        <v>620</v>
      </c>
      <c r="L4" s="4" t="s">
        <v>621</v>
      </c>
      <c r="M4" s="4" t="s">
        <v>628</v>
      </c>
      <c r="N4" s="4" t="s">
        <v>620</v>
      </c>
      <c r="O4" s="4" t="s">
        <v>621</v>
      </c>
      <c r="P4" s="4" t="s">
        <v>628</v>
      </c>
      <c r="Q4" s="4" t="s">
        <v>620</v>
      </c>
      <c r="R4" s="4" t="s">
        <v>621</v>
      </c>
      <c r="S4" s="4" t="s">
        <v>628</v>
      </c>
      <c r="T4" s="4" t="s">
        <v>620</v>
      </c>
      <c r="U4" s="4" t="s">
        <v>621</v>
      </c>
      <c r="V4" s="4" t="s">
        <v>628</v>
      </c>
      <c r="W4" s="4" t="s">
        <v>620</v>
      </c>
      <c r="X4" s="4" t="s">
        <v>621</v>
      </c>
      <c r="Y4" s="4" t="s">
        <v>628</v>
      </c>
      <c r="Z4" s="4" t="s">
        <v>620</v>
      </c>
      <c r="AA4" s="4" t="s">
        <v>621</v>
      </c>
      <c r="AB4" s="4" t="s">
        <v>628</v>
      </c>
      <c r="AC4" s="4" t="s">
        <v>620</v>
      </c>
      <c r="AD4" s="4" t="s">
        <v>621</v>
      </c>
      <c r="AE4" s="4" t="s">
        <v>628</v>
      </c>
      <c r="AF4" s="4" t="s">
        <v>620</v>
      </c>
      <c r="AG4" s="4" t="s">
        <v>621</v>
      </c>
      <c r="AH4" s="4" t="s">
        <v>628</v>
      </c>
    </row>
    <row r="5" spans="1:34" s="4" customFormat="1"/>
    <row r="6" spans="1:34" s="4" customFormat="1" ht="25.5">
      <c r="B6" s="4" t="s">
        <v>105</v>
      </c>
      <c r="C6" s="4" t="s">
        <v>106</v>
      </c>
      <c r="D6" s="4" t="s">
        <v>253</v>
      </c>
      <c r="E6" s="4" t="s">
        <v>109</v>
      </c>
      <c r="F6" s="4" t="s">
        <v>110</v>
      </c>
      <c r="G6" s="4" t="s">
        <v>254</v>
      </c>
      <c r="H6" s="4" t="s">
        <v>138</v>
      </c>
      <c r="I6" s="4" t="s">
        <v>113</v>
      </c>
      <c r="J6" s="4" t="s">
        <v>255</v>
      </c>
      <c r="K6" s="4" t="s">
        <v>105</v>
      </c>
      <c r="L6" s="4" t="s">
        <v>106</v>
      </c>
      <c r="M6" s="4" t="s">
        <v>253</v>
      </c>
      <c r="N6" s="4" t="s">
        <v>109</v>
      </c>
      <c r="O6" s="4" t="s">
        <v>110</v>
      </c>
      <c r="P6" s="4" t="s">
        <v>254</v>
      </c>
      <c r="Q6" s="4" t="s">
        <v>138</v>
      </c>
      <c r="R6" s="4" t="s">
        <v>113</v>
      </c>
      <c r="S6" s="4" t="s">
        <v>255</v>
      </c>
      <c r="T6" s="4" t="s">
        <v>105</v>
      </c>
      <c r="U6" s="4" t="s">
        <v>106</v>
      </c>
      <c r="V6" s="4" t="s">
        <v>253</v>
      </c>
      <c r="W6" s="4" t="s">
        <v>109</v>
      </c>
      <c r="X6" s="4" t="s">
        <v>110</v>
      </c>
      <c r="Y6" s="4" t="s">
        <v>254</v>
      </c>
      <c r="Z6" s="4" t="s">
        <v>138</v>
      </c>
      <c r="AA6" s="4" t="s">
        <v>113</v>
      </c>
      <c r="AB6" s="4" t="s">
        <v>255</v>
      </c>
      <c r="AC6" s="4" t="s">
        <v>105</v>
      </c>
      <c r="AD6" s="4" t="s">
        <v>106</v>
      </c>
      <c r="AE6" s="4" t="s">
        <v>253</v>
      </c>
      <c r="AF6" s="4" t="s">
        <v>109</v>
      </c>
      <c r="AG6" s="4" t="s">
        <v>110</v>
      </c>
      <c r="AH6" s="4" t="s">
        <v>254</v>
      </c>
    </row>
    <row r="7" spans="1:34" s="4" customFormat="1" hidden="1">
      <c r="Z7" s="9"/>
    </row>
    <row r="8" spans="1:34" hidden="1">
      <c r="A8" s="1">
        <v>1971</v>
      </c>
      <c r="B8" s="9">
        <f>'a17'!C6</f>
        <v>1.0215908458588936</v>
      </c>
      <c r="C8" s="9">
        <f>'a18'!E7</f>
        <v>-62.286583078097522</v>
      </c>
      <c r="D8" s="9">
        <f>0.25*B8+0.75*C8</f>
        <v>-46.459539597108417</v>
      </c>
      <c r="E8" s="9">
        <f>'a17'!E6</f>
        <v>0.8727805545373527</v>
      </c>
      <c r="F8" s="9">
        <f>'a18'!I7</f>
        <v>-116.88135404071268</v>
      </c>
      <c r="G8" s="9">
        <f>0.25*E8+0.75*F8</f>
        <v>-87.44282039190017</v>
      </c>
      <c r="H8" s="9">
        <f>'a17'!G6</f>
        <v>1.1436584384156738</v>
      </c>
      <c r="I8" s="9">
        <f>'a18'!M7</f>
        <v>-98.855730779303514</v>
      </c>
      <c r="J8" s="9">
        <f>0.25*H8+0.75*I8</f>
        <v>-73.855883474873721</v>
      </c>
      <c r="K8" s="9">
        <f>'a17'!I6</f>
        <v>1.0312638108755161</v>
      </c>
      <c r="L8" s="9">
        <f>'a18'!Q7</f>
        <v>-68.651226370178307</v>
      </c>
      <c r="M8" s="9">
        <f>0.25*K8+0.75*L8</f>
        <v>-51.230603824914851</v>
      </c>
      <c r="N8" s="9">
        <f>'a17'!K6</f>
        <v>1.1437626511802133</v>
      </c>
      <c r="O8" s="9">
        <f>'a18'!U7</f>
        <v>-81.764837110328131</v>
      </c>
      <c r="P8" s="9">
        <f>0.25*N8+0.75*O8</f>
        <v>-61.037687169951042</v>
      </c>
      <c r="Q8" s="9">
        <f>'a17'!M6</f>
        <v>1.0109499208927937</v>
      </c>
      <c r="R8" s="9">
        <f>'a18'!Y7</f>
        <v>-55.394132548030463</v>
      </c>
      <c r="S8" s="9">
        <f>0.25*Q8+0.75*R8</f>
        <v>-41.292861930799653</v>
      </c>
      <c r="T8" s="9">
        <f>'a17'!O6</f>
        <v>1.088978037186628</v>
      </c>
      <c r="U8" s="9">
        <f>'a18'!AC7</f>
        <v>-55.388715171687494</v>
      </c>
      <c r="V8" s="9">
        <f>0.25*T8+0.75*U8</f>
        <v>-41.269291869468965</v>
      </c>
      <c r="W8" s="9">
        <f>'a17'!Q6</f>
        <v>0.98757913569382993</v>
      </c>
      <c r="X8" s="9">
        <f>'a18'!AG7</f>
        <v>-81.967446985555114</v>
      </c>
      <c r="Y8" s="9">
        <f>0.25*W8+0.75*X8</f>
        <v>-61.228690455242877</v>
      </c>
      <c r="Z8" s="9">
        <f>'a17'!S6</f>
        <v>0.71789129206593327</v>
      </c>
      <c r="AA8" s="9">
        <f>'a18'!AK7</f>
        <v>-83.140076790535744</v>
      </c>
      <c r="AB8" s="9">
        <f>0.25*Z8+0.75*AA8</f>
        <v>-62.175584769885326</v>
      </c>
      <c r="AC8" s="9">
        <f>'a17'!U6</f>
        <v>0.76171207289108001</v>
      </c>
      <c r="AD8" s="9">
        <f>'a18'!AO7</f>
        <v>-69.63626017151104</v>
      </c>
      <c r="AE8" s="9">
        <f>0.25*AC8+0.75*AD8</f>
        <v>-52.036767110410516</v>
      </c>
      <c r="AF8" s="9">
        <f>'a17'!W6</f>
        <v>1.1259387061242088</v>
      </c>
      <c r="AG8" s="9">
        <f>'a18'!AS7</f>
        <v>-62.144183471368073</v>
      </c>
      <c r="AH8" s="9">
        <f>0.25*AF8+0.75*AG8</f>
        <v>-46.326652926995003</v>
      </c>
    </row>
    <row r="9" spans="1:34" hidden="1">
      <c r="A9" s="1">
        <v>1972</v>
      </c>
      <c r="B9" s="9">
        <f>'a17'!C7</f>
        <v>1.0215908458588936</v>
      </c>
      <c r="C9" s="9">
        <f>'a18'!E8</f>
        <v>-62.286583078097522</v>
      </c>
      <c r="D9" s="9">
        <f t="shared" ref="D9:D39" si="0">0.25*B9+0.75*C9</f>
        <v>-46.459539597108417</v>
      </c>
      <c r="E9" s="9">
        <f>'a17'!E7</f>
        <v>0.8727805545373527</v>
      </c>
      <c r="F9" s="9">
        <f>'a18'!I8</f>
        <v>-116.88135404071268</v>
      </c>
      <c r="G9" s="9">
        <f t="shared" ref="G9:G39" si="1">0.25*E9+0.75*F9</f>
        <v>-87.44282039190017</v>
      </c>
      <c r="H9" s="9">
        <f>'a17'!G7</f>
        <v>1.1436584384156738</v>
      </c>
      <c r="I9" s="9">
        <f>'a18'!M8</f>
        <v>-98.855730779303514</v>
      </c>
      <c r="J9" s="9">
        <f t="shared" ref="J9:J39" si="2">0.25*H9+0.75*I9</f>
        <v>-73.855883474873721</v>
      </c>
      <c r="K9" s="9">
        <f>'a17'!I7</f>
        <v>1.0312638108755161</v>
      </c>
      <c r="L9" s="9">
        <f>'a18'!Q8</f>
        <v>-68.651226370178307</v>
      </c>
      <c r="M9" s="9">
        <f t="shared" ref="M9:M39" si="3">0.25*K9+0.75*L9</f>
        <v>-51.230603824914851</v>
      </c>
      <c r="N9" s="9">
        <f>'a17'!K7</f>
        <v>1.1437626511802133</v>
      </c>
      <c r="O9" s="9">
        <f>'a18'!U8</f>
        <v>-81.764837110328131</v>
      </c>
      <c r="P9" s="9">
        <f t="shared" ref="P9:P39" si="4">0.25*N9+0.75*O9</f>
        <v>-61.037687169951042</v>
      </c>
      <c r="Q9" s="9">
        <f>'a17'!M7</f>
        <v>1.0109499208927937</v>
      </c>
      <c r="R9" s="9">
        <f>'a18'!Y8</f>
        <v>-55.394132548030463</v>
      </c>
      <c r="S9" s="9">
        <f t="shared" ref="S9:S39" si="5">0.25*Q9+0.75*R9</f>
        <v>-41.292861930799653</v>
      </c>
      <c r="T9" s="9">
        <f>'a17'!O7</f>
        <v>1.088978037186628</v>
      </c>
      <c r="U9" s="9">
        <f>'a18'!AC8</f>
        <v>-55.388715171687494</v>
      </c>
      <c r="V9" s="9">
        <f t="shared" ref="V9:V39" si="6">0.25*T9+0.75*U9</f>
        <v>-41.269291869468965</v>
      </c>
      <c r="W9" s="9">
        <f>'a17'!Q7</f>
        <v>0.98757913569382993</v>
      </c>
      <c r="X9" s="9">
        <f>'a18'!AG8</f>
        <v>-81.967446985555114</v>
      </c>
      <c r="Y9" s="9">
        <f t="shared" ref="Y9:Y39" si="7">0.25*W9+0.75*X9</f>
        <v>-61.228690455242877</v>
      </c>
      <c r="Z9" s="9">
        <f>'a17'!S7</f>
        <v>0.71789129206593327</v>
      </c>
      <c r="AA9" s="9">
        <f>'a18'!AK8</f>
        <v>-83.140076790535744</v>
      </c>
      <c r="AB9" s="9">
        <f t="shared" ref="AB9:AB39" si="8">0.25*Z9+0.75*AA9</f>
        <v>-62.175584769885326</v>
      </c>
      <c r="AC9" s="9">
        <f>'a17'!U7</f>
        <v>0.76171207289108001</v>
      </c>
      <c r="AD9" s="9">
        <f>'a18'!AO8</f>
        <v>-69.63626017151104</v>
      </c>
      <c r="AE9" s="9">
        <f t="shared" ref="AE9:AE38" si="9">0.25*AC9+0.75*AD9</f>
        <v>-52.036767110410516</v>
      </c>
      <c r="AF9" s="9">
        <f>'a17'!W7</f>
        <v>1.1259387061242088</v>
      </c>
      <c r="AG9" s="9">
        <f>'a18'!AS8</f>
        <v>-62.144183471368073</v>
      </c>
      <c r="AH9" s="9">
        <f t="shared" ref="AH9:AH38" si="10">0.25*AF9+0.75*AG9</f>
        <v>-46.326652926995003</v>
      </c>
    </row>
    <row r="10" spans="1:34" hidden="1">
      <c r="A10" s="1">
        <v>1973</v>
      </c>
      <c r="B10" s="9">
        <f>'a17'!C8</f>
        <v>1.0215908458588936</v>
      </c>
      <c r="C10" s="9">
        <f>'a18'!E9</f>
        <v>-62.286583078097522</v>
      </c>
      <c r="D10" s="9">
        <f t="shared" si="0"/>
        <v>-46.459539597108417</v>
      </c>
      <c r="E10" s="9">
        <f>'a17'!E8</f>
        <v>0.8727805545373527</v>
      </c>
      <c r="F10" s="9">
        <f>'a18'!I9</f>
        <v>-116.88135404071268</v>
      </c>
      <c r="G10" s="9">
        <f t="shared" si="1"/>
        <v>-87.44282039190017</v>
      </c>
      <c r="H10" s="9">
        <f>'a17'!G8</f>
        <v>1.1436584384156738</v>
      </c>
      <c r="I10" s="9">
        <f>'a18'!M9</f>
        <v>-98.855730779303514</v>
      </c>
      <c r="J10" s="9">
        <f t="shared" si="2"/>
        <v>-73.855883474873721</v>
      </c>
      <c r="K10" s="9">
        <f>'a17'!I8</f>
        <v>1.0312638108755161</v>
      </c>
      <c r="L10" s="9">
        <f>'a18'!Q9</f>
        <v>-68.651226370178307</v>
      </c>
      <c r="M10" s="9">
        <f t="shared" si="3"/>
        <v>-51.230603824914851</v>
      </c>
      <c r="N10" s="9">
        <f>'a17'!K8</f>
        <v>1.1437626511802133</v>
      </c>
      <c r="O10" s="9">
        <f>'a18'!U9</f>
        <v>-81.764837110328131</v>
      </c>
      <c r="P10" s="9">
        <f t="shared" si="4"/>
        <v>-61.037687169951042</v>
      </c>
      <c r="Q10" s="9">
        <f>'a17'!M8</f>
        <v>1.0109499208927937</v>
      </c>
      <c r="R10" s="9">
        <f>'a18'!Y9</f>
        <v>-55.394132548030463</v>
      </c>
      <c r="S10" s="9">
        <f t="shared" si="5"/>
        <v>-41.292861930799653</v>
      </c>
      <c r="T10" s="9">
        <f>'a17'!O8</f>
        <v>1.0889780371866287</v>
      </c>
      <c r="U10" s="9">
        <f>'a18'!AC9</f>
        <v>-55.388715171687494</v>
      </c>
      <c r="V10" s="9">
        <f t="shared" si="6"/>
        <v>-41.269291869468965</v>
      </c>
      <c r="W10" s="9">
        <f>'a17'!Q8</f>
        <v>0.98757913569382993</v>
      </c>
      <c r="X10" s="9">
        <f>'a18'!AG9</f>
        <v>-81.967446985555114</v>
      </c>
      <c r="Y10" s="9">
        <f t="shared" si="7"/>
        <v>-61.228690455242877</v>
      </c>
      <c r="Z10" s="9">
        <f>'a17'!S8</f>
        <v>0.71789129206593327</v>
      </c>
      <c r="AA10" s="9">
        <f>'a18'!AK9</f>
        <v>-83.140076790535744</v>
      </c>
      <c r="AB10" s="9">
        <f t="shared" si="8"/>
        <v>-62.175584769885326</v>
      </c>
      <c r="AC10" s="9">
        <f>'a17'!U8</f>
        <v>0.76171207289108001</v>
      </c>
      <c r="AD10" s="9">
        <f>'a18'!AO9</f>
        <v>-69.63626017151104</v>
      </c>
      <c r="AE10" s="9">
        <f t="shared" si="9"/>
        <v>-52.036767110410516</v>
      </c>
      <c r="AF10" s="9">
        <f>'a17'!W8</f>
        <v>1.1259387061242088</v>
      </c>
      <c r="AG10" s="9">
        <f>'a18'!AS9</f>
        <v>-62.144183471368073</v>
      </c>
      <c r="AH10" s="9">
        <f t="shared" si="10"/>
        <v>-46.326652926995003</v>
      </c>
    </row>
    <row r="11" spans="1:34" hidden="1">
      <c r="A11" s="1">
        <v>1974</v>
      </c>
      <c r="B11" s="9">
        <f>'a17'!C9</f>
        <v>1.0290968882299463</v>
      </c>
      <c r="C11" s="9">
        <f>'a18'!E10</f>
        <v>-62.286583078097522</v>
      </c>
      <c r="D11" s="9">
        <f t="shared" si="0"/>
        <v>-46.457663086515652</v>
      </c>
      <c r="E11" s="9">
        <f>'a17'!E9</f>
        <v>0.88419732943445772</v>
      </c>
      <c r="F11" s="9">
        <f>'a18'!I10</f>
        <v>-116.88135404071268</v>
      </c>
      <c r="G11" s="9">
        <f t="shared" si="1"/>
        <v>-87.439966198175895</v>
      </c>
      <c r="H11" s="9">
        <f>'a17'!G9</f>
        <v>1.1900034421071779</v>
      </c>
      <c r="I11" s="9">
        <f>'a18'!M10</f>
        <v>-98.855730779303514</v>
      </c>
      <c r="J11" s="9">
        <f t="shared" si="2"/>
        <v>-73.844297223950846</v>
      </c>
      <c r="K11" s="9">
        <f>'a17'!I9</f>
        <v>1.0529170886337511</v>
      </c>
      <c r="L11" s="9">
        <f>'a18'!Q10</f>
        <v>-68.651226370178307</v>
      </c>
      <c r="M11" s="9">
        <f t="shared" si="3"/>
        <v>-51.22519050547529</v>
      </c>
      <c r="N11" s="9">
        <f>'a17'!K9</f>
        <v>1.1290599917659598</v>
      </c>
      <c r="O11" s="9">
        <f>'a18'!U10</f>
        <v>-81.764837110328131</v>
      </c>
      <c r="P11" s="9">
        <f t="shared" si="4"/>
        <v>-61.041362834804609</v>
      </c>
      <c r="Q11" s="9">
        <f>'a17'!M9</f>
        <v>1.0567802573158454</v>
      </c>
      <c r="R11" s="9">
        <f>'a18'!Y10</f>
        <v>-55.394132548030463</v>
      </c>
      <c r="S11" s="9">
        <f t="shared" si="5"/>
        <v>-41.28140434669389</v>
      </c>
      <c r="T11" s="9">
        <f>'a17'!O9</f>
        <v>1.0994934474565725</v>
      </c>
      <c r="U11" s="9">
        <f>'a18'!AC10</f>
        <v>-55.388715171687494</v>
      </c>
      <c r="V11" s="9">
        <f t="shared" si="6"/>
        <v>-41.266663016901475</v>
      </c>
      <c r="W11" s="9">
        <f>'a17'!Q9</f>
        <v>1.0226805498786165</v>
      </c>
      <c r="X11" s="9">
        <f>'a18'!AG10</f>
        <v>-81.967446985555114</v>
      </c>
      <c r="Y11" s="9">
        <f t="shared" si="7"/>
        <v>-61.219915101696678</v>
      </c>
      <c r="Z11" s="9">
        <f>'a17'!S9</f>
        <v>0.64206057943912598</v>
      </c>
      <c r="AA11" s="9">
        <f>'a18'!AK10</f>
        <v>-83.140076790535744</v>
      </c>
      <c r="AB11" s="9">
        <f t="shared" si="8"/>
        <v>-62.194542448042029</v>
      </c>
      <c r="AC11" s="9">
        <f>'a17'!U9</f>
        <v>0.674672430217096</v>
      </c>
      <c r="AD11" s="9">
        <f>'a18'!AO10</f>
        <v>-69.63626017151104</v>
      </c>
      <c r="AE11" s="9">
        <f t="shared" si="9"/>
        <v>-52.058527021079009</v>
      </c>
      <c r="AF11" s="9">
        <f>'a17'!W9</f>
        <v>1.0532822168642064</v>
      </c>
      <c r="AG11" s="9">
        <f>'a18'!AS10</f>
        <v>-62.144183471368073</v>
      </c>
      <c r="AH11" s="9">
        <f t="shared" si="10"/>
        <v>-46.344817049310002</v>
      </c>
    </row>
    <row r="12" spans="1:34" hidden="1">
      <c r="A12" s="1">
        <v>1975</v>
      </c>
      <c r="B12" s="9">
        <f>'a17'!C10</f>
        <v>1.0366029306009985</v>
      </c>
      <c r="C12" s="9">
        <f>'a18'!E11</f>
        <v>-62.286583078097522</v>
      </c>
      <c r="D12" s="9">
        <f t="shared" si="0"/>
        <v>-46.455786575922893</v>
      </c>
      <c r="E12" s="9">
        <f>'a17'!E10</f>
        <v>0.89561410433156263</v>
      </c>
      <c r="F12" s="9">
        <f>'a18'!I11</f>
        <v>-116.88135404071268</v>
      </c>
      <c r="G12" s="9">
        <f t="shared" si="1"/>
        <v>-87.43711200445162</v>
      </c>
      <c r="H12" s="9">
        <f>'a17'!G10</f>
        <v>1.2363484457986815</v>
      </c>
      <c r="I12" s="9">
        <f>'a18'!M11</f>
        <v>-98.855730779303514</v>
      </c>
      <c r="J12" s="9">
        <f t="shared" si="2"/>
        <v>-73.832710973027972</v>
      </c>
      <c r="K12" s="9">
        <f>'a17'!I10</f>
        <v>1.074570366391987</v>
      </c>
      <c r="L12" s="9">
        <f>'a18'!Q11</f>
        <v>-68.651226370178307</v>
      </c>
      <c r="M12" s="9">
        <f t="shared" si="3"/>
        <v>-51.219777186035735</v>
      </c>
      <c r="N12" s="9">
        <f>'a17'!K10</f>
        <v>1.1143573323517078</v>
      </c>
      <c r="O12" s="9">
        <f>'a18'!U11</f>
        <v>-81.764837110328131</v>
      </c>
      <c r="P12" s="9">
        <f t="shared" si="4"/>
        <v>-61.045038499658169</v>
      </c>
      <c r="Q12" s="9">
        <f>'a17'!M10</f>
        <v>1.1026105937388964</v>
      </c>
      <c r="R12" s="9">
        <f>'a18'!Y11</f>
        <v>-55.394132548030463</v>
      </c>
      <c r="S12" s="9">
        <f t="shared" si="5"/>
        <v>-41.269946762588127</v>
      </c>
      <c r="T12" s="9">
        <f>'a17'!O10</f>
        <v>1.1100088577265168</v>
      </c>
      <c r="U12" s="9">
        <f>'a18'!AC11</f>
        <v>-55.388715171687494</v>
      </c>
      <c r="V12" s="9">
        <f t="shared" si="6"/>
        <v>-41.264034164333992</v>
      </c>
      <c r="W12" s="9">
        <f>'a17'!Q10</f>
        <v>1.0577819640634036</v>
      </c>
      <c r="X12" s="9">
        <f>'a18'!AG11</f>
        <v>-81.967446985555114</v>
      </c>
      <c r="Y12" s="9">
        <f t="shared" si="7"/>
        <v>-61.211139748150487</v>
      </c>
      <c r="Z12" s="9">
        <f>'a17'!S10</f>
        <v>0.56622986681231879</v>
      </c>
      <c r="AA12" s="9">
        <f>'a18'!AK11</f>
        <v>-83.140076790535744</v>
      </c>
      <c r="AB12" s="9">
        <f t="shared" si="8"/>
        <v>-62.213500126198731</v>
      </c>
      <c r="AC12" s="9">
        <f>'a17'!U10</f>
        <v>0.58763278754311199</v>
      </c>
      <c r="AD12" s="9">
        <f>'a18'!AO11</f>
        <v>-69.63626017151104</v>
      </c>
      <c r="AE12" s="9">
        <f t="shared" si="9"/>
        <v>-52.080286931747509</v>
      </c>
      <c r="AF12" s="9">
        <f>'a17'!W10</f>
        <v>0.98062572760420463</v>
      </c>
      <c r="AG12" s="9">
        <f>'a18'!AS11</f>
        <v>-62.144183471368073</v>
      </c>
      <c r="AH12" s="9">
        <f t="shared" si="10"/>
        <v>-46.362981171625002</v>
      </c>
    </row>
    <row r="13" spans="1:34" hidden="1">
      <c r="A13" s="1">
        <v>1976</v>
      </c>
      <c r="B13" s="9">
        <f>'a17'!C11</f>
        <v>1.0478619941575766</v>
      </c>
      <c r="C13" s="9">
        <f>'a18'!E12</f>
        <v>-62.286583078097522</v>
      </c>
      <c r="D13" s="9">
        <f t="shared" si="0"/>
        <v>-46.452971810033745</v>
      </c>
      <c r="E13" s="9">
        <f>'a17'!E11</f>
        <v>0.99532060509961151</v>
      </c>
      <c r="F13" s="9">
        <f>'a18'!I12</f>
        <v>-116.88135404071268</v>
      </c>
      <c r="G13" s="9">
        <f t="shared" si="1"/>
        <v>-87.412185379259611</v>
      </c>
      <c r="H13" s="9">
        <f>'a17'!G11</f>
        <v>1.2249748893371921</v>
      </c>
      <c r="I13" s="9">
        <f>'a18'!M12</f>
        <v>-98.855730779303514</v>
      </c>
      <c r="J13" s="9">
        <f t="shared" si="2"/>
        <v>-73.835554362143341</v>
      </c>
      <c r="K13" s="9">
        <f>'a17'!I11</f>
        <v>1.0570302658498354</v>
      </c>
      <c r="L13" s="9">
        <f>'a18'!Q12</f>
        <v>-68.651226370178307</v>
      </c>
      <c r="M13" s="9">
        <f t="shared" si="3"/>
        <v>-51.224162211171269</v>
      </c>
      <c r="N13" s="9">
        <f>'a17'!K11</f>
        <v>1.069086169028707</v>
      </c>
      <c r="O13" s="9">
        <f>'a18'!U12</f>
        <v>-81.764837110328131</v>
      </c>
      <c r="P13" s="9">
        <f t="shared" si="4"/>
        <v>-61.056356290488921</v>
      </c>
      <c r="Q13" s="9">
        <f>'a17'!M11</f>
        <v>1.0901972276428484</v>
      </c>
      <c r="R13" s="9">
        <f>'a18'!Y12</f>
        <v>-55.394132548030463</v>
      </c>
      <c r="S13" s="9">
        <f t="shared" si="5"/>
        <v>-41.273050104112137</v>
      </c>
      <c r="T13" s="9">
        <f>'a17'!O11</f>
        <v>1.0945733931100852</v>
      </c>
      <c r="U13" s="9">
        <f>'a18'!AC12</f>
        <v>-55.388715171687494</v>
      </c>
      <c r="V13" s="9">
        <f t="shared" si="6"/>
        <v>-41.267893030488096</v>
      </c>
      <c r="W13" s="9">
        <f>'a17'!Q11</f>
        <v>0.99196092296790328</v>
      </c>
      <c r="X13" s="9">
        <f>'a18'!AG12</f>
        <v>-81.967446985555114</v>
      </c>
      <c r="Y13" s="9">
        <f t="shared" si="7"/>
        <v>-61.227595008424359</v>
      </c>
      <c r="Z13" s="9">
        <f>'a17'!S11</f>
        <v>0.69448143191788458</v>
      </c>
      <c r="AA13" s="9">
        <f>'a18'!AK12</f>
        <v>-83.140076790535744</v>
      </c>
      <c r="AB13" s="9">
        <f t="shared" si="8"/>
        <v>-62.181437234922335</v>
      </c>
      <c r="AC13" s="9">
        <f>'a17'!U11</f>
        <v>0.72278906391115183</v>
      </c>
      <c r="AD13" s="9">
        <f>'a18'!AO12</f>
        <v>-69.63626017151104</v>
      </c>
      <c r="AE13" s="9">
        <f t="shared" si="9"/>
        <v>-52.046497862655492</v>
      </c>
      <c r="AF13" s="9">
        <f>'a17'!W11</f>
        <v>1.0298868273224864</v>
      </c>
      <c r="AG13" s="9">
        <f>'a18'!AS12</f>
        <v>-62.144183471368073</v>
      </c>
      <c r="AH13" s="9">
        <f t="shared" si="10"/>
        <v>-46.350665896695432</v>
      </c>
    </row>
    <row r="14" spans="1:34" hidden="1">
      <c r="A14" s="1">
        <v>1977</v>
      </c>
      <c r="B14" s="9">
        <f>'a17'!C12</f>
        <v>1.0591210577141548</v>
      </c>
      <c r="C14" s="9">
        <f>'a18'!E13</f>
        <v>-71.006392039738174</v>
      </c>
      <c r="D14" s="9">
        <f t="shared" si="0"/>
        <v>-52.990013765375096</v>
      </c>
      <c r="E14" s="9">
        <f>'a17'!E12</f>
        <v>1.0950271058676606</v>
      </c>
      <c r="F14" s="9">
        <f>'a18'!I13</f>
        <v>-95.419256791687317</v>
      </c>
      <c r="G14" s="9">
        <f t="shared" si="1"/>
        <v>-71.290685817298581</v>
      </c>
      <c r="H14" s="9">
        <f>'a17'!G12</f>
        <v>1.2136013328757025</v>
      </c>
      <c r="I14" s="9">
        <f>'a18'!M13</f>
        <v>-93.321958236052723</v>
      </c>
      <c r="J14" s="9">
        <f t="shared" si="2"/>
        <v>-69.688068343820603</v>
      </c>
      <c r="K14" s="9">
        <f>'a17'!I12</f>
        <v>1.0394901653076836</v>
      </c>
      <c r="L14" s="9">
        <f>'a18'!Q13</f>
        <v>-79.287238735417205</v>
      </c>
      <c r="M14" s="9">
        <f t="shared" si="3"/>
        <v>-59.205556510235986</v>
      </c>
      <c r="N14" s="9">
        <f>'a17'!K12</f>
        <v>1.0238150057057063</v>
      </c>
      <c r="O14" s="9">
        <f>'a18'!U13</f>
        <v>-92.031693973339088</v>
      </c>
      <c r="P14" s="9">
        <f t="shared" si="4"/>
        <v>-68.767816728577884</v>
      </c>
      <c r="Q14" s="9">
        <f>'a17'!M12</f>
        <v>1.0777838615468003</v>
      </c>
      <c r="R14" s="9">
        <f>'a18'!Y13</f>
        <v>-75.155947536270119</v>
      </c>
      <c r="S14" s="9">
        <f t="shared" si="5"/>
        <v>-56.097514686815892</v>
      </c>
      <c r="T14" s="9">
        <f>'a17'!O12</f>
        <v>1.0791379284936533</v>
      </c>
      <c r="U14" s="9">
        <f>'a18'!AC13</f>
        <v>-59.018512103657017</v>
      </c>
      <c r="V14" s="9">
        <f t="shared" si="6"/>
        <v>-43.994099595619346</v>
      </c>
      <c r="W14" s="9">
        <f>'a17'!Q12</f>
        <v>0.92613988187240337</v>
      </c>
      <c r="X14" s="9">
        <f>'a18'!AG13</f>
        <v>-103.25433080543077</v>
      </c>
      <c r="Y14" s="9">
        <f t="shared" si="7"/>
        <v>-77.209213133604976</v>
      </c>
      <c r="Z14" s="9">
        <f>'a17'!S12</f>
        <v>0.82273299702345082</v>
      </c>
      <c r="AA14" s="9">
        <f>'a18'!AK13</f>
        <v>-96.024455120287428</v>
      </c>
      <c r="AB14" s="9">
        <f t="shared" si="8"/>
        <v>-71.812658090959701</v>
      </c>
      <c r="AC14" s="9">
        <f>'a17'!U12</f>
        <v>0.85794534027919167</v>
      </c>
      <c r="AD14" s="9">
        <f>'a18'!AO13</f>
        <v>-66.663513598852873</v>
      </c>
      <c r="AE14" s="9">
        <f t="shared" si="9"/>
        <v>-49.783148864069851</v>
      </c>
      <c r="AF14" s="9">
        <f>'a17'!W12</f>
        <v>1.0791479270407676</v>
      </c>
      <c r="AG14" s="9">
        <f>'a18'!AS13</f>
        <v>-66.58256251807083</v>
      </c>
      <c r="AH14" s="9">
        <f t="shared" si="10"/>
        <v>-49.667134906792931</v>
      </c>
    </row>
    <row r="15" spans="1:34" hidden="1">
      <c r="A15" s="1">
        <v>1978</v>
      </c>
      <c r="B15" s="9">
        <f>'a17'!C13</f>
        <v>1.0501138068688918</v>
      </c>
      <c r="C15" s="9">
        <f>'a18'!E14</f>
        <v>-63.475310229925839</v>
      </c>
      <c r="D15" s="9">
        <f t="shared" si="0"/>
        <v>-47.343954220727156</v>
      </c>
      <c r="E15" s="9">
        <f>'a17'!E13</f>
        <v>1.0609670607579644</v>
      </c>
      <c r="F15" s="9">
        <f>'a18'!I14</f>
        <v>-116.57798096550648</v>
      </c>
      <c r="G15" s="9">
        <f t="shared" si="1"/>
        <v>-87.16824395894038</v>
      </c>
      <c r="H15" s="9">
        <f>'a17'!G13</f>
        <v>1.1964962204021228</v>
      </c>
      <c r="I15" s="9">
        <f>'a18'!M14</f>
        <v>-98.483634415632253</v>
      </c>
      <c r="J15" s="9">
        <f t="shared" si="2"/>
        <v>-73.563601756623655</v>
      </c>
      <c r="K15" s="9">
        <f>'a17'!I13</f>
        <v>1.0357552112838828</v>
      </c>
      <c r="L15" s="9">
        <f>'a18'!Q14</f>
        <v>-77.832595796239787</v>
      </c>
      <c r="M15" s="9">
        <f t="shared" si="3"/>
        <v>-58.115508044358869</v>
      </c>
      <c r="N15" s="9">
        <f>'a17'!K13</f>
        <v>1.0368892060076209</v>
      </c>
      <c r="O15" s="9">
        <f>'a18'!U14</f>
        <v>-102.99630890932428</v>
      </c>
      <c r="P15" s="9">
        <f t="shared" si="4"/>
        <v>-76.988009380491306</v>
      </c>
      <c r="Q15" s="9">
        <f>'a17'!M13</f>
        <v>1.0737719371431349</v>
      </c>
      <c r="R15" s="9">
        <f>'a18'!Y14</f>
        <v>-60.595587748185487</v>
      </c>
      <c r="S15" s="9">
        <f t="shared" si="5"/>
        <v>-45.17824782685333</v>
      </c>
      <c r="T15" s="9">
        <f>'a17'!O13</f>
        <v>1.06543895364657</v>
      </c>
      <c r="U15" s="9">
        <f>'a18'!AC14</f>
        <v>-53.244827179503382</v>
      </c>
      <c r="V15" s="9">
        <f t="shared" si="6"/>
        <v>-39.667260646215894</v>
      </c>
      <c r="W15" s="9">
        <f>'a17'!Q13</f>
        <v>0.95233637353245892</v>
      </c>
      <c r="X15" s="9">
        <f>'a18'!AG14</f>
        <v>-114.32806717918143</v>
      </c>
      <c r="Y15" s="9">
        <f t="shared" si="7"/>
        <v>-85.507966291002973</v>
      </c>
      <c r="Z15" s="9">
        <f>'a17'!S13</f>
        <v>0.80420617518849291</v>
      </c>
      <c r="AA15" s="9">
        <f>'a18'!AK14</f>
        <v>-75.653262684554548</v>
      </c>
      <c r="AB15" s="9">
        <f t="shared" si="8"/>
        <v>-56.538895469618794</v>
      </c>
      <c r="AC15" s="9">
        <f>'a17'!U13</f>
        <v>0.84505427953872814</v>
      </c>
      <c r="AD15" s="9">
        <f>'a18'!AO14</f>
        <v>-52.922725460368639</v>
      </c>
      <c r="AE15" s="9">
        <f t="shared" si="9"/>
        <v>-39.4807805253918</v>
      </c>
      <c r="AF15" s="9">
        <f>'a17'!W13</f>
        <v>1.075951041513328</v>
      </c>
      <c r="AG15" s="9">
        <f>'a18'!AS14</f>
        <v>-59.775706534222657</v>
      </c>
      <c r="AH15" s="9">
        <f t="shared" si="10"/>
        <v>-44.562792140288664</v>
      </c>
    </row>
    <row r="16" spans="1:34" hidden="1">
      <c r="A16" s="1">
        <v>1979</v>
      </c>
      <c r="B16" s="9">
        <f>'a17'!C14</f>
        <v>1.0411065560236294</v>
      </c>
      <c r="C16" s="9">
        <f>'a18'!E15</f>
        <v>-65.552951448544519</v>
      </c>
      <c r="D16" s="9">
        <f t="shared" si="0"/>
        <v>-48.90443694740248</v>
      </c>
      <c r="E16" s="9">
        <f>'a17'!E14</f>
        <v>1.0269070156482678</v>
      </c>
      <c r="F16" s="9">
        <f>'a18'!I15</f>
        <v>-104.11368147560664</v>
      </c>
      <c r="G16" s="9">
        <f t="shared" si="1"/>
        <v>-77.828534352792914</v>
      </c>
      <c r="H16" s="9">
        <f>'a17'!G14</f>
        <v>1.1793911079285437</v>
      </c>
      <c r="I16" s="9">
        <f>'a18'!M15</f>
        <v>-90.576431905436735</v>
      </c>
      <c r="J16" s="9">
        <f t="shared" si="2"/>
        <v>-67.637476152095417</v>
      </c>
      <c r="K16" s="9">
        <f>'a17'!I14</f>
        <v>1.0320202572600818</v>
      </c>
      <c r="L16" s="9">
        <f>'a18'!Q15</f>
        <v>-75.336578341762774</v>
      </c>
      <c r="M16" s="9">
        <f t="shared" si="3"/>
        <v>-56.244428692007055</v>
      </c>
      <c r="N16" s="9">
        <f>'a17'!K14</f>
        <v>1.049963406309536</v>
      </c>
      <c r="O16" s="9">
        <f>'a18'!U15</f>
        <v>-92.408743366809631</v>
      </c>
      <c r="P16" s="9">
        <f t="shared" si="4"/>
        <v>-69.044066673529841</v>
      </c>
      <c r="Q16" s="9">
        <f>'a17'!M14</f>
        <v>1.06976001273947</v>
      </c>
      <c r="R16" s="9">
        <f>'a18'!Y15</f>
        <v>-66.590611191494673</v>
      </c>
      <c r="S16" s="9">
        <f t="shared" si="5"/>
        <v>-49.675518390436139</v>
      </c>
      <c r="T16" s="9">
        <f>'a17'!O14</f>
        <v>1.0517399787994868</v>
      </c>
      <c r="U16" s="9">
        <f>'a18'!AC15</f>
        <v>-56.96083778641669</v>
      </c>
      <c r="V16" s="9">
        <f t="shared" si="6"/>
        <v>-42.457693345112652</v>
      </c>
      <c r="W16" s="9">
        <f>'a17'!Q14</f>
        <v>0.97853286519251492</v>
      </c>
      <c r="X16" s="9">
        <f>'a18'!AG15</f>
        <v>-90.836465969899194</v>
      </c>
      <c r="Y16" s="9">
        <f t="shared" si="7"/>
        <v>-67.882716261126262</v>
      </c>
      <c r="Z16" s="9">
        <f>'a17'!S14</f>
        <v>0.78567935335353445</v>
      </c>
      <c r="AA16" s="9">
        <f>'a18'!AK15</f>
        <v>-89.499147924092355</v>
      </c>
      <c r="AB16" s="9">
        <f t="shared" si="8"/>
        <v>-66.927941104730877</v>
      </c>
      <c r="AC16" s="9">
        <f>'a17'!U14</f>
        <v>0.83216321879826372</v>
      </c>
      <c r="AD16" s="9">
        <f>'a18'!AO15</f>
        <v>-60.366200555606135</v>
      </c>
      <c r="AE16" s="9">
        <f t="shared" si="9"/>
        <v>-45.066609612005038</v>
      </c>
      <c r="AF16" s="9">
        <f>'a17'!W14</f>
        <v>1.0727541559858884</v>
      </c>
      <c r="AG16" s="9">
        <f>'a18'!AS15</f>
        <v>-60.060815312043978</v>
      </c>
      <c r="AH16" s="9">
        <f t="shared" si="10"/>
        <v>-44.777422945036513</v>
      </c>
    </row>
    <row r="17" spans="1:34" hidden="1">
      <c r="A17" s="1">
        <v>1980</v>
      </c>
      <c r="B17" s="9">
        <f>'a17'!C15</f>
        <v>0.57616487455197141</v>
      </c>
      <c r="C17" s="9">
        <f>'a18'!E16</f>
        <v>-60.644189353090972</v>
      </c>
      <c r="D17" s="9">
        <f t="shared" si="0"/>
        <v>-45.339100796180233</v>
      </c>
      <c r="E17" s="9">
        <f>'a17'!E15</f>
        <v>0.59408602150537648</v>
      </c>
      <c r="F17" s="9">
        <f>'a18'!I16</f>
        <v>-126.25558206458382</v>
      </c>
      <c r="G17" s="9">
        <f t="shared" si="1"/>
        <v>-94.543165043061521</v>
      </c>
      <c r="H17" s="9">
        <f>'a17'!G15</f>
        <v>0.5492831541218639</v>
      </c>
      <c r="I17" s="9">
        <f>'a18'!M16</f>
        <v>-73.506433830927094</v>
      </c>
      <c r="J17" s="9">
        <f t="shared" si="2"/>
        <v>-54.99250458466485</v>
      </c>
      <c r="K17" s="9">
        <f>'a17'!I15</f>
        <v>0.6836917562724012</v>
      </c>
      <c r="L17" s="9">
        <f>'a18'!Q16</f>
        <v>-65.815307245725393</v>
      </c>
      <c r="M17" s="9">
        <f t="shared" si="3"/>
        <v>-49.190557495225946</v>
      </c>
      <c r="N17" s="9">
        <f>'a17'!K15</f>
        <v>0.76433691756272393</v>
      </c>
      <c r="O17" s="9">
        <f>'a18'!U16</f>
        <v>-80.330625419072746</v>
      </c>
      <c r="P17" s="9">
        <f t="shared" si="4"/>
        <v>-60.056884834913873</v>
      </c>
      <c r="Q17" s="9">
        <f>'a17'!M15</f>
        <v>0.65681003584229414</v>
      </c>
      <c r="R17" s="9">
        <f>'a18'!Y16</f>
        <v>-65.834190671835159</v>
      </c>
      <c r="S17" s="9">
        <f t="shared" si="5"/>
        <v>-49.211440494915799</v>
      </c>
      <c r="T17" s="9">
        <f>'a17'!O15</f>
        <v>0.67473118279569866</v>
      </c>
      <c r="U17" s="9">
        <f>'a18'!AC16</f>
        <v>-50.236790269525315</v>
      </c>
      <c r="V17" s="9">
        <f t="shared" si="6"/>
        <v>-37.508909906445055</v>
      </c>
      <c r="W17" s="9">
        <f>'a17'!Q15</f>
        <v>0.49551971326164873</v>
      </c>
      <c r="X17" s="9">
        <f>'a18'!AG16</f>
        <v>-77.742512566765299</v>
      </c>
      <c r="Y17" s="9">
        <f t="shared" si="7"/>
        <v>-58.183004496758564</v>
      </c>
      <c r="Z17" s="9">
        <f>'a17'!S15</f>
        <v>0.51344086021505375</v>
      </c>
      <c r="AA17" s="9">
        <f>'a18'!AK16</f>
        <v>-62.434554843351158</v>
      </c>
      <c r="AB17" s="9">
        <f t="shared" si="8"/>
        <v>-46.69755591745961</v>
      </c>
      <c r="AC17" s="9">
        <f>'a17'!U15</f>
        <v>0.39695340501792098</v>
      </c>
      <c r="AD17" s="9">
        <f>'a18'!AO16</f>
        <v>-57.192701493895704</v>
      </c>
      <c r="AE17" s="9">
        <f t="shared" si="9"/>
        <v>-42.795287769167302</v>
      </c>
      <c r="AF17" s="9">
        <f>'a17'!W15</f>
        <v>0.46863799283154117</v>
      </c>
      <c r="AG17" s="9">
        <f>'a18'!AS16</f>
        <v>-56.375915923557422</v>
      </c>
      <c r="AH17" s="9">
        <f t="shared" si="10"/>
        <v>-42.164777444460185</v>
      </c>
    </row>
    <row r="18" spans="1:34" hidden="1">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row>
    <row r="19" spans="1:34">
      <c r="A19" s="1">
        <v>1981</v>
      </c>
      <c r="B19" s="9">
        <f>'a17'!C17</f>
        <v>0.6209677419354841</v>
      </c>
      <c r="C19" s="9">
        <f>'a18'!E17</f>
        <v>0.64834711204310613</v>
      </c>
      <c r="D19" s="9">
        <f t="shared" si="0"/>
        <v>0.6415022695162006</v>
      </c>
      <c r="E19" s="9">
        <f>'a17'!E17</f>
        <v>0.80913978494623651</v>
      </c>
      <c r="F19" s="9">
        <f>'a18'!I17</f>
        <v>0.32143011925038384</v>
      </c>
      <c r="G19" s="9">
        <f t="shared" si="1"/>
        <v>0.44335753567434699</v>
      </c>
      <c r="H19" s="9">
        <f>'a17'!G17</f>
        <v>0.70161290322580627</v>
      </c>
      <c r="I19" s="9">
        <f>'a18'!M17</f>
        <v>0.35543731228790981</v>
      </c>
      <c r="J19" s="9">
        <f t="shared" si="2"/>
        <v>0.44198121002238394</v>
      </c>
      <c r="K19" s="9">
        <f>'a17'!I17</f>
        <v>0.67473118279569866</v>
      </c>
      <c r="L19" s="9">
        <f>'a18'!Q17</f>
        <v>0.47448647915734105</v>
      </c>
      <c r="M19" s="9">
        <f t="shared" si="3"/>
        <v>0.52454765506693046</v>
      </c>
      <c r="N19" s="9">
        <f>'a17'!K17</f>
        <v>0.58512544802867394</v>
      </c>
      <c r="O19" s="9">
        <f>'a18'!U17</f>
        <v>0.2722031943327432</v>
      </c>
      <c r="P19" s="9">
        <f t="shared" si="4"/>
        <v>0.35043375775672592</v>
      </c>
      <c r="Q19" s="9">
        <f>'a17'!M17</f>
        <v>0.6478494623655916</v>
      </c>
      <c r="R19" s="9">
        <f>'a18'!Y17</f>
        <v>0.58071658577749874</v>
      </c>
      <c r="S19" s="9">
        <f t="shared" si="5"/>
        <v>0.59749980492452193</v>
      </c>
      <c r="T19" s="9">
        <f>'a17'!O17</f>
        <v>0.71057347670250881</v>
      </c>
      <c r="U19" s="9">
        <f>'a18'!AC17</f>
        <v>0.78009151341682903</v>
      </c>
      <c r="V19" s="9">
        <f t="shared" si="6"/>
        <v>0.76271200423824892</v>
      </c>
      <c r="W19" s="9">
        <f>'a17'!Q17</f>
        <v>0.53136200716845883</v>
      </c>
      <c r="X19" s="9">
        <f>'a18'!AG17</f>
        <v>0.46761569813264592</v>
      </c>
      <c r="Y19" s="9">
        <f t="shared" si="7"/>
        <v>0.48355227539159917</v>
      </c>
      <c r="Z19" s="9">
        <f>'a17'!S17</f>
        <v>0.37007168458781342</v>
      </c>
      <c r="AA19" s="9">
        <f>'a18'!AK17</f>
        <v>0.37806491936157888</v>
      </c>
      <c r="AB19" s="9">
        <f t="shared" si="8"/>
        <v>0.37606661066813751</v>
      </c>
      <c r="AC19" s="9">
        <f>'a17'!U17</f>
        <v>0.63888888888888906</v>
      </c>
      <c r="AD19" s="9">
        <f>'a18'!AO17</f>
        <v>0.73927080876166229</v>
      </c>
      <c r="AE19" s="9">
        <f t="shared" si="9"/>
        <v>0.7141753287934689</v>
      </c>
      <c r="AF19" s="9">
        <f>'a17'!W17</f>
        <v>0.56720430107526898</v>
      </c>
      <c r="AG19" s="9">
        <f>'a18'!AS17</f>
        <v>0.69155920139824034</v>
      </c>
      <c r="AH19" s="9">
        <f t="shared" si="10"/>
        <v>0.66047047631749756</v>
      </c>
    </row>
    <row r="20" spans="1:34">
      <c r="A20" s="1">
        <v>1982</v>
      </c>
      <c r="B20" s="9">
        <f>'a17'!C18</f>
        <v>0.59408602150537648</v>
      </c>
      <c r="C20" s="9">
        <f>'a18'!E18</f>
        <v>0.64641543042138527</v>
      </c>
      <c r="D20" s="9">
        <f t="shared" si="0"/>
        <v>0.63333307819238305</v>
      </c>
      <c r="E20" s="9">
        <f>'a17'!E18</f>
        <v>0.82706093189964158</v>
      </c>
      <c r="F20" s="9">
        <f>'a18'!I18</f>
        <v>0.26945890625957725</v>
      </c>
      <c r="G20" s="9">
        <f t="shared" si="1"/>
        <v>0.40885941266959336</v>
      </c>
      <c r="H20" s="9">
        <f>'a17'!G18</f>
        <v>0.73745519713261631</v>
      </c>
      <c r="I20" s="9">
        <f>'a18'!M18</f>
        <v>0.52178481809688493</v>
      </c>
      <c r="J20" s="9">
        <f t="shared" si="2"/>
        <v>0.5757024128558178</v>
      </c>
      <c r="K20" s="9">
        <f>'a17'!I18</f>
        <v>0.62992831541218663</v>
      </c>
      <c r="L20" s="9">
        <f>'a18'!Q18</f>
        <v>0.48179838939853509</v>
      </c>
      <c r="M20" s="9">
        <f t="shared" si="3"/>
        <v>0.51883087090194802</v>
      </c>
      <c r="N20" s="9">
        <f>'a17'!K18</f>
        <v>0.59408602150537648</v>
      </c>
      <c r="O20" s="9">
        <f>'a18'!U18</f>
        <v>0.28186624590678533</v>
      </c>
      <c r="P20" s="9">
        <f t="shared" si="4"/>
        <v>0.35992118980643312</v>
      </c>
      <c r="Q20" s="9">
        <f>'a17'!M18</f>
        <v>0.65681003584229414</v>
      </c>
      <c r="R20" s="9">
        <f>'a18'!Y18</f>
        <v>0.60246967352723213</v>
      </c>
      <c r="S20" s="9">
        <f t="shared" si="5"/>
        <v>0.61605476410599769</v>
      </c>
      <c r="T20" s="9">
        <f>'a17'!O18</f>
        <v>0.66577060931899623</v>
      </c>
      <c r="U20" s="9">
        <f>'a18'!AC18</f>
        <v>0.76219095415785187</v>
      </c>
      <c r="V20" s="9">
        <f t="shared" si="6"/>
        <v>0.73808586794813802</v>
      </c>
      <c r="W20" s="9">
        <f>'a17'!Q18</f>
        <v>0.52240143369175629</v>
      </c>
      <c r="X20" s="9">
        <f>'a18'!AG18</f>
        <v>0.51205366236310279</v>
      </c>
      <c r="Y20" s="9">
        <f t="shared" si="7"/>
        <v>0.51464060519526611</v>
      </c>
      <c r="Z20" s="9">
        <f>'a17'!S18</f>
        <v>0.48655913978494619</v>
      </c>
      <c r="AA20" s="9">
        <f>'a18'!AK18</f>
        <v>0.5288475290263025</v>
      </c>
      <c r="AB20" s="9">
        <f t="shared" si="8"/>
        <v>0.51827543171596335</v>
      </c>
      <c r="AC20" s="9">
        <f>'a17'!U18</f>
        <v>0.53136200716845883</v>
      </c>
      <c r="AD20" s="9">
        <f>'a18'!AO18</f>
        <v>0.77239729118800282</v>
      </c>
      <c r="AE20" s="9">
        <f t="shared" si="9"/>
        <v>0.71213847018311682</v>
      </c>
      <c r="AF20" s="9">
        <f>'a17'!W18</f>
        <v>0.53136200716845883</v>
      </c>
      <c r="AG20" s="9">
        <f>'a18'!AS18</f>
        <v>0.58400725495039851</v>
      </c>
      <c r="AH20" s="9">
        <f t="shared" si="10"/>
        <v>0.57084594300491354</v>
      </c>
    </row>
    <row r="21" spans="1:34">
      <c r="A21" s="1">
        <v>1983</v>
      </c>
      <c r="B21" s="9">
        <f>'a17'!C19</f>
        <v>0.50448028673835121</v>
      </c>
      <c r="C21" s="9">
        <f>'a18'!E19</f>
        <v>0.63202068756721408</v>
      </c>
      <c r="D21" s="9">
        <f t="shared" si="0"/>
        <v>0.60013558735999839</v>
      </c>
      <c r="E21" s="9">
        <f>'a17'!E19</f>
        <v>0.71953405017921135</v>
      </c>
      <c r="F21" s="9">
        <f>'a18'!I19</f>
        <v>8.333333333333337E-2</v>
      </c>
      <c r="G21" s="9">
        <f t="shared" si="1"/>
        <v>0.24238351254480286</v>
      </c>
      <c r="H21" s="9">
        <f>'a17'!G19</f>
        <v>0.5492831541218639</v>
      </c>
      <c r="I21" s="9">
        <f>'a18'!M19</f>
        <v>0.67472818701154613</v>
      </c>
      <c r="J21" s="9">
        <f t="shared" si="2"/>
        <v>0.64336692878912549</v>
      </c>
      <c r="K21" s="9">
        <f>'a17'!I19</f>
        <v>0.52240143369175629</v>
      </c>
      <c r="L21" s="9">
        <f>'a18'!Q19</f>
        <v>0.54259992582837868</v>
      </c>
      <c r="M21" s="9">
        <f t="shared" si="3"/>
        <v>0.53755030279422311</v>
      </c>
      <c r="N21" s="9">
        <f>'a17'!K19</f>
        <v>0.4507168458781361</v>
      </c>
      <c r="O21" s="9">
        <f>'a18'!U19</f>
        <v>0.21170503097810581</v>
      </c>
      <c r="P21" s="9">
        <f t="shared" si="4"/>
        <v>0.27145798470311339</v>
      </c>
      <c r="Q21" s="9">
        <f>'a17'!M19</f>
        <v>0.63888888888888906</v>
      </c>
      <c r="R21" s="9">
        <f>'a18'!Y19</f>
        <v>0.60833437037394744</v>
      </c>
      <c r="S21" s="9">
        <f t="shared" si="5"/>
        <v>0.61597300000268285</v>
      </c>
      <c r="T21" s="9">
        <f>'a17'!O19</f>
        <v>0.47759856630824371</v>
      </c>
      <c r="U21" s="9">
        <f>'a18'!AC19</f>
        <v>0.73372496320827552</v>
      </c>
      <c r="V21" s="9">
        <f t="shared" si="6"/>
        <v>0.66969336398326762</v>
      </c>
      <c r="W21" s="9">
        <f>'a17'!Q19</f>
        <v>0.54032258064516137</v>
      </c>
      <c r="X21" s="9">
        <f>'a18'!AG19</f>
        <v>0.5735192143504132</v>
      </c>
      <c r="Y21" s="9">
        <f t="shared" si="7"/>
        <v>0.5652200559241003</v>
      </c>
      <c r="Z21" s="9">
        <f>'a17'!S19</f>
        <v>0.35215053763440834</v>
      </c>
      <c r="AA21" s="9">
        <f>'a18'!AK19</f>
        <v>0.54812255405458121</v>
      </c>
      <c r="AB21" s="9">
        <f t="shared" si="8"/>
        <v>0.49912954994953801</v>
      </c>
      <c r="AC21" s="9">
        <f>'a17'!U19</f>
        <v>0.48655913978494619</v>
      </c>
      <c r="AD21" s="9">
        <f>'a18'!AO19</f>
        <v>0.60957417564558092</v>
      </c>
      <c r="AE21" s="9">
        <f t="shared" si="9"/>
        <v>0.57882041668042217</v>
      </c>
      <c r="AF21" s="9">
        <f>'a17'!W19</f>
        <v>0.53136200716845883</v>
      </c>
      <c r="AG21" s="9">
        <f>'a18'!AS19</f>
        <v>0.65663105438240976</v>
      </c>
      <c r="AH21" s="9">
        <f t="shared" si="10"/>
        <v>0.62531379257892206</v>
      </c>
    </row>
    <row r="22" spans="1:34">
      <c r="A22" s="1">
        <v>1984</v>
      </c>
      <c r="B22" s="9">
        <f>'a17'!C20</f>
        <v>0.54032258064516137</v>
      </c>
      <c r="C22" s="9">
        <f>'a18'!E20</f>
        <v>0.5918670941131382</v>
      </c>
      <c r="D22" s="9">
        <f t="shared" si="0"/>
        <v>0.57898096574614399</v>
      </c>
      <c r="E22" s="9">
        <f>'a17'!E20</f>
        <v>0.782258064516129</v>
      </c>
      <c r="F22" s="9">
        <f>'a18'!I20</f>
        <v>0.17104839543504011</v>
      </c>
      <c r="G22" s="9">
        <f t="shared" si="1"/>
        <v>0.32385081270531235</v>
      </c>
      <c r="H22" s="9">
        <f>'a17'!G20</f>
        <v>0.6209677419354841</v>
      </c>
      <c r="I22" s="9">
        <f>'a18'!M20</f>
        <v>0.55625790549990617</v>
      </c>
      <c r="J22" s="9">
        <f t="shared" si="2"/>
        <v>0.57243536460880062</v>
      </c>
      <c r="K22" s="9">
        <f>'a17'!I20</f>
        <v>0.58512544802867394</v>
      </c>
      <c r="L22" s="9">
        <f>'a18'!Q20</f>
        <v>0.52603823243702053</v>
      </c>
      <c r="M22" s="9">
        <f t="shared" si="3"/>
        <v>0.54081003633493385</v>
      </c>
      <c r="N22" s="9">
        <f>'a17'!K20</f>
        <v>0.60304659498207902</v>
      </c>
      <c r="O22" s="9">
        <f>'a18'!U20</f>
        <v>0.32002314922302444</v>
      </c>
      <c r="P22" s="9">
        <f t="shared" si="4"/>
        <v>0.39077901066278808</v>
      </c>
      <c r="Q22" s="9">
        <f>'a17'!M20</f>
        <v>0.5492831541218639</v>
      </c>
      <c r="R22" s="9">
        <f>'a18'!Y20</f>
        <v>0.5436400620862285</v>
      </c>
      <c r="S22" s="9">
        <f t="shared" si="5"/>
        <v>0.5450508350951373</v>
      </c>
      <c r="T22" s="9">
        <f>'a17'!O20</f>
        <v>0.57616487455197141</v>
      </c>
      <c r="U22" s="9">
        <f>'a18'!AC20</f>
        <v>0.73512419412657348</v>
      </c>
      <c r="V22" s="9">
        <f t="shared" si="6"/>
        <v>0.69538436423292294</v>
      </c>
      <c r="W22" s="9">
        <f>'a17'!Q20</f>
        <v>0.59408602150537648</v>
      </c>
      <c r="X22" s="9">
        <f>'a18'!AG20</f>
        <v>0.51093768283645147</v>
      </c>
      <c r="Y22" s="9">
        <f t="shared" si="7"/>
        <v>0.53172476750368269</v>
      </c>
      <c r="Z22" s="9">
        <f>'a17'!S20</f>
        <v>0.46863799283154117</v>
      </c>
      <c r="AA22" s="9">
        <f>'a18'!AK20</f>
        <v>0.35279982391979059</v>
      </c>
      <c r="AB22" s="9">
        <f t="shared" si="8"/>
        <v>0.38175936614772821</v>
      </c>
      <c r="AC22" s="9">
        <f>'a17'!U20</f>
        <v>0.54032258064516137</v>
      </c>
      <c r="AD22" s="9">
        <f>'a18'!AO20</f>
        <v>0.51886872180255617</v>
      </c>
      <c r="AE22" s="9">
        <f t="shared" si="9"/>
        <v>0.52423218651320747</v>
      </c>
      <c r="AF22" s="9">
        <f>'a17'!W20</f>
        <v>0.48655913978494619</v>
      </c>
      <c r="AG22" s="9">
        <f>'a18'!AS20</f>
        <v>0.57795217602077309</v>
      </c>
      <c r="AH22" s="9">
        <f t="shared" si="10"/>
        <v>0.55510391696181638</v>
      </c>
    </row>
    <row r="23" spans="1:34">
      <c r="A23" s="1">
        <v>1985</v>
      </c>
      <c r="B23" s="9">
        <f>'a17'!C21</f>
        <v>0.54032258064516137</v>
      </c>
      <c r="C23" s="9">
        <f>'a18'!E21</f>
        <v>0.65072147070313824</v>
      </c>
      <c r="D23" s="9">
        <f t="shared" si="0"/>
        <v>0.62312174818864408</v>
      </c>
      <c r="E23" s="9">
        <f>'a17'!E21</f>
        <v>0.63888888888888906</v>
      </c>
      <c r="F23" s="9">
        <f>'a18'!I21</f>
        <v>0.15540610820017423</v>
      </c>
      <c r="G23" s="9">
        <f t="shared" si="1"/>
        <v>0.27627680337235294</v>
      </c>
      <c r="H23" s="9">
        <f>'a17'!G21</f>
        <v>0.6836917562724012</v>
      </c>
      <c r="I23" s="9">
        <f>'a18'!M21</f>
        <v>0.63972884019235088</v>
      </c>
      <c r="J23" s="9">
        <f t="shared" si="2"/>
        <v>0.65071956921236351</v>
      </c>
      <c r="K23" s="9">
        <f>'a17'!I21</f>
        <v>0.4507168458781361</v>
      </c>
      <c r="L23" s="9">
        <f>'a18'!Q21</f>
        <v>0.56875811445585078</v>
      </c>
      <c r="M23" s="9">
        <f t="shared" si="3"/>
        <v>0.53924779731142203</v>
      </c>
      <c r="N23" s="9">
        <f>'a17'!K21</f>
        <v>0.67473118279569866</v>
      </c>
      <c r="O23" s="9">
        <f>'a18'!U21</f>
        <v>0.47982027312244557</v>
      </c>
      <c r="P23" s="9">
        <f t="shared" si="4"/>
        <v>0.52854800054075879</v>
      </c>
      <c r="Q23" s="9">
        <f>'a17'!M21</f>
        <v>0.62992831541218663</v>
      </c>
      <c r="R23" s="9">
        <f>'a18'!Y21</f>
        <v>0.60309654136120405</v>
      </c>
      <c r="S23" s="9">
        <f t="shared" si="5"/>
        <v>0.60980448487394967</v>
      </c>
      <c r="T23" s="9">
        <f>'a17'!O21</f>
        <v>0.59408602150537648</v>
      </c>
      <c r="U23" s="9">
        <f>'a18'!AC21</f>
        <v>0.79411477903605376</v>
      </c>
      <c r="V23" s="9">
        <f t="shared" si="6"/>
        <v>0.74410758965338442</v>
      </c>
      <c r="W23" s="9">
        <f>'a17'!Q21</f>
        <v>0.60304659498207902</v>
      </c>
      <c r="X23" s="9">
        <f>'a18'!AG21</f>
        <v>0.59151573856175155</v>
      </c>
      <c r="Y23" s="9">
        <f t="shared" si="7"/>
        <v>0.59439845266683344</v>
      </c>
      <c r="Z23" s="9">
        <f>'a17'!S21</f>
        <v>0.40591397849462352</v>
      </c>
      <c r="AA23" s="9">
        <f>'a18'!AK21</f>
        <v>0.26960440150993104</v>
      </c>
      <c r="AB23" s="9">
        <f t="shared" si="8"/>
        <v>0.30368179575610416</v>
      </c>
      <c r="AC23" s="9">
        <f>'a17'!U21</f>
        <v>0.58512544802867394</v>
      </c>
      <c r="AD23" s="9">
        <f>'a18'!AO21</f>
        <v>0.70604990920477251</v>
      </c>
      <c r="AE23" s="9">
        <f t="shared" si="9"/>
        <v>0.67581879391074784</v>
      </c>
      <c r="AF23" s="9">
        <f>'a17'!W21</f>
        <v>0.37903225806451596</v>
      </c>
      <c r="AG23" s="9">
        <f>'a18'!AS21</f>
        <v>0.56234084522215255</v>
      </c>
      <c r="AH23" s="9">
        <f t="shared" si="10"/>
        <v>0.51651369843274342</v>
      </c>
    </row>
    <row r="24" spans="1:34">
      <c r="A24" s="1">
        <v>1986</v>
      </c>
      <c r="B24" s="9">
        <f>'a17'!C22</f>
        <v>0.53136200716845883</v>
      </c>
      <c r="C24" s="9">
        <f>'a18'!E22</f>
        <v>0.68383557055498079</v>
      </c>
      <c r="D24" s="9">
        <f t="shared" si="0"/>
        <v>0.6457171797083503</v>
      </c>
      <c r="E24" s="9">
        <f>'a17'!E22</f>
        <v>0.79121863799283154</v>
      </c>
      <c r="F24" s="9">
        <f>'a18'!I22</f>
        <v>0.22171634245990979</v>
      </c>
      <c r="G24" s="9">
        <f t="shared" si="1"/>
        <v>0.3640919163431402</v>
      </c>
      <c r="H24" s="9">
        <f>'a17'!G22</f>
        <v>0.77329749103942647</v>
      </c>
      <c r="I24" s="9">
        <f>'a18'!M22</f>
        <v>0.70369722005011226</v>
      </c>
      <c r="J24" s="9">
        <f t="shared" si="2"/>
        <v>0.72109728779744076</v>
      </c>
      <c r="K24" s="9">
        <f>'a17'!I22</f>
        <v>0.57616487455197141</v>
      </c>
      <c r="L24" s="9">
        <f>'a18'!Q22</f>
        <v>0.54125332085169831</v>
      </c>
      <c r="M24" s="9">
        <f t="shared" si="3"/>
        <v>0.54998120927676664</v>
      </c>
      <c r="N24" s="9">
        <f>'a17'!K22</f>
        <v>0.782258064516129</v>
      </c>
      <c r="O24" s="9">
        <f>'a18'!U22</f>
        <v>0.51875418298844755</v>
      </c>
      <c r="P24" s="9">
        <f t="shared" si="4"/>
        <v>0.58463015337036794</v>
      </c>
      <c r="Q24" s="9">
        <f>'a17'!M22</f>
        <v>0.55824372759856644</v>
      </c>
      <c r="R24" s="9">
        <f>'a18'!Y22</f>
        <v>0.6116203960814105</v>
      </c>
      <c r="S24" s="9">
        <f t="shared" si="5"/>
        <v>0.59827622896069943</v>
      </c>
      <c r="T24" s="9">
        <f>'a17'!O22</f>
        <v>0.58512544802867394</v>
      </c>
      <c r="U24" s="9">
        <f>'a18'!AC22</f>
        <v>0.83706683432672546</v>
      </c>
      <c r="V24" s="9">
        <f t="shared" si="6"/>
        <v>0.77408148775221253</v>
      </c>
      <c r="W24" s="9">
        <f>'a17'!Q22</f>
        <v>0.65681003584229414</v>
      </c>
      <c r="X24" s="9">
        <f>'a18'!AG22</f>
        <v>0.57953869337835651</v>
      </c>
      <c r="Y24" s="9">
        <f t="shared" si="7"/>
        <v>0.59885652899434094</v>
      </c>
      <c r="Z24" s="9">
        <f>'a17'!S22</f>
        <v>0.38799283154121844</v>
      </c>
      <c r="AA24" s="9">
        <f>'a18'!AK22</f>
        <v>0.22485842073883103</v>
      </c>
      <c r="AB24" s="9">
        <f t="shared" si="8"/>
        <v>0.26564202343942789</v>
      </c>
      <c r="AC24" s="9">
        <f>'a17'!U22</f>
        <v>0.51344086021505375</v>
      </c>
      <c r="AD24" s="9">
        <f>'a18'!AO22</f>
        <v>0.71611075098456944</v>
      </c>
      <c r="AE24" s="9">
        <f t="shared" si="9"/>
        <v>0.66544327829219063</v>
      </c>
      <c r="AF24" s="9">
        <f>'a17'!W22</f>
        <v>0.50448028673835121</v>
      </c>
      <c r="AG24" s="9">
        <f>'a18'!AS22</f>
        <v>0.67416477987187751</v>
      </c>
      <c r="AH24" s="9">
        <f t="shared" si="10"/>
        <v>0.63174365658849596</v>
      </c>
    </row>
    <row r="25" spans="1:34">
      <c r="A25" s="1">
        <v>1987</v>
      </c>
      <c r="B25" s="9">
        <f>'a17'!C23</f>
        <v>0.55824372759856644</v>
      </c>
      <c r="C25" s="9">
        <f>'a18'!E23</f>
        <v>0.70303165667083345</v>
      </c>
      <c r="D25" s="9">
        <f t="shared" si="0"/>
        <v>0.66683467440276667</v>
      </c>
      <c r="E25" s="9">
        <f>'a17'!E23</f>
        <v>0.76433691756272393</v>
      </c>
      <c r="F25" s="9">
        <f>'a18'!I23</f>
        <v>0.24219866850176425</v>
      </c>
      <c r="G25" s="9">
        <f t="shared" si="1"/>
        <v>0.37273323076700415</v>
      </c>
      <c r="H25" s="9">
        <f>'a17'!G23</f>
        <v>0.71953405017921135</v>
      </c>
      <c r="I25" s="9">
        <f>'a18'!M23</f>
        <v>0.66487784899821867</v>
      </c>
      <c r="J25" s="9">
        <f t="shared" si="2"/>
        <v>0.67854189929346687</v>
      </c>
      <c r="K25" s="9">
        <f>'a17'!I23</f>
        <v>0.66577060931899623</v>
      </c>
      <c r="L25" s="9">
        <f>'a18'!Q23</f>
        <v>0.58135119272053193</v>
      </c>
      <c r="M25" s="9">
        <f t="shared" si="3"/>
        <v>0.60245604687014798</v>
      </c>
      <c r="N25" s="9">
        <f>'a17'!K23</f>
        <v>0.65681003584229414</v>
      </c>
      <c r="O25" s="9">
        <f>'a18'!U23</f>
        <v>0.46907219845799797</v>
      </c>
      <c r="P25" s="9">
        <f t="shared" si="4"/>
        <v>0.51600665780407207</v>
      </c>
      <c r="Q25" s="9">
        <f>'a17'!M23</f>
        <v>0.58512544802867394</v>
      </c>
      <c r="R25" s="9">
        <f>'a18'!Y23</f>
        <v>0.60309654136120405</v>
      </c>
      <c r="S25" s="9">
        <f t="shared" si="5"/>
        <v>0.59860376802807147</v>
      </c>
      <c r="T25" s="9">
        <f>'a17'!O23</f>
        <v>0.61200716845878156</v>
      </c>
      <c r="U25" s="9">
        <f>'a18'!AC23</f>
        <v>0.89181638747056813</v>
      </c>
      <c r="V25" s="9">
        <f t="shared" si="6"/>
        <v>0.82186408271762157</v>
      </c>
      <c r="W25" s="9">
        <f>'a17'!Q23</f>
        <v>0.61200716845878156</v>
      </c>
      <c r="X25" s="9">
        <f>'a18'!AG23</f>
        <v>0.63177767954268682</v>
      </c>
      <c r="Y25" s="9">
        <f t="shared" si="7"/>
        <v>0.62683505177171051</v>
      </c>
      <c r="Z25" s="9">
        <f>'a17'!S23</f>
        <v>0.55824372759856644</v>
      </c>
      <c r="AA25" s="9">
        <f>'a18'!AK23</f>
        <v>0.48158169434481635</v>
      </c>
      <c r="AB25" s="9">
        <f t="shared" si="8"/>
        <v>0.5007472026582539</v>
      </c>
      <c r="AC25" s="9">
        <f>'a17'!U23</f>
        <v>0.53136200716845883</v>
      </c>
      <c r="AD25" s="9">
        <f>'a18'!AO23</f>
        <v>0.620184494168736</v>
      </c>
      <c r="AE25" s="9">
        <f t="shared" si="9"/>
        <v>0.59797887241866676</v>
      </c>
      <c r="AF25" s="9">
        <f>'a17'!W23</f>
        <v>0.48655913978494619</v>
      </c>
      <c r="AG25" s="9">
        <f>'a18'!AS23</f>
        <v>0.67280888796432325</v>
      </c>
      <c r="AH25" s="9">
        <f t="shared" si="10"/>
        <v>0.62624645091947895</v>
      </c>
    </row>
    <row r="26" spans="1:34">
      <c r="A26" s="1">
        <v>1988</v>
      </c>
      <c r="B26" s="9">
        <f>'a17'!C24</f>
        <v>0.56720430107526898</v>
      </c>
      <c r="C26" s="9">
        <f>'a18'!E24</f>
        <v>0.73260743585981181</v>
      </c>
      <c r="D26" s="9">
        <f t="shared" si="0"/>
        <v>0.69125665216367604</v>
      </c>
      <c r="E26" s="9">
        <f>'a17'!E24</f>
        <v>0.90770609318996431</v>
      </c>
      <c r="F26" s="9">
        <f>'a18'!I24</f>
        <v>0.38576378505584241</v>
      </c>
      <c r="G26" s="9">
        <f t="shared" si="1"/>
        <v>0.51624936208937289</v>
      </c>
      <c r="H26" s="9">
        <f>'a17'!G24</f>
        <v>0.80017921146953408</v>
      </c>
      <c r="I26" s="9">
        <f>'a18'!M24</f>
        <v>0.68732745656347649</v>
      </c>
      <c r="J26" s="9">
        <f t="shared" si="2"/>
        <v>0.7155403952899908</v>
      </c>
      <c r="K26" s="9">
        <f>'a17'!I24</f>
        <v>0.66577060931899623</v>
      </c>
      <c r="L26" s="9">
        <f>'a18'!Q24</f>
        <v>0.64514312089169401</v>
      </c>
      <c r="M26" s="9">
        <f t="shared" si="3"/>
        <v>0.65029999299851959</v>
      </c>
      <c r="N26" s="9">
        <f>'a17'!K24</f>
        <v>0.782258064516129</v>
      </c>
      <c r="O26" s="9">
        <f>'a18'!U24</f>
        <v>0.54504703211358774</v>
      </c>
      <c r="P26" s="9">
        <f t="shared" si="4"/>
        <v>0.60434979021422308</v>
      </c>
      <c r="Q26" s="9">
        <f>'a17'!M24</f>
        <v>0.61200716845878156</v>
      </c>
      <c r="R26" s="9">
        <f>'a18'!Y24</f>
        <v>0.64978813415033554</v>
      </c>
      <c r="S26" s="9">
        <f t="shared" si="5"/>
        <v>0.64034289272744704</v>
      </c>
      <c r="T26" s="9">
        <f>'a17'!O24</f>
        <v>0.59408602150537648</v>
      </c>
      <c r="U26" s="9">
        <f>'a18'!AC24</f>
        <v>0.87917377890789417</v>
      </c>
      <c r="V26" s="9">
        <f t="shared" si="6"/>
        <v>0.80790183955726469</v>
      </c>
      <c r="W26" s="9">
        <f>'a17'!Q24</f>
        <v>0.60304659498207902</v>
      </c>
      <c r="X26" s="9">
        <f>'a18'!AG24</f>
        <v>0.63507144435921103</v>
      </c>
      <c r="Y26" s="9">
        <f t="shared" si="7"/>
        <v>0.62706523201492803</v>
      </c>
      <c r="Z26" s="9">
        <f>'a17'!S24</f>
        <v>0.56720430107526898</v>
      </c>
      <c r="AA26" s="9">
        <f>'a18'!AK24</f>
        <v>0.37786215470417078</v>
      </c>
      <c r="AB26" s="9">
        <f t="shared" si="8"/>
        <v>0.42519769129694535</v>
      </c>
      <c r="AC26" s="9">
        <f>'a17'!U24</f>
        <v>0.59408602150537648</v>
      </c>
      <c r="AD26" s="9">
        <f>'a18'!AO24</f>
        <v>0.71697288773400747</v>
      </c>
      <c r="AE26" s="9">
        <f t="shared" si="9"/>
        <v>0.68625117117684975</v>
      </c>
      <c r="AF26" s="9">
        <f>'a17'!W24</f>
        <v>0.62992831541218663</v>
      </c>
      <c r="AG26" s="9">
        <f>'a18'!AS24</f>
        <v>0.77078755650323538</v>
      </c>
      <c r="AH26" s="9">
        <f t="shared" si="10"/>
        <v>0.7355727462304732</v>
      </c>
    </row>
    <row r="27" spans="1:34">
      <c r="A27" s="1">
        <v>1989</v>
      </c>
      <c r="B27" s="9">
        <f>'a17'!C25</f>
        <v>0.59408602150537648</v>
      </c>
      <c r="C27" s="9">
        <f>'a18'!E25</f>
        <v>0.74971396252909139</v>
      </c>
      <c r="D27" s="9">
        <f t="shared" si="0"/>
        <v>0.71080697727316267</v>
      </c>
      <c r="E27" s="9">
        <f>'a17'!E25</f>
        <v>0.91666666666666685</v>
      </c>
      <c r="F27" s="9">
        <f>'a18'!I25</f>
        <v>0.48153990315588491</v>
      </c>
      <c r="G27" s="9">
        <f t="shared" si="1"/>
        <v>0.59032159403358042</v>
      </c>
      <c r="H27" s="9">
        <f>'a17'!G25</f>
        <v>0.63888888888888906</v>
      </c>
      <c r="I27" s="9">
        <f>'a18'!M25</f>
        <v>0.69482820106576815</v>
      </c>
      <c r="J27" s="9">
        <f t="shared" si="2"/>
        <v>0.6808433730215484</v>
      </c>
      <c r="K27" s="9">
        <f>'a17'!I25</f>
        <v>0.60304659498207902</v>
      </c>
      <c r="L27" s="9">
        <f>'a18'!Q25</f>
        <v>0.64088970655155819</v>
      </c>
      <c r="M27" s="9">
        <f t="shared" si="3"/>
        <v>0.63142892865918843</v>
      </c>
      <c r="N27" s="9">
        <f>'a17'!K25</f>
        <v>0.73745519713261631</v>
      </c>
      <c r="O27" s="9">
        <f>'a18'!U25</f>
        <v>0.56483902962716681</v>
      </c>
      <c r="P27" s="9">
        <f t="shared" si="4"/>
        <v>0.60799307150352921</v>
      </c>
      <c r="Q27" s="9">
        <f>'a17'!M25</f>
        <v>0.67473118279569866</v>
      </c>
      <c r="R27" s="9">
        <f>'a18'!Y25</f>
        <v>0.67937629591381232</v>
      </c>
      <c r="S27" s="9">
        <f t="shared" si="5"/>
        <v>0.67821501763428393</v>
      </c>
      <c r="T27" s="9">
        <f>'a17'!O25</f>
        <v>0.59408602150537648</v>
      </c>
      <c r="U27" s="9">
        <f>'a18'!AC25</f>
        <v>0.91666666666666663</v>
      </c>
      <c r="V27" s="9">
        <f t="shared" si="6"/>
        <v>0.83602150537634412</v>
      </c>
      <c r="W27" s="9">
        <f>'a17'!Q25</f>
        <v>0.66577060931899623</v>
      </c>
      <c r="X27" s="9">
        <f>'a18'!AG25</f>
        <v>0.64515859910981666</v>
      </c>
      <c r="Y27" s="9">
        <f t="shared" si="7"/>
        <v>0.65031160166211155</v>
      </c>
      <c r="Z27" s="9">
        <f>'a17'!S25</f>
        <v>0.59408602150537648</v>
      </c>
      <c r="AA27" s="9">
        <f>'a18'!AK25</f>
        <v>0.37992385335812312</v>
      </c>
      <c r="AB27" s="9">
        <f t="shared" si="8"/>
        <v>0.43346439539493647</v>
      </c>
      <c r="AC27" s="9">
        <f>'a17'!U25</f>
        <v>0.58512544802867394</v>
      </c>
      <c r="AD27" s="9">
        <f>'a18'!AO25</f>
        <v>0.60544149140680281</v>
      </c>
      <c r="AE27" s="9">
        <f t="shared" si="9"/>
        <v>0.6003624805622706</v>
      </c>
      <c r="AF27" s="9">
        <f>'a17'!W25</f>
        <v>0.6836917562724012</v>
      </c>
      <c r="AG27" s="9">
        <f>'a18'!AS25</f>
        <v>0.74681644009650971</v>
      </c>
      <c r="AH27" s="9">
        <f t="shared" si="10"/>
        <v>0.73103526914048256</v>
      </c>
    </row>
    <row r="28" spans="1:34">
      <c r="A28" s="1">
        <v>1990</v>
      </c>
      <c r="B28" s="9">
        <f>'a17'!C26</f>
        <v>0.54032258064516137</v>
      </c>
      <c r="C28" s="9">
        <f>'a18'!E26</f>
        <v>0.68050311019314969</v>
      </c>
      <c r="D28" s="9">
        <f t="shared" si="0"/>
        <v>0.64545797780615266</v>
      </c>
      <c r="E28" s="9">
        <f>'a17'!E26</f>
        <v>0.782258064516129</v>
      </c>
      <c r="F28" s="9">
        <f>'a18'!I26</f>
        <v>0.3540535595877346</v>
      </c>
      <c r="G28" s="9">
        <f t="shared" si="1"/>
        <v>0.46110468581983322</v>
      </c>
      <c r="H28" s="9">
        <f>'a17'!G26</f>
        <v>0.782258064516129</v>
      </c>
      <c r="I28" s="9">
        <f>'a18'!M26</f>
        <v>0.74139442028810543</v>
      </c>
      <c r="J28" s="9">
        <f t="shared" si="2"/>
        <v>0.75161033134511135</v>
      </c>
      <c r="K28" s="9">
        <f>'a17'!I26</f>
        <v>0.71057347670250881</v>
      </c>
      <c r="L28" s="9">
        <f>'a18'!Q26</f>
        <v>0.65456316444120854</v>
      </c>
      <c r="M28" s="9">
        <f t="shared" si="3"/>
        <v>0.66856574250653356</v>
      </c>
      <c r="N28" s="9">
        <f>'a17'!K26</f>
        <v>0.74641577060931885</v>
      </c>
      <c r="O28" s="9">
        <f>'a18'!U26</f>
        <v>0.55476735309468395</v>
      </c>
      <c r="P28" s="9">
        <f t="shared" si="4"/>
        <v>0.60267945747334273</v>
      </c>
      <c r="Q28" s="9">
        <f>'a17'!M26</f>
        <v>0.58512544802867394</v>
      </c>
      <c r="R28" s="9">
        <f>'a18'!Y26</f>
        <v>0.6365527098335596</v>
      </c>
      <c r="S28" s="9">
        <f t="shared" si="5"/>
        <v>0.62369589438233819</v>
      </c>
      <c r="T28" s="9">
        <f>'a17'!O26</f>
        <v>0.58512544802867394</v>
      </c>
      <c r="U28" s="9">
        <f>'a18'!AC26</f>
        <v>0.82844546683234543</v>
      </c>
      <c r="V28" s="9">
        <f t="shared" si="6"/>
        <v>0.76761546213142751</v>
      </c>
      <c r="W28" s="9">
        <f>'a17'!Q26</f>
        <v>0.67473118279569866</v>
      </c>
      <c r="X28" s="9">
        <f>'a18'!AG26</f>
        <v>0.53897802278765183</v>
      </c>
      <c r="Y28" s="9">
        <f t="shared" si="7"/>
        <v>0.57291631278966348</v>
      </c>
      <c r="Z28" s="9">
        <f>'a17'!S26</f>
        <v>0.49551971326164873</v>
      </c>
      <c r="AA28" s="9">
        <f>'a18'!AK26</f>
        <v>0.22429810924278684</v>
      </c>
      <c r="AB28" s="9">
        <f t="shared" si="8"/>
        <v>0.29210351024750231</v>
      </c>
      <c r="AC28" s="9">
        <f>'a17'!U26</f>
        <v>0.5492831541218639</v>
      </c>
      <c r="AD28" s="9">
        <f>'a18'!AO26</f>
        <v>0.68468068126448367</v>
      </c>
      <c r="AE28" s="9">
        <f t="shared" si="9"/>
        <v>0.65083129947882878</v>
      </c>
      <c r="AF28" s="9">
        <f>'a17'!W26</f>
        <v>0.4507168458781361</v>
      </c>
      <c r="AG28" s="9">
        <f>'a18'!AS26</f>
        <v>0.58983944753905615</v>
      </c>
      <c r="AH28" s="9">
        <f t="shared" si="10"/>
        <v>0.55505879712382611</v>
      </c>
    </row>
    <row r="29" spans="1:34">
      <c r="A29" s="1">
        <v>1991</v>
      </c>
      <c r="B29" s="9">
        <f>'a17'!C27</f>
        <v>0.47759856630824371</v>
      </c>
      <c r="C29" s="9">
        <f>'a18'!E27</f>
        <v>0.69039369157359609</v>
      </c>
      <c r="D29" s="9">
        <f t="shared" si="0"/>
        <v>0.63719491025725805</v>
      </c>
      <c r="E29" s="9">
        <f>'a17'!E27</f>
        <v>0.63888888888888906</v>
      </c>
      <c r="F29" s="9">
        <f>'a18'!I27</f>
        <v>0.36612656972349111</v>
      </c>
      <c r="G29" s="9">
        <f t="shared" si="1"/>
        <v>0.43431714951484063</v>
      </c>
      <c r="H29" s="9">
        <f>'a17'!G27</f>
        <v>0.65681003584229414</v>
      </c>
      <c r="I29" s="9">
        <f>'a18'!M27</f>
        <v>0.68100924792576401</v>
      </c>
      <c r="J29" s="9">
        <f t="shared" si="2"/>
        <v>0.67495944490489657</v>
      </c>
      <c r="K29" s="9">
        <f>'a17'!I27</f>
        <v>0.72849462365591389</v>
      </c>
      <c r="L29" s="9">
        <f>'a18'!Q27</f>
        <v>0.62065348417785582</v>
      </c>
      <c r="M29" s="9">
        <f t="shared" si="3"/>
        <v>0.64761376904737034</v>
      </c>
      <c r="N29" s="9">
        <f>'a17'!K27</f>
        <v>0.67473118279569866</v>
      </c>
      <c r="O29" s="9">
        <f>'a18'!U27</f>
        <v>0.55752092809872378</v>
      </c>
      <c r="P29" s="9">
        <f t="shared" si="4"/>
        <v>0.58682349177296744</v>
      </c>
      <c r="Q29" s="9">
        <f>'a17'!M27</f>
        <v>0.54032258064516137</v>
      </c>
      <c r="R29" s="9">
        <f>'a18'!Y27</f>
        <v>0.60750783352619186</v>
      </c>
      <c r="S29" s="9">
        <f t="shared" si="5"/>
        <v>0.59071152030593421</v>
      </c>
      <c r="T29" s="9">
        <f>'a17'!O27</f>
        <v>0.49551971326164873</v>
      </c>
      <c r="U29" s="9">
        <f>'a18'!AC27</f>
        <v>0.81427670596276691</v>
      </c>
      <c r="V29" s="9">
        <f t="shared" si="6"/>
        <v>0.73458745778748735</v>
      </c>
      <c r="W29" s="9">
        <f>'a17'!Q27</f>
        <v>0.65681003584229414</v>
      </c>
      <c r="X29" s="9">
        <f>'a18'!AG27</f>
        <v>0.56458828249357818</v>
      </c>
      <c r="Y29" s="9">
        <f t="shared" si="7"/>
        <v>0.58764372083075722</v>
      </c>
      <c r="Z29" s="9">
        <f>'a17'!S27</f>
        <v>0.54032258064516137</v>
      </c>
      <c r="AA29" s="9">
        <f>'a18'!AK27</f>
        <v>0.30325404770882131</v>
      </c>
      <c r="AB29" s="9">
        <f t="shared" si="8"/>
        <v>0.36252118094290631</v>
      </c>
      <c r="AC29" s="9">
        <f>'a17'!U27</f>
        <v>0.45967741935483863</v>
      </c>
      <c r="AD29" s="9">
        <f>'a18'!AO27</f>
        <v>0.69628315356930803</v>
      </c>
      <c r="AE29" s="9">
        <f t="shared" si="9"/>
        <v>0.63713172001569063</v>
      </c>
      <c r="AF29" s="9">
        <f>'a17'!W27</f>
        <v>0.4507168458781361</v>
      </c>
      <c r="AG29" s="9">
        <f>'a18'!AS27</f>
        <v>0.74392665677298964</v>
      </c>
      <c r="AH29" s="9">
        <f t="shared" si="10"/>
        <v>0.67062420404927625</v>
      </c>
    </row>
    <row r="30" spans="1:34">
      <c r="A30" s="1">
        <v>1992</v>
      </c>
      <c r="B30" s="9">
        <f>'a17'!C28</f>
        <v>0.47759856630824371</v>
      </c>
      <c r="C30" s="9">
        <f>'a18'!E28</f>
        <v>0.67700967636284159</v>
      </c>
      <c r="D30" s="9">
        <f t="shared" si="0"/>
        <v>0.62715689884919212</v>
      </c>
      <c r="E30" s="9">
        <f>'a17'!E28</f>
        <v>0.66577060931899623</v>
      </c>
      <c r="F30" s="9">
        <f>'a18'!I28</f>
        <v>0.23921446804769508</v>
      </c>
      <c r="G30" s="9">
        <f t="shared" si="1"/>
        <v>0.34585350336552034</v>
      </c>
      <c r="H30" s="9">
        <f>'a17'!G28</f>
        <v>0.80913978494623651</v>
      </c>
      <c r="I30" s="9">
        <f>'a18'!M28</f>
        <v>0.72432813698594534</v>
      </c>
      <c r="J30" s="9">
        <f t="shared" si="2"/>
        <v>0.74553104897601818</v>
      </c>
      <c r="K30" s="9">
        <f>'a17'!I28</f>
        <v>0.58512544802867394</v>
      </c>
      <c r="L30" s="9">
        <f>'a18'!Q28</f>
        <v>0.65603669080649563</v>
      </c>
      <c r="M30" s="9">
        <f t="shared" si="3"/>
        <v>0.63830888011204023</v>
      </c>
      <c r="N30" s="9">
        <f>'a17'!K28</f>
        <v>0.6209677419354841</v>
      </c>
      <c r="O30" s="9">
        <f>'a18'!U28</f>
        <v>0.58275042363883001</v>
      </c>
      <c r="P30" s="9">
        <f t="shared" si="4"/>
        <v>0.59230475321299347</v>
      </c>
      <c r="Q30" s="9">
        <f>'a17'!M28</f>
        <v>0.57616487455197141</v>
      </c>
      <c r="R30" s="9">
        <f>'a18'!Y28</f>
        <v>0.65516681494799622</v>
      </c>
      <c r="S30" s="9">
        <f t="shared" si="5"/>
        <v>0.6354163298489901</v>
      </c>
      <c r="T30" s="9">
        <f>'a17'!O28</f>
        <v>0.54032258064516137</v>
      </c>
      <c r="U30" s="9">
        <f>'a18'!AC28</f>
        <v>0.78477212657715312</v>
      </c>
      <c r="V30" s="9">
        <f t="shared" si="6"/>
        <v>0.72365974009415523</v>
      </c>
      <c r="W30" s="9">
        <f>'a17'!Q28</f>
        <v>0.50448028673835121</v>
      </c>
      <c r="X30" s="9">
        <f>'a18'!AG28</f>
        <v>0.55169802244093979</v>
      </c>
      <c r="Y30" s="9">
        <f t="shared" si="7"/>
        <v>0.53989358851529268</v>
      </c>
      <c r="Z30" s="9">
        <f>'a17'!S28</f>
        <v>0.39695340501792098</v>
      </c>
      <c r="AA30" s="9">
        <f>'a18'!AK28</f>
        <v>0.35168539221495154</v>
      </c>
      <c r="AB30" s="9">
        <f t="shared" si="8"/>
        <v>0.3630023954156939</v>
      </c>
      <c r="AC30" s="9">
        <f>'a17'!U28</f>
        <v>0.35215053763440834</v>
      </c>
      <c r="AD30" s="9">
        <f>'a18'!AO28</f>
        <v>0.55627338371802892</v>
      </c>
      <c r="AE30" s="9">
        <f t="shared" si="9"/>
        <v>0.50524267219712382</v>
      </c>
      <c r="AF30" s="9">
        <f>'a17'!W28</f>
        <v>0.38799283154121844</v>
      </c>
      <c r="AG30" s="9">
        <f>'a18'!AS28</f>
        <v>0.69291973677123131</v>
      </c>
      <c r="AH30" s="9">
        <f t="shared" si="10"/>
        <v>0.61668801046372801</v>
      </c>
    </row>
    <row r="31" spans="1:34">
      <c r="A31" s="1">
        <v>1993</v>
      </c>
      <c r="B31" s="9">
        <f>'a17'!C29</f>
        <v>0.4507168458781361</v>
      </c>
      <c r="C31" s="9">
        <f>'a18'!E29</f>
        <v>0.6967428566475542</v>
      </c>
      <c r="D31" s="9">
        <f t="shared" si="0"/>
        <v>0.63523635395519973</v>
      </c>
      <c r="E31" s="9">
        <f>'a17'!E29</f>
        <v>0.6209677419354841</v>
      </c>
      <c r="F31" s="9">
        <f>'a18'!I29</f>
        <v>0.39339299876855305</v>
      </c>
      <c r="G31" s="9">
        <f t="shared" si="1"/>
        <v>0.45028668456028575</v>
      </c>
      <c r="H31" s="9">
        <f>'a17'!G29</f>
        <v>0.80913978494623651</v>
      </c>
      <c r="I31" s="9">
        <f>'a18'!M29</f>
        <v>0.84216226373273939</v>
      </c>
      <c r="J31" s="9">
        <f t="shared" si="2"/>
        <v>0.8339066440361137</v>
      </c>
      <c r="K31" s="9">
        <f>'a17'!I29</f>
        <v>0.69265232974910373</v>
      </c>
      <c r="L31" s="9">
        <f>'a18'!Q29</f>
        <v>0.60906029880390522</v>
      </c>
      <c r="M31" s="9">
        <f t="shared" si="3"/>
        <v>0.6299583065402049</v>
      </c>
      <c r="N31" s="9">
        <f>'a17'!K29</f>
        <v>0.63888888888888906</v>
      </c>
      <c r="O31" s="9">
        <f>'a18'!U29</f>
        <v>0.55532302112529119</v>
      </c>
      <c r="P31" s="9">
        <f t="shared" si="4"/>
        <v>0.57621448806619058</v>
      </c>
      <c r="Q31" s="9">
        <f>'a17'!M29</f>
        <v>0.59408602150537648</v>
      </c>
      <c r="R31" s="9">
        <f>'a18'!Y29</f>
        <v>0.58243002452368886</v>
      </c>
      <c r="S31" s="9">
        <f t="shared" si="5"/>
        <v>0.58534402376911077</v>
      </c>
      <c r="T31" s="9">
        <f>'a17'!O29</f>
        <v>0.47759856630824371</v>
      </c>
      <c r="U31" s="9">
        <f>'a18'!AC29</f>
        <v>0.83179804887773634</v>
      </c>
      <c r="V31" s="9">
        <f t="shared" si="6"/>
        <v>0.74324817823536315</v>
      </c>
      <c r="W31" s="9">
        <f>'a17'!Q29</f>
        <v>0.50448028673835121</v>
      </c>
      <c r="X31" s="9">
        <f>'a18'!AG29</f>
        <v>0.5601026948816008</v>
      </c>
      <c r="Y31" s="9">
        <f t="shared" si="7"/>
        <v>0.54619709284578843</v>
      </c>
      <c r="Z31" s="9">
        <f>'a17'!S29</f>
        <v>0.53136200716845883</v>
      </c>
      <c r="AA31" s="9">
        <f>'a18'!AK29</f>
        <v>0.4417314739659467</v>
      </c>
      <c r="AB31" s="9">
        <f t="shared" si="8"/>
        <v>0.4641391072665747</v>
      </c>
      <c r="AC31" s="9">
        <f>'a17'!U29</f>
        <v>0.27150537634408567</v>
      </c>
      <c r="AD31" s="9">
        <f>'a18'!AO29</f>
        <v>0.70709004546262244</v>
      </c>
      <c r="AE31" s="9">
        <f t="shared" si="9"/>
        <v>0.59819387818298819</v>
      </c>
      <c r="AF31" s="9">
        <f>'a17'!W29</f>
        <v>0.38799283154121844</v>
      </c>
      <c r="AG31" s="9">
        <f>'a18'!AS29</f>
        <v>0.70817816419665258</v>
      </c>
      <c r="AH31" s="9">
        <f t="shared" si="10"/>
        <v>0.62813183103279413</v>
      </c>
    </row>
    <row r="32" spans="1:34">
      <c r="A32" s="1">
        <v>1994</v>
      </c>
      <c r="B32" s="9">
        <f>'a17'!C30</f>
        <v>0.49551971326164873</v>
      </c>
      <c r="C32" s="9">
        <f>'a18'!E30</f>
        <v>0.67847082015363058</v>
      </c>
      <c r="D32" s="9">
        <f t="shared" si="0"/>
        <v>0.63273304343063508</v>
      </c>
      <c r="E32" s="9">
        <f>'a17'!E30</f>
        <v>0.6478494623655916</v>
      </c>
      <c r="F32" s="9">
        <f>'a18'!I30</f>
        <v>0.38357671283509565</v>
      </c>
      <c r="G32" s="9">
        <f t="shared" si="1"/>
        <v>0.44964490021771963</v>
      </c>
      <c r="H32" s="9">
        <f>'a17'!G30</f>
        <v>0.84498207885304666</v>
      </c>
      <c r="I32" s="9">
        <f>'a18'!M30</f>
        <v>0.88262851719289503</v>
      </c>
      <c r="J32" s="9">
        <f t="shared" si="2"/>
        <v>0.87321690760793291</v>
      </c>
      <c r="K32" s="9">
        <f>'a17'!I30</f>
        <v>0.51344086021505375</v>
      </c>
      <c r="L32" s="9">
        <f>'a18'!Q30</f>
        <v>0.55610931460592772</v>
      </c>
      <c r="M32" s="9">
        <f t="shared" si="3"/>
        <v>0.54544220100820917</v>
      </c>
      <c r="N32" s="9">
        <f>'a17'!K30</f>
        <v>0.6209677419354841</v>
      </c>
      <c r="O32" s="9">
        <f>'a18'!U30</f>
        <v>0.47065716799376894</v>
      </c>
      <c r="P32" s="9">
        <f t="shared" si="4"/>
        <v>0.50823481147919769</v>
      </c>
      <c r="Q32" s="9">
        <f>'a17'!M30</f>
        <v>0.55824372759856644</v>
      </c>
      <c r="R32" s="9">
        <f>'a18'!Y30</f>
        <v>0.58942153564974153</v>
      </c>
      <c r="S32" s="9">
        <f t="shared" si="5"/>
        <v>0.58162708363694771</v>
      </c>
      <c r="T32" s="9">
        <f>'a17'!O30</f>
        <v>0.52240143369175629</v>
      </c>
      <c r="U32" s="9">
        <f>'a18'!AC30</f>
        <v>0.7950899067777879</v>
      </c>
      <c r="V32" s="9">
        <f t="shared" si="6"/>
        <v>0.72691778850627997</v>
      </c>
      <c r="W32" s="9">
        <f>'a17'!Q30</f>
        <v>0.56720430107526898</v>
      </c>
      <c r="X32" s="9">
        <f>'a18'!AG30</f>
        <v>0.57219427887910468</v>
      </c>
      <c r="Y32" s="9">
        <f t="shared" si="7"/>
        <v>0.57094678442814573</v>
      </c>
      <c r="Z32" s="9">
        <f>'a17'!S30</f>
        <v>0.55824372759856644</v>
      </c>
      <c r="AA32" s="9">
        <f>'a18'!AK30</f>
        <v>0.44815803013051853</v>
      </c>
      <c r="AB32" s="9">
        <f t="shared" si="8"/>
        <v>0.47567945449753046</v>
      </c>
      <c r="AC32" s="9">
        <f>'a17'!U30</f>
        <v>0.52240143369175629</v>
      </c>
      <c r="AD32" s="9">
        <f>'a18'!AO30</f>
        <v>0.68869882668915339</v>
      </c>
      <c r="AE32" s="9">
        <f t="shared" si="9"/>
        <v>0.64712447843980414</v>
      </c>
      <c r="AF32" s="9">
        <f>'a17'!W30</f>
        <v>0.42383512544802854</v>
      </c>
      <c r="AG32" s="9">
        <f>'a18'!AS30</f>
        <v>0.68532302731657846</v>
      </c>
      <c r="AH32" s="9">
        <f t="shared" si="10"/>
        <v>0.61995105184944088</v>
      </c>
    </row>
    <row r="33" spans="1:44">
      <c r="A33" s="1">
        <v>1995</v>
      </c>
      <c r="B33" s="9">
        <f>'a17'!C31</f>
        <v>0.45967741935483863</v>
      </c>
      <c r="C33" s="9">
        <f>'a18'!E31</f>
        <v>0.6625205163781217</v>
      </c>
      <c r="D33" s="9">
        <f t="shared" si="0"/>
        <v>0.61180974212230088</v>
      </c>
      <c r="E33" s="9">
        <f>'a17'!E31</f>
        <v>0.61200716845878156</v>
      </c>
      <c r="F33" s="9">
        <f>'a18'!I31</f>
        <v>0.30473066971773299</v>
      </c>
      <c r="G33" s="9">
        <f t="shared" si="1"/>
        <v>0.38154979440299513</v>
      </c>
      <c r="H33" s="9">
        <f>'a17'!G31</f>
        <v>0.75537634408602139</v>
      </c>
      <c r="I33" s="9">
        <f>'a18'!M31</f>
        <v>0.76125761760504917</v>
      </c>
      <c r="J33" s="9">
        <f t="shared" si="2"/>
        <v>0.7597872992252922</v>
      </c>
      <c r="K33" s="9">
        <f>'a17'!I31</f>
        <v>0.56720430107526898</v>
      </c>
      <c r="L33" s="9">
        <f>'a18'!Q31</f>
        <v>0.56595346133200575</v>
      </c>
      <c r="M33" s="9">
        <f t="shared" si="3"/>
        <v>0.56626617126782153</v>
      </c>
      <c r="N33" s="9">
        <f>'a17'!K31</f>
        <v>0.61200716845878156</v>
      </c>
      <c r="O33" s="9">
        <f>'a18'!U31</f>
        <v>0.52139476700019127</v>
      </c>
      <c r="P33" s="9">
        <f t="shared" si="4"/>
        <v>0.54404786736483879</v>
      </c>
      <c r="Q33" s="9">
        <f>'a17'!M31</f>
        <v>0.51344086021505375</v>
      </c>
      <c r="R33" s="9">
        <f>'a18'!Y31</f>
        <v>0.52599489342627703</v>
      </c>
      <c r="S33" s="9">
        <f t="shared" si="5"/>
        <v>0.52285638512347121</v>
      </c>
      <c r="T33" s="9">
        <f>'a17'!O31</f>
        <v>0.47759856630824371</v>
      </c>
      <c r="U33" s="9">
        <f>'a18'!AC31</f>
        <v>0.8022006001833859</v>
      </c>
      <c r="V33" s="9">
        <f t="shared" si="6"/>
        <v>0.72105009171460044</v>
      </c>
      <c r="W33" s="9">
        <f>'a17'!Q31</f>
        <v>0.56720430107526898</v>
      </c>
      <c r="X33" s="9">
        <f>'a18'!AG31</f>
        <v>0.7027994833989919</v>
      </c>
      <c r="Y33" s="9">
        <f t="shared" si="7"/>
        <v>0.66890068781806122</v>
      </c>
      <c r="Z33" s="9">
        <f>'a17'!S31</f>
        <v>0.46863799283154117</v>
      </c>
      <c r="AA33" s="9">
        <f>'a18'!AK31</f>
        <v>0.40106709931381962</v>
      </c>
      <c r="AB33" s="9">
        <f t="shared" si="8"/>
        <v>0.41795982269324999</v>
      </c>
      <c r="AC33" s="9">
        <f>'a17'!U31</f>
        <v>0.53136200716845883</v>
      </c>
      <c r="AD33" s="9">
        <f>'a18'!AO31</f>
        <v>0.68061919682907035</v>
      </c>
      <c r="AE33" s="9">
        <f t="shared" si="9"/>
        <v>0.64330489941391744</v>
      </c>
      <c r="AF33" s="9">
        <f>'a17'!W31</f>
        <v>0.39695340501792098</v>
      </c>
      <c r="AG33" s="9">
        <f>'a18'!AS31</f>
        <v>0.67276554895357965</v>
      </c>
      <c r="AH33" s="9">
        <f t="shared" si="10"/>
        <v>0.60381251296966498</v>
      </c>
    </row>
    <row r="34" spans="1:44">
      <c r="A34" s="1">
        <v>1996</v>
      </c>
      <c r="B34" s="9">
        <f>'a17'!C32</f>
        <v>0.36111111111111088</v>
      </c>
      <c r="C34" s="9">
        <f>'a18'!E32</f>
        <v>0.618884323846424</v>
      </c>
      <c r="D34" s="9">
        <f t="shared" si="0"/>
        <v>0.55444102066259571</v>
      </c>
      <c r="E34" s="9">
        <f>'a17'!E32</f>
        <v>0.60304659498207902</v>
      </c>
      <c r="F34" s="9">
        <f>'a18'!I32</f>
        <v>0.28308283385123462</v>
      </c>
      <c r="G34" s="9">
        <f t="shared" si="1"/>
        <v>0.3630737741339457</v>
      </c>
      <c r="H34" s="9">
        <f>'a17'!G32</f>
        <v>0.65681003584229414</v>
      </c>
      <c r="I34" s="9">
        <f>'a18'!M32</f>
        <v>0.75244122456232243</v>
      </c>
      <c r="J34" s="9">
        <f>0.25*H34+0.75*I34</f>
        <v>0.7285334273823153</v>
      </c>
      <c r="K34" s="9">
        <f>'a17'!I32</f>
        <v>0.47759856630824371</v>
      </c>
      <c r="L34" s="9">
        <f>'a18'!Q32</f>
        <v>0.50373566794392921</v>
      </c>
      <c r="M34" s="9">
        <f t="shared" si="3"/>
        <v>0.49720139253500784</v>
      </c>
      <c r="N34" s="9">
        <f>'a17'!K32</f>
        <v>0.5492831541218639</v>
      </c>
      <c r="O34" s="9">
        <f>'a18'!U32</f>
        <v>0.56503715081913819</v>
      </c>
      <c r="P34" s="9">
        <f t="shared" si="4"/>
        <v>0.56109865164481953</v>
      </c>
      <c r="Q34" s="9">
        <f>'a17'!M32</f>
        <v>0.48655913978494619</v>
      </c>
      <c r="R34" s="9">
        <f>'a18'!Y32</f>
        <v>0.5682937679121679</v>
      </c>
      <c r="S34" s="9">
        <f t="shared" si="5"/>
        <v>0.54786011088036246</v>
      </c>
      <c r="T34" s="9">
        <f>'a17'!O32</f>
        <v>0.36111111111111088</v>
      </c>
      <c r="U34" s="9">
        <f>'a18'!AC32</f>
        <v>0.69326025756993215</v>
      </c>
      <c r="V34" s="9">
        <f t="shared" si="6"/>
        <v>0.61022297095522682</v>
      </c>
      <c r="W34" s="9">
        <f>'a17'!Q32</f>
        <v>0.50448028673835121</v>
      </c>
      <c r="X34" s="9">
        <f>'a18'!AG32</f>
        <v>0.62172457687195115</v>
      </c>
      <c r="Y34" s="9">
        <f t="shared" si="7"/>
        <v>0.59241350433855122</v>
      </c>
      <c r="Z34" s="9">
        <f>'a17'!S32</f>
        <v>0.45967741935483863</v>
      </c>
      <c r="AA34" s="9">
        <f>'a18'!AK32</f>
        <v>0.46323226676027884</v>
      </c>
      <c r="AB34" s="9">
        <f t="shared" si="8"/>
        <v>0.46234355490891876</v>
      </c>
      <c r="AC34" s="9">
        <f>'a17'!U32</f>
        <v>0.29838709677419323</v>
      </c>
      <c r="AD34" s="9">
        <f>'a18'!AO32</f>
        <v>0.66745032885022204</v>
      </c>
      <c r="AE34" s="9">
        <f t="shared" si="9"/>
        <v>0.57518452083121474</v>
      </c>
      <c r="AF34" s="9">
        <f>'a17'!W32</f>
        <v>0.28046594982078821</v>
      </c>
      <c r="AG34" s="9">
        <f>'a18'!AS32</f>
        <v>0.59178196391346316</v>
      </c>
      <c r="AH34" s="9">
        <f t="shared" si="10"/>
        <v>0.51395296039029437</v>
      </c>
    </row>
    <row r="35" spans="1:44">
      <c r="A35" s="1">
        <v>1997</v>
      </c>
      <c r="B35" s="9">
        <f>'a17'!C33</f>
        <v>0.28942652329749069</v>
      </c>
      <c r="C35" s="9">
        <f>'a18'!E33</f>
        <v>0.599423560200672</v>
      </c>
      <c r="D35" s="9">
        <f t="shared" si="0"/>
        <v>0.52192430097487674</v>
      </c>
      <c r="E35" s="9">
        <f>'a17'!E33</f>
        <v>0.60304659498207902</v>
      </c>
      <c r="F35" s="9">
        <f>'a18'!I33</f>
        <v>0.35437241088106347</v>
      </c>
      <c r="G35" s="9">
        <f t="shared" si="1"/>
        <v>0.41654095690631732</v>
      </c>
      <c r="H35" s="9">
        <f>'a17'!G33</f>
        <v>0.55824372759856644</v>
      </c>
      <c r="I35" s="9">
        <f>'a18'!M33</f>
        <v>0.74901125142631775</v>
      </c>
      <c r="J35" s="9">
        <f t="shared" si="2"/>
        <v>0.70131937046937987</v>
      </c>
      <c r="K35" s="9">
        <f>'a17'!I33</f>
        <v>0.44175627240143361</v>
      </c>
      <c r="L35" s="9">
        <f>'a18'!Q33</f>
        <v>0.45674379772321605</v>
      </c>
      <c r="M35" s="9">
        <f t="shared" si="3"/>
        <v>0.45299691639277045</v>
      </c>
      <c r="N35" s="9">
        <f>'a17'!K33</f>
        <v>0.49551971326164873</v>
      </c>
      <c r="O35" s="9">
        <f>'a18'!U33</f>
        <v>0.5082382815958415</v>
      </c>
      <c r="P35" s="9">
        <f t="shared" si="4"/>
        <v>0.50505863951229335</v>
      </c>
      <c r="Q35" s="9">
        <f>'a17'!M33</f>
        <v>0.37007168458781342</v>
      </c>
      <c r="R35" s="9">
        <f>'a18'!Y33</f>
        <v>0.50701550236414294</v>
      </c>
      <c r="S35" s="9">
        <f t="shared" si="5"/>
        <v>0.47277954792006055</v>
      </c>
      <c r="T35" s="9">
        <f>'a17'!O33</f>
        <v>0.31630824372759825</v>
      </c>
      <c r="U35" s="9">
        <f>'a18'!AC33</f>
        <v>0.68356779738145701</v>
      </c>
      <c r="V35" s="9">
        <f t="shared" si="6"/>
        <v>0.59175290896799237</v>
      </c>
      <c r="W35" s="9">
        <f>'a17'!Q33</f>
        <v>0.49551971326164873</v>
      </c>
      <c r="X35" s="9">
        <f>'a18'!AG33</f>
        <v>0.59459435614636935</v>
      </c>
      <c r="Y35" s="9">
        <f t="shared" si="7"/>
        <v>0.56982569542518924</v>
      </c>
      <c r="Z35" s="9">
        <f>'a17'!S33</f>
        <v>0.47759856630824371</v>
      </c>
      <c r="AA35" s="9">
        <f>'a18'!AK33</f>
        <v>0.61503024753385538</v>
      </c>
      <c r="AB35" s="9">
        <f t="shared" si="8"/>
        <v>0.58067232722745243</v>
      </c>
      <c r="AC35" s="9">
        <f>'a17'!U33</f>
        <v>0.19086021505376294</v>
      </c>
      <c r="AD35" s="9">
        <f>'a18'!AO33</f>
        <v>0.67277174024082875</v>
      </c>
      <c r="AE35" s="9">
        <f t="shared" si="9"/>
        <v>0.55229385894406235</v>
      </c>
      <c r="AF35" s="9">
        <f>'a17'!W33</f>
        <v>0.22670250896057303</v>
      </c>
      <c r="AG35" s="9">
        <f>'a18'!AS33</f>
        <v>0.55567592449849024</v>
      </c>
      <c r="AH35" s="9">
        <f t="shared" si="10"/>
        <v>0.47343257061401095</v>
      </c>
    </row>
    <row r="36" spans="1:44">
      <c r="A36" s="1">
        <v>1998</v>
      </c>
      <c r="B36" s="9">
        <f>'a17'!C34</f>
        <v>0.28046594982078821</v>
      </c>
      <c r="C36" s="9">
        <f>'a18'!E34</f>
        <v>0.59168754678291424</v>
      </c>
      <c r="D36" s="9">
        <f t="shared" si="0"/>
        <v>0.51388214754238271</v>
      </c>
      <c r="E36" s="9">
        <f>'a17'!E34</f>
        <v>0.53136200716845883</v>
      </c>
      <c r="F36" s="9">
        <f>'a18'!I34</f>
        <v>0.2990192072304329</v>
      </c>
      <c r="G36" s="9">
        <f t="shared" si="1"/>
        <v>0.35710490721493937</v>
      </c>
      <c r="H36" s="9">
        <f>'a17'!G34</f>
        <v>0.60304659498207902</v>
      </c>
      <c r="I36" s="9">
        <f>'a18'!M34</f>
        <v>0.7913751344283243</v>
      </c>
      <c r="J36" s="9">
        <f t="shared" si="2"/>
        <v>0.74429299956676298</v>
      </c>
      <c r="K36" s="9">
        <f>'a17'!I34</f>
        <v>0.42383512544802854</v>
      </c>
      <c r="L36" s="9">
        <f>'a18'!Q34</f>
        <v>0.41490617413738345</v>
      </c>
      <c r="M36" s="9">
        <f t="shared" si="3"/>
        <v>0.41713841196504475</v>
      </c>
      <c r="N36" s="9">
        <f>'a17'!K34</f>
        <v>0.50448028673835121</v>
      </c>
      <c r="O36" s="9">
        <f>'a18'!U34</f>
        <v>0.52662330908206112</v>
      </c>
      <c r="P36" s="9">
        <f t="shared" si="4"/>
        <v>0.52108755349613367</v>
      </c>
      <c r="Q36" s="9">
        <f>'a17'!M34</f>
        <v>0.40591397849462352</v>
      </c>
      <c r="R36" s="9">
        <f>'a18'!Y34</f>
        <v>0.55010067033067045</v>
      </c>
      <c r="S36" s="9">
        <f t="shared" si="5"/>
        <v>0.51405399737165869</v>
      </c>
      <c r="T36" s="9">
        <f>'a17'!O34</f>
        <v>0.29838709677419323</v>
      </c>
      <c r="U36" s="9">
        <f>'a18'!AC34</f>
        <v>0.69636673594717113</v>
      </c>
      <c r="V36" s="9">
        <f t="shared" si="6"/>
        <v>0.59687182615392664</v>
      </c>
      <c r="W36" s="9">
        <f>'a17'!Q34</f>
        <v>0.4507168458781361</v>
      </c>
      <c r="X36" s="9">
        <f>'a18'!AG34</f>
        <v>0.5424018046364073</v>
      </c>
      <c r="Y36" s="9">
        <f t="shared" si="7"/>
        <v>0.51948056494683947</v>
      </c>
      <c r="Z36" s="9">
        <f>'a17'!S34</f>
        <v>0.43279569892473108</v>
      </c>
      <c r="AA36" s="9">
        <f>'a18'!AK34</f>
        <v>0.50202996830680069</v>
      </c>
      <c r="AB36" s="9">
        <f t="shared" si="8"/>
        <v>0.48472140096128324</v>
      </c>
      <c r="AC36" s="9">
        <f>'a17'!U34</f>
        <v>0.19086021505376294</v>
      </c>
      <c r="AD36" s="9">
        <f>'a18'!AO34</f>
        <v>0.62872382710706531</v>
      </c>
      <c r="AE36" s="9">
        <f t="shared" si="9"/>
        <v>0.51925792409373972</v>
      </c>
      <c r="AF36" s="9">
        <f>'a17'!W34</f>
        <v>0.24462365591397808</v>
      </c>
      <c r="AG36" s="9">
        <f>'a18'!AS34</f>
        <v>0.46636351028651418</v>
      </c>
      <c r="AH36" s="9">
        <f t="shared" si="10"/>
        <v>0.41092854669338014</v>
      </c>
    </row>
    <row r="37" spans="1:44">
      <c r="A37" s="1">
        <v>1999</v>
      </c>
      <c r="B37" s="9">
        <f>'a17'!C35</f>
        <v>0.28046594982078821</v>
      </c>
      <c r="C37" s="9">
        <f>'a18'!E35</f>
        <v>0.58446541020683229</v>
      </c>
      <c r="D37" s="9">
        <f t="shared" si="0"/>
        <v>0.50846554511032127</v>
      </c>
      <c r="E37" s="9">
        <f>'a17'!E35</f>
        <v>0.50448028673835121</v>
      </c>
      <c r="F37" s="9">
        <f>'a18'!I35</f>
        <v>0.22407986636725605</v>
      </c>
      <c r="G37" s="9">
        <f t="shared" si="1"/>
        <v>0.29417997146002983</v>
      </c>
      <c r="H37" s="9">
        <f>'a17'!G35</f>
        <v>0.45967741935483863</v>
      </c>
      <c r="I37" s="9">
        <f>'a18'!M35</f>
        <v>0.58545137270125236</v>
      </c>
      <c r="J37" s="9">
        <f t="shared" si="2"/>
        <v>0.55400788436464887</v>
      </c>
      <c r="K37" s="9">
        <f>'a17'!I35</f>
        <v>0.41487455197132606</v>
      </c>
      <c r="L37" s="9">
        <f>'a18'!Q35</f>
        <v>0.48696811425153841</v>
      </c>
      <c r="M37" s="9">
        <f t="shared" si="3"/>
        <v>0.46894472368148532</v>
      </c>
      <c r="N37" s="9">
        <f>'a17'!K35</f>
        <v>0.58512544802867394</v>
      </c>
      <c r="O37" s="9">
        <f>'a18'!U35</f>
        <v>0.48933163815888442</v>
      </c>
      <c r="P37" s="9">
        <f t="shared" si="4"/>
        <v>0.51328009062633184</v>
      </c>
      <c r="Q37" s="9">
        <f>'a17'!M35</f>
        <v>0.47759856630824371</v>
      </c>
      <c r="R37" s="9">
        <f>'a18'!Y35</f>
        <v>0.57099316915277809</v>
      </c>
      <c r="S37" s="9">
        <f t="shared" si="5"/>
        <v>0.54764451844164452</v>
      </c>
      <c r="T37" s="9">
        <f>'a17'!O35</f>
        <v>0.23566308243727557</v>
      </c>
      <c r="U37" s="9">
        <f>'a18'!AC35</f>
        <v>0.66936653225382059</v>
      </c>
      <c r="V37" s="9">
        <f t="shared" si="6"/>
        <v>0.56094066979968427</v>
      </c>
      <c r="W37" s="9">
        <f>'a17'!Q35</f>
        <v>0.53136200716845883</v>
      </c>
      <c r="X37" s="9">
        <f>'a18'!AG35</f>
        <v>0.45894325251846085</v>
      </c>
      <c r="Y37" s="9">
        <f t="shared" si="7"/>
        <v>0.47704794118096033</v>
      </c>
      <c r="Z37" s="9">
        <f>'a17'!S35</f>
        <v>0.51344086021505375</v>
      </c>
      <c r="AA37" s="9">
        <f>'a18'!AK35</f>
        <v>0.55806885702026976</v>
      </c>
      <c r="AB37" s="9">
        <f t="shared" si="8"/>
        <v>0.54691185781896579</v>
      </c>
      <c r="AC37" s="9">
        <f>'a17'!U35</f>
        <v>0.34318996415770586</v>
      </c>
      <c r="AD37" s="9">
        <f>'a18'!AO35</f>
        <v>0.63623540636204301</v>
      </c>
      <c r="AE37" s="9">
        <f t="shared" si="9"/>
        <v>0.56297404581095867</v>
      </c>
      <c r="AF37" s="9">
        <f>'a17'!W35</f>
        <v>0.23566308243727557</v>
      </c>
      <c r="AG37" s="9">
        <f>'a18'!AS35</f>
        <v>0.42719123586142155</v>
      </c>
      <c r="AH37" s="9">
        <f t="shared" si="10"/>
        <v>0.37930919750538505</v>
      </c>
    </row>
    <row r="38" spans="1:44">
      <c r="A38" s="1">
        <v>2000</v>
      </c>
      <c r="B38" s="9">
        <f>'a17'!C36</f>
        <v>0.22670250896057303</v>
      </c>
      <c r="C38" s="9">
        <f>'a18'!E36</f>
        <v>0.59396284484696071</v>
      </c>
      <c r="D38" s="9">
        <f t="shared" si="0"/>
        <v>0.50214776087536384</v>
      </c>
      <c r="E38" s="9">
        <f>'a17'!E36</f>
        <v>0.44175627240143361</v>
      </c>
      <c r="F38" s="9">
        <f>'a18'!I36</f>
        <v>0.27542111588046608</v>
      </c>
      <c r="G38" s="9">
        <f t="shared" si="1"/>
        <v>0.31700490501070799</v>
      </c>
      <c r="H38" s="9">
        <f>'a17'!G36</f>
        <v>0.49551971326164873</v>
      </c>
      <c r="I38" s="9">
        <f>'a18'!M36</f>
        <v>0.55306629692299225</v>
      </c>
      <c r="J38" s="9">
        <f t="shared" si="2"/>
        <v>0.53867965100765636</v>
      </c>
      <c r="K38" s="9">
        <f>'a17'!I36</f>
        <v>0.40591397849462352</v>
      </c>
      <c r="L38" s="9">
        <f>'a18'!Q36</f>
        <v>0.50817946436697492</v>
      </c>
      <c r="M38" s="9">
        <f t="shared" si="3"/>
        <v>0.4826130928988871</v>
      </c>
      <c r="N38" s="9">
        <f>'a17'!K36</f>
        <v>0.46863799283154117</v>
      </c>
      <c r="O38" s="9">
        <f>'a18'!U36</f>
        <v>0.55358326940829239</v>
      </c>
      <c r="P38" s="9">
        <f t="shared" si="4"/>
        <v>0.53234695026410461</v>
      </c>
      <c r="Q38" s="9">
        <f>'a17'!M36</f>
        <v>0.37007168458781342</v>
      </c>
      <c r="R38" s="9">
        <f>'a18'!Y36</f>
        <v>0.53369995040778917</v>
      </c>
      <c r="S38" s="9">
        <f t="shared" si="5"/>
        <v>0.49279288395279519</v>
      </c>
      <c r="T38" s="9">
        <f>'a17'!O36</f>
        <v>0.19086021505376294</v>
      </c>
      <c r="U38" s="9">
        <f>'a18'!AC36</f>
        <v>0.7168815662470831</v>
      </c>
      <c r="V38" s="9">
        <f t="shared" si="6"/>
        <v>0.58537622844875314</v>
      </c>
      <c r="W38" s="9">
        <f>'a17'!Q36</f>
        <v>0.47759856630824371</v>
      </c>
      <c r="X38" s="9">
        <f>'a18'!AG36</f>
        <v>0.49106365076682185</v>
      </c>
      <c r="Y38" s="9">
        <f t="shared" si="7"/>
        <v>0.4876973796521773</v>
      </c>
      <c r="Z38" s="9">
        <f>'a17'!S36</f>
        <v>0.43279569892473108</v>
      </c>
      <c r="AA38" s="9">
        <f>'a18'!AK36</f>
        <v>0.41602524930765916</v>
      </c>
      <c r="AB38" s="9">
        <f t="shared" si="8"/>
        <v>0.4202178617119271</v>
      </c>
      <c r="AC38" s="9">
        <f>'a17'!U36</f>
        <v>0.28942652329749069</v>
      </c>
      <c r="AD38" s="9">
        <f>'a18'!AO36</f>
        <v>0.67795384766833011</v>
      </c>
      <c r="AE38" s="9">
        <f t="shared" si="9"/>
        <v>0.58082201657562027</v>
      </c>
      <c r="AF38" s="9">
        <f>'a17'!W36</f>
        <v>0.24462365591397808</v>
      </c>
      <c r="AG38" s="9">
        <f>'a18'!AS36</f>
        <v>0.41994742977996774</v>
      </c>
      <c r="AH38" s="9">
        <f t="shared" si="10"/>
        <v>0.37611648631347033</v>
      </c>
    </row>
    <row r="39" spans="1:44">
      <c r="A39" s="1">
        <v>2001</v>
      </c>
      <c r="B39" s="9">
        <f>'a17'!C37</f>
        <v>0.22670250896057303</v>
      </c>
      <c r="C39" s="9">
        <f>'a18'!E37</f>
        <v>0.60586714240517892</v>
      </c>
      <c r="D39" s="9">
        <f t="shared" si="0"/>
        <v>0.51107598404402743</v>
      </c>
      <c r="E39" s="9">
        <f>'a17'!E37</f>
        <v>0.51344086021505375</v>
      </c>
      <c r="F39" s="9">
        <f>'a18'!I37</f>
        <v>0.37718111310676938</v>
      </c>
      <c r="G39" s="9">
        <f t="shared" si="1"/>
        <v>0.41124604988384045</v>
      </c>
      <c r="H39" s="9">
        <f>'a17'!G37</f>
        <v>0.53136200716845883</v>
      </c>
      <c r="I39" s="9">
        <f>'a18'!M37</f>
        <v>0.59201104154167994</v>
      </c>
      <c r="J39" s="9">
        <f t="shared" si="2"/>
        <v>0.57684878294837461</v>
      </c>
      <c r="K39" s="9">
        <f>'a17'!I37</f>
        <v>0.37007168458781342</v>
      </c>
      <c r="L39" s="9">
        <f>'a18'!Q37</f>
        <v>0.49923614993564153</v>
      </c>
      <c r="M39" s="9">
        <f t="shared" si="3"/>
        <v>0.4669450335986845</v>
      </c>
      <c r="N39" s="9">
        <f>'a17'!K37</f>
        <v>0.42383512544802854</v>
      </c>
      <c r="O39" s="9">
        <f>'a18'!U37</f>
        <v>0.55900683703850917</v>
      </c>
      <c r="P39" s="9">
        <f t="shared" si="4"/>
        <v>0.52521390914088895</v>
      </c>
      <c r="Q39" s="9">
        <f>'a17'!M37</f>
        <v>0.35215053763440834</v>
      </c>
      <c r="R39" s="9">
        <f>'a18'!Y37</f>
        <v>0.56907387010555532</v>
      </c>
      <c r="S39" s="9">
        <f t="shared" si="5"/>
        <v>0.51484303698776857</v>
      </c>
      <c r="T39" s="9">
        <f>'a17'!O37</f>
        <v>0.22670250896057303</v>
      </c>
      <c r="U39" s="9">
        <f>'a18'!AC37</f>
        <v>0.71928533352154844</v>
      </c>
      <c r="V39" s="9">
        <f t="shared" si="6"/>
        <v>0.59613962738130466</v>
      </c>
      <c r="W39" s="9">
        <f>'a17'!Q37</f>
        <v>0.49551971326164873</v>
      </c>
      <c r="X39" s="9">
        <f>'a18'!AG37</f>
        <v>0.56361779821728075</v>
      </c>
      <c r="Y39" s="9">
        <f t="shared" si="7"/>
        <v>0.54659327697837279</v>
      </c>
      <c r="Z39" s="9">
        <f>'a17'!S37</f>
        <v>0.45967741935483863</v>
      </c>
      <c r="AA39" s="9">
        <f>'a18'!AK37</f>
        <v>0.5261930146182483</v>
      </c>
      <c r="AB39" s="9">
        <f t="shared" si="8"/>
        <v>0.50956411580239591</v>
      </c>
      <c r="AC39" s="9">
        <f>'a17'!U37</f>
        <v>0.29838709677419323</v>
      </c>
      <c r="AD39" s="9">
        <f>'a18'!AO37</f>
        <v>0.69886801599580983</v>
      </c>
      <c r="AE39" s="9">
        <f t="shared" ref="AE39:AE44" si="11">0.25*AC39+0.75*AD39</f>
        <v>0.59874778619040558</v>
      </c>
      <c r="AF39" s="9">
        <f>'a17'!W37</f>
        <v>0.15501792114695287</v>
      </c>
      <c r="AG39" s="9">
        <f>'a18'!AS37</f>
        <v>0.36765891331764472</v>
      </c>
      <c r="AH39" s="9">
        <f t="shared" ref="AH39:AH44" si="12">0.25*AF39+0.75*AG39</f>
        <v>0.31449866527497178</v>
      </c>
    </row>
    <row r="40" spans="1:44">
      <c r="A40" s="1">
        <v>2002</v>
      </c>
      <c r="B40" s="9">
        <f>'a17'!C38</f>
        <v>0.23566308243727557</v>
      </c>
      <c r="C40" s="9">
        <f>'a18'!E38</f>
        <v>0.58729482847967363</v>
      </c>
      <c r="D40" s="9">
        <f t="shared" ref="D40:D45" si="13">0.25*B40+0.75*C40</f>
        <v>0.4993868919690741</v>
      </c>
      <c r="E40" s="9">
        <f>'a17'!E38</f>
        <v>0.46863799283154117</v>
      </c>
      <c r="F40" s="9">
        <f>'a18'!I38</f>
        <v>0.27114293639133402</v>
      </c>
      <c r="G40" s="9">
        <f t="shared" ref="G40:G45" si="14">0.25*E40+0.75*F40</f>
        <v>0.32051670050138581</v>
      </c>
      <c r="H40" s="9">
        <f>'a17'!G38</f>
        <v>0.52240143369175629</v>
      </c>
      <c r="I40" s="9">
        <f>'a18'!M38</f>
        <v>0.66720577300388251</v>
      </c>
      <c r="J40" s="9">
        <f t="shared" ref="J40:J45" si="15">0.25*H40+0.75*I40</f>
        <v>0.63100468817585098</v>
      </c>
      <c r="K40" s="9">
        <f>'a17'!I38</f>
        <v>0.37007168458781342</v>
      </c>
      <c r="L40" s="9">
        <f>'a18'!Q38</f>
        <v>0.48929449043538992</v>
      </c>
      <c r="M40" s="9">
        <f t="shared" ref="M40:M45" si="16">0.25*K40+0.75*L40</f>
        <v>0.45948878897349577</v>
      </c>
      <c r="N40" s="9">
        <f>'a17'!K38</f>
        <v>0.42383512544802854</v>
      </c>
      <c r="O40" s="9">
        <f>'a18'!U38</f>
        <v>0.46603072859687472</v>
      </c>
      <c r="P40" s="9">
        <f t="shared" ref="P40:P45" si="17">0.25*N40+0.75*O40</f>
        <v>0.45548182780966318</v>
      </c>
      <c r="Q40" s="9">
        <f>'a17'!M38</f>
        <v>0.38799283154121844</v>
      </c>
      <c r="R40" s="9">
        <f>'a18'!Y38</f>
        <v>0.56623980836727716</v>
      </c>
      <c r="S40" s="9">
        <f t="shared" ref="S40:S45" si="18">0.25*Q40+0.75*R40</f>
        <v>0.52167806416076257</v>
      </c>
      <c r="T40" s="9">
        <f>'a17'!O38</f>
        <v>0.22670250896057303</v>
      </c>
      <c r="U40" s="9">
        <f>'a18'!AC38</f>
        <v>0.67436444888566116</v>
      </c>
      <c r="V40" s="9">
        <f t="shared" ref="V40:V45" si="19">0.25*T40+0.75*U40</f>
        <v>0.56244896390438914</v>
      </c>
      <c r="W40" s="9">
        <f>'a17'!Q38</f>
        <v>0.42383512544802854</v>
      </c>
      <c r="X40" s="9">
        <f>'a18'!AG38</f>
        <v>0.51558579173871777</v>
      </c>
      <c r="Y40" s="9">
        <f t="shared" ref="Y40:Y45" si="20">0.25*W40+0.75*X40</f>
        <v>0.49264812516604545</v>
      </c>
      <c r="Z40" s="9">
        <f>'a17'!S38</f>
        <v>0.4507168458781361</v>
      </c>
      <c r="AA40" s="9">
        <f>'a18'!AK38</f>
        <v>0.51695251839895784</v>
      </c>
      <c r="AB40" s="9">
        <f t="shared" ref="AB40:AB45" si="21">0.25*Z40+0.75*AA40</f>
        <v>0.50039360026875235</v>
      </c>
      <c r="AC40" s="9">
        <f>'a17'!U38</f>
        <v>0.36111111111111088</v>
      </c>
      <c r="AD40" s="9">
        <f>'a18'!AO38</f>
        <v>0.76087066215197985</v>
      </c>
      <c r="AE40" s="9">
        <f t="shared" si="11"/>
        <v>0.66093077439176251</v>
      </c>
      <c r="AF40" s="9">
        <f>'a17'!W38</f>
        <v>8.3333333333333162E-2</v>
      </c>
      <c r="AG40" s="9">
        <f>'a18'!AS38</f>
        <v>0.34491212396442988</v>
      </c>
      <c r="AH40" s="9">
        <f t="shared" si="12"/>
        <v>0.27951742630665571</v>
      </c>
    </row>
    <row r="41" spans="1:44">
      <c r="A41" s="1">
        <v>2003</v>
      </c>
      <c r="B41" s="9">
        <f>'a17'!C39</f>
        <v>0.25358422939068059</v>
      </c>
      <c r="C41" s="9">
        <f>'a18'!E39</f>
        <v>0.58632898766881325</v>
      </c>
      <c r="D41" s="9">
        <f t="shared" si="13"/>
        <v>0.50314279809928009</v>
      </c>
      <c r="E41" s="9">
        <f>'a17'!E39</f>
        <v>0.47759856630824371</v>
      </c>
      <c r="F41" s="9">
        <f>'a18'!I39</f>
        <v>0.29140547173584491</v>
      </c>
      <c r="G41" s="9">
        <f t="shared" si="14"/>
        <v>0.33795374537894463</v>
      </c>
      <c r="H41" s="9">
        <f>'a17'!G39</f>
        <v>0.62992831541218663</v>
      </c>
      <c r="I41" s="9">
        <f>'a18'!M39</f>
        <v>0.70891492737929618</v>
      </c>
      <c r="J41" s="9">
        <f t="shared" si="15"/>
        <v>0.68916827438751882</v>
      </c>
      <c r="K41" s="9">
        <f>'a17'!I39</f>
        <v>0.42383512544802854</v>
      </c>
      <c r="L41" s="9">
        <f>'a18'!Q39</f>
        <v>0.42268397874407265</v>
      </c>
      <c r="M41" s="9">
        <f t="shared" si="16"/>
        <v>0.42297176542006165</v>
      </c>
      <c r="N41" s="9">
        <f>'a17'!K39</f>
        <v>0.41487455197132606</v>
      </c>
      <c r="O41" s="9">
        <f>'a18'!U39</f>
        <v>0.41052119494320438</v>
      </c>
      <c r="P41" s="9">
        <f t="shared" si="17"/>
        <v>0.41160953420023483</v>
      </c>
      <c r="Q41" s="9">
        <f>'a17'!M39</f>
        <v>0.42383512544802854</v>
      </c>
      <c r="R41" s="9">
        <f>'a18'!Y39</f>
        <v>0.58575010231102176</v>
      </c>
      <c r="S41" s="9">
        <f t="shared" si="18"/>
        <v>0.54527135809527338</v>
      </c>
      <c r="T41" s="9">
        <f>'a17'!O39</f>
        <v>0.24462365591397808</v>
      </c>
      <c r="U41" s="9">
        <f>'a18'!AC39</f>
        <v>0.69562223365546594</v>
      </c>
      <c r="V41" s="9">
        <f t="shared" si="19"/>
        <v>0.582872589220094</v>
      </c>
      <c r="W41" s="9">
        <f>'a17'!Q39</f>
        <v>0.54032258064516137</v>
      </c>
      <c r="X41" s="9">
        <f>'a18'!AG39</f>
        <v>0.52395950774313338</v>
      </c>
      <c r="Y41" s="9">
        <f t="shared" si="20"/>
        <v>0.5280502759686404</v>
      </c>
      <c r="Z41" s="9">
        <f>'a17'!S39</f>
        <v>0.38799283154121844</v>
      </c>
      <c r="AA41" s="9">
        <f>'a18'!AK39</f>
        <v>0.52889860714610748</v>
      </c>
      <c r="AB41" s="9">
        <f t="shared" si="21"/>
        <v>0.49367216324488522</v>
      </c>
      <c r="AC41" s="9">
        <f>'a17'!U39</f>
        <v>0.20878136200716799</v>
      </c>
      <c r="AD41" s="9">
        <f>'a18'!AO39</f>
        <v>0.64855142452232661</v>
      </c>
      <c r="AE41" s="9">
        <f t="shared" si="11"/>
        <v>0.53860890889353696</v>
      </c>
      <c r="AF41" s="9">
        <f>'a17'!W39</f>
        <v>0.19982078853046548</v>
      </c>
      <c r="AG41" s="9">
        <f>'a18'!AS39</f>
        <v>0.34097756091762282</v>
      </c>
      <c r="AH41" s="9">
        <f t="shared" si="12"/>
        <v>0.30568836782083347</v>
      </c>
    </row>
    <row r="42" spans="1:44">
      <c r="A42" s="1">
        <v>2004</v>
      </c>
      <c r="B42" s="9">
        <f>'a17'!C40</f>
        <v>0.20878136200716799</v>
      </c>
      <c r="C42" s="9">
        <f>'a18'!E40</f>
        <v>0.56784799523023222</v>
      </c>
      <c r="D42" s="9">
        <f t="shared" si="13"/>
        <v>0.47808133692446614</v>
      </c>
      <c r="E42" s="9">
        <f>'a17'!E40</f>
        <v>0.46863799283154117</v>
      </c>
      <c r="F42" s="9">
        <f>'a18'!I40</f>
        <v>0.26070287826752936</v>
      </c>
      <c r="G42" s="9">
        <f t="shared" si="14"/>
        <v>0.31268665690853231</v>
      </c>
      <c r="H42" s="9">
        <f>'a17'!G40</f>
        <v>0.67473118279569866</v>
      </c>
      <c r="I42" s="9">
        <f>'a18'!M40</f>
        <v>0.73045751136255999</v>
      </c>
      <c r="J42" s="9">
        <f t="shared" si="15"/>
        <v>0.71652592922084468</v>
      </c>
      <c r="K42" s="9">
        <f>'a17'!I40</f>
        <v>0.40591397849462352</v>
      </c>
      <c r="L42" s="9">
        <f>'a18'!Q40</f>
        <v>0.46412535994596243</v>
      </c>
      <c r="M42" s="9">
        <f t="shared" si="16"/>
        <v>0.44957251458312769</v>
      </c>
      <c r="N42" s="9">
        <f>'a17'!K40</f>
        <v>0.41487455197132606</v>
      </c>
      <c r="O42" s="9">
        <f>'a18'!U40</f>
        <v>0.44786239616437373</v>
      </c>
      <c r="P42" s="9">
        <f t="shared" si="17"/>
        <v>0.43961543511611179</v>
      </c>
      <c r="Q42" s="9">
        <f>'a17'!M40</f>
        <v>0.38799283154121844</v>
      </c>
      <c r="R42" s="9">
        <f>'a18'!Y40</f>
        <v>0.64539077238165821</v>
      </c>
      <c r="S42" s="9">
        <f t="shared" si="18"/>
        <v>0.58104128717154824</v>
      </c>
      <c r="T42" s="9">
        <f>'a17'!O40</f>
        <v>0.15501792114695287</v>
      </c>
      <c r="U42" s="9">
        <f>'a18'!AC40</f>
        <v>0.60651413192271042</v>
      </c>
      <c r="V42" s="9">
        <f t="shared" si="19"/>
        <v>0.49364007922877107</v>
      </c>
      <c r="W42" s="9">
        <f>'a17'!Q40</f>
        <v>0.43279569892473108</v>
      </c>
      <c r="X42" s="9">
        <f>'a18'!AG40</f>
        <v>0.55786144889742462</v>
      </c>
      <c r="Y42" s="9">
        <f t="shared" si="20"/>
        <v>0.52659501140425125</v>
      </c>
      <c r="Z42" s="9">
        <f>'a17'!S40</f>
        <v>0.32526881720430079</v>
      </c>
      <c r="AA42" s="9">
        <f>'a18'!AK40</f>
        <v>0.41493403493000447</v>
      </c>
      <c r="AB42" s="9">
        <f t="shared" si="21"/>
        <v>0.39251773049857858</v>
      </c>
      <c r="AC42" s="9">
        <f>'a17'!U40</f>
        <v>0.24462365591397808</v>
      </c>
      <c r="AD42" s="9">
        <f>'a18'!AO40</f>
        <v>0.636738448451033</v>
      </c>
      <c r="AE42" s="9">
        <f t="shared" si="11"/>
        <v>0.53870975031676926</v>
      </c>
      <c r="AF42" s="9">
        <f>'a17'!W40</f>
        <v>0.19982078853046548</v>
      </c>
      <c r="AG42" s="9">
        <f>'a18'!AS40</f>
        <v>0.36884144918222378</v>
      </c>
      <c r="AH42" s="9">
        <f t="shared" si="12"/>
        <v>0.32658628401928419</v>
      </c>
    </row>
    <row r="43" spans="1:44">
      <c r="A43" s="1">
        <v>2005</v>
      </c>
      <c r="B43" s="9">
        <f>'a17'!C41</f>
        <v>0.21774193548387052</v>
      </c>
      <c r="C43" s="9">
        <f>'a18'!E41</f>
        <v>0.57818434929261453</v>
      </c>
      <c r="D43" s="9">
        <f t="shared" si="13"/>
        <v>0.48807374584042851</v>
      </c>
      <c r="E43" s="9">
        <f>'a17'!E41</f>
        <v>0.46863799283154117</v>
      </c>
      <c r="F43" s="9">
        <f>'a18'!I41</f>
        <v>0.40002231959053308</v>
      </c>
      <c r="G43" s="9">
        <f t="shared" si="14"/>
        <v>0.41717623790078512</v>
      </c>
      <c r="H43" s="9">
        <f>'a17'!G41</f>
        <v>0.72849462365591389</v>
      </c>
      <c r="I43" s="9">
        <f>'a18'!M41</f>
        <v>0.8235853063417975</v>
      </c>
      <c r="J43" s="9">
        <f t="shared" si="15"/>
        <v>0.79981263567032657</v>
      </c>
      <c r="K43" s="9">
        <f>'a17'!I41</f>
        <v>0.37903225806451596</v>
      </c>
      <c r="L43" s="9">
        <f>'a18'!Q41</f>
        <v>0.56114283113945074</v>
      </c>
      <c r="M43" s="9">
        <f t="shared" si="16"/>
        <v>0.51561518787071703</v>
      </c>
      <c r="N43" s="9">
        <f>'a17'!K41</f>
        <v>0.43279569892473108</v>
      </c>
      <c r="O43" s="9">
        <f>'a18'!U41</f>
        <v>0.41594940603885761</v>
      </c>
      <c r="P43" s="9">
        <f t="shared" si="17"/>
        <v>0.42016097926032597</v>
      </c>
      <c r="Q43" s="9">
        <f>'a17'!M41</f>
        <v>0.33422939068100332</v>
      </c>
      <c r="R43" s="9">
        <f>'a18'!Y41</f>
        <v>0.57210605303580486</v>
      </c>
      <c r="S43" s="9">
        <f t="shared" si="18"/>
        <v>0.51263688744710445</v>
      </c>
      <c r="T43" s="9">
        <f>'a17'!O41</f>
        <v>0.20878136200716799</v>
      </c>
      <c r="U43" s="9">
        <f>'a18'!AC41</f>
        <v>0.63215070459944545</v>
      </c>
      <c r="V43" s="9">
        <f t="shared" si="19"/>
        <v>0.52630836895137612</v>
      </c>
      <c r="W43" s="9">
        <f>'a17'!Q41</f>
        <v>0.39695340501792098</v>
      </c>
      <c r="X43" s="9">
        <f>'a18'!AG41</f>
        <v>0.5098325380624863</v>
      </c>
      <c r="Y43" s="9">
        <f t="shared" si="20"/>
        <v>0.48161275480134491</v>
      </c>
      <c r="Z43" s="9">
        <f>'a17'!S41</f>
        <v>0.19086021505376294</v>
      </c>
      <c r="AA43" s="9">
        <f>'a18'!AK41</f>
        <v>0.25866749258438576</v>
      </c>
      <c r="AB43" s="9">
        <f t="shared" si="21"/>
        <v>0.24171567320173007</v>
      </c>
      <c r="AC43" s="9">
        <f>'a17'!U41</f>
        <v>0.30734767025089577</v>
      </c>
      <c r="AD43" s="9">
        <f>'a18'!AO41</f>
        <v>0.76041250689554629</v>
      </c>
      <c r="AE43" s="9">
        <f t="shared" si="11"/>
        <v>0.64714629773438359</v>
      </c>
      <c r="AF43" s="9">
        <f>'a17'!W41</f>
        <v>0.17293906810035789</v>
      </c>
      <c r="AG43" s="9">
        <f>'a18'!AS41</f>
        <v>0.42438348709395207</v>
      </c>
      <c r="AH43" s="9">
        <f t="shared" si="12"/>
        <v>0.36152238234555356</v>
      </c>
    </row>
    <row r="44" spans="1:44">
      <c r="A44" s="1">
        <v>2006</v>
      </c>
      <c r="B44" s="9">
        <f>'a17'!C42</f>
        <v>0.22670250896057303</v>
      </c>
      <c r="C44" s="9">
        <f>'a18'!E42</f>
        <v>0.62730292668339549</v>
      </c>
      <c r="D44" s="9">
        <f t="shared" si="13"/>
        <v>0.52715282225268989</v>
      </c>
      <c r="E44" s="9">
        <f>'a17'!E42</f>
        <v>0.47759856630824371</v>
      </c>
      <c r="F44" s="9">
        <f>'a18'!I42</f>
        <v>0.46626754533415293</v>
      </c>
      <c r="G44" s="9">
        <f t="shared" si="14"/>
        <v>0.4691003005776756</v>
      </c>
      <c r="H44" s="9">
        <f>'a17'!G42</f>
        <v>0.66577060931899623</v>
      </c>
      <c r="I44" s="9">
        <f>'a18'!M42</f>
        <v>0.76141549542990128</v>
      </c>
      <c r="J44" s="9">
        <f t="shared" si="15"/>
        <v>0.7375042739021751</v>
      </c>
      <c r="K44" s="9">
        <f>'a17'!I42</f>
        <v>0.38799283154121844</v>
      </c>
      <c r="L44" s="9">
        <f>'a18'!Q42</f>
        <v>0.57308582424297572</v>
      </c>
      <c r="M44" s="9">
        <f t="shared" si="16"/>
        <v>0.5268125760675364</v>
      </c>
      <c r="N44" s="9">
        <f>'a17'!K42</f>
        <v>0.4507168458781361</v>
      </c>
      <c r="O44" s="9">
        <f>'a18'!U42</f>
        <v>0.42485402492488422</v>
      </c>
      <c r="P44" s="9">
        <f t="shared" si="17"/>
        <v>0.43131973016319719</v>
      </c>
      <c r="Q44" s="9">
        <f>'a17'!M42</f>
        <v>0.37903225806451596</v>
      </c>
      <c r="R44" s="9">
        <f>'a18'!Y42</f>
        <v>0.63913447661643674</v>
      </c>
      <c r="S44" s="9">
        <f t="shared" si="18"/>
        <v>0.57410892197845653</v>
      </c>
      <c r="T44" s="9">
        <f>'a17'!O42</f>
        <v>0.23566308243727557</v>
      </c>
      <c r="U44" s="9">
        <f>'a18'!AC42</f>
        <v>0.66066777366882679</v>
      </c>
      <c r="V44" s="9">
        <f t="shared" si="19"/>
        <v>0.55441660086093891</v>
      </c>
      <c r="W44" s="9">
        <f>'a17'!Q42</f>
        <v>0.37007168458781342</v>
      </c>
      <c r="X44" s="9">
        <f>'a18'!AG42</f>
        <v>0.54728982591957642</v>
      </c>
      <c r="Y44" s="9">
        <f t="shared" si="20"/>
        <v>0.50298529058663566</v>
      </c>
      <c r="Z44" s="9">
        <f>'a17'!S42</f>
        <v>0.19982078853046548</v>
      </c>
      <c r="AA44" s="9">
        <f>'a18'!AK42</f>
        <v>0.31745376501464545</v>
      </c>
      <c r="AB44" s="9">
        <f t="shared" si="21"/>
        <v>0.28804552089360047</v>
      </c>
      <c r="AC44" s="9">
        <f>'a17'!U42</f>
        <v>0.25358422939068059</v>
      </c>
      <c r="AD44" s="9">
        <f>'a18'!AO42</f>
        <v>0.86378843009386619</v>
      </c>
      <c r="AE44" s="9">
        <f t="shared" si="11"/>
        <v>0.71123737991806979</v>
      </c>
      <c r="AF44" s="9">
        <f>'a17'!W42</f>
        <v>0.15501792114695287</v>
      </c>
      <c r="AG44" s="9">
        <f>'a18'!AS42</f>
        <v>0.46424918569094453</v>
      </c>
      <c r="AH44" s="9">
        <f t="shared" si="12"/>
        <v>0.38694136955494662</v>
      </c>
      <c r="AR44" s="164"/>
    </row>
    <row r="45" spans="1:44">
      <c r="A45" s="1">
        <v>2007</v>
      </c>
      <c r="B45" s="9">
        <f>'a17'!C43</f>
        <v>0.20878136200716799</v>
      </c>
      <c r="C45" s="9">
        <f>'a18'!E43</f>
        <v>0.6439822545324867</v>
      </c>
      <c r="D45" s="9">
        <f t="shared" si="13"/>
        <v>0.53518203140115705</v>
      </c>
      <c r="E45" s="9">
        <f>'a17'!E43</f>
        <v>0.41487455197132606</v>
      </c>
      <c r="F45" s="9">
        <f>'a18'!I43</f>
        <v>0.55847438633508617</v>
      </c>
      <c r="G45" s="9">
        <f t="shared" si="14"/>
        <v>0.5225744277441462</v>
      </c>
      <c r="H45" s="9">
        <f>'a17'!G43</f>
        <v>0.79121863799283154</v>
      </c>
      <c r="I45" s="9">
        <f>'a18'!M43</f>
        <v>0.80644937105808479</v>
      </c>
      <c r="J45" s="9">
        <f t="shared" si="15"/>
        <v>0.80264168779177147</v>
      </c>
      <c r="K45" s="9">
        <f>'a17'!I43</f>
        <v>0.40591397849462352</v>
      </c>
      <c r="L45" s="9">
        <f>'a18'!Q43</f>
        <v>0.51355969298644788</v>
      </c>
      <c r="M45" s="9">
        <f t="shared" si="16"/>
        <v>0.48664826436349179</v>
      </c>
      <c r="N45" s="9">
        <f>'a17'!K43</f>
        <v>0.45967741935483863</v>
      </c>
      <c r="O45" s="9">
        <f>'a18'!U43</f>
        <v>0.41177802625477267</v>
      </c>
      <c r="P45" s="9">
        <f t="shared" si="17"/>
        <v>0.42375287452978916</v>
      </c>
      <c r="Q45" s="9">
        <f>'a17'!M43</f>
        <v>0.37007168458781342</v>
      </c>
      <c r="R45" s="9">
        <f>'a18'!Y43</f>
        <v>0.60503905773561084</v>
      </c>
      <c r="S45" s="9">
        <f t="shared" si="18"/>
        <v>0.54629721444866153</v>
      </c>
      <c r="T45" s="9">
        <f>'a17'!O43</f>
        <v>0.22670250896057303</v>
      </c>
      <c r="U45" s="9">
        <f>'a18'!AC43</f>
        <v>0.69044786533702596</v>
      </c>
      <c r="V45" s="9">
        <f t="shared" si="19"/>
        <v>0.5745115262429128</v>
      </c>
      <c r="W45" s="9">
        <f>'a17'!Q43</f>
        <v>0.33422939068100332</v>
      </c>
      <c r="X45" s="9">
        <f>'a18'!AG43</f>
        <v>0.56605097410617922</v>
      </c>
      <c r="Y45" s="9">
        <f t="shared" si="20"/>
        <v>0.50809557824988527</v>
      </c>
      <c r="Z45" s="9">
        <f>'a17'!S43</f>
        <v>0.28942652329749069</v>
      </c>
      <c r="AA45" s="9">
        <f>'a18'!AK43</f>
        <v>0.47867488498136107</v>
      </c>
      <c r="AB45" s="9">
        <f t="shared" si="21"/>
        <v>0.43136279456039345</v>
      </c>
      <c r="AC45" s="9">
        <f>'a17'!U43</f>
        <v>0.20878136200716799</v>
      </c>
      <c r="AD45" s="9">
        <f>'a18'!AO43</f>
        <v>0.85418419574869064</v>
      </c>
      <c r="AE45" s="9">
        <f>0.25*AC45+0.75*AD45</f>
        <v>0.69283348731330996</v>
      </c>
      <c r="AF45" s="9">
        <f>'a17'!W43</f>
        <v>0.14605734767025033</v>
      </c>
      <c r="AG45" s="9">
        <f>'a18'!AS43</f>
        <v>0.5496270368561138</v>
      </c>
      <c r="AH45" s="9">
        <f>0.25*AF45+0.75*AG45</f>
        <v>0.44873461455964792</v>
      </c>
      <c r="AR45" s="164"/>
    </row>
    <row r="46" spans="1:44">
      <c r="A46" s="1">
        <v>2008</v>
      </c>
      <c r="B46" s="9">
        <f>'a17'!C44</f>
        <v>0.19086021505376294</v>
      </c>
      <c r="C46" s="9">
        <f>'a18'!E44</f>
        <v>0.59431110475472282</v>
      </c>
      <c r="D46" s="9">
        <f t="shared" ref="D46" si="22">0.25*B46+0.75*C46</f>
        <v>0.49344838232948285</v>
      </c>
      <c r="E46" s="9">
        <f>'a17'!E44</f>
        <v>0.31630824372759825</v>
      </c>
      <c r="F46" s="9">
        <f>'a18'!I44</f>
        <v>0.47418620172575937</v>
      </c>
      <c r="G46" s="9">
        <f t="shared" ref="G46" si="23">0.25*E46+0.75*F46</f>
        <v>0.4347167122262191</v>
      </c>
      <c r="H46" s="9">
        <f>'a17'!G44</f>
        <v>0.66577060931899623</v>
      </c>
      <c r="I46" s="9">
        <f>'a18'!M44</f>
        <v>0.68714790923325242</v>
      </c>
      <c r="J46" s="9">
        <f t="shared" ref="J46" si="24">0.25*H46+0.75*I46</f>
        <v>0.68180358425468834</v>
      </c>
      <c r="K46" s="9">
        <f>'a17'!I44</f>
        <v>0.34318996415770586</v>
      </c>
      <c r="L46" s="9">
        <f>'a18'!Q44</f>
        <v>0.45554114017507735</v>
      </c>
      <c r="M46" s="9">
        <f t="shared" ref="M46" si="25">0.25*K46+0.75*L46</f>
        <v>0.42745334617073449</v>
      </c>
      <c r="N46" s="9">
        <f>'a17'!K44</f>
        <v>0.52240143369175629</v>
      </c>
      <c r="O46" s="9">
        <f>'a18'!U44</f>
        <v>0.44805896953453295</v>
      </c>
      <c r="P46" s="9">
        <f t="shared" ref="P46" si="26">0.25*N46+0.75*O46</f>
        <v>0.46664458557383881</v>
      </c>
      <c r="Q46" s="9">
        <f>'a17'!M44</f>
        <v>0.33422939068100332</v>
      </c>
      <c r="R46" s="9">
        <f>'a18'!Y44</f>
        <v>0.53629874323060112</v>
      </c>
      <c r="S46" s="9">
        <f t="shared" ref="S46" si="27">0.25*Q46+0.75*R46</f>
        <v>0.48578140509320167</v>
      </c>
      <c r="T46" s="9">
        <f>'a17'!O44</f>
        <v>0.19086021505376294</v>
      </c>
      <c r="U46" s="9">
        <f>'a18'!AC44</f>
        <v>0.62831055868318753</v>
      </c>
      <c r="V46" s="9">
        <f t="shared" ref="V46" si="28">0.25*T46+0.75*U46</f>
        <v>0.51894797277583138</v>
      </c>
      <c r="W46" s="9">
        <f>'a17'!Q44</f>
        <v>0.43279569892473108</v>
      </c>
      <c r="X46" s="9">
        <f>'a18'!AG44</f>
        <v>0.6196768086143094</v>
      </c>
      <c r="Y46" s="9">
        <f t="shared" ref="Y46" si="29">0.25*W46+0.75*X46</f>
        <v>0.57295653119191481</v>
      </c>
      <c r="Z46" s="9">
        <f>'a17'!S44</f>
        <v>0.29838709677419323</v>
      </c>
      <c r="AA46" s="9">
        <f>'a18'!AK44</f>
        <v>0.58901291069130057</v>
      </c>
      <c r="AB46" s="9">
        <f t="shared" ref="AB46" si="30">0.25*Z46+0.75*AA46</f>
        <v>0.51635645721202372</v>
      </c>
      <c r="AC46" s="9">
        <f>'a17'!U44</f>
        <v>0.30734767025089577</v>
      </c>
      <c r="AD46" s="9">
        <f>'a18'!AO44</f>
        <v>0.87626387390081428</v>
      </c>
      <c r="AE46" s="9">
        <f>0.25*AC46+0.75*AD46</f>
        <v>0.73403482298833467</v>
      </c>
      <c r="AF46" s="9">
        <f>'a17'!W44</f>
        <v>9.2293906810035686E-2</v>
      </c>
      <c r="AG46" s="9">
        <f>'a18'!AS44</f>
        <v>0.42708288833456226</v>
      </c>
      <c r="AH46" s="9">
        <f>0.25*AF46+0.75*AG46</f>
        <v>0.3433856429534306</v>
      </c>
      <c r="AR46" s="164"/>
    </row>
    <row r="47" spans="1:44">
      <c r="A47" s="1">
        <v>2009</v>
      </c>
      <c r="B47" s="9">
        <f>'a17'!C45</f>
        <v>0.20878136200716799</v>
      </c>
      <c r="C47" s="9">
        <f>'a18'!E45</f>
        <v>0.58360636910101882</v>
      </c>
      <c r="D47" s="9">
        <f t="shared" ref="D47" si="31">0.25*B47+0.75*C47</f>
        <v>0.48990011732755612</v>
      </c>
      <c r="E47" s="9">
        <f>'a17'!E45</f>
        <v>0.4507168458781361</v>
      </c>
      <c r="F47" s="9">
        <f>'a18'!I45</f>
        <v>0.50373566794392921</v>
      </c>
      <c r="G47" s="9">
        <f t="shared" ref="G47" si="32">0.25*E47+0.75*F47</f>
        <v>0.4904809624274809</v>
      </c>
      <c r="H47" s="9">
        <f>'a17'!G45</f>
        <v>0.75537634408602139</v>
      </c>
      <c r="I47" s="9">
        <f>'a18'!M45</f>
        <v>0.7961950515517533</v>
      </c>
      <c r="J47" s="9">
        <f t="shared" ref="J47" si="33">0.25*H47+0.75*I47</f>
        <v>0.7859903746853204</v>
      </c>
      <c r="K47" s="9">
        <f>'a17'!I45</f>
        <v>0.28942652329749069</v>
      </c>
      <c r="L47" s="9">
        <f>'a18'!Q45</f>
        <v>0.48266671743522233</v>
      </c>
      <c r="M47" s="9">
        <f t="shared" ref="M47" si="34">0.25*K47+0.75*L47</f>
        <v>0.43435666890078939</v>
      </c>
      <c r="N47" s="9">
        <f>'a17'!K45</f>
        <v>0.47759856630824371</v>
      </c>
      <c r="O47" s="9">
        <f>'a18'!U45</f>
        <v>0.53340276861983216</v>
      </c>
      <c r="P47" s="9">
        <f t="shared" ref="P47" si="35">0.25*N47+0.75*O47</f>
        <v>0.51945171804193502</v>
      </c>
      <c r="Q47" s="9">
        <f>'a17'!M45</f>
        <v>0.37007168458781342</v>
      </c>
      <c r="R47" s="9">
        <f>'a18'!Y45</f>
        <v>0.61988886020259137</v>
      </c>
      <c r="S47" s="9">
        <f t="shared" ref="S47" si="36">0.25*Q47+0.75*R47</f>
        <v>0.55743456629889687</v>
      </c>
      <c r="T47" s="9">
        <f>'a17'!O45</f>
        <v>0.19086021505376294</v>
      </c>
      <c r="U47" s="9">
        <f>'a18'!AC45</f>
        <v>0.60591202923773491</v>
      </c>
      <c r="V47" s="9">
        <f t="shared" ref="V47" si="37">0.25*T47+0.75*U47</f>
        <v>0.50214907569174194</v>
      </c>
      <c r="W47" s="9">
        <f>'a17'!Q45</f>
        <v>0.48655913978494619</v>
      </c>
      <c r="X47" s="9">
        <f>'a18'!AG45</f>
        <v>0.59841128473544314</v>
      </c>
      <c r="Y47" s="9">
        <f t="shared" ref="Y47" si="38">0.25*W47+0.75*X47</f>
        <v>0.57044824849781883</v>
      </c>
      <c r="Z47" s="9">
        <f>'a17'!S45</f>
        <v>0.28942652329749069</v>
      </c>
      <c r="AA47" s="9">
        <f>'a18'!AK45</f>
        <v>0.60118343360123039</v>
      </c>
      <c r="AB47" s="9">
        <f t="shared" ref="AB47" si="39">0.25*Z47+0.75*AA47</f>
        <v>0.52324420602529553</v>
      </c>
      <c r="AC47" s="9">
        <f>'a17'!U45</f>
        <v>0.19982078853046548</v>
      </c>
      <c r="AD47" s="9">
        <f>'a18'!AO45</f>
        <v>0.68446708185438965</v>
      </c>
      <c r="AE47" s="9">
        <f>0.25*AC47+0.75*AD47</f>
        <v>0.56330550852340866</v>
      </c>
      <c r="AF47" s="9">
        <f>'a17'!W45</f>
        <v>0.11021505376344023</v>
      </c>
      <c r="AG47" s="9">
        <f>'a18'!AS45</f>
        <v>0.4080942103415548</v>
      </c>
      <c r="AH47" s="9">
        <f>0.25*AF47+0.75*AG47</f>
        <v>0.33362442119702618</v>
      </c>
      <c r="AR47" s="164"/>
    </row>
    <row r="48" spans="1:44">
      <c r="A48" s="1">
        <v>2010</v>
      </c>
      <c r="B48" s="9">
        <f>'a17'!C46</f>
        <v>0.20878136200716799</v>
      </c>
      <c r="C48" s="9">
        <f>'a18'!E46</f>
        <v>0.58360636910101882</v>
      </c>
      <c r="D48" s="9">
        <f t="shared" ref="D48" si="40">0.25*B48+0.75*C48</f>
        <v>0.48990011732755612</v>
      </c>
      <c r="E48" s="9">
        <f>'a17'!E46</f>
        <v>0.4507168458781361</v>
      </c>
      <c r="F48" s="9">
        <f>'a18'!I46</f>
        <v>0.50373566794392921</v>
      </c>
      <c r="G48" s="9">
        <f t="shared" ref="G48" si="41">0.25*E48+0.75*F48</f>
        <v>0.4904809624274809</v>
      </c>
      <c r="H48" s="9">
        <f>'a17'!G46</f>
        <v>0.75537634408602139</v>
      </c>
      <c r="I48" s="9">
        <f>'a18'!M46</f>
        <v>0.7961950515517533</v>
      </c>
      <c r="J48" s="9">
        <f t="shared" ref="J48" si="42">0.25*H48+0.75*I48</f>
        <v>0.7859903746853204</v>
      </c>
      <c r="K48" s="9">
        <f>'a17'!I46</f>
        <v>0.28942652329749069</v>
      </c>
      <c r="L48" s="9">
        <f>'a18'!Q46</f>
        <v>0.48266671743522233</v>
      </c>
      <c r="M48" s="9">
        <f t="shared" ref="M48" si="43">0.25*K48+0.75*L48</f>
        <v>0.43435666890078939</v>
      </c>
      <c r="N48" s="9">
        <f>'a17'!K46</f>
        <v>0.47759856630824371</v>
      </c>
      <c r="O48" s="9">
        <f>'a18'!U46</f>
        <v>0.53340276861983216</v>
      </c>
      <c r="P48" s="9">
        <f t="shared" ref="P48" si="44">0.25*N48+0.75*O48</f>
        <v>0.51945171804193502</v>
      </c>
      <c r="Q48" s="9">
        <f>'a17'!M46</f>
        <v>0.37007168458781342</v>
      </c>
      <c r="R48" s="9">
        <f>'a18'!Y46</f>
        <v>0.61988886020259137</v>
      </c>
      <c r="S48" s="9">
        <f t="shared" ref="S48" si="45">0.25*Q48+0.75*R48</f>
        <v>0.55743456629889687</v>
      </c>
      <c r="T48" s="9">
        <f>'a17'!O46</f>
        <v>0.19086021505376294</v>
      </c>
      <c r="U48" s="9">
        <f>'a18'!AC46</f>
        <v>0.60591202923773491</v>
      </c>
      <c r="V48" s="9">
        <f t="shared" ref="V48" si="46">0.25*T48+0.75*U48</f>
        <v>0.50214907569174194</v>
      </c>
      <c r="W48" s="9">
        <f>'a17'!Q46</f>
        <v>0.48655913978494619</v>
      </c>
      <c r="X48" s="9">
        <f>'a18'!AG46</f>
        <v>0.59841128473544314</v>
      </c>
      <c r="Y48" s="9">
        <f t="shared" ref="Y48" si="47">0.25*W48+0.75*X48</f>
        <v>0.57044824849781883</v>
      </c>
      <c r="Z48" s="9">
        <f>'a17'!S46</f>
        <v>0.28942652329749069</v>
      </c>
      <c r="AA48" s="9">
        <f>'a18'!AK46</f>
        <v>0.60118343360123039</v>
      </c>
      <c r="AB48" s="9">
        <f t="shared" ref="AB48" si="48">0.25*Z48+0.75*AA48</f>
        <v>0.52324420602529553</v>
      </c>
      <c r="AC48" s="9">
        <f>'a17'!U46</f>
        <v>0.19982078853046548</v>
      </c>
      <c r="AD48" s="9">
        <f>'a18'!AO46</f>
        <v>0.68446708185438965</v>
      </c>
      <c r="AE48" s="9">
        <f>0.25*AC48+0.75*AD48</f>
        <v>0.56330550852340866</v>
      </c>
      <c r="AF48" s="9">
        <f>'a17'!W46</f>
        <v>0.11021505376344023</v>
      </c>
      <c r="AG48" s="9">
        <f>'a18'!AS46</f>
        <v>0.4080942103415548</v>
      </c>
      <c r="AH48" s="9">
        <f>0.25*AF48+0.75*AG48</f>
        <v>0.33362442119702618</v>
      </c>
      <c r="AR48" s="164"/>
    </row>
    <row r="49" spans="1:138">
      <c r="B49" s="267" t="s">
        <v>968</v>
      </c>
      <c r="C49" s="9"/>
      <c r="D49" s="9"/>
      <c r="E49" s="9"/>
      <c r="F49" s="9"/>
      <c r="G49" s="9"/>
      <c r="H49" s="9"/>
      <c r="I49" s="9"/>
      <c r="J49" s="9"/>
      <c r="K49" s="267" t="s">
        <v>968</v>
      </c>
      <c r="L49" s="9"/>
      <c r="M49" s="9"/>
      <c r="N49" s="9"/>
      <c r="O49" s="9"/>
      <c r="P49" s="9"/>
      <c r="Q49" s="9"/>
      <c r="R49" s="9"/>
      <c r="S49" s="9"/>
      <c r="T49" s="267" t="s">
        <v>968</v>
      </c>
      <c r="U49" s="9"/>
      <c r="V49" s="9"/>
      <c r="W49" s="9"/>
      <c r="X49" s="9"/>
      <c r="Y49" s="9"/>
      <c r="Z49" s="9"/>
      <c r="AA49" s="9"/>
      <c r="AB49" s="9"/>
      <c r="AC49" s="267" t="s">
        <v>968</v>
      </c>
      <c r="AD49" s="9"/>
      <c r="AE49" s="9"/>
      <c r="AF49" s="9"/>
      <c r="AG49" s="9"/>
      <c r="AH49" s="9"/>
      <c r="AR49" s="164"/>
    </row>
    <row r="50" spans="1:138" s="252" customFormat="1">
      <c r="A50" s="252" t="s">
        <v>988</v>
      </c>
      <c r="B50" s="271">
        <f t="shared" ref="B50:AH50" si="49">B48-B19</f>
        <v>-0.41218637992831608</v>
      </c>
      <c r="C50" s="271">
        <f t="shared" si="49"/>
        <v>-6.4740742942087315E-2</v>
      </c>
      <c r="D50" s="271">
        <f t="shared" si="49"/>
        <v>-0.15160215218864448</v>
      </c>
      <c r="E50" s="271">
        <f t="shared" si="49"/>
        <v>-0.35842293906810041</v>
      </c>
      <c r="F50" s="271">
        <f t="shared" si="49"/>
        <v>0.18230554869354537</v>
      </c>
      <c r="G50" s="271">
        <f t="shared" si="49"/>
        <v>4.7123426753133912E-2</v>
      </c>
      <c r="H50" s="271">
        <f t="shared" si="49"/>
        <v>5.3763440860215117E-2</v>
      </c>
      <c r="I50" s="271">
        <f t="shared" si="49"/>
        <v>0.44075773926384348</v>
      </c>
      <c r="J50" s="271">
        <f t="shared" si="49"/>
        <v>0.34400916466293646</v>
      </c>
      <c r="K50" s="271">
        <f t="shared" si="49"/>
        <v>-0.38530465949820797</v>
      </c>
      <c r="L50" s="271">
        <f t="shared" si="49"/>
        <v>8.1802382778812799E-3</v>
      </c>
      <c r="M50" s="271">
        <f t="shared" si="49"/>
        <v>-9.0190986166141074E-2</v>
      </c>
      <c r="N50" s="271">
        <f t="shared" si="49"/>
        <v>-0.10752688172043023</v>
      </c>
      <c r="O50" s="271">
        <f t="shared" si="49"/>
        <v>0.26119957428708895</v>
      </c>
      <c r="P50" s="271">
        <f t="shared" si="49"/>
        <v>0.1690179602852091</v>
      </c>
      <c r="Q50" s="271">
        <f t="shared" si="49"/>
        <v>-0.27777777777777818</v>
      </c>
      <c r="R50" s="271">
        <f t="shared" si="49"/>
        <v>3.9172274425092635E-2</v>
      </c>
      <c r="S50" s="271">
        <f t="shared" si="49"/>
        <v>-4.0065238625625055E-2</v>
      </c>
      <c r="T50" s="271">
        <f t="shared" si="49"/>
        <v>-0.51971326164874587</v>
      </c>
      <c r="U50" s="271">
        <f t="shared" si="49"/>
        <v>-0.17417948417909412</v>
      </c>
      <c r="V50" s="271">
        <f t="shared" si="49"/>
        <v>-0.26056292854650698</v>
      </c>
      <c r="W50" s="271">
        <f t="shared" si="49"/>
        <v>-4.4802867383512635E-2</v>
      </c>
      <c r="X50" s="271">
        <f t="shared" si="49"/>
        <v>0.13079558660279722</v>
      </c>
      <c r="Y50" s="271">
        <f t="shared" si="49"/>
        <v>8.6895973106219659E-2</v>
      </c>
      <c r="Z50" s="271">
        <f t="shared" si="49"/>
        <v>-8.0645161290322731E-2</v>
      </c>
      <c r="AA50" s="271">
        <f t="shared" si="49"/>
        <v>0.22311851423965151</v>
      </c>
      <c r="AB50" s="271">
        <f t="shared" si="49"/>
        <v>0.14717759535715802</v>
      </c>
      <c r="AC50" s="271">
        <f t="shared" si="49"/>
        <v>-0.43906810035842359</v>
      </c>
      <c r="AD50" s="271">
        <f t="shared" si="49"/>
        <v>-5.4803726907272643E-2</v>
      </c>
      <c r="AE50" s="271">
        <f t="shared" si="49"/>
        <v>-0.15086982027006024</v>
      </c>
      <c r="AF50" s="271">
        <f t="shared" si="49"/>
        <v>-0.45698924731182877</v>
      </c>
      <c r="AG50" s="271">
        <f t="shared" si="49"/>
        <v>-0.28346499105668554</v>
      </c>
      <c r="AH50" s="271">
        <f t="shared" si="49"/>
        <v>-0.32684605512047138</v>
      </c>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269"/>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ht="14.25" customHeight="1">
      <c r="B51" s="1" t="s">
        <v>1135</v>
      </c>
      <c r="K51" s="1" t="s">
        <v>380</v>
      </c>
      <c r="T51" s="1" t="s">
        <v>380</v>
      </c>
      <c r="AC51" s="1" t="s">
        <v>380</v>
      </c>
    </row>
    <row r="53" spans="1:138">
      <c r="D53" s="1">
        <f>100*D50/D19</f>
        <v>-23.632364122885754</v>
      </c>
      <c r="J53" s="1">
        <f>100*J50/J19</f>
        <v>77.833436549375989</v>
      </c>
      <c r="P53" s="1">
        <f>100*P50/P19</f>
        <v>48.23107264755663</v>
      </c>
      <c r="V53" s="1">
        <f>100*V50/V19</f>
        <v>-34.162688812894935</v>
      </c>
      <c r="Y53" s="1">
        <f>100*Y50/Y19</f>
        <v>17.970336927036062</v>
      </c>
      <c r="AB53" s="1">
        <f>100*AB50/AB19</f>
        <v>39.136044302278108</v>
      </c>
      <c r="AH53" s="1">
        <f>100*AH50/AH19</f>
        <v>-49.486853211490377</v>
      </c>
    </row>
  </sheetData>
  <phoneticPr fontId="0" type="noConversion"/>
  <pageMargins left="0.75" right="0.75" top="1" bottom="1" header="0.5" footer="0.5"/>
  <pageSetup scale="75" orientation="landscape" r:id="rId1"/>
  <headerFooter alignWithMargins="0"/>
  <colBreaks count="3" manualBreakCount="3">
    <brk id="10" max="1048575" man="1"/>
    <brk id="19" max="1048575" man="1"/>
    <brk id="28" max="1048575" man="1"/>
  </colBreaks>
</worksheet>
</file>

<file path=xl/worksheets/sheet40.xml><?xml version="1.0" encoding="utf-8"?>
<worksheet xmlns="http://schemas.openxmlformats.org/spreadsheetml/2006/main" xmlns:r="http://schemas.openxmlformats.org/officeDocument/2006/relationships">
  <dimension ref="A1:W64"/>
  <sheetViews>
    <sheetView view="pageBreakPreview" topLeftCell="A46" zoomScaleSheetLayoutView="100" workbookViewId="0">
      <selection activeCell="F12" sqref="F12"/>
    </sheetView>
  </sheetViews>
  <sheetFormatPr defaultColWidth="8.875" defaultRowHeight="12.75"/>
  <cols>
    <col min="1" max="1" width="27.125" style="216" customWidth="1"/>
    <col min="2" max="10" width="15.5" style="216" customWidth="1"/>
    <col min="11" max="13" width="8.875" style="216" customWidth="1"/>
    <col min="14" max="14" width="9.5" style="216" customWidth="1"/>
    <col min="15" max="16384" width="8.875" style="216"/>
  </cols>
  <sheetData>
    <row r="1" spans="1:23" ht="15.75">
      <c r="A1" s="18" t="s">
        <v>979</v>
      </c>
    </row>
    <row r="2" spans="1:23" ht="15.75">
      <c r="A2" s="18"/>
    </row>
    <row r="3" spans="1:23" s="20" customFormat="1" ht="43.5" customHeight="1">
      <c r="A3" s="19"/>
      <c r="B3" s="217" t="s">
        <v>551</v>
      </c>
      <c r="C3" s="218" t="s">
        <v>792</v>
      </c>
      <c r="D3" s="217" t="s">
        <v>793</v>
      </c>
      <c r="E3" s="219" t="s">
        <v>552</v>
      </c>
      <c r="F3" s="217" t="s">
        <v>553</v>
      </c>
      <c r="G3" s="218" t="s">
        <v>554</v>
      </c>
      <c r="H3" s="217" t="s">
        <v>555</v>
      </c>
      <c r="I3" s="218" t="s">
        <v>556</v>
      </c>
      <c r="J3" s="217" t="s">
        <v>557</v>
      </c>
      <c r="K3" s="220"/>
      <c r="L3" s="220"/>
      <c r="M3" s="220"/>
    </row>
    <row r="4" spans="1:23">
      <c r="A4" s="21" t="s">
        <v>321</v>
      </c>
      <c r="B4" s="221"/>
      <c r="C4" s="222"/>
      <c r="D4" s="223"/>
      <c r="E4" s="224">
        <f>D5*8</f>
        <v>70736.026345721359</v>
      </c>
      <c r="F4" s="225">
        <f>D5*10</f>
        <v>88420.032932151691</v>
      </c>
      <c r="G4" s="226">
        <f>D5*12</f>
        <v>106104.03951858204</v>
      </c>
      <c r="H4" s="225">
        <f>D5*12+(D7+D8)/2</f>
        <v>121984.49559854035</v>
      </c>
      <c r="I4" s="226">
        <f>D5*12+D7*2</f>
        <v>130919.06213836186</v>
      </c>
      <c r="J4" s="225">
        <f>D5*12+D8*5</f>
        <v>202871.04376871564</v>
      </c>
      <c r="V4" s="227"/>
      <c r="W4" s="227"/>
    </row>
    <row r="5" spans="1:23">
      <c r="A5" s="228" t="s">
        <v>558</v>
      </c>
      <c r="B5" s="229">
        <v>4831145</v>
      </c>
      <c r="C5" s="230">
        <v>42717</v>
      </c>
      <c r="D5" s="229">
        <f>C5/B5*1000000</f>
        <v>8842.0032932151698</v>
      </c>
      <c r="E5" s="231"/>
      <c r="F5" s="171"/>
      <c r="G5" s="232"/>
      <c r="H5" s="171"/>
      <c r="I5" s="232"/>
      <c r="J5" s="171"/>
      <c r="V5" s="227"/>
      <c r="W5" s="227"/>
    </row>
    <row r="6" spans="1:23">
      <c r="A6" s="228" t="s">
        <v>794</v>
      </c>
      <c r="B6" s="229">
        <v>358555</v>
      </c>
      <c r="C6" s="230">
        <v>5215</v>
      </c>
      <c r="D6" s="229"/>
      <c r="E6" s="231"/>
      <c r="F6" s="171"/>
      <c r="G6" s="232"/>
      <c r="H6" s="171"/>
      <c r="I6" s="232"/>
      <c r="J6" s="171"/>
      <c r="L6" s="233"/>
      <c r="V6" s="227"/>
      <c r="W6" s="227"/>
    </row>
    <row r="7" spans="1:23">
      <c r="A7" s="228" t="s">
        <v>559</v>
      </c>
      <c r="B7" s="229">
        <v>512518.50900000002</v>
      </c>
      <c r="C7" s="230">
        <v>5592.8544146629874</v>
      </c>
      <c r="D7" s="229">
        <f>(C7+C6)/(B7+B6)*1000000</f>
        <v>12407.511309889906</v>
      </c>
      <c r="E7" s="231"/>
      <c r="F7" s="171"/>
      <c r="G7" s="232"/>
      <c r="H7" s="171"/>
      <c r="I7" s="232"/>
      <c r="J7" s="171"/>
      <c r="V7" s="227"/>
      <c r="W7" s="227"/>
    </row>
    <row r="8" spans="1:23">
      <c r="A8" s="234" t="s">
        <v>560</v>
      </c>
      <c r="B8" s="235">
        <v>971310</v>
      </c>
      <c r="C8" s="236">
        <v>18798.151779639455</v>
      </c>
      <c r="D8" s="229">
        <f>C8/B8*1000000</f>
        <v>19353.400850026723</v>
      </c>
      <c r="E8" s="237"/>
      <c r="F8" s="238"/>
      <c r="G8" s="239"/>
      <c r="H8" s="238"/>
      <c r="I8" s="239"/>
      <c r="J8" s="238"/>
      <c r="V8" s="227"/>
      <c r="W8" s="227"/>
    </row>
    <row r="9" spans="1:23">
      <c r="A9" s="21" t="s">
        <v>370</v>
      </c>
      <c r="B9" s="223"/>
      <c r="C9" s="240"/>
      <c r="D9" s="223"/>
      <c r="E9" s="224">
        <f>D10*8</f>
        <v>67991.098865009917</v>
      </c>
      <c r="F9" s="225">
        <f>D10*10</f>
        <v>84988.873581262393</v>
      </c>
      <c r="G9" s="226">
        <f>D10*12</f>
        <v>101986.64829751488</v>
      </c>
      <c r="H9" s="225">
        <f>D10*12+(D12+D13)/2</f>
        <v>124262.59900925501</v>
      </c>
      <c r="I9" s="226">
        <f>D10*12+D12*2</f>
        <v>148009.21873757776</v>
      </c>
      <c r="J9" s="225">
        <f>D10*12+D13*5</f>
        <v>209689.72931475894</v>
      </c>
      <c r="V9" s="227"/>
      <c r="W9" s="227"/>
    </row>
    <row r="10" spans="1:23">
      <c r="A10" s="228" t="s">
        <v>558</v>
      </c>
      <c r="B10" s="229">
        <v>71945</v>
      </c>
      <c r="C10" s="230">
        <v>611.4524509803922</v>
      </c>
      <c r="D10" s="229">
        <f>C10/B10*1000000</f>
        <v>8498.8873581262396</v>
      </c>
      <c r="E10" s="231"/>
      <c r="F10" s="171"/>
      <c r="G10" s="232"/>
      <c r="H10" s="171"/>
      <c r="I10" s="232"/>
      <c r="J10" s="171"/>
      <c r="V10" s="227"/>
      <c r="W10" s="227"/>
    </row>
    <row r="11" spans="1:23">
      <c r="A11" s="228" t="s">
        <v>794</v>
      </c>
      <c r="B11" s="229">
        <v>5740</v>
      </c>
      <c r="C11" s="230">
        <v>205.88329923273659</v>
      </c>
      <c r="D11" s="229"/>
      <c r="E11" s="231"/>
      <c r="F11" s="171"/>
      <c r="G11" s="232"/>
      <c r="H11" s="171"/>
      <c r="I11" s="232"/>
      <c r="J11" s="171"/>
      <c r="V11" s="227"/>
      <c r="W11" s="227"/>
    </row>
    <row r="12" spans="1:23">
      <c r="A12" s="228" t="s">
        <v>559</v>
      </c>
      <c r="B12" s="229">
        <v>4847.1693420000001</v>
      </c>
      <c r="C12" s="230">
        <v>37.741074168797951</v>
      </c>
      <c r="D12" s="229">
        <f>(C12+C11)/(B12+B11)*1000000</f>
        <v>23011.285220031434</v>
      </c>
      <c r="E12" s="231"/>
      <c r="F12" s="171"/>
      <c r="G12" s="232"/>
      <c r="H12" s="171"/>
      <c r="I12" s="232"/>
      <c r="J12" s="171"/>
      <c r="V12" s="227"/>
      <c r="W12" s="227"/>
    </row>
    <row r="13" spans="1:23">
      <c r="A13" s="234" t="s">
        <v>560</v>
      </c>
      <c r="B13" s="235">
        <v>14145</v>
      </c>
      <c r="C13" s="236">
        <v>304.69201619778346</v>
      </c>
      <c r="D13" s="235">
        <f>C13/B13*1000000</f>
        <v>21540.616203448812</v>
      </c>
      <c r="E13" s="237"/>
      <c r="F13" s="238"/>
      <c r="G13" s="239"/>
      <c r="H13" s="238"/>
      <c r="I13" s="239"/>
      <c r="J13" s="238"/>
      <c r="V13" s="227"/>
      <c r="W13" s="227"/>
    </row>
    <row r="14" spans="1:23">
      <c r="A14" s="22" t="s">
        <v>371</v>
      </c>
      <c r="B14" s="229"/>
      <c r="C14" s="230"/>
      <c r="D14" s="229"/>
      <c r="E14" s="224">
        <f>D15*8</f>
        <v>56258.286635512028</v>
      </c>
      <c r="F14" s="225">
        <f>D15*10</f>
        <v>70322.85829439004</v>
      </c>
      <c r="G14" s="226">
        <f>D15*12</f>
        <v>84387.429953268045</v>
      </c>
      <c r="H14" s="225">
        <f>D15*12+(D17+D18)/2</f>
        <v>108687.9531358508</v>
      </c>
      <c r="I14" s="226">
        <f>D15*12+D17*2</f>
        <v>142473.76125624139</v>
      </c>
      <c r="J14" s="225">
        <f>D15*12+D18*5</f>
        <v>182176.83352166225</v>
      </c>
      <c r="V14" s="227"/>
      <c r="W14" s="227"/>
    </row>
    <row r="15" spans="1:23">
      <c r="A15" s="228" t="s">
        <v>558</v>
      </c>
      <c r="B15" s="229">
        <v>21365</v>
      </c>
      <c r="C15" s="230">
        <v>150.24478674596432</v>
      </c>
      <c r="D15" s="229">
        <f>C15/B15*1000000</f>
        <v>7032.2858294390035</v>
      </c>
      <c r="E15" s="231"/>
      <c r="F15" s="171"/>
      <c r="G15" s="232"/>
      <c r="H15" s="171"/>
      <c r="I15" s="232"/>
      <c r="J15" s="171"/>
      <c r="V15" s="227"/>
      <c r="W15" s="227"/>
    </row>
    <row r="16" spans="1:23">
      <c r="A16" s="228" t="s">
        <v>794</v>
      </c>
      <c r="B16" s="229">
        <v>860</v>
      </c>
      <c r="C16" s="230">
        <v>35.304978759558196</v>
      </c>
      <c r="D16" s="229"/>
      <c r="E16" s="231"/>
      <c r="F16" s="171"/>
      <c r="G16" s="232"/>
      <c r="H16" s="171"/>
      <c r="I16" s="232"/>
      <c r="J16" s="171"/>
      <c r="V16" s="227"/>
      <c r="W16" s="227"/>
    </row>
    <row r="17" spans="1:23">
      <c r="A17" s="228" t="s">
        <v>559</v>
      </c>
      <c r="B17" s="229">
        <v>1418.033232</v>
      </c>
      <c r="C17" s="230">
        <v>30.856317757009343</v>
      </c>
      <c r="D17" s="229">
        <f>(C17+C16)/(B17+B16)*1000000</f>
        <v>29043.165651486666</v>
      </c>
      <c r="E17" s="231"/>
      <c r="F17" s="171"/>
      <c r="G17" s="232"/>
      <c r="H17" s="171"/>
      <c r="I17" s="232"/>
      <c r="J17" s="171"/>
      <c r="V17" s="227"/>
      <c r="W17" s="227"/>
    </row>
    <row r="18" spans="1:23">
      <c r="A18" s="234" t="s">
        <v>560</v>
      </c>
      <c r="B18" s="235">
        <v>3750</v>
      </c>
      <c r="C18" s="236">
        <v>73.342052676295651</v>
      </c>
      <c r="D18" s="235">
        <f>C18/B18*1000000</f>
        <v>19557.880713678842</v>
      </c>
      <c r="E18" s="237"/>
      <c r="F18" s="238"/>
      <c r="G18" s="239"/>
      <c r="H18" s="238"/>
      <c r="I18" s="239"/>
      <c r="J18" s="238"/>
      <c r="V18" s="227"/>
      <c r="W18" s="227"/>
    </row>
    <row r="19" spans="1:23">
      <c r="A19" s="22" t="s">
        <v>372</v>
      </c>
      <c r="B19" s="229"/>
      <c r="C19" s="230"/>
      <c r="D19" s="229"/>
      <c r="E19" s="224">
        <f>D20*8</f>
        <v>59540.894700023797</v>
      </c>
      <c r="F19" s="225">
        <f>D20*10</f>
        <v>74426.11837502975</v>
      </c>
      <c r="G19" s="226">
        <f>D20*12</f>
        <v>89311.342050035688</v>
      </c>
      <c r="H19" s="225">
        <f>D20*12+(D22+D23)/2</f>
        <v>105687.57413556459</v>
      </c>
      <c r="I19" s="226">
        <f>D20*12+D22*2</f>
        <v>118617.3507382126</v>
      </c>
      <c r="J19" s="225">
        <f>D20*12+D23*5</f>
        <v>179808.64118488235</v>
      </c>
      <c r="V19" s="227"/>
      <c r="W19" s="227"/>
    </row>
    <row r="20" spans="1:23">
      <c r="A20" s="228" t="s">
        <v>558</v>
      </c>
      <c r="B20" s="229">
        <v>138661</v>
      </c>
      <c r="C20" s="230">
        <v>1032</v>
      </c>
      <c r="D20" s="229">
        <f>C20/B20*1000000</f>
        <v>7442.6118375029746</v>
      </c>
      <c r="E20" s="231"/>
      <c r="F20" s="171"/>
      <c r="G20" s="232"/>
      <c r="H20" s="171"/>
      <c r="I20" s="232"/>
      <c r="J20" s="171"/>
      <c r="V20" s="227"/>
      <c r="W20" s="227"/>
    </row>
    <row r="21" spans="1:23">
      <c r="A21" s="228" t="s">
        <v>794</v>
      </c>
      <c r="B21" s="229">
        <v>5295</v>
      </c>
      <c r="C21" s="230">
        <v>91</v>
      </c>
      <c r="D21" s="229"/>
      <c r="E21" s="231"/>
      <c r="F21" s="171"/>
      <c r="G21" s="232"/>
      <c r="H21" s="171"/>
      <c r="I21" s="232"/>
      <c r="J21" s="171"/>
      <c r="V21" s="227"/>
      <c r="W21" s="227"/>
    </row>
    <row r="22" spans="1:23">
      <c r="A22" s="228" t="s">
        <v>559</v>
      </c>
      <c r="B22" s="229">
        <v>8454.8261931187571</v>
      </c>
      <c r="C22" s="230">
        <v>110.47626293823038</v>
      </c>
      <c r="D22" s="229">
        <f>(C22+C21)/(B22+B21)*1000000</f>
        <v>14653.004344088455</v>
      </c>
      <c r="E22" s="231"/>
      <c r="F22" s="171"/>
      <c r="G22" s="232"/>
      <c r="H22" s="171"/>
      <c r="I22" s="232"/>
      <c r="J22" s="171"/>
      <c r="V22" s="227"/>
      <c r="W22" s="227"/>
    </row>
    <row r="23" spans="1:23">
      <c r="A23" s="234" t="s">
        <v>560</v>
      </c>
      <c r="B23" s="235">
        <v>40380</v>
      </c>
      <c r="C23" s="236">
        <v>730.85618781302162</v>
      </c>
      <c r="D23" s="235">
        <f>C23/B23*1000000</f>
        <v>18099.459826969331</v>
      </c>
      <c r="E23" s="237"/>
      <c r="F23" s="238"/>
      <c r="G23" s="239"/>
      <c r="H23" s="238"/>
      <c r="I23" s="239"/>
      <c r="J23" s="238"/>
      <c r="V23" s="227"/>
      <c r="W23" s="227"/>
    </row>
    <row r="24" spans="1:23">
      <c r="A24" s="22" t="s">
        <v>373</v>
      </c>
      <c r="B24" s="229"/>
      <c r="C24" s="230"/>
      <c r="D24" s="229"/>
      <c r="E24" s="224">
        <f>D25*8</f>
        <v>61707.12328033353</v>
      </c>
      <c r="F24" s="225">
        <f>D25*10</f>
        <v>77133.904100416912</v>
      </c>
      <c r="G24" s="226">
        <f>D25*12</f>
        <v>92560.684920500295</v>
      </c>
      <c r="H24" s="225">
        <f>D25*12+(D27+D28)/2</f>
        <v>115845.07630416703</v>
      </c>
      <c r="I24" s="226">
        <f>D25*12+D27*2</f>
        <v>149753.15644227708</v>
      </c>
      <c r="J24" s="225">
        <f>D25*12+D28*5</f>
        <v>182423.41995272576</v>
      </c>
      <c r="V24" s="227"/>
      <c r="W24" s="227"/>
    </row>
    <row r="25" spans="1:23">
      <c r="A25" s="228" t="s">
        <v>558</v>
      </c>
      <c r="B25" s="229">
        <v>112013</v>
      </c>
      <c r="C25" s="230">
        <v>864</v>
      </c>
      <c r="D25" s="229">
        <f>C25/B25*1000000</f>
        <v>7713.3904100416912</v>
      </c>
      <c r="E25" s="231"/>
      <c r="F25" s="171"/>
      <c r="G25" s="232"/>
      <c r="H25" s="171"/>
      <c r="I25" s="232"/>
      <c r="J25" s="171"/>
      <c r="V25" s="227"/>
      <c r="W25" s="227"/>
    </row>
    <row r="26" spans="1:23">
      <c r="A26" s="228" t="s">
        <v>794</v>
      </c>
      <c r="B26" s="229">
        <v>4545</v>
      </c>
      <c r="C26" s="230">
        <v>171.32466273187185</v>
      </c>
      <c r="D26" s="229"/>
      <c r="E26" s="231"/>
      <c r="F26" s="171"/>
      <c r="G26" s="232"/>
      <c r="H26" s="171"/>
      <c r="I26" s="232"/>
      <c r="J26" s="171"/>
      <c r="V26" s="227"/>
      <c r="W26" s="227"/>
    </row>
    <row r="27" spans="1:23">
      <c r="A27" s="228" t="s">
        <v>559</v>
      </c>
      <c r="B27" s="229">
        <v>4348.9745795854515</v>
      </c>
      <c r="C27" s="230">
        <v>83.009531197301868</v>
      </c>
      <c r="D27" s="229">
        <f>(C27+C26)/(B27+B26)*1000000</f>
        <v>28596.235760888387</v>
      </c>
      <c r="E27" s="231"/>
      <c r="F27" s="171"/>
      <c r="G27" s="232"/>
      <c r="H27" s="171"/>
      <c r="I27" s="232"/>
      <c r="J27" s="171"/>
      <c r="V27" s="227"/>
      <c r="W27" s="227"/>
    </row>
    <row r="28" spans="1:23">
      <c r="A28" s="234" t="s">
        <v>560</v>
      </c>
      <c r="B28" s="235">
        <v>22464</v>
      </c>
      <c r="C28" s="236">
        <v>403.73529595278251</v>
      </c>
      <c r="D28" s="235">
        <f>C28/B28*1000000</f>
        <v>17972.547006445089</v>
      </c>
      <c r="E28" s="237"/>
      <c r="F28" s="238"/>
      <c r="G28" s="239"/>
      <c r="H28" s="238"/>
      <c r="I28" s="239"/>
      <c r="J28" s="238"/>
      <c r="V28" s="227"/>
      <c r="W28" s="227"/>
    </row>
    <row r="29" spans="1:23">
      <c r="A29" s="22" t="s">
        <v>561</v>
      </c>
      <c r="B29" s="229"/>
      <c r="C29" s="230"/>
      <c r="D29" s="229"/>
      <c r="E29" s="224">
        <f>D30*8</f>
        <v>72037.108620023195</v>
      </c>
      <c r="F29" s="225">
        <f>D30*10</f>
        <v>90046.38577502899</v>
      </c>
      <c r="G29" s="226">
        <f>D30*12</f>
        <v>108055.6629300348</v>
      </c>
      <c r="H29" s="225">
        <f>D30*12+(D32+D33)/2</f>
        <v>124882.88516876557</v>
      </c>
      <c r="I29" s="226">
        <f>D30*12+D32*2</f>
        <v>136723.30757944501</v>
      </c>
      <c r="J29" s="225">
        <f>D30*12+D33*5</f>
        <v>204658.77369381694</v>
      </c>
      <c r="V29" s="227"/>
      <c r="W29" s="227"/>
    </row>
    <row r="30" spans="1:23">
      <c r="A30" s="228" t="s">
        <v>558</v>
      </c>
      <c r="B30" s="229">
        <v>1034800</v>
      </c>
      <c r="C30" s="230">
        <v>9318</v>
      </c>
      <c r="D30" s="229">
        <f>C30/B30*1000000</f>
        <v>9004.6385775028994</v>
      </c>
      <c r="E30" s="231"/>
      <c r="F30" s="171"/>
      <c r="G30" s="232"/>
      <c r="H30" s="171"/>
      <c r="I30" s="232"/>
      <c r="J30" s="171"/>
      <c r="V30" s="227"/>
      <c r="W30" s="227"/>
    </row>
    <row r="31" spans="1:23">
      <c r="A31" s="228" t="s">
        <v>794</v>
      </c>
      <c r="B31" s="229">
        <v>70030</v>
      </c>
      <c r="C31" s="230">
        <v>1297</v>
      </c>
      <c r="D31" s="229"/>
      <c r="E31" s="231"/>
      <c r="F31" s="171"/>
      <c r="G31" s="232"/>
      <c r="H31" s="171"/>
      <c r="I31" s="232"/>
      <c r="J31" s="171"/>
      <c r="V31" s="227"/>
      <c r="W31" s="227"/>
    </row>
    <row r="32" spans="1:23">
      <c r="A32" s="228" t="s">
        <v>559</v>
      </c>
      <c r="B32" s="229">
        <v>170013.60585707088</v>
      </c>
      <c r="C32" s="230">
        <v>2143.7423965367962</v>
      </c>
      <c r="D32" s="229">
        <f>(C32+C31)/(B32+B31)*1000000</f>
        <v>14333.822324705106</v>
      </c>
      <c r="E32" s="231"/>
      <c r="F32" s="171"/>
      <c r="G32" s="232"/>
      <c r="H32" s="171"/>
      <c r="I32" s="232"/>
      <c r="J32" s="171"/>
      <c r="V32" s="227"/>
      <c r="W32" s="227"/>
    </row>
    <row r="33" spans="1:23">
      <c r="A33" s="234" t="s">
        <v>560</v>
      </c>
      <c r="B33" s="235">
        <v>243441</v>
      </c>
      <c r="C33" s="236">
        <v>4703.4315774891775</v>
      </c>
      <c r="D33" s="235">
        <f>C33/B33*1000000</f>
        <v>19320.622152756427</v>
      </c>
      <c r="E33" s="237"/>
      <c r="F33" s="238"/>
      <c r="G33" s="239"/>
      <c r="H33" s="238"/>
      <c r="I33" s="239"/>
      <c r="J33" s="238"/>
      <c r="V33" s="227"/>
      <c r="W33" s="227"/>
    </row>
    <row r="34" spans="1:23">
      <c r="A34" s="22" t="s">
        <v>375</v>
      </c>
      <c r="B34" s="229"/>
      <c r="C34" s="230"/>
      <c r="D34" s="229"/>
      <c r="E34" s="224">
        <f>D35*8</f>
        <v>67419.888393735237</v>
      </c>
      <c r="F34" s="225">
        <f>D35*10</f>
        <v>84274.860492169042</v>
      </c>
      <c r="G34" s="226">
        <f>D35*12</f>
        <v>101129.83259060286</v>
      </c>
      <c r="H34" s="225">
        <f>D35*12+(D37+D38)/2</f>
        <v>114593.75413935819</v>
      </c>
      <c r="I34" s="226">
        <f>D35*12+D37*2</f>
        <v>121952.71933629588</v>
      </c>
      <c r="J34" s="225">
        <f>D35*12+D38*5</f>
        <v>183711.83121392358</v>
      </c>
      <c r="V34" s="227"/>
      <c r="W34" s="227"/>
    </row>
    <row r="35" spans="1:23">
      <c r="A35" s="228" t="s">
        <v>558</v>
      </c>
      <c r="B35" s="229">
        <v>1991157</v>
      </c>
      <c r="C35" s="230">
        <v>16780.447839300585</v>
      </c>
      <c r="D35" s="229">
        <f>C35/B35*1000000</f>
        <v>8427.4860492169046</v>
      </c>
      <c r="E35" s="231"/>
      <c r="F35" s="171"/>
      <c r="G35" s="232"/>
      <c r="H35" s="171"/>
      <c r="I35" s="232"/>
      <c r="J35" s="171"/>
      <c r="V35" s="227"/>
      <c r="W35" s="227"/>
    </row>
    <row r="36" spans="1:23">
      <c r="A36" s="228" t="s">
        <v>794</v>
      </c>
      <c r="B36" s="229">
        <v>120190</v>
      </c>
      <c r="C36" s="230">
        <v>1067</v>
      </c>
      <c r="D36" s="229"/>
      <c r="E36" s="231"/>
      <c r="F36" s="171"/>
      <c r="G36" s="232"/>
      <c r="H36" s="171"/>
      <c r="I36" s="232"/>
      <c r="J36" s="171"/>
      <c r="V36" s="227"/>
      <c r="W36" s="227"/>
    </row>
    <row r="37" spans="1:23">
      <c r="A37" s="228" t="s">
        <v>559</v>
      </c>
      <c r="B37" s="229">
        <v>144844.78710407694</v>
      </c>
      <c r="C37" s="230">
        <v>1692.3946777685262</v>
      </c>
      <c r="D37" s="229">
        <f>(C37+C36)/(B37+B36)*1000000</f>
        <v>10411.443372846505</v>
      </c>
      <c r="E37" s="231"/>
      <c r="F37" s="171"/>
      <c r="G37" s="232"/>
      <c r="H37" s="171"/>
      <c r="I37" s="232"/>
      <c r="J37" s="171"/>
      <c r="V37" s="227"/>
      <c r="W37" s="227"/>
    </row>
    <row r="38" spans="1:23">
      <c r="A38" s="234" t="s">
        <v>560</v>
      </c>
      <c r="B38" s="235">
        <v>413262</v>
      </c>
      <c r="C38" s="236">
        <v>6825.6003830141544</v>
      </c>
      <c r="D38" s="235">
        <f>C38/B38*1000000</f>
        <v>16516.399724664145</v>
      </c>
      <c r="E38" s="237"/>
      <c r="F38" s="238"/>
      <c r="G38" s="239"/>
      <c r="H38" s="238"/>
      <c r="I38" s="239"/>
      <c r="J38" s="238"/>
      <c r="V38" s="227"/>
      <c r="W38" s="227"/>
    </row>
    <row r="39" spans="1:23">
      <c r="A39" s="22" t="s">
        <v>376</v>
      </c>
      <c r="B39" s="229"/>
      <c r="C39" s="230"/>
      <c r="D39" s="229"/>
      <c r="E39" s="224">
        <f>D40*8</f>
        <v>89416.278495407998</v>
      </c>
      <c r="F39" s="225">
        <f>D40*10</f>
        <v>111770.34811926</v>
      </c>
      <c r="G39" s="226">
        <f>D40*12</f>
        <v>134124.41774311199</v>
      </c>
      <c r="H39" s="225">
        <f>D40*12+(D42+D43)/2</f>
        <v>151361.19901492703</v>
      </c>
      <c r="I39" s="226">
        <f>D40*12+D42*2</f>
        <v>168089.98354973149</v>
      </c>
      <c r="J39" s="225">
        <f>D40*12+D43*5</f>
        <v>221578.31594471354</v>
      </c>
      <c r="V39" s="227"/>
      <c r="W39" s="227"/>
    </row>
    <row r="40" spans="1:23">
      <c r="A40" s="228" t="s">
        <v>558</v>
      </c>
      <c r="B40" s="229">
        <v>174107</v>
      </c>
      <c r="C40" s="230">
        <v>1946</v>
      </c>
      <c r="D40" s="229">
        <f>C40/B40*1000000</f>
        <v>11177.034811926</v>
      </c>
      <c r="E40" s="231"/>
      <c r="F40" s="171"/>
      <c r="G40" s="232"/>
      <c r="H40" s="171"/>
      <c r="I40" s="232"/>
      <c r="J40" s="171"/>
      <c r="V40" s="227"/>
      <c r="W40" s="227"/>
    </row>
    <row r="41" spans="1:23">
      <c r="A41" s="228" t="s">
        <v>794</v>
      </c>
      <c r="B41" s="229">
        <v>8140</v>
      </c>
      <c r="C41" s="230">
        <v>235</v>
      </c>
      <c r="D41" s="229"/>
      <c r="E41" s="231"/>
      <c r="F41" s="171"/>
      <c r="G41" s="232"/>
      <c r="H41" s="171"/>
      <c r="I41" s="232"/>
      <c r="J41" s="171"/>
      <c r="V41" s="227"/>
      <c r="W41" s="227"/>
    </row>
    <row r="42" spans="1:23">
      <c r="A42" s="228" t="s">
        <v>559</v>
      </c>
      <c r="B42" s="229">
        <v>13144.113955541288</v>
      </c>
      <c r="C42" s="230">
        <v>126.46348659626322</v>
      </c>
      <c r="D42" s="229">
        <f>(C42+C41)/(B42+B41)*1000000</f>
        <v>16982.782903309759</v>
      </c>
      <c r="E42" s="231"/>
      <c r="F42" s="171"/>
      <c r="G42" s="232"/>
      <c r="H42" s="171"/>
      <c r="I42" s="232"/>
      <c r="J42" s="171"/>
    </row>
    <row r="43" spans="1:23">
      <c r="A43" s="234" t="s">
        <v>560</v>
      </c>
      <c r="B43" s="235">
        <v>38247</v>
      </c>
      <c r="C43" s="236">
        <v>668.96984890333079</v>
      </c>
      <c r="D43" s="235">
        <f>C43/B43*1000000</f>
        <v>17490.77964032031</v>
      </c>
      <c r="E43" s="237"/>
      <c r="F43" s="238"/>
      <c r="G43" s="239"/>
      <c r="H43" s="238"/>
      <c r="I43" s="239"/>
      <c r="J43" s="238"/>
    </row>
    <row r="44" spans="1:23">
      <c r="A44" s="22" t="s">
        <v>377</v>
      </c>
      <c r="B44" s="229"/>
      <c r="C44" s="230"/>
      <c r="D44" s="229"/>
      <c r="E44" s="224">
        <f>D45*8</f>
        <v>79778.365187883828</v>
      </c>
      <c r="F44" s="225">
        <f>D45*10</f>
        <v>99722.956484854789</v>
      </c>
      <c r="G44" s="226">
        <f>D45*12</f>
        <v>119667.54778182574</v>
      </c>
      <c r="H44" s="225">
        <f>D45*12+(D47+D48)/2</f>
        <v>152966.17341287318</v>
      </c>
      <c r="I44" s="226">
        <f>D45*12+D47*2</f>
        <v>164441.67734615179</v>
      </c>
      <c r="J44" s="225">
        <f>D45*12+D48*5</f>
        <v>340718.48018148483</v>
      </c>
    </row>
    <row r="45" spans="1:23">
      <c r="A45" s="228" t="s">
        <v>558</v>
      </c>
      <c r="B45" s="229">
        <v>159322</v>
      </c>
      <c r="C45" s="230">
        <v>1588.8060873080033</v>
      </c>
      <c r="D45" s="229">
        <f>C45/B45*1000000</f>
        <v>9972.2956484854785</v>
      </c>
      <c r="E45" s="231"/>
      <c r="F45" s="171"/>
      <c r="G45" s="232"/>
      <c r="H45" s="171"/>
      <c r="I45" s="232"/>
      <c r="J45" s="171"/>
    </row>
    <row r="46" spans="1:23">
      <c r="A46" s="228" t="s">
        <v>794</v>
      </c>
      <c r="B46" s="229">
        <v>7115</v>
      </c>
      <c r="C46" s="230">
        <v>287</v>
      </c>
      <c r="D46" s="229"/>
      <c r="E46" s="231"/>
      <c r="F46" s="171"/>
      <c r="G46" s="232"/>
      <c r="H46" s="171"/>
      <c r="I46" s="232"/>
      <c r="J46" s="171"/>
    </row>
    <row r="47" spans="1:23">
      <c r="A47" s="228" t="s">
        <v>559</v>
      </c>
      <c r="B47" s="229">
        <v>9080</v>
      </c>
      <c r="C47" s="230">
        <v>75.558514147130168</v>
      </c>
      <c r="D47" s="229">
        <f>(C47+C46)/(B47+B46)*1000000</f>
        <v>22387.064782163023</v>
      </c>
      <c r="E47" s="231"/>
      <c r="F47" s="171"/>
      <c r="G47" s="232"/>
      <c r="H47" s="171"/>
      <c r="I47" s="232"/>
      <c r="J47" s="171"/>
    </row>
    <row r="48" spans="1:23">
      <c r="A48" s="234" t="s">
        <v>560</v>
      </c>
      <c r="B48" s="235">
        <v>17760</v>
      </c>
      <c r="C48" s="236">
        <v>785.17291188358934</v>
      </c>
      <c r="D48" s="235">
        <f>C48/B48*1000000</f>
        <v>44210.186479931828</v>
      </c>
      <c r="E48" s="237"/>
      <c r="F48" s="238"/>
      <c r="G48" s="239"/>
      <c r="H48" s="238"/>
      <c r="I48" s="239"/>
      <c r="J48" s="238"/>
    </row>
    <row r="49" spans="1:10">
      <c r="A49" s="21" t="s">
        <v>378</v>
      </c>
      <c r="B49" s="223"/>
      <c r="C49" s="240"/>
      <c r="D49" s="223"/>
      <c r="E49" s="224">
        <f>D50*8</f>
        <v>67569.771179834323</v>
      </c>
      <c r="F49" s="225">
        <f>D50*10</f>
        <v>84462.213974792903</v>
      </c>
      <c r="G49" s="226">
        <f>D50*12</f>
        <v>101354.65676975148</v>
      </c>
      <c r="H49" s="225">
        <f>D50*12+(D52+D53)/2</f>
        <v>117706.75436307421</v>
      </c>
      <c r="I49" s="226">
        <f>D50*12+D52*2</f>
        <v>121286.02505487909</v>
      </c>
      <c r="J49" s="225">
        <f>D50*12+D53*5</f>
        <v>215047.21199015976</v>
      </c>
    </row>
    <row r="50" spans="1:10">
      <c r="A50" s="228" t="s">
        <v>558</v>
      </c>
      <c r="B50" s="229">
        <v>540880</v>
      </c>
      <c r="C50" s="230">
        <v>4568.392229468599</v>
      </c>
      <c r="D50" s="229">
        <f>C50/B50*1000000</f>
        <v>8446.2213974792903</v>
      </c>
      <c r="E50" s="231"/>
      <c r="F50" s="171"/>
      <c r="G50" s="232"/>
      <c r="H50" s="171"/>
      <c r="I50" s="232"/>
      <c r="J50" s="171"/>
    </row>
    <row r="51" spans="1:10">
      <c r="A51" s="228" t="s">
        <v>794</v>
      </c>
      <c r="B51" s="229">
        <v>85205</v>
      </c>
      <c r="C51" s="230">
        <v>773.63256280193218</v>
      </c>
      <c r="D51" s="229"/>
      <c r="E51" s="231"/>
      <c r="F51" s="171"/>
      <c r="G51" s="232"/>
      <c r="H51" s="171"/>
      <c r="I51" s="232"/>
      <c r="J51" s="171"/>
    </row>
    <row r="52" spans="1:10">
      <c r="A52" s="228" t="s">
        <v>559</v>
      </c>
      <c r="B52" s="229">
        <v>57359.233630000002</v>
      </c>
      <c r="C52" s="230">
        <v>647.11755958132039</v>
      </c>
      <c r="D52" s="229">
        <f>(C52+C51)/(B52+B51)*1000000</f>
        <v>9965.6841425638049</v>
      </c>
      <c r="E52" s="231"/>
      <c r="F52" s="171"/>
      <c r="G52" s="232"/>
      <c r="H52" s="171"/>
      <c r="I52" s="232"/>
      <c r="J52" s="171"/>
    </row>
    <row r="53" spans="1:10">
      <c r="A53" s="234" t="s">
        <v>560</v>
      </c>
      <c r="B53" s="235">
        <v>79149</v>
      </c>
      <c r="C53" s="236">
        <v>1799.7304106280189</v>
      </c>
      <c r="D53" s="235">
        <f>C53/B53*1000000</f>
        <v>22738.511044081653</v>
      </c>
      <c r="E53" s="237"/>
      <c r="F53" s="238"/>
      <c r="G53" s="239"/>
      <c r="H53" s="238"/>
      <c r="I53" s="239"/>
      <c r="J53" s="238"/>
    </row>
    <row r="54" spans="1:10">
      <c r="A54" s="22" t="s">
        <v>379</v>
      </c>
      <c r="B54" s="229"/>
      <c r="C54" s="230"/>
      <c r="D54" s="229"/>
      <c r="E54" s="224">
        <f>D55*8</f>
        <v>77922.443906798042</v>
      </c>
      <c r="F54" s="225">
        <f>D55*10</f>
        <v>97403.054883497549</v>
      </c>
      <c r="G54" s="226">
        <f>D55*12</f>
        <v>116883.66586019707</v>
      </c>
      <c r="H54" s="225">
        <f>D55*12+(D57+D58)/2</f>
        <v>135068.62126457374</v>
      </c>
      <c r="I54" s="226">
        <f>D55*12+D57*2</f>
        <v>140771.33690077852</v>
      </c>
      <c r="J54" s="225">
        <f>D55*12+D58*5</f>
        <v>239014.04230251006</v>
      </c>
    </row>
    <row r="55" spans="1:10">
      <c r="A55" s="228" t="s">
        <v>558</v>
      </c>
      <c r="B55" s="229">
        <v>563935</v>
      </c>
      <c r="C55" s="230">
        <v>5492.8991755725192</v>
      </c>
      <c r="D55" s="229">
        <f>C55/B55*1000000</f>
        <v>9740.3054883497553</v>
      </c>
      <c r="E55" s="231"/>
      <c r="F55" s="171"/>
      <c r="G55" s="232"/>
      <c r="H55" s="171"/>
      <c r="I55" s="232"/>
      <c r="J55" s="171"/>
    </row>
    <row r="56" spans="1:10">
      <c r="A56" s="228" t="s">
        <v>794</v>
      </c>
      <c r="B56" s="229">
        <v>48415</v>
      </c>
      <c r="C56" s="230">
        <v>924</v>
      </c>
      <c r="D56" s="229"/>
      <c r="E56" s="231"/>
      <c r="F56" s="171"/>
      <c r="G56" s="232"/>
      <c r="H56" s="171"/>
      <c r="I56" s="232"/>
      <c r="J56" s="171"/>
    </row>
    <row r="57" spans="1:10">
      <c r="A57" s="228" t="s">
        <v>559</v>
      </c>
      <c r="B57" s="229">
        <v>77092.462490000005</v>
      </c>
      <c r="C57" s="230">
        <v>575.04048854961832</v>
      </c>
      <c r="D57" s="229">
        <f>(C57+C56)/(B57+B56)*1000000</f>
        <v>11943.835520290728</v>
      </c>
      <c r="E57" s="231"/>
      <c r="F57" s="171"/>
      <c r="G57" s="232"/>
      <c r="H57" s="171"/>
      <c r="I57" s="232"/>
      <c r="J57" s="171"/>
    </row>
    <row r="58" spans="1:10">
      <c r="A58" s="234" t="s">
        <v>560</v>
      </c>
      <c r="B58" s="235">
        <v>98709</v>
      </c>
      <c r="C58" s="236">
        <v>2411.0734656488548</v>
      </c>
      <c r="D58" s="235">
        <f>C58/B58*1000000</f>
        <v>24426.075288462598</v>
      </c>
      <c r="E58" s="237"/>
      <c r="F58" s="238"/>
      <c r="G58" s="239"/>
      <c r="H58" s="238"/>
      <c r="I58" s="239"/>
      <c r="J58" s="238"/>
    </row>
    <row r="60" spans="1:10" ht="27.75" customHeight="1">
      <c r="A60" s="648" t="s">
        <v>981</v>
      </c>
      <c r="B60" s="648"/>
      <c r="C60" s="648"/>
      <c r="D60" s="648"/>
      <c r="E60" s="648"/>
      <c r="F60" s="648"/>
      <c r="G60" s="648"/>
      <c r="H60" s="648"/>
      <c r="I60" s="648"/>
      <c r="J60" s="648"/>
    </row>
    <row r="61" spans="1:10">
      <c r="A61" s="216" t="s">
        <v>980</v>
      </c>
    </row>
    <row r="62" spans="1:10">
      <c r="A62" s="216" t="s">
        <v>796</v>
      </c>
    </row>
    <row r="63" spans="1:10">
      <c r="A63" s="216" t="s">
        <v>797</v>
      </c>
      <c r="E63" s="241"/>
      <c r="F63" s="241"/>
      <c r="G63" s="241"/>
      <c r="H63" s="241"/>
      <c r="I63" s="241"/>
      <c r="J63" s="241"/>
    </row>
    <row r="64" spans="1:10">
      <c r="A64" s="216" t="s">
        <v>798</v>
      </c>
    </row>
  </sheetData>
  <mergeCells count="1">
    <mergeCell ref="A60:J60"/>
  </mergeCells>
  <pageMargins left="0.70866141732283472" right="0.70866141732283472" top="0.74803149606299213" bottom="0.74803149606299213" header="0.31496062992125984" footer="0.31496062992125984"/>
  <pageSetup scale="59" orientation="landscape" r:id="rId1"/>
</worksheet>
</file>

<file path=xl/worksheets/sheet41.xml><?xml version="1.0" encoding="utf-8"?>
<worksheet xmlns="http://schemas.openxmlformats.org/spreadsheetml/2006/main" xmlns:r="http://schemas.openxmlformats.org/officeDocument/2006/relationships">
  <sheetPr>
    <tabColor rgb="FF00B0F0"/>
  </sheetPr>
  <dimension ref="A1:W64"/>
  <sheetViews>
    <sheetView view="pageBreakPreview" topLeftCell="A49" zoomScaleSheetLayoutView="100" workbookViewId="0">
      <selection activeCell="A60" sqref="A60:J60"/>
    </sheetView>
  </sheetViews>
  <sheetFormatPr defaultColWidth="8.875" defaultRowHeight="12.75"/>
  <cols>
    <col min="1" max="1" width="27.125" style="216" customWidth="1"/>
    <col min="2" max="10" width="15.5" style="216" customWidth="1"/>
    <col min="11" max="13" width="8.875" style="216" customWidth="1"/>
    <col min="14" max="14" width="9.5" style="216" customWidth="1"/>
    <col min="15" max="16384" width="8.875" style="216"/>
  </cols>
  <sheetData>
    <row r="1" spans="1:23" ht="15.75">
      <c r="A1" s="18" t="s">
        <v>791</v>
      </c>
    </row>
    <row r="2" spans="1:23" ht="15.75">
      <c r="A2" s="18"/>
    </row>
    <row r="3" spans="1:23" s="20" customFormat="1" ht="43.5" customHeight="1">
      <c r="A3" s="19"/>
      <c r="B3" s="217" t="s">
        <v>551</v>
      </c>
      <c r="C3" s="218" t="s">
        <v>792</v>
      </c>
      <c r="D3" s="217" t="s">
        <v>793</v>
      </c>
      <c r="E3" s="219" t="s">
        <v>552</v>
      </c>
      <c r="F3" s="217" t="s">
        <v>553</v>
      </c>
      <c r="G3" s="218" t="s">
        <v>554</v>
      </c>
      <c r="H3" s="217" t="s">
        <v>555</v>
      </c>
      <c r="I3" s="218" t="s">
        <v>556</v>
      </c>
      <c r="J3" s="217" t="s">
        <v>557</v>
      </c>
      <c r="K3" s="220"/>
      <c r="L3" s="220"/>
      <c r="M3" s="220"/>
    </row>
    <row r="4" spans="1:23">
      <c r="A4" s="21" t="s">
        <v>321</v>
      </c>
      <c r="B4" s="221"/>
      <c r="C4" s="222"/>
      <c r="D4" s="223"/>
      <c r="E4" s="224">
        <f>D5*8</f>
        <v>68069.573208520625</v>
      </c>
      <c r="F4" s="225">
        <f>D5*10</f>
        <v>85086.966510650789</v>
      </c>
      <c r="G4" s="226">
        <f>D5*12</f>
        <v>102104.35981278094</v>
      </c>
      <c r="H4" s="225">
        <f>D5*12+(D7+D8)/2</f>
        <v>119470.33216473082</v>
      </c>
      <c r="I4" s="226">
        <f>D5*12+D7*2</f>
        <v>131309.6441050088</v>
      </c>
      <c r="J4" s="225">
        <f>D5*12+D8*5</f>
        <v>202750.87260171009</v>
      </c>
      <c r="V4" s="227"/>
      <c r="W4" s="227"/>
    </row>
    <row r="5" spans="1:23">
      <c r="A5" s="228" t="s">
        <v>558</v>
      </c>
      <c r="B5" s="229">
        <v>5020392.87</v>
      </c>
      <c r="C5" s="230">
        <v>42717</v>
      </c>
      <c r="D5" s="229">
        <f>C5/B5*1000000</f>
        <v>8508.6966510650782</v>
      </c>
      <c r="E5" s="231"/>
      <c r="F5" s="171"/>
      <c r="G5" s="232"/>
      <c r="H5" s="171"/>
      <c r="I5" s="232"/>
      <c r="J5" s="171"/>
      <c r="V5" s="227"/>
      <c r="W5" s="227"/>
    </row>
    <row r="6" spans="1:23">
      <c r="A6" s="228" t="s">
        <v>794</v>
      </c>
      <c r="B6" s="229">
        <v>231415</v>
      </c>
      <c r="C6" s="230">
        <v>5215</v>
      </c>
      <c r="D6" s="229"/>
      <c r="E6" s="231"/>
      <c r="F6" s="171"/>
      <c r="G6" s="232"/>
      <c r="H6" s="171"/>
      <c r="I6" s="232"/>
      <c r="J6" s="171"/>
      <c r="L6" s="233"/>
      <c r="V6" s="227"/>
      <c r="W6" s="227"/>
    </row>
    <row r="7" spans="1:23">
      <c r="A7" s="228" t="s">
        <v>559</v>
      </c>
      <c r="B7" s="229">
        <v>508715.06047259591</v>
      </c>
      <c r="C7" s="230">
        <v>5592.8544146629874</v>
      </c>
      <c r="D7" s="229">
        <f>(C7+C6)/(B7+B6)*1000000</f>
        <v>14602.642146113936</v>
      </c>
      <c r="E7" s="231"/>
      <c r="F7" s="171"/>
      <c r="G7" s="232"/>
      <c r="H7" s="171"/>
      <c r="I7" s="232"/>
      <c r="J7" s="171"/>
      <c r="V7" s="227"/>
      <c r="W7" s="227"/>
    </row>
    <row r="8" spans="1:23">
      <c r="A8" s="234" t="s">
        <v>560</v>
      </c>
      <c r="B8" s="235">
        <v>933870</v>
      </c>
      <c r="C8" s="236">
        <v>18798.151779639455</v>
      </c>
      <c r="D8" s="229">
        <f>C8/B8*1000000</f>
        <v>20129.302557785832</v>
      </c>
      <c r="E8" s="237"/>
      <c r="F8" s="238"/>
      <c r="G8" s="239"/>
      <c r="H8" s="238"/>
      <c r="I8" s="239"/>
      <c r="J8" s="238"/>
      <c r="V8" s="227"/>
      <c r="W8" s="227"/>
    </row>
    <row r="9" spans="1:23">
      <c r="A9" s="21" t="s">
        <v>370</v>
      </c>
      <c r="B9" s="223"/>
      <c r="C9" s="240"/>
      <c r="D9" s="223"/>
      <c r="E9" s="224">
        <f>D10*8</f>
        <v>59824.250858764135</v>
      </c>
      <c r="F9" s="225">
        <f>D10*10</f>
        <v>74780.313573455176</v>
      </c>
      <c r="G9" s="226">
        <f>D10*12</f>
        <v>89736.376288146203</v>
      </c>
      <c r="H9" s="225">
        <f>D10*12+(D12+D13)/2</f>
        <v>104727.84081040823</v>
      </c>
      <c r="I9" s="226">
        <f>D10*12+D12*2</f>
        <v>113661.06851514283</v>
      </c>
      <c r="J9" s="225">
        <f>D10*12+D13*5</f>
        <v>179839.29094327497</v>
      </c>
      <c r="V9" s="227"/>
      <c r="W9" s="227"/>
    </row>
    <row r="10" spans="1:23">
      <c r="A10" s="228" t="s">
        <v>558</v>
      </c>
      <c r="B10" s="229">
        <v>81766.5</v>
      </c>
      <c r="C10" s="230">
        <v>611.4524509803922</v>
      </c>
      <c r="D10" s="229">
        <f>C10/B10*1000000</f>
        <v>7478.0313573455169</v>
      </c>
      <c r="E10" s="231"/>
      <c r="F10" s="171"/>
      <c r="G10" s="232"/>
      <c r="H10" s="171"/>
      <c r="I10" s="232"/>
      <c r="J10" s="171"/>
      <c r="V10" s="227"/>
      <c r="W10" s="227"/>
    </row>
    <row r="11" spans="1:23">
      <c r="A11" s="228" t="s">
        <v>794</v>
      </c>
      <c r="B11" s="229">
        <v>10120</v>
      </c>
      <c r="C11" s="230">
        <v>205.88329923273659</v>
      </c>
      <c r="D11" s="229"/>
      <c r="E11" s="231"/>
      <c r="F11" s="171"/>
      <c r="G11" s="232"/>
      <c r="H11" s="171"/>
      <c r="I11" s="232"/>
      <c r="J11" s="171"/>
      <c r="V11" s="227"/>
      <c r="W11" s="227"/>
    </row>
    <row r="12" spans="1:23">
      <c r="A12" s="228" t="s">
        <v>559</v>
      </c>
      <c r="B12" s="229">
        <v>10245.9358365019</v>
      </c>
      <c r="C12" s="230">
        <v>37.741074168797951</v>
      </c>
      <c r="D12" s="229">
        <f>(C12+C11)/(B12+B11)*1000000</f>
        <v>11962.346113498314</v>
      </c>
      <c r="E12" s="231"/>
      <c r="F12" s="171"/>
      <c r="G12" s="232"/>
      <c r="H12" s="171"/>
      <c r="I12" s="232"/>
      <c r="J12" s="171"/>
      <c r="V12" s="227"/>
      <c r="W12" s="227"/>
    </row>
    <row r="13" spans="1:23">
      <c r="A13" s="234" t="s">
        <v>560</v>
      </c>
      <c r="B13" s="235">
        <v>16908</v>
      </c>
      <c r="C13" s="236">
        <v>304.69201619778346</v>
      </c>
      <c r="D13" s="235">
        <f>C13/B13*1000000</f>
        <v>18020.582931025754</v>
      </c>
      <c r="E13" s="237"/>
      <c r="F13" s="238"/>
      <c r="G13" s="239"/>
      <c r="H13" s="238"/>
      <c r="I13" s="239"/>
      <c r="J13" s="238"/>
      <c r="V13" s="227"/>
      <c r="W13" s="227"/>
    </row>
    <row r="14" spans="1:23">
      <c r="A14" s="22" t="s">
        <v>371</v>
      </c>
      <c r="B14" s="229"/>
      <c r="C14" s="230"/>
      <c r="D14" s="229"/>
      <c r="E14" s="224">
        <f>D15*8</f>
        <v>53148.719609450127</v>
      </c>
      <c r="F14" s="225">
        <f>D15*10</f>
        <v>66435.899511812662</v>
      </c>
      <c r="G14" s="226">
        <f>D15*12</f>
        <v>79723.079414175183</v>
      </c>
      <c r="H14" s="225">
        <f>D15*12+(D17+D18)/2</f>
        <v>101436.3129148391</v>
      </c>
      <c r="I14" s="226">
        <f>D15*12+D17*2</f>
        <v>125384.18377555278</v>
      </c>
      <c r="J14" s="225">
        <f>D15*12+D18*5</f>
        <v>182702.65351737043</v>
      </c>
      <c r="V14" s="227"/>
      <c r="W14" s="227"/>
    </row>
    <row r="15" spans="1:23">
      <c r="A15" s="228" t="s">
        <v>558</v>
      </c>
      <c r="B15" s="229">
        <v>22615</v>
      </c>
      <c r="C15" s="230">
        <v>150.24478674596432</v>
      </c>
      <c r="D15" s="229">
        <f>C15/B15*1000000</f>
        <v>6643.5899511812659</v>
      </c>
      <c r="E15" s="231"/>
      <c r="F15" s="171"/>
      <c r="G15" s="232"/>
      <c r="H15" s="171"/>
      <c r="I15" s="232"/>
      <c r="J15" s="171"/>
      <c r="V15" s="227"/>
      <c r="W15" s="227"/>
    </row>
    <row r="16" spans="1:23">
      <c r="A16" s="228" t="s">
        <v>794</v>
      </c>
      <c r="B16" s="229">
        <v>550</v>
      </c>
      <c r="C16" s="230">
        <v>35.304978759558196</v>
      </c>
      <c r="D16" s="229"/>
      <c r="E16" s="231"/>
      <c r="F16" s="171"/>
      <c r="G16" s="232"/>
      <c r="H16" s="171"/>
      <c r="I16" s="232"/>
      <c r="J16" s="171"/>
      <c r="V16" s="227"/>
      <c r="W16" s="227"/>
    </row>
    <row r="17" spans="1:23">
      <c r="A17" s="228" t="s">
        <v>559</v>
      </c>
      <c r="B17" s="229">
        <v>2347.9280042350451</v>
      </c>
      <c r="C17" s="230">
        <v>30.856317757009343</v>
      </c>
      <c r="D17" s="229">
        <f>(C17+C16)/(B17+B16)*1000000</f>
        <v>22830.552180688799</v>
      </c>
      <c r="E17" s="231"/>
      <c r="F17" s="171"/>
      <c r="G17" s="232"/>
      <c r="H17" s="171"/>
      <c r="I17" s="232"/>
      <c r="J17" s="171"/>
      <c r="V17" s="227"/>
      <c r="W17" s="227"/>
    </row>
    <row r="18" spans="1:23">
      <c r="A18" s="234" t="s">
        <v>560</v>
      </c>
      <c r="B18" s="235">
        <v>3561</v>
      </c>
      <c r="C18" s="236">
        <v>73.342052676295651</v>
      </c>
      <c r="D18" s="235">
        <f>C18/B18*1000000</f>
        <v>20595.914820639049</v>
      </c>
      <c r="E18" s="237"/>
      <c r="F18" s="238"/>
      <c r="G18" s="239"/>
      <c r="H18" s="238"/>
      <c r="I18" s="239"/>
      <c r="J18" s="238"/>
      <c r="V18" s="227"/>
      <c r="W18" s="227"/>
    </row>
    <row r="19" spans="1:23">
      <c r="A19" s="22" t="s">
        <v>372</v>
      </c>
      <c r="B19" s="229"/>
      <c r="C19" s="230"/>
      <c r="D19" s="229"/>
      <c r="E19" s="224">
        <f>D20*8</f>
        <v>54821.081149277219</v>
      </c>
      <c r="F19" s="225">
        <f>D20*10</f>
        <v>68526.351436596524</v>
      </c>
      <c r="G19" s="226">
        <f>D20*12</f>
        <v>82231.621723915829</v>
      </c>
      <c r="H19" s="225">
        <f>D20*12+(D22+D23)/2</f>
        <v>98155.535108374243</v>
      </c>
      <c r="I19" s="226">
        <f>D20*12+D22*2</f>
        <v>111034.87634009276</v>
      </c>
      <c r="J19" s="225">
        <f>D20*12+D23*5</f>
        <v>169462.61902805761</v>
      </c>
      <c r="V19" s="227"/>
      <c r="W19" s="227"/>
    </row>
    <row r="20" spans="1:23">
      <c r="A20" s="228" t="s">
        <v>558</v>
      </c>
      <c r="B20" s="229">
        <v>150599</v>
      </c>
      <c r="C20" s="230">
        <v>1032</v>
      </c>
      <c r="D20" s="229">
        <f>C20/B20*1000000</f>
        <v>6852.6351436596524</v>
      </c>
      <c r="E20" s="231"/>
      <c r="F20" s="171"/>
      <c r="G20" s="232"/>
      <c r="H20" s="171"/>
      <c r="I20" s="232"/>
      <c r="J20" s="171"/>
      <c r="V20" s="227"/>
      <c r="W20" s="227"/>
    </row>
    <row r="21" spans="1:23">
      <c r="A21" s="228" t="s">
        <v>794</v>
      </c>
      <c r="B21" s="229">
        <v>5535</v>
      </c>
      <c r="C21" s="230">
        <v>91</v>
      </c>
      <c r="D21" s="229"/>
      <c r="E21" s="231"/>
      <c r="F21" s="171"/>
      <c r="G21" s="232"/>
      <c r="H21" s="171"/>
      <c r="I21" s="232"/>
      <c r="J21" s="171"/>
      <c r="V21" s="227"/>
      <c r="W21" s="227"/>
    </row>
    <row r="22" spans="1:23">
      <c r="A22" s="228" t="s">
        <v>559</v>
      </c>
      <c r="B22" s="229">
        <v>8454.8261931187571</v>
      </c>
      <c r="C22" s="230">
        <v>110.47626293823038</v>
      </c>
      <c r="D22" s="229">
        <f>(C22+C21)/(B22+B21)*1000000</f>
        <v>14401.627308088464</v>
      </c>
      <c r="E22" s="231"/>
      <c r="F22" s="171"/>
      <c r="G22" s="232"/>
      <c r="H22" s="171"/>
      <c r="I22" s="232"/>
      <c r="J22" s="171"/>
      <c r="V22" s="227"/>
      <c r="W22" s="227"/>
    </row>
    <row r="23" spans="1:23">
      <c r="A23" s="234" t="s">
        <v>560</v>
      </c>
      <c r="B23" s="235">
        <v>41892</v>
      </c>
      <c r="C23" s="236">
        <v>730.85618781302162</v>
      </c>
      <c r="D23" s="235">
        <f>C23/B23*1000000</f>
        <v>17446.19946082836</v>
      </c>
      <c r="E23" s="237"/>
      <c r="F23" s="238"/>
      <c r="G23" s="239"/>
      <c r="H23" s="238"/>
      <c r="I23" s="239"/>
      <c r="J23" s="238"/>
      <c r="V23" s="227"/>
      <c r="W23" s="227"/>
    </row>
    <row r="24" spans="1:23">
      <c r="A24" s="22" t="s">
        <v>373</v>
      </c>
      <c r="B24" s="229"/>
      <c r="C24" s="230"/>
      <c r="D24" s="229"/>
      <c r="E24" s="224">
        <f>D25*8</f>
        <v>57313.432835820895</v>
      </c>
      <c r="F24" s="225">
        <f>D25*10</f>
        <v>71641.791044776124</v>
      </c>
      <c r="G24" s="226">
        <f>D25*12</f>
        <v>85970.149253731346</v>
      </c>
      <c r="H24" s="225">
        <f>D25*12+(D27+D28)/2</f>
        <v>108472.38964442715</v>
      </c>
      <c r="I24" s="226">
        <f>D25*12+D27*2</f>
        <v>143226.99789749269</v>
      </c>
      <c r="J24" s="225">
        <f>D25*12+D28*5</f>
        <v>167850.43155128602</v>
      </c>
      <c r="V24" s="227"/>
      <c r="W24" s="227"/>
    </row>
    <row r="25" spans="1:23">
      <c r="A25" s="228" t="s">
        <v>558</v>
      </c>
      <c r="B25" s="229">
        <v>120600</v>
      </c>
      <c r="C25" s="230">
        <v>864</v>
      </c>
      <c r="D25" s="229">
        <f>C25/B25*1000000</f>
        <v>7164.1791044776119</v>
      </c>
      <c r="E25" s="231"/>
      <c r="F25" s="171"/>
      <c r="G25" s="232"/>
      <c r="H25" s="171"/>
      <c r="I25" s="232"/>
      <c r="J25" s="171"/>
      <c r="V25" s="227"/>
      <c r="W25" s="227"/>
    </row>
    <row r="26" spans="1:23">
      <c r="A26" s="228" t="s">
        <v>794</v>
      </c>
      <c r="B26" s="229">
        <v>4535</v>
      </c>
      <c r="C26" s="230">
        <v>171.32466273187185</v>
      </c>
      <c r="D26" s="229"/>
      <c r="E26" s="231"/>
      <c r="F26" s="171"/>
      <c r="G26" s="232"/>
      <c r="H26" s="171"/>
      <c r="I26" s="232"/>
      <c r="J26" s="171"/>
      <c r="V26" s="227"/>
      <c r="W26" s="227"/>
    </row>
    <row r="27" spans="1:23">
      <c r="A27" s="228" t="s">
        <v>559</v>
      </c>
      <c r="B27" s="229">
        <v>4348.9745795854515</v>
      </c>
      <c r="C27" s="230">
        <v>83.009531197301868</v>
      </c>
      <c r="D27" s="229">
        <f>(C27+C26)/(B27+B26)*1000000</f>
        <v>28628.42432188067</v>
      </c>
      <c r="E27" s="231"/>
      <c r="F27" s="171"/>
      <c r="G27" s="232"/>
      <c r="H27" s="171"/>
      <c r="I27" s="232"/>
      <c r="J27" s="171"/>
      <c r="V27" s="227"/>
      <c r="W27" s="227"/>
    </row>
    <row r="28" spans="1:23">
      <c r="A28" s="234" t="s">
        <v>560</v>
      </c>
      <c r="B28" s="235">
        <v>24654</v>
      </c>
      <c r="C28" s="236">
        <v>403.73529595278251</v>
      </c>
      <c r="D28" s="235">
        <f>C28/B28*1000000</f>
        <v>16376.056459510934</v>
      </c>
      <c r="E28" s="237"/>
      <c r="F28" s="238"/>
      <c r="G28" s="239"/>
      <c r="H28" s="238"/>
      <c r="I28" s="239"/>
      <c r="J28" s="238"/>
      <c r="V28" s="227"/>
      <c r="W28" s="227"/>
    </row>
    <row r="29" spans="1:23">
      <c r="A29" s="22" t="s">
        <v>561</v>
      </c>
      <c r="B29" s="229"/>
      <c r="C29" s="230"/>
      <c r="D29" s="229"/>
      <c r="E29" s="224">
        <f>D30*8</f>
        <v>68739.986657190879</v>
      </c>
      <c r="F29" s="225">
        <f>D30*10</f>
        <v>85924.983321488602</v>
      </c>
      <c r="G29" s="226">
        <f>D30*12</f>
        <v>103109.97998578631</v>
      </c>
      <c r="H29" s="225">
        <f>D30*12+(D32+D33)/2</f>
        <v>120402.12708289298</v>
      </c>
      <c r="I29" s="226">
        <f>D30*12+D32*2</f>
        <v>134772.48543867897</v>
      </c>
      <c r="J29" s="225">
        <f>D30*12+D33*5</f>
        <v>196875.18732462137</v>
      </c>
      <c r="V29" s="227"/>
      <c r="W29" s="227"/>
    </row>
    <row r="30" spans="1:23">
      <c r="A30" s="228" t="s">
        <v>558</v>
      </c>
      <c r="B30" s="229">
        <v>1084434.31</v>
      </c>
      <c r="C30" s="230">
        <v>9318</v>
      </c>
      <c r="D30" s="229">
        <f>C30/B30*1000000</f>
        <v>8592.4983321488598</v>
      </c>
      <c r="E30" s="231"/>
      <c r="F30" s="171"/>
      <c r="G30" s="232"/>
      <c r="H30" s="171"/>
      <c r="I30" s="232"/>
      <c r="J30" s="171"/>
      <c r="V30" s="227"/>
      <c r="W30" s="227"/>
    </row>
    <row r="31" spans="1:23">
      <c r="A31" s="228" t="s">
        <v>794</v>
      </c>
      <c r="B31" s="229">
        <v>47325</v>
      </c>
      <c r="C31" s="230">
        <v>1297</v>
      </c>
      <c r="D31" s="229"/>
      <c r="E31" s="231"/>
      <c r="F31" s="171"/>
      <c r="G31" s="232"/>
      <c r="H31" s="171"/>
      <c r="I31" s="232"/>
      <c r="J31" s="171"/>
      <c r="V31" s="227"/>
      <c r="W31" s="227"/>
    </row>
    <row r="32" spans="1:23">
      <c r="A32" s="228" t="s">
        <v>559</v>
      </c>
      <c r="B32" s="229">
        <v>170013.60585707088</v>
      </c>
      <c r="C32" s="230">
        <v>2143.7423965367962</v>
      </c>
      <c r="D32" s="229">
        <f>(C32+C31)/(B32+B31)*1000000</f>
        <v>15831.252726446324</v>
      </c>
      <c r="E32" s="231"/>
      <c r="F32" s="171"/>
      <c r="G32" s="232"/>
      <c r="H32" s="171"/>
      <c r="I32" s="232"/>
      <c r="J32" s="171"/>
      <c r="V32" s="227"/>
      <c r="W32" s="227"/>
    </row>
    <row r="33" spans="1:23">
      <c r="A33" s="234" t="s">
        <v>560</v>
      </c>
      <c r="B33" s="235">
        <v>250809</v>
      </c>
      <c r="C33" s="236">
        <v>4703.4315774891775</v>
      </c>
      <c r="D33" s="235">
        <f>C33/B33*1000000</f>
        <v>18753.041467767012</v>
      </c>
      <c r="E33" s="237"/>
      <c r="F33" s="238"/>
      <c r="G33" s="239"/>
      <c r="H33" s="238"/>
      <c r="I33" s="239"/>
      <c r="J33" s="238"/>
      <c r="V33" s="227"/>
      <c r="W33" s="227"/>
    </row>
    <row r="34" spans="1:23">
      <c r="A34" s="22" t="s">
        <v>375</v>
      </c>
      <c r="B34" s="229"/>
      <c r="C34" s="230"/>
      <c r="D34" s="229"/>
      <c r="E34" s="224">
        <f>D35*8</f>
        <v>65499.529788187516</v>
      </c>
      <c r="F34" s="225">
        <f>D35*10</f>
        <v>81874.412235234398</v>
      </c>
      <c r="G34" s="226">
        <f>D35*12</f>
        <v>98249.294682281266</v>
      </c>
      <c r="H34" s="225">
        <f>D35*12+(D37+D38)/2</f>
        <v>113985.89309496545</v>
      </c>
      <c r="I34" s="226">
        <f>D35*12+D37*2</f>
        <v>123305.68245981121</v>
      </c>
      <c r="J34" s="225">
        <f>D35*12+D38*5</f>
        <v>192974.30936529825</v>
      </c>
      <c r="V34" s="227"/>
      <c r="W34" s="227"/>
    </row>
    <row r="35" spans="1:23">
      <c r="A35" s="228" t="s">
        <v>558</v>
      </c>
      <c r="B35" s="229">
        <v>2049535.06</v>
      </c>
      <c r="C35" s="230">
        <v>16780.447839300585</v>
      </c>
      <c r="D35" s="229">
        <f>C35/B35*1000000</f>
        <v>8187.4412235234395</v>
      </c>
      <c r="E35" s="231"/>
      <c r="F35" s="171"/>
      <c r="G35" s="232"/>
      <c r="H35" s="171"/>
      <c r="I35" s="232"/>
      <c r="J35" s="171"/>
      <c r="V35" s="227"/>
      <c r="W35" s="227"/>
    </row>
    <row r="36" spans="1:23">
      <c r="A36" s="228" t="s">
        <v>794</v>
      </c>
      <c r="B36" s="229">
        <v>75410</v>
      </c>
      <c r="C36" s="230">
        <v>1067</v>
      </c>
      <c r="D36" s="229"/>
      <c r="E36" s="231"/>
      <c r="F36" s="171"/>
      <c r="G36" s="232"/>
      <c r="H36" s="171"/>
      <c r="I36" s="232"/>
      <c r="J36" s="171"/>
      <c r="V36" s="227"/>
      <c r="W36" s="227"/>
    </row>
    <row r="37" spans="1:23">
      <c r="A37" s="228" t="s">
        <v>559</v>
      </c>
      <c r="B37" s="229">
        <v>144844.78710407694</v>
      </c>
      <c r="C37" s="230">
        <v>1692.3946777685262</v>
      </c>
      <c r="D37" s="229">
        <f>(C37+C36)/(B37+B36)*1000000</f>
        <v>12528.19388876497</v>
      </c>
      <c r="E37" s="231"/>
      <c r="F37" s="171"/>
      <c r="G37" s="232"/>
      <c r="H37" s="171"/>
      <c r="I37" s="232"/>
      <c r="J37" s="171"/>
      <c r="V37" s="227"/>
      <c r="W37" s="227"/>
    </row>
    <row r="38" spans="1:23">
      <c r="A38" s="234" t="s">
        <v>560</v>
      </c>
      <c r="B38" s="235">
        <v>360285</v>
      </c>
      <c r="C38" s="236">
        <v>6825.6003830141544</v>
      </c>
      <c r="D38" s="235">
        <f>C38/B38*1000000</f>
        <v>18945.002936603396</v>
      </c>
      <c r="E38" s="237"/>
      <c r="F38" s="238"/>
      <c r="G38" s="239"/>
      <c r="H38" s="238"/>
      <c r="I38" s="239"/>
      <c r="J38" s="238"/>
      <c r="V38" s="227"/>
      <c r="W38" s="227"/>
    </row>
    <row r="39" spans="1:23">
      <c r="A39" s="22" t="s">
        <v>376</v>
      </c>
      <c r="B39" s="229"/>
      <c r="C39" s="230"/>
      <c r="D39" s="229"/>
      <c r="E39" s="224">
        <f>D40*8</f>
        <v>86142.881647604343</v>
      </c>
      <c r="F39" s="225">
        <f>D40*10</f>
        <v>107678.60205950543</v>
      </c>
      <c r="G39" s="226">
        <f>D40*12</f>
        <v>129214.32247140651</v>
      </c>
      <c r="H39" s="225">
        <f>D40*12+(D42+D43)/2</f>
        <v>148107.70577512711</v>
      </c>
      <c r="I39" s="226">
        <f>D40*12+D42*2</f>
        <v>166741.4558169076</v>
      </c>
      <c r="J39" s="225">
        <f>D40*12+D43*5</f>
        <v>224330.32214485967</v>
      </c>
      <c r="V39" s="227"/>
      <c r="W39" s="227"/>
    </row>
    <row r="40" spans="1:23">
      <c r="A40" s="228" t="s">
        <v>558</v>
      </c>
      <c r="B40" s="229">
        <v>180723</v>
      </c>
      <c r="C40" s="230">
        <v>1946</v>
      </c>
      <c r="D40" s="229">
        <f>C40/B40*1000000</f>
        <v>10767.860205950543</v>
      </c>
      <c r="E40" s="231"/>
      <c r="F40" s="171"/>
      <c r="G40" s="232"/>
      <c r="H40" s="171"/>
      <c r="I40" s="232"/>
      <c r="J40" s="171"/>
      <c r="V40" s="227"/>
      <c r="W40" s="227"/>
    </row>
    <row r="41" spans="1:23">
      <c r="A41" s="228" t="s">
        <v>794</v>
      </c>
      <c r="B41" s="229">
        <v>6120</v>
      </c>
      <c r="C41" s="230">
        <v>235</v>
      </c>
      <c r="D41" s="229"/>
      <c r="E41" s="231"/>
      <c r="F41" s="171"/>
      <c r="G41" s="232"/>
      <c r="H41" s="171"/>
      <c r="I41" s="232"/>
      <c r="J41" s="171"/>
      <c r="V41" s="227"/>
      <c r="W41" s="227"/>
    </row>
    <row r="42" spans="1:23">
      <c r="A42" s="228" t="s">
        <v>559</v>
      </c>
      <c r="B42" s="229">
        <v>13144.113955541288</v>
      </c>
      <c r="C42" s="230">
        <v>126.46348659626322</v>
      </c>
      <c r="D42" s="229">
        <f>(C42+C41)/(B42+B41)*1000000</f>
        <v>18763.566672750549</v>
      </c>
      <c r="E42" s="231"/>
      <c r="F42" s="171"/>
      <c r="G42" s="232"/>
      <c r="H42" s="171"/>
      <c r="I42" s="232"/>
      <c r="J42" s="171"/>
    </row>
    <row r="43" spans="1:23">
      <c r="A43" s="234" t="s">
        <v>560</v>
      </c>
      <c r="B43" s="235">
        <v>35166</v>
      </c>
      <c r="C43" s="236">
        <v>668.96984890333079</v>
      </c>
      <c r="D43" s="235">
        <f>C43/B43*1000000</f>
        <v>19023.19993469063</v>
      </c>
      <c r="E43" s="237"/>
      <c r="F43" s="238"/>
      <c r="G43" s="239"/>
      <c r="H43" s="238"/>
      <c r="I43" s="239"/>
      <c r="J43" s="238"/>
    </row>
    <row r="44" spans="1:23">
      <c r="A44" s="22" t="s">
        <v>377</v>
      </c>
      <c r="B44" s="229"/>
      <c r="C44" s="230"/>
      <c r="D44" s="229"/>
      <c r="E44" s="224">
        <f>D45*8</f>
        <v>71932.567429245857</v>
      </c>
      <c r="F44" s="225">
        <f>D45*10</f>
        <v>89915.709286557321</v>
      </c>
      <c r="G44" s="226">
        <f>D45*12</f>
        <v>107898.85114386879</v>
      </c>
      <c r="H44" s="225">
        <f>D45*12+(D47+D48)/2</f>
        <v>130558.82539909886</v>
      </c>
      <c r="I44" s="226">
        <f>D45*12+D47*2</f>
        <v>152694.58912446746</v>
      </c>
      <c r="J44" s="225">
        <f>D45*12+D48*5</f>
        <v>222509.24874467298</v>
      </c>
    </row>
    <row r="45" spans="1:23">
      <c r="A45" s="228" t="s">
        <v>558</v>
      </c>
      <c r="B45" s="229">
        <v>176699.5</v>
      </c>
      <c r="C45" s="230">
        <v>1588.8060873080033</v>
      </c>
      <c r="D45" s="229">
        <f>C45/B45*1000000</f>
        <v>8991.5709286557321</v>
      </c>
      <c r="E45" s="231"/>
      <c r="F45" s="171"/>
      <c r="G45" s="232"/>
      <c r="H45" s="171"/>
      <c r="I45" s="232"/>
      <c r="J45" s="171"/>
    </row>
    <row r="46" spans="1:23">
      <c r="A46" s="228" t="s">
        <v>794</v>
      </c>
      <c r="B46" s="229">
        <v>7115</v>
      </c>
      <c r="C46" s="230">
        <v>287</v>
      </c>
      <c r="D46" s="229"/>
      <c r="E46" s="231"/>
      <c r="F46" s="171"/>
      <c r="G46" s="232"/>
      <c r="H46" s="171"/>
      <c r="I46" s="232"/>
      <c r="J46" s="171"/>
    </row>
    <row r="47" spans="1:23">
      <c r="A47" s="228" t="s">
        <v>559</v>
      </c>
      <c r="B47" s="229">
        <v>9072.1879107854766</v>
      </c>
      <c r="C47" s="230">
        <v>75.558514147130168</v>
      </c>
      <c r="D47" s="229">
        <f>(C47+C46)/(B47+B46)*1000000</f>
        <v>22397.868990299328</v>
      </c>
      <c r="E47" s="231"/>
      <c r="F47" s="171"/>
      <c r="G47" s="232"/>
      <c r="H47" s="171"/>
      <c r="I47" s="232"/>
      <c r="J47" s="171"/>
    </row>
    <row r="48" spans="1:23">
      <c r="A48" s="234" t="s">
        <v>560</v>
      </c>
      <c r="B48" s="235">
        <v>34254</v>
      </c>
      <c r="C48" s="236">
        <v>785.17291188358934</v>
      </c>
      <c r="D48" s="235">
        <f>C48/B48*1000000</f>
        <v>22922.079520160838</v>
      </c>
      <c r="E48" s="237"/>
      <c r="F48" s="238"/>
      <c r="G48" s="239"/>
      <c r="H48" s="238"/>
      <c r="I48" s="239"/>
      <c r="J48" s="238"/>
    </row>
    <row r="49" spans="1:10">
      <c r="A49" s="21" t="s">
        <v>378</v>
      </c>
      <c r="B49" s="223"/>
      <c r="C49" s="240"/>
      <c r="D49" s="223"/>
      <c r="E49" s="224">
        <f>D50*8</f>
        <v>68552.404653579346</v>
      </c>
      <c r="F49" s="225">
        <f>D50*10</f>
        <v>85690.505816974182</v>
      </c>
      <c r="G49" s="226">
        <f>D50*12</f>
        <v>102828.60698036902</v>
      </c>
      <c r="H49" s="225">
        <f>D50*12+(D52+D53)/2</f>
        <v>119550.56944958855</v>
      </c>
      <c r="I49" s="226">
        <f>D50*12+D52*2</f>
        <v>126582.27963003932</v>
      </c>
      <c r="J49" s="225">
        <f>D50*12+D53*5</f>
        <v>210664.05004838854</v>
      </c>
    </row>
    <row r="50" spans="1:10">
      <c r="A50" s="228" t="s">
        <v>558</v>
      </c>
      <c r="B50" s="229">
        <v>533127</v>
      </c>
      <c r="C50" s="230">
        <v>4568.392229468599</v>
      </c>
      <c r="D50" s="229">
        <f>C50/B50*1000000</f>
        <v>8569.0505816974182</v>
      </c>
      <c r="E50" s="231"/>
      <c r="F50" s="171"/>
      <c r="G50" s="232"/>
      <c r="H50" s="171"/>
      <c r="I50" s="232"/>
      <c r="J50" s="171"/>
    </row>
    <row r="51" spans="1:10">
      <c r="A51" s="228" t="s">
        <v>794</v>
      </c>
      <c r="B51" s="229">
        <v>52125</v>
      </c>
      <c r="C51" s="230">
        <v>773.63256280193218</v>
      </c>
      <c r="D51" s="229"/>
      <c r="E51" s="231"/>
      <c r="F51" s="171"/>
      <c r="G51" s="232"/>
      <c r="H51" s="171"/>
      <c r="I51" s="232"/>
      <c r="J51" s="171"/>
    </row>
    <row r="52" spans="1:10">
      <c r="A52" s="228" t="s">
        <v>559</v>
      </c>
      <c r="B52" s="229">
        <v>67498.617226447881</v>
      </c>
      <c r="C52" s="230">
        <v>647.11755958132039</v>
      </c>
      <c r="D52" s="229">
        <f>(C52+C51)/(B52+B51)*1000000</f>
        <v>11876.836324835156</v>
      </c>
      <c r="E52" s="231"/>
      <c r="F52" s="171"/>
      <c r="G52" s="232"/>
      <c r="H52" s="171"/>
      <c r="I52" s="232"/>
      <c r="J52" s="171"/>
    </row>
    <row r="53" spans="1:10">
      <c r="A53" s="234" t="s">
        <v>560</v>
      </c>
      <c r="B53" s="235">
        <v>83448</v>
      </c>
      <c r="C53" s="236">
        <v>1799.7304106280189</v>
      </c>
      <c r="D53" s="235">
        <f>C53/B53*1000000</f>
        <v>21567.088613603908</v>
      </c>
      <c r="E53" s="237"/>
      <c r="F53" s="238"/>
      <c r="G53" s="239"/>
      <c r="H53" s="238"/>
      <c r="I53" s="239"/>
      <c r="J53" s="238"/>
    </row>
    <row r="54" spans="1:10">
      <c r="A54" s="22" t="s">
        <v>379</v>
      </c>
      <c r="B54" s="229"/>
      <c r="C54" s="230"/>
      <c r="D54" s="229"/>
      <c r="E54" s="224">
        <f>D55*8</f>
        <v>73675.675221153724</v>
      </c>
      <c r="F54" s="225">
        <f>D55*10</f>
        <v>92094.594026442152</v>
      </c>
      <c r="G54" s="226">
        <f>D55*12</f>
        <v>110513.51283173059</v>
      </c>
      <c r="H54" s="225">
        <f>D55*12+(D57+D58)/2</f>
        <v>132625.33668577377</v>
      </c>
      <c r="I54" s="226">
        <f>D55*12+D57*2</f>
        <v>140787.6581471987</v>
      </c>
      <c r="J54" s="225">
        <f>D55*12+D58*5</f>
        <v>255946.3880834922</v>
      </c>
    </row>
    <row r="55" spans="1:10">
      <c r="A55" s="228" t="s">
        <v>558</v>
      </c>
      <c r="B55" s="229">
        <v>596441</v>
      </c>
      <c r="C55" s="230">
        <v>5492.8991755725192</v>
      </c>
      <c r="D55" s="229">
        <f>C55/B55*1000000</f>
        <v>9209.4594026442155</v>
      </c>
      <c r="E55" s="231"/>
      <c r="F55" s="171"/>
      <c r="G55" s="232"/>
      <c r="H55" s="171"/>
      <c r="I55" s="232"/>
      <c r="J55" s="171"/>
    </row>
    <row r="56" spans="1:10">
      <c r="A56" s="228" t="s">
        <v>794</v>
      </c>
      <c r="B56" s="229">
        <v>21730</v>
      </c>
      <c r="C56" s="230">
        <v>924</v>
      </c>
      <c r="D56" s="229"/>
      <c r="E56" s="231"/>
      <c r="F56" s="171"/>
      <c r="G56" s="232"/>
      <c r="H56" s="171"/>
      <c r="I56" s="232"/>
      <c r="J56" s="171"/>
    </row>
    <row r="57" spans="1:10">
      <c r="A57" s="228" t="s">
        <v>559</v>
      </c>
      <c r="B57" s="229">
        <v>77301.069113862468</v>
      </c>
      <c r="C57" s="230">
        <v>575.04048854961832</v>
      </c>
      <c r="D57" s="229">
        <f>(C57+C56)/(B57+B56)*1000000</f>
        <v>15137.072657734048</v>
      </c>
      <c r="E57" s="231"/>
      <c r="F57" s="171"/>
      <c r="G57" s="232"/>
      <c r="H57" s="171"/>
      <c r="I57" s="232"/>
      <c r="J57" s="171"/>
    </row>
    <row r="58" spans="1:10">
      <c r="A58" s="234" t="s">
        <v>560</v>
      </c>
      <c r="B58" s="235">
        <v>82893</v>
      </c>
      <c r="C58" s="236">
        <v>2411.0734656488548</v>
      </c>
      <c r="D58" s="235">
        <f>C58/B58*1000000</f>
        <v>29086.57505035232</v>
      </c>
      <c r="E58" s="237"/>
      <c r="F58" s="238"/>
      <c r="G58" s="239"/>
      <c r="H58" s="238"/>
      <c r="I58" s="239"/>
      <c r="J58" s="238"/>
    </row>
    <row r="59" spans="1:10">
      <c r="B59" s="216" t="s">
        <v>1056</v>
      </c>
      <c r="C59" s="216" t="s">
        <v>1057</v>
      </c>
    </row>
    <row r="60" spans="1:10" ht="27.75" customHeight="1">
      <c r="A60" s="648" t="s">
        <v>987</v>
      </c>
      <c r="B60" s="648"/>
      <c r="C60" s="648"/>
      <c r="D60" s="648"/>
      <c r="E60" s="648"/>
      <c r="F60" s="648"/>
      <c r="G60" s="648"/>
      <c r="H60" s="648"/>
      <c r="I60" s="648"/>
      <c r="J60" s="648"/>
    </row>
    <row r="61" spans="1:10">
      <c r="A61" s="216" t="s">
        <v>795</v>
      </c>
      <c r="H61" s="216" t="s">
        <v>1061</v>
      </c>
    </row>
    <row r="62" spans="1:10">
      <c r="A62" s="216" t="s">
        <v>796</v>
      </c>
      <c r="F62" s="216" t="s">
        <v>1060</v>
      </c>
    </row>
    <row r="63" spans="1:10">
      <c r="A63" s="216" t="s">
        <v>797</v>
      </c>
      <c r="D63" s="216" t="s">
        <v>1058</v>
      </c>
      <c r="E63" s="241"/>
      <c r="F63" s="241"/>
      <c r="G63" s="241"/>
      <c r="H63" s="241"/>
      <c r="I63" s="241"/>
      <c r="J63" s="241"/>
    </row>
    <row r="64" spans="1:10">
      <c r="A64" s="216" t="s">
        <v>798</v>
      </c>
      <c r="D64" s="216" t="s">
        <v>1059</v>
      </c>
    </row>
  </sheetData>
  <mergeCells count="1">
    <mergeCell ref="A60:J60"/>
  </mergeCells>
  <pageMargins left="0.70866141732283472" right="0.70866141732283472" top="0.74803149606299213" bottom="0.74803149606299213" header="0.31496062992125984" footer="0.31496062992125984"/>
  <pageSetup scale="59" orientation="landscape" r:id="rId1"/>
</worksheet>
</file>

<file path=xl/worksheets/sheet42.xml><?xml version="1.0" encoding="utf-8"?>
<worksheet xmlns="http://schemas.openxmlformats.org/spreadsheetml/2006/main" xmlns:r="http://schemas.openxmlformats.org/officeDocument/2006/relationships">
  <sheetPr>
    <pageSetUpPr fitToPage="1"/>
  </sheetPr>
  <dimension ref="A1:V174"/>
  <sheetViews>
    <sheetView view="pageBreakPreview" topLeftCell="A40" zoomScaleNormal="85" zoomScaleSheetLayoutView="100" workbookViewId="0">
      <selection activeCell="E9" sqref="E9"/>
    </sheetView>
  </sheetViews>
  <sheetFormatPr defaultRowHeight="12.75"/>
  <cols>
    <col min="1" max="1" width="18.25" customWidth="1"/>
    <col min="2" max="2" width="11.375" style="332" customWidth="1"/>
    <col min="3" max="3" width="13.875" bestFit="1" customWidth="1"/>
    <col min="4" max="4" width="9.875" customWidth="1"/>
    <col min="5" max="5" width="8.125" bestFit="1" customWidth="1"/>
    <col min="6" max="6" width="10" customWidth="1"/>
    <col min="7" max="7" width="8.25" customWidth="1"/>
    <col min="8" max="8" width="9.75" customWidth="1"/>
    <col min="9" max="9" width="9.375" customWidth="1"/>
    <col min="10" max="10" width="8.375" bestFit="1" customWidth="1"/>
  </cols>
  <sheetData>
    <row r="1" spans="1:15" ht="15.75">
      <c r="A1" s="18" t="s">
        <v>979</v>
      </c>
      <c r="B1" s="334"/>
      <c r="C1" s="216"/>
      <c r="D1" s="216"/>
      <c r="E1" s="216"/>
      <c r="F1" s="216"/>
      <c r="G1" s="216"/>
      <c r="H1" s="216"/>
      <c r="I1" s="216"/>
      <c r="J1" s="216"/>
    </row>
    <row r="2" spans="1:15">
      <c r="A2" s="363"/>
      <c r="B2" s="345"/>
      <c r="C2" s="364"/>
      <c r="D2" s="364"/>
      <c r="E2" s="364"/>
      <c r="F2" s="364"/>
      <c r="G2" s="365"/>
      <c r="H2" s="360"/>
      <c r="I2" s="365"/>
      <c r="J2" s="360"/>
      <c r="K2" s="364"/>
      <c r="L2" s="365"/>
      <c r="M2" s="360"/>
      <c r="N2" s="364"/>
      <c r="O2" s="365"/>
    </row>
    <row r="3" spans="1:15" ht="38.25">
      <c r="A3" s="19"/>
      <c r="B3" s="217" t="s">
        <v>551</v>
      </c>
      <c r="C3" s="218" t="s">
        <v>1086</v>
      </c>
      <c r="D3" s="217" t="s">
        <v>1087</v>
      </c>
      <c r="E3" s="219" t="s">
        <v>552</v>
      </c>
      <c r="F3" s="217" t="s">
        <v>553</v>
      </c>
      <c r="G3" s="218" t="s">
        <v>554</v>
      </c>
      <c r="H3" s="217" t="s">
        <v>555</v>
      </c>
      <c r="I3" s="218" t="s">
        <v>556</v>
      </c>
      <c r="J3" s="217" t="s">
        <v>557</v>
      </c>
    </row>
    <row r="4" spans="1:15">
      <c r="A4" s="21" t="s">
        <v>321</v>
      </c>
      <c r="B4" s="335"/>
      <c r="C4" s="222"/>
      <c r="D4" s="223"/>
      <c r="E4" s="224">
        <f>D5*8</f>
        <v>74045.599072962112</v>
      </c>
      <c r="F4" s="225">
        <f>D5*10</f>
        <v>92556.998841202643</v>
      </c>
      <c r="G4" s="226">
        <f>D5*12</f>
        <v>111068.39860944316</v>
      </c>
      <c r="H4" s="225">
        <f>D5*12+(D6+D8)/2</f>
        <v>126955.28604390603</v>
      </c>
      <c r="I4" s="226">
        <f>D5*12+D6*2</f>
        <v>131887.16170769907</v>
      </c>
      <c r="J4" s="225">
        <f>D5*12+D8*5</f>
        <v>217890.36520843214</v>
      </c>
    </row>
    <row r="5" spans="1:15">
      <c r="A5" s="228" t="s">
        <v>558</v>
      </c>
      <c r="B5" s="336">
        <v>4834260</v>
      </c>
      <c r="C5" s="230">
        <v>44744.45972180723</v>
      </c>
      <c r="D5" s="229">
        <f>C5/B5*1000000</f>
        <v>9255.699884120264</v>
      </c>
      <c r="E5" s="231"/>
      <c r="F5" s="171"/>
      <c r="G5" s="232"/>
      <c r="H5" s="171"/>
      <c r="I5" s="232"/>
      <c r="J5" s="171"/>
    </row>
    <row r="6" spans="1:15">
      <c r="A6" s="228" t="s">
        <v>794</v>
      </c>
      <c r="B6" s="336">
        <v>328165</v>
      </c>
      <c r="C6" s="230">
        <v>4571.4736319995172</v>
      </c>
      <c r="D6" s="654">
        <f>(C7+C6)/(B7+B6)*1000000</f>
        <v>10409.381549127953</v>
      </c>
      <c r="E6" s="231"/>
      <c r="F6" s="171"/>
      <c r="G6" s="232"/>
      <c r="H6" s="171"/>
      <c r="I6" s="232"/>
      <c r="J6" s="171"/>
    </row>
    <row r="7" spans="1:15">
      <c r="A7" s="228" t="s">
        <v>559</v>
      </c>
      <c r="B7" s="336">
        <v>609051</v>
      </c>
      <c r="C7" s="230">
        <v>5184.3653059479866</v>
      </c>
      <c r="D7" s="654"/>
      <c r="E7" s="231"/>
      <c r="F7" s="171"/>
      <c r="G7" s="232"/>
      <c r="H7" s="171"/>
      <c r="I7" s="232"/>
      <c r="J7" s="171"/>
    </row>
    <row r="8" spans="1:15">
      <c r="A8" s="234" t="s">
        <v>560</v>
      </c>
      <c r="B8" s="337">
        <v>1059915</v>
      </c>
      <c r="C8" s="236">
        <v>22644.440945553481</v>
      </c>
      <c r="D8" s="229">
        <f>C8/B8*1000000</f>
        <v>21364.393319797793</v>
      </c>
      <c r="E8" s="237"/>
      <c r="F8" s="238"/>
      <c r="G8" s="239"/>
      <c r="H8" s="238"/>
      <c r="I8" s="239"/>
      <c r="J8" s="238"/>
    </row>
    <row r="9" spans="1:15">
      <c r="A9" s="21" t="s">
        <v>370</v>
      </c>
      <c r="B9" s="338"/>
      <c r="C9" s="240"/>
      <c r="D9" s="223"/>
      <c r="E9" s="224">
        <f>D10*8</f>
        <v>50609.401623263759</v>
      </c>
      <c r="F9" s="225">
        <f>D10*10</f>
        <v>63261.752029079697</v>
      </c>
      <c r="G9" s="226">
        <f>D10*12</f>
        <v>75914.102434895642</v>
      </c>
      <c r="H9" s="225">
        <f>D10*12+(D11+D13)/2</f>
        <v>87833.025354526646</v>
      </c>
      <c r="I9" s="226">
        <f>D10*12+D11*2</f>
        <v>92833.216531551254</v>
      </c>
      <c r="J9" s="225">
        <f>D10*12+D13*5</f>
        <v>152805.54638956662</v>
      </c>
    </row>
    <row r="10" spans="1:15">
      <c r="A10" s="228" t="s">
        <v>558</v>
      </c>
      <c r="B10" s="336">
        <v>71945</v>
      </c>
      <c r="C10" s="230">
        <v>455.13667497321387</v>
      </c>
      <c r="D10" s="229">
        <f>C10/B10*1000000</f>
        <v>6326.1752029079698</v>
      </c>
      <c r="E10" s="231"/>
      <c r="F10" s="171"/>
      <c r="G10" s="232"/>
      <c r="H10" s="171"/>
      <c r="I10" s="232"/>
      <c r="J10" s="171"/>
    </row>
    <row r="11" spans="1:15">
      <c r="A11" s="228" t="s">
        <v>794</v>
      </c>
      <c r="B11" s="336">
        <v>7805</v>
      </c>
      <c r="C11" s="230">
        <v>117.09663974037156</v>
      </c>
      <c r="D11" s="654">
        <f>(C12+C11)/(B12+B11)*1000000</f>
        <v>8459.5570483278079</v>
      </c>
      <c r="E11" s="231"/>
      <c r="F11" s="171"/>
      <c r="G11" s="232"/>
      <c r="H11" s="171"/>
      <c r="I11" s="232"/>
      <c r="J11" s="171"/>
    </row>
    <row r="12" spans="1:15">
      <c r="A12" s="228" t="s">
        <v>559</v>
      </c>
      <c r="B12" s="336">
        <v>8973</v>
      </c>
      <c r="C12" s="230">
        <v>24.837808416472406</v>
      </c>
      <c r="D12" s="654"/>
      <c r="E12" s="231"/>
      <c r="F12" s="171"/>
      <c r="G12" s="232"/>
      <c r="H12" s="171"/>
      <c r="I12" s="232"/>
      <c r="J12" s="171"/>
    </row>
    <row r="13" spans="1:15">
      <c r="A13" s="234" t="s">
        <v>560</v>
      </c>
      <c r="B13" s="337">
        <v>17811</v>
      </c>
      <c r="C13" s="236">
        <v>273.902701655329</v>
      </c>
      <c r="D13" s="235">
        <f>C13/B13*1000000</f>
        <v>15378.288790934197</v>
      </c>
      <c r="E13" s="237"/>
      <c r="F13" s="238"/>
      <c r="G13" s="239"/>
      <c r="H13" s="238"/>
      <c r="I13" s="239"/>
      <c r="J13" s="238"/>
    </row>
    <row r="14" spans="1:15">
      <c r="A14" s="22" t="s">
        <v>371</v>
      </c>
      <c r="B14" s="336"/>
      <c r="C14" s="230"/>
      <c r="D14" s="229"/>
      <c r="E14" s="224">
        <f>D15*8</f>
        <v>61869.566425929588</v>
      </c>
      <c r="F14" s="225">
        <f>D15*10</f>
        <v>77336.958032411989</v>
      </c>
      <c r="G14" s="226">
        <f>D15*12</f>
        <v>92804.349638894375</v>
      </c>
      <c r="H14" s="225">
        <f>D15*12+(D16+D18)/2</f>
        <v>121983.82556157342</v>
      </c>
      <c r="I14" s="226">
        <f>D15*12+D16*2</f>
        <v>154755.40206046111</v>
      </c>
      <c r="J14" s="225">
        <f>D15*12+D18*5</f>
        <v>229721.47781176801</v>
      </c>
    </row>
    <row r="15" spans="1:15">
      <c r="A15" s="228" t="s">
        <v>558</v>
      </c>
      <c r="B15" s="336">
        <v>21365</v>
      </c>
      <c r="C15" s="230">
        <v>165.23041083624821</v>
      </c>
      <c r="D15" s="229">
        <f>C15/B15*1000000</f>
        <v>7733.6958032411985</v>
      </c>
      <c r="E15" s="231"/>
      <c r="F15" s="171"/>
      <c r="G15" s="232"/>
      <c r="H15" s="171"/>
      <c r="I15" s="232"/>
      <c r="J15" s="171"/>
    </row>
    <row r="16" spans="1:15">
      <c r="A16" s="228" t="s">
        <v>794</v>
      </c>
      <c r="B16" s="336">
        <v>610</v>
      </c>
      <c r="C16" s="230">
        <v>26.870423281605596</v>
      </c>
      <c r="D16" s="654">
        <f>(C17+C16)/(B17+B16)*1000000</f>
        <v>30975.52621078337</v>
      </c>
      <c r="E16" s="231"/>
      <c r="F16" s="171"/>
      <c r="G16" s="232"/>
      <c r="H16" s="171"/>
      <c r="I16" s="232"/>
      <c r="J16" s="171"/>
      <c r="K16" s="333"/>
    </row>
    <row r="17" spans="1:11">
      <c r="A17" s="228" t="s">
        <v>559</v>
      </c>
      <c r="B17" s="336">
        <v>1557</v>
      </c>
      <c r="C17" s="230">
        <v>40.253542017161962</v>
      </c>
      <c r="D17" s="654"/>
      <c r="E17" s="231"/>
      <c r="F17" s="171"/>
      <c r="G17" s="232"/>
      <c r="H17" s="171"/>
      <c r="I17" s="232"/>
      <c r="J17" s="171"/>
      <c r="K17" s="333"/>
    </row>
    <row r="18" spans="1:11">
      <c r="A18" s="234" t="s">
        <v>560</v>
      </c>
      <c r="B18" s="337">
        <v>3999</v>
      </c>
      <c r="C18" s="236">
        <v>109.50631911266433</v>
      </c>
      <c r="D18" s="235">
        <f>C18/B18*1000000</f>
        <v>27383.425634574727</v>
      </c>
      <c r="E18" s="237"/>
      <c r="F18" s="238"/>
      <c r="G18" s="239"/>
      <c r="H18" s="238"/>
      <c r="I18" s="239"/>
      <c r="J18" s="238"/>
    </row>
    <row r="19" spans="1:11">
      <c r="A19" s="22" t="s">
        <v>372</v>
      </c>
      <c r="B19" s="336"/>
      <c r="C19" s="230"/>
      <c r="D19" s="229"/>
      <c r="E19" s="224">
        <f>D20*8</f>
        <v>60677.083530666925</v>
      </c>
      <c r="F19" s="225">
        <f>D20*10</f>
        <v>75846.354413333655</v>
      </c>
      <c r="G19" s="226">
        <f>D20*12</f>
        <v>91015.625296000391</v>
      </c>
      <c r="H19" s="225">
        <f>D20*12+(D21+D23)/2</f>
        <v>106646.26777263818</v>
      </c>
      <c r="I19" s="226">
        <f>D20*12+D21*2</f>
        <v>117594.48952680452</v>
      </c>
      <c r="J19" s="225">
        <f>D20*12+D23*5</f>
        <v>180874.88948536804</v>
      </c>
    </row>
    <row r="20" spans="1:11">
      <c r="A20" s="228" t="s">
        <v>558</v>
      </c>
      <c r="B20" s="336">
        <v>138661</v>
      </c>
      <c r="C20" s="230">
        <v>1051.6931349307258</v>
      </c>
      <c r="D20" s="229">
        <f>C20/B20*1000000</f>
        <v>7584.6354413333656</v>
      </c>
      <c r="E20" s="231"/>
      <c r="F20" s="171"/>
      <c r="G20" s="232"/>
      <c r="H20" s="171"/>
      <c r="I20" s="232"/>
      <c r="J20" s="171"/>
    </row>
    <row r="21" spans="1:11">
      <c r="A21" s="228" t="s">
        <v>794</v>
      </c>
      <c r="B21" s="336">
        <v>5400</v>
      </c>
      <c r="C21" s="230">
        <v>67.566029906153702</v>
      </c>
      <c r="D21" s="654">
        <f>(C22+C21)/(B22+B21)*1000000</f>
        <v>13289.432115402064</v>
      </c>
      <c r="E21" s="231"/>
      <c r="F21" s="171"/>
      <c r="G21" s="232"/>
      <c r="H21" s="171"/>
      <c r="I21" s="232"/>
      <c r="J21" s="171"/>
    </row>
    <row r="22" spans="1:11">
      <c r="A22" s="228" t="s">
        <v>559</v>
      </c>
      <c r="B22" s="336">
        <v>8550</v>
      </c>
      <c r="C22" s="230">
        <v>117.82154810370506</v>
      </c>
      <c r="D22" s="654"/>
      <c r="E22" s="231"/>
      <c r="F22" s="171"/>
      <c r="G22" s="232"/>
      <c r="H22" s="171"/>
      <c r="I22" s="232"/>
      <c r="J22" s="171"/>
    </row>
    <row r="23" spans="1:11">
      <c r="A23" s="234" t="s">
        <v>560</v>
      </c>
      <c r="B23" s="337">
        <v>42459</v>
      </c>
      <c r="C23" s="236">
        <v>763.06689964327222</v>
      </c>
      <c r="D23" s="235">
        <f>C23/B23*1000000</f>
        <v>17971.852837873532</v>
      </c>
      <c r="E23" s="237"/>
      <c r="F23" s="238"/>
      <c r="G23" s="239"/>
      <c r="H23" s="238"/>
      <c r="I23" s="239"/>
      <c r="J23" s="238"/>
    </row>
    <row r="24" spans="1:11">
      <c r="A24" s="22" t="s">
        <v>373</v>
      </c>
      <c r="B24" s="336"/>
      <c r="C24" s="230"/>
      <c r="D24" s="229"/>
      <c r="E24" s="224">
        <f>D25*8</f>
        <v>71963.634842777814</v>
      </c>
      <c r="F24" s="225">
        <f>D25*10</f>
        <v>89954.543553472264</v>
      </c>
      <c r="G24" s="226">
        <f>D25*12</f>
        <v>107945.45226416673</v>
      </c>
      <c r="H24" s="225">
        <f>D25*12+(D26+D28)/2</f>
        <v>126916.08787751521</v>
      </c>
      <c r="I24" s="226">
        <f>D25*12+D26*2</f>
        <v>144455.79412013973</v>
      </c>
      <c r="J24" s="225">
        <f>D25*12+D28*5</f>
        <v>206375.95375771908</v>
      </c>
    </row>
    <row r="25" spans="1:11">
      <c r="A25" s="228" t="s">
        <v>558</v>
      </c>
      <c r="B25" s="336">
        <v>112013</v>
      </c>
      <c r="C25" s="230">
        <v>1007.6078287055091</v>
      </c>
      <c r="D25" s="229">
        <f>C25/B25*1000000</f>
        <v>8995.4543553472267</v>
      </c>
      <c r="E25" s="231"/>
      <c r="F25" s="171"/>
      <c r="G25" s="232"/>
      <c r="H25" s="171"/>
      <c r="I25" s="232"/>
      <c r="J25" s="171"/>
    </row>
    <row r="26" spans="1:11">
      <c r="A26" s="228" t="s">
        <v>794</v>
      </c>
      <c r="B26" s="336">
        <v>4385</v>
      </c>
      <c r="C26" s="230">
        <v>144.4181086989814</v>
      </c>
      <c r="D26" s="654">
        <f>(C27+C26)/(B27+B26)*1000000</f>
        <v>18255.170927986495</v>
      </c>
      <c r="E26" s="231"/>
      <c r="F26" s="171"/>
      <c r="G26" s="232"/>
      <c r="H26" s="171"/>
      <c r="I26" s="232"/>
      <c r="J26" s="171"/>
    </row>
    <row r="27" spans="1:11">
      <c r="A27" s="228" t="s">
        <v>559</v>
      </c>
      <c r="B27" s="336">
        <v>6972</v>
      </c>
      <c r="C27" s="230">
        <v>62.905867530161203</v>
      </c>
      <c r="D27" s="654"/>
      <c r="E27" s="231"/>
      <c r="F27" s="171"/>
      <c r="G27" s="232"/>
      <c r="H27" s="171"/>
      <c r="I27" s="232"/>
      <c r="J27" s="171"/>
    </row>
    <row r="28" spans="1:11">
      <c r="A28" s="234" t="s">
        <v>560</v>
      </c>
      <c r="B28" s="337">
        <v>23754</v>
      </c>
      <c r="C28" s="236">
        <v>467.62362649556849</v>
      </c>
      <c r="D28" s="235">
        <f>C28/B28*1000000</f>
        <v>19686.100298710469</v>
      </c>
      <c r="E28" s="237"/>
      <c r="F28" s="238"/>
      <c r="G28" s="239"/>
      <c r="H28" s="238"/>
      <c r="I28" s="239"/>
      <c r="J28" s="238"/>
    </row>
    <row r="29" spans="1:11">
      <c r="A29" s="22" t="s">
        <v>561</v>
      </c>
      <c r="B29" s="336"/>
      <c r="C29" s="230"/>
      <c r="D29" s="229"/>
      <c r="E29" s="224">
        <f>D30*8</f>
        <v>74428.204731483536</v>
      </c>
      <c r="F29" s="225">
        <f>D30*10</f>
        <v>93035.25591435442</v>
      </c>
      <c r="G29" s="226">
        <f>D30*12</f>
        <v>111642.3070972253</v>
      </c>
      <c r="H29" s="225">
        <f>D30*12+(D31+D33)/2</f>
        <v>128531.09673568403</v>
      </c>
      <c r="I29" s="226">
        <f>D30*12+D31*2</f>
        <v>136233.29955050856</v>
      </c>
      <c r="J29" s="225">
        <f>D30*12+D33*5</f>
        <v>219052.72234860429</v>
      </c>
    </row>
    <row r="30" spans="1:11">
      <c r="A30" s="228" t="s">
        <v>558</v>
      </c>
      <c r="B30" s="336">
        <v>1033868</v>
      </c>
      <c r="C30" s="230">
        <v>9618.6173961661771</v>
      </c>
      <c r="D30" s="229">
        <f>C30/B30*1000000</f>
        <v>9303.525591435442</v>
      </c>
      <c r="E30" s="231"/>
      <c r="F30" s="171"/>
      <c r="G30" s="232"/>
      <c r="H30" s="171"/>
      <c r="I30" s="232"/>
      <c r="J30" s="171"/>
    </row>
    <row r="31" spans="1:11">
      <c r="A31" s="228" t="s">
        <v>794</v>
      </c>
      <c r="B31" s="336">
        <v>67960</v>
      </c>
      <c r="C31" s="230">
        <v>1242.1517543020607</v>
      </c>
      <c r="D31" s="654">
        <f>(C32+C31)/(B32+B31)*1000000</f>
        <v>12295.496226641633</v>
      </c>
      <c r="E31" s="231"/>
      <c r="F31" s="171"/>
      <c r="G31" s="232"/>
      <c r="H31" s="171"/>
      <c r="I31" s="232"/>
      <c r="J31" s="171"/>
    </row>
    <row r="32" spans="1:11">
      <c r="A32" s="228" t="s">
        <v>559</v>
      </c>
      <c r="B32" s="336">
        <v>188064</v>
      </c>
      <c r="C32" s="230">
        <v>1905.7903716276369</v>
      </c>
      <c r="D32" s="654"/>
      <c r="E32" s="231"/>
      <c r="F32" s="171"/>
      <c r="G32" s="232"/>
      <c r="H32" s="171"/>
      <c r="I32" s="232"/>
      <c r="J32" s="171"/>
    </row>
    <row r="33" spans="1:10">
      <c r="A33" s="234" t="s">
        <v>560</v>
      </c>
      <c r="B33" s="337">
        <v>266712</v>
      </c>
      <c r="C33" s="236">
        <v>5729.5293345051587</v>
      </c>
      <c r="D33" s="235">
        <f>C33/B33*1000000</f>
        <v>21482.083050275796</v>
      </c>
      <c r="E33" s="237"/>
      <c r="F33" s="238"/>
      <c r="G33" s="239"/>
      <c r="H33" s="238"/>
      <c r="I33" s="239"/>
      <c r="J33" s="238"/>
    </row>
    <row r="34" spans="1:10">
      <c r="A34" s="22" t="s">
        <v>375</v>
      </c>
      <c r="B34" s="336"/>
      <c r="C34" s="230"/>
      <c r="D34" s="229"/>
      <c r="E34" s="224">
        <f>D35*8</f>
        <v>79523.849211162742</v>
      </c>
      <c r="F34" s="225">
        <f>D35*10</f>
        <v>99404.811513953435</v>
      </c>
      <c r="G34" s="226">
        <f>D35*12</f>
        <v>119285.77381674411</v>
      </c>
      <c r="H34" s="225">
        <f>D35*12+(D36+D38)/2</f>
        <v>134203.48841053521</v>
      </c>
      <c r="I34" s="226">
        <f>D35*12+D36*2</f>
        <v>136725.86091219302</v>
      </c>
      <c r="J34" s="225">
        <f>D35*12+D38*5</f>
        <v>224862.70201603265</v>
      </c>
    </row>
    <row r="35" spans="1:10">
      <c r="A35" s="228" t="s">
        <v>558</v>
      </c>
      <c r="B35" s="336">
        <v>1991161</v>
      </c>
      <c r="C35" s="230">
        <v>19793.098389893505</v>
      </c>
      <c r="D35" s="229">
        <f>C35/B35*1000000</f>
        <v>9940.4811513953427</v>
      </c>
      <c r="E35" s="231"/>
      <c r="F35" s="171"/>
      <c r="G35" s="232"/>
      <c r="H35" s="171"/>
      <c r="I35" s="232"/>
      <c r="J35" s="171"/>
    </row>
    <row r="36" spans="1:10">
      <c r="A36" s="228" t="s">
        <v>794</v>
      </c>
      <c r="B36" s="336">
        <v>112185</v>
      </c>
      <c r="C36" s="230">
        <v>1049.599653968434</v>
      </c>
      <c r="D36" s="654">
        <f>(C37+C36)/(B37+B36)*1000000</f>
        <v>8720.043547724461</v>
      </c>
      <c r="E36" s="231"/>
      <c r="F36" s="171"/>
      <c r="G36" s="232"/>
      <c r="H36" s="171"/>
      <c r="I36" s="232"/>
      <c r="J36" s="171"/>
    </row>
    <row r="37" spans="1:10">
      <c r="A37" s="228" t="s">
        <v>559</v>
      </c>
      <c r="B37" s="336">
        <v>215496</v>
      </c>
      <c r="C37" s="230">
        <v>1807.7929357934654</v>
      </c>
      <c r="D37" s="654"/>
      <c r="E37" s="231"/>
      <c r="F37" s="171"/>
      <c r="G37" s="232"/>
      <c r="H37" s="171"/>
      <c r="I37" s="232"/>
      <c r="J37" s="171"/>
    </row>
    <row r="38" spans="1:10">
      <c r="A38" s="234" t="s">
        <v>560</v>
      </c>
      <c r="B38" s="337">
        <v>441360</v>
      </c>
      <c r="C38" s="236">
        <v>9319.4866060075983</v>
      </c>
      <c r="D38" s="235">
        <f>C38/B38*1000000</f>
        <v>21115.385639857708</v>
      </c>
      <c r="E38" s="237"/>
      <c r="F38" s="238"/>
      <c r="G38" s="239"/>
      <c r="H38" s="238"/>
      <c r="I38" s="239"/>
      <c r="J38" s="238"/>
    </row>
    <row r="39" spans="1:10">
      <c r="A39" s="22" t="s">
        <v>376</v>
      </c>
      <c r="B39" s="336"/>
      <c r="C39" s="230"/>
      <c r="D39" s="229"/>
      <c r="E39" s="224">
        <f>D40*8</f>
        <v>94620.866038910739</v>
      </c>
      <c r="F39" s="225">
        <f>D40*10</f>
        <v>118276.08254863843</v>
      </c>
      <c r="G39" s="226">
        <f>D40*12</f>
        <v>141931.2990583661</v>
      </c>
      <c r="H39" s="225">
        <f>D40*12+(D41+D43)/2</f>
        <v>161750.66442216013</v>
      </c>
      <c r="I39" s="226">
        <f>D40*12+D41*2</f>
        <v>183293.95418249283</v>
      </c>
      <c r="J39" s="225">
        <f>D40*12+D43*5</f>
        <v>236718.31488598959</v>
      </c>
    </row>
    <row r="40" spans="1:10">
      <c r="A40" s="228" t="s">
        <v>558</v>
      </c>
      <c r="B40" s="336">
        <v>174106.5</v>
      </c>
      <c r="C40" s="230">
        <v>2059.2634766254514</v>
      </c>
      <c r="D40" s="229">
        <f>C40/B40*1000000</f>
        <v>11827.608254863842</v>
      </c>
      <c r="E40" s="231"/>
      <c r="F40" s="171"/>
      <c r="G40" s="232"/>
      <c r="H40" s="171"/>
      <c r="I40" s="232"/>
      <c r="J40" s="171"/>
    </row>
    <row r="41" spans="1:10">
      <c r="A41" s="228" t="s">
        <v>794</v>
      </c>
      <c r="B41" s="336">
        <v>7250</v>
      </c>
      <c r="C41" s="230">
        <v>226.76914412330808</v>
      </c>
      <c r="D41" s="654">
        <f>(C42+C41)/(B42+B41)*1000000</f>
        <v>20681.327562063369</v>
      </c>
      <c r="E41" s="231"/>
      <c r="F41" s="171"/>
      <c r="G41" s="232"/>
      <c r="H41" s="171"/>
      <c r="I41" s="232"/>
      <c r="J41" s="171"/>
    </row>
    <row r="42" spans="1:10">
      <c r="A42" s="228" t="s">
        <v>559</v>
      </c>
      <c r="B42" s="336">
        <v>9051</v>
      </c>
      <c r="C42" s="230">
        <v>110.35717646588685</v>
      </c>
      <c r="D42" s="654"/>
      <c r="E42" s="231"/>
      <c r="F42" s="171"/>
      <c r="G42" s="232"/>
      <c r="H42" s="171"/>
      <c r="I42" s="232"/>
      <c r="J42" s="171"/>
    </row>
    <row r="43" spans="1:10">
      <c r="A43" s="234" t="s">
        <v>560</v>
      </c>
      <c r="B43" s="337">
        <v>40119</v>
      </c>
      <c r="C43" s="236">
        <v>760.55205759768535</v>
      </c>
      <c r="D43" s="235">
        <f>C43/B43*1000000</f>
        <v>18957.403165524698</v>
      </c>
      <c r="E43" s="237"/>
      <c r="F43" s="238"/>
      <c r="G43" s="239"/>
      <c r="H43" s="238"/>
      <c r="I43" s="239"/>
      <c r="J43" s="238"/>
    </row>
    <row r="44" spans="1:10">
      <c r="A44" s="22" t="s">
        <v>377</v>
      </c>
      <c r="B44" s="336"/>
      <c r="C44" s="230"/>
      <c r="D44" s="229"/>
      <c r="E44" s="224">
        <f>D45*8</f>
        <v>77047.915125688465</v>
      </c>
      <c r="F44" s="225">
        <f>D45*10</f>
        <v>96309.893907110585</v>
      </c>
      <c r="G44" s="226">
        <f>D45*12</f>
        <v>115571.87268853269</v>
      </c>
      <c r="H44" s="225">
        <f>D45*12+(D46+D48)/2</f>
        <v>144522.76265864633</v>
      </c>
      <c r="I44" s="226">
        <f>D45*12+D46*2</f>
        <v>160338.881302133</v>
      </c>
      <c r="J44" s="225">
        <f>D45*12+D48*5</f>
        <v>293163.25085566822</v>
      </c>
    </row>
    <row r="45" spans="1:10">
      <c r="A45" s="228" t="s">
        <v>558</v>
      </c>
      <c r="B45" s="336">
        <v>163362</v>
      </c>
      <c r="C45" s="230">
        <v>1573.3376888453399</v>
      </c>
      <c r="D45" s="229">
        <f>C45/B45*1000000</f>
        <v>9630.9893907110581</v>
      </c>
      <c r="E45" s="231"/>
      <c r="F45" s="171"/>
      <c r="G45" s="232"/>
      <c r="H45" s="171"/>
      <c r="I45" s="232"/>
      <c r="J45" s="171"/>
    </row>
    <row r="46" spans="1:10">
      <c r="A46" s="228" t="s">
        <v>794</v>
      </c>
      <c r="B46" s="336">
        <v>7915</v>
      </c>
      <c r="C46" s="230">
        <v>274.28835259279577</v>
      </c>
      <c r="D46" s="654">
        <f>(C47+C46)/(B47+B46)*1000000</f>
        <v>22383.504306800158</v>
      </c>
      <c r="E46" s="231"/>
      <c r="F46" s="171"/>
      <c r="G46" s="232"/>
      <c r="H46" s="171"/>
      <c r="I46" s="232"/>
      <c r="J46" s="171"/>
    </row>
    <row r="47" spans="1:10">
      <c r="A47" s="228" t="s">
        <v>559</v>
      </c>
      <c r="B47" s="336">
        <v>7341</v>
      </c>
      <c r="C47" s="230">
        <v>67.194389111747412</v>
      </c>
      <c r="D47" s="654"/>
      <c r="E47" s="231"/>
      <c r="F47" s="171"/>
      <c r="G47" s="232"/>
      <c r="H47" s="171"/>
      <c r="I47" s="232"/>
      <c r="J47" s="171"/>
    </row>
    <row r="48" spans="1:10">
      <c r="A48" s="234" t="s">
        <v>560</v>
      </c>
      <c r="B48" s="337">
        <v>20601</v>
      </c>
      <c r="C48" s="236">
        <v>731.7119963242319</v>
      </c>
      <c r="D48" s="235">
        <f>C48/B48*1000000</f>
        <v>35518.275633427111</v>
      </c>
      <c r="E48" s="237"/>
      <c r="F48" s="238"/>
      <c r="G48" s="239"/>
      <c r="H48" s="238"/>
      <c r="I48" s="239"/>
      <c r="J48" s="238"/>
    </row>
    <row r="49" spans="1:22">
      <c r="A49" s="21" t="s">
        <v>378</v>
      </c>
      <c r="B49" s="338"/>
      <c r="C49" s="240"/>
      <c r="D49" s="223"/>
      <c r="E49" s="224">
        <f>D50*8</f>
        <v>53195.820717514282</v>
      </c>
      <c r="F49" s="225">
        <f>D50*10</f>
        <v>66494.775896892854</v>
      </c>
      <c r="G49" s="226">
        <f>D50*12</f>
        <v>79793.731076271419</v>
      </c>
      <c r="H49" s="225">
        <f>D50*12+(D51+D53)/2</f>
        <v>92214.436707303699</v>
      </c>
      <c r="I49" s="226">
        <f>D50*12+D51*2</f>
        <v>95491.758192311652</v>
      </c>
      <c r="J49" s="225">
        <f>D50*12+D53*5</f>
        <v>164755.71959649361</v>
      </c>
    </row>
    <row r="50" spans="1:22">
      <c r="A50" s="228" t="s">
        <v>558</v>
      </c>
      <c r="B50" s="336">
        <v>540879.5</v>
      </c>
      <c r="C50" s="230">
        <v>3596.5661139723456</v>
      </c>
      <c r="D50" s="229">
        <f>C50/B50*1000000</f>
        <v>6649.4775896892852</v>
      </c>
      <c r="E50" s="231"/>
      <c r="F50" s="171"/>
      <c r="G50" s="232"/>
      <c r="H50" s="171"/>
      <c r="I50" s="232"/>
      <c r="J50" s="171"/>
    </row>
    <row r="51" spans="1:22">
      <c r="A51" s="228" t="s">
        <v>794</v>
      </c>
      <c r="B51" s="336">
        <v>73495</v>
      </c>
      <c r="C51" s="230">
        <v>529.36064222920925</v>
      </c>
      <c r="D51" s="654">
        <f>(C52+C51)/(B52+B51)*1000000</f>
        <v>7849.0135580201195</v>
      </c>
      <c r="E51" s="231"/>
      <c r="F51" s="171"/>
      <c r="G51" s="232"/>
      <c r="H51" s="171"/>
      <c r="I51" s="232"/>
      <c r="J51" s="171"/>
    </row>
    <row r="52" spans="1:22">
      <c r="A52" s="228" t="s">
        <v>559</v>
      </c>
      <c r="B52" s="336">
        <v>60507</v>
      </c>
      <c r="C52" s="230">
        <v>522.42287257260273</v>
      </c>
      <c r="D52" s="654"/>
      <c r="E52" s="231"/>
      <c r="F52" s="171"/>
      <c r="G52" s="232"/>
      <c r="H52" s="171"/>
      <c r="I52" s="232"/>
      <c r="J52" s="171"/>
    </row>
    <row r="53" spans="1:22">
      <c r="A53" s="234" t="s">
        <v>560</v>
      </c>
      <c r="B53" s="337">
        <v>94134</v>
      </c>
      <c r="C53" s="236">
        <v>1599.5623654725191</v>
      </c>
      <c r="D53" s="235">
        <f>C53/B53*1000000</f>
        <v>16992.397704044437</v>
      </c>
      <c r="E53" s="237"/>
      <c r="F53" s="238"/>
      <c r="G53" s="239"/>
      <c r="H53" s="238"/>
      <c r="I53" s="239"/>
      <c r="J53" s="238"/>
      <c r="K53" s="206" t="s">
        <v>1098</v>
      </c>
    </row>
    <row r="54" spans="1:22">
      <c r="A54" s="22" t="s">
        <v>379</v>
      </c>
      <c r="B54" s="336"/>
      <c r="C54" s="230"/>
      <c r="D54" s="229"/>
      <c r="E54" s="224">
        <f>D55*8</f>
        <v>77009.838167151713</v>
      </c>
      <c r="F54" s="225">
        <f>D55*10</f>
        <v>96262.297708939645</v>
      </c>
      <c r="G54" s="226">
        <f>D55*12</f>
        <v>115514.75725072756</v>
      </c>
      <c r="H54" s="225">
        <f>D55*12+(D56+D58)/2</f>
        <v>133724.7798272931</v>
      </c>
      <c r="I54" s="226">
        <f>D55*12+D56*2</f>
        <v>132392.44293670345</v>
      </c>
      <c r="J54" s="225">
        <f>D55*12+D58*5</f>
        <v>255420.76880144322</v>
      </c>
      <c r="K54" s="206" t="s">
        <v>321</v>
      </c>
      <c r="L54" s="206" t="s">
        <v>1093</v>
      </c>
      <c r="M54" s="206" t="s">
        <v>450</v>
      </c>
      <c r="N54" s="206" t="s">
        <v>451</v>
      </c>
      <c r="O54" s="206" t="s">
        <v>452</v>
      </c>
      <c r="P54" s="206" t="s">
        <v>453</v>
      </c>
      <c r="Q54" s="206" t="s">
        <v>1097</v>
      </c>
      <c r="R54" s="206" t="s">
        <v>1096</v>
      </c>
      <c r="S54" s="206" t="s">
        <v>1095</v>
      </c>
      <c r="T54" s="206" t="s">
        <v>1094</v>
      </c>
      <c r="U54" s="206" t="s">
        <v>458</v>
      </c>
      <c r="V54" s="206" t="s">
        <v>412</v>
      </c>
    </row>
    <row r="55" spans="1:22">
      <c r="A55" s="228" t="s">
        <v>558</v>
      </c>
      <c r="B55" s="336">
        <v>563939</v>
      </c>
      <c r="C55" s="230">
        <v>5428.606390768171</v>
      </c>
      <c r="D55" s="229">
        <f>C55/B55*1000000</f>
        <v>9626.2297708939641</v>
      </c>
      <c r="E55" s="231"/>
      <c r="F55" s="171"/>
      <c r="G55" s="232"/>
      <c r="H55" s="171"/>
      <c r="I55" s="232"/>
      <c r="J55" s="171"/>
      <c r="K55" s="13">
        <v>97.8</v>
      </c>
      <c r="L55" s="13">
        <v>99.4</v>
      </c>
      <c r="M55" s="13">
        <v>94.3</v>
      </c>
      <c r="N55" s="13">
        <v>97.7</v>
      </c>
      <c r="O55" s="13">
        <v>100.8</v>
      </c>
      <c r="P55" s="13">
        <v>96.8</v>
      </c>
      <c r="Q55" s="13">
        <v>96.8</v>
      </c>
      <c r="R55" s="13">
        <v>95.4</v>
      </c>
      <c r="S55" s="13">
        <v>97.2</v>
      </c>
      <c r="T55" s="13">
        <v>99.9</v>
      </c>
      <c r="U55" s="13">
        <v>99.1</v>
      </c>
      <c r="V55" s="366">
        <v>2000</v>
      </c>
    </row>
    <row r="56" spans="1:22">
      <c r="A56" s="228" t="s">
        <v>794</v>
      </c>
      <c r="B56" s="336">
        <v>40195</v>
      </c>
      <c r="C56" s="230">
        <v>700.63559529599831</v>
      </c>
      <c r="D56" s="654">
        <f>(C57+C56)/(B57+B56)*1000000</f>
        <v>8438.8428429879423</v>
      </c>
      <c r="E56" s="231"/>
      <c r="F56" s="171"/>
      <c r="G56" s="232"/>
      <c r="H56" s="171"/>
      <c r="I56" s="232"/>
      <c r="J56" s="171"/>
      <c r="K56" s="13">
        <v>98.9</v>
      </c>
      <c r="L56" s="13">
        <v>99.6</v>
      </c>
      <c r="M56" s="13">
        <v>97.1</v>
      </c>
      <c r="N56" s="13">
        <v>99.5</v>
      </c>
      <c r="O56" s="13">
        <v>102.2</v>
      </c>
      <c r="P56" s="13">
        <v>98.2</v>
      </c>
      <c r="Q56" s="13">
        <v>97.9</v>
      </c>
      <c r="R56" s="13">
        <v>97.7</v>
      </c>
      <c r="S56" s="13">
        <v>96.1</v>
      </c>
      <c r="T56" s="13">
        <v>102.6</v>
      </c>
      <c r="U56" s="13">
        <v>100.1</v>
      </c>
      <c r="V56" s="366">
        <f>V55+1</f>
        <v>2001</v>
      </c>
    </row>
    <row r="57" spans="1:22">
      <c r="A57" s="228" t="s">
        <v>559</v>
      </c>
      <c r="B57" s="336">
        <v>101508</v>
      </c>
      <c r="C57" s="230">
        <v>495.17375208392218</v>
      </c>
      <c r="D57" s="654"/>
      <c r="E57" s="231"/>
      <c r="F57" s="171"/>
      <c r="G57" s="232"/>
      <c r="H57" s="171"/>
      <c r="I57" s="232"/>
      <c r="J57" s="171"/>
      <c r="K57" s="13">
        <v>100</v>
      </c>
      <c r="L57" s="13">
        <v>100</v>
      </c>
      <c r="M57" s="13">
        <v>100</v>
      </c>
      <c r="N57" s="13">
        <v>100</v>
      </c>
      <c r="O57" s="13">
        <v>100</v>
      </c>
      <c r="P57" s="13">
        <v>100</v>
      </c>
      <c r="Q57" s="13">
        <v>100</v>
      </c>
      <c r="R57" s="13">
        <v>100</v>
      </c>
      <c r="S57" s="13">
        <v>100</v>
      </c>
      <c r="T57" s="13">
        <v>100</v>
      </c>
      <c r="U57" s="13">
        <v>100</v>
      </c>
      <c r="V57" s="366">
        <f t="shared" ref="V57:V63" si="0">V56+1</f>
        <v>2002</v>
      </c>
    </row>
    <row r="58" spans="1:22">
      <c r="A58" s="234" t="s">
        <v>560</v>
      </c>
      <c r="B58" s="337">
        <v>108960</v>
      </c>
      <c r="C58" s="236">
        <v>3048.8318037131953</v>
      </c>
      <c r="D58" s="235">
        <f>C58/B58*1000000</f>
        <v>27981.20231014313</v>
      </c>
      <c r="E58" s="237"/>
      <c r="F58" s="238"/>
      <c r="G58" s="239"/>
      <c r="H58" s="238"/>
      <c r="I58" s="239"/>
      <c r="J58" s="238"/>
      <c r="K58" s="13">
        <v>103.3</v>
      </c>
      <c r="L58" s="13">
        <v>104</v>
      </c>
      <c r="M58" s="13">
        <v>100.5</v>
      </c>
      <c r="N58" s="13">
        <v>105.1</v>
      </c>
      <c r="O58" s="13">
        <v>102.8</v>
      </c>
      <c r="P58" s="13">
        <v>102.6</v>
      </c>
      <c r="Q58" s="13">
        <v>101.8</v>
      </c>
      <c r="R58" s="13">
        <v>101.1</v>
      </c>
      <c r="S58" s="13">
        <v>102</v>
      </c>
      <c r="T58" s="13">
        <v>109.5</v>
      </c>
      <c r="U58" s="13">
        <v>103</v>
      </c>
      <c r="V58" s="366">
        <f t="shared" si="0"/>
        <v>2003</v>
      </c>
    </row>
    <row r="59" spans="1:22">
      <c r="A59" s="216"/>
      <c r="B59" s="334"/>
      <c r="C59" s="216"/>
      <c r="D59" s="216"/>
      <c r="E59" s="216"/>
      <c r="F59" s="216"/>
      <c r="G59" s="216"/>
      <c r="H59" s="216"/>
      <c r="I59" s="216"/>
      <c r="J59" s="216"/>
      <c r="K59" s="13">
        <v>106.6</v>
      </c>
      <c r="L59" s="13">
        <v>112.8</v>
      </c>
      <c r="M59" s="13">
        <v>102.7</v>
      </c>
      <c r="N59" s="13">
        <v>107.7</v>
      </c>
      <c r="O59" s="13">
        <v>105.8</v>
      </c>
      <c r="P59" s="13">
        <v>104.7</v>
      </c>
      <c r="Q59" s="13">
        <v>103.9</v>
      </c>
      <c r="R59" s="13">
        <v>105</v>
      </c>
      <c r="S59" s="13">
        <v>108.1</v>
      </c>
      <c r="T59" s="13">
        <v>116</v>
      </c>
      <c r="U59" s="13">
        <v>107.6</v>
      </c>
      <c r="V59" s="366">
        <f>V58+1</f>
        <v>2004</v>
      </c>
    </row>
    <row r="60" spans="1:22" ht="27" customHeight="1">
      <c r="A60" s="648" t="s">
        <v>1105</v>
      </c>
      <c r="B60" s="648"/>
      <c r="C60" s="648"/>
      <c r="D60" s="648"/>
      <c r="E60" s="648"/>
      <c r="F60" s="648"/>
      <c r="G60" s="648"/>
      <c r="H60" s="648"/>
      <c r="I60" s="648"/>
      <c r="J60" s="648"/>
      <c r="K60" s="13">
        <v>110.1</v>
      </c>
      <c r="L60" s="13">
        <v>124.8</v>
      </c>
      <c r="M60" s="13">
        <v>104.5</v>
      </c>
      <c r="N60" s="13">
        <v>111.4</v>
      </c>
      <c r="O60" s="13">
        <v>109.2</v>
      </c>
      <c r="P60" s="13">
        <v>106.5</v>
      </c>
      <c r="Q60" s="13">
        <v>105.3</v>
      </c>
      <c r="R60" s="13">
        <v>107.3</v>
      </c>
      <c r="S60" s="13">
        <v>113.1</v>
      </c>
      <c r="T60" s="13">
        <v>128.6</v>
      </c>
      <c r="U60" s="13">
        <v>110.5</v>
      </c>
      <c r="V60" s="366">
        <f t="shared" si="0"/>
        <v>2005</v>
      </c>
    </row>
    <row r="61" spans="1:22" ht="12" customHeight="1">
      <c r="A61" s="339" t="s">
        <v>1092</v>
      </c>
      <c r="B61" s="331"/>
      <c r="C61" s="331"/>
      <c r="D61" s="331"/>
      <c r="E61" s="331"/>
      <c r="F61" s="331"/>
      <c r="G61" s="331"/>
      <c r="H61" s="331"/>
      <c r="I61" s="331"/>
      <c r="J61" s="331"/>
      <c r="K61" s="13">
        <v>113</v>
      </c>
      <c r="L61" s="13">
        <v>143.80000000000001</v>
      </c>
      <c r="M61" s="13">
        <v>105.8</v>
      </c>
      <c r="N61" s="13">
        <v>112.3</v>
      </c>
      <c r="O61" s="13">
        <v>111.5</v>
      </c>
      <c r="P61" s="13">
        <v>108.6</v>
      </c>
      <c r="Q61" s="13">
        <v>107.2</v>
      </c>
      <c r="R61" s="13">
        <v>112.4</v>
      </c>
      <c r="S61" s="13">
        <v>119.2</v>
      </c>
      <c r="T61" s="13">
        <v>132.1</v>
      </c>
      <c r="U61" s="13">
        <v>114.1</v>
      </c>
      <c r="V61" s="366">
        <f t="shared" si="0"/>
        <v>2006</v>
      </c>
    </row>
    <row r="62" spans="1:22">
      <c r="A62" s="216" t="s">
        <v>1090</v>
      </c>
      <c r="B62" s="334"/>
      <c r="C62" s="216"/>
      <c r="D62" s="216"/>
      <c r="E62" s="216"/>
      <c r="F62" s="216"/>
      <c r="G62" s="216"/>
      <c r="H62" s="216"/>
      <c r="I62" s="216"/>
      <c r="J62" s="216"/>
      <c r="K62" s="13">
        <v>116.7</v>
      </c>
      <c r="L62" s="13">
        <v>147.80000000000001</v>
      </c>
      <c r="M62" s="13">
        <v>109.5</v>
      </c>
      <c r="N62" s="13">
        <v>115.4</v>
      </c>
      <c r="O62" s="13">
        <v>115.4</v>
      </c>
      <c r="P62" s="13">
        <v>111.4</v>
      </c>
      <c r="Q62" s="13">
        <v>109.5</v>
      </c>
      <c r="R62" s="13">
        <v>118.6</v>
      </c>
      <c r="S62" s="13">
        <v>128.4</v>
      </c>
      <c r="T62" s="13">
        <v>139</v>
      </c>
      <c r="U62" s="13">
        <v>116.8</v>
      </c>
      <c r="V62" s="366">
        <f t="shared" si="0"/>
        <v>2007</v>
      </c>
    </row>
    <row r="63" spans="1:22">
      <c r="A63" s="216" t="s">
        <v>1089</v>
      </c>
      <c r="B63" s="334"/>
      <c r="C63" s="216"/>
      <c r="D63" s="216"/>
      <c r="E63" s="216"/>
      <c r="F63" s="216"/>
      <c r="G63" s="216"/>
      <c r="H63" s="216"/>
      <c r="I63" s="216"/>
      <c r="J63" s="216"/>
      <c r="K63" s="13">
        <v>121.4</v>
      </c>
      <c r="L63" s="13">
        <v>156.9</v>
      </c>
      <c r="M63" s="13">
        <v>111.6</v>
      </c>
      <c r="N63" s="13">
        <v>117.5</v>
      </c>
      <c r="O63" s="13">
        <v>117</v>
      </c>
      <c r="P63" s="13">
        <v>112.8</v>
      </c>
      <c r="Q63" s="13">
        <v>110.6</v>
      </c>
      <c r="R63" s="13">
        <v>121.4</v>
      </c>
      <c r="S63" s="13">
        <v>157.9</v>
      </c>
      <c r="T63" s="13">
        <v>156.30000000000001</v>
      </c>
      <c r="U63" s="13">
        <v>119.9</v>
      </c>
      <c r="V63" s="366">
        <f t="shared" si="0"/>
        <v>2008</v>
      </c>
    </row>
    <row r="64" spans="1:22">
      <c r="A64" s="216" t="s">
        <v>1091</v>
      </c>
      <c r="B64" s="334"/>
      <c r="C64" s="216"/>
      <c r="D64" s="216"/>
      <c r="E64" s="241"/>
      <c r="F64" s="241"/>
      <c r="G64" s="241"/>
      <c r="H64" s="241"/>
      <c r="I64" s="241"/>
      <c r="J64" s="241"/>
      <c r="V64" s="206"/>
    </row>
    <row r="65" spans="1:22">
      <c r="A65" s="216" t="s">
        <v>1088</v>
      </c>
      <c r="B65" s="334"/>
      <c r="C65" s="216"/>
      <c r="D65" s="216"/>
      <c r="E65" s="241"/>
      <c r="F65" s="241"/>
      <c r="G65" s="241"/>
      <c r="H65" s="241"/>
      <c r="I65" s="241"/>
      <c r="J65" s="241"/>
      <c r="V65" s="206"/>
    </row>
    <row r="66" spans="1:22" ht="27" customHeight="1">
      <c r="A66" s="648" t="s">
        <v>1107</v>
      </c>
      <c r="B66" s="648"/>
      <c r="C66" s="648"/>
      <c r="D66" s="648"/>
      <c r="E66" s="648"/>
      <c r="F66" s="648"/>
      <c r="G66" s="648"/>
      <c r="H66" s="648"/>
      <c r="I66" s="648"/>
      <c r="J66" s="648"/>
      <c r="V66" s="206"/>
    </row>
    <row r="67" spans="1:22">
      <c r="A67" s="648" t="s">
        <v>1106</v>
      </c>
      <c r="B67" s="648"/>
      <c r="C67" s="648"/>
      <c r="D67" s="648"/>
      <c r="E67" s="648"/>
      <c r="F67" s="648"/>
      <c r="G67" s="648"/>
      <c r="H67" s="648"/>
      <c r="I67" s="648"/>
      <c r="J67" s="648"/>
      <c r="V67" s="206"/>
    </row>
    <row r="68" spans="1:22">
      <c r="A68" s="216"/>
      <c r="B68" s="334"/>
      <c r="C68" s="216"/>
      <c r="D68" s="216"/>
      <c r="E68" s="241"/>
      <c r="F68" s="241"/>
      <c r="G68" s="241"/>
      <c r="H68" s="241"/>
      <c r="I68" s="241"/>
      <c r="J68" s="241"/>
      <c r="V68" s="206"/>
    </row>
    <row r="69" spans="1:22">
      <c r="A69" s="361" t="s">
        <v>1104</v>
      </c>
      <c r="B69" s="334"/>
      <c r="C69" s="216"/>
      <c r="D69" s="216"/>
      <c r="E69" s="216"/>
      <c r="F69" s="216"/>
      <c r="G69" s="216"/>
      <c r="H69" s="216"/>
      <c r="I69" s="216"/>
      <c r="J69" s="216"/>
      <c r="K69">
        <f t="shared" ref="K69:U69" si="1">(K57-K62)/K57</f>
        <v>-0.16700000000000004</v>
      </c>
      <c r="L69">
        <f t="shared" si="1"/>
        <v>-0.47800000000000009</v>
      </c>
      <c r="M69">
        <f t="shared" si="1"/>
        <v>-9.5000000000000001E-2</v>
      </c>
      <c r="N69">
        <f t="shared" si="1"/>
        <v>-0.15400000000000005</v>
      </c>
      <c r="O69">
        <f t="shared" si="1"/>
        <v>-0.15400000000000005</v>
      </c>
      <c r="P69">
        <f t="shared" si="1"/>
        <v>-0.11400000000000006</v>
      </c>
      <c r="Q69">
        <f t="shared" si="1"/>
        <v>-9.5000000000000001E-2</v>
      </c>
      <c r="R69">
        <f t="shared" si="1"/>
        <v>-0.18599999999999994</v>
      </c>
      <c r="S69">
        <f t="shared" si="1"/>
        <v>-0.28400000000000003</v>
      </c>
      <c r="T69">
        <f t="shared" si="1"/>
        <v>-0.39</v>
      </c>
      <c r="U69">
        <f t="shared" si="1"/>
        <v>-0.16799999999999998</v>
      </c>
    </row>
    <row r="70" spans="1:22">
      <c r="A70" s="361" t="s">
        <v>1082</v>
      </c>
    </row>
    <row r="71" spans="1:22" ht="13.5" thickBot="1">
      <c r="A71" s="361" t="s">
        <v>1084</v>
      </c>
      <c r="K71" s="206" t="s">
        <v>1085</v>
      </c>
      <c r="U71">
        <v>57</v>
      </c>
    </row>
    <row r="72" spans="1:22" ht="22.5">
      <c r="A72" s="340"/>
      <c r="B72" s="653" t="s">
        <v>1062</v>
      </c>
      <c r="C72" s="653"/>
      <c r="D72" s="341" t="s">
        <v>1063</v>
      </c>
      <c r="E72" s="341" t="s">
        <v>1064</v>
      </c>
      <c r="F72" s="341" t="s">
        <v>560</v>
      </c>
      <c r="G72" s="341" t="s">
        <v>1065</v>
      </c>
      <c r="H72" s="649" t="s">
        <v>1066</v>
      </c>
      <c r="I72" s="649"/>
      <c r="K72" s="340"/>
      <c r="L72" s="653" t="s">
        <v>1062</v>
      </c>
      <c r="M72" s="653"/>
      <c r="N72" s="341" t="s">
        <v>1063</v>
      </c>
      <c r="O72" s="341" t="s">
        <v>1064</v>
      </c>
      <c r="P72" s="341" t="s">
        <v>560</v>
      </c>
      <c r="Q72" s="341" t="s">
        <v>1065</v>
      </c>
      <c r="R72" s="649" t="s">
        <v>1066</v>
      </c>
      <c r="S72" s="649"/>
    </row>
    <row r="73" spans="1:22" ht="13.5" thickBot="1">
      <c r="A73" s="342"/>
      <c r="B73" s="650" t="s">
        <v>1067</v>
      </c>
      <c r="C73" s="650"/>
      <c r="D73" s="650"/>
      <c r="E73" s="650"/>
      <c r="F73" s="650"/>
      <c r="G73" s="650"/>
      <c r="H73" s="650"/>
      <c r="I73" s="650"/>
      <c r="K73" s="342"/>
      <c r="L73" s="650" t="s">
        <v>1067</v>
      </c>
      <c r="M73" s="650"/>
      <c r="N73" s="650"/>
      <c r="O73" s="650"/>
      <c r="P73" s="650"/>
      <c r="Q73" s="650"/>
      <c r="R73" s="650"/>
      <c r="S73" s="650"/>
    </row>
    <row r="74" spans="1:22">
      <c r="A74" s="651" t="s">
        <v>1068</v>
      </c>
      <c r="B74" s="651"/>
      <c r="C74" s="651"/>
      <c r="D74" s="651"/>
      <c r="E74" s="651"/>
      <c r="F74" s="651"/>
      <c r="G74" s="651"/>
      <c r="H74" s="651"/>
      <c r="I74" s="651"/>
      <c r="K74" s="651" t="s">
        <v>1068</v>
      </c>
      <c r="L74" s="651"/>
      <c r="M74" s="651"/>
      <c r="N74" s="651"/>
      <c r="O74" s="651"/>
      <c r="P74" s="651"/>
      <c r="Q74" s="651"/>
      <c r="R74" s="651"/>
      <c r="S74" s="651"/>
      <c r="T74" s="206" t="s">
        <v>114</v>
      </c>
    </row>
    <row r="75" spans="1:22">
      <c r="A75" s="343" t="s">
        <v>1069</v>
      </c>
      <c r="B75" s="344">
        <v>30682.899000000001</v>
      </c>
      <c r="C75" s="345"/>
      <c r="D75" s="344">
        <v>3925.99</v>
      </c>
      <c r="E75" s="344">
        <v>3566.6390000000001</v>
      </c>
      <c r="F75" s="344">
        <v>10410.445</v>
      </c>
      <c r="G75" s="344">
        <v>17903.074000000001</v>
      </c>
      <c r="H75" s="344">
        <v>48585.972999999998</v>
      </c>
      <c r="I75" s="345"/>
      <c r="K75" s="345"/>
    </row>
    <row r="76" spans="1:22">
      <c r="A76" s="343" t="s">
        <v>1070</v>
      </c>
      <c r="B76" s="344">
        <v>36425.267</v>
      </c>
      <c r="C76" s="345"/>
      <c r="D76" s="344">
        <v>6081.5259999999998</v>
      </c>
      <c r="E76" s="344">
        <v>4531.8149999999996</v>
      </c>
      <c r="F76" s="344">
        <v>11801.984</v>
      </c>
      <c r="G76" s="344">
        <v>22415.325000000001</v>
      </c>
      <c r="H76" s="344">
        <v>58840.591999999997</v>
      </c>
      <c r="I76" s="345"/>
      <c r="K76" s="345"/>
    </row>
    <row r="77" spans="1:22">
      <c r="A77" s="346" t="s">
        <v>1071</v>
      </c>
      <c r="B77" s="344">
        <v>40285.311000000002</v>
      </c>
      <c r="C77" s="345"/>
      <c r="D77" s="344">
        <v>5675.9179999999997</v>
      </c>
      <c r="E77" s="344">
        <v>5530.0510000000004</v>
      </c>
      <c r="F77" s="344">
        <v>16174.964</v>
      </c>
      <c r="G77" s="344">
        <v>27380.933000000001</v>
      </c>
      <c r="H77" s="344">
        <v>67666.244000000006</v>
      </c>
      <c r="I77" s="345"/>
      <c r="K77" s="346" t="s">
        <v>1071</v>
      </c>
      <c r="L77" s="344">
        <v>40728.449420999998</v>
      </c>
      <c r="M77" s="345">
        <v>0</v>
      </c>
      <c r="N77" s="344">
        <v>5738.3530979999987</v>
      </c>
      <c r="O77" s="344">
        <v>5590.8815610000001</v>
      </c>
      <c r="P77" s="344">
        <v>16352.888603999998</v>
      </c>
      <c r="Q77" s="344">
        <v>27682.123262999998</v>
      </c>
      <c r="R77" s="344">
        <v>68410.572683999999</v>
      </c>
      <c r="S77" s="345"/>
      <c r="T77" s="344">
        <v>56</v>
      </c>
      <c r="U77">
        <v>1.0109999999999999</v>
      </c>
    </row>
    <row r="78" spans="1:22">
      <c r="A78" s="346" t="s">
        <v>1072</v>
      </c>
      <c r="B78" s="344">
        <v>42294.686000000002</v>
      </c>
      <c r="C78" s="345"/>
      <c r="D78" s="344">
        <v>5631.6080000000002</v>
      </c>
      <c r="E78" s="344">
        <v>5823.6940000000004</v>
      </c>
      <c r="F78" s="344">
        <v>17465.517</v>
      </c>
      <c r="G78" s="344">
        <v>28920.819</v>
      </c>
      <c r="H78" s="344">
        <v>71215.505000000005</v>
      </c>
      <c r="I78" s="345"/>
      <c r="K78" s="346" t="s">
        <v>1072</v>
      </c>
      <c r="L78" s="344">
        <v>42294.686000000002</v>
      </c>
      <c r="M78" s="345">
        <v>0</v>
      </c>
      <c r="N78" s="344">
        <v>5631.6080000000002</v>
      </c>
      <c r="O78" s="344">
        <v>5823.6940000000004</v>
      </c>
      <c r="P78" s="344">
        <v>17465.517</v>
      </c>
      <c r="Q78" s="344">
        <v>28920.819</v>
      </c>
      <c r="R78" s="344">
        <v>71215.505000000005</v>
      </c>
      <c r="S78" s="345"/>
      <c r="T78" s="344">
        <v>57</v>
      </c>
      <c r="U78">
        <v>1</v>
      </c>
    </row>
    <row r="79" spans="1:22">
      <c r="A79" s="346" t="s">
        <v>1073</v>
      </c>
      <c r="B79" s="344">
        <v>43695.97</v>
      </c>
      <c r="C79" s="345"/>
      <c r="D79" s="344">
        <v>5365.8119999999999</v>
      </c>
      <c r="E79" s="344">
        <v>5720.3829999999998</v>
      </c>
      <c r="F79" s="344">
        <v>19230.708999999999</v>
      </c>
      <c r="G79" s="344">
        <v>30316.903999999999</v>
      </c>
      <c r="H79" s="344">
        <v>74012.873999999996</v>
      </c>
      <c r="I79" s="345"/>
      <c r="K79" s="346" t="s">
        <v>1073</v>
      </c>
      <c r="L79" s="344">
        <v>42254.002990000008</v>
      </c>
      <c r="M79" s="345">
        <v>0</v>
      </c>
      <c r="N79" s="344">
        <v>5188.7402040000006</v>
      </c>
      <c r="O79" s="344">
        <v>5531.610361</v>
      </c>
      <c r="P79" s="344">
        <v>18596.095603000002</v>
      </c>
      <c r="Q79" s="344">
        <v>29316.446168000002</v>
      </c>
      <c r="R79" s="344">
        <v>71570.449158000003</v>
      </c>
      <c r="S79" s="345"/>
      <c r="T79" s="344">
        <v>58</v>
      </c>
      <c r="U79">
        <v>0.96700000000000008</v>
      </c>
    </row>
    <row r="80" spans="1:22">
      <c r="A80" s="346" t="s">
        <v>1074</v>
      </c>
      <c r="B80" s="344">
        <v>45722.317999866515</v>
      </c>
      <c r="C80" s="345" t="s">
        <v>1075</v>
      </c>
      <c r="D80" s="344">
        <v>5395.4279999999999</v>
      </c>
      <c r="E80" s="344">
        <v>5801.1729999999998</v>
      </c>
      <c r="F80" s="344">
        <v>21231.527999999998</v>
      </c>
      <c r="G80" s="344">
        <v>32428.129000000001</v>
      </c>
      <c r="H80" s="344">
        <v>78150.446999866515</v>
      </c>
      <c r="I80" s="345" t="s">
        <v>1075</v>
      </c>
      <c r="K80" s="346" t="s">
        <v>1074</v>
      </c>
      <c r="L80" s="344">
        <v>42704.645011875327</v>
      </c>
      <c r="M80" s="345" t="s">
        <v>1075</v>
      </c>
      <c r="N80" s="344">
        <v>5039.3297520000006</v>
      </c>
      <c r="O80" s="344">
        <v>5418.2955819999997</v>
      </c>
      <c r="P80" s="344">
        <v>19830.247152</v>
      </c>
      <c r="Q80" s="344">
        <v>30287.872486000004</v>
      </c>
      <c r="R80" s="344">
        <v>72992.517497875335</v>
      </c>
      <c r="S80" s="345" t="s">
        <v>1075</v>
      </c>
      <c r="T80" s="344">
        <v>59</v>
      </c>
      <c r="U80">
        <v>0.93400000000000005</v>
      </c>
    </row>
    <row r="81" spans="1:21">
      <c r="A81" s="347" t="s">
        <v>1076</v>
      </c>
      <c r="B81" s="348">
        <v>48235.388338508332</v>
      </c>
      <c r="C81" s="349" t="s">
        <v>1075</v>
      </c>
      <c r="D81" s="348">
        <v>5485.3819999999996</v>
      </c>
      <c r="E81" s="348">
        <v>5913.7659999999996</v>
      </c>
      <c r="F81" s="348">
        <v>22598.495999999999</v>
      </c>
      <c r="G81" s="348">
        <v>33997.644</v>
      </c>
      <c r="H81" s="348">
        <v>82233.032338508332</v>
      </c>
      <c r="I81" s="349" t="s">
        <v>1075</v>
      </c>
      <c r="K81" s="347" t="s">
        <v>1076</v>
      </c>
      <c r="L81" s="348">
        <v>43363.61411631899</v>
      </c>
      <c r="M81" s="349" t="s">
        <v>1075</v>
      </c>
      <c r="N81" s="348">
        <v>4931.3584179999998</v>
      </c>
      <c r="O81" s="348">
        <v>5316.4756339999994</v>
      </c>
      <c r="P81" s="348">
        <v>20316.047903999999</v>
      </c>
      <c r="Q81" s="348">
        <v>30563.881956000001</v>
      </c>
      <c r="R81" s="348">
        <v>73927.496072318987</v>
      </c>
      <c r="S81" s="349" t="s">
        <v>1075</v>
      </c>
      <c r="T81" s="344">
        <v>60</v>
      </c>
      <c r="U81">
        <v>0.89900000000000002</v>
      </c>
    </row>
    <row r="82" spans="1:21">
      <c r="A82" s="350" t="s">
        <v>1077</v>
      </c>
      <c r="B82" s="344">
        <f>B81*POWER(B81/B77, 1/4)^2</f>
        <v>52780.719800965344</v>
      </c>
      <c r="C82" s="345"/>
      <c r="D82" s="344">
        <f t="shared" ref="D82" si="2">D81*POWER(D81/D77, 1/4)^2</f>
        <v>5392.5261439791548</v>
      </c>
      <c r="E82" s="344">
        <f t="shared" ref="E82" si="3">E81*POWER(E81/E77, 1/4)^2</f>
        <v>6115.4952872461336</v>
      </c>
      <c r="F82" s="344">
        <f t="shared" ref="F82" si="4">F81*POWER(F81/F77, 1/4)^2</f>
        <v>26711.461039594626</v>
      </c>
      <c r="G82" s="344">
        <f t="shared" ref="G82" si="5">G81*POWER(G81/G77, 1/4)^2</f>
        <v>37883.414134482337</v>
      </c>
      <c r="H82" s="344">
        <f t="shared" ref="H82" si="6">H81*POWER(H81/H77, 1/4)^2</f>
        <v>90653.259169542143</v>
      </c>
      <c r="I82" s="345"/>
      <c r="K82" s="350" t="s">
        <v>1077</v>
      </c>
      <c r="L82" s="344">
        <f>L81*POWER(L81/L77, 1/4)^2</f>
        <v>44744.45972180723</v>
      </c>
      <c r="M82" s="345"/>
      <c r="N82" s="344">
        <f t="shared" ref="N82:R82" si="7">N81*POWER(N81/N77, 1/4)^2</f>
        <v>4571.4736319995172</v>
      </c>
      <c r="O82" s="344">
        <f t="shared" si="7"/>
        <v>5184.3653059479866</v>
      </c>
      <c r="P82" s="344">
        <f t="shared" si="7"/>
        <v>22644.440945553481</v>
      </c>
      <c r="Q82" s="344">
        <f t="shared" si="7"/>
        <v>32115.380469553304</v>
      </c>
      <c r="R82" s="344">
        <f t="shared" si="7"/>
        <v>76850.621190049467</v>
      </c>
      <c r="S82" s="345"/>
      <c r="T82" s="344">
        <v>62</v>
      </c>
    </row>
    <row r="83" spans="1:21">
      <c r="A83" s="652" t="s">
        <v>1078</v>
      </c>
      <c r="B83" s="652"/>
      <c r="C83" s="652"/>
      <c r="D83" s="652"/>
      <c r="E83" s="652"/>
      <c r="F83" s="652"/>
      <c r="G83" s="652"/>
      <c r="H83" s="652"/>
      <c r="I83" s="652"/>
      <c r="K83" s="652" t="s">
        <v>1078</v>
      </c>
      <c r="L83" s="652"/>
      <c r="M83" s="652"/>
      <c r="N83" s="652"/>
      <c r="O83" s="652"/>
      <c r="P83" s="652"/>
      <c r="Q83" s="652"/>
      <c r="R83" s="652"/>
      <c r="S83" s="652"/>
      <c r="T83" s="206" t="s">
        <v>115</v>
      </c>
    </row>
    <row r="84" spans="1:21">
      <c r="A84" s="351" t="s">
        <v>1069</v>
      </c>
      <c r="B84" s="352">
        <v>602.98500000000001</v>
      </c>
      <c r="C84" s="353"/>
      <c r="D84" s="352">
        <v>178.166</v>
      </c>
      <c r="E84" s="352">
        <v>43.676000000000002</v>
      </c>
      <c r="F84" s="352">
        <v>213.33</v>
      </c>
      <c r="G84" s="352">
        <v>435.17200000000003</v>
      </c>
      <c r="H84" s="354">
        <v>1038.1569999999999</v>
      </c>
      <c r="I84" s="355"/>
      <c r="K84" s="355"/>
    </row>
    <row r="85" spans="1:21">
      <c r="A85" s="351" t="s">
        <v>1070</v>
      </c>
      <c r="B85" s="352">
        <v>584.60799999999995</v>
      </c>
      <c r="C85" s="353"/>
      <c r="D85" s="352">
        <v>495.53699999999998</v>
      </c>
      <c r="E85" s="352">
        <v>40.762999999999998</v>
      </c>
      <c r="F85" s="352">
        <v>239.875</v>
      </c>
      <c r="G85" s="352">
        <v>776.17499999999995</v>
      </c>
      <c r="H85" s="354">
        <v>1360.7829999999999</v>
      </c>
      <c r="I85" s="355"/>
      <c r="K85" s="355"/>
    </row>
    <row r="86" spans="1:21">
      <c r="A86" s="356" t="s">
        <v>1071</v>
      </c>
      <c r="B86" s="352">
        <v>577.31899999999996</v>
      </c>
      <c r="C86" s="353"/>
      <c r="D86" s="352">
        <v>197.68100000000001</v>
      </c>
      <c r="E86" s="352">
        <v>33.728000000000002</v>
      </c>
      <c r="F86" s="352">
        <v>281.93</v>
      </c>
      <c r="G86" s="352">
        <v>513.33900000000006</v>
      </c>
      <c r="H86" s="354">
        <v>1090.6579999999999</v>
      </c>
      <c r="I86" s="353"/>
      <c r="K86" s="356" t="s">
        <v>1071</v>
      </c>
      <c r="L86" s="352">
        <v>579.62827599999991</v>
      </c>
      <c r="M86" s="353">
        <v>0</v>
      </c>
      <c r="N86" s="352">
        <v>198.47172400000002</v>
      </c>
      <c r="O86" s="352">
        <v>33.862912000000001</v>
      </c>
      <c r="P86" s="352">
        <v>283.05772000000002</v>
      </c>
      <c r="Q86" s="352">
        <v>515.39235600000006</v>
      </c>
      <c r="R86" s="354">
        <v>1095.020632</v>
      </c>
      <c r="S86" s="353"/>
      <c r="T86" s="344">
        <v>56</v>
      </c>
      <c r="U86">
        <v>1.004</v>
      </c>
    </row>
    <row r="87" spans="1:21">
      <c r="A87" s="356" t="s">
        <v>1072</v>
      </c>
      <c r="B87" s="352">
        <v>608.37599999999998</v>
      </c>
      <c r="C87" s="353"/>
      <c r="D87" s="352">
        <v>200.87899999999999</v>
      </c>
      <c r="E87" s="352">
        <v>42.170999999999999</v>
      </c>
      <c r="F87" s="352">
        <v>308.36599999999999</v>
      </c>
      <c r="G87" s="352">
        <v>551.41600000000005</v>
      </c>
      <c r="H87" s="354">
        <v>1159.7919999999999</v>
      </c>
      <c r="I87" s="355"/>
      <c r="K87" s="356" t="s">
        <v>1072</v>
      </c>
      <c r="L87" s="352">
        <v>608.37599999999998</v>
      </c>
      <c r="M87" s="353">
        <v>0</v>
      </c>
      <c r="N87" s="352">
        <v>200.87899999999999</v>
      </c>
      <c r="O87" s="352">
        <v>42.170999999999999</v>
      </c>
      <c r="P87" s="352">
        <v>308.36599999999999</v>
      </c>
      <c r="Q87" s="352">
        <v>551.41600000000005</v>
      </c>
      <c r="R87" s="354">
        <v>1159.7919999999999</v>
      </c>
      <c r="S87" s="355"/>
      <c r="T87" s="344">
        <v>57</v>
      </c>
      <c r="U87">
        <v>1</v>
      </c>
    </row>
    <row r="88" spans="1:21">
      <c r="A88" s="356" t="s">
        <v>1073</v>
      </c>
      <c r="B88" s="352">
        <v>626.40499999999997</v>
      </c>
      <c r="C88" s="353"/>
      <c r="D88" s="352">
        <v>210.91800000000001</v>
      </c>
      <c r="E88" s="352">
        <v>38.664000000000001</v>
      </c>
      <c r="F88" s="352">
        <v>312.14299999999997</v>
      </c>
      <c r="G88" s="352">
        <v>561.72500000000002</v>
      </c>
      <c r="H88" s="354">
        <v>1188.1300000000001</v>
      </c>
      <c r="I88" s="355"/>
      <c r="K88" s="356" t="s">
        <v>1073</v>
      </c>
      <c r="L88" s="352">
        <v>601.34879999999998</v>
      </c>
      <c r="M88" s="353">
        <v>0</v>
      </c>
      <c r="N88" s="352">
        <v>202.48128</v>
      </c>
      <c r="O88" s="352">
        <v>37.117440000000002</v>
      </c>
      <c r="P88" s="352">
        <v>299.65727999999996</v>
      </c>
      <c r="Q88" s="352">
        <v>539.25599999999997</v>
      </c>
      <c r="R88" s="354">
        <v>1140.6048000000001</v>
      </c>
      <c r="S88" s="355"/>
      <c r="T88" s="344">
        <v>58</v>
      </c>
      <c r="U88">
        <v>0.96</v>
      </c>
    </row>
    <row r="89" spans="1:21">
      <c r="A89" s="356" t="s">
        <v>1074</v>
      </c>
      <c r="B89" s="352">
        <v>645.69153028553671</v>
      </c>
      <c r="C89" s="353" t="s">
        <v>1075</v>
      </c>
      <c r="D89" s="352">
        <v>208.18600000000001</v>
      </c>
      <c r="E89" s="352">
        <v>40.805</v>
      </c>
      <c r="F89" s="352">
        <v>357.82400000000001</v>
      </c>
      <c r="G89" s="352">
        <v>606.81500000000005</v>
      </c>
      <c r="H89" s="354">
        <v>1252.5065302855369</v>
      </c>
      <c r="I89" s="355" t="s">
        <v>1075</v>
      </c>
      <c r="K89" s="356" t="s">
        <v>1074</v>
      </c>
      <c r="L89" s="352">
        <v>563.04301440898803</v>
      </c>
      <c r="M89" s="353" t="s">
        <v>1075</v>
      </c>
      <c r="N89" s="352">
        <v>181.53819200000001</v>
      </c>
      <c r="O89" s="352">
        <v>35.581960000000002</v>
      </c>
      <c r="P89" s="352">
        <v>312.02252800000002</v>
      </c>
      <c r="Q89" s="352">
        <v>529.14268000000004</v>
      </c>
      <c r="R89" s="354">
        <v>1092.1856944089882</v>
      </c>
      <c r="S89" s="355" t="s">
        <v>1075</v>
      </c>
      <c r="T89" s="344">
        <v>59</v>
      </c>
      <c r="U89">
        <v>0.872</v>
      </c>
    </row>
    <row r="90" spans="1:21">
      <c r="A90" s="357" t="s">
        <v>1076</v>
      </c>
      <c r="B90" s="358">
        <v>656.03433368454273</v>
      </c>
      <c r="C90" s="359" t="s">
        <v>1075</v>
      </c>
      <c r="D90" s="358">
        <v>185.65700000000001</v>
      </c>
      <c r="E90" s="358">
        <v>36.624000000000002</v>
      </c>
      <c r="F90" s="358">
        <v>368.24599999999998</v>
      </c>
      <c r="G90" s="358">
        <v>590.52700000000004</v>
      </c>
      <c r="H90" s="348">
        <v>1246.5613336845427</v>
      </c>
      <c r="I90" s="349" t="s">
        <v>1075</v>
      </c>
      <c r="K90" s="357" t="s">
        <v>1076</v>
      </c>
      <c r="L90" s="358">
        <v>493.33781893077611</v>
      </c>
      <c r="M90" s="359" t="s">
        <v>1075</v>
      </c>
      <c r="N90" s="358">
        <v>139.61406400000001</v>
      </c>
      <c r="O90" s="358">
        <v>27.541248000000003</v>
      </c>
      <c r="P90" s="358">
        <v>276.92099200000001</v>
      </c>
      <c r="Q90" s="358">
        <v>444.07630400000005</v>
      </c>
      <c r="R90" s="348">
        <v>937.4141229307761</v>
      </c>
      <c r="S90" s="349" t="s">
        <v>1075</v>
      </c>
      <c r="T90" s="344">
        <v>60</v>
      </c>
      <c r="U90">
        <v>0.752</v>
      </c>
    </row>
    <row r="91" spans="1:21">
      <c r="A91" s="350" t="s">
        <v>1077</v>
      </c>
      <c r="B91" s="344">
        <f>B90*POWER(B90/B86, 1/4)^2</f>
        <v>699.32962778291642</v>
      </c>
      <c r="C91" s="360"/>
      <c r="D91" s="344">
        <f t="shared" ref="D91" si="8">D90*POWER(D90/D86, 1/4)^2</f>
        <v>179.92210689038347</v>
      </c>
      <c r="E91" s="344">
        <f t="shared" ref="E91" si="9">E90*POWER(E90/E86, 1/4)^2</f>
        <v>38.1639544118419</v>
      </c>
      <c r="F91" s="344">
        <f t="shared" ref="F91" si="10">F90*POWER(F90/F86, 1/4)^2</f>
        <v>420.85879897204404</v>
      </c>
      <c r="G91" s="344">
        <f t="shared" ref="G91" si="11">G90*POWER(G90/G86, 1/4)^2</f>
        <v>633.37002879617512</v>
      </c>
      <c r="H91" s="344">
        <f t="shared" ref="H91" si="12">H90*POWER(H90/H86, 1/4)^2</f>
        <v>1332.6809288248403</v>
      </c>
      <c r="I91" s="345"/>
      <c r="K91" s="350" t="s">
        <v>1077</v>
      </c>
      <c r="L91" s="344">
        <f>L90*POWER(L90/L86, 1/4)^2</f>
        <v>455.13667497321387</v>
      </c>
      <c r="M91" s="360"/>
      <c r="N91" s="344">
        <f t="shared" ref="N91:R91" si="13">N90*POWER(N90/N86, 1/4)^2</f>
        <v>117.09663974037156</v>
      </c>
      <c r="O91" s="344">
        <f t="shared" si="13"/>
        <v>24.837808416472406</v>
      </c>
      <c r="P91" s="344">
        <f t="shared" si="13"/>
        <v>273.902701655329</v>
      </c>
      <c r="Q91" s="344">
        <f t="shared" si="13"/>
        <v>412.20894622737711</v>
      </c>
      <c r="R91" s="344">
        <f t="shared" si="13"/>
        <v>867.3334328312427</v>
      </c>
      <c r="S91" s="345"/>
      <c r="T91" s="344">
        <v>62</v>
      </c>
    </row>
    <row r="92" spans="1:21">
      <c r="A92" s="652" t="s">
        <v>371</v>
      </c>
      <c r="B92" s="652"/>
      <c r="C92" s="652"/>
      <c r="D92" s="652"/>
      <c r="E92" s="652"/>
      <c r="F92" s="652"/>
      <c r="G92" s="652"/>
      <c r="H92" s="652"/>
      <c r="I92" s="652"/>
      <c r="K92" s="652" t="s">
        <v>371</v>
      </c>
      <c r="L92" s="652"/>
      <c r="M92" s="652"/>
      <c r="N92" s="652"/>
      <c r="O92" s="652"/>
      <c r="P92" s="652"/>
      <c r="Q92" s="652"/>
      <c r="R92" s="652"/>
      <c r="S92" s="652"/>
      <c r="T92" s="206" t="s">
        <v>116</v>
      </c>
    </row>
    <row r="93" spans="1:21">
      <c r="A93" s="351" t="s">
        <v>1069</v>
      </c>
      <c r="B93" s="352">
        <v>112.944</v>
      </c>
      <c r="C93" s="353"/>
      <c r="D93" s="352">
        <v>27.702999999999999</v>
      </c>
      <c r="E93" s="352">
        <v>11.521000000000001</v>
      </c>
      <c r="F93" s="352">
        <v>41.58</v>
      </c>
      <c r="G93" s="352">
        <v>80.804000000000002</v>
      </c>
      <c r="H93" s="354">
        <v>193.74799999999999</v>
      </c>
      <c r="I93" s="355"/>
      <c r="K93" s="355"/>
    </row>
    <row r="94" spans="1:21">
      <c r="A94" s="351" t="s">
        <v>1070</v>
      </c>
      <c r="B94" s="352">
        <v>120.901</v>
      </c>
      <c r="C94" s="353"/>
      <c r="D94" s="352">
        <v>53.081000000000003</v>
      </c>
      <c r="E94" s="352">
        <v>12.952999999999999</v>
      </c>
      <c r="F94" s="352">
        <v>41.811999999999998</v>
      </c>
      <c r="G94" s="352">
        <v>107.846</v>
      </c>
      <c r="H94" s="354">
        <v>228.74700000000001</v>
      </c>
      <c r="I94" s="355"/>
      <c r="K94" s="355"/>
    </row>
    <row r="95" spans="1:21">
      <c r="A95" s="356" t="s">
        <v>1071</v>
      </c>
      <c r="B95" s="352">
        <v>150.27699999999999</v>
      </c>
      <c r="C95" s="353"/>
      <c r="D95" s="352">
        <v>33.590000000000003</v>
      </c>
      <c r="E95" s="352">
        <v>22.350999999999999</v>
      </c>
      <c r="F95" s="352">
        <v>60.84</v>
      </c>
      <c r="G95" s="352">
        <v>116.78100000000001</v>
      </c>
      <c r="H95" s="354">
        <v>267.05799999999999</v>
      </c>
      <c r="I95" s="353"/>
      <c r="K95" s="356" t="s">
        <v>1071</v>
      </c>
      <c r="L95" s="352">
        <v>154.63503299999999</v>
      </c>
      <c r="M95" s="353">
        <v>0</v>
      </c>
      <c r="N95" s="352">
        <v>34.564110000000007</v>
      </c>
      <c r="O95" s="352">
        <v>22.999179000000002</v>
      </c>
      <c r="P95" s="352">
        <v>62.604360000000014</v>
      </c>
      <c r="Q95" s="352">
        <v>120.16764900000003</v>
      </c>
      <c r="R95" s="354">
        <v>274.802682</v>
      </c>
      <c r="S95" s="353"/>
      <c r="T95" s="344">
        <v>56</v>
      </c>
      <c r="U95">
        <v>1.0290000000000001</v>
      </c>
    </row>
    <row r="96" spans="1:21">
      <c r="A96" s="356" t="s">
        <v>1072</v>
      </c>
      <c r="B96" s="352">
        <v>156.399</v>
      </c>
      <c r="C96" s="353"/>
      <c r="D96" s="352">
        <v>31.805</v>
      </c>
      <c r="E96" s="352">
        <v>25.449000000000002</v>
      </c>
      <c r="F96" s="352">
        <v>66.197000000000003</v>
      </c>
      <c r="G96" s="352">
        <v>123.45099999999999</v>
      </c>
      <c r="H96" s="354">
        <v>279.85000000000002</v>
      </c>
      <c r="I96" s="355"/>
      <c r="K96" s="356" t="s">
        <v>1072</v>
      </c>
      <c r="L96" s="352">
        <v>156.399</v>
      </c>
      <c r="M96" s="353">
        <v>0</v>
      </c>
      <c r="N96" s="352">
        <v>31.805</v>
      </c>
      <c r="O96" s="352">
        <v>25.449000000000002</v>
      </c>
      <c r="P96" s="352">
        <v>66.197000000000003</v>
      </c>
      <c r="Q96" s="352">
        <v>123.45099999999999</v>
      </c>
      <c r="R96" s="354">
        <v>279.85000000000002</v>
      </c>
      <c r="S96" s="355"/>
      <c r="T96" s="344">
        <v>57</v>
      </c>
      <c r="U96">
        <v>1</v>
      </c>
    </row>
    <row r="97" spans="1:21">
      <c r="A97" s="356" t="s">
        <v>1073</v>
      </c>
      <c r="B97" s="352">
        <v>154.309</v>
      </c>
      <c r="C97" s="353"/>
      <c r="D97" s="352">
        <v>36.26</v>
      </c>
      <c r="E97" s="352">
        <v>31.690999999999999</v>
      </c>
      <c r="F97" s="352">
        <v>75.325999999999993</v>
      </c>
      <c r="G97" s="352">
        <v>143.27699999999999</v>
      </c>
      <c r="H97" s="354">
        <v>297.58600000000001</v>
      </c>
      <c r="I97" s="355"/>
      <c r="K97" s="356" t="s">
        <v>1073</v>
      </c>
      <c r="L97" s="352">
        <v>153.53745499999999</v>
      </c>
      <c r="M97" s="353">
        <v>0</v>
      </c>
      <c r="N97" s="352">
        <v>36.078699999999998</v>
      </c>
      <c r="O97" s="352">
        <v>31.532544999999999</v>
      </c>
      <c r="P97" s="352">
        <v>74.949369999999988</v>
      </c>
      <c r="Q97" s="352">
        <v>142.56061499999998</v>
      </c>
      <c r="R97" s="354">
        <v>296.09807000000001</v>
      </c>
      <c r="S97" s="355"/>
      <c r="T97" s="344">
        <v>58</v>
      </c>
      <c r="U97">
        <v>0.995</v>
      </c>
    </row>
    <row r="98" spans="1:21">
      <c r="A98" s="356" t="s">
        <v>1074</v>
      </c>
      <c r="B98" s="352">
        <v>164.55640753215798</v>
      </c>
      <c r="C98" s="353" t="s">
        <v>1075</v>
      </c>
      <c r="D98" s="352">
        <v>37.363999999999997</v>
      </c>
      <c r="E98" s="352">
        <v>41.454000000000001</v>
      </c>
      <c r="F98" s="352">
        <v>82.771000000000001</v>
      </c>
      <c r="G98" s="352">
        <v>161.589</v>
      </c>
      <c r="H98" s="354">
        <v>326.14540753215795</v>
      </c>
      <c r="I98" s="355" t="s">
        <v>1075</v>
      </c>
      <c r="K98" s="356" t="s">
        <v>1074</v>
      </c>
      <c r="L98" s="352">
        <v>160.11338452878971</v>
      </c>
      <c r="M98" s="353" t="s">
        <v>1075</v>
      </c>
      <c r="N98" s="352">
        <v>36.355171999999996</v>
      </c>
      <c r="O98" s="352">
        <v>40.334741999999999</v>
      </c>
      <c r="P98" s="352">
        <v>80.536182999999994</v>
      </c>
      <c r="Q98" s="352">
        <v>157.22609699999998</v>
      </c>
      <c r="R98" s="354">
        <v>317.33948152878969</v>
      </c>
      <c r="S98" s="355" t="s">
        <v>1075</v>
      </c>
      <c r="T98" s="344">
        <v>59</v>
      </c>
      <c r="U98">
        <v>0.97299999999999998</v>
      </c>
    </row>
    <row r="99" spans="1:21">
      <c r="A99" s="357" t="s">
        <v>1076</v>
      </c>
      <c r="B99" s="358">
        <v>169.23593325633092</v>
      </c>
      <c r="C99" s="359" t="s">
        <v>1075</v>
      </c>
      <c r="D99" s="358">
        <v>30.6</v>
      </c>
      <c r="E99" s="358">
        <v>34.975999999999999</v>
      </c>
      <c r="F99" s="358">
        <v>95.168000000000006</v>
      </c>
      <c r="G99" s="358">
        <v>160.744</v>
      </c>
      <c r="H99" s="348">
        <v>329.97993325633092</v>
      </c>
      <c r="I99" s="349" t="s">
        <v>1075</v>
      </c>
      <c r="K99" s="357" t="s">
        <v>1076</v>
      </c>
      <c r="L99" s="358">
        <v>161.62031625979603</v>
      </c>
      <c r="M99" s="359" t="s">
        <v>1075</v>
      </c>
      <c r="N99" s="358">
        <v>29.222999999999999</v>
      </c>
      <c r="O99" s="358">
        <v>33.402079999999998</v>
      </c>
      <c r="P99" s="358">
        <v>90.885440000000003</v>
      </c>
      <c r="Q99" s="358">
        <v>153.51051999999999</v>
      </c>
      <c r="R99" s="348">
        <v>315.13083625979601</v>
      </c>
      <c r="S99" s="349" t="s">
        <v>1075</v>
      </c>
      <c r="T99" s="344">
        <v>60</v>
      </c>
      <c r="U99">
        <v>0.95499999999999996</v>
      </c>
    </row>
    <row r="100" spans="1:21">
      <c r="A100" s="350" t="s">
        <v>1077</v>
      </c>
      <c r="B100" s="344">
        <f>B99*POWER(B99/B95, 1/4)^2</f>
        <v>179.59432642153266</v>
      </c>
      <c r="C100" s="360"/>
      <c r="D100" s="344">
        <f t="shared" ref="D100" si="14">D99*POWER(D99/D95, 1/4)^2</f>
        <v>29.206340076851937</v>
      </c>
      <c r="E100" s="344">
        <f t="shared" ref="E100" si="15">E99*POWER(E99/E95, 1/4)^2</f>
        <v>43.752888636327853</v>
      </c>
      <c r="F100" s="344">
        <f t="shared" ref="F100" si="16">F99*POWER(F99/F95, 1/4)^2</f>
        <v>119.02599237274231</v>
      </c>
      <c r="G100" s="344">
        <f t="shared" ref="G100" si="17">G99*POWER(G99/G95, 1/4)^2</f>
        <v>188.58887159108045</v>
      </c>
      <c r="H100" s="344">
        <f t="shared" ref="H100" si="18">H99*POWER(H99/H95, 1/4)^2</f>
        <v>366.79930103645808</v>
      </c>
      <c r="I100" s="345"/>
      <c r="K100" s="350" t="s">
        <v>1077</v>
      </c>
      <c r="L100" s="344">
        <f>L99*POWER(L99/L95, 1/4)^2</f>
        <v>165.23041083624821</v>
      </c>
      <c r="M100" s="360"/>
      <c r="N100" s="344">
        <f t="shared" ref="N100:R100" si="19">N99*POWER(N99/N95, 1/4)^2</f>
        <v>26.870423281605596</v>
      </c>
      <c r="O100" s="344">
        <f t="shared" si="19"/>
        <v>40.253542017161962</v>
      </c>
      <c r="P100" s="344">
        <f t="shared" si="19"/>
        <v>109.50631911266433</v>
      </c>
      <c r="Q100" s="344">
        <f t="shared" si="19"/>
        <v>173.50557421842169</v>
      </c>
      <c r="R100" s="344">
        <f t="shared" si="19"/>
        <v>337.46277186090538</v>
      </c>
      <c r="S100" s="345"/>
      <c r="T100" s="344">
        <v>62</v>
      </c>
    </row>
    <row r="101" spans="1:21">
      <c r="A101" s="652" t="s">
        <v>372</v>
      </c>
      <c r="B101" s="652"/>
      <c r="C101" s="652"/>
      <c r="D101" s="652"/>
      <c r="E101" s="652"/>
      <c r="F101" s="652"/>
      <c r="G101" s="652"/>
      <c r="H101" s="652"/>
      <c r="I101" s="652"/>
      <c r="K101" s="652" t="s">
        <v>372</v>
      </c>
      <c r="L101" s="652"/>
      <c r="M101" s="652"/>
      <c r="N101" s="652"/>
      <c r="O101" s="652"/>
      <c r="P101" s="652"/>
      <c r="Q101" s="652"/>
      <c r="R101" s="652"/>
      <c r="S101" s="652"/>
      <c r="T101" s="206" t="s">
        <v>139</v>
      </c>
    </row>
    <row r="102" spans="1:21">
      <c r="A102" s="351" t="s">
        <v>1069</v>
      </c>
      <c r="B102" s="352">
        <v>868.59699999999998</v>
      </c>
      <c r="C102" s="353"/>
      <c r="D102" s="352">
        <v>151.33699999999999</v>
      </c>
      <c r="E102" s="352">
        <v>39.985999999999997</v>
      </c>
      <c r="F102" s="352">
        <v>413.16199999999998</v>
      </c>
      <c r="G102" s="352">
        <v>604.48500000000001</v>
      </c>
      <c r="H102" s="354">
        <v>1473.0820000000001</v>
      </c>
      <c r="I102" s="355"/>
      <c r="K102" s="355"/>
    </row>
    <row r="103" spans="1:21">
      <c r="A103" s="351" t="s">
        <v>1070</v>
      </c>
      <c r="B103" s="352">
        <v>922.04399999999998</v>
      </c>
      <c r="C103" s="353"/>
      <c r="D103" s="352">
        <v>216.16300000000001</v>
      </c>
      <c r="E103" s="352">
        <v>48.228000000000002</v>
      </c>
      <c r="F103" s="352">
        <v>441.375</v>
      </c>
      <c r="G103" s="352">
        <v>705.76599999999996</v>
      </c>
      <c r="H103" s="354">
        <v>1627.81</v>
      </c>
      <c r="I103" s="355"/>
      <c r="K103" s="355"/>
    </row>
    <row r="104" spans="1:21">
      <c r="A104" s="356" t="s">
        <v>1071</v>
      </c>
      <c r="B104" s="352">
        <v>996.43899999999996</v>
      </c>
      <c r="C104" s="353"/>
      <c r="D104" s="352">
        <v>139.268</v>
      </c>
      <c r="E104" s="352">
        <v>103.77800000000001</v>
      </c>
      <c r="F104" s="352">
        <v>649.10799999999995</v>
      </c>
      <c r="G104" s="352">
        <v>892.154</v>
      </c>
      <c r="H104" s="354">
        <v>1888.5930000000001</v>
      </c>
      <c r="I104" s="353"/>
      <c r="K104" s="356" t="s">
        <v>1071</v>
      </c>
      <c r="L104" s="352">
        <v>1001.4211949999999</v>
      </c>
      <c r="M104" s="353">
        <v>0</v>
      </c>
      <c r="N104" s="352">
        <v>139.96433999999999</v>
      </c>
      <c r="O104" s="352">
        <v>104.29688999999999</v>
      </c>
      <c r="P104" s="352">
        <v>652.35353999999984</v>
      </c>
      <c r="Q104" s="352">
        <v>896.61476999999991</v>
      </c>
      <c r="R104" s="354">
        <v>1898.0359649999998</v>
      </c>
      <c r="S104" s="353"/>
      <c r="T104" s="344">
        <v>56</v>
      </c>
      <c r="U104">
        <v>1.0049999999999999</v>
      </c>
    </row>
    <row r="105" spans="1:21">
      <c r="A105" s="356" t="s">
        <v>1072</v>
      </c>
      <c r="B105" s="352">
        <v>1006.261</v>
      </c>
      <c r="C105" s="353"/>
      <c r="D105" s="352">
        <v>123.553</v>
      </c>
      <c r="E105" s="352">
        <v>110.438</v>
      </c>
      <c r="F105" s="352">
        <v>680.97199999999998</v>
      </c>
      <c r="G105" s="352">
        <v>914.96299999999997</v>
      </c>
      <c r="H105" s="354">
        <v>1921.2239999999999</v>
      </c>
      <c r="I105" s="355"/>
      <c r="K105" s="356" t="s">
        <v>1072</v>
      </c>
      <c r="L105" s="352">
        <v>1006.261</v>
      </c>
      <c r="M105" s="353">
        <v>0</v>
      </c>
      <c r="N105" s="352">
        <v>123.553</v>
      </c>
      <c r="O105" s="352">
        <v>110.438</v>
      </c>
      <c r="P105" s="352">
        <v>680.97199999999998</v>
      </c>
      <c r="Q105" s="352">
        <v>914.96299999999997</v>
      </c>
      <c r="R105" s="354">
        <v>1921.2239999999999</v>
      </c>
      <c r="S105" s="355"/>
      <c r="T105" s="344">
        <v>57</v>
      </c>
      <c r="U105">
        <v>1</v>
      </c>
    </row>
    <row r="106" spans="1:21">
      <c r="A106" s="356" t="s">
        <v>1073</v>
      </c>
      <c r="B106" s="352">
        <v>1063.4259999999999</v>
      </c>
      <c r="C106" s="353"/>
      <c r="D106" s="352">
        <v>93.831999999999994</v>
      </c>
      <c r="E106" s="352">
        <v>113.801</v>
      </c>
      <c r="F106" s="352">
        <v>752.851</v>
      </c>
      <c r="G106" s="352">
        <v>960.48400000000004</v>
      </c>
      <c r="H106" s="354">
        <v>2023.91</v>
      </c>
      <c r="I106" s="355"/>
      <c r="K106" s="356" t="s">
        <v>1073</v>
      </c>
      <c r="L106" s="352">
        <v>1009.191274</v>
      </c>
      <c r="M106" s="353">
        <v>0</v>
      </c>
      <c r="N106" s="352">
        <v>89.046567999999994</v>
      </c>
      <c r="O106" s="352">
        <v>107.99714900000001</v>
      </c>
      <c r="P106" s="352">
        <v>714.45559900000001</v>
      </c>
      <c r="Q106" s="352">
        <v>911.49931600000014</v>
      </c>
      <c r="R106" s="354">
        <v>1920.6905900000002</v>
      </c>
      <c r="S106" s="355"/>
      <c r="T106" s="344">
        <v>58</v>
      </c>
      <c r="U106">
        <v>0.94900000000000007</v>
      </c>
    </row>
    <row r="107" spans="1:21">
      <c r="A107" s="356" t="s">
        <v>1074</v>
      </c>
      <c r="B107" s="352">
        <v>1105.1464467474671</v>
      </c>
      <c r="C107" s="353" t="s">
        <v>1075</v>
      </c>
      <c r="D107" s="352">
        <v>101.517</v>
      </c>
      <c r="E107" s="352">
        <v>124.78100000000001</v>
      </c>
      <c r="F107" s="352">
        <v>773.53300000000002</v>
      </c>
      <c r="G107" s="352">
        <v>999.83100000000002</v>
      </c>
      <c r="H107" s="354">
        <v>2104.9774467474667</v>
      </c>
      <c r="I107" s="355" t="s">
        <v>1075</v>
      </c>
      <c r="K107" s="356" t="s">
        <v>1074</v>
      </c>
      <c r="L107" s="352">
        <v>1020.0501703479121</v>
      </c>
      <c r="M107" s="353" t="s">
        <v>1075</v>
      </c>
      <c r="N107" s="352">
        <v>93.70019099999999</v>
      </c>
      <c r="O107" s="352">
        <v>115.17286299999999</v>
      </c>
      <c r="P107" s="352">
        <v>713.97095899999999</v>
      </c>
      <c r="Q107" s="352">
        <v>922.8440129999999</v>
      </c>
      <c r="R107" s="354">
        <v>1942.8941833479116</v>
      </c>
      <c r="S107" s="355" t="s">
        <v>1075</v>
      </c>
      <c r="T107" s="344">
        <v>59</v>
      </c>
      <c r="U107">
        <v>0.92299999999999993</v>
      </c>
    </row>
    <row r="108" spans="1:21">
      <c r="A108" s="357" t="s">
        <v>1076</v>
      </c>
      <c r="B108" s="358">
        <v>1167.789493913966</v>
      </c>
      <c r="C108" s="359" t="s">
        <v>1075</v>
      </c>
      <c r="D108" s="358">
        <v>97.212999999999994</v>
      </c>
      <c r="E108" s="358">
        <v>127.685</v>
      </c>
      <c r="F108" s="358">
        <v>817.40200000000004</v>
      </c>
      <c r="G108" s="358">
        <v>1042.3</v>
      </c>
      <c r="H108" s="348">
        <v>2210.0894939139662</v>
      </c>
      <c r="I108" s="349" t="s">
        <v>1075</v>
      </c>
      <c r="K108" s="357" t="s">
        <v>1076</v>
      </c>
      <c r="L108" s="358">
        <v>1034.6614916077738</v>
      </c>
      <c r="M108" s="359" t="s">
        <v>1075</v>
      </c>
      <c r="N108" s="358">
        <v>86.130717999999987</v>
      </c>
      <c r="O108" s="358">
        <v>113.12890999999999</v>
      </c>
      <c r="P108" s="358">
        <v>724.21817199999998</v>
      </c>
      <c r="Q108" s="358">
        <v>923.47779999999989</v>
      </c>
      <c r="R108" s="348">
        <v>1958.1392916077739</v>
      </c>
      <c r="S108" s="349" t="s">
        <v>1075</v>
      </c>
      <c r="T108" s="344">
        <v>60</v>
      </c>
      <c r="U108">
        <v>0.8859999999999999</v>
      </c>
    </row>
    <row r="109" spans="1:21">
      <c r="A109" s="350" t="s">
        <v>1077</v>
      </c>
      <c r="B109" s="344">
        <f>B108*POWER(B108/B104, 1/4)^2</f>
        <v>1264.2165955086593</v>
      </c>
      <c r="C109" s="360"/>
      <c r="D109" s="344">
        <f t="shared" ref="D109" si="20">D108*POWER(D108/D104, 1/4)^2</f>
        <v>81.219600530738788</v>
      </c>
      <c r="E109" s="344">
        <f t="shared" ref="E109" si="21">E108*POWER(E108/E104, 1/4)^2</f>
        <v>141.63062539248875</v>
      </c>
      <c r="F109" s="344">
        <f t="shared" ref="F109" si="22">F108*POWER(F108/F104, 1/4)^2</f>
        <v>917.26550832330781</v>
      </c>
      <c r="G109" s="344">
        <f t="shared" ref="G109" si="23">G108*POWER(G108/G104, 1/4)^2</f>
        <v>1126.5985635274697</v>
      </c>
      <c r="H109" s="344">
        <f t="shared" ref="H109" si="24">H108*POWER(H108/H104, 1/4)^2</f>
        <v>2390.8129650491328</v>
      </c>
      <c r="I109" s="345"/>
      <c r="K109" s="350" t="s">
        <v>1077</v>
      </c>
      <c r="L109" s="344">
        <f>L108*POWER(L108/L104, 1/4)^2</f>
        <v>1051.6931349307258</v>
      </c>
      <c r="M109" s="360"/>
      <c r="N109" s="344">
        <f t="shared" ref="N109:R109" si="25">N108*POWER(N108/N104, 1/4)^2</f>
        <v>67.566029906153702</v>
      </c>
      <c r="O109" s="344">
        <f t="shared" si="25"/>
        <v>117.82154810370506</v>
      </c>
      <c r="P109" s="344">
        <f t="shared" si="25"/>
        <v>763.06689964327222</v>
      </c>
      <c r="Q109" s="344">
        <f t="shared" si="25"/>
        <v>937.20963582821537</v>
      </c>
      <c r="R109" s="344">
        <f t="shared" si="25"/>
        <v>1988.9009455961721</v>
      </c>
      <c r="S109" s="345"/>
      <c r="T109" s="344">
        <v>62</v>
      </c>
    </row>
    <row r="110" spans="1:21">
      <c r="A110" s="652" t="s">
        <v>373</v>
      </c>
      <c r="B110" s="652"/>
      <c r="C110" s="652"/>
      <c r="D110" s="652"/>
      <c r="E110" s="652"/>
      <c r="F110" s="652"/>
      <c r="G110" s="652"/>
      <c r="H110" s="652"/>
      <c r="I110" s="652"/>
      <c r="K110" s="652" t="s">
        <v>373</v>
      </c>
      <c r="L110" s="652"/>
      <c r="M110" s="652"/>
      <c r="N110" s="652"/>
      <c r="O110" s="652"/>
      <c r="P110" s="652"/>
      <c r="Q110" s="652"/>
      <c r="R110" s="652"/>
      <c r="S110" s="652"/>
      <c r="T110" s="206" t="s">
        <v>170</v>
      </c>
    </row>
    <row r="111" spans="1:21">
      <c r="A111" s="351" t="s">
        <v>1069</v>
      </c>
      <c r="B111" s="352">
        <v>728.64200000000005</v>
      </c>
      <c r="C111" s="353"/>
      <c r="D111" s="352">
        <v>144.267</v>
      </c>
      <c r="E111" s="352">
        <v>78.542000000000002</v>
      </c>
      <c r="F111" s="352">
        <v>253.346</v>
      </c>
      <c r="G111" s="352">
        <v>476.15499999999997</v>
      </c>
      <c r="H111" s="354">
        <v>1204.797</v>
      </c>
      <c r="I111" s="355"/>
      <c r="K111" s="355"/>
    </row>
    <row r="112" spans="1:21">
      <c r="A112" s="351" t="s">
        <v>1070</v>
      </c>
      <c r="B112" s="352">
        <v>819.65499999999997</v>
      </c>
      <c r="C112" s="353"/>
      <c r="D112" s="352">
        <v>179.79900000000001</v>
      </c>
      <c r="E112" s="352">
        <v>58.508000000000003</v>
      </c>
      <c r="F112" s="352">
        <v>302.71600000000001</v>
      </c>
      <c r="G112" s="352">
        <v>541.02300000000002</v>
      </c>
      <c r="H112" s="354">
        <v>1360.6780000000001</v>
      </c>
      <c r="I112" s="355"/>
      <c r="K112" s="355"/>
    </row>
    <row r="113" spans="1:21">
      <c r="A113" s="356" t="s">
        <v>1071</v>
      </c>
      <c r="B113" s="352">
        <v>843.56500000000005</v>
      </c>
      <c r="C113" s="353"/>
      <c r="D113" s="352">
        <v>281.28399999999999</v>
      </c>
      <c r="E113" s="352">
        <v>74.676000000000002</v>
      </c>
      <c r="F113" s="352">
        <v>367.90800000000002</v>
      </c>
      <c r="G113" s="352">
        <v>723.86800000000005</v>
      </c>
      <c r="H113" s="354">
        <v>1567.433</v>
      </c>
      <c r="I113" s="353"/>
      <c r="K113" s="356" t="s">
        <v>1071</v>
      </c>
      <c r="L113" s="352">
        <v>825.00657000000001</v>
      </c>
      <c r="M113" s="353">
        <v>0</v>
      </c>
      <c r="N113" s="352">
        <v>275.095752</v>
      </c>
      <c r="O113" s="352">
        <v>73.033128000000005</v>
      </c>
      <c r="P113" s="352">
        <v>359.81402400000002</v>
      </c>
      <c r="Q113" s="352">
        <v>707.942904</v>
      </c>
      <c r="R113" s="354">
        <v>1532.949474</v>
      </c>
      <c r="S113" s="353"/>
      <c r="T113" s="344">
        <v>56</v>
      </c>
      <c r="U113">
        <v>0.97799999999999998</v>
      </c>
    </row>
    <row r="114" spans="1:21">
      <c r="A114" s="356" t="s">
        <v>1072</v>
      </c>
      <c r="B114" s="352">
        <v>864.44100000000003</v>
      </c>
      <c r="C114" s="353"/>
      <c r="D114" s="352">
        <v>273.18799999999999</v>
      </c>
      <c r="E114" s="352">
        <v>84.775000000000006</v>
      </c>
      <c r="F114" s="352">
        <v>380.73099999999999</v>
      </c>
      <c r="G114" s="352">
        <v>738.69399999999996</v>
      </c>
      <c r="H114" s="354">
        <v>1603.135</v>
      </c>
      <c r="I114" s="355"/>
      <c r="K114" s="356" t="s">
        <v>1072</v>
      </c>
      <c r="L114" s="352">
        <v>864.44100000000003</v>
      </c>
      <c r="M114" s="353">
        <v>0</v>
      </c>
      <c r="N114" s="352">
        <v>273.18799999999999</v>
      </c>
      <c r="O114" s="352">
        <v>84.775000000000006</v>
      </c>
      <c r="P114" s="352">
        <v>380.73099999999999</v>
      </c>
      <c r="Q114" s="352">
        <v>738.69399999999996</v>
      </c>
      <c r="R114" s="354">
        <v>1603.135</v>
      </c>
      <c r="S114" s="355"/>
      <c r="T114" s="344">
        <v>57</v>
      </c>
      <c r="U114">
        <v>1</v>
      </c>
    </row>
    <row r="115" spans="1:21">
      <c r="A115" s="356" t="s">
        <v>1073</v>
      </c>
      <c r="B115" s="352">
        <v>893.47799999999995</v>
      </c>
      <c r="C115" s="353"/>
      <c r="D115" s="352">
        <v>177.15</v>
      </c>
      <c r="E115" s="352">
        <v>85.831999999999994</v>
      </c>
      <c r="F115" s="352">
        <v>417.46300000000002</v>
      </c>
      <c r="G115" s="352">
        <v>680.44500000000005</v>
      </c>
      <c r="H115" s="354">
        <v>1573.923</v>
      </c>
      <c r="I115" s="355"/>
      <c r="K115" s="356" t="s">
        <v>1073</v>
      </c>
      <c r="L115" s="352">
        <v>868.46061599999996</v>
      </c>
      <c r="M115" s="353">
        <v>0</v>
      </c>
      <c r="N115" s="352">
        <v>172.18979999999999</v>
      </c>
      <c r="O115" s="352">
        <v>83.428703999999996</v>
      </c>
      <c r="P115" s="352">
        <v>405.77403600000002</v>
      </c>
      <c r="Q115" s="352">
        <v>661.39254000000005</v>
      </c>
      <c r="R115" s="354">
        <v>1529.8531559999999</v>
      </c>
      <c r="S115" s="355"/>
      <c r="T115" s="344">
        <v>58</v>
      </c>
      <c r="U115">
        <v>0.97199999999999998</v>
      </c>
    </row>
    <row r="116" spans="1:21">
      <c r="A116" s="356" t="s">
        <v>1074</v>
      </c>
      <c r="B116" s="352">
        <v>1006.4742380519999</v>
      </c>
      <c r="C116" s="353" t="s">
        <v>1075</v>
      </c>
      <c r="D116" s="352">
        <v>191.614</v>
      </c>
      <c r="E116" s="352">
        <v>85.233999999999995</v>
      </c>
      <c r="F116" s="352">
        <v>454.40100000000001</v>
      </c>
      <c r="G116" s="352">
        <v>731.24900000000002</v>
      </c>
      <c r="H116" s="354">
        <v>1737.7232380519997</v>
      </c>
      <c r="I116" s="355" t="s">
        <v>1075</v>
      </c>
      <c r="K116" s="356" t="s">
        <v>1074</v>
      </c>
      <c r="L116" s="352">
        <v>948.09873224498403</v>
      </c>
      <c r="M116" s="353" t="s">
        <v>1075</v>
      </c>
      <c r="N116" s="352">
        <v>180.50038800000002</v>
      </c>
      <c r="O116" s="352">
        <v>80.290428000000006</v>
      </c>
      <c r="P116" s="352">
        <v>428.04574200000002</v>
      </c>
      <c r="Q116" s="352">
        <v>688.83655800000008</v>
      </c>
      <c r="R116" s="354">
        <v>1636.9352902449839</v>
      </c>
      <c r="S116" s="355" t="s">
        <v>1075</v>
      </c>
      <c r="T116" s="344">
        <v>59</v>
      </c>
      <c r="U116">
        <v>0.94200000000000006</v>
      </c>
    </row>
    <row r="117" spans="1:21">
      <c r="A117" s="357" t="s">
        <v>1076</v>
      </c>
      <c r="B117" s="358">
        <v>1038.152074026</v>
      </c>
      <c r="C117" s="359" t="s">
        <v>1075</v>
      </c>
      <c r="D117" s="358">
        <v>197.16200000000001</v>
      </c>
      <c r="E117" s="358">
        <v>72.813999999999993</v>
      </c>
      <c r="F117" s="358">
        <v>471.923</v>
      </c>
      <c r="G117" s="358">
        <v>741.899</v>
      </c>
      <c r="H117" s="348">
        <v>1780.0510740259999</v>
      </c>
      <c r="I117" s="349" t="s">
        <v>1075</v>
      </c>
      <c r="K117" s="357" t="s">
        <v>1076</v>
      </c>
      <c r="L117" s="358">
        <v>942.64208321560795</v>
      </c>
      <c r="M117" s="359" t="s">
        <v>1075</v>
      </c>
      <c r="N117" s="358">
        <v>179.02309599999998</v>
      </c>
      <c r="O117" s="358">
        <v>66.115111999999982</v>
      </c>
      <c r="P117" s="358">
        <v>428.50608399999999</v>
      </c>
      <c r="Q117" s="358">
        <v>673.64429199999995</v>
      </c>
      <c r="R117" s="348">
        <v>1616.2863752156077</v>
      </c>
      <c r="S117" s="349" t="s">
        <v>1075</v>
      </c>
      <c r="T117" s="344">
        <v>60</v>
      </c>
      <c r="U117">
        <v>0.90799999999999992</v>
      </c>
    </row>
    <row r="118" spans="1:21">
      <c r="A118" s="350" t="s">
        <v>1077</v>
      </c>
      <c r="B118" s="344">
        <f>B117*POWER(B117/B113, 1/4)^2</f>
        <v>1151.680962011759</v>
      </c>
      <c r="C118" s="360"/>
      <c r="D118" s="344">
        <f t="shared" ref="D118" si="26">D117*POWER(D117/D113, 1/4)^2</f>
        <v>165.06777897115032</v>
      </c>
      <c r="E118" s="344">
        <f t="shared" ref="E118" si="27">E117*POWER(E117/E113, 1/4)^2</f>
        <v>71.900483471227957</v>
      </c>
      <c r="F118" s="344">
        <f t="shared" ref="F118" si="28">F117*POWER(F117/F113, 1/4)^2</f>
        <v>534.48694291481672</v>
      </c>
      <c r="G118" s="344">
        <f t="shared" ref="G118" si="29">G117*POWER(G117/G113, 1/4)^2</f>
        <v>751.08223414392387</v>
      </c>
      <c r="H118" s="344">
        <f t="shared" ref="H118" si="30">H117*POWER(H117/H113, 1/4)^2</f>
        <v>1896.9426547471055</v>
      </c>
      <c r="I118" s="345"/>
      <c r="K118" s="350" t="s">
        <v>1077</v>
      </c>
      <c r="L118" s="344">
        <f>L117*POWER(L117/L113, 1/4)^2</f>
        <v>1007.6078287055091</v>
      </c>
      <c r="M118" s="360"/>
      <c r="N118" s="344">
        <f t="shared" ref="N118:R118" si="31">N117*POWER(N117/N113, 1/4)^2</f>
        <v>144.4181086989814</v>
      </c>
      <c r="O118" s="344">
        <f t="shared" si="31"/>
        <v>62.905867530161203</v>
      </c>
      <c r="P118" s="344">
        <f t="shared" si="31"/>
        <v>467.62362649556849</v>
      </c>
      <c r="Q118" s="344">
        <f t="shared" si="31"/>
        <v>657.12325208803338</v>
      </c>
      <c r="R118" s="344">
        <f t="shared" si="31"/>
        <v>1659.6386782237</v>
      </c>
      <c r="S118" s="345"/>
      <c r="T118" s="344">
        <v>62</v>
      </c>
    </row>
    <row r="119" spans="1:21">
      <c r="A119" s="652" t="s">
        <v>1079</v>
      </c>
      <c r="B119" s="652"/>
      <c r="C119" s="652"/>
      <c r="D119" s="652"/>
      <c r="E119" s="652"/>
      <c r="F119" s="652"/>
      <c r="G119" s="652"/>
      <c r="H119" s="652"/>
      <c r="I119" s="652"/>
      <c r="K119" s="652" t="s">
        <v>1079</v>
      </c>
      <c r="L119" s="652"/>
      <c r="M119" s="652"/>
      <c r="N119" s="652"/>
      <c r="O119" s="652"/>
      <c r="P119" s="652"/>
      <c r="Q119" s="652"/>
      <c r="R119" s="652"/>
      <c r="S119" s="652"/>
      <c r="T119" s="206" t="s">
        <v>347</v>
      </c>
    </row>
    <row r="120" spans="1:21">
      <c r="A120" s="351" t="s">
        <v>1069</v>
      </c>
      <c r="B120" s="352">
        <v>7021.3789999999999</v>
      </c>
      <c r="C120" s="353"/>
      <c r="D120" s="352">
        <v>799.21</v>
      </c>
      <c r="E120" s="352">
        <v>1493.6220000000001</v>
      </c>
      <c r="F120" s="352">
        <v>2643.598</v>
      </c>
      <c r="G120" s="352">
        <v>4936.43</v>
      </c>
      <c r="H120" s="354">
        <v>11957.808999999999</v>
      </c>
      <c r="I120" s="355"/>
      <c r="K120" s="355"/>
    </row>
    <row r="121" spans="1:21">
      <c r="A121" s="351" t="s">
        <v>1070</v>
      </c>
      <c r="B121" s="352">
        <v>8141.4009999999998</v>
      </c>
      <c r="C121" s="353"/>
      <c r="D121" s="352">
        <v>1132.107</v>
      </c>
      <c r="E121" s="352">
        <v>1916.0250000000001</v>
      </c>
      <c r="F121" s="352">
        <v>3220.8580000000002</v>
      </c>
      <c r="G121" s="352">
        <v>6268.99</v>
      </c>
      <c r="H121" s="354">
        <v>14410.391</v>
      </c>
      <c r="I121" s="355"/>
      <c r="K121" s="355"/>
    </row>
    <row r="122" spans="1:21">
      <c r="A122" s="356" t="s">
        <v>1071</v>
      </c>
      <c r="B122" s="352">
        <v>8860.0580000000009</v>
      </c>
      <c r="C122" s="353"/>
      <c r="D122" s="352">
        <v>1257.05</v>
      </c>
      <c r="E122" s="352">
        <v>2150.2489999999998</v>
      </c>
      <c r="F122" s="352">
        <v>3793.8850000000002</v>
      </c>
      <c r="G122" s="352">
        <v>7201.1840000000002</v>
      </c>
      <c r="H122" s="354">
        <v>16061.242</v>
      </c>
      <c r="I122" s="353"/>
      <c r="K122" s="356" t="s">
        <v>1071</v>
      </c>
      <c r="L122" s="352">
        <v>9019.539044000001</v>
      </c>
      <c r="M122" s="353">
        <v>0</v>
      </c>
      <c r="N122" s="352">
        <v>1279.6768999999999</v>
      </c>
      <c r="O122" s="352">
        <v>2188.9534819999999</v>
      </c>
      <c r="P122" s="352">
        <v>3862.1749300000001</v>
      </c>
      <c r="Q122" s="352">
        <v>7330.8053120000004</v>
      </c>
      <c r="R122" s="354">
        <v>16350.344356</v>
      </c>
      <c r="S122" s="353"/>
      <c r="T122" s="344">
        <v>56</v>
      </c>
      <c r="U122">
        <v>1.018</v>
      </c>
    </row>
    <row r="123" spans="1:21">
      <c r="A123" s="356" t="s">
        <v>1072</v>
      </c>
      <c r="B123" s="352">
        <v>9628.4809999999998</v>
      </c>
      <c r="C123" s="353"/>
      <c r="D123" s="352">
        <v>1239.923</v>
      </c>
      <c r="E123" s="352">
        <v>2226.5160000000001</v>
      </c>
      <c r="F123" s="352">
        <v>4230.8680000000004</v>
      </c>
      <c r="G123" s="352">
        <v>7697.3069999999998</v>
      </c>
      <c r="H123" s="354">
        <v>17325.788</v>
      </c>
      <c r="I123" s="355"/>
      <c r="K123" s="356" t="s">
        <v>1072</v>
      </c>
      <c r="L123" s="352">
        <v>9628.4809999999998</v>
      </c>
      <c r="M123" s="353">
        <v>0</v>
      </c>
      <c r="N123" s="352">
        <v>1239.923</v>
      </c>
      <c r="O123" s="352">
        <v>2226.5160000000001</v>
      </c>
      <c r="P123" s="352">
        <v>4230.8680000000004</v>
      </c>
      <c r="Q123" s="352">
        <v>7697.3069999999998</v>
      </c>
      <c r="R123" s="354">
        <v>17325.788</v>
      </c>
      <c r="S123" s="355"/>
      <c r="T123" s="344">
        <v>57</v>
      </c>
      <c r="U123">
        <v>1</v>
      </c>
    </row>
    <row r="124" spans="1:21">
      <c r="A124" s="356" t="s">
        <v>1073</v>
      </c>
      <c r="B124" s="352">
        <v>9507.2160000000003</v>
      </c>
      <c r="C124" s="353"/>
      <c r="D124" s="352">
        <v>1322.884</v>
      </c>
      <c r="E124" s="352">
        <v>2187.299</v>
      </c>
      <c r="F124" s="352">
        <v>4798.9960000000001</v>
      </c>
      <c r="G124" s="352">
        <v>8309.1790000000001</v>
      </c>
      <c r="H124" s="354">
        <v>17816.395</v>
      </c>
      <c r="I124" s="355"/>
      <c r="K124" s="356" t="s">
        <v>1073</v>
      </c>
      <c r="L124" s="352">
        <v>9260.0283840000011</v>
      </c>
      <c r="M124" s="353">
        <v>0</v>
      </c>
      <c r="N124" s="352">
        <v>1288.4890160000002</v>
      </c>
      <c r="O124" s="352">
        <v>2130.4292260000002</v>
      </c>
      <c r="P124" s="352">
        <v>4674.2221040000004</v>
      </c>
      <c r="Q124" s="352">
        <v>8093.140346000001</v>
      </c>
      <c r="R124" s="354">
        <v>17353.168730000001</v>
      </c>
      <c r="S124" s="355"/>
      <c r="T124" s="344">
        <v>58</v>
      </c>
      <c r="U124">
        <v>0.97400000000000009</v>
      </c>
    </row>
    <row r="125" spans="1:21">
      <c r="A125" s="356" t="s">
        <v>1074</v>
      </c>
      <c r="B125" s="352">
        <v>9702.17111492</v>
      </c>
      <c r="C125" s="353" t="s">
        <v>1075</v>
      </c>
      <c r="D125" s="352">
        <v>1293.1969999999999</v>
      </c>
      <c r="E125" s="352">
        <v>2192.444</v>
      </c>
      <c r="F125" s="352">
        <v>5172.4690000000001</v>
      </c>
      <c r="G125" s="352">
        <v>8658.11</v>
      </c>
      <c r="H125" s="354">
        <v>18360.281114919999</v>
      </c>
      <c r="I125" s="355" t="s">
        <v>1075</v>
      </c>
      <c r="K125" s="356" t="s">
        <v>1074</v>
      </c>
      <c r="L125" s="352">
        <v>9246.16907251876</v>
      </c>
      <c r="M125" s="353" t="s">
        <v>1075</v>
      </c>
      <c r="N125" s="352">
        <v>1232.4167409999998</v>
      </c>
      <c r="O125" s="352">
        <v>2089.399132</v>
      </c>
      <c r="P125" s="352">
        <v>4929.3629570000003</v>
      </c>
      <c r="Q125" s="352">
        <v>8251.1788300000007</v>
      </c>
      <c r="R125" s="354">
        <v>17497.347902518759</v>
      </c>
      <c r="S125" s="355" t="s">
        <v>1075</v>
      </c>
      <c r="T125" s="344">
        <v>59</v>
      </c>
      <c r="U125">
        <v>0.95299999999999996</v>
      </c>
    </row>
    <row r="126" spans="1:21">
      <c r="A126" s="357" t="s">
        <v>1076</v>
      </c>
      <c r="B126" s="358">
        <v>10069.12201135</v>
      </c>
      <c r="C126" s="359" t="s">
        <v>1075</v>
      </c>
      <c r="D126" s="358">
        <v>1341.75</v>
      </c>
      <c r="E126" s="358">
        <v>2134.6039999999998</v>
      </c>
      <c r="F126" s="358">
        <v>5372.9359999999997</v>
      </c>
      <c r="G126" s="358">
        <v>8849.2900000000009</v>
      </c>
      <c r="H126" s="348">
        <v>18918.412011349999</v>
      </c>
      <c r="I126" s="349" t="s">
        <v>1075</v>
      </c>
      <c r="K126" s="357" t="s">
        <v>1076</v>
      </c>
      <c r="L126" s="358">
        <v>9414.6290806122506</v>
      </c>
      <c r="M126" s="359" t="s">
        <v>1075</v>
      </c>
      <c r="N126" s="358">
        <v>1254.5362500000001</v>
      </c>
      <c r="O126" s="358">
        <v>1995.85474</v>
      </c>
      <c r="P126" s="358">
        <v>5023.6951600000002</v>
      </c>
      <c r="Q126" s="358">
        <v>8274.086150000001</v>
      </c>
      <c r="R126" s="348">
        <v>17688.715230612252</v>
      </c>
      <c r="S126" s="349" t="s">
        <v>1075</v>
      </c>
      <c r="T126" s="344">
        <v>60</v>
      </c>
      <c r="U126">
        <v>0.93500000000000005</v>
      </c>
    </row>
    <row r="127" spans="1:21">
      <c r="A127" s="350" t="s">
        <v>1077</v>
      </c>
      <c r="B127" s="344">
        <f>B126*POWER(B126/B122, 1/4)^2</f>
        <v>10734.186154786592</v>
      </c>
      <c r="C127" s="360"/>
      <c r="D127" s="344">
        <f t="shared" ref="D127" si="32">D126*POWER(D126/D122, 1/4)^2</f>
        <v>1386.2167101570715</v>
      </c>
      <c r="E127" s="344">
        <f t="shared" ref="E127" si="33">E126*POWER(E126/E122, 1/4)^2</f>
        <v>2126.8242387107362</v>
      </c>
      <c r="F127" s="344">
        <f t="shared" ref="F127" si="34">F126*POWER(F126/F122, 1/4)^2</f>
        <v>6394.0410479787361</v>
      </c>
      <c r="G127" s="344">
        <f t="shared" ref="G127" si="35">G126*POWER(G126/G122, 1/4)^2</f>
        <v>9809.812068378571</v>
      </c>
      <c r="H127" s="344">
        <f t="shared" ref="H127" si="36">H126*POWER(H126/H122, 1/4)^2</f>
        <v>20532.293149211353</v>
      </c>
      <c r="I127" s="345"/>
      <c r="K127" s="350" t="s">
        <v>1077</v>
      </c>
      <c r="L127" s="344">
        <f>L126*POWER(L126/L122, 1/4)^2</f>
        <v>9618.6173961661771</v>
      </c>
      <c r="M127" s="360"/>
      <c r="N127" s="344">
        <f t="shared" ref="N127:R127" si="37">N126*POWER(N126/N122, 1/4)^2</f>
        <v>1242.1517543020607</v>
      </c>
      <c r="O127" s="344">
        <f t="shared" si="37"/>
        <v>1905.7903716276369</v>
      </c>
      <c r="P127" s="344">
        <f t="shared" si="37"/>
        <v>5729.5293345051587</v>
      </c>
      <c r="Q127" s="344">
        <f t="shared" si="37"/>
        <v>8790.3104765843273</v>
      </c>
      <c r="R127" s="344">
        <f t="shared" si="37"/>
        <v>18398.43926873973</v>
      </c>
      <c r="S127" s="345"/>
      <c r="T127" s="344">
        <v>62</v>
      </c>
    </row>
    <row r="128" spans="1:21">
      <c r="A128" s="652" t="s">
        <v>1080</v>
      </c>
      <c r="B128" s="652"/>
      <c r="C128" s="652"/>
      <c r="D128" s="652"/>
      <c r="E128" s="652"/>
      <c r="F128" s="652"/>
      <c r="G128" s="652"/>
      <c r="H128" s="652"/>
      <c r="I128" s="652"/>
      <c r="K128" s="652" t="s">
        <v>1080</v>
      </c>
      <c r="L128" s="652"/>
      <c r="M128" s="652"/>
      <c r="N128" s="652"/>
      <c r="O128" s="652"/>
      <c r="P128" s="652"/>
      <c r="Q128" s="652"/>
      <c r="R128" s="652"/>
      <c r="S128" s="652"/>
      <c r="T128" s="206" t="s">
        <v>1099</v>
      </c>
    </row>
    <row r="129" spans="1:21">
      <c r="A129" s="351" t="s">
        <v>1069</v>
      </c>
      <c r="B129" s="352">
        <v>12633.152</v>
      </c>
      <c r="C129" s="353"/>
      <c r="D129" s="352">
        <v>953.74699999999996</v>
      </c>
      <c r="E129" s="352">
        <v>1045.384</v>
      </c>
      <c r="F129" s="352">
        <v>3816.183</v>
      </c>
      <c r="G129" s="352">
        <v>5815.3140000000003</v>
      </c>
      <c r="H129" s="354">
        <v>18448.466</v>
      </c>
      <c r="I129" s="355"/>
      <c r="K129" s="355"/>
    </row>
    <row r="130" spans="1:21">
      <c r="A130" s="351" t="s">
        <v>1070</v>
      </c>
      <c r="B130" s="352">
        <v>14971.529</v>
      </c>
      <c r="C130" s="353"/>
      <c r="D130" s="352">
        <v>1816.425</v>
      </c>
      <c r="E130" s="352">
        <v>1309.4590000000001</v>
      </c>
      <c r="F130" s="352">
        <v>4094.9720000000002</v>
      </c>
      <c r="G130" s="352">
        <v>7220.8559999999998</v>
      </c>
      <c r="H130" s="354">
        <v>22192.384999999998</v>
      </c>
      <c r="I130" s="355"/>
      <c r="K130" s="355"/>
    </row>
    <row r="131" spans="1:21">
      <c r="A131" s="356" t="s">
        <v>1071</v>
      </c>
      <c r="B131" s="352">
        <v>15842.477999999999</v>
      </c>
      <c r="C131" s="353"/>
      <c r="D131" s="352">
        <v>1255.076</v>
      </c>
      <c r="E131" s="352">
        <v>1706.39</v>
      </c>
      <c r="F131" s="352">
        <v>5921.5630000000001</v>
      </c>
      <c r="G131" s="352">
        <v>8883.0290000000005</v>
      </c>
      <c r="H131" s="354">
        <v>24725.507000000001</v>
      </c>
      <c r="I131" s="353"/>
      <c r="K131" s="356" t="s">
        <v>1071</v>
      </c>
      <c r="L131" s="352">
        <v>16175.170037999998</v>
      </c>
      <c r="M131" s="353">
        <v>0</v>
      </c>
      <c r="N131" s="352">
        <v>1281.4325959999999</v>
      </c>
      <c r="O131" s="352">
        <v>1742.2241899999999</v>
      </c>
      <c r="P131" s="352">
        <v>6045.9158229999994</v>
      </c>
      <c r="Q131" s="352">
        <v>9069.5726089999989</v>
      </c>
      <c r="R131" s="354">
        <v>25244.742646999999</v>
      </c>
      <c r="S131" s="353"/>
      <c r="T131" s="344">
        <v>56</v>
      </c>
      <c r="U131">
        <v>1.0209999999999999</v>
      </c>
    </row>
    <row r="132" spans="1:21">
      <c r="A132" s="356" t="s">
        <v>1072</v>
      </c>
      <c r="B132" s="352">
        <v>16390.755000000001</v>
      </c>
      <c r="C132" s="353"/>
      <c r="D132" s="352">
        <v>1166.0719999999999</v>
      </c>
      <c r="E132" s="352">
        <v>1807.866</v>
      </c>
      <c r="F132" s="352">
        <v>6405.7929999999997</v>
      </c>
      <c r="G132" s="352">
        <v>9379.7309999999998</v>
      </c>
      <c r="H132" s="354">
        <v>25770.486000000001</v>
      </c>
      <c r="I132" s="355"/>
      <c r="K132" s="356" t="s">
        <v>1072</v>
      </c>
      <c r="L132" s="352">
        <v>16390.755000000001</v>
      </c>
      <c r="M132" s="353">
        <v>0</v>
      </c>
      <c r="N132" s="352">
        <v>1166.0719999999999</v>
      </c>
      <c r="O132" s="352">
        <v>1807.866</v>
      </c>
      <c r="P132" s="352">
        <v>6405.7929999999997</v>
      </c>
      <c r="Q132" s="352">
        <v>9379.7309999999998</v>
      </c>
      <c r="R132" s="354">
        <v>25770.486000000001</v>
      </c>
      <c r="S132" s="355"/>
      <c r="T132" s="344">
        <v>57</v>
      </c>
      <c r="U132">
        <v>1</v>
      </c>
    </row>
    <row r="133" spans="1:21">
      <c r="A133" s="356" t="s">
        <v>1073</v>
      </c>
      <c r="B133" s="352">
        <v>17122.615000000002</v>
      </c>
      <c r="C133" s="353"/>
      <c r="D133" s="352">
        <v>1088.885</v>
      </c>
      <c r="E133" s="352">
        <v>1726.904</v>
      </c>
      <c r="F133" s="352">
        <v>6964.78</v>
      </c>
      <c r="G133" s="352">
        <v>9780.5689999999995</v>
      </c>
      <c r="H133" s="354">
        <v>26903.184000000001</v>
      </c>
      <c r="I133" s="355"/>
      <c r="K133" s="356" t="s">
        <v>1073</v>
      </c>
      <c r="L133" s="352">
        <v>16814.407930000001</v>
      </c>
      <c r="M133" s="353">
        <v>0</v>
      </c>
      <c r="N133" s="352">
        <v>1069.2850699999999</v>
      </c>
      <c r="O133" s="352">
        <v>1695.8197279999999</v>
      </c>
      <c r="P133" s="352">
        <v>6839.4139599999999</v>
      </c>
      <c r="Q133" s="352">
        <v>9604.5187580000002</v>
      </c>
      <c r="R133" s="354">
        <v>26418.926688</v>
      </c>
      <c r="S133" s="355"/>
      <c r="T133" s="344">
        <v>58</v>
      </c>
      <c r="U133">
        <v>0.98199999999999998</v>
      </c>
    </row>
    <row r="134" spans="1:21">
      <c r="A134" s="356" t="s">
        <v>1074</v>
      </c>
      <c r="B134" s="352">
        <v>17987.567387359002</v>
      </c>
      <c r="C134" s="353" t="s">
        <v>1075</v>
      </c>
      <c r="D134" s="352">
        <v>1153.5139999999999</v>
      </c>
      <c r="E134" s="352">
        <v>1773.7670000000001</v>
      </c>
      <c r="F134" s="352">
        <v>7878.8779999999997</v>
      </c>
      <c r="G134" s="352">
        <v>10806.159</v>
      </c>
      <c r="H134" s="354">
        <v>28793.726387359002</v>
      </c>
      <c r="I134" s="355" t="s">
        <v>1075</v>
      </c>
      <c r="K134" s="356" t="s">
        <v>1074</v>
      </c>
      <c r="L134" s="352">
        <v>17286.052259251999</v>
      </c>
      <c r="M134" s="353" t="s">
        <v>1075</v>
      </c>
      <c r="N134" s="352">
        <v>1108.5269539999999</v>
      </c>
      <c r="O134" s="352">
        <v>1704.590087</v>
      </c>
      <c r="P134" s="352">
        <v>7571.6017579999998</v>
      </c>
      <c r="Q134" s="352">
        <v>10384.718798999998</v>
      </c>
      <c r="R134" s="354">
        <v>27670.771058252001</v>
      </c>
      <c r="S134" s="355" t="s">
        <v>1075</v>
      </c>
      <c r="T134" s="344">
        <v>59</v>
      </c>
      <c r="U134">
        <v>0.96099999999999997</v>
      </c>
    </row>
    <row r="135" spans="1:21">
      <c r="A135" s="357" t="s">
        <v>1076</v>
      </c>
      <c r="B135" s="358">
        <v>19540.791984052001</v>
      </c>
      <c r="C135" s="359" t="s">
        <v>1075</v>
      </c>
      <c r="D135" s="358">
        <v>1184.58</v>
      </c>
      <c r="E135" s="358">
        <v>1885.604</v>
      </c>
      <c r="F135" s="358">
        <v>8519.1980000000003</v>
      </c>
      <c r="G135" s="358">
        <v>11589.382</v>
      </c>
      <c r="H135" s="348">
        <v>31130.173984052002</v>
      </c>
      <c r="I135" s="349" t="s">
        <v>1075</v>
      </c>
      <c r="K135" s="357" t="s">
        <v>1076</v>
      </c>
      <c r="L135" s="358">
        <v>18505.130008897246</v>
      </c>
      <c r="M135" s="359" t="s">
        <v>1075</v>
      </c>
      <c r="N135" s="358">
        <v>1121.7972600000001</v>
      </c>
      <c r="O135" s="358">
        <v>1785.6669880000002</v>
      </c>
      <c r="P135" s="358">
        <v>8067.6805060000006</v>
      </c>
      <c r="Q135" s="358">
        <v>10975.144754000001</v>
      </c>
      <c r="R135" s="348">
        <v>29480.274762897247</v>
      </c>
      <c r="S135" s="349" t="s">
        <v>1075</v>
      </c>
      <c r="T135" s="344">
        <v>60</v>
      </c>
      <c r="U135">
        <v>0.94700000000000006</v>
      </c>
    </row>
    <row r="136" spans="1:21">
      <c r="A136" s="350" t="s">
        <v>1077</v>
      </c>
      <c r="B136" s="344">
        <f>B135*POWER(B135/B131, 1/4)^2</f>
        <v>21702.096288895606</v>
      </c>
      <c r="C136" s="360"/>
      <c r="D136" s="344">
        <f t="shared" ref="D136" si="38">D135*POWER(D135/D131, 1/4)^2</f>
        <v>1150.8310779097292</v>
      </c>
      <c r="E136" s="344">
        <f t="shared" ref="E136" si="39">E135*POWER(E135/E131, 1/4)^2</f>
        <v>1982.150322811897</v>
      </c>
      <c r="F136" s="344">
        <f t="shared" ref="F136" si="40">F135*POWER(F135/F131, 1/4)^2</f>
        <v>10218.329222771981</v>
      </c>
      <c r="G136" s="344">
        <f t="shared" ref="G136" si="41">G135*POWER(G135/G131, 1/4)^2</f>
        <v>13237.618992438131</v>
      </c>
      <c r="H136" s="344">
        <f t="shared" ref="H136" si="42">H135*POWER(H135/H131, 1/4)^2</f>
        <v>34930.09116165922</v>
      </c>
      <c r="I136" s="345"/>
      <c r="K136" s="350" t="s">
        <v>1077</v>
      </c>
      <c r="L136" s="344">
        <f>L135*POWER(L135/L131, 1/4)^2</f>
        <v>19793.098389893505</v>
      </c>
      <c r="M136" s="360"/>
      <c r="N136" s="344">
        <f t="shared" ref="N136:R136" si="43">N135*POWER(N135/N131, 1/4)^2</f>
        <v>1049.599653968434</v>
      </c>
      <c r="O136" s="344">
        <f t="shared" si="43"/>
        <v>1807.7929357934654</v>
      </c>
      <c r="P136" s="344">
        <f t="shared" si="43"/>
        <v>9319.4866060075983</v>
      </c>
      <c r="Q136" s="344">
        <f t="shared" si="43"/>
        <v>12073.188307588345</v>
      </c>
      <c r="R136" s="344">
        <f t="shared" si="43"/>
        <v>31857.509151520488</v>
      </c>
      <c r="S136" s="345"/>
      <c r="T136" s="344">
        <v>62</v>
      </c>
    </row>
    <row r="137" spans="1:21">
      <c r="A137" s="652" t="s">
        <v>376</v>
      </c>
      <c r="B137" s="652"/>
      <c r="C137" s="652"/>
      <c r="D137" s="652"/>
      <c r="E137" s="652"/>
      <c r="F137" s="652"/>
      <c r="G137" s="652"/>
      <c r="H137" s="652"/>
      <c r="I137" s="652"/>
      <c r="K137" s="652" t="s">
        <v>376</v>
      </c>
      <c r="L137" s="652"/>
      <c r="M137" s="652"/>
      <c r="N137" s="652"/>
      <c r="O137" s="652"/>
      <c r="P137" s="652"/>
      <c r="Q137" s="652"/>
      <c r="R137" s="652"/>
      <c r="S137" s="652"/>
      <c r="T137" s="206" t="s">
        <v>1100</v>
      </c>
    </row>
    <row r="138" spans="1:21">
      <c r="A138" s="351" t="s">
        <v>1069</v>
      </c>
      <c r="B138" s="352">
        <v>1331.444</v>
      </c>
      <c r="C138" s="353"/>
      <c r="D138" s="352">
        <v>154.49600000000001</v>
      </c>
      <c r="E138" s="352">
        <v>60.116999999999997</v>
      </c>
      <c r="F138" s="352">
        <v>411.07400000000001</v>
      </c>
      <c r="G138" s="352">
        <v>625.68700000000001</v>
      </c>
      <c r="H138" s="354">
        <v>1957.1310000000001</v>
      </c>
      <c r="I138" s="355"/>
      <c r="K138" s="355"/>
    </row>
    <row r="139" spans="1:21">
      <c r="A139" s="351" t="s">
        <v>1070</v>
      </c>
      <c r="B139" s="352">
        <v>1552.395</v>
      </c>
      <c r="C139" s="353"/>
      <c r="D139" s="352">
        <v>169.34100000000001</v>
      </c>
      <c r="E139" s="352">
        <v>66.432000000000002</v>
      </c>
      <c r="F139" s="352">
        <v>459.65</v>
      </c>
      <c r="G139" s="352">
        <v>695.423</v>
      </c>
      <c r="H139" s="354">
        <v>2247.8180000000002</v>
      </c>
      <c r="I139" s="355"/>
      <c r="K139" s="355"/>
    </row>
    <row r="140" spans="1:21">
      <c r="A140" s="356" t="s">
        <v>1071</v>
      </c>
      <c r="B140" s="352">
        <v>1821.56</v>
      </c>
      <c r="C140" s="353"/>
      <c r="D140" s="352">
        <v>231.78700000000001</v>
      </c>
      <c r="E140" s="352">
        <v>115.63500000000001</v>
      </c>
      <c r="F140" s="352">
        <v>590.226</v>
      </c>
      <c r="G140" s="352">
        <v>937.64800000000002</v>
      </c>
      <c r="H140" s="354">
        <v>2759.2080000000001</v>
      </c>
      <c r="I140" s="353"/>
      <c r="K140" s="356" t="s">
        <v>1071</v>
      </c>
      <c r="L140" s="352">
        <v>1863.4558799999998</v>
      </c>
      <c r="M140" s="353">
        <v>0</v>
      </c>
      <c r="N140" s="352">
        <v>237.118101</v>
      </c>
      <c r="O140" s="352">
        <v>118.29460499999999</v>
      </c>
      <c r="P140" s="352">
        <v>603.801198</v>
      </c>
      <c r="Q140" s="352">
        <v>959.21390399999996</v>
      </c>
      <c r="R140" s="354">
        <v>2822.6697839999997</v>
      </c>
      <c r="S140" s="353"/>
      <c r="T140" s="344">
        <v>56</v>
      </c>
      <c r="U140">
        <v>1.0229999999999999</v>
      </c>
    </row>
    <row r="141" spans="1:21">
      <c r="A141" s="356" t="s">
        <v>1072</v>
      </c>
      <c r="B141" s="352">
        <v>1853.923</v>
      </c>
      <c r="C141" s="353"/>
      <c r="D141" s="352">
        <v>245.83799999999999</v>
      </c>
      <c r="E141" s="352">
        <v>117.321</v>
      </c>
      <c r="F141" s="352">
        <v>627.65499999999997</v>
      </c>
      <c r="G141" s="352">
        <v>990.81399999999996</v>
      </c>
      <c r="H141" s="354">
        <v>2844.7370000000001</v>
      </c>
      <c r="I141" s="355"/>
      <c r="K141" s="356" t="s">
        <v>1072</v>
      </c>
      <c r="L141" s="352">
        <v>1853.923</v>
      </c>
      <c r="M141" s="353">
        <v>0</v>
      </c>
      <c r="N141" s="352">
        <v>245.83799999999999</v>
      </c>
      <c r="O141" s="352">
        <v>117.321</v>
      </c>
      <c r="P141" s="352">
        <v>627.65499999999997</v>
      </c>
      <c r="Q141" s="352">
        <v>990.81399999999996</v>
      </c>
      <c r="R141" s="354">
        <v>2844.7370000000001</v>
      </c>
      <c r="S141" s="355"/>
      <c r="T141" s="344">
        <v>57</v>
      </c>
      <c r="U141">
        <v>1</v>
      </c>
    </row>
    <row r="142" spans="1:21">
      <c r="A142" s="356" t="s">
        <v>1073</v>
      </c>
      <c r="B142" s="352">
        <v>1976.9179999999999</v>
      </c>
      <c r="C142" s="353"/>
      <c r="D142" s="352">
        <v>238.55500000000001</v>
      </c>
      <c r="E142" s="352">
        <v>128.446</v>
      </c>
      <c r="F142" s="352">
        <v>679.45699999999999</v>
      </c>
      <c r="G142" s="352">
        <v>1046.4580000000001</v>
      </c>
      <c r="H142" s="354">
        <v>3023.3760000000002</v>
      </c>
      <c r="I142" s="355"/>
      <c r="K142" s="356" t="s">
        <v>1073</v>
      </c>
      <c r="L142" s="352">
        <v>1955.171902</v>
      </c>
      <c r="M142" s="353">
        <v>0</v>
      </c>
      <c r="N142" s="352">
        <v>235.93089500000002</v>
      </c>
      <c r="O142" s="352">
        <v>127.03309400000001</v>
      </c>
      <c r="P142" s="352">
        <v>671.98297300000002</v>
      </c>
      <c r="Q142" s="352">
        <v>1034.9469620000002</v>
      </c>
      <c r="R142" s="354">
        <v>2990.1188640000005</v>
      </c>
      <c r="S142" s="355"/>
      <c r="T142" s="344">
        <v>58</v>
      </c>
      <c r="U142">
        <v>0.9890000000000001</v>
      </c>
    </row>
    <row r="143" spans="1:21">
      <c r="A143" s="356" t="s">
        <v>1074</v>
      </c>
      <c r="B143" s="352">
        <v>2081.1768691008829</v>
      </c>
      <c r="C143" s="353" t="s">
        <v>1075</v>
      </c>
      <c r="D143" s="352">
        <v>260.45299999999997</v>
      </c>
      <c r="E143" s="352">
        <v>144.899</v>
      </c>
      <c r="F143" s="352">
        <v>714.11900000000003</v>
      </c>
      <c r="G143" s="352">
        <v>1119.471</v>
      </c>
      <c r="H143" s="354">
        <v>3200.6478691008829</v>
      </c>
      <c r="I143" s="355" t="s">
        <v>1075</v>
      </c>
      <c r="K143" s="356" t="s">
        <v>1074</v>
      </c>
      <c r="L143" s="352">
        <v>1977.1180256458385</v>
      </c>
      <c r="M143" s="353" t="s">
        <v>1075</v>
      </c>
      <c r="N143" s="352">
        <v>247.43034999999998</v>
      </c>
      <c r="O143" s="352">
        <v>137.65404999999998</v>
      </c>
      <c r="P143" s="352">
        <v>678.41305</v>
      </c>
      <c r="Q143" s="352">
        <v>1063.4974499999998</v>
      </c>
      <c r="R143" s="354">
        <v>3040.6154756458386</v>
      </c>
      <c r="S143" s="355" t="s">
        <v>1075</v>
      </c>
      <c r="T143" s="344">
        <v>59</v>
      </c>
      <c r="U143">
        <v>0.95</v>
      </c>
    </row>
    <row r="144" spans="1:21">
      <c r="A144" s="357" t="s">
        <v>1076</v>
      </c>
      <c r="B144" s="358">
        <v>2148.6610703677466</v>
      </c>
      <c r="C144" s="359" t="s">
        <v>1075</v>
      </c>
      <c r="D144" s="358">
        <v>248.29300000000001</v>
      </c>
      <c r="E144" s="358">
        <v>121.836</v>
      </c>
      <c r="F144" s="358">
        <v>759.69200000000001</v>
      </c>
      <c r="G144" s="358">
        <v>1129.8209999999999</v>
      </c>
      <c r="H144" s="348">
        <v>3278.4820703677465</v>
      </c>
      <c r="I144" s="349" t="s">
        <v>1075</v>
      </c>
      <c r="K144" s="357" t="s">
        <v>1076</v>
      </c>
      <c r="L144" s="358">
        <v>1991.8088122309011</v>
      </c>
      <c r="M144" s="359" t="s">
        <v>1075</v>
      </c>
      <c r="N144" s="358">
        <v>230.16761100000002</v>
      </c>
      <c r="O144" s="358">
        <v>112.94197200000001</v>
      </c>
      <c r="P144" s="358">
        <v>704.23448400000007</v>
      </c>
      <c r="Q144" s="358">
        <v>1047.344067</v>
      </c>
      <c r="R144" s="348">
        <v>3039.1528792309009</v>
      </c>
      <c r="S144" s="349" t="s">
        <v>1075</v>
      </c>
      <c r="T144" s="344">
        <v>60</v>
      </c>
      <c r="U144">
        <v>0.92700000000000005</v>
      </c>
    </row>
    <row r="145" spans="1:21">
      <c r="A145" s="350" t="s">
        <v>1077</v>
      </c>
      <c r="B145" s="344">
        <f>B144*POWER(B144/B140, 1/4)^2</f>
        <v>2333.6199693761523</v>
      </c>
      <c r="C145" s="360"/>
      <c r="D145" s="344">
        <f t="shared" ref="D145" si="44">D144*POWER(D144/D140, 1/4)^2</f>
        <v>256.98168746802992</v>
      </c>
      <c r="E145" s="344">
        <f t="shared" ref="E145" si="45">E144*POWER(E144/E140, 1/4)^2</f>
        <v>125.06010701786586</v>
      </c>
      <c r="F145" s="344">
        <f t="shared" ref="F145" si="46">F144*POWER(F144/F140, 1/4)^2</f>
        <v>861.88071099504884</v>
      </c>
      <c r="G145" s="344">
        <f t="shared" ref="G145" si="47">G144*POWER(G144/G140, 1/4)^2</f>
        <v>1240.2080565848119</v>
      </c>
      <c r="H145" s="344">
        <f t="shared" ref="H145" si="48">H144*POWER(H144/H140, 1/4)^2</f>
        <v>3573.6910054269738</v>
      </c>
      <c r="I145" s="345"/>
      <c r="K145" s="350" t="s">
        <v>1077</v>
      </c>
      <c r="L145" s="344">
        <f>L144*POWER(L144/L140, 1/4)^2</f>
        <v>2059.2634766254514</v>
      </c>
      <c r="M145" s="360"/>
      <c r="N145" s="344">
        <f t="shared" ref="N145:R145" si="49">N144*POWER(N144/N140, 1/4)^2</f>
        <v>226.76914412330808</v>
      </c>
      <c r="O145" s="344">
        <f t="shared" si="49"/>
        <v>110.35717646588685</v>
      </c>
      <c r="P145" s="344">
        <f t="shared" si="49"/>
        <v>760.55205759768535</v>
      </c>
      <c r="Q145" s="344">
        <f t="shared" si="49"/>
        <v>1094.4006255759259</v>
      </c>
      <c r="R145" s="344">
        <f t="shared" si="49"/>
        <v>3153.543190748399</v>
      </c>
      <c r="S145" s="345"/>
      <c r="T145" s="344">
        <v>62</v>
      </c>
    </row>
    <row r="146" spans="1:21">
      <c r="A146" s="652" t="s">
        <v>377</v>
      </c>
      <c r="B146" s="652"/>
      <c r="C146" s="652"/>
      <c r="D146" s="652"/>
      <c r="E146" s="652"/>
      <c r="F146" s="652"/>
      <c r="G146" s="652"/>
      <c r="H146" s="652"/>
      <c r="I146" s="652"/>
      <c r="K146" s="652" t="s">
        <v>377</v>
      </c>
      <c r="L146" s="652"/>
      <c r="M146" s="652"/>
      <c r="N146" s="652"/>
      <c r="O146" s="652"/>
      <c r="P146" s="652"/>
      <c r="Q146" s="652"/>
      <c r="R146" s="652"/>
      <c r="S146" s="652"/>
      <c r="T146" s="206" t="s">
        <v>1101</v>
      </c>
    </row>
    <row r="147" spans="1:21">
      <c r="A147" s="351" t="s">
        <v>1069</v>
      </c>
      <c r="B147" s="352">
        <v>1088.136</v>
      </c>
      <c r="C147" s="353"/>
      <c r="D147" s="352">
        <v>181.97900000000001</v>
      </c>
      <c r="E147" s="352">
        <v>49.536999999999999</v>
      </c>
      <c r="F147" s="352">
        <v>434.315</v>
      </c>
      <c r="G147" s="352">
        <v>665.83100000000002</v>
      </c>
      <c r="H147" s="354">
        <v>1753.9670000000001</v>
      </c>
      <c r="I147" s="355"/>
      <c r="K147" s="355"/>
    </row>
    <row r="148" spans="1:21">
      <c r="A148" s="351" t="s">
        <v>1070</v>
      </c>
      <c r="B148" s="352">
        <v>1271.038</v>
      </c>
      <c r="C148" s="353"/>
      <c r="D148" s="352">
        <v>224.81399999999999</v>
      </c>
      <c r="E148" s="352">
        <v>54.466999999999999</v>
      </c>
      <c r="F148" s="352">
        <v>494.83300000000003</v>
      </c>
      <c r="G148" s="352">
        <v>774.11400000000003</v>
      </c>
      <c r="H148" s="354">
        <v>2045.152</v>
      </c>
      <c r="I148" s="355"/>
      <c r="K148" s="355"/>
    </row>
    <row r="149" spans="1:21">
      <c r="A149" s="356" t="s">
        <v>1071</v>
      </c>
      <c r="B149" s="352">
        <v>1453.2080000000001</v>
      </c>
      <c r="C149" s="353"/>
      <c r="D149" s="352">
        <v>319.99200000000002</v>
      </c>
      <c r="E149" s="352">
        <v>70.126000000000005</v>
      </c>
      <c r="F149" s="352">
        <v>657.38599999999997</v>
      </c>
      <c r="G149" s="352">
        <v>1047.5039999999999</v>
      </c>
      <c r="H149" s="354">
        <v>2500.712</v>
      </c>
      <c r="I149" s="353"/>
      <c r="K149" s="356" t="s">
        <v>1071</v>
      </c>
      <c r="L149" s="352">
        <v>1509.8831120000002</v>
      </c>
      <c r="M149" s="353">
        <v>0</v>
      </c>
      <c r="N149" s="352">
        <v>332.47168800000009</v>
      </c>
      <c r="O149" s="352">
        <v>72.860914000000008</v>
      </c>
      <c r="P149" s="352">
        <v>683.02405400000009</v>
      </c>
      <c r="Q149" s="352">
        <v>1088.3566560000002</v>
      </c>
      <c r="R149" s="354">
        <v>2598.2397680000004</v>
      </c>
      <c r="S149" s="353"/>
      <c r="T149" s="344">
        <v>56</v>
      </c>
      <c r="U149">
        <v>1.0390000000000001</v>
      </c>
    </row>
    <row r="150" spans="1:21">
      <c r="A150" s="356" t="s">
        <v>1072</v>
      </c>
      <c r="B150" s="352">
        <v>1490.336</v>
      </c>
      <c r="C150" s="353"/>
      <c r="D150" s="352">
        <v>327.327</v>
      </c>
      <c r="E150" s="352">
        <v>74.102000000000004</v>
      </c>
      <c r="F150" s="352">
        <v>723.36199999999997</v>
      </c>
      <c r="G150" s="352">
        <v>1124.7909999999999</v>
      </c>
      <c r="H150" s="354">
        <v>2615.127</v>
      </c>
      <c r="I150" s="355"/>
      <c r="K150" s="356" t="s">
        <v>1072</v>
      </c>
      <c r="L150" s="352">
        <v>1490.336</v>
      </c>
      <c r="M150" s="353">
        <v>0</v>
      </c>
      <c r="N150" s="352">
        <v>327.327</v>
      </c>
      <c r="O150" s="352">
        <v>74.102000000000004</v>
      </c>
      <c r="P150" s="352">
        <v>723.36199999999997</v>
      </c>
      <c r="Q150" s="352">
        <v>1124.7909999999999</v>
      </c>
      <c r="R150" s="354">
        <v>2615.127</v>
      </c>
      <c r="S150" s="355"/>
      <c r="T150" s="344">
        <v>57</v>
      </c>
      <c r="U150">
        <v>1</v>
      </c>
    </row>
    <row r="151" spans="1:21">
      <c r="A151" s="356" t="s">
        <v>1073</v>
      </c>
      <c r="B151" s="352">
        <v>1633.71</v>
      </c>
      <c r="C151" s="353"/>
      <c r="D151" s="352">
        <v>320.69799999999998</v>
      </c>
      <c r="E151" s="352">
        <v>77.694000000000003</v>
      </c>
      <c r="F151" s="352">
        <v>807.36400000000003</v>
      </c>
      <c r="G151" s="352">
        <v>1205.7560000000001</v>
      </c>
      <c r="H151" s="354">
        <v>2839.4659999999999</v>
      </c>
      <c r="I151" s="355"/>
      <c r="K151" s="356" t="s">
        <v>1073</v>
      </c>
      <c r="L151" s="352">
        <v>1601.0358000000001</v>
      </c>
      <c r="M151" s="353">
        <v>0</v>
      </c>
      <c r="N151" s="352">
        <v>314.28403999999995</v>
      </c>
      <c r="O151" s="352">
        <v>76.140119999999996</v>
      </c>
      <c r="P151" s="352">
        <v>791.21672000000001</v>
      </c>
      <c r="Q151" s="352">
        <v>1181.6408800000002</v>
      </c>
      <c r="R151" s="354">
        <v>2782.67668</v>
      </c>
      <c r="S151" s="355"/>
      <c r="T151" s="344">
        <v>58</v>
      </c>
      <c r="U151">
        <v>0.98</v>
      </c>
    </row>
    <row r="152" spans="1:21">
      <c r="A152" s="356" t="s">
        <v>1074</v>
      </c>
      <c r="B152" s="352">
        <v>1715.3226596415395</v>
      </c>
      <c r="C152" s="353" t="s">
        <v>1075</v>
      </c>
      <c r="D152" s="352">
        <v>338.03300000000002</v>
      </c>
      <c r="E152" s="352">
        <v>80.652000000000001</v>
      </c>
      <c r="F152" s="352">
        <v>868.53399999999999</v>
      </c>
      <c r="G152" s="352">
        <v>1287.2190000000001</v>
      </c>
      <c r="H152" s="354">
        <v>3002.5416596415398</v>
      </c>
      <c r="I152" s="355" t="s">
        <v>1075</v>
      </c>
      <c r="K152" s="356" t="s">
        <v>1074</v>
      </c>
      <c r="L152" s="352">
        <v>1576.381524210575</v>
      </c>
      <c r="M152" s="353" t="s">
        <v>1075</v>
      </c>
      <c r="N152" s="352">
        <v>310.65232700000001</v>
      </c>
      <c r="O152" s="352">
        <v>74.119188000000008</v>
      </c>
      <c r="P152" s="352">
        <v>798.18274600000007</v>
      </c>
      <c r="Q152" s="352">
        <v>1182.9542610000001</v>
      </c>
      <c r="R152" s="354">
        <v>2759.3357852105751</v>
      </c>
      <c r="S152" s="355" t="s">
        <v>1075</v>
      </c>
      <c r="T152" s="344">
        <v>59</v>
      </c>
      <c r="U152">
        <v>0.91900000000000004</v>
      </c>
    </row>
    <row r="153" spans="1:21">
      <c r="A153" s="357" t="s">
        <v>1076</v>
      </c>
      <c r="B153" s="358">
        <v>1785.8403452048146</v>
      </c>
      <c r="C153" s="359" t="s">
        <v>1075</v>
      </c>
      <c r="D153" s="358">
        <v>336.54</v>
      </c>
      <c r="E153" s="358">
        <v>79.438999999999993</v>
      </c>
      <c r="F153" s="358">
        <v>822.91</v>
      </c>
      <c r="G153" s="358">
        <v>1238.8889999999999</v>
      </c>
      <c r="H153" s="348">
        <v>3024.7293452048143</v>
      </c>
      <c r="I153" s="349" t="s">
        <v>1075</v>
      </c>
      <c r="K153" s="357" t="s">
        <v>1076</v>
      </c>
      <c r="L153" s="358">
        <v>1551.8952599829838</v>
      </c>
      <c r="M153" s="359" t="s">
        <v>1075</v>
      </c>
      <c r="N153" s="358">
        <v>292.45326</v>
      </c>
      <c r="O153" s="358">
        <v>69.032490999999993</v>
      </c>
      <c r="P153" s="358">
        <v>715.10879</v>
      </c>
      <c r="Q153" s="358">
        <v>1076.5945409999999</v>
      </c>
      <c r="R153" s="348">
        <v>2628.4898009829835</v>
      </c>
      <c r="S153" s="349" t="s">
        <v>1075</v>
      </c>
      <c r="T153" s="344">
        <v>60</v>
      </c>
      <c r="U153">
        <v>0.86899999999999999</v>
      </c>
    </row>
    <row r="154" spans="1:21">
      <c r="A154" s="350" t="s">
        <v>1077</v>
      </c>
      <c r="B154" s="344">
        <f>B153*POWER(B153/B149, 1/4)^2</f>
        <v>1979.7030642171499</v>
      </c>
      <c r="C154" s="360"/>
      <c r="D154" s="344">
        <f t="shared" ref="D154" si="50">D153*POWER(D153/D149, 1/4)^2</f>
        <v>345.13219632178397</v>
      </c>
      <c r="E154" s="344">
        <f t="shared" ref="E154" si="51">E153*POWER(E153/E149, 1/4)^2</f>
        <v>84.54951468197001</v>
      </c>
      <c r="F154" s="344">
        <f t="shared" ref="F154" si="52">F153*POWER(F153/F149, 1/4)^2</f>
        <v>920.70029944469547</v>
      </c>
      <c r="G154" s="344">
        <f t="shared" ref="G154" si="53">G153*POWER(G153/G149, 1/4)^2</f>
        <v>1347.3199804630347</v>
      </c>
      <c r="H154" s="344">
        <f t="shared" ref="H154" si="54">H153*POWER(H153/H149, 1/4)^2</f>
        <v>3326.5797583426802</v>
      </c>
      <c r="I154" s="345"/>
      <c r="K154" s="350" t="s">
        <v>1077</v>
      </c>
      <c r="L154" s="344">
        <f>L153*POWER(L153/L149, 1/4)^2</f>
        <v>1573.3376888453399</v>
      </c>
      <c r="M154" s="360"/>
      <c r="N154" s="344">
        <f t="shared" ref="N154:R154" si="55">N153*POWER(N153/N149, 1/4)^2</f>
        <v>274.28835259279577</v>
      </c>
      <c r="O154" s="344">
        <f t="shared" si="55"/>
        <v>67.194389111747412</v>
      </c>
      <c r="P154" s="344">
        <f t="shared" si="55"/>
        <v>731.7119963242319</v>
      </c>
      <c r="Q154" s="344">
        <f t="shared" si="55"/>
        <v>1070.7612381431077</v>
      </c>
      <c r="R154" s="344">
        <f t="shared" si="55"/>
        <v>2643.7466321850738</v>
      </c>
      <c r="S154" s="345"/>
      <c r="T154" s="344">
        <v>62</v>
      </c>
    </row>
    <row r="155" spans="1:21">
      <c r="A155" s="652" t="s">
        <v>378</v>
      </c>
      <c r="B155" s="652"/>
      <c r="C155" s="652"/>
      <c r="D155" s="652"/>
      <c r="E155" s="652"/>
      <c r="F155" s="652"/>
      <c r="G155" s="652"/>
      <c r="H155" s="652"/>
      <c r="I155" s="652"/>
      <c r="K155" s="652" t="s">
        <v>378</v>
      </c>
      <c r="L155" s="652"/>
      <c r="M155" s="652"/>
      <c r="N155" s="652"/>
      <c r="O155" s="652"/>
      <c r="P155" s="652"/>
      <c r="Q155" s="652"/>
      <c r="R155" s="652"/>
      <c r="S155" s="652"/>
      <c r="T155" s="206" t="s">
        <v>1102</v>
      </c>
    </row>
    <row r="156" spans="1:21">
      <c r="A156" s="351" t="s">
        <v>1069</v>
      </c>
      <c r="B156" s="352">
        <v>2748.04</v>
      </c>
      <c r="C156" s="353"/>
      <c r="D156" s="352">
        <v>523.30399999999997</v>
      </c>
      <c r="E156" s="352">
        <v>318.185</v>
      </c>
      <c r="F156" s="352">
        <v>970.72900000000004</v>
      </c>
      <c r="G156" s="352">
        <v>1812.2180000000001</v>
      </c>
      <c r="H156" s="354">
        <v>4560.2579999999998</v>
      </c>
      <c r="I156" s="355"/>
      <c r="K156" s="355"/>
    </row>
    <row r="157" spans="1:21">
      <c r="A157" s="351" t="s">
        <v>1070</v>
      </c>
      <c r="B157" s="352">
        <v>3197.26</v>
      </c>
      <c r="C157" s="353"/>
      <c r="D157" s="352">
        <v>650.375</v>
      </c>
      <c r="E157" s="352">
        <v>321.38400000000001</v>
      </c>
      <c r="F157" s="352">
        <v>1006.739</v>
      </c>
      <c r="G157" s="352">
        <v>1978.498</v>
      </c>
      <c r="H157" s="354">
        <v>5175.7579999999998</v>
      </c>
      <c r="I157" s="355"/>
      <c r="K157" s="355"/>
    </row>
    <row r="158" spans="1:21">
      <c r="A158" s="356" t="s">
        <v>1071</v>
      </c>
      <c r="B158" s="352">
        <v>4139.4440000000004</v>
      </c>
      <c r="C158" s="353"/>
      <c r="D158" s="352">
        <v>839.42899999999997</v>
      </c>
      <c r="E158" s="352">
        <v>664.93700000000001</v>
      </c>
      <c r="F158" s="352">
        <v>1650.0509999999999</v>
      </c>
      <c r="G158" s="352">
        <v>3154.4169999999999</v>
      </c>
      <c r="H158" s="354">
        <v>7293.8609999999999</v>
      </c>
      <c r="I158" s="353"/>
      <c r="K158" s="356" t="s">
        <v>1071</v>
      </c>
      <c r="L158" s="352">
        <v>4031.8184560000009</v>
      </c>
      <c r="M158" s="353">
        <v>0</v>
      </c>
      <c r="N158" s="352">
        <v>817.60384600000009</v>
      </c>
      <c r="O158" s="352">
        <v>647.64863800000012</v>
      </c>
      <c r="P158" s="352">
        <v>1607.149674</v>
      </c>
      <c r="Q158" s="352">
        <v>3072.4021580000003</v>
      </c>
      <c r="R158" s="354">
        <v>7104.2206140000008</v>
      </c>
      <c r="S158" s="353"/>
      <c r="T158" s="344">
        <v>56</v>
      </c>
      <c r="U158">
        <v>0.97400000000000009</v>
      </c>
    </row>
    <row r="159" spans="1:21">
      <c r="A159" s="356" t="s">
        <v>1072</v>
      </c>
      <c r="B159" s="352">
        <v>4401.0259999999998</v>
      </c>
      <c r="C159" s="353"/>
      <c r="D159" s="352">
        <v>852.98599999999999</v>
      </c>
      <c r="E159" s="352">
        <v>671.47199999999998</v>
      </c>
      <c r="F159" s="352">
        <v>1755.8869999999999</v>
      </c>
      <c r="G159" s="352">
        <v>3280.3449999999998</v>
      </c>
      <c r="H159" s="354">
        <v>7681.3710000000001</v>
      </c>
      <c r="I159" s="355"/>
      <c r="K159" s="356" t="s">
        <v>1072</v>
      </c>
      <c r="L159" s="352">
        <v>4401.0259999999998</v>
      </c>
      <c r="M159" s="353">
        <v>0</v>
      </c>
      <c r="N159" s="352">
        <v>852.98599999999999</v>
      </c>
      <c r="O159" s="352">
        <v>671.47199999999998</v>
      </c>
      <c r="P159" s="352">
        <v>1755.8869999999999</v>
      </c>
      <c r="Q159" s="352">
        <v>3280.3449999999998</v>
      </c>
      <c r="R159" s="354">
        <v>7681.3710000000001</v>
      </c>
      <c r="S159" s="355"/>
      <c r="T159" s="344">
        <v>57</v>
      </c>
      <c r="U159">
        <v>1</v>
      </c>
    </row>
    <row r="160" spans="1:21">
      <c r="A160" s="356" t="s">
        <v>1073</v>
      </c>
      <c r="B160" s="352">
        <v>4724.3490000000002</v>
      </c>
      <c r="C160" s="353"/>
      <c r="D160" s="352">
        <v>800.09100000000001</v>
      </c>
      <c r="E160" s="352">
        <v>669.20899999999995</v>
      </c>
      <c r="F160" s="352">
        <v>1861.17</v>
      </c>
      <c r="G160" s="352">
        <v>3330.47</v>
      </c>
      <c r="H160" s="354">
        <v>8054.8190000000004</v>
      </c>
      <c r="I160" s="355"/>
      <c r="K160" s="356" t="s">
        <v>1073</v>
      </c>
      <c r="L160" s="352">
        <v>4275.5358450000003</v>
      </c>
      <c r="M160" s="353">
        <v>0</v>
      </c>
      <c r="N160" s="352">
        <v>724.08235500000001</v>
      </c>
      <c r="O160" s="352">
        <v>605.63414499999999</v>
      </c>
      <c r="P160" s="352">
        <v>1684.3588500000001</v>
      </c>
      <c r="Q160" s="352">
        <v>3014.0753500000001</v>
      </c>
      <c r="R160" s="354">
        <v>7289.6111950000004</v>
      </c>
      <c r="S160" s="355"/>
      <c r="T160" s="344">
        <v>58</v>
      </c>
      <c r="U160">
        <v>0.90500000000000003</v>
      </c>
    </row>
    <row r="161" spans="1:21">
      <c r="A161" s="356" t="s">
        <v>1074</v>
      </c>
      <c r="B161" s="352">
        <v>5144.41390168</v>
      </c>
      <c r="C161" s="353" t="s">
        <v>1075</v>
      </c>
      <c r="D161" s="352">
        <v>820.97400000000005</v>
      </c>
      <c r="E161" s="352">
        <v>713.93200000000002</v>
      </c>
      <c r="F161" s="352">
        <v>2026.2739999999999</v>
      </c>
      <c r="G161" s="352">
        <v>3561.18</v>
      </c>
      <c r="H161" s="354">
        <v>8705.5939016800003</v>
      </c>
      <c r="I161" s="355" t="s">
        <v>1075</v>
      </c>
      <c r="K161" s="356" t="s">
        <v>1074</v>
      </c>
      <c r="L161" s="352">
        <v>4321.3076774111996</v>
      </c>
      <c r="M161" s="353" t="s">
        <v>1075</v>
      </c>
      <c r="N161" s="352">
        <v>689.61815999999999</v>
      </c>
      <c r="O161" s="352">
        <v>599.70287999999994</v>
      </c>
      <c r="P161" s="352">
        <v>1702.0701599999998</v>
      </c>
      <c r="Q161" s="352">
        <v>2991.3911999999996</v>
      </c>
      <c r="R161" s="354">
        <v>7312.6988774111996</v>
      </c>
      <c r="S161" s="355" t="s">
        <v>1075</v>
      </c>
      <c r="T161" s="344">
        <v>59</v>
      </c>
      <c r="U161">
        <v>0.84</v>
      </c>
    </row>
    <row r="162" spans="1:21">
      <c r="A162" s="357" t="s">
        <v>1076</v>
      </c>
      <c r="B162" s="358">
        <v>5232.7197590050009</v>
      </c>
      <c r="C162" s="359" t="s">
        <v>1075</v>
      </c>
      <c r="D162" s="358">
        <v>857.00599999999997</v>
      </c>
      <c r="E162" s="358">
        <v>786.01300000000003</v>
      </c>
      <c r="F162" s="358">
        <v>2243.8200000000002</v>
      </c>
      <c r="G162" s="358">
        <v>3886.8389999999999</v>
      </c>
      <c r="H162" s="348">
        <v>9119.558759005</v>
      </c>
      <c r="I162" s="349" t="s">
        <v>1075</v>
      </c>
      <c r="K162" s="357" t="s">
        <v>1076</v>
      </c>
      <c r="L162" s="358">
        <v>3736.161907929571</v>
      </c>
      <c r="M162" s="359" t="s">
        <v>1075</v>
      </c>
      <c r="N162" s="358">
        <v>611.90228400000001</v>
      </c>
      <c r="O162" s="358">
        <v>561.21328200000005</v>
      </c>
      <c r="P162" s="358">
        <v>1602.0874800000004</v>
      </c>
      <c r="Q162" s="358">
        <v>2775.2030460000001</v>
      </c>
      <c r="R162" s="348">
        <v>6511.3649539295711</v>
      </c>
      <c r="S162" s="349" t="s">
        <v>1075</v>
      </c>
      <c r="T162" s="344">
        <v>60</v>
      </c>
      <c r="U162">
        <v>0.71400000000000008</v>
      </c>
    </row>
    <row r="163" spans="1:21">
      <c r="A163" s="350" t="s">
        <v>1077</v>
      </c>
      <c r="B163" s="344">
        <f>B162*POWER(B162/B158, 1/4)^2</f>
        <v>5883.2893591327202</v>
      </c>
      <c r="C163" s="360"/>
      <c r="D163" s="344">
        <f t="shared" ref="D163" si="56">D162*POWER(D162/D158, 1/4)^2</f>
        <v>865.93204041812783</v>
      </c>
      <c r="E163" s="344">
        <f t="shared" ref="E163" si="57">E162*POWER(E162/E158, 1/4)^2</f>
        <v>854.5831856763067</v>
      </c>
      <c r="F163" s="344">
        <f t="shared" ref="F163" si="58">F162*POWER(F162/F158, 1/4)^2</f>
        <v>2616.5759076397708</v>
      </c>
      <c r="G163" s="344">
        <f t="shared" ref="G163" si="59">G162*POWER(G162/G158, 1/4)^2</f>
        <v>4314.547705442199</v>
      </c>
      <c r="H163" s="344">
        <f t="shared" ref="H163" si="60">H162*POWER(H162/H158, 1/4)^2</f>
        <v>10197.22489462898</v>
      </c>
      <c r="I163" s="345"/>
      <c r="K163" s="350" t="s">
        <v>1077</v>
      </c>
      <c r="L163" s="344">
        <f>L162*POWER(L162/L158, 1/4)^2</f>
        <v>3596.5661139723456</v>
      </c>
      <c r="M163" s="360"/>
      <c r="N163" s="344">
        <f t="shared" ref="N163:R163" si="61">N162*POWER(N162/N158, 1/4)^2</f>
        <v>529.36064222920925</v>
      </c>
      <c r="O163" s="344">
        <f t="shared" si="61"/>
        <v>522.42287257260273</v>
      </c>
      <c r="P163" s="344">
        <f t="shared" si="61"/>
        <v>1599.5623654725191</v>
      </c>
      <c r="Q163" s="344">
        <f t="shared" si="61"/>
        <v>2637.5646559730071</v>
      </c>
      <c r="R163" s="344">
        <f t="shared" si="61"/>
        <v>6233.7565388733874</v>
      </c>
      <c r="S163" s="345"/>
      <c r="T163" s="344">
        <v>62</v>
      </c>
    </row>
    <row r="164" spans="1:21">
      <c r="A164" s="652" t="s">
        <v>1081</v>
      </c>
      <c r="B164" s="652"/>
      <c r="C164" s="652"/>
      <c r="D164" s="652"/>
      <c r="E164" s="652"/>
      <c r="F164" s="652"/>
      <c r="G164" s="652"/>
      <c r="H164" s="652"/>
      <c r="I164" s="652"/>
      <c r="K164" s="652" t="s">
        <v>1081</v>
      </c>
      <c r="L164" s="652"/>
      <c r="M164" s="652"/>
      <c r="N164" s="652"/>
      <c r="O164" s="652"/>
      <c r="P164" s="652"/>
      <c r="Q164" s="652"/>
      <c r="R164" s="652"/>
      <c r="S164" s="652"/>
      <c r="T164" s="206" t="s">
        <v>1103</v>
      </c>
    </row>
    <row r="165" spans="1:21">
      <c r="A165" s="351" t="s">
        <v>1069</v>
      </c>
      <c r="B165" s="352">
        <v>3285.6860000000001</v>
      </c>
      <c r="C165" s="353"/>
      <c r="D165" s="352">
        <v>552.447</v>
      </c>
      <c r="E165" s="352">
        <v>384.87900000000002</v>
      </c>
      <c r="F165" s="352">
        <v>1053.2070000000001</v>
      </c>
      <c r="G165" s="352">
        <v>1990.5329999999999</v>
      </c>
      <c r="H165" s="354">
        <v>5276.2190000000001</v>
      </c>
      <c r="I165" s="355"/>
      <c r="K165" s="355"/>
    </row>
    <row r="166" spans="1:21">
      <c r="A166" s="351" t="s">
        <v>1070</v>
      </c>
      <c r="B166" s="352">
        <v>4534.9589999999998</v>
      </c>
      <c r="C166" s="353"/>
      <c r="D166" s="352">
        <v>871.04300000000001</v>
      </c>
      <c r="E166" s="352">
        <v>654.625</v>
      </c>
      <c r="F166" s="352">
        <v>1363.5830000000001</v>
      </c>
      <c r="G166" s="352">
        <v>2889.2510000000002</v>
      </c>
      <c r="H166" s="354">
        <v>7424.21</v>
      </c>
      <c r="I166" s="355"/>
      <c r="K166" s="355"/>
    </row>
    <row r="167" spans="1:21">
      <c r="A167" s="356" t="s">
        <v>1071</v>
      </c>
      <c r="B167" s="352">
        <v>5294.0630000000001</v>
      </c>
      <c r="C167" s="353"/>
      <c r="D167" s="352">
        <v>1008.288</v>
      </c>
      <c r="E167" s="352">
        <v>521.34100000000001</v>
      </c>
      <c r="F167" s="352">
        <v>2111.8310000000001</v>
      </c>
      <c r="G167" s="352">
        <v>3641.46</v>
      </c>
      <c r="H167" s="354">
        <v>8935.5229999999992</v>
      </c>
      <c r="I167" s="353"/>
      <c r="K167" s="356" t="s">
        <v>1071</v>
      </c>
      <c r="L167" s="352">
        <v>5288.7689370000007</v>
      </c>
      <c r="M167" s="353">
        <v>0</v>
      </c>
      <c r="N167" s="352">
        <v>1007.2797120000001</v>
      </c>
      <c r="O167" s="352">
        <v>520.81965900000012</v>
      </c>
      <c r="P167" s="352">
        <v>2109.7191690000004</v>
      </c>
      <c r="Q167" s="352">
        <v>3637.8185400000002</v>
      </c>
      <c r="R167" s="354">
        <v>8926.5874770000009</v>
      </c>
      <c r="S167" s="353"/>
      <c r="T167" s="344">
        <v>56</v>
      </c>
      <c r="U167">
        <v>0.99900000000000011</v>
      </c>
    </row>
    <row r="168" spans="1:21">
      <c r="A168" s="356" t="s">
        <v>1072</v>
      </c>
      <c r="B168" s="352">
        <v>5552.1270000000004</v>
      </c>
      <c r="C168" s="353"/>
      <c r="D168" s="352">
        <v>1043.277</v>
      </c>
      <c r="E168" s="352">
        <v>597.75699999999995</v>
      </c>
      <c r="F168" s="352">
        <v>2184.9850000000001</v>
      </c>
      <c r="G168" s="352">
        <v>3826.0189999999998</v>
      </c>
      <c r="H168" s="354">
        <v>9378.1460000000006</v>
      </c>
      <c r="I168" s="355"/>
      <c r="K168" s="356" t="s">
        <v>1072</v>
      </c>
      <c r="L168" s="352">
        <v>5552.1270000000004</v>
      </c>
      <c r="M168" s="353">
        <v>0</v>
      </c>
      <c r="N168" s="352">
        <v>1043.277</v>
      </c>
      <c r="O168" s="352">
        <v>597.75699999999995</v>
      </c>
      <c r="P168" s="352">
        <v>2184.9850000000001</v>
      </c>
      <c r="Q168" s="352">
        <v>3826.0189999999998</v>
      </c>
      <c r="R168" s="354">
        <v>9378.1460000000006</v>
      </c>
      <c r="S168" s="355"/>
      <c r="T168" s="344">
        <v>57</v>
      </c>
      <c r="U168">
        <v>1</v>
      </c>
    </row>
    <row r="169" spans="1:21">
      <c r="A169" s="356" t="s">
        <v>1073</v>
      </c>
      <c r="B169" s="352">
        <v>5621.6390000000001</v>
      </c>
      <c r="C169" s="353"/>
      <c r="D169" s="352">
        <v>945.22699999999998</v>
      </c>
      <c r="E169" s="352">
        <v>588.51800000000003</v>
      </c>
      <c r="F169" s="352">
        <v>2467.5830000000001</v>
      </c>
      <c r="G169" s="352">
        <v>4001.328</v>
      </c>
      <c r="H169" s="354">
        <v>9622.9670000000006</v>
      </c>
      <c r="I169" s="355"/>
      <c r="K169" s="356" t="s">
        <v>1073</v>
      </c>
      <c r="L169" s="352">
        <v>5452.9898299999995</v>
      </c>
      <c r="M169" s="353">
        <v>0</v>
      </c>
      <c r="N169" s="352">
        <v>916.87018999999998</v>
      </c>
      <c r="O169" s="352">
        <v>570.86246000000006</v>
      </c>
      <c r="P169" s="352">
        <v>2393.5555100000001</v>
      </c>
      <c r="Q169" s="352">
        <v>3881.2881600000001</v>
      </c>
      <c r="R169" s="354">
        <v>9334.2779900000005</v>
      </c>
      <c r="S169" s="355"/>
      <c r="T169" s="344">
        <v>58</v>
      </c>
      <c r="U169">
        <v>0.97</v>
      </c>
    </row>
    <row r="170" spans="1:21">
      <c r="A170" s="356" t="s">
        <v>1074</v>
      </c>
      <c r="B170" s="352">
        <v>5760.5659019254535</v>
      </c>
      <c r="C170" s="353" t="s">
        <v>1075</v>
      </c>
      <c r="D170" s="352">
        <v>861.28899999999999</v>
      </c>
      <c r="E170" s="352">
        <v>530.38599999999997</v>
      </c>
      <c r="F170" s="352">
        <v>2805.0259999999998</v>
      </c>
      <c r="G170" s="352">
        <v>4196.701</v>
      </c>
      <c r="H170" s="354">
        <v>9957.2669019254536</v>
      </c>
      <c r="I170" s="355" t="s">
        <v>1075</v>
      </c>
      <c r="K170" s="356" t="s">
        <v>1074</v>
      </c>
      <c r="L170" s="352">
        <v>5322.7628933791193</v>
      </c>
      <c r="M170" s="353" t="s">
        <v>1075</v>
      </c>
      <c r="N170" s="352">
        <v>795.83103600000004</v>
      </c>
      <c r="O170" s="352">
        <v>490.07666399999999</v>
      </c>
      <c r="P170" s="352">
        <v>2591.844024</v>
      </c>
      <c r="Q170" s="352">
        <v>3877.7517240000002</v>
      </c>
      <c r="R170" s="354">
        <v>9200.51461737912</v>
      </c>
      <c r="S170" s="355" t="s">
        <v>1075</v>
      </c>
      <c r="T170" s="344">
        <v>59</v>
      </c>
      <c r="U170">
        <v>0.92400000000000004</v>
      </c>
    </row>
    <row r="171" spans="1:21">
      <c r="A171" s="357" t="s">
        <v>1076</v>
      </c>
      <c r="B171" s="358">
        <v>6012.9473097640175</v>
      </c>
      <c r="C171" s="359" t="s">
        <v>1075</v>
      </c>
      <c r="D171" s="358">
        <v>883.53099999999995</v>
      </c>
      <c r="E171" s="358">
        <v>562.65800000000002</v>
      </c>
      <c r="F171" s="358">
        <v>3013.058</v>
      </c>
      <c r="G171" s="358">
        <v>4459.2470000000003</v>
      </c>
      <c r="H171" s="348">
        <v>10472.194309764016</v>
      </c>
      <c r="I171" s="349" t="s">
        <v>1075</v>
      </c>
      <c r="K171" s="357" t="s">
        <v>1076</v>
      </c>
      <c r="L171" s="358">
        <v>5381.5878422387959</v>
      </c>
      <c r="M171" s="359" t="s">
        <v>1075</v>
      </c>
      <c r="N171" s="358">
        <v>790.76024499999994</v>
      </c>
      <c r="O171" s="358">
        <v>503.57891000000001</v>
      </c>
      <c r="P171" s="358">
        <v>2696.6869099999999</v>
      </c>
      <c r="Q171" s="358">
        <v>3991.0260650000005</v>
      </c>
      <c r="R171" s="348">
        <v>9372.6139072387941</v>
      </c>
      <c r="S171" s="349" t="s">
        <v>1075</v>
      </c>
      <c r="T171" s="344">
        <v>60</v>
      </c>
      <c r="U171">
        <v>0.89500000000000002</v>
      </c>
    </row>
    <row r="172" spans="1:21">
      <c r="A172" s="350" t="s">
        <v>1077</v>
      </c>
      <c r="B172" s="344">
        <f>B171*POWER(B171/B167, 1/4)^2</f>
        <v>6408.2071879785062</v>
      </c>
      <c r="C172" s="360"/>
      <c r="D172" s="344">
        <f t="shared" ref="D172" si="62">D171*POWER(D171/D167, 1/4)^2</f>
        <v>827.06642087087994</v>
      </c>
      <c r="E172" s="344">
        <f t="shared" ref="E172" si="63">E171*POWER(E171/E167, 1/4)^2</f>
        <v>584.52865597305902</v>
      </c>
      <c r="F172" s="344">
        <f t="shared" ref="F172" si="64">F171*POWER(F171/F167, 1/4)^2</f>
        <v>3598.9984303739016</v>
      </c>
      <c r="G172" s="344">
        <f t="shared" ref="G172" si="65">G171*POWER(G171/G167, 1/4)^2</f>
        <v>4934.6291664238088</v>
      </c>
      <c r="H172" s="344">
        <f t="shared" ref="H172" si="66">H171*POWER(H171/H167, 1/4)^2</f>
        <v>11336.958302580895</v>
      </c>
      <c r="I172" s="345"/>
      <c r="K172" s="350" t="s">
        <v>1077</v>
      </c>
      <c r="L172" s="344">
        <f>L171*POWER(L171/L167, 1/4)^2</f>
        <v>5428.606390768171</v>
      </c>
      <c r="M172" s="360"/>
      <c r="N172" s="344">
        <f t="shared" ref="N172:R172" si="67">N171*POWER(N171/N167, 1/4)^2</f>
        <v>700.63559529599831</v>
      </c>
      <c r="O172" s="344">
        <f t="shared" si="67"/>
        <v>495.17375208392218</v>
      </c>
      <c r="P172" s="344">
        <f t="shared" si="67"/>
        <v>3048.8318037131953</v>
      </c>
      <c r="Q172" s="344">
        <f t="shared" si="67"/>
        <v>4180.2892202319263</v>
      </c>
      <c r="R172" s="344">
        <f t="shared" si="67"/>
        <v>9603.9161169314739</v>
      </c>
      <c r="S172" s="345"/>
      <c r="T172" s="344">
        <v>62</v>
      </c>
    </row>
    <row r="174" spans="1:21">
      <c r="A174" s="362" t="s">
        <v>1083</v>
      </c>
    </row>
  </sheetData>
  <mergeCells count="42">
    <mergeCell ref="D6:D7"/>
    <mergeCell ref="A146:I146"/>
    <mergeCell ref="A155:I155"/>
    <mergeCell ref="A164:I164"/>
    <mergeCell ref="A92:I92"/>
    <mergeCell ref="A101:I101"/>
    <mergeCell ref="A110:I110"/>
    <mergeCell ref="A119:I119"/>
    <mergeCell ref="A128:I128"/>
    <mergeCell ref="A137:I137"/>
    <mergeCell ref="A67:J67"/>
    <mergeCell ref="D26:D27"/>
    <mergeCell ref="D21:D22"/>
    <mergeCell ref="D16:D17"/>
    <mergeCell ref="D11:D12"/>
    <mergeCell ref="D56:D57"/>
    <mergeCell ref="D51:D52"/>
    <mergeCell ref="D46:D47"/>
    <mergeCell ref="D41:D42"/>
    <mergeCell ref="A66:J66"/>
    <mergeCell ref="D36:D37"/>
    <mergeCell ref="D31:D32"/>
    <mergeCell ref="K146:S146"/>
    <mergeCell ref="K155:S155"/>
    <mergeCell ref="K164:S164"/>
    <mergeCell ref="K92:S92"/>
    <mergeCell ref="K101:S101"/>
    <mergeCell ref="K110:S110"/>
    <mergeCell ref="K119:S119"/>
    <mergeCell ref="K128:S128"/>
    <mergeCell ref="K137:S137"/>
    <mergeCell ref="A60:J60"/>
    <mergeCell ref="L72:M72"/>
    <mergeCell ref="R72:S72"/>
    <mergeCell ref="L73:S73"/>
    <mergeCell ref="K74:S74"/>
    <mergeCell ref="K83:S83"/>
    <mergeCell ref="H72:I72"/>
    <mergeCell ref="B73:I73"/>
    <mergeCell ref="A74:I74"/>
    <mergeCell ref="A83:I83"/>
    <mergeCell ref="B72:C72"/>
  </mergeCells>
  <pageMargins left="0.70866141732283472" right="0.70866141732283472" top="0.74803149606299213" bottom="0.74803149606299213" header="0.31496062992125984" footer="0.31496062992125984"/>
  <pageSetup scale="78" orientation="portrait" horizontalDpi="300" verticalDpi="300" r:id="rId1"/>
</worksheet>
</file>

<file path=xl/worksheets/sheet43.xml><?xml version="1.0" encoding="utf-8"?>
<worksheet xmlns="http://schemas.openxmlformats.org/spreadsheetml/2006/main" xmlns:r="http://schemas.openxmlformats.org/officeDocument/2006/relationships">
  <dimension ref="A1:GG53"/>
  <sheetViews>
    <sheetView view="pageBreakPreview" zoomScaleSheetLayoutView="100" workbookViewId="0">
      <pane xSplit="1" ySplit="5" topLeftCell="FP6" activePane="bottomRight" state="frozen"/>
      <selection activeCell="E9" sqref="E9"/>
      <selection pane="topRight" activeCell="E9" sqref="E9"/>
      <selection pane="bottomLeft" activeCell="E9" sqref="E9"/>
      <selection pane="bottomRight" activeCell="E9" sqref="E9"/>
    </sheetView>
  </sheetViews>
  <sheetFormatPr defaultRowHeight="12.75"/>
  <cols>
    <col min="1" max="1" width="7.75" style="30" customWidth="1"/>
    <col min="2" max="3" width="8.625" style="30" customWidth="1"/>
    <col min="4" max="4" width="10" style="30" customWidth="1"/>
    <col min="5" max="6" width="8.625" style="30" customWidth="1"/>
    <col min="7" max="7" width="9.875" style="30" customWidth="1"/>
    <col min="8" max="15" width="8.625" style="30" customWidth="1"/>
    <col min="16" max="16" width="9.875" style="30" customWidth="1"/>
    <col min="17" max="188" width="8.625" style="30" customWidth="1"/>
    <col min="189" max="16384" width="9" style="30"/>
  </cols>
  <sheetData>
    <row r="1" spans="1:188" s="23" customFormat="1" ht="15.75">
      <c r="B1" s="95" t="s">
        <v>245</v>
      </c>
      <c r="C1" s="95"/>
      <c r="D1" s="95"/>
      <c r="E1" s="95"/>
      <c r="F1" s="95"/>
      <c r="G1" s="95"/>
      <c r="H1" s="95"/>
      <c r="I1" s="95"/>
      <c r="J1" s="95"/>
      <c r="K1" s="95"/>
      <c r="L1" s="95"/>
      <c r="M1" s="95"/>
      <c r="N1" s="95"/>
      <c r="O1" s="95"/>
      <c r="P1" s="95"/>
      <c r="Q1" s="95"/>
      <c r="R1" s="95"/>
      <c r="S1" s="95" t="s">
        <v>246</v>
      </c>
      <c r="T1" s="95"/>
      <c r="U1" s="95"/>
      <c r="V1" s="95"/>
      <c r="W1" s="95"/>
      <c r="X1" s="95"/>
      <c r="Y1" s="95"/>
      <c r="Z1" s="95"/>
      <c r="AA1" s="95"/>
      <c r="AB1" s="95"/>
      <c r="AC1" s="95"/>
      <c r="AD1" s="95"/>
      <c r="AE1" s="95"/>
      <c r="AF1" s="95"/>
      <c r="AG1" s="95"/>
      <c r="AH1" s="95"/>
      <c r="AI1" s="95"/>
      <c r="AJ1" s="95" t="s">
        <v>247</v>
      </c>
      <c r="AK1" s="95"/>
      <c r="AL1" s="95"/>
      <c r="AM1" s="95"/>
      <c r="AN1" s="95"/>
      <c r="AO1" s="95"/>
      <c r="AP1" s="95"/>
      <c r="AQ1" s="95"/>
      <c r="AR1" s="95"/>
      <c r="AS1" s="95"/>
      <c r="AT1" s="95"/>
      <c r="AU1" s="95"/>
      <c r="AV1" s="95"/>
      <c r="AW1" s="95"/>
      <c r="AX1" s="95"/>
      <c r="AY1" s="95"/>
      <c r="AZ1" s="95"/>
      <c r="BA1" s="95" t="s">
        <v>248</v>
      </c>
      <c r="BB1" s="95"/>
      <c r="BC1" s="95"/>
      <c r="BD1" s="95"/>
      <c r="BE1" s="95"/>
      <c r="BF1" s="95"/>
      <c r="BG1" s="95"/>
      <c r="BH1" s="95"/>
      <c r="BI1" s="95"/>
      <c r="BJ1" s="95"/>
      <c r="BK1" s="95"/>
      <c r="BL1" s="95"/>
      <c r="BM1" s="95"/>
      <c r="BN1" s="95"/>
      <c r="BO1" s="95"/>
      <c r="BP1" s="95"/>
      <c r="BQ1" s="95"/>
      <c r="BR1" s="95" t="s">
        <v>249</v>
      </c>
      <c r="BS1" s="95"/>
      <c r="BT1" s="95"/>
      <c r="BU1" s="95"/>
      <c r="BV1" s="95"/>
      <c r="BW1" s="95"/>
      <c r="BX1" s="95"/>
      <c r="BY1" s="95"/>
      <c r="BZ1" s="95"/>
      <c r="CA1" s="95"/>
      <c r="CB1" s="95"/>
      <c r="CC1" s="95"/>
      <c r="CD1" s="95"/>
      <c r="CE1" s="95"/>
      <c r="CF1" s="95"/>
      <c r="CG1" s="95"/>
      <c r="CH1" s="95"/>
      <c r="CI1" s="95" t="s">
        <v>250</v>
      </c>
      <c r="CJ1" s="95"/>
      <c r="CK1" s="95"/>
      <c r="CL1" s="95"/>
      <c r="CM1" s="95"/>
      <c r="CN1" s="95"/>
      <c r="CO1" s="95"/>
      <c r="CP1" s="95"/>
      <c r="CQ1" s="95"/>
      <c r="CR1" s="95"/>
      <c r="CS1" s="95"/>
      <c r="CT1" s="95"/>
      <c r="CU1" s="95"/>
      <c r="CV1" s="95"/>
      <c r="CW1" s="95"/>
      <c r="CX1" s="95"/>
      <c r="CY1" s="95"/>
      <c r="CZ1" s="95" t="s">
        <v>251</v>
      </c>
      <c r="DA1" s="95"/>
      <c r="DB1" s="95"/>
      <c r="DC1" s="95"/>
      <c r="DD1" s="95"/>
      <c r="DE1" s="95"/>
      <c r="DF1" s="95"/>
      <c r="DG1" s="95"/>
      <c r="DH1" s="95"/>
      <c r="DI1" s="95"/>
      <c r="DJ1" s="95"/>
      <c r="DK1" s="95"/>
      <c r="DL1" s="95"/>
      <c r="DM1" s="95"/>
      <c r="DN1" s="95"/>
      <c r="DO1" s="95"/>
      <c r="DP1" s="95"/>
      <c r="DQ1" s="95" t="s">
        <v>252</v>
      </c>
      <c r="DR1" s="95"/>
      <c r="DS1" s="95"/>
      <c r="DT1" s="95"/>
      <c r="DU1" s="95"/>
      <c r="DV1" s="95"/>
      <c r="DW1" s="95"/>
      <c r="DX1" s="95"/>
      <c r="DY1" s="95"/>
      <c r="DZ1" s="95"/>
      <c r="EA1" s="95"/>
      <c r="EB1" s="95"/>
      <c r="EC1" s="95"/>
      <c r="ED1" s="95"/>
      <c r="EE1" s="95"/>
      <c r="EF1" s="95"/>
      <c r="EG1" s="95"/>
      <c r="EH1" s="95" t="s">
        <v>256</v>
      </c>
      <c r="EI1" s="95"/>
      <c r="EJ1" s="95"/>
      <c r="EK1" s="95"/>
      <c r="EL1" s="95"/>
      <c r="EM1" s="95"/>
      <c r="EN1" s="95"/>
      <c r="EO1" s="95"/>
      <c r="EP1" s="95"/>
      <c r="EQ1" s="95"/>
      <c r="ER1" s="95"/>
      <c r="ES1" s="95"/>
      <c r="ET1" s="95"/>
      <c r="EU1" s="95"/>
      <c r="EV1" s="95"/>
      <c r="EW1" s="95"/>
      <c r="EX1" s="95"/>
      <c r="EY1" s="95" t="s">
        <v>257</v>
      </c>
      <c r="EZ1" s="95"/>
      <c r="FA1" s="95"/>
      <c r="FB1" s="95"/>
      <c r="FC1" s="95"/>
      <c r="FD1" s="95"/>
      <c r="FE1" s="95"/>
      <c r="FF1" s="95"/>
      <c r="FG1" s="95"/>
      <c r="FH1" s="95"/>
      <c r="FI1" s="95"/>
      <c r="FJ1" s="95"/>
      <c r="FK1" s="95"/>
      <c r="FL1" s="95"/>
      <c r="FM1" s="95"/>
      <c r="FN1" s="95"/>
      <c r="FO1" s="95"/>
      <c r="FP1" s="95" t="s">
        <v>258</v>
      </c>
      <c r="FQ1" s="95"/>
      <c r="FR1" s="95"/>
      <c r="FS1" s="95"/>
      <c r="FT1" s="95"/>
      <c r="FU1" s="95"/>
      <c r="FV1" s="95"/>
      <c r="FW1" s="95"/>
      <c r="FX1" s="95"/>
      <c r="FY1" s="95"/>
      <c r="FZ1" s="95"/>
      <c r="GA1" s="95"/>
      <c r="GB1" s="95"/>
      <c r="GC1" s="95"/>
      <c r="GD1" s="95"/>
      <c r="GE1" s="95"/>
      <c r="GF1" s="95"/>
    </row>
    <row r="2" spans="1:188" s="24" customFormat="1">
      <c r="B2" s="96" t="s">
        <v>321</v>
      </c>
      <c r="C2" s="96"/>
      <c r="D2" s="96"/>
      <c r="E2" s="96"/>
      <c r="F2" s="96"/>
      <c r="G2" s="96"/>
      <c r="H2" s="96"/>
      <c r="I2" s="96"/>
      <c r="J2" s="96"/>
      <c r="K2" s="96"/>
      <c r="L2" s="96"/>
      <c r="M2" s="96"/>
      <c r="N2" s="96"/>
      <c r="O2" s="96"/>
      <c r="P2" s="96"/>
      <c r="Q2" s="96"/>
      <c r="R2" s="96"/>
      <c r="S2" s="96" t="s">
        <v>370</v>
      </c>
      <c r="T2" s="96"/>
      <c r="U2" s="96"/>
      <c r="V2" s="96"/>
      <c r="W2" s="96"/>
      <c r="X2" s="96"/>
      <c r="Y2" s="96"/>
      <c r="Z2" s="96"/>
      <c r="AA2" s="96"/>
      <c r="AB2" s="96"/>
      <c r="AC2" s="96"/>
      <c r="AD2" s="96"/>
      <c r="AE2" s="96"/>
      <c r="AF2" s="96"/>
      <c r="AG2" s="96"/>
      <c r="AH2" s="96"/>
      <c r="AI2" s="96"/>
      <c r="AJ2" s="96" t="s">
        <v>371</v>
      </c>
      <c r="AK2" s="96"/>
      <c r="AL2" s="96"/>
      <c r="AM2" s="96"/>
      <c r="AN2" s="96"/>
      <c r="AO2" s="96"/>
      <c r="AP2" s="96"/>
      <c r="AQ2" s="96"/>
      <c r="AR2" s="96"/>
      <c r="AS2" s="96"/>
      <c r="AT2" s="96"/>
      <c r="AU2" s="96"/>
      <c r="AV2" s="96"/>
      <c r="AW2" s="96"/>
      <c r="AX2" s="96"/>
      <c r="AY2" s="96"/>
      <c r="AZ2" s="96"/>
      <c r="BA2" s="96" t="s">
        <v>372</v>
      </c>
      <c r="BB2" s="96"/>
      <c r="BC2" s="96"/>
      <c r="BD2" s="96"/>
      <c r="BE2" s="96"/>
      <c r="BF2" s="96"/>
      <c r="BG2" s="96"/>
      <c r="BH2" s="96"/>
      <c r="BI2" s="96"/>
      <c r="BJ2" s="96"/>
      <c r="BK2" s="96"/>
      <c r="BL2" s="96"/>
      <c r="BM2" s="96"/>
      <c r="BN2" s="96"/>
      <c r="BO2" s="96"/>
      <c r="BP2" s="96"/>
      <c r="BQ2" s="96"/>
      <c r="BR2" s="96" t="s">
        <v>373</v>
      </c>
      <c r="BS2" s="96"/>
      <c r="BT2" s="96"/>
      <c r="BU2" s="96"/>
      <c r="BV2" s="96"/>
      <c r="BW2" s="96"/>
      <c r="BX2" s="96"/>
      <c r="BY2" s="96"/>
      <c r="BZ2" s="96"/>
      <c r="CA2" s="96"/>
      <c r="CB2" s="96"/>
      <c r="CC2" s="96"/>
      <c r="CD2" s="96"/>
      <c r="CE2" s="96"/>
      <c r="CF2" s="96"/>
      <c r="CG2" s="96"/>
      <c r="CH2" s="96"/>
      <c r="CI2" s="96" t="s">
        <v>374</v>
      </c>
      <c r="CJ2" s="96"/>
      <c r="CK2" s="96"/>
      <c r="CL2" s="96"/>
      <c r="CM2" s="96"/>
      <c r="CN2" s="96"/>
      <c r="CO2" s="96"/>
      <c r="CP2" s="96"/>
      <c r="CQ2" s="96"/>
      <c r="CR2" s="96"/>
      <c r="CS2" s="96"/>
      <c r="CT2" s="96"/>
      <c r="CU2" s="96"/>
      <c r="CV2" s="96"/>
      <c r="CW2" s="96"/>
      <c r="CX2" s="96"/>
      <c r="CY2" s="96"/>
      <c r="CZ2" s="96" t="s">
        <v>375</v>
      </c>
      <c r="DA2" s="96"/>
      <c r="DB2" s="96"/>
      <c r="DC2" s="96"/>
      <c r="DD2" s="96"/>
      <c r="DE2" s="96"/>
      <c r="DF2" s="96"/>
      <c r="DG2" s="96"/>
      <c r="DH2" s="96"/>
      <c r="DI2" s="96"/>
      <c r="DJ2" s="96"/>
      <c r="DK2" s="96"/>
      <c r="DL2" s="96"/>
      <c r="DM2" s="96"/>
      <c r="DN2" s="96"/>
      <c r="DO2" s="96"/>
      <c r="DP2" s="96"/>
      <c r="DQ2" s="96" t="s">
        <v>376</v>
      </c>
      <c r="DR2" s="96"/>
      <c r="DS2" s="96"/>
      <c r="DT2" s="96"/>
      <c r="DU2" s="96"/>
      <c r="DV2" s="96"/>
      <c r="DW2" s="96"/>
      <c r="DX2" s="96"/>
      <c r="DY2" s="96"/>
      <c r="DZ2" s="96"/>
      <c r="EA2" s="96"/>
      <c r="EB2" s="96"/>
      <c r="EC2" s="96"/>
      <c r="ED2" s="96"/>
      <c r="EE2" s="96"/>
      <c r="EF2" s="96"/>
      <c r="EG2" s="96"/>
      <c r="EH2" s="96" t="s">
        <v>377</v>
      </c>
      <c r="EI2" s="96"/>
      <c r="EJ2" s="96"/>
      <c r="EK2" s="96"/>
      <c r="EL2" s="96"/>
      <c r="EM2" s="96"/>
      <c r="EN2" s="96"/>
      <c r="EO2" s="96"/>
      <c r="EP2" s="96"/>
      <c r="EQ2" s="96"/>
      <c r="ER2" s="96"/>
      <c r="ES2" s="96"/>
      <c r="ET2" s="96"/>
      <c r="EU2" s="96"/>
      <c r="EV2" s="96"/>
      <c r="EW2" s="96"/>
      <c r="EX2" s="96"/>
      <c r="EY2" s="96" t="s">
        <v>378</v>
      </c>
      <c r="EZ2" s="96"/>
      <c r="FA2" s="96"/>
      <c r="FB2" s="96"/>
      <c r="FC2" s="96"/>
      <c r="FD2" s="96"/>
      <c r="FE2" s="96"/>
      <c r="FF2" s="96"/>
      <c r="FG2" s="96"/>
      <c r="FH2" s="96"/>
      <c r="FI2" s="96"/>
      <c r="FJ2" s="96"/>
      <c r="FK2" s="96"/>
      <c r="FL2" s="96"/>
      <c r="FM2" s="96"/>
      <c r="FN2" s="96"/>
      <c r="FO2" s="96"/>
      <c r="FP2" s="96" t="s">
        <v>379</v>
      </c>
      <c r="FQ2" s="96"/>
      <c r="FR2" s="96"/>
      <c r="FS2" s="96"/>
      <c r="FT2" s="96"/>
      <c r="FU2" s="96"/>
      <c r="FV2" s="96"/>
      <c r="FW2" s="96"/>
      <c r="FX2" s="96"/>
      <c r="FY2" s="96"/>
      <c r="FZ2" s="96"/>
      <c r="GA2" s="96"/>
      <c r="GB2" s="96"/>
      <c r="GC2" s="96"/>
      <c r="GD2" s="96"/>
      <c r="GE2" s="96"/>
      <c r="GF2" s="96"/>
    </row>
    <row r="3" spans="1:188" s="25" customFormat="1" ht="53.25" customHeight="1">
      <c r="A3" s="27"/>
      <c r="B3" s="97" t="s">
        <v>562</v>
      </c>
      <c r="C3" s="97" t="s">
        <v>563</v>
      </c>
      <c r="D3" s="97" t="s">
        <v>951</v>
      </c>
      <c r="E3" s="97" t="s">
        <v>563</v>
      </c>
      <c r="F3" s="97" t="s">
        <v>565</v>
      </c>
      <c r="G3" s="97" t="s">
        <v>563</v>
      </c>
      <c r="H3" s="97" t="s">
        <v>566</v>
      </c>
      <c r="I3" s="97" t="s">
        <v>563</v>
      </c>
      <c r="J3" s="97" t="s">
        <v>567</v>
      </c>
      <c r="K3" s="97" t="s">
        <v>563</v>
      </c>
      <c r="L3" s="97" t="s">
        <v>568</v>
      </c>
      <c r="M3" s="97" t="s">
        <v>563</v>
      </c>
      <c r="N3" s="97" t="s">
        <v>579</v>
      </c>
      <c r="O3" s="97" t="s">
        <v>563</v>
      </c>
      <c r="P3" s="97" t="s">
        <v>952</v>
      </c>
      <c r="Q3" s="97" t="s">
        <v>805</v>
      </c>
      <c r="R3" s="97" t="s">
        <v>764</v>
      </c>
      <c r="S3" s="97" t="s">
        <v>562</v>
      </c>
      <c r="T3" s="97" t="s">
        <v>563</v>
      </c>
      <c r="U3" s="97" t="s">
        <v>564</v>
      </c>
      <c r="V3" s="97" t="s">
        <v>563</v>
      </c>
      <c r="W3" s="97" t="s">
        <v>565</v>
      </c>
      <c r="X3" s="97" t="s">
        <v>563</v>
      </c>
      <c r="Y3" s="97" t="s">
        <v>566</v>
      </c>
      <c r="Z3" s="97" t="s">
        <v>563</v>
      </c>
      <c r="AA3" s="97" t="s">
        <v>567</v>
      </c>
      <c r="AB3" s="97" t="s">
        <v>563</v>
      </c>
      <c r="AC3" s="97" t="s">
        <v>568</v>
      </c>
      <c r="AD3" s="97" t="s">
        <v>563</v>
      </c>
      <c r="AE3" s="97" t="s">
        <v>579</v>
      </c>
      <c r="AF3" s="97" t="s">
        <v>563</v>
      </c>
      <c r="AG3" s="97" t="s">
        <v>369</v>
      </c>
      <c r="AH3" s="97" t="s">
        <v>805</v>
      </c>
      <c r="AI3" s="97" t="s">
        <v>764</v>
      </c>
      <c r="AJ3" s="97" t="s">
        <v>562</v>
      </c>
      <c r="AK3" s="97" t="s">
        <v>563</v>
      </c>
      <c r="AL3" s="97" t="s">
        <v>564</v>
      </c>
      <c r="AM3" s="97" t="s">
        <v>563</v>
      </c>
      <c r="AN3" s="97" t="s">
        <v>565</v>
      </c>
      <c r="AO3" s="97" t="s">
        <v>563</v>
      </c>
      <c r="AP3" s="97" t="s">
        <v>566</v>
      </c>
      <c r="AQ3" s="97" t="s">
        <v>563</v>
      </c>
      <c r="AR3" s="97" t="s">
        <v>567</v>
      </c>
      <c r="AS3" s="97" t="s">
        <v>563</v>
      </c>
      <c r="AT3" s="97" t="s">
        <v>568</v>
      </c>
      <c r="AU3" s="97" t="s">
        <v>563</v>
      </c>
      <c r="AV3" s="97" t="s">
        <v>579</v>
      </c>
      <c r="AW3" s="97" t="s">
        <v>563</v>
      </c>
      <c r="AX3" s="97" t="s">
        <v>369</v>
      </c>
      <c r="AY3" s="97" t="s">
        <v>805</v>
      </c>
      <c r="AZ3" s="97" t="s">
        <v>764</v>
      </c>
      <c r="BA3" s="97" t="s">
        <v>562</v>
      </c>
      <c r="BB3" s="97" t="s">
        <v>563</v>
      </c>
      <c r="BC3" s="97" t="s">
        <v>564</v>
      </c>
      <c r="BD3" s="97" t="s">
        <v>563</v>
      </c>
      <c r="BE3" s="97" t="s">
        <v>565</v>
      </c>
      <c r="BF3" s="97" t="s">
        <v>563</v>
      </c>
      <c r="BG3" s="97" t="s">
        <v>566</v>
      </c>
      <c r="BH3" s="97" t="s">
        <v>563</v>
      </c>
      <c r="BI3" s="97" t="s">
        <v>567</v>
      </c>
      <c r="BJ3" s="97" t="s">
        <v>563</v>
      </c>
      <c r="BK3" s="97" t="s">
        <v>568</v>
      </c>
      <c r="BL3" s="97" t="s">
        <v>563</v>
      </c>
      <c r="BM3" s="97" t="s">
        <v>579</v>
      </c>
      <c r="BN3" s="97" t="s">
        <v>563</v>
      </c>
      <c r="BO3" s="97" t="s">
        <v>369</v>
      </c>
      <c r="BP3" s="97" t="s">
        <v>805</v>
      </c>
      <c r="BQ3" s="97" t="s">
        <v>764</v>
      </c>
      <c r="BR3" s="97" t="s">
        <v>562</v>
      </c>
      <c r="BS3" s="97" t="s">
        <v>563</v>
      </c>
      <c r="BT3" s="97" t="s">
        <v>564</v>
      </c>
      <c r="BU3" s="97" t="s">
        <v>563</v>
      </c>
      <c r="BV3" s="97" t="s">
        <v>565</v>
      </c>
      <c r="BW3" s="97" t="s">
        <v>563</v>
      </c>
      <c r="BX3" s="97" t="s">
        <v>566</v>
      </c>
      <c r="BY3" s="97" t="s">
        <v>563</v>
      </c>
      <c r="BZ3" s="97" t="s">
        <v>567</v>
      </c>
      <c r="CA3" s="97" t="s">
        <v>563</v>
      </c>
      <c r="CB3" s="97" t="s">
        <v>568</v>
      </c>
      <c r="CC3" s="97" t="s">
        <v>563</v>
      </c>
      <c r="CD3" s="97" t="s">
        <v>579</v>
      </c>
      <c r="CE3" s="97" t="s">
        <v>563</v>
      </c>
      <c r="CF3" s="97" t="s">
        <v>369</v>
      </c>
      <c r="CG3" s="97" t="s">
        <v>805</v>
      </c>
      <c r="CH3" s="97" t="s">
        <v>764</v>
      </c>
      <c r="CI3" s="97" t="s">
        <v>562</v>
      </c>
      <c r="CJ3" s="97" t="s">
        <v>563</v>
      </c>
      <c r="CK3" s="97" t="s">
        <v>564</v>
      </c>
      <c r="CL3" s="97" t="s">
        <v>563</v>
      </c>
      <c r="CM3" s="97" t="s">
        <v>565</v>
      </c>
      <c r="CN3" s="97" t="s">
        <v>563</v>
      </c>
      <c r="CO3" s="97" t="s">
        <v>566</v>
      </c>
      <c r="CP3" s="97" t="s">
        <v>563</v>
      </c>
      <c r="CQ3" s="97" t="s">
        <v>567</v>
      </c>
      <c r="CR3" s="97" t="s">
        <v>563</v>
      </c>
      <c r="CS3" s="97" t="s">
        <v>568</v>
      </c>
      <c r="CT3" s="97" t="s">
        <v>563</v>
      </c>
      <c r="CU3" s="97" t="s">
        <v>579</v>
      </c>
      <c r="CV3" s="97" t="s">
        <v>563</v>
      </c>
      <c r="CW3" s="97" t="s">
        <v>369</v>
      </c>
      <c r="CX3" s="97" t="s">
        <v>805</v>
      </c>
      <c r="CY3" s="97" t="s">
        <v>764</v>
      </c>
      <c r="CZ3" s="97" t="s">
        <v>562</v>
      </c>
      <c r="DA3" s="97" t="s">
        <v>563</v>
      </c>
      <c r="DB3" s="97" t="s">
        <v>564</v>
      </c>
      <c r="DC3" s="97" t="s">
        <v>563</v>
      </c>
      <c r="DD3" s="97" t="s">
        <v>565</v>
      </c>
      <c r="DE3" s="97" t="s">
        <v>563</v>
      </c>
      <c r="DF3" s="97" t="s">
        <v>566</v>
      </c>
      <c r="DG3" s="97" t="s">
        <v>563</v>
      </c>
      <c r="DH3" s="97" t="s">
        <v>567</v>
      </c>
      <c r="DI3" s="97" t="s">
        <v>563</v>
      </c>
      <c r="DJ3" s="97" t="s">
        <v>568</v>
      </c>
      <c r="DK3" s="97" t="s">
        <v>563</v>
      </c>
      <c r="DL3" s="97" t="s">
        <v>579</v>
      </c>
      <c r="DM3" s="97" t="s">
        <v>563</v>
      </c>
      <c r="DN3" s="97" t="s">
        <v>369</v>
      </c>
      <c r="DO3" s="97" t="s">
        <v>805</v>
      </c>
      <c r="DP3" s="97" t="s">
        <v>764</v>
      </c>
      <c r="DQ3" s="97" t="s">
        <v>562</v>
      </c>
      <c r="DR3" s="97" t="s">
        <v>563</v>
      </c>
      <c r="DS3" s="97" t="s">
        <v>564</v>
      </c>
      <c r="DT3" s="97" t="s">
        <v>563</v>
      </c>
      <c r="DU3" s="97" t="s">
        <v>565</v>
      </c>
      <c r="DV3" s="97" t="s">
        <v>563</v>
      </c>
      <c r="DW3" s="97" t="s">
        <v>566</v>
      </c>
      <c r="DX3" s="97" t="s">
        <v>563</v>
      </c>
      <c r="DY3" s="97" t="s">
        <v>567</v>
      </c>
      <c r="DZ3" s="97" t="s">
        <v>563</v>
      </c>
      <c r="EA3" s="97" t="s">
        <v>568</v>
      </c>
      <c r="EB3" s="97" t="s">
        <v>563</v>
      </c>
      <c r="EC3" s="97" t="s">
        <v>579</v>
      </c>
      <c r="ED3" s="97" t="s">
        <v>563</v>
      </c>
      <c r="EE3" s="97" t="s">
        <v>369</v>
      </c>
      <c r="EF3" s="97" t="s">
        <v>805</v>
      </c>
      <c r="EG3" s="97" t="s">
        <v>764</v>
      </c>
      <c r="EH3" s="97" t="s">
        <v>562</v>
      </c>
      <c r="EI3" s="97" t="s">
        <v>563</v>
      </c>
      <c r="EJ3" s="97" t="s">
        <v>564</v>
      </c>
      <c r="EK3" s="97" t="s">
        <v>563</v>
      </c>
      <c r="EL3" s="97" t="s">
        <v>565</v>
      </c>
      <c r="EM3" s="97" t="s">
        <v>563</v>
      </c>
      <c r="EN3" s="97" t="s">
        <v>566</v>
      </c>
      <c r="EO3" s="97" t="s">
        <v>563</v>
      </c>
      <c r="EP3" s="97" t="s">
        <v>567</v>
      </c>
      <c r="EQ3" s="97" t="s">
        <v>563</v>
      </c>
      <c r="ER3" s="97" t="s">
        <v>568</v>
      </c>
      <c r="ES3" s="97" t="s">
        <v>563</v>
      </c>
      <c r="ET3" s="97" t="s">
        <v>579</v>
      </c>
      <c r="EU3" s="97" t="s">
        <v>563</v>
      </c>
      <c r="EV3" s="97" t="s">
        <v>369</v>
      </c>
      <c r="EW3" s="97" t="s">
        <v>805</v>
      </c>
      <c r="EX3" s="97" t="s">
        <v>764</v>
      </c>
      <c r="EY3" s="97" t="s">
        <v>562</v>
      </c>
      <c r="EZ3" s="97" t="s">
        <v>563</v>
      </c>
      <c r="FA3" s="97" t="s">
        <v>564</v>
      </c>
      <c r="FB3" s="97" t="s">
        <v>563</v>
      </c>
      <c r="FC3" s="97" t="s">
        <v>565</v>
      </c>
      <c r="FD3" s="97" t="s">
        <v>563</v>
      </c>
      <c r="FE3" s="97" t="s">
        <v>566</v>
      </c>
      <c r="FF3" s="97" t="s">
        <v>563</v>
      </c>
      <c r="FG3" s="97" t="s">
        <v>567</v>
      </c>
      <c r="FH3" s="97" t="s">
        <v>563</v>
      </c>
      <c r="FI3" s="97" t="s">
        <v>568</v>
      </c>
      <c r="FJ3" s="97" t="s">
        <v>563</v>
      </c>
      <c r="FK3" s="97" t="s">
        <v>579</v>
      </c>
      <c r="FL3" s="97" t="s">
        <v>563</v>
      </c>
      <c r="FM3" s="97" t="s">
        <v>369</v>
      </c>
      <c r="FN3" s="97" t="s">
        <v>805</v>
      </c>
      <c r="FO3" s="97" t="s">
        <v>764</v>
      </c>
      <c r="FP3" s="97" t="s">
        <v>562</v>
      </c>
      <c r="FQ3" s="97" t="s">
        <v>563</v>
      </c>
      <c r="FR3" s="97" t="s">
        <v>564</v>
      </c>
      <c r="FS3" s="97" t="s">
        <v>563</v>
      </c>
      <c r="FT3" s="97" t="s">
        <v>565</v>
      </c>
      <c r="FU3" s="97" t="s">
        <v>563</v>
      </c>
      <c r="FV3" s="97" t="s">
        <v>566</v>
      </c>
      <c r="FW3" s="97" t="s">
        <v>563</v>
      </c>
      <c r="FX3" s="97" t="s">
        <v>567</v>
      </c>
      <c r="FY3" s="97" t="s">
        <v>563</v>
      </c>
      <c r="FZ3" s="97" t="s">
        <v>568</v>
      </c>
      <c r="GA3" s="97" t="s">
        <v>563</v>
      </c>
      <c r="GB3" s="97" t="s">
        <v>579</v>
      </c>
      <c r="GC3" s="97" t="s">
        <v>563</v>
      </c>
      <c r="GD3" s="97" t="s">
        <v>369</v>
      </c>
      <c r="GE3" s="97" t="s">
        <v>805</v>
      </c>
      <c r="GF3" s="97" t="s">
        <v>764</v>
      </c>
    </row>
    <row r="4" spans="1:188" s="25" customFormat="1" ht="16.5" customHeight="1">
      <c r="A4" s="27"/>
      <c r="B4" s="97"/>
      <c r="C4" s="97"/>
      <c r="D4" s="97" t="s">
        <v>323</v>
      </c>
      <c r="E4" s="97"/>
      <c r="F4" s="97"/>
      <c r="G4" s="97"/>
      <c r="H4" s="97"/>
      <c r="I4" s="97"/>
      <c r="J4" s="97"/>
      <c r="K4" s="97"/>
      <c r="L4" s="97"/>
      <c r="M4" s="97"/>
      <c r="N4" s="97"/>
      <c r="O4" s="97"/>
      <c r="P4" s="97" t="s">
        <v>323</v>
      </c>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row>
    <row r="5" spans="1:188" s="25" customFormat="1" ht="48">
      <c r="A5" s="27"/>
      <c r="B5" s="97" t="s">
        <v>105</v>
      </c>
      <c r="C5" s="97" t="s">
        <v>799</v>
      </c>
      <c r="D5" s="97" t="s">
        <v>107</v>
      </c>
      <c r="E5" s="97" t="s">
        <v>800</v>
      </c>
      <c r="F5" s="97" t="s">
        <v>109</v>
      </c>
      <c r="G5" s="97" t="s">
        <v>801</v>
      </c>
      <c r="H5" s="97" t="s">
        <v>111</v>
      </c>
      <c r="I5" s="97" t="s">
        <v>802</v>
      </c>
      <c r="J5" s="97" t="s">
        <v>138</v>
      </c>
      <c r="K5" s="97" t="s">
        <v>803</v>
      </c>
      <c r="L5" s="97" t="s">
        <v>114</v>
      </c>
      <c r="M5" s="97" t="s">
        <v>804</v>
      </c>
      <c r="N5" s="97" t="s">
        <v>116</v>
      </c>
      <c r="O5" s="97" t="s">
        <v>243</v>
      </c>
      <c r="P5" s="97" t="s">
        <v>170</v>
      </c>
      <c r="Q5" s="97" t="s">
        <v>244</v>
      </c>
      <c r="R5" s="97" t="s">
        <v>806</v>
      </c>
      <c r="S5" s="97" t="s">
        <v>105</v>
      </c>
      <c r="T5" s="97" t="s">
        <v>807</v>
      </c>
      <c r="U5" s="97" t="s">
        <v>107</v>
      </c>
      <c r="V5" s="97" t="s">
        <v>808</v>
      </c>
      <c r="W5" s="97" t="s">
        <v>109</v>
      </c>
      <c r="X5" s="97" t="s">
        <v>809</v>
      </c>
      <c r="Y5" s="97" t="s">
        <v>111</v>
      </c>
      <c r="Z5" s="97" t="s">
        <v>810</v>
      </c>
      <c r="AA5" s="97" t="s">
        <v>138</v>
      </c>
      <c r="AB5" s="97" t="s">
        <v>811</v>
      </c>
      <c r="AC5" s="97" t="s">
        <v>114</v>
      </c>
      <c r="AD5" s="97" t="s">
        <v>812</v>
      </c>
      <c r="AE5" s="97" t="s">
        <v>116</v>
      </c>
      <c r="AF5" s="97" t="s">
        <v>243</v>
      </c>
      <c r="AG5" s="97" t="s">
        <v>170</v>
      </c>
      <c r="AH5" s="97" t="s">
        <v>244</v>
      </c>
      <c r="AI5" s="97" t="s">
        <v>806</v>
      </c>
      <c r="AJ5" s="97" t="s">
        <v>105</v>
      </c>
      <c r="AK5" s="97" t="s">
        <v>813</v>
      </c>
      <c r="AL5" s="97" t="s">
        <v>107</v>
      </c>
      <c r="AM5" s="97" t="s">
        <v>814</v>
      </c>
      <c r="AN5" s="97" t="s">
        <v>109</v>
      </c>
      <c r="AO5" s="97" t="s">
        <v>815</v>
      </c>
      <c r="AP5" s="97" t="s">
        <v>111</v>
      </c>
      <c r="AQ5" s="97" t="s">
        <v>816</v>
      </c>
      <c r="AR5" s="97" t="s">
        <v>138</v>
      </c>
      <c r="AS5" s="97" t="s">
        <v>817</v>
      </c>
      <c r="AT5" s="97" t="s">
        <v>114</v>
      </c>
      <c r="AU5" s="97" t="s">
        <v>818</v>
      </c>
      <c r="AV5" s="97" t="s">
        <v>116</v>
      </c>
      <c r="AW5" s="97" t="s">
        <v>243</v>
      </c>
      <c r="AX5" s="97" t="s">
        <v>170</v>
      </c>
      <c r="AY5" s="97" t="s">
        <v>244</v>
      </c>
      <c r="AZ5" s="97" t="s">
        <v>806</v>
      </c>
      <c r="BA5" s="97" t="s">
        <v>105</v>
      </c>
      <c r="BB5" s="97" t="s">
        <v>819</v>
      </c>
      <c r="BC5" s="97" t="s">
        <v>107</v>
      </c>
      <c r="BD5" s="97" t="s">
        <v>820</v>
      </c>
      <c r="BE5" s="97" t="s">
        <v>109</v>
      </c>
      <c r="BF5" s="97" t="s">
        <v>821</v>
      </c>
      <c r="BG5" s="97" t="s">
        <v>111</v>
      </c>
      <c r="BH5" s="97" t="s">
        <v>822</v>
      </c>
      <c r="BI5" s="97" t="s">
        <v>138</v>
      </c>
      <c r="BJ5" s="97" t="s">
        <v>823</v>
      </c>
      <c r="BK5" s="97" t="s">
        <v>114</v>
      </c>
      <c r="BL5" s="97" t="s">
        <v>824</v>
      </c>
      <c r="BM5" s="97" t="s">
        <v>116</v>
      </c>
      <c r="BN5" s="97" t="s">
        <v>243</v>
      </c>
      <c r="BO5" s="97" t="s">
        <v>170</v>
      </c>
      <c r="BP5" s="97" t="s">
        <v>244</v>
      </c>
      <c r="BQ5" s="97" t="s">
        <v>806</v>
      </c>
      <c r="BR5" s="97" t="s">
        <v>105</v>
      </c>
      <c r="BS5" s="97" t="s">
        <v>825</v>
      </c>
      <c r="BT5" s="97" t="s">
        <v>107</v>
      </c>
      <c r="BU5" s="97" t="s">
        <v>826</v>
      </c>
      <c r="BV5" s="97" t="s">
        <v>109</v>
      </c>
      <c r="BW5" s="97" t="s">
        <v>827</v>
      </c>
      <c r="BX5" s="97" t="s">
        <v>111</v>
      </c>
      <c r="BY5" s="97" t="s">
        <v>828</v>
      </c>
      <c r="BZ5" s="97" t="s">
        <v>138</v>
      </c>
      <c r="CA5" s="97" t="s">
        <v>829</v>
      </c>
      <c r="CB5" s="97" t="s">
        <v>114</v>
      </c>
      <c r="CC5" s="97" t="s">
        <v>830</v>
      </c>
      <c r="CD5" s="97" t="s">
        <v>116</v>
      </c>
      <c r="CE5" s="97" t="s">
        <v>243</v>
      </c>
      <c r="CF5" s="97" t="s">
        <v>170</v>
      </c>
      <c r="CG5" s="97" t="s">
        <v>244</v>
      </c>
      <c r="CH5" s="97" t="s">
        <v>806</v>
      </c>
      <c r="CI5" s="97" t="s">
        <v>105</v>
      </c>
      <c r="CJ5" s="97" t="s">
        <v>831</v>
      </c>
      <c r="CK5" s="97" t="s">
        <v>107</v>
      </c>
      <c r="CL5" s="97" t="s">
        <v>832</v>
      </c>
      <c r="CM5" s="97" t="s">
        <v>109</v>
      </c>
      <c r="CN5" s="97" t="s">
        <v>833</v>
      </c>
      <c r="CO5" s="97" t="s">
        <v>111</v>
      </c>
      <c r="CP5" s="97" t="s">
        <v>834</v>
      </c>
      <c r="CQ5" s="97" t="s">
        <v>138</v>
      </c>
      <c r="CR5" s="97" t="s">
        <v>835</v>
      </c>
      <c r="CS5" s="97" t="s">
        <v>114</v>
      </c>
      <c r="CT5" s="97" t="s">
        <v>836</v>
      </c>
      <c r="CU5" s="97" t="s">
        <v>116</v>
      </c>
      <c r="CV5" s="97" t="s">
        <v>243</v>
      </c>
      <c r="CW5" s="97" t="s">
        <v>170</v>
      </c>
      <c r="CX5" s="97" t="s">
        <v>244</v>
      </c>
      <c r="CY5" s="97" t="s">
        <v>806</v>
      </c>
      <c r="CZ5" s="97" t="s">
        <v>105</v>
      </c>
      <c r="DA5" s="97" t="s">
        <v>837</v>
      </c>
      <c r="DB5" s="97" t="s">
        <v>107</v>
      </c>
      <c r="DC5" s="97" t="s">
        <v>838</v>
      </c>
      <c r="DD5" s="97" t="s">
        <v>109</v>
      </c>
      <c r="DE5" s="97" t="s">
        <v>839</v>
      </c>
      <c r="DF5" s="97" t="s">
        <v>111</v>
      </c>
      <c r="DG5" s="97" t="s">
        <v>840</v>
      </c>
      <c r="DH5" s="97" t="s">
        <v>138</v>
      </c>
      <c r="DI5" s="97" t="s">
        <v>841</v>
      </c>
      <c r="DJ5" s="97" t="s">
        <v>114</v>
      </c>
      <c r="DK5" s="97" t="s">
        <v>842</v>
      </c>
      <c r="DL5" s="97" t="s">
        <v>116</v>
      </c>
      <c r="DM5" s="97" t="s">
        <v>243</v>
      </c>
      <c r="DN5" s="97" t="s">
        <v>170</v>
      </c>
      <c r="DO5" s="97" t="s">
        <v>244</v>
      </c>
      <c r="DP5" s="97" t="s">
        <v>806</v>
      </c>
      <c r="DQ5" s="97" t="s">
        <v>105</v>
      </c>
      <c r="DR5" s="97" t="s">
        <v>843</v>
      </c>
      <c r="DS5" s="97" t="s">
        <v>107</v>
      </c>
      <c r="DT5" s="97" t="s">
        <v>844</v>
      </c>
      <c r="DU5" s="97" t="s">
        <v>109</v>
      </c>
      <c r="DV5" s="97" t="s">
        <v>845</v>
      </c>
      <c r="DW5" s="97" t="s">
        <v>111</v>
      </c>
      <c r="DX5" s="97" t="s">
        <v>846</v>
      </c>
      <c r="DY5" s="97" t="s">
        <v>138</v>
      </c>
      <c r="DZ5" s="97" t="s">
        <v>847</v>
      </c>
      <c r="EA5" s="97" t="s">
        <v>114</v>
      </c>
      <c r="EB5" s="97" t="s">
        <v>848</v>
      </c>
      <c r="EC5" s="97" t="s">
        <v>116</v>
      </c>
      <c r="ED5" s="97" t="s">
        <v>243</v>
      </c>
      <c r="EE5" s="97" t="s">
        <v>170</v>
      </c>
      <c r="EF5" s="97" t="s">
        <v>244</v>
      </c>
      <c r="EG5" s="97" t="s">
        <v>806</v>
      </c>
      <c r="EH5" s="97" t="s">
        <v>105</v>
      </c>
      <c r="EI5" s="97" t="s">
        <v>849</v>
      </c>
      <c r="EJ5" s="97" t="s">
        <v>107</v>
      </c>
      <c r="EK5" s="97" t="s">
        <v>850</v>
      </c>
      <c r="EL5" s="97" t="s">
        <v>109</v>
      </c>
      <c r="EM5" s="97" t="s">
        <v>851</v>
      </c>
      <c r="EN5" s="97" t="s">
        <v>111</v>
      </c>
      <c r="EO5" s="97" t="s">
        <v>852</v>
      </c>
      <c r="EP5" s="97" t="s">
        <v>138</v>
      </c>
      <c r="EQ5" s="97" t="s">
        <v>853</v>
      </c>
      <c r="ER5" s="97" t="s">
        <v>114</v>
      </c>
      <c r="ES5" s="97" t="s">
        <v>854</v>
      </c>
      <c r="ET5" s="97" t="s">
        <v>116</v>
      </c>
      <c r="EU5" s="97" t="s">
        <v>243</v>
      </c>
      <c r="EV5" s="97" t="s">
        <v>170</v>
      </c>
      <c r="EW5" s="97" t="s">
        <v>244</v>
      </c>
      <c r="EX5" s="97" t="s">
        <v>806</v>
      </c>
      <c r="EY5" s="97" t="s">
        <v>105</v>
      </c>
      <c r="EZ5" s="97" t="s">
        <v>855</v>
      </c>
      <c r="FA5" s="97" t="s">
        <v>107</v>
      </c>
      <c r="FB5" s="97" t="s">
        <v>857</v>
      </c>
      <c r="FC5" s="97" t="s">
        <v>109</v>
      </c>
      <c r="FD5" s="97" t="s">
        <v>856</v>
      </c>
      <c r="FE5" s="97" t="s">
        <v>111</v>
      </c>
      <c r="FF5" s="97" t="s">
        <v>858</v>
      </c>
      <c r="FG5" s="97" t="s">
        <v>138</v>
      </c>
      <c r="FH5" s="97" t="s">
        <v>859</v>
      </c>
      <c r="FI5" s="97" t="s">
        <v>114</v>
      </c>
      <c r="FJ5" s="97" t="s">
        <v>860</v>
      </c>
      <c r="FK5" s="97" t="s">
        <v>116</v>
      </c>
      <c r="FL5" s="97" t="s">
        <v>243</v>
      </c>
      <c r="FM5" s="97" t="s">
        <v>170</v>
      </c>
      <c r="FN5" s="97" t="s">
        <v>244</v>
      </c>
      <c r="FO5" s="97" t="s">
        <v>806</v>
      </c>
      <c r="FP5" s="97" t="s">
        <v>105</v>
      </c>
      <c r="FQ5" s="97" t="s">
        <v>861</v>
      </c>
      <c r="FR5" s="97" t="s">
        <v>107</v>
      </c>
      <c r="FS5" s="97" t="s">
        <v>862</v>
      </c>
      <c r="FT5" s="97" t="s">
        <v>109</v>
      </c>
      <c r="FU5" s="97" t="s">
        <v>863</v>
      </c>
      <c r="FV5" s="97" t="s">
        <v>111</v>
      </c>
      <c r="FW5" s="97" t="s">
        <v>864</v>
      </c>
      <c r="FX5" s="97" t="s">
        <v>138</v>
      </c>
      <c r="FY5" s="97" t="s">
        <v>865</v>
      </c>
      <c r="FZ5" s="97" t="s">
        <v>114</v>
      </c>
      <c r="GA5" s="97" t="s">
        <v>866</v>
      </c>
      <c r="GB5" s="97" t="s">
        <v>116</v>
      </c>
      <c r="GC5" s="97" t="s">
        <v>243</v>
      </c>
      <c r="GD5" s="97" t="s">
        <v>170</v>
      </c>
      <c r="GE5" s="97" t="s">
        <v>244</v>
      </c>
      <c r="GF5" s="97" t="s">
        <v>806</v>
      </c>
    </row>
    <row r="6" spans="1:188" s="25" customFormat="1" ht="12" hidden="1">
      <c r="A6" s="27"/>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row>
    <row r="7" spans="1:188" s="25" customFormat="1" ht="12" hidden="1" customHeight="1">
      <c r="A7" s="201">
        <v>1971</v>
      </c>
      <c r="B7" s="98">
        <v>4353.4780201758695</v>
      </c>
      <c r="C7" s="98">
        <f t="shared" ref="C7:C16" si="0">B7*68070/1000000</f>
        <v>296.34124883337148</v>
      </c>
      <c r="D7" s="98">
        <v>6882.849055798396</v>
      </c>
      <c r="E7" s="98">
        <f t="shared" ref="E7:E16" si="1">D7*85087/1000000</f>
        <v>585.6409776107181</v>
      </c>
      <c r="F7" s="98"/>
      <c r="G7" s="98"/>
      <c r="H7" s="98">
        <v>1700.4289634711138</v>
      </c>
      <c r="I7" s="98">
        <f t="shared" ref="I7:I16" si="2">H7*119470/1000000</f>
        <v>203.15024826589396</v>
      </c>
      <c r="J7" s="98">
        <v>1569.2527441800785</v>
      </c>
      <c r="K7" s="98">
        <f t="shared" ref="K7:K16" si="3">J7*131310/1000000</f>
        <v>206.05857783828611</v>
      </c>
      <c r="L7" s="98">
        <v>913.07900136419346</v>
      </c>
      <c r="M7" s="98">
        <f t="shared" ref="M7:M16" si="4">L7*202751/1000000</f>
        <v>185.12768060559159</v>
      </c>
      <c r="N7" s="98">
        <v>15226.634632656725</v>
      </c>
      <c r="O7" s="99">
        <f>(C7)+(E7)+(G7)+(I7)+(K7)+(M7)</f>
        <v>1476.3187331538611</v>
      </c>
      <c r="P7" s="98">
        <f>'a1'!F8/1000</f>
        <v>21962.031999999999</v>
      </c>
      <c r="Q7" s="100">
        <f t="shared" ref="Q7:Q38" si="5">(O7)/(P7)*1000000</f>
        <v>67221.408891211031</v>
      </c>
      <c r="R7" s="168">
        <f>Q7/'a8'!C$39*100</f>
        <v>67969.068646320549</v>
      </c>
      <c r="S7" s="98">
        <f>(AE7)*0.2892</f>
        <v>101.15005802967802</v>
      </c>
      <c r="T7" s="100">
        <f t="shared" ref="T7:T16" si="6">(S7)*59824/1000000</f>
        <v>6.0512010715674585</v>
      </c>
      <c r="U7" s="98">
        <f>(AE7)*0.4508</f>
        <v>157.67097565622007</v>
      </c>
      <c r="V7" s="100">
        <f t="shared" ref="V7:V16" si="7">(U7)*74780/1000000</f>
        <v>11.790635559572136</v>
      </c>
      <c r="W7" s="98"/>
      <c r="X7" s="98"/>
      <c r="Y7" s="98">
        <f>(AE7)*0.106</f>
        <v>37.074364284736752</v>
      </c>
      <c r="Z7" s="99">
        <f>(Y7)*a14a!$H$9/1000000</f>
        <v>4.6069568626372881</v>
      </c>
      <c r="AA7" s="98">
        <f>(AE7)*0.1031</f>
        <v>36.060065639210933</v>
      </c>
      <c r="AB7" s="99">
        <f>(AA7)*a14a!$I$9/1000000</f>
        <v>5.3372221428853823</v>
      </c>
      <c r="AC7" s="98">
        <f>(AE7)*0.0598</f>
        <v>20.915537587049602</v>
      </c>
      <c r="AD7" s="99">
        <f>(AC7)*a14a!$J$9/1000000</f>
        <v>4.385773415101097</v>
      </c>
      <c r="AE7" s="99">
        <f>AG7*AE8/AG8</f>
        <v>349.75815362959202</v>
      </c>
      <c r="AF7" s="99">
        <f t="shared" ref="AF7:AF38" si="8">(T7)+(V7)+(X7)+(Z7)+(AB7)+(AD7)</f>
        <v>32.171789051763362</v>
      </c>
      <c r="AG7" s="99">
        <f>'a1'!L8/1000</f>
        <v>530.85400000000004</v>
      </c>
      <c r="AH7" s="100">
        <f t="shared" ref="AH7:AH38" si="9">(AF7)/(AG7)*1000000</f>
        <v>60603.836557251823</v>
      </c>
      <c r="AI7" s="100">
        <f>AH7/'a8'!I$39*100</f>
        <v>60847.225459088178</v>
      </c>
      <c r="AJ7" s="98">
        <f>(AV7)*0.2892</f>
        <v>22.723324996291552</v>
      </c>
      <c r="AK7" s="100">
        <f>(AJ7)*a14a!$E$14/1000000</f>
        <v>1.2783753309532655</v>
      </c>
      <c r="AL7" s="98">
        <f>(AV7)*0.4508</f>
        <v>35.420729281909509</v>
      </c>
      <c r="AM7" s="100">
        <f>(AL7)*a14a!$F$14/1000000</f>
        <v>2.4908869259756745</v>
      </c>
      <c r="AN7" s="98"/>
      <c r="AO7" s="98"/>
      <c r="AP7" s="98">
        <f>(AV7)*0.106</f>
        <v>8.3287429101206936</v>
      </c>
      <c r="AQ7" s="99">
        <f>(AP7)*a14a!$H$14/1000000</f>
        <v>0.90523401909574752</v>
      </c>
      <c r="AR7" s="98">
        <f>(AV7)*0.1031</f>
        <v>8.1008810757872016</v>
      </c>
      <c r="AS7" s="99">
        <f>(AR7)*a14a!$I$14/1000000</f>
        <v>1.1541629963569096</v>
      </c>
      <c r="AT7" s="98">
        <f>(AV7)*0.0598</f>
        <v>4.6986681700492214</v>
      </c>
      <c r="AU7" s="99">
        <f>(AT7)*a14a!$J$14/1000000</f>
        <v>0.85598848898859048</v>
      </c>
      <c r="AV7" s="99">
        <f>AX7*AV8/AX8</f>
        <v>78.573046321893329</v>
      </c>
      <c r="AW7" s="99">
        <f t="shared" ref="AW7:AW38" si="10">(AK7)+(AM7)+(AO7)+(AQ7)+(AS7)+(AU7)</f>
        <v>6.6846477613701865</v>
      </c>
      <c r="AX7" s="99">
        <f>'a1'!R8/1000</f>
        <v>112.59099999999999</v>
      </c>
      <c r="AY7" s="100">
        <f t="shared" ref="AY7:AY38" si="11">(AW7)/(AX7)*1000000</f>
        <v>59371.066616072218</v>
      </c>
      <c r="AZ7" s="100">
        <f>AY7/'a8'!O$39*100</f>
        <v>61144.24986207232</v>
      </c>
      <c r="BA7" s="98">
        <f>(BM7)*0.2892</f>
        <v>162.75254490676105</v>
      </c>
      <c r="BB7" s="100">
        <f>(BA7)*a14a!$E$19/1000000</f>
        <v>9.6904321384543533</v>
      </c>
      <c r="BC7" s="98">
        <f>(BM7)*0.4508</f>
        <v>253.69587567070494</v>
      </c>
      <c r="BD7" s="100">
        <f>(BC7)*a14a!$F$19/1000000</f>
        <v>18.881599273924717</v>
      </c>
      <c r="BE7" s="98"/>
      <c r="BF7" s="98"/>
      <c r="BG7" s="98">
        <f>(BM7)*0.106</f>
        <v>59.65342240704242</v>
      </c>
      <c r="BH7" s="99">
        <f>(BG7)*a14a!$H$19/1000000</f>
        <v>6.3046255030844458</v>
      </c>
      <c r="BI7" s="98">
        <f>(BM7)*0.1031</f>
        <v>58.021394812887486</v>
      </c>
      <c r="BJ7" s="99">
        <f>(BI7)*a14a!$I$19/1000000</f>
        <v>6.8823441388405842</v>
      </c>
      <c r="BK7" s="98">
        <f>(BM7)*0.0598</f>
        <v>33.653534527746572</v>
      </c>
      <c r="BL7" s="99">
        <f>(BK7)*a14a!$J$19/1000000</f>
        <v>6.051196314502632</v>
      </c>
      <c r="BM7" s="99">
        <f>BO7*BM8/BO8</f>
        <v>562.76813591549455</v>
      </c>
      <c r="BN7" s="99">
        <f t="shared" ref="BN7:BN38" si="12">(BB7)+(BD7)+(BF7)+(BH7)+(BJ7)+(BL7)</f>
        <v>47.810197368806733</v>
      </c>
      <c r="BO7" s="99">
        <f>'a1'!X8/1000</f>
        <v>797.29399999999998</v>
      </c>
      <c r="BP7" s="100">
        <f t="shared" ref="BP7:BP38" si="13">(BN7)/(BO7)*1000000</f>
        <v>59965.58028632692</v>
      </c>
      <c r="BQ7" s="100">
        <f>BP7/'a8'!U$39*100</f>
        <v>60266.914860630073</v>
      </c>
      <c r="BR7" s="98">
        <f>(CD7)*0.2892</f>
        <v>129.86085346802142</v>
      </c>
      <c r="BS7" s="100">
        <f>(BR7)*a14a!$E$24/1000000</f>
        <v>8.0133396942405248</v>
      </c>
      <c r="BT7" s="98">
        <f>(CD7)*0.4508</f>
        <v>202.42487117352715</v>
      </c>
      <c r="BU7" s="100">
        <f>(BT7)*a14a!$F$24/1000000</f>
        <v>15.613820600638091</v>
      </c>
      <c r="BV7" s="98"/>
      <c r="BW7" s="98"/>
      <c r="BX7" s="98">
        <f>(CD7)*0.106</f>
        <v>47.597684881086685</v>
      </c>
      <c r="BY7" s="99">
        <f>(BX7)*a14a!$H$24/1000000</f>
        <v>5.513957436951185</v>
      </c>
      <c r="BZ7" s="98">
        <f>(CD7)*0.1031</f>
        <v>46.295484068302237</v>
      </c>
      <c r="CA7" s="99">
        <f>(BZ7)*a14a!$I$24/1000000</f>
        <v>6.9328948682514113</v>
      </c>
      <c r="CB7" s="98">
        <f>(CD7)*0.0598</f>
        <v>26.852278829141358</v>
      </c>
      <c r="CC7" s="99">
        <f>(CB7)*a14a!$J$24/1000000</f>
        <v>4.8984845375361417</v>
      </c>
      <c r="CD7" s="99">
        <f>CF7*CD8/CF8</f>
        <v>449.03476302911969</v>
      </c>
      <c r="CE7" s="99">
        <f t="shared" ref="CE7:CE38" si="14">(BS7)+(BU7)+(BW7)+(BY7)+(CA7)+(CC7)</f>
        <v>40.972497137617353</v>
      </c>
      <c r="CF7" s="99">
        <f>'a1'!AD8/1000</f>
        <v>642.471</v>
      </c>
      <c r="CG7" s="100">
        <f t="shared" ref="CG7:CG38" si="15">(CE7)/(CF7)*1000000</f>
        <v>63773.302044165968</v>
      </c>
      <c r="CH7" s="100">
        <f>CG7/'a8'!AA$39*100</f>
        <v>62400.491236952999</v>
      </c>
      <c r="CI7" s="98">
        <f>(CU7)*0.2892</f>
        <v>1314.9575816095992</v>
      </c>
      <c r="CJ7" s="100">
        <f>(CI7)*a14a!$E$29/1000000</f>
        <v>94.725742137133722</v>
      </c>
      <c r="CK7" s="98">
        <f>(CU7)*0.4508</f>
        <v>2049.7333256902048</v>
      </c>
      <c r="CL7" s="100">
        <f>(CK7)*a14a!$F$29/1000000</f>
        <v>184.5710777810333</v>
      </c>
      <c r="CM7" s="98"/>
      <c r="CN7" s="98"/>
      <c r="CO7" s="98">
        <f>(CU7)*0.106</f>
        <v>481.96923807267461</v>
      </c>
      <c r="CP7" s="99">
        <f>(CO7)*a14a!$H$29/1000000</f>
        <v>60.189709013107255</v>
      </c>
      <c r="CQ7" s="98">
        <f>(CU7)*0.1031</f>
        <v>468.78328721974293</v>
      </c>
      <c r="CR7" s="99">
        <f>(CQ7)*a14a!$I$29/1000000</f>
        <v>64.093601566648232</v>
      </c>
      <c r="CS7" s="98">
        <f>(CU7)*0.0598</f>
        <v>271.90340034665985</v>
      </c>
      <c r="CT7" s="99">
        <f>(CS7)*a14a!$J$29/1000000</f>
        <v>55.64741647812636</v>
      </c>
      <c r="CU7" s="99">
        <f>CW7*CU8/CW8</f>
        <v>4546.8796044591945</v>
      </c>
      <c r="CV7" s="99">
        <f t="shared" ref="CV7:CV38" si="16">(CJ7)+(CL7)+(CN7)+(CP7)+(CR7)+(CT7)</f>
        <v>459.22754697604887</v>
      </c>
      <c r="CW7" s="99">
        <f>'a1'!AJ8/1000</f>
        <v>6137.3050000000003</v>
      </c>
      <c r="CX7" s="100">
        <f t="shared" ref="CX7:CX38" si="17">(CV7)/(CW7)*1000000</f>
        <v>74825.602927677362</v>
      </c>
      <c r="CY7" s="100">
        <f>CX7/'a8'!AG$39*100</f>
        <v>76197.151657512586</v>
      </c>
      <c r="CZ7" s="98">
        <f>(DL7)*0.2892</f>
        <v>1673.7122687429655</v>
      </c>
      <c r="DA7" s="100">
        <f>(CZ7)*a14a!$E$34/1000000</f>
        <v>112.84149436187613</v>
      </c>
      <c r="DB7" s="98">
        <f>(DL7)*0.4508</f>
        <v>2608.9539790779004</v>
      </c>
      <c r="DC7" s="100">
        <f>(DB7)*a14a!$F$34/1000000</f>
        <v>219.86923261727935</v>
      </c>
      <c r="DD7" s="98"/>
      <c r="DE7" s="98"/>
      <c r="DF7" s="98">
        <f>(DL7)*0.106</f>
        <v>613.46300306623209</v>
      </c>
      <c r="DG7" s="99">
        <f>(DF7)*a14a!$H$34/1000000</f>
        <v>70.299028546964138</v>
      </c>
      <c r="DH7" s="98">
        <f>(DL7)*0.1031</f>
        <v>596.6795812842314</v>
      </c>
      <c r="DI7" s="99">
        <f>(DH7)*a14a!$I$34/1000000</f>
        <v>72.766697510054414</v>
      </c>
      <c r="DJ7" s="98">
        <f>(DL7)*0.0598</f>
        <v>346.085731918497</v>
      </c>
      <c r="DK7" s="99">
        <f>(DJ7)*a14a!$J$34/1000000</f>
        <v>63.580043567758125</v>
      </c>
      <c r="DL7" s="99">
        <f>DN7*DL8/DN8</f>
        <v>5787.3868213795486</v>
      </c>
      <c r="DM7" s="99">
        <f t="shared" ref="DM7:DM38" si="18">(DA7)+(DC7)+(DE7)+(DG7)+(DI7)+(DK7)</f>
        <v>539.35649660393221</v>
      </c>
      <c r="DN7" s="99">
        <f>'a1'!AP8/1000</f>
        <v>7849.027</v>
      </c>
      <c r="DO7" s="100">
        <f t="shared" ref="DO7:DO38" si="19">(DM7)/(DN7)*1000000</f>
        <v>68716.35128837399</v>
      </c>
      <c r="DP7" s="100">
        <f>DO7/'a8'!AM$39*100</f>
        <v>70190.348609166482</v>
      </c>
      <c r="DQ7" s="98">
        <f>(EC7)*0.2892</f>
        <v>206.48763339852954</v>
      </c>
      <c r="DR7" s="100">
        <f>(DQ7)*a14a!$E$39/1000000</f>
        <v>18.463355733820627</v>
      </c>
      <c r="DS7" s="98">
        <f>(EC7)*0.4508</f>
        <v>321.86938152163589</v>
      </c>
      <c r="DT7" s="100">
        <f>(DS7)*a14a!$F$39/1000000</f>
        <v>35.975452821604158</v>
      </c>
      <c r="DU7" s="98"/>
      <c r="DV7" s="98"/>
      <c r="DW7" s="98">
        <f>(EC7)*0.106</f>
        <v>75.683572407483155</v>
      </c>
      <c r="DX7" s="99">
        <f>(DW7)*a14a!$H$39/1000000</f>
        <v>11.455556265329697</v>
      </c>
      <c r="DY7" s="98">
        <f>(EC7)*0.1031</f>
        <v>73.612984105769002</v>
      </c>
      <c r="DZ7" s="99">
        <f>(DY7)*a14a!$I$39/1000000</f>
        <v>12.373605287385358</v>
      </c>
      <c r="EA7" s="98">
        <f>(EC7)*0.0598</f>
        <v>42.696958773278233</v>
      </c>
      <c r="EB7" s="99">
        <f>(EA7)*a14a!$J$39/1000000</f>
        <v>9.4607202209438537</v>
      </c>
      <c r="EC7" s="99">
        <f>EE7*EC8/EE8</f>
        <v>713.99596610833169</v>
      </c>
      <c r="ED7" s="99">
        <f t="shared" ref="ED7:ED38" si="20">(DR7)+(DT7)+(DV7)+(DX7)+(DZ7)+(EB7)</f>
        <v>87.72869032908369</v>
      </c>
      <c r="EE7" s="99">
        <f>'a1'!AV8/1000</f>
        <v>998.87599999999998</v>
      </c>
      <c r="EF7" s="100">
        <f t="shared" ref="EF7:EF38" si="21">(ED7)/(EE7)*1000000</f>
        <v>87827.408336053413</v>
      </c>
      <c r="EG7" s="100">
        <f>EF7/'a8'!AS$39*100</f>
        <v>89894.993179174417</v>
      </c>
      <c r="EH7" s="98">
        <f>(ET7)*0.2892</f>
        <v>189.97555077796338</v>
      </c>
      <c r="EI7" s="100">
        <f>(EH7)*a14a!$E$44/1000000</f>
        <v>15.155938866733729</v>
      </c>
      <c r="EJ7" s="98">
        <f>(ET7)*0.4508</f>
        <v>296.13063032747539</v>
      </c>
      <c r="EK7" s="100">
        <f>(EJ7)*a14a!$F$44/1000000</f>
        <v>29.531021961979448</v>
      </c>
      <c r="EL7" s="98"/>
      <c r="EM7" s="98"/>
      <c r="EN7" s="98">
        <f>(ET7)*0.106</f>
        <v>69.63142594213042</v>
      </c>
      <c r="EO7" s="99">
        <f>(EN7)*a14a!$H$44/1000000</f>
        <v>10.651252775649558</v>
      </c>
      <c r="EP7" s="98">
        <f>(ET7)*0.1031</f>
        <v>67.726415232392895</v>
      </c>
      <c r="EQ7" s="99">
        <f>(EP7)*a14a!$I$44/1000000</f>
        <v>11.137045321456652</v>
      </c>
      <c r="ER7" s="98">
        <f>(ET7)*0.0598</f>
        <v>39.282634635277347</v>
      </c>
      <c r="ES7" s="99">
        <f>(ER7)*a14a!$J$44/1000000</f>
        <v>13.384319570456256</v>
      </c>
      <c r="ET7" s="99">
        <f>EV7*ET8/EV8</f>
        <v>656.90024473707945</v>
      </c>
      <c r="EU7" s="99">
        <f t="shared" ref="EU7:EU38" si="22">(EI7)+(EK7)+(EM7)+(EO7)+(EQ7)+(ES7)</f>
        <v>79.859578496275645</v>
      </c>
      <c r="EV7" s="99">
        <f>'a1'!BB8/1000</f>
        <v>932.03800000000001</v>
      </c>
      <c r="EW7" s="100">
        <f t="shared" ref="EW7:EW38" si="23">(EU7)/(EV7)*1000000</f>
        <v>85682.749519092191</v>
      </c>
      <c r="EX7" s="100">
        <f>EW7/'a8'!AY$39*100</f>
        <v>89159.989093748372</v>
      </c>
      <c r="EY7" s="98">
        <f>(FK7)*0.2892</f>
        <v>340.35152344047765</v>
      </c>
      <c r="EZ7" s="100">
        <f>(EY7)*a14a!$E$49/1000000</f>
        <v>22.997474559581093</v>
      </c>
      <c r="FA7" s="98">
        <f>(FK7)*0.4508</f>
        <v>530.53411745147753</v>
      </c>
      <c r="FB7" s="100">
        <f>(FA7)*a14a!$F$49/1000000</f>
        <v>44.810086149114603</v>
      </c>
      <c r="FC7" s="98"/>
      <c r="FD7" s="98"/>
      <c r="FE7" s="98">
        <f>(FK7)*0.106</f>
        <v>124.74848369533412</v>
      </c>
      <c r="FF7" s="99">
        <f>(FE7)*a14a!$H$49/1000000</f>
        <v>14.683739127492661</v>
      </c>
      <c r="FG7" s="98">
        <f>(FK7)*0.1031</f>
        <v>121.3355534810278</v>
      </c>
      <c r="FH7" s="99">
        <f>(FG7)*a14a!$I$49/1000000</f>
        <v>14.716306979547561</v>
      </c>
      <c r="FI7" s="98">
        <f>(FK7)*0.0598</f>
        <v>70.376974763971518</v>
      </c>
      <c r="FJ7" s="99">
        <f>(FI7)*a14a!$J$49/1000000</f>
        <v>15.134372211293906</v>
      </c>
      <c r="FK7" s="99">
        <f>FM7*FK8/FM8</f>
        <v>1176.8724876918313</v>
      </c>
      <c r="FL7" s="99">
        <f t="shared" ref="FL7:FL38" si="24">(EZ7)+(FB7)+(FD7)+(FF7)+(FH7)+(FJ7)</f>
        <v>112.34197902702982</v>
      </c>
      <c r="FM7" s="99">
        <f>'a1'!BH8/1000</f>
        <v>1665.7170000000001</v>
      </c>
      <c r="FN7" s="100">
        <f t="shared" ref="FN7:FN38" si="25">(FL7)/(FM7)*1000000</f>
        <v>67443.616789064297</v>
      </c>
      <c r="FO7" s="100">
        <f>FN7/'a8'!BE$39*100</f>
        <v>65734.519287587027</v>
      </c>
      <c r="FP7" s="98">
        <f>(GB7)*0.2892</f>
        <v>479.584557025359</v>
      </c>
      <c r="FQ7" s="100">
        <f>(FP7)*a14a!$E$54/1000000</f>
        <v>37.370400743375122</v>
      </c>
      <c r="FR7" s="98">
        <f>(GB7)*0.4508</f>
        <v>747.56818225114739</v>
      </c>
      <c r="FS7" s="100">
        <f>(FR7)*a14a!$F$54/1000000</f>
        <v>72.815424684965009</v>
      </c>
      <c r="FT7" s="98"/>
      <c r="FU7" s="98"/>
      <c r="FV7" s="98">
        <f>(GB7)*0.106</f>
        <v>175.78133832879686</v>
      </c>
      <c r="FW7" s="99">
        <f>(FV7)*a14a!$H$54/1000000</f>
        <v>23.742543012112161</v>
      </c>
      <c r="FX7" s="98">
        <f>(GB7)*0.1031</f>
        <v>170.97222624244299</v>
      </c>
      <c r="FY7" s="99">
        <f>(FX7)*a14a!$I$54/1000000</f>
        <v>24.067988861051067</v>
      </c>
      <c r="FZ7" s="98">
        <f>(GB7)*0.0598</f>
        <v>99.167207849641997</v>
      </c>
      <c r="GA7" s="99">
        <f>(FZ7)*a14a!$J$54/1000000</f>
        <v>23.702355211996142</v>
      </c>
      <c r="GB7" s="99">
        <f>GD7*GB8/GD8</f>
        <v>1658.3145125358194</v>
      </c>
      <c r="GC7" s="99">
        <f t="shared" ref="GC7:GC39" si="26">(FQ7)+(FS7)+(FU7)+(FW7)+(FY7)+(GA7)</f>
        <v>181.69871251349952</v>
      </c>
      <c r="GD7" s="99">
        <f>'a1'!BN8/1000</f>
        <v>2240.4699999999998</v>
      </c>
      <c r="GE7" s="100">
        <f t="shared" ref="GE7:GE38" si="27">(GC7)/(GD7)*1000000</f>
        <v>81098.480458787453</v>
      </c>
      <c r="GF7" s="100">
        <f>GE7/'a8'!BK$39*100</f>
        <v>81017.462995791662</v>
      </c>
    </row>
    <row r="8" spans="1:188" s="25" customFormat="1" ht="12" hidden="1" customHeight="1">
      <c r="A8" s="201">
        <v>1972</v>
      </c>
      <c r="B8" s="98">
        <v>4331.4253181104332</v>
      </c>
      <c r="C8" s="98">
        <f t="shared" si="0"/>
        <v>294.84012140377718</v>
      </c>
      <c r="D8" s="98">
        <v>7129.1926581497546</v>
      </c>
      <c r="E8" s="98">
        <f t="shared" si="1"/>
        <v>606.60161570398816</v>
      </c>
      <c r="F8" s="98"/>
      <c r="G8" s="98"/>
      <c r="H8" s="98">
        <v>1667.838244525708</v>
      </c>
      <c r="I8" s="98">
        <f t="shared" si="2"/>
        <v>199.25663507348634</v>
      </c>
      <c r="J8" s="98">
        <v>1592.7808175285136</v>
      </c>
      <c r="K8" s="98">
        <f t="shared" si="3"/>
        <v>209.14804914966911</v>
      </c>
      <c r="L8" s="98">
        <v>965.76172763136844</v>
      </c>
      <c r="M8" s="98">
        <f t="shared" si="4"/>
        <v>195.80915603898757</v>
      </c>
      <c r="N8" s="98">
        <v>15544.986455900842</v>
      </c>
      <c r="O8" s="99">
        <f t="shared" ref="O8:O38" si="28">(C8)+(E8)+(G8)+(I8)+(K8)+(M8)</f>
        <v>1505.6555773699083</v>
      </c>
      <c r="P8" s="98">
        <f>'a1'!F9/1000</f>
        <v>22218.463</v>
      </c>
      <c r="Q8" s="100">
        <f t="shared" si="5"/>
        <v>67765.964611049305</v>
      </c>
      <c r="R8" s="168">
        <f>Q8/'a8'!C$39*100</f>
        <v>68519.681103184324</v>
      </c>
      <c r="S8" s="98">
        <f>(AE8)*0.2816</f>
        <v>100.0262689413283</v>
      </c>
      <c r="T8" s="100">
        <f t="shared" si="6"/>
        <v>5.9839715131460238</v>
      </c>
      <c r="U8" s="98">
        <f>(AE8)*0.4567</f>
        <v>162.22300080079768</v>
      </c>
      <c r="V8" s="100">
        <f t="shared" si="7"/>
        <v>12.13103599988365</v>
      </c>
      <c r="W8" s="98"/>
      <c r="X8" s="98"/>
      <c r="Y8" s="98">
        <f>(AE8)*0.103</f>
        <v>36.586312858511413</v>
      </c>
      <c r="Z8" s="99">
        <f>(Y8)*a14a!$H$9/1000000</f>
        <v>4.5463103239643541</v>
      </c>
      <c r="AA8" s="98">
        <f>(AE8)*0.1029</f>
        <v>36.550792166415768</v>
      </c>
      <c r="AB8" s="99">
        <f>(AA8)*a14a!$I$9/1000000</f>
        <v>5.4098541927907746</v>
      </c>
      <c r="AC8" s="98">
        <f>(AE8)*0.062</f>
        <v>22.022829099298132</v>
      </c>
      <c r="AD8" s="99">
        <f>(AC8)*a14a!$J$9/1000000</f>
        <v>4.6179610725770219</v>
      </c>
      <c r="AE8" s="99">
        <f>AG8*AE9/AG9</f>
        <v>355.20692095642147</v>
      </c>
      <c r="AF8" s="99">
        <f t="shared" si="8"/>
        <v>32.689133102361829</v>
      </c>
      <c r="AG8" s="99">
        <f>'a1'!L9/1000</f>
        <v>539.12400000000002</v>
      </c>
      <c r="AH8" s="100">
        <f t="shared" si="9"/>
        <v>60633.793157718494</v>
      </c>
      <c r="AI8" s="100">
        <f>AH8/'a8'!I$39*100</f>
        <v>60877.302367187243</v>
      </c>
      <c r="AJ8" s="98">
        <f>(AV8)*0.2816</f>
        <v>22.296944076596318</v>
      </c>
      <c r="AK8" s="100">
        <f>(AJ8)*a14a!$E$14/1000000</f>
        <v>1.2543878709571379</v>
      </c>
      <c r="AL8" s="98">
        <f>(AV8)*0.4567</f>
        <v>36.161272584451481</v>
      </c>
      <c r="AM8" s="100">
        <f>(AL8)*a14a!$F$14/1000000</f>
        <v>2.5429640477011932</v>
      </c>
      <c r="AN8" s="98"/>
      <c r="AO8" s="98"/>
      <c r="AP8" s="98">
        <f>(AV8)*0.103</f>
        <v>8.1554873575618618</v>
      </c>
      <c r="AQ8" s="99">
        <f>(AP8)*a14a!$H$14/1000000</f>
        <v>0.88640322771870728</v>
      </c>
      <c r="AR8" s="98">
        <f>(AV8)*0.1029</f>
        <v>8.1475694086710266</v>
      </c>
      <c r="AS8" s="99">
        <f>(AR8)*a14a!$I$14/1000000</f>
        <v>1.1608148587496516</v>
      </c>
      <c r="AT8" s="98">
        <f>(AV8)*0.062</f>
        <v>4.9091283123187912</v>
      </c>
      <c r="AU8" s="99">
        <f>(AT8)*a14a!$J$14/1000000</f>
        <v>0.89432945128977914</v>
      </c>
      <c r="AV8" s="99">
        <f>AX8*AV9/AX9</f>
        <v>79.179488908367603</v>
      </c>
      <c r="AW8" s="99">
        <f t="shared" si="10"/>
        <v>6.7388994564164681</v>
      </c>
      <c r="AX8" s="99">
        <f>'a1'!R9/1000</f>
        <v>113.46</v>
      </c>
      <c r="AY8" s="100">
        <f t="shared" si="11"/>
        <v>59394.495473439703</v>
      </c>
      <c r="AZ8" s="100">
        <f>AY8/'a8'!O$39*100</f>
        <v>61168.378448444608</v>
      </c>
      <c r="BA8" s="98">
        <f>(BM8)*0.2816</f>
        <v>159.4615887332578</v>
      </c>
      <c r="BB8" s="100">
        <f>(BA8)*a14a!$E$19/1000000</f>
        <v>9.4944856634654027</v>
      </c>
      <c r="BC8" s="98">
        <f>(BM8)*0.4567</f>
        <v>258.61543882982539</v>
      </c>
      <c r="BD8" s="100">
        <f>(BC8)*a14a!$F$19/1000000</f>
        <v>19.247743263958849</v>
      </c>
      <c r="BE8" s="98"/>
      <c r="BF8" s="98"/>
      <c r="BG8" s="98">
        <f>(BM8)*0.103</f>
        <v>58.325794174451531</v>
      </c>
      <c r="BH8" s="99">
        <f>(BG8)*a14a!$H$19/1000000</f>
        <v>6.1643116958280268</v>
      </c>
      <c r="BI8" s="98">
        <f>(BM8)*0.1029</f>
        <v>58.269167189816152</v>
      </c>
      <c r="BJ8" s="99">
        <f>(BI8)*a14a!$I$19/1000000</f>
        <v>6.9117342417779719</v>
      </c>
      <c r="BK8" s="98">
        <f>(BM8)*0.062</f>
        <v>35.108730473941698</v>
      </c>
      <c r="BL8" s="99">
        <f>(BK8)*a14a!$J$19/1000000</f>
        <v>6.3128531202457268</v>
      </c>
      <c r="BM8" s="99">
        <f>BO8*BM9/BO9</f>
        <v>566.2698463538984</v>
      </c>
      <c r="BN8" s="99">
        <f t="shared" si="12"/>
        <v>48.131127985275974</v>
      </c>
      <c r="BO8" s="99">
        <f>'a1'!X9/1000</f>
        <v>802.255</v>
      </c>
      <c r="BP8" s="100">
        <f t="shared" si="13"/>
        <v>59994.799640109413</v>
      </c>
      <c r="BQ8" s="100">
        <f>BP8/'a8'!U$39*100</f>
        <v>60296.281045336094</v>
      </c>
      <c r="BR8" s="98">
        <f>(CD8)*0.2816</f>
        <v>127.68773268187972</v>
      </c>
      <c r="BS8" s="100">
        <f>(BR8)*a14a!$E$24/1000000</f>
        <v>7.8792426619870239</v>
      </c>
      <c r="BT8" s="98">
        <f>(CD8)*0.4567</f>
        <v>207.08447271240931</v>
      </c>
      <c r="BU8" s="100">
        <f>(BT8)*a14a!$F$24/1000000</f>
        <v>15.973233858884383</v>
      </c>
      <c r="BV8" s="98"/>
      <c r="BW8" s="98"/>
      <c r="BX8" s="98">
        <f>(CD8)*0.103</f>
        <v>46.70396472384094</v>
      </c>
      <c r="BY8" s="99">
        <f>(BX8)*a14a!$H$24/1000000</f>
        <v>5.4104243571404789</v>
      </c>
      <c r="BZ8" s="98">
        <f>(CD8)*0.1029</f>
        <v>46.658621068769257</v>
      </c>
      <c r="CA8" s="99">
        <f>(BZ8)*a14a!$I$24/1000000</f>
        <v>6.9872757802923271</v>
      </c>
      <c r="CB8" s="98">
        <f>(CD8)*0.062</f>
        <v>28.113066144447949</v>
      </c>
      <c r="CC8" s="99">
        <f>(CB8)*a14a!$J$24/1000000</f>
        <v>5.1284816714273846</v>
      </c>
      <c r="CD8" s="99">
        <f>CF8*CD9/CF9</f>
        <v>453.43655071690239</v>
      </c>
      <c r="CE8" s="99">
        <f t="shared" si="14"/>
        <v>41.3786583297316</v>
      </c>
      <c r="CF8" s="99">
        <f>'a1'!AD9/1000</f>
        <v>648.76900000000001</v>
      </c>
      <c r="CG8" s="100">
        <f t="shared" si="15"/>
        <v>63780.264361786089</v>
      </c>
      <c r="CH8" s="100">
        <f>CG8/'a8'!AA$39*100</f>
        <v>62407.303680808312</v>
      </c>
      <c r="CI8" s="98">
        <f>(CU8)*0.2816</f>
        <v>1288.1018903224556</v>
      </c>
      <c r="CJ8" s="100">
        <f>(CI8)*a14a!$E$29/1000000</f>
        <v>92.791135786815943</v>
      </c>
      <c r="CK8" s="98">
        <f>(CU8)*0.4567</f>
        <v>2089.0487688574767</v>
      </c>
      <c r="CL8" s="100">
        <f>(CK8)*a14a!$F$29/1000000</f>
        <v>188.11129134338972</v>
      </c>
      <c r="CM8" s="98"/>
      <c r="CN8" s="98"/>
      <c r="CO8" s="98">
        <f>(CU8)*0.103</f>
        <v>471.14522266765948</v>
      </c>
      <c r="CP8" s="99">
        <f>(CO8)*a14a!$H$29/1000000</f>
        <v>58.837974740217803</v>
      </c>
      <c r="CQ8" s="98">
        <f>(CU8)*0.1029</f>
        <v>470.68780012138023</v>
      </c>
      <c r="CR8" s="99">
        <f>(CQ8)*a14a!$I$29/1000000</f>
        <v>64.353992869887804</v>
      </c>
      <c r="CS8" s="98">
        <f>(CU8)*0.062</f>
        <v>283.60197869315425</v>
      </c>
      <c r="CT8" s="99">
        <f>(CS8)*a14a!$J$29/1000000</f>
        <v>58.04163317648095</v>
      </c>
      <c r="CU8" s="99">
        <f>CW8*CU9/CW9</f>
        <v>4574.2254627928105</v>
      </c>
      <c r="CV8" s="99">
        <f t="shared" si="16"/>
        <v>462.13602791679222</v>
      </c>
      <c r="CW8" s="99">
        <f>'a1'!AJ9/1000</f>
        <v>6174.2160000000003</v>
      </c>
      <c r="CX8" s="100">
        <f t="shared" si="17"/>
        <v>74849.34571722016</v>
      </c>
      <c r="CY8" s="100">
        <f>CX8/'a8'!AG$39*100</f>
        <v>76221.329650937027</v>
      </c>
      <c r="CZ8" s="98">
        <f>(DL8)*0.2816</f>
        <v>1653.417139299637</v>
      </c>
      <c r="DA8" s="100">
        <f>(CZ8)*a14a!$E$34/1000000</f>
        <v>111.4731989998705</v>
      </c>
      <c r="DB8" s="98">
        <f>(DL8)*0.4567</f>
        <v>2681.518492607046</v>
      </c>
      <c r="DC8" s="100">
        <f>(DB8)*a14a!$F$34/1000000</f>
        <v>225.98459687163023</v>
      </c>
      <c r="DD8" s="98"/>
      <c r="DE8" s="98"/>
      <c r="DF8" s="98">
        <f>(DL8)*0.103</f>
        <v>604.76550194553477</v>
      </c>
      <c r="DG8" s="99">
        <f>(DF8)*a14a!$H$34/1000000</f>
        <v>69.302349241912154</v>
      </c>
      <c r="DH8" s="98">
        <f>(DL8)*0.1029</f>
        <v>604.17835097277214</v>
      </c>
      <c r="DI8" s="99">
        <f>(DH8)*a14a!$I$34/1000000</f>
        <v>73.681192865248548</v>
      </c>
      <c r="DJ8" s="98">
        <f>(DL8)*0.062</f>
        <v>364.03360311284621</v>
      </c>
      <c r="DK8" s="99">
        <f>(DJ8)*a14a!$J$34/1000000</f>
        <v>66.877279851263651</v>
      </c>
      <c r="DL8" s="99">
        <f>DN8*DL9/DN9</f>
        <v>5871.5097276265515</v>
      </c>
      <c r="DM8" s="99">
        <f t="shared" si="18"/>
        <v>547.31861782992507</v>
      </c>
      <c r="DN8" s="99">
        <f>'a1'!AP9/1000</f>
        <v>7963.1170000000002</v>
      </c>
      <c r="DO8" s="100">
        <f t="shared" si="19"/>
        <v>68731.706168567544</v>
      </c>
      <c r="DP8" s="100">
        <f>DO8/'a8'!AM$39*100</f>
        <v>70206.032858598104</v>
      </c>
      <c r="DQ8" s="98">
        <f>(EC8)*0.2816</f>
        <v>201.62003818724938</v>
      </c>
      <c r="DR8" s="100">
        <f>(DQ8)*a14a!$E$39/1000000</f>
        <v>18.028113484805885</v>
      </c>
      <c r="DS8" s="98">
        <f>(EC8)*0.4567</f>
        <v>326.98817982996019</v>
      </c>
      <c r="DT8" s="100">
        <f>(DS8)*a14a!$F$39/1000000</f>
        <v>36.547582690477839</v>
      </c>
      <c r="DU8" s="98"/>
      <c r="DV8" s="98"/>
      <c r="DW8" s="98">
        <f>(EC8)*0.103</f>
        <v>73.745965672182834</v>
      </c>
      <c r="DX8" s="99">
        <f>(DW8)*a14a!$H$39/1000000</f>
        <v>11.162277786655244</v>
      </c>
      <c r="DY8" s="98">
        <f>(EC8)*0.1029</f>
        <v>73.674367647258379</v>
      </c>
      <c r="DZ8" s="99">
        <f>(DY8)*a14a!$I$39/1000000</f>
        <v>12.383923245864532</v>
      </c>
      <c r="EA8" s="98">
        <f>(EC8)*0.062</f>
        <v>44.390775453158597</v>
      </c>
      <c r="EB8" s="99">
        <f>(EA8)*a14a!$J$39/1000000</f>
        <v>9.8360332683908105</v>
      </c>
      <c r="EC8" s="99">
        <f>EE8*EC9/EE9</f>
        <v>715.98024924449351</v>
      </c>
      <c r="ED8" s="99">
        <f t="shared" si="20"/>
        <v>87.957930476194306</v>
      </c>
      <c r="EE8" s="99">
        <f>'a1'!AV9/1000</f>
        <v>1001.652</v>
      </c>
      <c r="EF8" s="100">
        <f t="shared" si="21"/>
        <v>87812.863625484999</v>
      </c>
      <c r="EG8" s="100">
        <f>EF8/'a8'!AS$39*100</f>
        <v>89880.106064979525</v>
      </c>
      <c r="EH8" s="98">
        <f>(ET8)*0.2816</f>
        <v>182.748715212771</v>
      </c>
      <c r="EI8" s="100">
        <f>(EH8)*a14a!$E$44/1000000</f>
        <v>14.579393739861027</v>
      </c>
      <c r="EJ8" s="98">
        <f>(ET8)*0.4567</f>
        <v>296.38259317355295</v>
      </c>
      <c r="EK8" s="100">
        <f>(EJ8)*a14a!$F$44/1000000</f>
        <v>29.55614844191464</v>
      </c>
      <c r="EL8" s="98"/>
      <c r="EM8" s="98"/>
      <c r="EN8" s="98">
        <f>(ET8)*0.103</f>
        <v>66.84345762398938</v>
      </c>
      <c r="EO8" s="99">
        <f>(EN8)*a14a!$H$44/1000000</f>
        <v>10.224787930427199</v>
      </c>
      <c r="EP8" s="98">
        <f>(ET8)*0.1029</f>
        <v>66.7785610631894</v>
      </c>
      <c r="EQ8" s="99">
        <f>(EP8)*a14a!$I$44/1000000</f>
        <v>10.981178591993284</v>
      </c>
      <c r="ER8" s="98">
        <f>(ET8)*0.062</f>
        <v>40.235867695993612</v>
      </c>
      <c r="ES8" s="99">
        <f>(ER8)*a14a!$J$44/1000000</f>
        <v>13.709103690162245</v>
      </c>
      <c r="ET8" s="99">
        <f>EV8*ET9/EV9</f>
        <v>648.96560799989697</v>
      </c>
      <c r="EU8" s="99">
        <f t="shared" si="22"/>
        <v>79.050612394358382</v>
      </c>
      <c r="EV8" s="99">
        <f>'a1'!BB9/1000</f>
        <v>920.78</v>
      </c>
      <c r="EW8" s="100">
        <f t="shared" si="23"/>
        <v>85851.791301242847</v>
      </c>
      <c r="EX8" s="100">
        <f>EW8/'a8'!AY$39*100</f>
        <v>89335.891052281833</v>
      </c>
      <c r="EY8" s="98">
        <f>(FK8)*0.2816</f>
        <v>337.05232053761677</v>
      </c>
      <c r="EZ8" s="100">
        <f>(EY8)*a14a!$E$49/1000000</f>
        <v>22.774548174358937</v>
      </c>
      <c r="FA8" s="98">
        <f>(FK8)*0.4567</f>
        <v>546.63279399690896</v>
      </c>
      <c r="FB8" s="100">
        <f>(FA8)*a14a!$F$49/1000000</f>
        <v>46.169816012205814</v>
      </c>
      <c r="FC8" s="98"/>
      <c r="FD8" s="98"/>
      <c r="FE8" s="98">
        <f>(FK8)*0.103</f>
        <v>123.28263144664248</v>
      </c>
      <c r="FF8" s="99">
        <f>(FE8)*a14a!$H$49/1000000</f>
        <v>14.511198416923355</v>
      </c>
      <c r="FG8" s="98">
        <f>(FK8)*0.1029</f>
        <v>123.16293957145159</v>
      </c>
      <c r="FH8" s="99">
        <f>(FG8)*a14a!$I$49/1000000</f>
        <v>14.937943374695637</v>
      </c>
      <c r="FI8" s="98">
        <f>(FK8)*0.062</f>
        <v>74.208962618367323</v>
      </c>
      <c r="FJ8" s="99">
        <f>(FI8)*a14a!$J$49/1000000</f>
        <v>15.958430515761878</v>
      </c>
      <c r="FK8" s="99">
        <f>FM8*FK9/FM9</f>
        <v>1196.9187519091504</v>
      </c>
      <c r="FL8" s="99">
        <f t="shared" si="24"/>
        <v>114.35193649394562</v>
      </c>
      <c r="FM8" s="99">
        <f>'a1'!BH9/1000</f>
        <v>1694.09</v>
      </c>
      <c r="FN8" s="100">
        <f t="shared" si="25"/>
        <v>67500.508529030689</v>
      </c>
      <c r="FO8" s="100">
        <f>FN8/'a8'!BE$39*100</f>
        <v>65789.969326540624</v>
      </c>
      <c r="FP8" s="98">
        <f>(GB8)*0.2816</f>
        <v>479.82399523769504</v>
      </c>
      <c r="FQ8" s="100">
        <f>(FP8)*a14a!$E$54/1000000</f>
        <v>37.389058354045027</v>
      </c>
      <c r="FR8" s="98">
        <f>(GB8)*0.4567</f>
        <v>778.18046386738388</v>
      </c>
      <c r="FS8" s="100">
        <f>(FR8)*a14a!$F$54/1000000</f>
        <v>75.79715443134036</v>
      </c>
      <c r="FT8" s="98"/>
      <c r="FU8" s="98"/>
      <c r="FV8" s="98">
        <f>(GB8)*0.103</f>
        <v>175.50380507628756</v>
      </c>
      <c r="FW8" s="99">
        <f>(FV8)*a14a!$H$54/1000000</f>
        <v>23.705056978340661</v>
      </c>
      <c r="FX8" s="98">
        <f>(GB8)*0.1029</f>
        <v>175.33341303252422</v>
      </c>
      <c r="FY8" s="99">
        <f>(FX8)*a14a!$I$54/1000000</f>
        <v>24.681918955964818</v>
      </c>
      <c r="FZ8" s="98">
        <f>(GB8)*0.062</f>
        <v>105.64306713329933</v>
      </c>
      <c r="GA8" s="99">
        <f>(FZ8)*a14a!$J$54/1000000</f>
        <v>25.250176516765315</v>
      </c>
      <c r="GB8" s="99">
        <f>GD8*GB9/GD9</f>
        <v>1703.92043763386</v>
      </c>
      <c r="GC8" s="99">
        <f t="shared" si="26"/>
        <v>186.82336523645617</v>
      </c>
      <c r="GD8" s="99">
        <f>'a1'!BN9/1000</f>
        <v>2302.0859999999998</v>
      </c>
      <c r="GE8" s="100">
        <f t="shared" si="27"/>
        <v>81153.947001309338</v>
      </c>
      <c r="GF8" s="100">
        <f>GE8/'a8'!BK$39*100</f>
        <v>81072.874127182164</v>
      </c>
    </row>
    <row r="9" spans="1:188" s="25" customFormat="1" ht="12" hidden="1" customHeight="1">
      <c r="A9" s="201">
        <v>1973</v>
      </c>
      <c r="B9" s="98">
        <v>4315.7379886849976</v>
      </c>
      <c r="C9" s="98">
        <f t="shared" si="0"/>
        <v>293.77228488978778</v>
      </c>
      <c r="D9" s="98">
        <v>7395.0688564536786</v>
      </c>
      <c r="E9" s="98">
        <f t="shared" si="1"/>
        <v>629.22422378907413</v>
      </c>
      <c r="F9" s="98"/>
      <c r="G9" s="98"/>
      <c r="H9" s="98">
        <v>1638.2460440738046</v>
      </c>
      <c r="I9" s="98">
        <f t="shared" si="2"/>
        <v>195.72125488549742</v>
      </c>
      <c r="J9" s="98">
        <v>1619.0076532172607</v>
      </c>
      <c r="K9" s="98">
        <f t="shared" si="3"/>
        <v>212.59189494395849</v>
      </c>
      <c r="L9" s="98">
        <v>1022.9664519269288</v>
      </c>
      <c r="M9" s="98">
        <f t="shared" si="4"/>
        <v>207.40747109463675</v>
      </c>
      <c r="N9" s="98">
        <v>15893.023818932996</v>
      </c>
      <c r="O9" s="99">
        <f t="shared" si="28"/>
        <v>1538.7171296029546</v>
      </c>
      <c r="P9" s="98">
        <f>'a1'!F10/1000</f>
        <v>22491.776999999998</v>
      </c>
      <c r="Q9" s="100">
        <f t="shared" si="5"/>
        <v>68412.430445266946</v>
      </c>
      <c r="R9" s="168">
        <f>Q9/'a8'!C$39*100</f>
        <v>69173.3371539605</v>
      </c>
      <c r="S9" s="98">
        <f>(AE9)*0.2742</f>
        <v>98.560641321237966</v>
      </c>
      <c r="T9" s="100">
        <f t="shared" si="6"/>
        <v>5.8962918064017398</v>
      </c>
      <c r="U9" s="98">
        <f>(AE9)*0.4626</f>
        <v>166.28064432970345</v>
      </c>
      <c r="V9" s="100">
        <f t="shared" si="7"/>
        <v>12.434466582975224</v>
      </c>
      <c r="W9" s="98"/>
      <c r="X9" s="98"/>
      <c r="Y9" s="98">
        <f>(AE9)*0.1002</f>
        <v>36.016689498132905</v>
      </c>
      <c r="Z9" s="99">
        <f>(Y9)*a14a!$H$9/1000000</f>
        <v>4.4755274447473354</v>
      </c>
      <c r="AA9" s="98">
        <f>(AE9)*0.1027</f>
        <v>36.915309495591316</v>
      </c>
      <c r="AB9" s="99">
        <f>(AA9)*a14a!$I$9/1000000</f>
        <v>5.4638061178983559</v>
      </c>
      <c r="AC9" s="98">
        <f>(AE9)*0.0643</f>
        <v>23.112506334630197</v>
      </c>
      <c r="AD9" s="99">
        <f>(AC9)*a14a!$J$9/1000000</f>
        <v>4.8464551970942571</v>
      </c>
      <c r="AE9" s="99">
        <f>AG9*AE10/AG10</f>
        <v>359.44799898336237</v>
      </c>
      <c r="AF9" s="99">
        <f t="shared" si="8"/>
        <v>33.116547149116911</v>
      </c>
      <c r="AG9" s="99">
        <f>'a1'!L10/1000</f>
        <v>545.56100000000004</v>
      </c>
      <c r="AH9" s="100">
        <f t="shared" si="9"/>
        <v>60701.822800964343</v>
      </c>
      <c r="AI9" s="100">
        <f>AH9/'a8'!I$39*100</f>
        <v>60945.605221851758</v>
      </c>
      <c r="AJ9" s="98">
        <f>(AV9)*0.2742</f>
        <v>21.932986406850517</v>
      </c>
      <c r="AK9" s="100">
        <f>(AJ9)*a14a!$E$14/1000000</f>
        <v>1.2339122360493855</v>
      </c>
      <c r="AL9" s="98">
        <f>(AV9)*0.4626</f>
        <v>37.002915797990696</v>
      </c>
      <c r="AM9" s="100">
        <f>(AL9)*a14a!$F$14/1000000</f>
        <v>2.6021508041413464</v>
      </c>
      <c r="AN9" s="98"/>
      <c r="AO9" s="98"/>
      <c r="AP9" s="98">
        <f>(AV9)*0.1002</f>
        <v>8.0148987526127708</v>
      </c>
      <c r="AQ9" s="99">
        <f>(AP9)*a14a!$H$14/1000000</f>
        <v>0.87112294001256585</v>
      </c>
      <c r="AR9" s="98">
        <f>(AV9)*0.1027</f>
        <v>8.2148712763805545</v>
      </c>
      <c r="AS9" s="99">
        <f>(AR9)*a14a!$I$14/1000000</f>
        <v>1.1704036089817982</v>
      </c>
      <c r="AT9" s="98">
        <f>(AV9)*0.0643</f>
        <v>5.1432933113073966</v>
      </c>
      <c r="AU9" s="99">
        <f>(AT9)*a14a!$J$14/1000000</f>
        <v>0.93698888932712654</v>
      </c>
      <c r="AV9" s="99">
        <f>AX9*AV10/AX10</f>
        <v>79.989009507113479</v>
      </c>
      <c r="AW9" s="99">
        <f t="shared" si="10"/>
        <v>6.8145784785122228</v>
      </c>
      <c r="AX9" s="99">
        <f>'a1'!R10/1000</f>
        <v>114.62</v>
      </c>
      <c r="AY9" s="100">
        <f t="shared" si="11"/>
        <v>59453.65973226507</v>
      </c>
      <c r="AZ9" s="100">
        <f>AY9/'a8'!O$39*100</f>
        <v>61229.309713970215</v>
      </c>
      <c r="BA9" s="98">
        <f>(BM9)*0.2742</f>
        <v>157.23198045346672</v>
      </c>
      <c r="BB9" s="100">
        <f>(BA9)*a14a!$E$19/1000000</f>
        <v>9.3617327916560615</v>
      </c>
      <c r="BC9" s="98">
        <f>(BM9)*0.4626</f>
        <v>265.26445717641758</v>
      </c>
      <c r="BD9" s="100">
        <f>(BC9)*a14a!$F$19/1000000</f>
        <v>19.742603890500064</v>
      </c>
      <c r="BE9" s="98"/>
      <c r="BF9" s="98"/>
      <c r="BG9" s="98">
        <f>(BM9)*0.1002</f>
        <v>57.456763097875147</v>
      </c>
      <c r="BH9" s="99">
        <f>(BG9)*a14a!$H$19/1000000</f>
        <v>6.0724659094962519</v>
      </c>
      <c r="BI9" s="98">
        <f>(BM9)*0.1027</f>
        <v>58.890315071375028</v>
      </c>
      <c r="BJ9" s="99">
        <f>(BI9)*a14a!$I$19/1000000</f>
        <v>6.9854131579051391</v>
      </c>
      <c r="BK9" s="98">
        <f>(BM9)*0.0643</f>
        <v>36.870956758416881</v>
      </c>
      <c r="BL9" s="99">
        <f>(BK9)*a14a!$J$19/1000000</f>
        <v>6.6297166339174938</v>
      </c>
      <c r="BM9" s="99">
        <f>BO9*BM10/BO10</f>
        <v>573.42078939995156</v>
      </c>
      <c r="BN9" s="99">
        <f t="shared" si="12"/>
        <v>48.791932383475014</v>
      </c>
      <c r="BO9" s="99">
        <f>'a1'!X10/1000</f>
        <v>812.38599999999997</v>
      </c>
      <c r="BP9" s="100">
        <f t="shared" si="13"/>
        <v>60060.03597240107</v>
      </c>
      <c r="BQ9" s="100">
        <f>BP9/'a8'!U$39*100</f>
        <v>60361.845198393043</v>
      </c>
      <c r="BR9" s="98">
        <f>(CD9)*0.2742</f>
        <v>125.85605894409521</v>
      </c>
      <c r="BS9" s="100">
        <f>(BR9)*a14a!$E$24/1000000</f>
        <v>7.766215344840206</v>
      </c>
      <c r="BT9" s="98">
        <f>(CD9)*0.4626</f>
        <v>212.33046268248884</v>
      </c>
      <c r="BU9" s="100">
        <f>(BT9)*a14a!$F$24/1000000</f>
        <v>16.377877546148245</v>
      </c>
      <c r="BV9" s="98"/>
      <c r="BW9" s="98"/>
      <c r="BX9" s="98">
        <f>(CD9)*0.1002</f>
        <v>45.991163771693429</v>
      </c>
      <c r="BY9" s="99">
        <f>(BX9)*a14a!$H$24/1000000</f>
        <v>5.3278498764492674</v>
      </c>
      <c r="BZ9" s="98">
        <f>(CD9)*0.1027</f>
        <v>47.138647897733691</v>
      </c>
      <c r="CA9" s="99">
        <f>(BZ9)*a14a!$I$24/1000000</f>
        <v>7.0591613131067286</v>
      </c>
      <c r="CB9" s="98">
        <f>(CD9)*0.0643</f>
        <v>29.513291721755365</v>
      </c>
      <c r="CC9" s="99">
        <f>(CB9)*a14a!$J$24/1000000</f>
        <v>5.3839156099450838</v>
      </c>
      <c r="CD9" s="99">
        <f>CF9*CD10/CF10</f>
        <v>458.99365041610213</v>
      </c>
      <c r="CE9" s="99">
        <f t="shared" si="14"/>
        <v>41.91501969048953</v>
      </c>
      <c r="CF9" s="99">
        <f>'a1'!AD10/1000</f>
        <v>656.72</v>
      </c>
      <c r="CG9" s="100">
        <f t="shared" si="15"/>
        <v>63824.795484360955</v>
      </c>
      <c r="CH9" s="100">
        <f>CG9/'a8'!AA$39*100</f>
        <v>62450.876207789588</v>
      </c>
      <c r="CI9" s="98">
        <f>(CU9)*0.2742</f>
        <v>1262.1616126633119</v>
      </c>
      <c r="CJ9" s="100">
        <f>(CI9)*a14a!$E$29/1000000</f>
        <v>90.922473187450649</v>
      </c>
      <c r="CK9" s="98">
        <f>(CU9)*0.4626</f>
        <v>2129.3798760687387</v>
      </c>
      <c r="CL9" s="100">
        <f>(CK9)*a14a!$F$29/1000000</f>
        <v>191.74296178206905</v>
      </c>
      <c r="CM9" s="98"/>
      <c r="CN9" s="98"/>
      <c r="CO9" s="98">
        <f>(CU9)*0.1002</f>
        <v>461.22754773473321</v>
      </c>
      <c r="CP9" s="99">
        <f>(CO9)*a14a!$H$29/1000000</f>
        <v>57.599426880428034</v>
      </c>
      <c r="CQ9" s="98">
        <f>(CU9)*0.1027</f>
        <v>472.73522108140821</v>
      </c>
      <c r="CR9" s="99">
        <f>(CQ9)*a14a!$I$29/1000000</f>
        <v>64.63392303555031</v>
      </c>
      <c r="CS9" s="98">
        <f>(CU9)*0.0643</f>
        <v>295.9773584764805</v>
      </c>
      <c r="CT9" s="99">
        <f>(CS9)*a14a!$J$29/1000000</f>
        <v>60.574363226931752</v>
      </c>
      <c r="CU9" s="99">
        <f>CW9*CU10/CW10</f>
        <v>4603.0693386699922</v>
      </c>
      <c r="CV9" s="99">
        <f t="shared" si="16"/>
        <v>465.47314811242984</v>
      </c>
      <c r="CW9" s="99">
        <f>'a1'!AJ10/1000</f>
        <v>6213.1490000000003</v>
      </c>
      <c r="CX9" s="100">
        <f t="shared" si="17"/>
        <v>74917.428845248971</v>
      </c>
      <c r="CY9" s="100">
        <f>CX9/'a8'!AG$39*100</f>
        <v>76290.660738542734</v>
      </c>
      <c r="CZ9" s="98">
        <f>(DL9)*0.2742</f>
        <v>1632.6988525408285</v>
      </c>
      <c r="DA9" s="100">
        <f>(CZ9)*a14a!$E$34/1000000</f>
        <v>110.07637441888224</v>
      </c>
      <c r="DB9" s="98">
        <f>(DL9)*0.4626</f>
        <v>2754.5094426892315</v>
      </c>
      <c r="DC9" s="100">
        <f>(DB9)*a14a!$F$34/1000000</f>
        <v>232.13589900699728</v>
      </c>
      <c r="DD9" s="98"/>
      <c r="DE9" s="98"/>
      <c r="DF9" s="98">
        <f>(DL9)*0.1002</f>
        <v>596.6317469897557</v>
      </c>
      <c r="DG9" s="99">
        <f>(DF9)*a14a!$H$34/1000000</f>
        <v>68.370271726279825</v>
      </c>
      <c r="DH9" s="98">
        <f>(DL9)*0.1027</f>
        <v>611.51776862123666</v>
      </c>
      <c r="DI9" s="99">
        <f>(DH9)*a14a!$I$34/1000000</f>
        <v>74.576254805823595</v>
      </c>
      <c r="DJ9" s="98">
        <f>(DL9)*0.0643</f>
        <v>382.86847636168949</v>
      </c>
      <c r="DK9" s="99">
        <f>(DJ9)*a14a!$J$34/1000000</f>
        <v>70.337468906490784</v>
      </c>
      <c r="DL9" s="99">
        <f>DN9*DL10/DN10</f>
        <v>5954.4086525923722</v>
      </c>
      <c r="DM9" s="99">
        <f t="shared" si="18"/>
        <v>555.49626886447379</v>
      </c>
      <c r="DN9" s="99">
        <f>'a1'!AP10/1000</f>
        <v>8075.5469999999996</v>
      </c>
      <c r="DO9" s="100">
        <f t="shared" si="19"/>
        <v>68787.447941851351</v>
      </c>
      <c r="DP9" s="100">
        <f>DO9/'a8'!AM$39*100</f>
        <v>70262.970318540698</v>
      </c>
      <c r="DQ9" s="98">
        <f>(EC9)*0.2742</f>
        <v>197.44014890604191</v>
      </c>
      <c r="DR9" s="100">
        <f>(DQ9)*a14a!$E$39/1000000</f>
        <v>17.654363340757467</v>
      </c>
      <c r="DS9" s="98">
        <f>(EC9)*0.4626</f>
        <v>333.0992446533005</v>
      </c>
      <c r="DT9" s="100">
        <f>(DS9)*a14a!$F$39/1000000</f>
        <v>37.230618533161952</v>
      </c>
      <c r="DU9" s="98"/>
      <c r="DV9" s="98"/>
      <c r="DW9" s="98">
        <f>(EC9)*0.1002</f>
        <v>72.149901241376369</v>
      </c>
      <c r="DX9" s="99">
        <f>(DW9)*a14a!$H$39/1000000</f>
        <v>10.920695560703299</v>
      </c>
      <c r="DY9" s="98">
        <f>(EC9)*0.1027</f>
        <v>73.950048477937656</v>
      </c>
      <c r="DZ9" s="99">
        <f>(DY9)*a14a!$I$39/1000000</f>
        <v>12.430262432158386</v>
      </c>
      <c r="EA9" s="98">
        <f>(EC9)*0.0643</f>
        <v>46.29978692435629</v>
      </c>
      <c r="EB9" s="99">
        <f>(EA9)*a14a!$J$39/1000000</f>
        <v>10.259028815297935</v>
      </c>
      <c r="EC9" s="99">
        <f>EE9*EC10/EE10</f>
        <v>720.05889462451466</v>
      </c>
      <c r="ED9" s="99">
        <f t="shared" si="20"/>
        <v>88.494968682079033</v>
      </c>
      <c r="EE9" s="99">
        <f>'a1'!AV10/1000</f>
        <v>1007.3579999999999</v>
      </c>
      <c r="EF9" s="100">
        <f t="shared" si="21"/>
        <v>87848.578838981804</v>
      </c>
      <c r="EG9" s="100">
        <f>EF9/'a8'!AS$39*100</f>
        <v>89916.662066511577</v>
      </c>
      <c r="EH9" s="98">
        <f>(ET9)*0.2742</f>
        <v>176.23740584882978</v>
      </c>
      <c r="EI9" s="100">
        <f>(EH9)*a14a!$E$44/1000000</f>
        <v>14.059932123573237</v>
      </c>
      <c r="EJ9" s="98">
        <f>(ET9)*0.4626</f>
        <v>297.32831490032333</v>
      </c>
      <c r="EK9" s="100">
        <f>(EJ9)*a14a!$F$44/1000000</f>
        <v>29.650458608520147</v>
      </c>
      <c r="EL9" s="98"/>
      <c r="EM9" s="98"/>
      <c r="EN9" s="98">
        <f>(ET9)*0.1002</f>
        <v>64.401852903182871</v>
      </c>
      <c r="EO9" s="99">
        <f>(EN9)*a14a!$H$44/1000000</f>
        <v>9.8513049992986215</v>
      </c>
      <c r="EP9" s="98">
        <f>(ET9)*0.1027</f>
        <v>66.008685560447915</v>
      </c>
      <c r="EQ9" s="99">
        <f>(EP9)*a14a!$I$44/1000000</f>
        <v>10.854578972974764</v>
      </c>
      <c r="ER9" s="98">
        <f>(ET9)*0.0643</f>
        <v>41.327735944856869</v>
      </c>
      <c r="ES9" s="99">
        <f>(ER9)*a14a!$J$44/1000000</f>
        <v>14.081123380473352</v>
      </c>
      <c r="ET9" s="99">
        <f>EV9*ET10/EV10</f>
        <v>642.7330629060167</v>
      </c>
      <c r="EU9" s="99">
        <f t="shared" si="22"/>
        <v>78.497398084840128</v>
      </c>
      <c r="EV9" s="99">
        <f>'a1'!BB10/1000</f>
        <v>911.93700000000001</v>
      </c>
      <c r="EW9" s="100">
        <f t="shared" si="23"/>
        <v>86077.654580130125</v>
      </c>
      <c r="EX9" s="100">
        <f>EW9/'a8'!AY$39*100</f>
        <v>89570.920478803469</v>
      </c>
      <c r="EY9" s="98">
        <f>(FK9)*0.2742</f>
        <v>334.24664856299756</v>
      </c>
      <c r="EZ9" s="100">
        <f>(EY9)*a14a!$E$49/1000000</f>
        <v>22.584969561028245</v>
      </c>
      <c r="FA9" s="98">
        <f>(FK9)*0.4626</f>
        <v>563.90408324304406</v>
      </c>
      <c r="FB9" s="100">
        <f>(FA9)*a14a!$F$49/1000000</f>
        <v>47.628587340133414</v>
      </c>
      <c r="FC9" s="98"/>
      <c r="FD9" s="98"/>
      <c r="FE9" s="98">
        <f>(FK9)*0.1002</f>
        <v>122.14264838078904</v>
      </c>
      <c r="FF9" s="99">
        <f>(FE9)*a14a!$H$49/1000000</f>
        <v>14.377014710212881</v>
      </c>
      <c r="FG9" s="98">
        <f>(FK9)*0.1027</f>
        <v>125.19011964777481</v>
      </c>
      <c r="FH9" s="99">
        <f>(FG9)*a14a!$I$49/1000000</f>
        <v>15.183811988223328</v>
      </c>
      <c r="FI9" s="98">
        <f>(FK9)*0.0643</f>
        <v>78.380960986873603</v>
      </c>
      <c r="FJ9" s="99">
        <f>(FI9)*a14a!$J$49/1000000</f>
        <v>16.855607133336648</v>
      </c>
      <c r="FK9" s="99">
        <f>FM9*FK10/FM10</f>
        <v>1218.9885067943019</v>
      </c>
      <c r="FL9" s="99">
        <f t="shared" si="24"/>
        <v>116.62999073293452</v>
      </c>
      <c r="FM9" s="99">
        <f>'a1'!BH10/1000</f>
        <v>1725.327</v>
      </c>
      <c r="FN9" s="100">
        <f t="shared" si="25"/>
        <v>67598.774454311846</v>
      </c>
      <c r="FO9" s="100">
        <f>FN9/'a8'!BE$39*100</f>
        <v>65885.745082175286</v>
      </c>
      <c r="FP9" s="98">
        <f>(GB9)*0.2742</f>
        <v>480.44446749025917</v>
      </c>
      <c r="FQ9" s="100">
        <f>(FP9)*a14a!$E$54/1000000</f>
        <v>37.437407068341173</v>
      </c>
      <c r="FR9" s="98">
        <f>(GB9)*0.4626</f>
        <v>810.55291998903681</v>
      </c>
      <c r="FS9" s="100">
        <f>(FR9)*a14a!$F$54/1000000</f>
        <v>78.950330551671357</v>
      </c>
      <c r="FT9" s="98"/>
      <c r="FU9" s="98"/>
      <c r="FV9" s="98">
        <f>(GB9)*0.1002</f>
        <v>175.56723429075114</v>
      </c>
      <c r="FW9" s="99">
        <f>(FV9)*a14a!$H$54/1000000</f>
        <v>23.713624274886151</v>
      </c>
      <c r="FX9" s="98">
        <f>(GB9)*0.1027</f>
        <v>179.94765430798546</v>
      </c>
      <c r="FY9" s="99">
        <f>(FX9)*a14a!$I$54/1000000</f>
        <v>25.331471869094248</v>
      </c>
      <c r="FZ9" s="98">
        <f>(GB9)*0.0643</f>
        <v>112.66440284326646</v>
      </c>
      <c r="GA9" s="99">
        <f>(FZ9)*a14a!$J$54/1000000</f>
        <v>26.928374347167527</v>
      </c>
      <c r="GB9" s="99">
        <f>GD9*GB10/GD10</f>
        <v>1752.1680068937242</v>
      </c>
      <c r="GC9" s="99">
        <f t="shared" si="26"/>
        <v>192.36120811116047</v>
      </c>
      <c r="GD9" s="99">
        <f>'a1'!BN10/1000</f>
        <v>2367.2710000000002</v>
      </c>
      <c r="GE9" s="100">
        <f t="shared" si="27"/>
        <v>81258.63414503893</v>
      </c>
      <c r="GF9" s="100">
        <f>GE9/'a8'!BK$39*100</f>
        <v>81177.456688350576</v>
      </c>
    </row>
    <row r="10" spans="1:188" s="25" customFormat="1" ht="12" hidden="1" customHeight="1">
      <c r="A10" s="201">
        <v>1974</v>
      </c>
      <c r="B10" s="98">
        <v>4313.757337956361</v>
      </c>
      <c r="C10" s="98">
        <f t="shared" si="0"/>
        <v>293.63746199468949</v>
      </c>
      <c r="D10" s="98">
        <v>7695.2103149669774</v>
      </c>
      <c r="E10" s="98">
        <f t="shared" si="1"/>
        <v>654.76236006959516</v>
      </c>
      <c r="F10" s="98"/>
      <c r="G10" s="98"/>
      <c r="H10" s="98">
        <v>1614.2869220697989</v>
      </c>
      <c r="I10" s="98">
        <f t="shared" si="2"/>
        <v>192.85885857967889</v>
      </c>
      <c r="J10" s="98">
        <v>1650.8901926519168</v>
      </c>
      <c r="K10" s="98">
        <f t="shared" si="3"/>
        <v>216.7783911971232</v>
      </c>
      <c r="L10" s="98">
        <v>1086.9991206364243</v>
      </c>
      <c r="M10" s="98">
        <f t="shared" si="4"/>
        <v>220.39015870815567</v>
      </c>
      <c r="N10" s="98">
        <v>16300.432261541224</v>
      </c>
      <c r="O10" s="99">
        <f t="shared" si="28"/>
        <v>1578.4272305492425</v>
      </c>
      <c r="P10" s="98">
        <f>'a1'!F11/1000</f>
        <v>22807.969000000001</v>
      </c>
      <c r="Q10" s="100">
        <f t="shared" si="5"/>
        <v>69205.076109549365</v>
      </c>
      <c r="R10" s="168">
        <f>Q10/'a8'!C$39*100</f>
        <v>69974.798897420987</v>
      </c>
      <c r="S10" s="98">
        <f>(AE10)*0.267</f>
        <v>96.68384194412404</v>
      </c>
      <c r="T10" s="100">
        <f t="shared" si="6"/>
        <v>5.7840141604652766</v>
      </c>
      <c r="U10" s="98">
        <f>(AE10)*0.4687</f>
        <v>169.72178546520951</v>
      </c>
      <c r="V10" s="100">
        <f t="shared" si="7"/>
        <v>12.691795117088366</v>
      </c>
      <c r="W10" s="98"/>
      <c r="X10" s="98"/>
      <c r="Y10" s="98">
        <f>(AE10)*0.0975</f>
        <v>35.305897339146419</v>
      </c>
      <c r="Z10" s="99">
        <f>(Y10)*a14a!$H$9/1000000</f>
        <v>4.3872025637162748</v>
      </c>
      <c r="AA10" s="98">
        <f>(AE10)*0.1025</f>
        <v>37.116456177051361</v>
      </c>
      <c r="AB10" s="99">
        <f>(AA10)*a14a!$I$9/1000000</f>
        <v>5.4935776810729138</v>
      </c>
      <c r="AC10" s="98">
        <f>(AE10)*0.0667</f>
        <v>24.152854897651959</v>
      </c>
      <c r="AD10" s="99">
        <f>(AC10)*a14a!$J$9/1000000</f>
        <v>5.064605605667289</v>
      </c>
      <c r="AE10" s="99">
        <f>AG10*AE11/AG11</f>
        <v>362.1117675809889</v>
      </c>
      <c r="AF10" s="99">
        <f t="shared" si="8"/>
        <v>33.421195128010126</v>
      </c>
      <c r="AG10" s="99">
        <f>'a1'!L11/1000</f>
        <v>549.60400000000004</v>
      </c>
      <c r="AH10" s="100">
        <f t="shared" si="9"/>
        <v>60809.592230060414</v>
      </c>
      <c r="AI10" s="100">
        <f>AH10/'a8'!I$39*100</f>
        <v>61053.807459900017</v>
      </c>
      <c r="AJ10" s="98">
        <f>(AV10)*0.267</f>
        <v>21.607119472726051</v>
      </c>
      <c r="AK10" s="100">
        <f>(AJ10)*a14a!$E$14/1000000</f>
        <v>1.2155795206643758</v>
      </c>
      <c r="AL10" s="98">
        <f>(AV10)*0.4687</f>
        <v>37.9298011118603</v>
      </c>
      <c r="AM10" s="100">
        <f>(AL10)*a14a!$F$14/1000000</f>
        <v>2.6673320287237496</v>
      </c>
      <c r="AN10" s="98"/>
      <c r="AO10" s="98"/>
      <c r="AP10" s="98">
        <f>(AV10)*0.0975</f>
        <v>7.8902402568943444</v>
      </c>
      <c r="AQ10" s="99">
        <f>(AP10)*a14a!$H$14/1000000</f>
        <v>0.85757406327193575</v>
      </c>
      <c r="AR10" s="98">
        <f>(AV10)*0.1025</f>
        <v>8.2948679623761041</v>
      </c>
      <c r="AS10" s="99">
        <f>(AR10)*a14a!$I$14/1000000</f>
        <v>1.1818010377236186</v>
      </c>
      <c r="AT10" s="98">
        <f>(AV10)*0.0667</f>
        <v>5.3977335911266948</v>
      </c>
      <c r="AU10" s="99">
        <f>(AT10)*a14a!$J$14/1000000</f>
        <v>0.98334201382497199</v>
      </c>
      <c r="AV10" s="99">
        <f>AX10*AV11/AX11</f>
        <v>80.925541096352248</v>
      </c>
      <c r="AW10" s="99">
        <f t="shared" si="10"/>
        <v>6.9056286642086508</v>
      </c>
      <c r="AX10" s="99">
        <f>'a1'!R11/1000</f>
        <v>115.962</v>
      </c>
      <c r="AY10" s="100">
        <f t="shared" si="11"/>
        <v>59550.789605290105</v>
      </c>
      <c r="AZ10" s="100">
        <f>AY10/'a8'!O$39*100</f>
        <v>61329.340479186518</v>
      </c>
      <c r="BA10" s="98">
        <f>(BM10)*0.267</f>
        <v>154.30290717234658</v>
      </c>
      <c r="BB10" s="100">
        <f>(BA10)*a14a!$E$19/1000000</f>
        <v>9.1873331478562328</v>
      </c>
      <c r="BC10" s="98">
        <f>(BM10)*0.4687</f>
        <v>270.86806214111925</v>
      </c>
      <c r="BD10" s="100">
        <f>(BC10)*a14a!$F$19/1000000</f>
        <v>20.159658456929854</v>
      </c>
      <c r="BE10" s="98"/>
      <c r="BF10" s="98"/>
      <c r="BG10" s="98">
        <f>(BM10)*0.0975</f>
        <v>56.346567225856894</v>
      </c>
      <c r="BH10" s="99">
        <f>(BG10)*a14a!$H$19/1000000</f>
        <v>5.9551320009673248</v>
      </c>
      <c r="BI10" s="98">
        <f>(BM10)*0.1025</f>
        <v>59.23613477590083</v>
      </c>
      <c r="BJ10" s="99">
        <f>(BI10)*a14a!$I$19/1000000</f>
        <v>7.0264333750890611</v>
      </c>
      <c r="BK10" s="98">
        <f>(BM10)*0.0667</f>
        <v>38.546831117586201</v>
      </c>
      <c r="BL10" s="99">
        <f>(BK10)*a14a!$J$19/1000000</f>
        <v>6.9310533252363147</v>
      </c>
      <c r="BM10" s="99">
        <f>BO10*BM11/BO11</f>
        <v>577.91351000878865</v>
      </c>
      <c r="BN10" s="99">
        <f t="shared" si="12"/>
        <v>49.259610306078784</v>
      </c>
      <c r="BO10" s="99">
        <f>'a1'!X11/1000</f>
        <v>818.75099999999998</v>
      </c>
      <c r="BP10" s="100">
        <f t="shared" si="13"/>
        <v>60164.336050983497</v>
      </c>
      <c r="BQ10" s="100">
        <f>BP10/'a8'!U$39*100</f>
        <v>60466.669397973361</v>
      </c>
      <c r="BR10" s="98">
        <f>(CD10)*0.267</f>
        <v>124.04867289809627</v>
      </c>
      <c r="BS10" s="100">
        <f>(BR10)*a14a!$E$24/1000000</f>
        <v>7.6546867512845953</v>
      </c>
      <c r="BT10" s="98">
        <f>(CD10)*0.4687</f>
        <v>217.75885013984166</v>
      </c>
      <c r="BU10" s="100">
        <f>(BT10)*a14a!$F$24/1000000</f>
        <v>16.796590263703603</v>
      </c>
      <c r="BV10" s="98"/>
      <c r="BW10" s="98"/>
      <c r="BX10" s="98">
        <f>(CD10)*0.0975</f>
        <v>45.298672687507064</v>
      </c>
      <c r="BY10" s="99">
        <f>(BX10)*a14a!$H$24/1000000</f>
        <v>5.2476281939617433</v>
      </c>
      <c r="BZ10" s="98">
        <f>(CD10)*0.1025</f>
        <v>47.621681543276651</v>
      </c>
      <c r="CA10" s="99">
        <f>(BZ10)*a14a!$I$24/1000000</f>
        <v>7.1314971261946072</v>
      </c>
      <c r="CB10" s="98">
        <f>(CD10)*0.0667</f>
        <v>30.988938135966368</v>
      </c>
      <c r="CC10" s="99">
        <f>(CB10)*a14a!$J$24/1000000</f>
        <v>5.6531080754664318</v>
      </c>
      <c r="CD10" s="99">
        <f>CF10*CD11/CF11</f>
        <v>464.60177115391861</v>
      </c>
      <c r="CE10" s="99">
        <f t="shared" si="14"/>
        <v>42.48351041061099</v>
      </c>
      <c r="CF10" s="99">
        <f>'a1'!AD11/1000</f>
        <v>664.74400000000003</v>
      </c>
      <c r="CG10" s="100">
        <f t="shared" si="15"/>
        <v>63909.580847079458</v>
      </c>
      <c r="CH10" s="100">
        <f>CG10/'a8'!AA$39*100</f>
        <v>62533.836445283225</v>
      </c>
      <c r="CI10" s="98">
        <f>(CU10)*0.267</f>
        <v>1239.9825081113238</v>
      </c>
      <c r="CJ10" s="100">
        <f>(CI10)*a14a!$E$29/1000000</f>
        <v>89.324754623744226</v>
      </c>
      <c r="CK10" s="98">
        <f>(CU10)*0.4687</f>
        <v>2176.7033765984174</v>
      </c>
      <c r="CL10" s="100">
        <f>(CK10)*a14a!$F$29/1000000</f>
        <v>196.00427196698931</v>
      </c>
      <c r="CM10" s="98"/>
      <c r="CN10" s="98"/>
      <c r="CO10" s="98">
        <f>(CU10)*0.0975</f>
        <v>452.80260127660705</v>
      </c>
      <c r="CP10" s="99">
        <f>(CO10)*a14a!$H$29/1000000</f>
        <v>56.547295259344864</v>
      </c>
      <c r="CQ10" s="98">
        <f>(CU10)*0.1025</f>
        <v>476.02324749592015</v>
      </c>
      <c r="CR10" s="99">
        <f>(CQ10)*a14a!$I$29/1000000</f>
        <v>65.083472882350961</v>
      </c>
      <c r="CS10" s="98">
        <f>(CU10)*0.0667</f>
        <v>309.76342056563783</v>
      </c>
      <c r="CT10" s="99">
        <f>(CS10)*a14a!$J$29/1000000</f>
        <v>63.395801788165507</v>
      </c>
      <c r="CU10" s="99">
        <f>CW10*CU11/CW11</f>
        <v>4644.129243862636</v>
      </c>
      <c r="CV10" s="99">
        <f t="shared" si="16"/>
        <v>470.35559652059487</v>
      </c>
      <c r="CW10" s="99">
        <f>'a1'!AJ11/1000</f>
        <v>6268.5709999999999</v>
      </c>
      <c r="CX10" s="100">
        <f t="shared" si="17"/>
        <v>75033.942587647951</v>
      </c>
      <c r="CY10" s="100">
        <f>CX10/'a8'!AG$39*100</f>
        <v>76409.310170720928</v>
      </c>
      <c r="CZ10" s="98">
        <f>(DL10)*0.267</f>
        <v>1615.1696987067285</v>
      </c>
      <c r="DA10" s="100">
        <f>(CZ10)*a14a!$E$34/1000000</f>
        <v>108.8945608237506</v>
      </c>
      <c r="DB10" s="98">
        <f>(DL10)*0.4687</f>
        <v>2835.318493572448</v>
      </c>
      <c r="DC10" s="100">
        <f>(DB10)*a14a!$F$34/1000000</f>
        <v>238.94607049668494</v>
      </c>
      <c r="DD10" s="98"/>
      <c r="DE10" s="98"/>
      <c r="DF10" s="98">
        <f>(DL10)*0.0975</f>
        <v>589.8091596400975</v>
      </c>
      <c r="DG10" s="99">
        <f>(DF10)*a14a!$H$34/1000000</f>
        <v>67.588445828938802</v>
      </c>
      <c r="DH10" s="98">
        <f>(DL10)*0.1025</f>
        <v>620.05578321138444</v>
      </c>
      <c r="DI10" s="99">
        <f>(DH10)*a14a!$I$34/1000000</f>
        <v>75.617488902825087</v>
      </c>
      <c r="DJ10" s="98">
        <f>(DL10)*0.0667</f>
        <v>403.48995844096925</v>
      </c>
      <c r="DK10" s="99">
        <f>(DJ10)*a14a!$J$34/1000000</f>
        <v>74.125879141620388</v>
      </c>
      <c r="DL10" s="99">
        <f>DN10*DL11/DN11</f>
        <v>6049.3247142574101</v>
      </c>
      <c r="DM10" s="99">
        <f t="shared" si="18"/>
        <v>565.17244519381984</v>
      </c>
      <c r="DN10" s="99">
        <f>'a1'!AP11/1000</f>
        <v>8204.2749999999996</v>
      </c>
      <c r="DO10" s="100">
        <f t="shared" si="19"/>
        <v>68887.554987347423</v>
      </c>
      <c r="DP10" s="100">
        <f>DO10/'a8'!AM$39*100</f>
        <v>70365.224706177134</v>
      </c>
      <c r="DQ10" s="98">
        <f>(EC10)*0.267</f>
        <v>194.32608128553403</v>
      </c>
      <c r="DR10" s="100">
        <f>(DQ10)*a14a!$E$39/1000000</f>
        <v>17.375915003148606</v>
      </c>
      <c r="DS10" s="98">
        <f>(EC10)*0.4687</f>
        <v>341.12597115554229</v>
      </c>
      <c r="DT10" s="100">
        <f>(DS10)*a14a!$F$39/1000000</f>
        <v>38.127768548575609</v>
      </c>
      <c r="DU10" s="98"/>
      <c r="DV10" s="98"/>
      <c r="DW10" s="98">
        <f>(EC10)*0.0975</f>
        <v>70.961771255953437</v>
      </c>
      <c r="DX10" s="99">
        <f>(DW10)*a14a!$H$39/1000000</f>
        <v>10.740858781524096</v>
      </c>
      <c r="DY10" s="98">
        <f>(EC10)*0.1025</f>
        <v>74.600836448566426</v>
      </c>
      <c r="DZ10" s="99">
        <f>(DY10)*a14a!$I$39/1000000</f>
        <v>12.53965337143574</v>
      </c>
      <c r="EA10" s="98">
        <f>(EC10)*0.0667</f>
        <v>48.545129669457367</v>
      </c>
      <c r="EB10" s="99">
        <f>(EA10)*a14a!$J$39/1000000</f>
        <v>10.756548079476113</v>
      </c>
      <c r="EC10" s="99">
        <f>EE10*EC11/EE11</f>
        <v>727.8130385225993</v>
      </c>
      <c r="ED10" s="99">
        <f t="shared" si="20"/>
        <v>89.540743784160185</v>
      </c>
      <c r="EE10" s="99">
        <f>'a1'!AV11/1000</f>
        <v>1018.206</v>
      </c>
      <c r="EF10" s="100">
        <f t="shared" si="21"/>
        <v>87939.713362679249</v>
      </c>
      <c r="EG10" s="100">
        <f>EF10/'a8'!AS$39*100</f>
        <v>90009.942029354395</v>
      </c>
      <c r="EH10" s="98">
        <f>(ET10)*0.267</f>
        <v>170.9548559651443</v>
      </c>
      <c r="EI10" s="100">
        <f>(EH10)*a14a!$E$44/1000000</f>
        <v>13.638498929829362</v>
      </c>
      <c r="EJ10" s="98">
        <f>(ET10)*0.4687</f>
        <v>300.09940446016157</v>
      </c>
      <c r="EK10" s="100">
        <f>(EJ10)*a14a!$F$44/1000000</f>
        <v>29.926799852111529</v>
      </c>
      <c r="EL10" s="98"/>
      <c r="EM10" s="98"/>
      <c r="EN10" s="98">
        <f>(ET10)*0.0975</f>
        <v>62.427335043451571</v>
      </c>
      <c r="EO10" s="99">
        <f>(EN10)*a14a!$H$44/1000000</f>
        <v>9.5492705579601473</v>
      </c>
      <c r="EP10" s="98">
        <f>(ET10)*0.1025</f>
        <v>65.628736840551653</v>
      </c>
      <c r="EQ10" s="99">
        <f>(EP10)*a14a!$I$44/1000000</f>
        <v>10.792099568169501</v>
      </c>
      <c r="ER10" s="98">
        <f>(ET10)*0.0667</f>
        <v>42.706699973315075</v>
      </c>
      <c r="ES10" s="99">
        <f>(ER10)*a14a!$J$44/1000000</f>
        <v>14.550961908474571</v>
      </c>
      <c r="ET10" s="99">
        <f>EV10*ET11/EV11</f>
        <v>640.28035942001611</v>
      </c>
      <c r="EU10" s="99">
        <f t="shared" si="22"/>
        <v>78.45763081654512</v>
      </c>
      <c r="EV10" s="99">
        <f>'a1'!BB11/1000</f>
        <v>908.45699999999999</v>
      </c>
      <c r="EW10" s="100">
        <f t="shared" si="23"/>
        <v>86363.615247111447</v>
      </c>
      <c r="EX10" s="100">
        <f>EW10/'a8'!AY$39*100</f>
        <v>89868.486209273105</v>
      </c>
      <c r="EY10" s="98">
        <f>(FK10)*0.267</f>
        <v>330.99602356668618</v>
      </c>
      <c r="EZ10" s="100">
        <f>(EY10)*a14a!$E$49/1000000</f>
        <v>22.365325573836031</v>
      </c>
      <c r="FA10" s="98">
        <f>(FK10)*0.4687</f>
        <v>581.04058518990939</v>
      </c>
      <c r="FB10" s="100">
        <f>(FA10)*a14a!$F$49/1000000</f>
        <v>49.075974234349012</v>
      </c>
      <c r="FC10" s="98"/>
      <c r="FD10" s="98"/>
      <c r="FE10" s="98">
        <f>(FK10)*0.0975</f>
        <v>120.86933444850899</v>
      </c>
      <c r="FF10" s="99">
        <f>(FE10)*a14a!$H$49/1000000</f>
        <v>14.227137059958913</v>
      </c>
      <c r="FG10" s="98">
        <f>(FK10)*0.1025</f>
        <v>127.06776185612482</v>
      </c>
      <c r="FH10" s="99">
        <f>(FG10)*a14a!$I$49/1000000</f>
        <v>15.411543748149365</v>
      </c>
      <c r="FI10" s="98">
        <f>(FK10)*0.0667</f>
        <v>82.687021617595377</v>
      </c>
      <c r="FJ10" s="99">
        <f>(FI10)*a14a!$J$49/1000000</f>
        <v>17.781613466633956</v>
      </c>
      <c r="FK10" s="99">
        <f>FM10*FK11/FM11</f>
        <v>1239.6854815231691</v>
      </c>
      <c r="FL10" s="99">
        <f t="shared" si="24"/>
        <v>118.8615940829273</v>
      </c>
      <c r="FM10" s="99">
        <f>'a1'!BH11/1000</f>
        <v>1754.6210000000001</v>
      </c>
      <c r="FN10" s="100">
        <f t="shared" si="25"/>
        <v>67742.033227077132</v>
      </c>
      <c r="FO10" s="100">
        <f>FN10/'a8'!BE$39*100</f>
        <v>66025.373515669722</v>
      </c>
      <c r="FP10" s="98">
        <f>(GB10)*0.267</f>
        <v>482.71130594116028</v>
      </c>
      <c r="FQ10" s="100">
        <f>(FP10)*a14a!$E$54/1000000</f>
        <v>37.614044660377289</v>
      </c>
      <c r="FR10" s="98">
        <f>(GB10)*0.4687</f>
        <v>847.36625129071842</v>
      </c>
      <c r="FS10" s="100">
        <f>(FR10)*a14a!$F$54/1000000</f>
        <v>82.536061480893423</v>
      </c>
      <c r="FT10" s="98"/>
      <c r="FU10" s="98"/>
      <c r="FV10" s="98">
        <f>(GB10)*0.0975</f>
        <v>176.27098250660347</v>
      </c>
      <c r="FW10" s="99">
        <f>(FV10)*a14a!$H$54/1000000</f>
        <v>23.808678576118727</v>
      </c>
      <c r="FX10" s="98">
        <f>(GB10)*0.1025</f>
        <v>185.31052007104466</v>
      </c>
      <c r="FY10" s="99">
        <f>(FX10)*a14a!$I$54/1000000</f>
        <v>26.086409652179508</v>
      </c>
      <c r="FZ10" s="98">
        <f>(GB10)*0.0667</f>
        <v>120.58743110964565</v>
      </c>
      <c r="GA10" s="99">
        <f>(FZ10)*a14a!$J$54/1000000</f>
        <v>28.822089360391864</v>
      </c>
      <c r="GB10" s="99">
        <f>GD10*GB11/GD11</f>
        <v>1807.9075128882407</v>
      </c>
      <c r="GC10" s="99">
        <f t="shared" si="26"/>
        <v>198.8672837299608</v>
      </c>
      <c r="GD10" s="99">
        <f>'a1'!BN11/1000</f>
        <v>2442.578</v>
      </c>
      <c r="GE10" s="100">
        <f t="shared" si="27"/>
        <v>81416.963441888365</v>
      </c>
      <c r="GF10" s="100">
        <f>GE10/'a8'!BK$39*100</f>
        <v>81335.627814074294</v>
      </c>
    </row>
    <row r="11" spans="1:188" s="25" customFormat="1" ht="12" hidden="1" customHeight="1">
      <c r="A11" s="201">
        <v>1975</v>
      </c>
      <c r="B11" s="98">
        <v>4309.3480935765474</v>
      </c>
      <c r="C11" s="98">
        <f t="shared" si="0"/>
        <v>293.33732472975561</v>
      </c>
      <c r="D11" s="98">
        <v>8003.0216221466762</v>
      </c>
      <c r="E11" s="98">
        <f t="shared" si="1"/>
        <v>680.95310076359431</v>
      </c>
      <c r="F11" s="98"/>
      <c r="G11" s="98"/>
      <c r="H11" s="98">
        <v>1589.78191964076</v>
      </c>
      <c r="I11" s="98">
        <f t="shared" si="2"/>
        <v>189.93124593948158</v>
      </c>
      <c r="J11" s="98">
        <v>1682.4520591681198</v>
      </c>
      <c r="K11" s="98">
        <f t="shared" si="3"/>
        <v>220.92277988936581</v>
      </c>
      <c r="L11" s="98">
        <v>1154.3891037835431</v>
      </c>
      <c r="M11" s="98">
        <f t="shared" si="4"/>
        <v>234.05354518121715</v>
      </c>
      <c r="N11" s="98">
        <v>16708.864343452486</v>
      </c>
      <c r="O11" s="99">
        <f t="shared" si="28"/>
        <v>1619.1979965034143</v>
      </c>
      <c r="P11" s="98">
        <f>'a1'!F12/1000</f>
        <v>23143.275000000001</v>
      </c>
      <c r="Q11" s="100">
        <f t="shared" si="5"/>
        <v>69964.082287550671</v>
      </c>
      <c r="R11" s="168">
        <f>Q11/'a8'!C$39*100</f>
        <v>70742.247004601275</v>
      </c>
      <c r="S11" s="98">
        <f>(AE11)*0.2599</f>
        <v>95.293017663688431</v>
      </c>
      <c r="T11" s="100">
        <f t="shared" si="6"/>
        <v>5.7008094887124967</v>
      </c>
      <c r="U11" s="98">
        <f>(AE11)*0.4748</f>
        <v>174.08666712858511</v>
      </c>
      <c r="V11" s="100">
        <f t="shared" si="7"/>
        <v>13.018200967875595</v>
      </c>
      <c r="W11" s="98"/>
      <c r="X11" s="98"/>
      <c r="Y11" s="98">
        <f>(AE11)*0.0948</f>
        <v>34.758669005454649</v>
      </c>
      <c r="Z11" s="99">
        <f>(Y11)*a14a!$H$9/1000000</f>
        <v>4.3192025487202317</v>
      </c>
      <c r="AA11" s="98">
        <f>(AE11)*0.1022</f>
        <v>37.471898442589293</v>
      </c>
      <c r="AB11" s="99">
        <f>(AA11)*a14a!$I$9/1000000</f>
        <v>5.5461864131014984</v>
      </c>
      <c r="AC11" s="98">
        <f>(AE11)*0.0692</f>
        <v>25.372361763475332</v>
      </c>
      <c r="AD11" s="99">
        <f>(AC11)*a14a!$J$9/1000000</f>
        <v>5.320323670259282</v>
      </c>
      <c r="AE11" s="99">
        <f>AG11*AE12/AG12</f>
        <v>366.65262663981696</v>
      </c>
      <c r="AF11" s="99">
        <f t="shared" si="8"/>
        <v>33.904723088669101</v>
      </c>
      <c r="AG11" s="99">
        <f>'a1'!L12/1000</f>
        <v>556.49599999999998</v>
      </c>
      <c r="AH11" s="100">
        <f t="shared" si="9"/>
        <v>60925.367098180584</v>
      </c>
      <c r="AI11" s="100">
        <f>AH11/'a8'!I$39*100</f>
        <v>61170.047287329908</v>
      </c>
      <c r="AJ11" s="98">
        <f>(AV11)*0.2599</f>
        <v>21.352129975052257</v>
      </c>
      <c r="AK11" s="100">
        <f>(AJ11)*a14a!$E$14/1000000</f>
        <v>1.2012342484151981</v>
      </c>
      <c r="AL11" s="98">
        <f>(AV11)*0.4748</f>
        <v>39.00727707639404</v>
      </c>
      <c r="AM11" s="100">
        <f>(AL11)*a14a!$F$14/1000000</f>
        <v>2.7431032182932671</v>
      </c>
      <c r="AN11" s="98"/>
      <c r="AO11" s="98"/>
      <c r="AP11" s="98">
        <f>(AV11)*0.0948</f>
        <v>7.7883105872833926</v>
      </c>
      <c r="AQ11" s="99">
        <f>(AP11)*a14a!$H$14/1000000</f>
        <v>0.84649553611810802</v>
      </c>
      <c r="AR11" s="98">
        <f>(AV11)*0.1022</f>
        <v>8.3962588820713382</v>
      </c>
      <c r="AS11" s="99">
        <f>(AR11)*a14a!$I$14/1000000</f>
        <v>1.1962465834098281</v>
      </c>
      <c r="AT11" s="98">
        <f>(AV11)*0.0692</f>
        <v>5.6851381080169912</v>
      </c>
      <c r="AU11" s="99">
        <f>(AT11)*a14a!$J$14/1000000</f>
        <v>1.0357004586518692</v>
      </c>
      <c r="AV11" s="99">
        <f>AX11*AV12/AX12</f>
        <v>82.155174971343811</v>
      </c>
      <c r="AW11" s="99">
        <f t="shared" si="10"/>
        <v>7.02278004488827</v>
      </c>
      <c r="AX11" s="99">
        <f>'a1'!R12/1000</f>
        <v>117.724</v>
      </c>
      <c r="AY11" s="100">
        <f t="shared" si="11"/>
        <v>59654.61626251461</v>
      </c>
      <c r="AZ11" s="100">
        <f>AY11/'a8'!O$39*100</f>
        <v>61436.268035545436</v>
      </c>
      <c r="BA11" s="98">
        <f>(BM11)*0.2599</f>
        <v>151.63026292551422</v>
      </c>
      <c r="BB11" s="100">
        <f>(BA11)*a14a!$E$19/1000000</f>
        <v>9.0282015181849644</v>
      </c>
      <c r="BC11" s="98">
        <f>(BM11)*0.4748</f>
        <v>277.00672888431757</v>
      </c>
      <c r="BD11" s="100">
        <f>(BC11)*a14a!$F$19/1000000</f>
        <v>20.61653559462399</v>
      </c>
      <c r="BE11" s="98"/>
      <c r="BF11" s="98"/>
      <c r="BG11" s="98">
        <f>(BM11)*0.0948</f>
        <v>55.307998943204097</v>
      </c>
      <c r="BH11" s="99">
        <f>(BG11)*a14a!$H$19/1000000</f>
        <v>5.8453682385996109</v>
      </c>
      <c r="BI11" s="98">
        <f>(BM11)*0.1022</f>
        <v>59.625289999952102</v>
      </c>
      <c r="BJ11" s="99">
        <f>(BI11)*a14a!$I$19/1000000</f>
        <v>7.0725939367919581</v>
      </c>
      <c r="BK11" s="98">
        <f>(BM11)*0.0692</f>
        <v>40.372505557697508</v>
      </c>
      <c r="BL11" s="99">
        <f>(BK11)*a14a!$J$19/1000000</f>
        <v>7.2593253655586993</v>
      </c>
      <c r="BM11" s="99">
        <f>BO11*BM12/BO12</f>
        <v>583.41771037135129</v>
      </c>
      <c r="BN11" s="99">
        <f t="shared" si="12"/>
        <v>49.822024653759229</v>
      </c>
      <c r="BO11" s="99">
        <f>'a1'!X12/1000</f>
        <v>826.54899999999998</v>
      </c>
      <c r="BP11" s="100">
        <f t="shared" si="13"/>
        <v>60277.157983082951</v>
      </c>
      <c r="BQ11" s="100">
        <f>BP11/'a8'!U$39*100</f>
        <v>60580.058274455223</v>
      </c>
      <c r="BR11" s="98">
        <f>(CD11)*0.2599</f>
        <v>122.97774213623323</v>
      </c>
      <c r="BS11" s="100">
        <f>(BR11)*a14a!$E$24/1000000</f>
        <v>7.5886026947376113</v>
      </c>
      <c r="BT11" s="98">
        <f>(CD11)*0.4748</f>
        <v>224.66268551859767</v>
      </c>
      <c r="BU11" s="100">
        <f>(BT11)*a14a!$F$24/1000000</f>
        <v>17.329110039733639</v>
      </c>
      <c r="BV11" s="98"/>
      <c r="BW11" s="98"/>
      <c r="BX11" s="98">
        <f>(CD11)*0.0948</f>
        <v>44.85682937481689</v>
      </c>
      <c r="BY11" s="99">
        <f>(BX11)*a14a!$H$24/1000000</f>
        <v>5.1964428216886631</v>
      </c>
      <c r="BZ11" s="98">
        <f>(CD11)*0.1022</f>
        <v>48.358311836564198</v>
      </c>
      <c r="CA11" s="99">
        <f>(BZ11)*a14a!$I$24/1000000</f>
        <v>7.2418098377454179</v>
      </c>
      <c r="CB11" s="98">
        <f>(CD11)*0.0692</f>
        <v>32.743592750393759</v>
      </c>
      <c r="CC11" s="99">
        <f>(CB11)*a14a!$J$24/1000000</f>
        <v>5.9731981710661071</v>
      </c>
      <c r="CD11" s="99">
        <f>CF11*CD12/CF12</f>
        <v>473.17330564152837</v>
      </c>
      <c r="CE11" s="99">
        <f t="shared" si="14"/>
        <v>43.329163564971445</v>
      </c>
      <c r="CF11" s="99">
        <f>'a1'!AD12/1000</f>
        <v>677.00800000000004</v>
      </c>
      <c r="CG11" s="100">
        <f t="shared" si="15"/>
        <v>64000.962418422598</v>
      </c>
      <c r="CH11" s="100">
        <f>CG11/'a8'!AA$39*100</f>
        <v>62623.250898652244</v>
      </c>
      <c r="CI11" s="98">
        <f>(CU11)*0.2599</f>
        <v>1218.895646156433</v>
      </c>
      <c r="CJ11" s="100">
        <f>(CI11)*a14a!$E$29/1000000</f>
        <v>87.805718058644331</v>
      </c>
      <c r="CK11" s="98">
        <f>(CU11)*0.4748</f>
        <v>2226.7474136016713</v>
      </c>
      <c r="CL11" s="100">
        <f>(CK11)*a14a!$F$29/1000000</f>
        <v>200.51055662872412</v>
      </c>
      <c r="CM11" s="98"/>
      <c r="CN11" s="98"/>
      <c r="CO11" s="98">
        <f>(CU11)*0.0948</f>
        <v>444.59910448491667</v>
      </c>
      <c r="CP11" s="99">
        <f>(CO11)*a14a!$H$29/1000000</f>
        <v>55.522818911525853</v>
      </c>
      <c r="CQ11" s="98">
        <f>(CU11)*0.1022</f>
        <v>479.30409787297975</v>
      </c>
      <c r="CR11" s="99">
        <f>(CQ11)*a14a!$I$29/1000000</f>
        <v>65.532041597575827</v>
      </c>
      <c r="CS11" s="98">
        <f>(CU11)*0.0692</f>
        <v>324.53858681810374</v>
      </c>
      <c r="CT11" s="99">
        <f>(CS11)*a14a!$J$29/1000000</f>
        <v>66.419669194517454</v>
      </c>
      <c r="CU11" s="99">
        <f>CW11*CU12/CW12</f>
        <v>4689.8639713598805</v>
      </c>
      <c r="CV11" s="99">
        <f t="shared" si="16"/>
        <v>475.79080439098755</v>
      </c>
      <c r="CW11" s="99">
        <f>'a1'!AJ12/1000</f>
        <v>6330.3029999999999</v>
      </c>
      <c r="CX11" s="100">
        <f t="shared" si="17"/>
        <v>75160.826328690353</v>
      </c>
      <c r="CY11" s="100">
        <f>CX11/'a8'!AG$39*100</f>
        <v>76538.519682984072</v>
      </c>
      <c r="CZ11" s="98">
        <f>(DL11)*0.2599</f>
        <v>1594.3570734432055</v>
      </c>
      <c r="DA11" s="100">
        <f>(CZ11)*a14a!$E$34/1000000</f>
        <v>107.49137595130325</v>
      </c>
      <c r="DB11" s="98">
        <f>(DL11)*0.4748</f>
        <v>2912.6615562556135</v>
      </c>
      <c r="DC11" s="100">
        <f>(DB11)*a14a!$F$34/1000000</f>
        <v>245.46414631434581</v>
      </c>
      <c r="DD11" s="98"/>
      <c r="DE11" s="98"/>
      <c r="DF11" s="98">
        <f>(DL11)*0.0948</f>
        <v>581.55079092887991</v>
      </c>
      <c r="DG11" s="99">
        <f>(DF11)*a14a!$H$34/1000000</f>
        <v>66.642088355253364</v>
      </c>
      <c r="DH11" s="98">
        <f>(DL11)*0.1022</f>
        <v>626.94610583261101</v>
      </c>
      <c r="DI11" s="99">
        <f>(DH11)*a14a!$I$34/1000000</f>
        <v>76.457782483588076</v>
      </c>
      <c r="DJ11" s="98">
        <f>(DL11)*0.0692</f>
        <v>424.50753937002622</v>
      </c>
      <c r="DK11" s="99">
        <f>(DJ11)*a14a!$J$34/1000000</f>
        <v>77.987057421784286</v>
      </c>
      <c r="DL11" s="99">
        <f>DN11*DL12/DN12</f>
        <v>6134.5020140177203</v>
      </c>
      <c r="DM11" s="99">
        <f t="shared" si="18"/>
        <v>574.04245052627471</v>
      </c>
      <c r="DN11" s="99">
        <f>'a1'!AP12/1000</f>
        <v>8319.7950000000001</v>
      </c>
      <c r="DO11" s="100">
        <f t="shared" si="19"/>
        <v>68997.186892979298</v>
      </c>
      <c r="DP11" s="100">
        <f>DO11/'a8'!AM$39*100</f>
        <v>70477.208266577421</v>
      </c>
      <c r="DQ11" s="98">
        <f>(EC11)*0.2599</f>
        <v>190.41612892146216</v>
      </c>
      <c r="DR11" s="100">
        <f>(DQ11)*a14a!$E$39/1000000</f>
        <v>17.026301613658973</v>
      </c>
      <c r="DS11" s="98">
        <f>(EC11)*0.4748</f>
        <v>347.86293963797704</v>
      </c>
      <c r="DT11" s="100">
        <f>(DS11)*a14a!$F$39/1000000</f>
        <v>38.880761861125819</v>
      </c>
      <c r="DU11" s="98"/>
      <c r="DV11" s="98"/>
      <c r="DW11" s="98">
        <f>(EC11)*0.0948</f>
        <v>69.455363685088926</v>
      </c>
      <c r="DX11" s="99">
        <f>(DW11)*a14a!$H$39/1000000</f>
        <v>10.512847125392881</v>
      </c>
      <c r="DY11" s="98">
        <f>(EC11)*0.1022</f>
        <v>74.876984901013586</v>
      </c>
      <c r="DZ11" s="99">
        <f>(DY11)*a14a!$I$39/1000000</f>
        <v>12.586071160264867</v>
      </c>
      <c r="EA11" s="98">
        <f>(EC11)*0.0692</f>
        <v>50.699484884052254</v>
      </c>
      <c r="EB11" s="99">
        <f>(EA11)*a14a!$J$39/1000000</f>
        <v>11.233906479872759</v>
      </c>
      <c r="EC11" s="99">
        <f>EE11*EC12/EE12</f>
        <v>732.65151566549503</v>
      </c>
      <c r="ED11" s="99">
        <f t="shared" si="20"/>
        <v>90.239888240315295</v>
      </c>
      <c r="EE11" s="99">
        <f>'a1'!AV12/1000</f>
        <v>1024.9749999999999</v>
      </c>
      <c r="EF11" s="100">
        <f t="shared" si="21"/>
        <v>88041.062699397851</v>
      </c>
      <c r="EG11" s="100">
        <f>EF11/'a8'!AS$39*100</f>
        <v>90113.67727676341</v>
      </c>
      <c r="EH11" s="98">
        <f>(ET11)*0.2599</f>
        <v>168.04976929354712</v>
      </c>
      <c r="EI11" s="100">
        <f>(EH11)*a14a!$E$44/1000000</f>
        <v>13.406735864440229</v>
      </c>
      <c r="EJ11" s="98">
        <f>(ET11)*0.4748</f>
        <v>307.00281054473322</v>
      </c>
      <c r="EK11" s="100">
        <f>(EJ11)*a14a!$F$44/1000000</f>
        <v>30.615227916680549</v>
      </c>
      <c r="EL11" s="98"/>
      <c r="EM11" s="98"/>
      <c r="EN11" s="98">
        <f>(ET11)*0.0948</f>
        <v>61.297107075907135</v>
      </c>
      <c r="EO11" s="99">
        <f>(EN11)*a14a!$H$44/1000000</f>
        <v>9.3763839106806657</v>
      </c>
      <c r="EP11" s="98">
        <f>(ET11)*0.1022</f>
        <v>66.081902353984276</v>
      </c>
      <c r="EQ11" s="99">
        <f>(EP11)*a14a!$I$44/1000000</f>
        <v>10.866618865313791</v>
      </c>
      <c r="ER11" s="98">
        <f>(ET11)*0.0692</f>
        <v>44.744301789586224</v>
      </c>
      <c r="ES11" s="99">
        <f>(ER11)*a14a!$J$44/1000000</f>
        <v>15.24521050252951</v>
      </c>
      <c r="ET11" s="99">
        <f>EV11*ET12/EV12</f>
        <v>646.59395649691078</v>
      </c>
      <c r="EU11" s="99">
        <f t="shared" si="22"/>
        <v>79.510177059644747</v>
      </c>
      <c r="EV11" s="99">
        <f>'a1'!BB12/1000</f>
        <v>917.41499999999996</v>
      </c>
      <c r="EW11" s="100">
        <f t="shared" si="23"/>
        <v>86667.622678553045</v>
      </c>
      <c r="EX11" s="100">
        <f>EW11/'a8'!AY$39*100</f>
        <v>90184.8310911062</v>
      </c>
      <c r="EY11" s="98">
        <f>(FK11)*0.2599</f>
        <v>332.12255402288156</v>
      </c>
      <c r="EZ11" s="100">
        <f>(EY11)*a14a!$E$49/1000000</f>
        <v>22.441444978988272</v>
      </c>
      <c r="FA11" s="98">
        <f>(FK11)*0.4748</f>
        <v>606.74024105449837</v>
      </c>
      <c r="FB11" s="100">
        <f>(FA11)*a14a!$F$49/1000000</f>
        <v>51.24662406706247</v>
      </c>
      <c r="FC11" s="98"/>
      <c r="FD11" s="98"/>
      <c r="FE11" s="98">
        <f>(FK11)*0.0948</f>
        <v>121.14358646159741</v>
      </c>
      <c r="FF11" s="99">
        <f>(FE11)*a14a!$H$49/1000000</f>
        <v>14.259418374297089</v>
      </c>
      <c r="FG11" s="98">
        <f>(FK11)*0.1022</f>
        <v>130.59994236682758</v>
      </c>
      <c r="FH11" s="99">
        <f>(FG11)*a14a!$I$49/1000000</f>
        <v>15.839947882068815</v>
      </c>
      <c r="FI11" s="98">
        <f>(FK11)*0.0692</f>
        <v>88.429706573233545</v>
      </c>
      <c r="FJ11" s="99">
        <f>(FI11)*a14a!$J$49/1000000</f>
        <v>19.016561855681775</v>
      </c>
      <c r="FK11" s="99">
        <f>FM11*FK12/FM12</f>
        <v>1277.8859331392132</v>
      </c>
      <c r="FL11" s="99">
        <f t="shared" si="24"/>
        <v>122.80399715809841</v>
      </c>
      <c r="FM11" s="99">
        <f>'a1'!BH12/1000</f>
        <v>1808.6890000000001</v>
      </c>
      <c r="FN11" s="100">
        <f t="shared" si="25"/>
        <v>67896.690452641895</v>
      </c>
      <c r="FO11" s="100">
        <f>FN11/'a8'!BE$39*100</f>
        <v>66176.111552282557</v>
      </c>
      <c r="FP11" s="98">
        <f>(GB11)*0.2599</f>
        <v>480.83747619451287</v>
      </c>
      <c r="FQ11" s="100">
        <f>(FP11)*a14a!$E$54/1000000</f>
        <v>37.46803126705327</v>
      </c>
      <c r="FR11" s="98">
        <f>(GB11)*0.4748</f>
        <v>878.42106078166489</v>
      </c>
      <c r="FS11" s="100">
        <f>(FR11)*a14a!$F$54/1000000</f>
        <v>85.560894794136644</v>
      </c>
      <c r="FT11" s="98"/>
      <c r="FU11" s="98"/>
      <c r="FV11" s="98">
        <f>(GB11)*0.0948</f>
        <v>175.38819831950681</v>
      </c>
      <c r="FW11" s="99">
        <f>(FV11)*a14a!$H$54/1000000</f>
        <v>23.689442133093412</v>
      </c>
      <c r="FX11" s="98">
        <f>(GB11)*0.1022</f>
        <v>189.07883827271726</v>
      </c>
      <c r="FY11" s="99">
        <f>(FX11)*a14a!$I$54/1000000</f>
        <v>26.616880843296499</v>
      </c>
      <c r="FZ11" s="98">
        <f>(GB11)*0.0692</f>
        <v>128.02598442731932</v>
      </c>
      <c r="GA11" s="99">
        <f>(FZ11)*a14a!$J$54/1000000</f>
        <v>30.600008057731792</v>
      </c>
      <c r="GB11" s="99">
        <f>GD11*GB12/GD12</f>
        <v>1850.0864801635739</v>
      </c>
      <c r="GC11" s="99">
        <f t="shared" si="26"/>
        <v>203.93525709531164</v>
      </c>
      <c r="GD11" s="99">
        <f>'a1'!BN12/1000</f>
        <v>2499.5639999999999</v>
      </c>
      <c r="GE11" s="100">
        <f t="shared" si="27"/>
        <v>81588.331843198102</v>
      </c>
      <c r="GF11" s="100">
        <f>GE11/'a8'!BK$39*100</f>
        <v>81506.825018179923</v>
      </c>
    </row>
    <row r="12" spans="1:188" s="25" customFormat="1" ht="12" hidden="1" customHeight="1">
      <c r="A12" s="202">
        <v>1976</v>
      </c>
      <c r="B12" s="99">
        <v>4331.8999999999996</v>
      </c>
      <c r="C12" s="98">
        <f t="shared" si="0"/>
        <v>294.872433</v>
      </c>
      <c r="D12" s="99">
        <v>8217.2000000000007</v>
      </c>
      <c r="E12" s="98">
        <f t="shared" si="1"/>
        <v>699.17689640000015</v>
      </c>
      <c r="F12" s="99"/>
      <c r="G12" s="99"/>
      <c r="H12" s="99">
        <v>1573.4</v>
      </c>
      <c r="I12" s="98">
        <f t="shared" si="2"/>
        <v>187.974098</v>
      </c>
      <c r="J12" s="99">
        <v>1745.2</v>
      </c>
      <c r="K12" s="98">
        <f t="shared" si="3"/>
        <v>229.16221200000001</v>
      </c>
      <c r="L12" s="99">
        <v>1228</v>
      </c>
      <c r="M12" s="98">
        <f t="shared" si="4"/>
        <v>248.978228</v>
      </c>
      <c r="N12" s="99">
        <v>17058</v>
      </c>
      <c r="O12" s="99">
        <f t="shared" si="28"/>
        <v>1660.1638674000001</v>
      </c>
      <c r="P12" s="98">
        <f>'a1'!F13/1000</f>
        <v>23449.808000000001</v>
      </c>
      <c r="Q12" s="100">
        <f t="shared" si="5"/>
        <v>70796.480184400658</v>
      </c>
      <c r="R12" s="168">
        <f>Q12/'a8'!C$39*100</f>
        <v>71583.903118706425</v>
      </c>
      <c r="S12" s="99">
        <v>140</v>
      </c>
      <c r="T12" s="100">
        <f t="shared" si="6"/>
        <v>8.3753600000000006</v>
      </c>
      <c r="U12" s="99">
        <v>156.1</v>
      </c>
      <c r="V12" s="100">
        <f t="shared" si="7"/>
        <v>11.673158000000001</v>
      </c>
      <c r="W12" s="99"/>
      <c r="X12" s="99"/>
      <c r="Y12" s="99">
        <v>23.7</v>
      </c>
      <c r="Z12" s="99">
        <f>(Y12)*a14a!$H$9/1000000</f>
        <v>2.9450235965193436</v>
      </c>
      <c r="AA12" s="99">
        <v>35.799999999999997</v>
      </c>
      <c r="AB12" s="99">
        <f>(AA12)*a14a!$I$9/1000000</f>
        <v>5.2987300308052836</v>
      </c>
      <c r="AC12" s="99">
        <v>15.9</v>
      </c>
      <c r="AD12" s="99">
        <f>(AC12)*a14a!$J$9/1000000</f>
        <v>3.3340666961046672</v>
      </c>
      <c r="AE12" s="99">
        <v>370.7</v>
      </c>
      <c r="AF12" s="99">
        <f t="shared" si="8"/>
        <v>31.626338323429298</v>
      </c>
      <c r="AG12" s="99">
        <f>'a1'!L13/1000</f>
        <v>562.63900000000001</v>
      </c>
      <c r="AH12" s="100">
        <f t="shared" si="9"/>
        <v>56210.711172580108</v>
      </c>
      <c r="AI12" s="100">
        <f>AH12/'a8'!I$39*100</f>
        <v>56436.457000582435</v>
      </c>
      <c r="AJ12" s="99">
        <v>25.1</v>
      </c>
      <c r="AK12" s="100">
        <f>(AJ12)*a14a!$E$14/1000000</f>
        <v>1.412082994551352</v>
      </c>
      <c r="AL12" s="99">
        <v>38</v>
      </c>
      <c r="AM12" s="100">
        <f>(AL12)*a14a!$F$14/1000000</f>
        <v>2.6722686151868218</v>
      </c>
      <c r="AN12" s="99"/>
      <c r="AO12" s="99"/>
      <c r="AP12" s="99">
        <v>7.8</v>
      </c>
      <c r="AQ12" s="99">
        <f>(AP12)*a14a!$H$14/1000000</f>
        <v>0.84776603445963616</v>
      </c>
      <c r="AR12" s="99">
        <v>7.9</v>
      </c>
      <c r="AS12" s="99">
        <f>(AR12)*a14a!$I$14/1000000</f>
        <v>1.1255427139243068</v>
      </c>
      <c r="AT12" s="99">
        <v>4.2</v>
      </c>
      <c r="AU12" s="99">
        <f>(AT12)*a14a!$J$14/1000000</f>
        <v>0.76514270079098157</v>
      </c>
      <c r="AV12" s="99">
        <v>82.8</v>
      </c>
      <c r="AW12" s="99">
        <f t="shared" si="10"/>
        <v>6.8228030589130979</v>
      </c>
      <c r="AX12" s="99">
        <f>'a1'!R13/1000</f>
        <v>118.648</v>
      </c>
      <c r="AY12" s="100">
        <f t="shared" si="11"/>
        <v>57504.577059142153</v>
      </c>
      <c r="AZ12" s="100">
        <f>AY12/'a8'!O$39*100</f>
        <v>59222.015508900266</v>
      </c>
      <c r="BA12" s="99">
        <v>153.80000000000001</v>
      </c>
      <c r="BB12" s="100">
        <f>(BA12)*a14a!$E$19/1000000</f>
        <v>9.1573896048636598</v>
      </c>
      <c r="BC12" s="99">
        <v>285.2</v>
      </c>
      <c r="BD12" s="100">
        <f>(BC12)*a14a!$F$19/1000000</f>
        <v>21.226328960558487</v>
      </c>
      <c r="BE12" s="99"/>
      <c r="BF12" s="99"/>
      <c r="BG12" s="99">
        <v>40.799999999999997</v>
      </c>
      <c r="BH12" s="99">
        <f>(BG12)*a14a!$H$19/1000000</f>
        <v>4.3120530247310356</v>
      </c>
      <c r="BI12" s="99">
        <v>74.3</v>
      </c>
      <c r="BJ12" s="99">
        <f>(BI12)*a14a!$I$19/1000000</f>
        <v>8.8132691598491952</v>
      </c>
      <c r="BK12" s="99">
        <v>37.299999999999997</v>
      </c>
      <c r="BL12" s="99">
        <f>(BK12)*a14a!$J$19/1000000</f>
        <v>6.7068623161961112</v>
      </c>
      <c r="BM12" s="99">
        <v>589.5</v>
      </c>
      <c r="BN12" s="99">
        <f t="shared" si="12"/>
        <v>50.215903066198493</v>
      </c>
      <c r="BO12" s="99">
        <f>'a1'!X13/1000</f>
        <v>835.16600000000005</v>
      </c>
      <c r="BP12" s="100">
        <f t="shared" si="13"/>
        <v>60126.852704969417</v>
      </c>
      <c r="BQ12" s="100">
        <f>BP12/'a8'!U$39*100</f>
        <v>60428.997693436599</v>
      </c>
      <c r="BR12" s="99">
        <v>161.80000000000001</v>
      </c>
      <c r="BS12" s="100">
        <f>(BR12)*a14a!$E$24/1000000</f>
        <v>9.9842125467579663</v>
      </c>
      <c r="BT12" s="99">
        <v>216.6</v>
      </c>
      <c r="BU12" s="100">
        <f>(BT12)*a14a!$F$24/1000000</f>
        <v>16.707203628150303</v>
      </c>
      <c r="BV12" s="99"/>
      <c r="BW12" s="99"/>
      <c r="BX12" s="99">
        <v>33.9</v>
      </c>
      <c r="BY12" s="99">
        <f>(BX12)*a14a!$H$24/1000000</f>
        <v>3.927148086711262</v>
      </c>
      <c r="BZ12" s="99">
        <v>49.3</v>
      </c>
      <c r="CA12" s="99">
        <f>(BZ12)*a14a!$I$24/1000000</f>
        <v>7.3828306126042591</v>
      </c>
      <c r="CB12" s="99">
        <v>22.4</v>
      </c>
      <c r="CC12" s="99">
        <f>(CB12)*a14a!$J$24/1000000</f>
        <v>4.0862846069410566</v>
      </c>
      <c r="CD12" s="99">
        <v>481.9</v>
      </c>
      <c r="CE12" s="99">
        <f t="shared" si="14"/>
        <v>42.087679481164848</v>
      </c>
      <c r="CF12" s="99">
        <f>'a1'!AD13/1000</f>
        <v>689.49400000000003</v>
      </c>
      <c r="CG12" s="100">
        <f t="shared" si="15"/>
        <v>61041.400623014626</v>
      </c>
      <c r="CH12" s="100">
        <f>CG12/'a8'!AA$39*100</f>
        <v>59727.397869877328</v>
      </c>
      <c r="CI12" s="99">
        <v>1521.1</v>
      </c>
      <c r="CJ12" s="100">
        <f>(CI12)*a14a!$E$29/1000000</f>
        <v>109.57564592191727</v>
      </c>
      <c r="CK12" s="99">
        <v>2109.6</v>
      </c>
      <c r="CL12" s="100">
        <f>(CK12)*a14a!$F$29/1000000</f>
        <v>189.96185543100117</v>
      </c>
      <c r="CM12" s="99"/>
      <c r="CN12" s="99"/>
      <c r="CO12" s="99">
        <v>359.6</v>
      </c>
      <c r="CP12" s="99">
        <f>(CO12)*a14a!$H$29/1000000</f>
        <v>44.907885506688103</v>
      </c>
      <c r="CQ12" s="99">
        <v>487.7</v>
      </c>
      <c r="CR12" s="99">
        <f>(CQ12)*a14a!$I$29/1000000</f>
        <v>66.679957106495323</v>
      </c>
      <c r="CS12" s="99">
        <v>280.3</v>
      </c>
      <c r="CT12" s="99">
        <f>(CS12)*a14a!$J$29/1000000</f>
        <v>57.365854266376893</v>
      </c>
      <c r="CU12" s="99">
        <v>4739.1000000000004</v>
      </c>
      <c r="CV12" s="99">
        <f t="shared" si="16"/>
        <v>468.49119823247872</v>
      </c>
      <c r="CW12" s="99">
        <f>'a1'!AJ13/1000</f>
        <v>6396.7610000000004</v>
      </c>
      <c r="CX12" s="100">
        <f t="shared" si="17"/>
        <v>73238.815430571602</v>
      </c>
      <c r="CY12" s="100">
        <f>CX12/'a8'!AG$39*100</f>
        <v>74581.278442537267</v>
      </c>
      <c r="CZ12" s="99">
        <v>1382</v>
      </c>
      <c r="DA12" s="100">
        <f>(CZ12)*a14a!$E$34/1000000</f>
        <v>93.174285760142098</v>
      </c>
      <c r="DB12" s="99">
        <v>3086.6</v>
      </c>
      <c r="DC12" s="100">
        <f>(DB12)*a14a!$F$34/1000000</f>
        <v>260.12278439512897</v>
      </c>
      <c r="DD12" s="99"/>
      <c r="DE12" s="99"/>
      <c r="DF12" s="99">
        <v>639.9</v>
      </c>
      <c r="DG12" s="99">
        <f>(DF12)*a14a!$H$34/1000000</f>
        <v>73.32854327377531</v>
      </c>
      <c r="DH12" s="99">
        <v>604.20000000000005</v>
      </c>
      <c r="DI12" s="99">
        <f>(DH12)*a14a!$I$34/1000000</f>
        <v>73.683833022989973</v>
      </c>
      <c r="DJ12" s="99">
        <v>508.4</v>
      </c>
      <c r="DK12" s="99">
        <f>(DJ12)*a14a!$J$34/1000000</f>
        <v>93.399094989158755</v>
      </c>
      <c r="DL12" s="99">
        <v>6203.8</v>
      </c>
      <c r="DM12" s="99">
        <f t="shared" si="18"/>
        <v>593.70854144119517</v>
      </c>
      <c r="DN12" s="99">
        <f>'a1'!AP13/1000</f>
        <v>8413.7790000000005</v>
      </c>
      <c r="DO12" s="100">
        <f t="shared" si="19"/>
        <v>70563.838370510464</v>
      </c>
      <c r="DP12" s="100">
        <f>DO12/'a8'!AM$39*100</f>
        <v>72077.465138417218</v>
      </c>
      <c r="DQ12" s="99">
        <v>190</v>
      </c>
      <c r="DR12" s="100">
        <f>(DQ12)*a14a!$E$39/1000000</f>
        <v>16.989092914127522</v>
      </c>
      <c r="DS12" s="99">
        <v>344.4</v>
      </c>
      <c r="DT12" s="100">
        <f>(DS12)*a14a!$F$39/1000000</f>
        <v>38.493707892273143</v>
      </c>
      <c r="DU12" s="99"/>
      <c r="DV12" s="99"/>
      <c r="DW12" s="99">
        <v>77.3</v>
      </c>
      <c r="DX12" s="99">
        <f>(DW12)*a14a!$H$39/1000000</f>
        <v>11.700220683853859</v>
      </c>
      <c r="DY12" s="99">
        <v>71.3</v>
      </c>
      <c r="DZ12" s="99">
        <f>(DY12)*a14a!$I$39/1000000</f>
        <v>11.984815827095854</v>
      </c>
      <c r="EA12" s="99">
        <v>56.1</v>
      </c>
      <c r="EB12" s="99">
        <f>(EA12)*a14a!$J$39/1000000</f>
        <v>12.430543524498429</v>
      </c>
      <c r="EC12" s="99">
        <v>737.5</v>
      </c>
      <c r="ED12" s="99">
        <f t="shared" si="20"/>
        <v>91.598380841848808</v>
      </c>
      <c r="EE12" s="99">
        <f>'a1'!AV13/1000</f>
        <v>1031.758</v>
      </c>
      <c r="EF12" s="100">
        <f t="shared" si="21"/>
        <v>88778.939287942339</v>
      </c>
      <c r="EG12" s="100">
        <f>EF12/'a8'!AS$39*100</f>
        <v>90868.924552653363</v>
      </c>
      <c r="EH12" s="99">
        <v>193.7</v>
      </c>
      <c r="EI12" s="100">
        <f>(EH12)*a14a!$E$44/1000000</f>
        <v>15.453069336893096</v>
      </c>
      <c r="EJ12" s="99">
        <v>310.7</v>
      </c>
      <c r="EK12" s="100">
        <f>(EJ12)*a14a!$F$44/1000000</f>
        <v>30.983922579844382</v>
      </c>
      <c r="EL12" s="99"/>
      <c r="EM12" s="99"/>
      <c r="EN12" s="99">
        <v>48.8</v>
      </c>
      <c r="EO12" s="99">
        <f>(EN12)*a14a!$H$44/1000000</f>
        <v>7.464749262548211</v>
      </c>
      <c r="EP12" s="99">
        <v>67.5</v>
      </c>
      <c r="EQ12" s="99">
        <f>(EP12)*a14a!$I$44/1000000</f>
        <v>11.099813220865245</v>
      </c>
      <c r="ER12" s="99">
        <v>38.5</v>
      </c>
      <c r="ES12" s="99">
        <f>(ER12)*a14a!$J$44/1000000</f>
        <v>13.117661486987165</v>
      </c>
      <c r="ET12" s="99">
        <v>656.6</v>
      </c>
      <c r="EU12" s="99">
        <f t="shared" si="22"/>
        <v>78.119215887138097</v>
      </c>
      <c r="EV12" s="99">
        <f>'a1'!BB13/1000</f>
        <v>931.61199999999997</v>
      </c>
      <c r="EW12" s="100">
        <f t="shared" si="23"/>
        <v>83853.810263433814</v>
      </c>
      <c r="EX12" s="100">
        <f>EW12/'a8'!AY$39*100</f>
        <v>87256.826496809386</v>
      </c>
      <c r="EY12" s="99">
        <v>240.4</v>
      </c>
      <c r="EZ12" s="100">
        <f>(EY12)*a14a!$E$49/1000000</f>
        <v>16.24377299163217</v>
      </c>
      <c r="FA12" s="99">
        <v>680.9</v>
      </c>
      <c r="FB12" s="100">
        <f>(FA12)*a14a!$F$49/1000000</f>
        <v>57.510321495436479</v>
      </c>
      <c r="FC12" s="99"/>
      <c r="FD12" s="99"/>
      <c r="FE12" s="99">
        <v>143.6</v>
      </c>
      <c r="FF12" s="99">
        <f>(FE12)*a14a!$H$49/1000000</f>
        <v>16.902689926537459</v>
      </c>
      <c r="FG12" s="99">
        <v>148.4</v>
      </c>
      <c r="FH12" s="99">
        <f>(FG12)*a14a!$I$49/1000000</f>
        <v>17.998846118144058</v>
      </c>
      <c r="FI12" s="99">
        <v>117</v>
      </c>
      <c r="FJ12" s="99">
        <f>(FI12)*a14a!$J$49/1000000</f>
        <v>25.160523802848694</v>
      </c>
      <c r="FK12" s="99">
        <v>1320.7</v>
      </c>
      <c r="FL12" s="99">
        <f t="shared" si="24"/>
        <v>133.81615433459885</v>
      </c>
      <c r="FM12" s="99">
        <f>'a1'!BH13/1000</f>
        <v>1869.287</v>
      </c>
      <c r="FN12" s="100">
        <f t="shared" si="25"/>
        <v>71586.735656214834</v>
      </c>
      <c r="FO12" s="100">
        <f>FN12/'a8'!BE$39*100</f>
        <v>69772.646838416011</v>
      </c>
      <c r="FP12" s="99">
        <v>326.5</v>
      </c>
      <c r="FQ12" s="100">
        <f>(FP12)*a14a!$E$54/1000000</f>
        <v>25.441677935569562</v>
      </c>
      <c r="FR12" s="99">
        <v>1008.2</v>
      </c>
      <c r="FS12" s="100">
        <f>(FR12)*a14a!$F$54/1000000</f>
        <v>98.201759933542235</v>
      </c>
      <c r="FT12" s="99"/>
      <c r="FU12" s="99"/>
      <c r="FV12" s="99">
        <v>202.7</v>
      </c>
      <c r="FW12" s="99">
        <f>(FV12)*a14a!$H$54/1000000</f>
        <v>27.378409530329098</v>
      </c>
      <c r="FX12" s="99">
        <v>199.6</v>
      </c>
      <c r="FY12" s="99">
        <f>(FX12)*a14a!$I$54/1000000</f>
        <v>28.097958845395393</v>
      </c>
      <c r="FZ12" s="99">
        <v>149</v>
      </c>
      <c r="GA12" s="99">
        <f>(FZ12)*a14a!$J$54/1000000</f>
        <v>35.613092303074005</v>
      </c>
      <c r="GB12" s="99">
        <v>1875.5</v>
      </c>
      <c r="GC12" s="99">
        <f t="shared" si="26"/>
        <v>214.73289854791031</v>
      </c>
      <c r="GD12" s="99">
        <f>'a1'!BN13/1000</f>
        <v>2533.8989999999999</v>
      </c>
      <c r="GE12" s="100">
        <f t="shared" si="27"/>
        <v>84744.063811505635</v>
      </c>
      <c r="GF12" s="100">
        <f>GE12/'a8'!BK$39*100</f>
        <v>84659.40440709854</v>
      </c>
    </row>
    <row r="13" spans="1:188" s="25" customFormat="1" ht="12" hidden="1" customHeight="1">
      <c r="A13" s="202">
        <v>1977</v>
      </c>
      <c r="B13" s="99">
        <v>4231.8999999999996</v>
      </c>
      <c r="C13" s="98">
        <f t="shared" si="0"/>
        <v>288.06543299999998</v>
      </c>
      <c r="D13" s="99">
        <v>8612.6</v>
      </c>
      <c r="E13" s="98">
        <f t="shared" si="1"/>
        <v>732.82029620000003</v>
      </c>
      <c r="F13" s="99"/>
      <c r="G13" s="99"/>
      <c r="H13" s="99">
        <v>1582.7</v>
      </c>
      <c r="I13" s="98">
        <f t="shared" si="2"/>
        <v>189.08516900000001</v>
      </c>
      <c r="J13" s="99">
        <v>1721</v>
      </c>
      <c r="K13" s="98">
        <f t="shared" si="3"/>
        <v>225.98451</v>
      </c>
      <c r="L13" s="99">
        <v>1287.3</v>
      </c>
      <c r="M13" s="98">
        <f t="shared" si="4"/>
        <v>261.00136229999998</v>
      </c>
      <c r="N13" s="99">
        <v>17435.5</v>
      </c>
      <c r="O13" s="99">
        <f t="shared" si="28"/>
        <v>1696.9567704999999</v>
      </c>
      <c r="P13" s="98">
        <f>'a1'!F14/1000</f>
        <v>23725.843000000001</v>
      </c>
      <c r="Q13" s="100">
        <f t="shared" si="5"/>
        <v>71523.560638077222</v>
      </c>
      <c r="R13" s="168">
        <f>Q13/'a8'!C$39*100</f>
        <v>72319.070412615998</v>
      </c>
      <c r="S13" s="99">
        <v>134.5</v>
      </c>
      <c r="T13" s="100">
        <f t="shared" si="6"/>
        <v>8.0463280000000008</v>
      </c>
      <c r="U13" s="99">
        <v>163.1</v>
      </c>
      <c r="V13" s="100">
        <f t="shared" si="7"/>
        <v>12.196618000000001</v>
      </c>
      <c r="W13" s="99"/>
      <c r="X13" s="99"/>
      <c r="Y13" s="99">
        <v>25.2</v>
      </c>
      <c r="Z13" s="99">
        <f>(Y13)*a14a!$H$9/1000000</f>
        <v>3.1314174950332259</v>
      </c>
      <c r="AA13" s="99">
        <v>40.1</v>
      </c>
      <c r="AB13" s="99">
        <f>(AA13)*a14a!$I$9/1000000</f>
        <v>5.935169671376868</v>
      </c>
      <c r="AC13" s="99">
        <v>14.6</v>
      </c>
      <c r="AD13" s="99">
        <f>(AC13)*a14a!$J$9/1000000</f>
        <v>3.0614700479954804</v>
      </c>
      <c r="AE13" s="99">
        <v>376.2</v>
      </c>
      <c r="AF13" s="99">
        <f t="shared" si="8"/>
        <v>32.371003214405576</v>
      </c>
      <c r="AG13" s="99">
        <f>'a1'!L14/1000</f>
        <v>565.34799999999996</v>
      </c>
      <c r="AH13" s="100">
        <f t="shared" si="9"/>
        <v>57258.543789675699</v>
      </c>
      <c r="AI13" s="100">
        <f>AH13/'a8'!I$39*100</f>
        <v>57488.497780798898</v>
      </c>
      <c r="AJ13" s="99">
        <v>24</v>
      </c>
      <c r="AK13" s="100">
        <f>(AJ13)*a14a!$E$14/1000000</f>
        <v>1.3501988792522888</v>
      </c>
      <c r="AL13" s="99">
        <v>41</v>
      </c>
      <c r="AM13" s="100">
        <f>(AL13)*a14a!$F$14/1000000</f>
        <v>2.8832371900699916</v>
      </c>
      <c r="AN13" s="99"/>
      <c r="AO13" s="99"/>
      <c r="AP13" s="99">
        <v>7.8</v>
      </c>
      <c r="AQ13" s="99">
        <f>(AP13)*a14a!$H$14/1000000</f>
        <v>0.84776603445963616</v>
      </c>
      <c r="AR13" s="99">
        <v>7.6</v>
      </c>
      <c r="AS13" s="99">
        <f>(AR13)*a14a!$I$14/1000000</f>
        <v>1.0828005855474343</v>
      </c>
      <c r="AT13" s="99">
        <v>4.3</v>
      </c>
      <c r="AU13" s="99">
        <f>(AT13)*a14a!$J$14/1000000</f>
        <v>0.78336038414314757</v>
      </c>
      <c r="AV13" s="99">
        <v>84.6</v>
      </c>
      <c r="AW13" s="99">
        <f t="shared" si="10"/>
        <v>6.9473630734724985</v>
      </c>
      <c r="AX13" s="99">
        <f>'a1'!R14/1000</f>
        <v>119.902</v>
      </c>
      <c r="AY13" s="100">
        <f t="shared" si="11"/>
        <v>57942.01158840135</v>
      </c>
      <c r="AZ13" s="100">
        <f>AY13/'a8'!O$39*100</f>
        <v>59672.514509167209</v>
      </c>
      <c r="BA13" s="99">
        <v>154.6</v>
      </c>
      <c r="BB13" s="100">
        <f>(BA13)*a14a!$E$19/1000000</f>
        <v>9.2050223206236783</v>
      </c>
      <c r="BC13" s="99">
        <v>294.7</v>
      </c>
      <c r="BD13" s="100">
        <f>(BC13)*a14a!$F$19/1000000</f>
        <v>21.933377085121265</v>
      </c>
      <c r="BE13" s="99"/>
      <c r="BF13" s="99"/>
      <c r="BG13" s="99">
        <v>41.2</v>
      </c>
      <c r="BH13" s="99">
        <f>(BG13)*a14a!$H$19/1000000</f>
        <v>4.3543280543852614</v>
      </c>
      <c r="BI13" s="99">
        <v>69.400000000000006</v>
      </c>
      <c r="BJ13" s="99">
        <f>(BI13)*a14a!$I$19/1000000</f>
        <v>8.2320441412319543</v>
      </c>
      <c r="BK13" s="99">
        <v>40.299999999999997</v>
      </c>
      <c r="BL13" s="99">
        <f>(BK13)*a14a!$J$19/1000000</f>
        <v>7.2462882397507578</v>
      </c>
      <c r="BM13" s="99">
        <v>598.9</v>
      </c>
      <c r="BN13" s="99">
        <f t="shared" si="12"/>
        <v>50.971059841112918</v>
      </c>
      <c r="BO13" s="99">
        <f>'a1'!X14/1000</f>
        <v>840.02800000000002</v>
      </c>
      <c r="BP13" s="100">
        <f t="shared" si="13"/>
        <v>60677.81055049703</v>
      </c>
      <c r="BQ13" s="100">
        <f>BP13/'a8'!U$39*100</f>
        <v>60982.724171353802</v>
      </c>
      <c r="BR13" s="99">
        <v>162</v>
      </c>
      <c r="BS13" s="100">
        <f>(BR13)*a14a!$E$24/1000000</f>
        <v>9.9965539714140323</v>
      </c>
      <c r="BT13" s="99">
        <v>221.5</v>
      </c>
      <c r="BU13" s="100">
        <f>(BT13)*a14a!$F$24/1000000</f>
        <v>17.085159758242348</v>
      </c>
      <c r="BV13" s="99"/>
      <c r="BW13" s="99"/>
      <c r="BX13" s="99">
        <v>32</v>
      </c>
      <c r="BY13" s="99">
        <f>(BX13)*a14a!$H$24/1000000</f>
        <v>3.707042441733345</v>
      </c>
      <c r="BZ13" s="99">
        <v>48.7</v>
      </c>
      <c r="CA13" s="99">
        <f>(BZ13)*a14a!$I$24/1000000</f>
        <v>7.2929787187388939</v>
      </c>
      <c r="CB13" s="99">
        <v>28.4</v>
      </c>
      <c r="CC13" s="99">
        <f>(CB13)*a14a!$J$24/1000000</f>
        <v>5.1808251266574112</v>
      </c>
      <c r="CD13" s="99">
        <v>490.8</v>
      </c>
      <c r="CE13" s="99">
        <f t="shared" si="14"/>
        <v>43.262560016786026</v>
      </c>
      <c r="CF13" s="99">
        <f>'a1'!AD14/1000</f>
        <v>695.84299999999996</v>
      </c>
      <c r="CG13" s="100">
        <f t="shared" si="15"/>
        <v>62172.875227294127</v>
      </c>
      <c r="CH13" s="100">
        <f>CG13/'a8'!AA$39*100</f>
        <v>60834.515877978592</v>
      </c>
      <c r="CI13" s="99">
        <v>1481.9</v>
      </c>
      <c r="CJ13" s="100">
        <f>(CI13)*a14a!$E$29/1000000</f>
        <v>106.75179126401238</v>
      </c>
      <c r="CK13" s="99">
        <v>2212.6999999999998</v>
      </c>
      <c r="CL13" s="100">
        <f>(CK13)*a14a!$F$29/1000000</f>
        <v>199.24563780440664</v>
      </c>
      <c r="CM13" s="99"/>
      <c r="CN13" s="99"/>
      <c r="CO13" s="99">
        <v>355.9</v>
      </c>
      <c r="CP13" s="99">
        <f>(CO13)*a14a!$H$29/1000000</f>
        <v>44.445818831563663</v>
      </c>
      <c r="CQ13" s="99">
        <v>484.4</v>
      </c>
      <c r="CR13" s="99">
        <f>(CQ13)*a14a!$I$29/1000000</f>
        <v>66.228770191483164</v>
      </c>
      <c r="CS13" s="99">
        <v>293</v>
      </c>
      <c r="CT13" s="99">
        <f>(CS13)*a14a!$J$29/1000000</f>
        <v>59.965020692288363</v>
      </c>
      <c r="CU13" s="99">
        <v>4809.2</v>
      </c>
      <c r="CV13" s="99">
        <f t="shared" si="16"/>
        <v>476.63703878375418</v>
      </c>
      <c r="CW13" s="99">
        <f>'a1'!AJ14/1000</f>
        <v>6433.1329999999998</v>
      </c>
      <c r="CX13" s="100">
        <f t="shared" si="17"/>
        <v>74090.966063309155</v>
      </c>
      <c r="CY13" s="100">
        <f>CX13/'a8'!AG$39*100</f>
        <v>75449.048944306676</v>
      </c>
      <c r="CZ13" s="99">
        <v>1358.9</v>
      </c>
      <c r="DA13" s="100">
        <f>(CZ13)*a14a!$E$34/1000000</f>
        <v>91.616886338246829</v>
      </c>
      <c r="DB13" s="99">
        <v>3220.6</v>
      </c>
      <c r="DC13" s="100">
        <f>(DB13)*a14a!$F$34/1000000</f>
        <v>271.41561570107962</v>
      </c>
      <c r="DD13" s="99"/>
      <c r="DE13" s="99"/>
      <c r="DF13" s="99">
        <v>623.70000000000005</v>
      </c>
      <c r="DG13" s="99">
        <f>(DF13)*a14a!$H$34/1000000</f>
        <v>71.472124456717708</v>
      </c>
      <c r="DH13" s="99">
        <v>602.79999999999995</v>
      </c>
      <c r="DI13" s="99">
        <f>(DH13)*a14a!$I$34/1000000</f>
        <v>73.513099215919155</v>
      </c>
      <c r="DJ13" s="99">
        <v>547</v>
      </c>
      <c r="DK13" s="99">
        <f>(DJ13)*a14a!$J$34/1000000</f>
        <v>100.49037167401619</v>
      </c>
      <c r="DL13" s="99">
        <v>6336.6</v>
      </c>
      <c r="DM13" s="99">
        <f t="shared" si="18"/>
        <v>608.50809738597957</v>
      </c>
      <c r="DN13" s="99">
        <f>'a1'!AP14/1000</f>
        <v>8504.08</v>
      </c>
      <c r="DO13" s="100">
        <f t="shared" si="19"/>
        <v>71554.841603792476</v>
      </c>
      <c r="DP13" s="100">
        <f>DO13/'a8'!AM$39*100</f>
        <v>73089.725846570451</v>
      </c>
      <c r="DQ13" s="99">
        <v>186.6</v>
      </c>
      <c r="DR13" s="100">
        <f>(DQ13)*a14a!$E$39/1000000</f>
        <v>16.685077567243134</v>
      </c>
      <c r="DS13" s="99">
        <v>363.5</v>
      </c>
      <c r="DT13" s="100">
        <f>(DS13)*a14a!$F$39/1000000</f>
        <v>40.628521541351013</v>
      </c>
      <c r="DU13" s="99"/>
      <c r="DV13" s="99"/>
      <c r="DW13" s="99">
        <v>72.099999999999994</v>
      </c>
      <c r="DX13" s="99">
        <f>(DW13)*a14a!$H$39/1000000</f>
        <v>10.913142448976238</v>
      </c>
      <c r="DY13" s="99">
        <v>75</v>
      </c>
      <c r="DZ13" s="99">
        <f>(DY13)*a14a!$I$39/1000000</f>
        <v>12.606748766229863</v>
      </c>
      <c r="EA13" s="99">
        <v>51.8</v>
      </c>
      <c r="EB13" s="99">
        <f>(EA13)*a14a!$J$39/1000000</f>
        <v>11.47775676593616</v>
      </c>
      <c r="EC13" s="99">
        <v>747.3</v>
      </c>
      <c r="ED13" s="99">
        <f t="shared" si="20"/>
        <v>92.311247089736412</v>
      </c>
      <c r="EE13" s="99">
        <f>'a1'!AV14/1000</f>
        <v>1037.3689999999999</v>
      </c>
      <c r="EF13" s="100">
        <f t="shared" si="21"/>
        <v>88985.931804147243</v>
      </c>
      <c r="EG13" s="100">
        <f>EF13/'a8'!AS$39*100</f>
        <v>91080.789973538631</v>
      </c>
      <c r="EH13" s="99">
        <v>185.3</v>
      </c>
      <c r="EI13" s="100">
        <f>(EH13)*a14a!$E$44/1000000</f>
        <v>14.782931069314875</v>
      </c>
      <c r="EJ13" s="99">
        <v>337.6</v>
      </c>
      <c r="EK13" s="100">
        <f>(EJ13)*a14a!$F$44/1000000</f>
        <v>33.666470109286976</v>
      </c>
      <c r="EL13" s="99"/>
      <c r="EM13" s="99"/>
      <c r="EN13" s="99">
        <v>49.9</v>
      </c>
      <c r="EO13" s="99">
        <f>(EN13)*a14a!$H$44/1000000</f>
        <v>7.6330120533023713</v>
      </c>
      <c r="EP13" s="99">
        <v>59.8</v>
      </c>
      <c r="EQ13" s="99">
        <f>(EP13)*a14a!$I$44/1000000</f>
        <v>9.8336123052998765</v>
      </c>
      <c r="ER13" s="99">
        <v>40.1</v>
      </c>
      <c r="ES13" s="99">
        <f>(ER13)*a14a!$J$44/1000000</f>
        <v>13.662811055277544</v>
      </c>
      <c r="ET13" s="99">
        <v>671</v>
      </c>
      <c r="EU13" s="99">
        <f t="shared" si="22"/>
        <v>79.57883659248165</v>
      </c>
      <c r="EV13" s="99">
        <f>'a1'!BB14/1000</f>
        <v>944.62099999999998</v>
      </c>
      <c r="EW13" s="100">
        <f t="shared" si="23"/>
        <v>84244.195918237747</v>
      </c>
      <c r="EX13" s="100">
        <f>EW13/'a8'!AY$39*100</f>
        <v>87663.055065804103</v>
      </c>
      <c r="EY13" s="99">
        <v>225.1</v>
      </c>
      <c r="EZ13" s="100">
        <f>(EY13)*a14a!$E$49/1000000</f>
        <v>15.209955492580706</v>
      </c>
      <c r="FA13" s="99">
        <v>742.9</v>
      </c>
      <c r="FB13" s="100">
        <f>(FA13)*a14a!$F$49/1000000</f>
        <v>62.746978761873649</v>
      </c>
      <c r="FC13" s="99"/>
      <c r="FD13" s="99"/>
      <c r="FE13" s="99">
        <v>159.5</v>
      </c>
      <c r="FF13" s="99">
        <f>(FE13)*a14a!$H$49/1000000</f>
        <v>18.774227320910338</v>
      </c>
      <c r="FG13" s="99">
        <v>154.30000000000001</v>
      </c>
      <c r="FH13" s="99">
        <f>(FG13)*a14a!$I$49/1000000</f>
        <v>18.714433665967846</v>
      </c>
      <c r="FI13" s="99">
        <v>122.5</v>
      </c>
      <c r="FJ13" s="99">
        <f>(FI13)*a14a!$J$49/1000000</f>
        <v>26.343283468794571</v>
      </c>
      <c r="FK13" s="99">
        <v>1399.3</v>
      </c>
      <c r="FL13" s="99">
        <f t="shared" si="24"/>
        <v>141.78887871012711</v>
      </c>
      <c r="FM13" s="99">
        <f>'a1'!BH14/1000</f>
        <v>1948.2629999999999</v>
      </c>
      <c r="FN13" s="100">
        <f t="shared" si="25"/>
        <v>72777.07306976887</v>
      </c>
      <c r="FO13" s="100">
        <f>FN13/'a8'!BE$39*100</f>
        <v>70932.819756110024</v>
      </c>
      <c r="FP13" s="99">
        <v>304.89999999999998</v>
      </c>
      <c r="FQ13" s="100">
        <f>(FP13)*a14a!$E$54/1000000</f>
        <v>23.75855314718272</v>
      </c>
      <c r="FR13" s="99">
        <v>1049</v>
      </c>
      <c r="FS13" s="100">
        <f>(FR13)*a14a!$F$54/1000000</f>
        <v>102.17580457278892</v>
      </c>
      <c r="FT13" s="99"/>
      <c r="FU13" s="99"/>
      <c r="FV13" s="99">
        <v>226.9</v>
      </c>
      <c r="FW13" s="99">
        <f>(FV13)*a14a!$H$54/1000000</f>
        <v>30.647070164931783</v>
      </c>
      <c r="FX13" s="99">
        <v>189.7</v>
      </c>
      <c r="FY13" s="99">
        <f>(FX13)*a14a!$I$54/1000000</f>
        <v>26.704322610077682</v>
      </c>
      <c r="FZ13" s="99">
        <v>160.5</v>
      </c>
      <c r="GA13" s="99">
        <f>(FZ13)*a14a!$J$54/1000000</f>
        <v>38.361753789552864</v>
      </c>
      <c r="GB13" s="99">
        <v>1921.6</v>
      </c>
      <c r="GC13" s="99">
        <f t="shared" si="26"/>
        <v>221.64750428453399</v>
      </c>
      <c r="GD13" s="99">
        <f>'a1'!BN14/1000</f>
        <v>2570.3150000000001</v>
      </c>
      <c r="GE13" s="100">
        <f t="shared" si="27"/>
        <v>86233.595603859445</v>
      </c>
      <c r="GF13" s="100">
        <f>GE13/'a8'!BK$39*100</f>
        <v>86147.448155703751</v>
      </c>
    </row>
    <row r="14" spans="1:188" s="25" customFormat="1" ht="12" hidden="1" customHeight="1">
      <c r="A14" s="202">
        <v>1978</v>
      </c>
      <c r="B14" s="99">
        <v>4291.3</v>
      </c>
      <c r="C14" s="98">
        <f t="shared" si="0"/>
        <v>292.108791</v>
      </c>
      <c r="D14" s="99">
        <v>8869.6</v>
      </c>
      <c r="E14" s="98">
        <f t="shared" si="1"/>
        <v>754.68765519999999</v>
      </c>
      <c r="F14" s="99"/>
      <c r="G14" s="99"/>
      <c r="H14" s="99">
        <v>1509.6</v>
      </c>
      <c r="I14" s="98">
        <f t="shared" si="2"/>
        <v>180.351912</v>
      </c>
      <c r="J14" s="99">
        <v>1767.8</v>
      </c>
      <c r="K14" s="98">
        <f t="shared" si="3"/>
        <v>232.129818</v>
      </c>
      <c r="L14" s="99">
        <v>1340.6</v>
      </c>
      <c r="M14" s="98">
        <f t="shared" si="4"/>
        <v>271.80799059999998</v>
      </c>
      <c r="N14" s="99">
        <v>17778.8</v>
      </c>
      <c r="O14" s="99">
        <f t="shared" si="28"/>
        <v>1731.0861668</v>
      </c>
      <c r="P14" s="98">
        <f>'a1'!F15/1000</f>
        <v>23963.203000000001</v>
      </c>
      <c r="Q14" s="100">
        <f t="shared" si="5"/>
        <v>72239.348254071039</v>
      </c>
      <c r="R14" s="168">
        <f>Q14/'a8'!C$39*100</f>
        <v>73042.819265997008</v>
      </c>
      <c r="S14" s="99">
        <v>138</v>
      </c>
      <c r="T14" s="100">
        <f t="shared" si="6"/>
        <v>8.2557120000000008</v>
      </c>
      <c r="U14" s="99">
        <v>158.9</v>
      </c>
      <c r="V14" s="100">
        <f t="shared" si="7"/>
        <v>11.882542000000001</v>
      </c>
      <c r="W14" s="99"/>
      <c r="X14" s="99"/>
      <c r="Y14" s="99">
        <v>25</v>
      </c>
      <c r="Z14" s="99">
        <f>(Y14)*a14a!$H$9/1000000</f>
        <v>3.1065649752313749</v>
      </c>
      <c r="AA14" s="99">
        <v>44.4</v>
      </c>
      <c r="AB14" s="99">
        <f>(AA14)*a14a!$I$9/1000000</f>
        <v>6.5716093119484524</v>
      </c>
      <c r="AC14" s="99">
        <v>17.2</v>
      </c>
      <c r="AD14" s="99">
        <f>(AC14)*a14a!$J$9/1000000</f>
        <v>3.6066633442138536</v>
      </c>
      <c r="AE14" s="99">
        <v>382</v>
      </c>
      <c r="AF14" s="99">
        <f t="shared" si="8"/>
        <v>33.423091631393689</v>
      </c>
      <c r="AG14" s="99">
        <f>'a1'!L15/1000</f>
        <v>567.63900000000001</v>
      </c>
      <c r="AH14" s="100">
        <f t="shared" si="9"/>
        <v>58880.893721879023</v>
      </c>
      <c r="AI14" s="100">
        <f>AH14/'a8'!I$39*100</f>
        <v>59117.363174577338</v>
      </c>
      <c r="AJ14" s="99">
        <v>24.6</v>
      </c>
      <c r="AK14" s="100">
        <f>(AJ14)*a14a!$E$14/1000000</f>
        <v>1.383953851233596</v>
      </c>
      <c r="AL14" s="99">
        <v>42.1</v>
      </c>
      <c r="AM14" s="100">
        <f>(AL14)*a14a!$F$14/1000000</f>
        <v>2.9605923341938207</v>
      </c>
      <c r="AN14" s="99"/>
      <c r="AO14" s="99"/>
      <c r="AP14" s="99">
        <v>7</v>
      </c>
      <c r="AQ14" s="99">
        <f>(AP14)*a14a!$H$14/1000000</f>
        <v>0.76081567195095556</v>
      </c>
      <c r="AR14" s="99">
        <v>8.1</v>
      </c>
      <c r="AS14" s="99">
        <f>(AR14)*a14a!$I$14/1000000</f>
        <v>1.1540374661755552</v>
      </c>
      <c r="AT14" s="99">
        <v>5.0999999999999996</v>
      </c>
      <c r="AU14" s="99">
        <f>(AT14)*a14a!$J$14/1000000</f>
        <v>0.92910185096047737</v>
      </c>
      <c r="AV14" s="99">
        <v>86.6</v>
      </c>
      <c r="AW14" s="99">
        <f t="shared" si="10"/>
        <v>7.1885011745144043</v>
      </c>
      <c r="AX14" s="99">
        <f>'a1'!R15/1000</f>
        <v>121.684</v>
      </c>
      <c r="AY14" s="100">
        <f t="shared" si="11"/>
        <v>59075.155110897118</v>
      </c>
      <c r="AZ14" s="100">
        <f>AY14/'a8'!O$39*100</f>
        <v>60839.50062914224</v>
      </c>
      <c r="BA14" s="99">
        <v>156.5</v>
      </c>
      <c r="BB14" s="100">
        <f>(BA14)*a14a!$E$19/1000000</f>
        <v>9.3181500205537251</v>
      </c>
      <c r="BC14" s="99">
        <v>302.39999999999998</v>
      </c>
      <c r="BD14" s="100">
        <f>(BC14)*a14a!$F$19/1000000</f>
        <v>22.506458196608992</v>
      </c>
      <c r="BE14" s="99"/>
      <c r="BF14" s="99"/>
      <c r="BG14" s="99">
        <v>38.799999999999997</v>
      </c>
      <c r="BH14" s="99">
        <f>(BG14)*a14a!$H$19/1000000</f>
        <v>4.1006778764599057</v>
      </c>
      <c r="BI14" s="99">
        <v>68.8</v>
      </c>
      <c r="BJ14" s="99">
        <f>(BI14)*a14a!$I$19/1000000</f>
        <v>8.1608737307890262</v>
      </c>
      <c r="BK14" s="99">
        <v>43.3</v>
      </c>
      <c r="BL14" s="99">
        <f>(BK14)*a14a!$J$19/1000000</f>
        <v>7.7857141633054052</v>
      </c>
      <c r="BM14" s="99">
        <v>608.5</v>
      </c>
      <c r="BN14" s="99">
        <f t="shared" si="12"/>
        <v>51.871873987717059</v>
      </c>
      <c r="BO14" s="99">
        <f>'a1'!X15/1000</f>
        <v>844.62800000000004</v>
      </c>
      <c r="BP14" s="100">
        <f t="shared" si="13"/>
        <v>61413.869760080248</v>
      </c>
      <c r="BQ14" s="100">
        <f>BP14/'a8'!U$39*100</f>
        <v>61722.482170934927</v>
      </c>
      <c r="BR14" s="99">
        <v>165.5</v>
      </c>
      <c r="BS14" s="100">
        <f>(BR14)*a14a!$E$24/1000000</f>
        <v>10.212528902895199</v>
      </c>
      <c r="BT14" s="99">
        <v>225.8</v>
      </c>
      <c r="BU14" s="100">
        <f>(BT14)*a14a!$F$24/1000000</f>
        <v>17.41683554587414</v>
      </c>
      <c r="BV14" s="99"/>
      <c r="BW14" s="99"/>
      <c r="BX14" s="99">
        <v>33.200000000000003</v>
      </c>
      <c r="BY14" s="99">
        <f>(BX14)*a14a!$H$24/1000000</f>
        <v>3.8460565332983458</v>
      </c>
      <c r="BZ14" s="99">
        <v>46.2</v>
      </c>
      <c r="CA14" s="99">
        <f>(BZ14)*a14a!$I$24/1000000</f>
        <v>6.9185958276332009</v>
      </c>
      <c r="CB14" s="99">
        <v>29.5</v>
      </c>
      <c r="CC14" s="99">
        <f>(CB14)*a14a!$J$24/1000000</f>
        <v>5.38149088860541</v>
      </c>
      <c r="CD14" s="99">
        <v>498.6</v>
      </c>
      <c r="CE14" s="99">
        <f t="shared" si="14"/>
        <v>43.775507698306299</v>
      </c>
      <c r="CF14" s="99">
        <f>'a1'!AD15/1000</f>
        <v>699.51400000000001</v>
      </c>
      <c r="CG14" s="100">
        <f t="shared" si="15"/>
        <v>62579.887891173443</v>
      </c>
      <c r="CH14" s="100">
        <f>CG14/'a8'!AA$39*100</f>
        <v>61232.767016803758</v>
      </c>
      <c r="CI14" s="99">
        <v>1509</v>
      </c>
      <c r="CJ14" s="100">
        <f>(CI14)*a14a!$E$29/1000000</f>
        <v>108.70399690761501</v>
      </c>
      <c r="CK14" s="99">
        <v>2244.3000000000002</v>
      </c>
      <c r="CL14" s="100">
        <f>(CK14)*a14a!$F$29/1000000</f>
        <v>202.09110359489756</v>
      </c>
      <c r="CM14" s="99"/>
      <c r="CN14" s="99"/>
      <c r="CO14" s="99">
        <v>305.7</v>
      </c>
      <c r="CP14" s="99">
        <f>(CO14)*a14a!$H$29/1000000</f>
        <v>38.176697996091633</v>
      </c>
      <c r="CQ14" s="99">
        <v>518.5</v>
      </c>
      <c r="CR14" s="99">
        <f>(CQ14)*a14a!$I$29/1000000</f>
        <v>70.891034979942233</v>
      </c>
      <c r="CS14" s="99">
        <v>303.3</v>
      </c>
      <c r="CT14" s="99">
        <f>(CS14)*a14a!$J$29/1000000</f>
        <v>62.073006061334674</v>
      </c>
      <c r="CU14" s="99">
        <v>4862.3999999999996</v>
      </c>
      <c r="CV14" s="99">
        <f t="shared" si="16"/>
        <v>481.93583953988116</v>
      </c>
      <c r="CW14" s="99">
        <f>'a1'!AJ15/1000</f>
        <v>6440.4589999999998</v>
      </c>
      <c r="CX14" s="100">
        <f t="shared" si="17"/>
        <v>74829.424353121591</v>
      </c>
      <c r="CY14" s="100">
        <f>CX14/'a8'!AG$39*100</f>
        <v>76201.043129451718</v>
      </c>
      <c r="CZ14" s="99">
        <v>1376.4</v>
      </c>
      <c r="DA14" s="100">
        <f>(CZ14)*a14a!$E$34/1000000</f>
        <v>92.796734385137185</v>
      </c>
      <c r="DB14" s="99">
        <v>3305</v>
      </c>
      <c r="DC14" s="100">
        <f>(DB14)*a14a!$F$34/1000000</f>
        <v>278.52841392661867</v>
      </c>
      <c r="DD14" s="99"/>
      <c r="DE14" s="99"/>
      <c r="DF14" s="99">
        <v>617.70000000000005</v>
      </c>
      <c r="DG14" s="99">
        <f>(DF14)*a14a!$H$34/1000000</f>
        <v>70.784561931881555</v>
      </c>
      <c r="DH14" s="99">
        <v>622.9</v>
      </c>
      <c r="DI14" s="99">
        <f>(DH14)*a14a!$I$34/1000000</f>
        <v>75.964348874578704</v>
      </c>
      <c r="DJ14" s="99">
        <v>559.5</v>
      </c>
      <c r="DK14" s="99">
        <f>(DJ14)*a14a!$J$34/1000000</f>
        <v>102.78676956419024</v>
      </c>
      <c r="DL14" s="99">
        <v>6463.4</v>
      </c>
      <c r="DM14" s="99">
        <f t="shared" si="18"/>
        <v>620.86082868240635</v>
      </c>
      <c r="DN14" s="99">
        <f>'a1'!AP15/1000</f>
        <v>8590.1440000000002</v>
      </c>
      <c r="DO14" s="100">
        <f t="shared" si="19"/>
        <v>72275.951215998968</v>
      </c>
      <c r="DP14" s="100">
        <f>DO14/'a8'!AM$39*100</f>
        <v>73826.303591418749</v>
      </c>
      <c r="DQ14" s="99">
        <v>188.8</v>
      </c>
      <c r="DR14" s="100">
        <f>(DQ14)*a14a!$E$39/1000000</f>
        <v>16.881793379933029</v>
      </c>
      <c r="DS14" s="99">
        <v>373.6</v>
      </c>
      <c r="DT14" s="100">
        <f>(DS14)*a14a!$F$39/1000000</f>
        <v>41.757402057355542</v>
      </c>
      <c r="DU14" s="99"/>
      <c r="DV14" s="99"/>
      <c r="DW14" s="99">
        <v>66.7</v>
      </c>
      <c r="DX14" s="99">
        <f>(DW14)*a14a!$H$39/1000000</f>
        <v>10.095791974295633</v>
      </c>
      <c r="DY14" s="99">
        <v>71.400000000000006</v>
      </c>
      <c r="DZ14" s="99">
        <f>(DY14)*a14a!$I$39/1000000</f>
        <v>12.001624825450831</v>
      </c>
      <c r="EA14" s="99">
        <v>55.8</v>
      </c>
      <c r="EB14" s="99">
        <f>(EA14)*a14a!$J$39/1000000</f>
        <v>12.364070029715014</v>
      </c>
      <c r="EC14" s="99">
        <v>754.6</v>
      </c>
      <c r="ED14" s="99">
        <f t="shared" si="20"/>
        <v>93.100682266750042</v>
      </c>
      <c r="EE14" s="99">
        <f>'a1'!AV15/1000</f>
        <v>1040.8810000000001</v>
      </c>
      <c r="EF14" s="100">
        <f t="shared" si="21"/>
        <v>89444.117307117747</v>
      </c>
      <c r="EG14" s="100">
        <f>EF14/'a8'!AS$39*100</f>
        <v>91549.761829189098</v>
      </c>
      <c r="EH14" s="99">
        <v>184.2</v>
      </c>
      <c r="EI14" s="100">
        <f>(EH14)*a14a!$E$44/1000000</f>
        <v>14.6951748676082</v>
      </c>
      <c r="EJ14" s="99">
        <v>348.9</v>
      </c>
      <c r="EK14" s="100">
        <f>(EJ14)*a14a!$F$44/1000000</f>
        <v>34.793339517565833</v>
      </c>
      <c r="EL14" s="99"/>
      <c r="EM14" s="99"/>
      <c r="EN14" s="99">
        <v>49.3</v>
      </c>
      <c r="EO14" s="99">
        <f>(EN14)*a14a!$H$44/1000000</f>
        <v>7.5412323492546474</v>
      </c>
      <c r="EP14" s="99">
        <v>60.3</v>
      </c>
      <c r="EQ14" s="99">
        <f>(EP14)*a14a!$I$44/1000000</f>
        <v>9.9158331439729519</v>
      </c>
      <c r="ER14" s="99">
        <v>40.4</v>
      </c>
      <c r="ES14" s="99">
        <f>(ER14)*a14a!$J$44/1000000</f>
        <v>13.765026599331986</v>
      </c>
      <c r="ET14" s="99">
        <v>681.2</v>
      </c>
      <c r="EU14" s="99">
        <f t="shared" si="22"/>
        <v>80.71060647773362</v>
      </c>
      <c r="EV14" s="99">
        <f>'a1'!BB15/1000</f>
        <v>952.43</v>
      </c>
      <c r="EW14" s="100">
        <f t="shared" si="23"/>
        <v>84741.772600331387</v>
      </c>
      <c r="EX14" s="100">
        <f>EW14/'a8'!AY$39*100</f>
        <v>88180.824766213729</v>
      </c>
      <c r="EY14" s="99">
        <v>223.8</v>
      </c>
      <c r="EZ14" s="100">
        <f>(EY14)*a14a!$E$49/1000000</f>
        <v>15.122114790046924</v>
      </c>
      <c r="FA14" s="99">
        <v>807.6</v>
      </c>
      <c r="FB14" s="100">
        <f>(FA14)*a14a!$F$49/1000000</f>
        <v>68.211684006042745</v>
      </c>
      <c r="FC14" s="99"/>
      <c r="FD14" s="99"/>
      <c r="FE14" s="99">
        <v>153.5</v>
      </c>
      <c r="FF14" s="99">
        <f>(FE14)*a14a!$H$49/1000000</f>
        <v>18.067986794731894</v>
      </c>
      <c r="FG14" s="99">
        <v>151.5</v>
      </c>
      <c r="FH14" s="99">
        <f>(FG14)*a14a!$I$49/1000000</f>
        <v>18.374832795814182</v>
      </c>
      <c r="FI14" s="99">
        <v>138.9</v>
      </c>
      <c r="FJ14" s="99">
        <f>(FI14)*a14a!$J$49/1000000</f>
        <v>29.870057745433193</v>
      </c>
      <c r="FK14" s="99">
        <v>1469.4</v>
      </c>
      <c r="FL14" s="99">
        <f t="shared" si="24"/>
        <v>149.64667613206893</v>
      </c>
      <c r="FM14" s="99">
        <f>'a1'!BH15/1000</f>
        <v>2022.241</v>
      </c>
      <c r="FN14" s="100">
        <f t="shared" si="25"/>
        <v>74000.416435068284</v>
      </c>
      <c r="FO14" s="100">
        <f>FN14/'a8'!BE$39*100</f>
        <v>72125.162217415476</v>
      </c>
      <c r="FP14" s="99">
        <v>307.7</v>
      </c>
      <c r="FQ14" s="100">
        <f>(FP14)*a14a!$E$54/1000000</f>
        <v>23.976735990121757</v>
      </c>
      <c r="FR14" s="99">
        <v>1099.5999999999999</v>
      </c>
      <c r="FS14" s="100">
        <f>(FR14)*a14a!$F$54/1000000</f>
        <v>107.10439914989389</v>
      </c>
      <c r="FT14" s="99"/>
      <c r="FU14" s="99"/>
      <c r="FV14" s="99">
        <v>224.9</v>
      </c>
      <c r="FW14" s="99">
        <f>(FV14)*a14a!$H$54/1000000</f>
        <v>30.376932922402634</v>
      </c>
      <c r="FX14" s="99">
        <v>187.9</v>
      </c>
      <c r="FY14" s="99">
        <f>(FX14)*a14a!$I$54/1000000</f>
        <v>26.450934203656285</v>
      </c>
      <c r="FZ14" s="99">
        <v>162</v>
      </c>
      <c r="GA14" s="99">
        <f>(FZ14)*a14a!$J$54/1000000</f>
        <v>38.720274853006629</v>
      </c>
      <c r="GB14" s="99">
        <v>1972.2</v>
      </c>
      <c r="GC14" s="99">
        <f t="shared" si="26"/>
        <v>226.62927711908119</v>
      </c>
      <c r="GD14" s="99">
        <f>'a1'!BN15/1000</f>
        <v>2615.1619999999998</v>
      </c>
      <c r="GE14" s="100">
        <f t="shared" si="27"/>
        <v>86659.746936932104</v>
      </c>
      <c r="GF14" s="100">
        <f>GE14/'a8'!BK$39*100</f>
        <v>86573.173763168932</v>
      </c>
    </row>
    <row r="15" spans="1:188" s="25" customFormat="1" ht="12" hidden="1" customHeight="1">
      <c r="A15" s="202">
        <v>1979</v>
      </c>
      <c r="B15" s="99">
        <v>4285.5</v>
      </c>
      <c r="C15" s="98">
        <f t="shared" si="0"/>
        <v>291.71398499999998</v>
      </c>
      <c r="D15" s="99">
        <v>9364</v>
      </c>
      <c r="E15" s="98">
        <f t="shared" si="1"/>
        <v>796.75466800000004</v>
      </c>
      <c r="F15" s="99"/>
      <c r="G15" s="99"/>
      <c r="H15" s="99">
        <v>1322.8</v>
      </c>
      <c r="I15" s="98">
        <f t="shared" si="2"/>
        <v>158.03491600000001</v>
      </c>
      <c r="J15" s="99">
        <v>1712.2</v>
      </c>
      <c r="K15" s="98">
        <f t="shared" si="3"/>
        <v>224.828982</v>
      </c>
      <c r="L15" s="99">
        <v>1435.1</v>
      </c>
      <c r="M15" s="98">
        <f t="shared" si="4"/>
        <v>290.96796009999997</v>
      </c>
      <c r="N15" s="99">
        <v>18119.400000000001</v>
      </c>
      <c r="O15" s="99">
        <f t="shared" si="28"/>
        <v>1762.3005111</v>
      </c>
      <c r="P15" s="98">
        <f>'a1'!F16/1000</f>
        <v>24201.544000000002</v>
      </c>
      <c r="Q15" s="100">
        <f t="shared" si="5"/>
        <v>72817.689280485574</v>
      </c>
      <c r="R15" s="168">
        <f>Q15/'a8'!C$39*100</f>
        <v>73627.592801299863</v>
      </c>
      <c r="S15" s="99">
        <v>140.19999999999999</v>
      </c>
      <c r="T15" s="100">
        <f t="shared" si="6"/>
        <v>8.3873247999999982</v>
      </c>
      <c r="U15" s="99">
        <v>167.4</v>
      </c>
      <c r="V15" s="100">
        <f t="shared" si="7"/>
        <v>12.518172</v>
      </c>
      <c r="W15" s="99"/>
      <c r="X15" s="99"/>
      <c r="Y15" s="99">
        <v>23.6</v>
      </c>
      <c r="Z15" s="99">
        <f>(Y15)*a14a!$H$9/1000000</f>
        <v>2.9325973366184184</v>
      </c>
      <c r="AA15" s="99">
        <v>37.9</v>
      </c>
      <c r="AB15" s="99">
        <f>(AA15)*a14a!$I$9/1000000</f>
        <v>5.6095493901541973</v>
      </c>
      <c r="AC15" s="99">
        <v>20.9</v>
      </c>
      <c r="AD15" s="99">
        <f>(AC15)*a14a!$J$9/1000000</f>
        <v>4.3825153426784613</v>
      </c>
      <c r="AE15" s="99">
        <v>388.6</v>
      </c>
      <c r="AF15" s="99">
        <f t="shared" si="8"/>
        <v>33.830158869451076</v>
      </c>
      <c r="AG15" s="99">
        <f>'a1'!L16/1000</f>
        <v>570.07500000000005</v>
      </c>
      <c r="AH15" s="100">
        <f t="shared" si="9"/>
        <v>59343.347576110289</v>
      </c>
      <c r="AI15" s="100">
        <f>AH15/'a8'!I$39*100</f>
        <v>59581.674273203098</v>
      </c>
      <c r="AJ15" s="99">
        <v>24.9</v>
      </c>
      <c r="AK15" s="100">
        <f>(AJ15)*a14a!$E$14/1000000</f>
        <v>1.4008313372242496</v>
      </c>
      <c r="AL15" s="99">
        <v>44.8</v>
      </c>
      <c r="AM15" s="100">
        <f>(AL15)*a14a!$F$14/1000000</f>
        <v>3.1504640515886737</v>
      </c>
      <c r="AN15" s="99"/>
      <c r="AO15" s="99"/>
      <c r="AP15" s="99">
        <v>6.4</v>
      </c>
      <c r="AQ15" s="99">
        <f>(AP15)*a14a!$H$14/1000000</f>
        <v>0.69560290006944514</v>
      </c>
      <c r="AR15" s="99">
        <v>7.5</v>
      </c>
      <c r="AS15" s="99">
        <f>(AR15)*a14a!$I$14/1000000</f>
        <v>1.0685532094218104</v>
      </c>
      <c r="AT15" s="99">
        <v>5</v>
      </c>
      <c r="AU15" s="99">
        <f>(AT15)*a14a!$J$14/1000000</f>
        <v>0.91088416760831126</v>
      </c>
      <c r="AV15" s="99">
        <v>88.5</v>
      </c>
      <c r="AW15" s="99">
        <f t="shared" si="10"/>
        <v>7.2263356659124893</v>
      </c>
      <c r="AX15" s="99">
        <f>'a1'!R16/1000</f>
        <v>122.88500000000001</v>
      </c>
      <c r="AY15" s="100">
        <f t="shared" si="11"/>
        <v>58805.677388717006</v>
      </c>
      <c r="AZ15" s="100">
        <f>AY15/'a8'!O$39*100</f>
        <v>60561.97465367354</v>
      </c>
      <c r="BA15" s="99">
        <v>155.19999999999999</v>
      </c>
      <c r="BB15" s="100">
        <f>(BA15)*a14a!$E$19/1000000</f>
        <v>9.2407468574436926</v>
      </c>
      <c r="BC15" s="99">
        <v>316.39999999999998</v>
      </c>
      <c r="BD15" s="100">
        <f>(BC15)*a14a!$F$19/1000000</f>
        <v>23.548423853859411</v>
      </c>
      <c r="BE15" s="99"/>
      <c r="BF15" s="99"/>
      <c r="BG15" s="99">
        <v>37.200000000000003</v>
      </c>
      <c r="BH15" s="99">
        <f>(BG15)*a14a!$H$19/1000000</f>
        <v>3.9315777578430033</v>
      </c>
      <c r="BI15" s="99">
        <v>64.2</v>
      </c>
      <c r="BJ15" s="99">
        <f>(BI15)*a14a!$I$19/1000000</f>
        <v>7.6152339173932493</v>
      </c>
      <c r="BK15" s="99">
        <v>46.7</v>
      </c>
      <c r="BL15" s="99">
        <f>(BK15)*a14a!$J$19/1000000</f>
        <v>8.3970635433340046</v>
      </c>
      <c r="BM15" s="99">
        <v>618.20000000000005</v>
      </c>
      <c r="BN15" s="99">
        <f t="shared" si="12"/>
        <v>52.733045929873356</v>
      </c>
      <c r="BO15" s="99">
        <f>'a1'!X16/1000</f>
        <v>849.39599999999996</v>
      </c>
      <c r="BP15" s="100">
        <f t="shared" si="13"/>
        <v>62082.993009000937</v>
      </c>
      <c r="BQ15" s="100">
        <f>BP15/'a8'!U$39*100</f>
        <v>62394.967848242151</v>
      </c>
      <c r="BR15" s="99">
        <v>162</v>
      </c>
      <c r="BS15" s="100">
        <f>(BR15)*a14a!$E$24/1000000</f>
        <v>9.9965539714140323</v>
      </c>
      <c r="BT15" s="99">
        <v>238.6</v>
      </c>
      <c r="BU15" s="100">
        <f>(BT15)*a14a!$F$24/1000000</f>
        <v>18.404149518359475</v>
      </c>
      <c r="BV15" s="99"/>
      <c r="BW15" s="99"/>
      <c r="BX15" s="99">
        <v>33.200000000000003</v>
      </c>
      <c r="BY15" s="99">
        <f>(BX15)*a14a!$H$24/1000000</f>
        <v>3.8460565332983458</v>
      </c>
      <c r="BZ15" s="99">
        <v>42.1</v>
      </c>
      <c r="CA15" s="99">
        <f>(BZ15)*a14a!$I$24/1000000</f>
        <v>6.3046078862198645</v>
      </c>
      <c r="CB15" s="99">
        <v>32.200000000000003</v>
      </c>
      <c r="CC15" s="99">
        <f>(CB15)*a14a!$J$24/1000000</f>
        <v>5.8740341224777701</v>
      </c>
      <c r="CD15" s="99">
        <v>506.3</v>
      </c>
      <c r="CE15" s="99">
        <f t="shared" si="14"/>
        <v>44.42540203176948</v>
      </c>
      <c r="CF15" s="99">
        <f>'a1'!AD16/1000</f>
        <v>703.15800000000002</v>
      </c>
      <c r="CG15" s="100">
        <f t="shared" si="15"/>
        <v>63179.828760775643</v>
      </c>
      <c r="CH15" s="100">
        <f>CG15/'a8'!AA$39*100</f>
        <v>61819.793307999644</v>
      </c>
      <c r="CI15" s="99">
        <v>1500.9</v>
      </c>
      <c r="CJ15" s="100">
        <f>(CI15)*a14a!$E$29/1000000</f>
        <v>108.12049632779282</v>
      </c>
      <c r="CK15" s="99">
        <v>2339.6</v>
      </c>
      <c r="CL15" s="100">
        <f>(CK15)*a14a!$F$29/1000000</f>
        <v>210.67252415925782</v>
      </c>
      <c r="CM15" s="99"/>
      <c r="CN15" s="99"/>
      <c r="CO15" s="99">
        <v>262.5</v>
      </c>
      <c r="CP15" s="99">
        <f>(CO15)*a14a!$H$29/1000000</f>
        <v>32.781757356800959</v>
      </c>
      <c r="CQ15" s="99">
        <v>509.8</v>
      </c>
      <c r="CR15" s="99">
        <f>(CQ15)*a14a!$I$29/1000000</f>
        <v>69.701542204001072</v>
      </c>
      <c r="CS15" s="99">
        <v>328.9</v>
      </c>
      <c r="CT15" s="99">
        <f>(CS15)*a14a!$J$29/1000000</f>
        <v>67.312270667896385</v>
      </c>
      <c r="CU15" s="99">
        <v>4923.5</v>
      </c>
      <c r="CV15" s="99">
        <f t="shared" si="16"/>
        <v>488.58859071574904</v>
      </c>
      <c r="CW15" s="99">
        <f>'a1'!AJ16/1000</f>
        <v>6465.9960000000001</v>
      </c>
      <c r="CX15" s="100">
        <f t="shared" si="17"/>
        <v>75562.773425122607</v>
      </c>
      <c r="CY15" s="100">
        <f>CX15/'a8'!AG$39*100</f>
        <v>76947.834445135042</v>
      </c>
      <c r="CZ15" s="99">
        <v>1399.7</v>
      </c>
      <c r="DA15" s="100">
        <f>(CZ15)*a14a!$E$34/1000000</f>
        <v>94.367617784711214</v>
      </c>
      <c r="DB15" s="99">
        <v>3506.8</v>
      </c>
      <c r="DC15" s="100">
        <f>(DB15)*a14a!$F$34/1000000</f>
        <v>295.53508077393843</v>
      </c>
      <c r="DD15" s="99"/>
      <c r="DE15" s="99"/>
      <c r="DF15" s="99">
        <v>530.6</v>
      </c>
      <c r="DG15" s="99">
        <f>(DF15)*a14a!$H$34/1000000</f>
        <v>60.803445946343459</v>
      </c>
      <c r="DH15" s="99">
        <v>584.29999999999995</v>
      </c>
      <c r="DI15" s="99">
        <f>(DH15)*a14a!$I$34/1000000</f>
        <v>71.256973908197665</v>
      </c>
      <c r="DJ15" s="99">
        <v>578.29999999999995</v>
      </c>
      <c r="DK15" s="99">
        <f>(DJ15)*a14a!$J$34/1000000</f>
        <v>106.240551991012</v>
      </c>
      <c r="DL15" s="99">
        <v>6580</v>
      </c>
      <c r="DM15" s="99">
        <f t="shared" si="18"/>
        <v>628.20367040420285</v>
      </c>
      <c r="DN15" s="99">
        <f>'a1'!AP16/1000</f>
        <v>8662.0879999999997</v>
      </c>
      <c r="DO15" s="100">
        <f t="shared" si="19"/>
        <v>72523.353538338895</v>
      </c>
      <c r="DP15" s="100">
        <f>DO15/'a8'!AM$39*100</f>
        <v>74079.01280729202</v>
      </c>
      <c r="DQ15" s="99">
        <v>183.3</v>
      </c>
      <c r="DR15" s="100">
        <f>(DQ15)*a14a!$E$39/1000000</f>
        <v>16.390003848208288</v>
      </c>
      <c r="DS15" s="99">
        <v>386.2</v>
      </c>
      <c r="DT15" s="100">
        <f>(DS15)*a14a!$F$39/1000000</f>
        <v>43.165708443658211</v>
      </c>
      <c r="DU15" s="99"/>
      <c r="DV15" s="99"/>
      <c r="DW15" s="99">
        <v>58.3</v>
      </c>
      <c r="DX15" s="99">
        <f>(DW15)*a14a!$H$39/1000000</f>
        <v>8.8243579025702452</v>
      </c>
      <c r="DY15" s="99">
        <v>71.900000000000006</v>
      </c>
      <c r="DZ15" s="99">
        <f>(DY15)*a14a!$I$39/1000000</f>
        <v>12.085669817225694</v>
      </c>
      <c r="EA15" s="99">
        <v>59.4</v>
      </c>
      <c r="EB15" s="99">
        <f>(EA15)*a14a!$J$39/1000000</f>
        <v>13.161751967115983</v>
      </c>
      <c r="EC15" s="99">
        <v>757.4</v>
      </c>
      <c r="ED15" s="99">
        <f t="shared" si="20"/>
        <v>93.627491978778409</v>
      </c>
      <c r="EE15" s="99">
        <f>'a1'!AV16/1000</f>
        <v>1037.2719999999999</v>
      </c>
      <c r="EF15" s="100">
        <f t="shared" si="21"/>
        <v>90263.201916930571</v>
      </c>
      <c r="EG15" s="100">
        <f>EF15/'a8'!AS$39*100</f>
        <v>92388.128881198121</v>
      </c>
      <c r="EH15" s="99">
        <v>183.9</v>
      </c>
      <c r="EI15" s="100">
        <f>(EH15)*a14a!$E$44/1000000</f>
        <v>14.671241358051837</v>
      </c>
      <c r="EJ15" s="99">
        <v>357.9</v>
      </c>
      <c r="EK15" s="100">
        <f>(EJ15)*a14a!$F$44/1000000</f>
        <v>35.690846125929525</v>
      </c>
      <c r="EL15" s="99"/>
      <c r="EM15" s="99"/>
      <c r="EN15" s="99">
        <v>44</v>
      </c>
      <c r="EO15" s="99">
        <f>(EN15)*a14a!$H$44/1000000</f>
        <v>6.7305116301664194</v>
      </c>
      <c r="EP15" s="99">
        <v>63.5</v>
      </c>
      <c r="EQ15" s="99">
        <f>(EP15)*a14a!$I$44/1000000</f>
        <v>10.442046511480639</v>
      </c>
      <c r="ER15" s="99">
        <v>43.6</v>
      </c>
      <c r="ES15" s="99">
        <f>(ER15)*a14a!$J$44/1000000</f>
        <v>14.855325735912738</v>
      </c>
      <c r="ET15" s="99">
        <v>691</v>
      </c>
      <c r="EU15" s="99">
        <f t="shared" si="22"/>
        <v>82.389971361541157</v>
      </c>
      <c r="EV15" s="99">
        <f>'a1'!BB16/1000</f>
        <v>959.73500000000001</v>
      </c>
      <c r="EW15" s="100">
        <f t="shared" si="23"/>
        <v>85846.584069082775</v>
      </c>
      <c r="EX15" s="100">
        <f>EW15/'a8'!AY$39*100</f>
        <v>89330.472496444097</v>
      </c>
      <c r="EY15" s="99">
        <v>229.7</v>
      </c>
      <c r="EZ15" s="100">
        <f>(EY15)*a14a!$E$49/1000000</f>
        <v>15.520776440007944</v>
      </c>
      <c r="FA15" s="99">
        <v>880.9</v>
      </c>
      <c r="FB15" s="100">
        <f>(FA15)*a14a!$F$49/1000000</f>
        <v>74.402764290395069</v>
      </c>
      <c r="FC15" s="99"/>
      <c r="FD15" s="99"/>
      <c r="FE15" s="99">
        <v>135.6</v>
      </c>
      <c r="FF15" s="99">
        <f>(FE15)*a14a!$H$49/1000000</f>
        <v>15.961035891632863</v>
      </c>
      <c r="FG15" s="99">
        <v>152.1</v>
      </c>
      <c r="FH15" s="99">
        <f>(FG15)*a14a!$I$49/1000000</f>
        <v>18.447604410847109</v>
      </c>
      <c r="FI15" s="99">
        <v>147.4</v>
      </c>
      <c r="FJ15" s="99">
        <f>(FI15)*a14a!$J$49/1000000</f>
        <v>31.697959047349549</v>
      </c>
      <c r="FK15" s="99">
        <v>1538.9</v>
      </c>
      <c r="FL15" s="99">
        <f t="shared" si="24"/>
        <v>156.03014008023254</v>
      </c>
      <c r="FM15" s="99">
        <f>'a1'!BH16/1000</f>
        <v>2096.9659999999999</v>
      </c>
      <c r="FN15" s="100">
        <f t="shared" si="25"/>
        <v>74407.567924435862</v>
      </c>
      <c r="FO15" s="100">
        <f>FN15/'a8'!BE$39*100</f>
        <v>72521.996027715271</v>
      </c>
      <c r="FP15" s="99">
        <v>294.89999999999998</v>
      </c>
      <c r="FQ15" s="100">
        <f>(FP15)*a14a!$E$54/1000000</f>
        <v>22.979328708114739</v>
      </c>
      <c r="FR15" s="99">
        <v>1158.7</v>
      </c>
      <c r="FS15" s="100">
        <f>(FR15)*a14a!$F$54/1000000</f>
        <v>112.86091969350861</v>
      </c>
      <c r="FT15" s="99"/>
      <c r="FU15" s="99"/>
      <c r="FV15" s="99">
        <v>203.6</v>
      </c>
      <c r="FW15" s="99">
        <f>(FV15)*a14a!$H$54/1000000</f>
        <v>27.499971289467211</v>
      </c>
      <c r="FX15" s="99">
        <v>190.5</v>
      </c>
      <c r="FY15" s="99">
        <f>(FX15)*a14a!$I$54/1000000</f>
        <v>26.81693967959831</v>
      </c>
      <c r="FZ15" s="99">
        <v>189.6</v>
      </c>
      <c r="GA15" s="99">
        <f>(FZ15)*a14a!$J$54/1000000</f>
        <v>45.317062420555906</v>
      </c>
      <c r="GB15" s="99">
        <v>2027</v>
      </c>
      <c r="GC15" s="99">
        <f t="shared" si="26"/>
        <v>235.47422179124479</v>
      </c>
      <c r="GD15" s="99">
        <f>'a1'!BN16/1000</f>
        <v>2665.2379999999998</v>
      </c>
      <c r="GE15" s="100">
        <f t="shared" si="27"/>
        <v>88350.166773565739</v>
      </c>
      <c r="GF15" s="100">
        <f>GE15/'a8'!BK$39*100</f>
        <v>88261.904868697049</v>
      </c>
    </row>
    <row r="16" spans="1:188" s="25" customFormat="1" ht="12" hidden="1" customHeight="1">
      <c r="A16" s="202">
        <v>1980</v>
      </c>
      <c r="B16" s="99">
        <v>4202.2</v>
      </c>
      <c r="C16" s="98">
        <f t="shared" si="0"/>
        <v>286.04375399999998</v>
      </c>
      <c r="D16" s="99">
        <v>9603.5</v>
      </c>
      <c r="E16" s="98">
        <f t="shared" si="1"/>
        <v>817.13300449999997</v>
      </c>
      <c r="F16" s="99"/>
      <c r="G16" s="99"/>
      <c r="H16" s="99">
        <v>1397.6</v>
      </c>
      <c r="I16" s="98">
        <f t="shared" si="2"/>
        <v>166.971272</v>
      </c>
      <c r="J16" s="99">
        <v>1766</v>
      </c>
      <c r="K16" s="98">
        <f t="shared" si="3"/>
        <v>231.89346</v>
      </c>
      <c r="L16" s="99">
        <v>1514.4</v>
      </c>
      <c r="M16" s="98">
        <f t="shared" si="4"/>
        <v>307.04611440000002</v>
      </c>
      <c r="N16" s="99">
        <v>18483.5</v>
      </c>
      <c r="O16" s="99">
        <f t="shared" si="28"/>
        <v>1809.0876049000001</v>
      </c>
      <c r="P16" s="98">
        <f>'a1'!F17/1000</f>
        <v>24515.667000000001</v>
      </c>
      <c r="Q16" s="100">
        <f t="shared" si="5"/>
        <v>73793.121961560333</v>
      </c>
      <c r="R16" s="168">
        <f>Q16/'a8'!C$39*100</f>
        <v>74613.874581961907</v>
      </c>
      <c r="S16" s="99">
        <v>136.69999999999999</v>
      </c>
      <c r="T16" s="100">
        <f t="shared" si="6"/>
        <v>8.1779407999999982</v>
      </c>
      <c r="U16" s="99">
        <v>175.1</v>
      </c>
      <c r="V16" s="100">
        <f t="shared" si="7"/>
        <v>13.093978</v>
      </c>
      <c r="W16" s="99"/>
      <c r="X16" s="99"/>
      <c r="Y16" s="99">
        <v>25.2</v>
      </c>
      <c r="Z16" s="99">
        <f>(Y16)*a14a!$H$9/1000000</f>
        <v>3.1314174950332259</v>
      </c>
      <c r="AA16" s="99">
        <v>40.700000000000003</v>
      </c>
      <c r="AB16" s="99">
        <f>(AA16)*a14a!$I$9/1000000</f>
        <v>6.0239752026194147</v>
      </c>
      <c r="AC16" s="99">
        <v>19.399999999999999</v>
      </c>
      <c r="AD16" s="99">
        <f>(AC16)*a14a!$J$9/1000000</f>
        <v>4.0679807487063231</v>
      </c>
      <c r="AE16" s="99">
        <v>395.6</v>
      </c>
      <c r="AF16" s="99">
        <f t="shared" si="8"/>
        <v>34.495292246358964</v>
      </c>
      <c r="AG16" s="99">
        <f>'a1'!L17/1000</f>
        <v>572.75900000000001</v>
      </c>
      <c r="AH16" s="100">
        <f t="shared" si="9"/>
        <v>60226.538991720714</v>
      </c>
      <c r="AI16" s="100">
        <f>AH16/'a8'!I$39*100</f>
        <v>60468.412642289877</v>
      </c>
      <c r="AJ16" s="99">
        <v>25.1</v>
      </c>
      <c r="AK16" s="100">
        <f>(AJ16)*a14a!$E$14/1000000</f>
        <v>1.412082994551352</v>
      </c>
      <c r="AL16" s="99">
        <v>45.7</v>
      </c>
      <c r="AM16" s="100">
        <f>(AL16)*a14a!$F$14/1000000</f>
        <v>3.213754624053625</v>
      </c>
      <c r="AN16" s="99"/>
      <c r="AO16" s="99"/>
      <c r="AP16" s="99">
        <v>6.7</v>
      </c>
      <c r="AQ16" s="99">
        <f>(AP16)*a14a!$H$14/1000000</f>
        <v>0.72820928601020041</v>
      </c>
      <c r="AR16" s="99">
        <v>7.3</v>
      </c>
      <c r="AS16" s="99">
        <f>(AR16)*a14a!$I$14/1000000</f>
        <v>1.0400584571705622</v>
      </c>
      <c r="AT16" s="99">
        <v>5.2</v>
      </c>
      <c r="AU16" s="99">
        <f>(AT16)*a14a!$J$14/1000000</f>
        <v>0.94731953431264371</v>
      </c>
      <c r="AV16" s="99">
        <v>89.8</v>
      </c>
      <c r="AW16" s="99">
        <f t="shared" si="10"/>
        <v>7.341424896098383</v>
      </c>
      <c r="AX16" s="99">
        <f>'a1'!R17/1000</f>
        <v>123.735</v>
      </c>
      <c r="AY16" s="100">
        <f t="shared" si="11"/>
        <v>59331.837362899612</v>
      </c>
      <c r="AZ16" s="100">
        <f>AY16/'a8'!O$39*100</f>
        <v>61103.848983418757</v>
      </c>
      <c r="BA16" s="99">
        <v>141.80000000000001</v>
      </c>
      <c r="BB16" s="100">
        <f>(BA16)*a14a!$E$19/1000000</f>
        <v>8.4428988684633755</v>
      </c>
      <c r="BC16" s="99">
        <v>336.6</v>
      </c>
      <c r="BD16" s="100">
        <f>(BC16)*a14a!$F$19/1000000</f>
        <v>25.051831445035013</v>
      </c>
      <c r="BE16" s="99"/>
      <c r="BF16" s="99"/>
      <c r="BG16" s="99">
        <v>40.299999999999997</v>
      </c>
      <c r="BH16" s="99">
        <f>(BG16)*a14a!$H$19/1000000</f>
        <v>4.259209237663252</v>
      </c>
      <c r="BI16" s="99">
        <v>61.8</v>
      </c>
      <c r="BJ16" s="99">
        <f>(BI16)*a14a!$I$19/1000000</f>
        <v>7.330552275621538</v>
      </c>
      <c r="BK16" s="99">
        <v>47.6</v>
      </c>
      <c r="BL16" s="99">
        <f>(BK16)*a14a!$J$19/1000000</f>
        <v>8.5588913204004005</v>
      </c>
      <c r="BM16" s="99">
        <v>626.6</v>
      </c>
      <c r="BN16" s="99">
        <f t="shared" si="12"/>
        <v>53.64338314718357</v>
      </c>
      <c r="BO16" s="99">
        <f>'a1'!X17/1000</f>
        <v>852.65899999999999</v>
      </c>
      <c r="BP16" s="100">
        <f t="shared" si="13"/>
        <v>62913.055684844207</v>
      </c>
      <c r="BQ16" s="100">
        <f>BP16/'a8'!U$39*100</f>
        <v>63229.201693310759</v>
      </c>
      <c r="BR16" s="99">
        <v>156.1</v>
      </c>
      <c r="BS16" s="100">
        <f>(BR16)*a14a!$E$24/1000000</f>
        <v>9.6324819440600624</v>
      </c>
      <c r="BT16" s="99">
        <v>243.5</v>
      </c>
      <c r="BU16" s="100">
        <f>(BT16)*a14a!$F$24/1000000</f>
        <v>18.78210564845152</v>
      </c>
      <c r="BV16" s="99"/>
      <c r="BW16" s="99"/>
      <c r="BX16" s="99">
        <v>34.299999999999997</v>
      </c>
      <c r="BY16" s="99">
        <f>(BX16)*a14a!$H$24/1000000</f>
        <v>3.973486117232929</v>
      </c>
      <c r="BZ16" s="99">
        <v>45.6</v>
      </c>
      <c r="CA16" s="99">
        <f>(BZ16)*a14a!$I$24/1000000</f>
        <v>6.8287439337678348</v>
      </c>
      <c r="CB16" s="99">
        <v>35.4</v>
      </c>
      <c r="CC16" s="99">
        <f>(CB16)*a14a!$J$24/1000000</f>
        <v>6.4577890663264919</v>
      </c>
      <c r="CD16" s="99">
        <v>513.1</v>
      </c>
      <c r="CE16" s="99">
        <f t="shared" si="14"/>
        <v>45.674606709838834</v>
      </c>
      <c r="CF16" s="99">
        <f>'a1'!AD17/1000</f>
        <v>706.21900000000005</v>
      </c>
      <c r="CG16" s="100">
        <f t="shared" si="15"/>
        <v>64674.848325857594</v>
      </c>
      <c r="CH16" s="100">
        <f>CG16/'a8'!AA$39*100</f>
        <v>63282.630455829349</v>
      </c>
      <c r="CI16" s="99">
        <v>1468.7</v>
      </c>
      <c r="CJ16" s="100">
        <f>(CI16)*a14a!$E$29/1000000</f>
        <v>105.80090143022807</v>
      </c>
      <c r="CK16" s="99">
        <v>2382.3000000000002</v>
      </c>
      <c r="CL16" s="100">
        <f>(CK16)*a14a!$F$29/1000000</f>
        <v>214.51750483185157</v>
      </c>
      <c r="CM16" s="99"/>
      <c r="CN16" s="99"/>
      <c r="CO16" s="99">
        <v>281.8</v>
      </c>
      <c r="CP16" s="99">
        <f>(CO16)*a14a!$H$29/1000000</f>
        <v>35.191997040558135</v>
      </c>
      <c r="CQ16" s="99">
        <v>523.29999999999995</v>
      </c>
      <c r="CR16" s="99">
        <f>(CQ16)*a14a!$I$29/1000000</f>
        <v>71.547306856323573</v>
      </c>
      <c r="CS16" s="99">
        <v>349.3</v>
      </c>
      <c r="CT16" s="99">
        <f>(CS16)*a14a!$J$29/1000000</f>
        <v>71.487309651250257</v>
      </c>
      <c r="CU16" s="99">
        <v>4987.5</v>
      </c>
      <c r="CV16" s="99">
        <f t="shared" si="16"/>
        <v>498.54501981021161</v>
      </c>
      <c r="CW16" s="99">
        <f>'a1'!AJ17/1000</f>
        <v>6505.9970000000003</v>
      </c>
      <c r="CX16" s="100">
        <f t="shared" si="17"/>
        <v>76628.535151524295</v>
      </c>
      <c r="CY16" s="100">
        <f>CX16/'a8'!AG$39*100</f>
        <v>78033.13151886384</v>
      </c>
      <c r="CZ16" s="99">
        <v>1391.4</v>
      </c>
      <c r="DA16" s="100">
        <f>(CZ16)*a14a!$E$34/1000000</f>
        <v>93.808032711043211</v>
      </c>
      <c r="DB16" s="99">
        <v>3555.1</v>
      </c>
      <c r="DC16" s="100">
        <f>(DB16)*a14a!$F$34/1000000</f>
        <v>299.60555653571015</v>
      </c>
      <c r="DD16" s="99"/>
      <c r="DE16" s="99"/>
      <c r="DF16" s="99">
        <v>554.9</v>
      </c>
      <c r="DG16" s="99">
        <f>(DF16)*a14a!$H$34/1000000</f>
        <v>63.588074171929861</v>
      </c>
      <c r="DH16" s="99">
        <v>615.29999999999995</v>
      </c>
      <c r="DI16" s="99">
        <f>(DH16)*a14a!$I$34/1000000</f>
        <v>75.037508207622849</v>
      </c>
      <c r="DJ16" s="99">
        <v>597.20000000000005</v>
      </c>
      <c r="DK16" s="99">
        <f>(DJ16)*a14a!$J$34/1000000</f>
        <v>109.71270560095518</v>
      </c>
      <c r="DL16" s="99">
        <v>6692.5</v>
      </c>
      <c r="DM16" s="99">
        <f t="shared" si="18"/>
        <v>641.75187722726116</v>
      </c>
      <c r="DN16" s="99">
        <f>'a1'!AP17/1000</f>
        <v>8746.0130000000008</v>
      </c>
      <c r="DO16" s="100">
        <f t="shared" si="19"/>
        <v>73376.506212289081</v>
      </c>
      <c r="DP16" s="100">
        <f>DO16/'a8'!AM$39*100</f>
        <v>74950.465998252374</v>
      </c>
      <c r="DQ16" s="99">
        <v>177.7</v>
      </c>
      <c r="DR16" s="100">
        <f>(DQ16)*a14a!$E$39/1000000</f>
        <v>15.889272688634001</v>
      </c>
      <c r="DS16" s="99">
        <v>391.3</v>
      </c>
      <c r="DT16" s="100">
        <f>(DS16)*a14a!$F$39/1000000</f>
        <v>43.735737219066444</v>
      </c>
      <c r="DU16" s="99"/>
      <c r="DV16" s="99"/>
      <c r="DW16" s="99">
        <v>57.7</v>
      </c>
      <c r="DX16" s="99">
        <f>(DW16)*a14a!$H$39/1000000</f>
        <v>8.7335411831612912</v>
      </c>
      <c r="DY16" s="99">
        <v>68.599999999999994</v>
      </c>
      <c r="DZ16" s="99">
        <f>(DY16)*a14a!$I$39/1000000</f>
        <v>11.530972871511578</v>
      </c>
      <c r="EA16" s="99">
        <v>67</v>
      </c>
      <c r="EB16" s="99">
        <f>(EA16)*a14a!$J$39/1000000</f>
        <v>14.845747168295809</v>
      </c>
      <c r="EC16" s="99">
        <v>760.4</v>
      </c>
      <c r="ED16" s="99">
        <f t="shared" si="20"/>
        <v>94.735271130669133</v>
      </c>
      <c r="EE16" s="99">
        <f>'a1'!AV17/1000</f>
        <v>1034.4349999999999</v>
      </c>
      <c r="EF16" s="100">
        <f t="shared" si="21"/>
        <v>91581.656779468147</v>
      </c>
      <c r="EG16" s="100">
        <f>EF16/'a8'!AS$39*100</f>
        <v>93737.622087480195</v>
      </c>
      <c r="EH16" s="99">
        <v>172.4</v>
      </c>
      <c r="EI16" s="100">
        <f>(EH16)*a14a!$E$44/1000000</f>
        <v>13.753790158391173</v>
      </c>
      <c r="EJ16" s="99">
        <v>364.8</v>
      </c>
      <c r="EK16" s="100">
        <f>(EJ16)*a14a!$F$44/1000000</f>
        <v>36.378934525675028</v>
      </c>
      <c r="EL16" s="99"/>
      <c r="EM16" s="99"/>
      <c r="EN16" s="99">
        <v>49.2</v>
      </c>
      <c r="EO16" s="99">
        <f>(EN16)*a14a!$H$44/1000000</f>
        <v>7.5259357319133606</v>
      </c>
      <c r="EP16" s="99">
        <v>68.5</v>
      </c>
      <c r="EQ16" s="99">
        <f>(EP16)*a14a!$I$44/1000000</f>
        <v>11.264254898211398</v>
      </c>
      <c r="ER16" s="99">
        <v>47.6</v>
      </c>
      <c r="ES16" s="99">
        <f>(ER16)*a14a!$J$44/1000000</f>
        <v>16.218199656638678</v>
      </c>
      <c r="ET16" s="99">
        <v>700.5</v>
      </c>
      <c r="EU16" s="99">
        <f t="shared" si="22"/>
        <v>85.141114970829634</v>
      </c>
      <c r="EV16" s="99">
        <f>'a1'!BB17/1000</f>
        <v>967.548</v>
      </c>
      <c r="EW16" s="100">
        <f t="shared" si="23"/>
        <v>87996.786692577138</v>
      </c>
      <c r="EX16" s="100">
        <f>EW16/'a8'!AY$39*100</f>
        <v>91567.936204554775</v>
      </c>
      <c r="EY16" s="99">
        <v>230.1</v>
      </c>
      <c r="EZ16" s="100">
        <f>(EY16)*a14a!$E$49/1000000</f>
        <v>15.547804348479879</v>
      </c>
      <c r="FA16" s="99">
        <v>937.7</v>
      </c>
      <c r="FB16" s="100">
        <f>(FA16)*a14a!$F$49/1000000</f>
        <v>79.200218044163321</v>
      </c>
      <c r="FC16" s="99"/>
      <c r="FD16" s="99"/>
      <c r="FE16" s="99">
        <v>140.6</v>
      </c>
      <c r="FF16" s="99">
        <f>(FE16)*a14a!$H$49/1000000</f>
        <v>16.549569663448231</v>
      </c>
      <c r="FG16" s="99">
        <v>167.8</v>
      </c>
      <c r="FH16" s="99">
        <f>(FG16)*a14a!$I$49/1000000</f>
        <v>20.351795004208714</v>
      </c>
      <c r="FI16" s="99">
        <v>150.80000000000001</v>
      </c>
      <c r="FJ16" s="99">
        <f>(FI16)*a14a!$J$49/1000000</f>
        <v>32.429119568116093</v>
      </c>
      <c r="FK16" s="99">
        <v>1619.4</v>
      </c>
      <c r="FL16" s="99">
        <f t="shared" si="24"/>
        <v>164.07850662841628</v>
      </c>
      <c r="FM16" s="99">
        <f>'a1'!BH17/1000</f>
        <v>2191.029</v>
      </c>
      <c r="FN16" s="100">
        <f t="shared" si="25"/>
        <v>74886.506124937776</v>
      </c>
      <c r="FO16" s="100">
        <f>FN16/'a8'!BE$39*100</f>
        <v>72988.797392726876</v>
      </c>
      <c r="FP16" s="99">
        <v>288</v>
      </c>
      <c r="FQ16" s="100">
        <f>(FP16)*a14a!$E$54/1000000</f>
        <v>22.441663845157837</v>
      </c>
      <c r="FR16" s="99">
        <v>1213.7</v>
      </c>
      <c r="FS16" s="100">
        <f>(FR16)*a14a!$F$54/1000000</f>
        <v>118.21808771210098</v>
      </c>
      <c r="FT16" s="99"/>
      <c r="FU16" s="99"/>
      <c r="FV16" s="99">
        <v>220.9</v>
      </c>
      <c r="FW16" s="99">
        <f>(FV16)*a14a!$H$54/1000000</f>
        <v>29.83665843734434</v>
      </c>
      <c r="FX16" s="99">
        <v>178.1</v>
      </c>
      <c r="FY16" s="99">
        <f>(FX16)*a14a!$I$54/1000000</f>
        <v>25.071375102028654</v>
      </c>
      <c r="FZ16" s="99">
        <v>207.9</v>
      </c>
      <c r="GA16" s="99">
        <f>(FZ16)*a14a!$J$54/1000000</f>
        <v>49.691019394691843</v>
      </c>
      <c r="GB16" s="99">
        <v>2098.1</v>
      </c>
      <c r="GC16" s="99">
        <f t="shared" si="26"/>
        <v>245.25880449132367</v>
      </c>
      <c r="GD16" s="99">
        <f>'a1'!BN17/1000</f>
        <v>2745.8609999999999</v>
      </c>
      <c r="GE16" s="100">
        <f t="shared" si="27"/>
        <v>89319.45371281491</v>
      </c>
      <c r="GF16" s="100">
        <f>GE16/'a8'!BK$39*100</f>
        <v>89230.223489325595</v>
      </c>
    </row>
    <row r="17" spans="1:188" s="25" customFormat="1" ht="12" hidden="1" customHeight="1">
      <c r="A17" s="202"/>
      <c r="B17" s="99"/>
      <c r="C17" s="98"/>
      <c r="D17" s="99"/>
      <c r="E17" s="98"/>
      <c r="F17" s="99"/>
      <c r="G17" s="99"/>
      <c r="H17" s="99"/>
      <c r="I17" s="98"/>
      <c r="J17" s="99"/>
      <c r="K17" s="98"/>
      <c r="L17" s="99"/>
      <c r="M17" s="98"/>
      <c r="N17" s="99"/>
      <c r="O17" s="99"/>
      <c r="P17" s="98"/>
      <c r="Q17" s="100"/>
      <c r="R17" s="168"/>
      <c r="S17" s="99"/>
      <c r="T17" s="100"/>
      <c r="U17" s="99"/>
      <c r="V17" s="100"/>
      <c r="W17" s="99"/>
      <c r="X17" s="99"/>
      <c r="Y17" s="99"/>
      <c r="Z17" s="99"/>
      <c r="AA17" s="99"/>
      <c r="AB17" s="99"/>
      <c r="AC17" s="99"/>
      <c r="AD17" s="99"/>
      <c r="AE17" s="99"/>
      <c r="AF17" s="99"/>
      <c r="AG17" s="99"/>
      <c r="AH17" s="100"/>
      <c r="AI17" s="100"/>
      <c r="AJ17" s="99"/>
      <c r="AK17" s="100"/>
      <c r="AL17" s="99"/>
      <c r="AM17" s="100"/>
      <c r="AN17" s="99"/>
      <c r="AO17" s="99"/>
      <c r="AP17" s="99"/>
      <c r="AQ17" s="99"/>
      <c r="AR17" s="99"/>
      <c r="AS17" s="99"/>
      <c r="AT17" s="99"/>
      <c r="AU17" s="99"/>
      <c r="AV17" s="99"/>
      <c r="AW17" s="99"/>
      <c r="AX17" s="99"/>
      <c r="AY17" s="100"/>
      <c r="AZ17" s="100"/>
      <c r="BA17" s="99"/>
      <c r="BB17" s="100"/>
      <c r="BC17" s="99"/>
      <c r="BD17" s="100"/>
      <c r="BE17" s="99"/>
      <c r="BF17" s="99"/>
      <c r="BG17" s="99"/>
      <c r="BH17" s="99"/>
      <c r="BI17" s="99"/>
      <c r="BJ17" s="99"/>
      <c r="BK17" s="99"/>
      <c r="BL17" s="99"/>
      <c r="BM17" s="99"/>
      <c r="BN17" s="99"/>
      <c r="BO17" s="99"/>
      <c r="BP17" s="100"/>
      <c r="BQ17" s="100"/>
      <c r="BR17" s="99"/>
      <c r="BS17" s="100"/>
      <c r="BT17" s="99"/>
      <c r="BU17" s="100"/>
      <c r="BV17" s="99"/>
      <c r="BW17" s="99"/>
      <c r="BX17" s="99"/>
      <c r="BY17" s="99"/>
      <c r="BZ17" s="99"/>
      <c r="CA17" s="99"/>
      <c r="CB17" s="99"/>
      <c r="CC17" s="99"/>
      <c r="CD17" s="99"/>
      <c r="CE17" s="99"/>
      <c r="CF17" s="99"/>
      <c r="CG17" s="100"/>
      <c r="CH17" s="100">
        <f>CG17/'a8'!AA$39*100</f>
        <v>0</v>
      </c>
      <c r="CI17" s="99"/>
      <c r="CJ17" s="100"/>
      <c r="CK17" s="99"/>
      <c r="CL17" s="100"/>
      <c r="CM17" s="99"/>
      <c r="CN17" s="99"/>
      <c r="CO17" s="99"/>
      <c r="CP17" s="99"/>
      <c r="CQ17" s="99"/>
      <c r="CR17" s="99"/>
      <c r="CS17" s="99"/>
      <c r="CT17" s="99"/>
      <c r="CU17" s="99"/>
      <c r="CV17" s="99"/>
      <c r="CW17" s="99"/>
      <c r="CX17" s="100"/>
      <c r="CY17" s="100"/>
      <c r="CZ17" s="99"/>
      <c r="DA17" s="100"/>
      <c r="DB17" s="99"/>
      <c r="DC17" s="100">
        <f>(DB17)*a14a!$F$34/1000000</f>
        <v>0</v>
      </c>
      <c r="DD17" s="99"/>
      <c r="DE17" s="99"/>
      <c r="DF17" s="99"/>
      <c r="DG17" s="99"/>
      <c r="DH17" s="99"/>
      <c r="DI17" s="99"/>
      <c r="DJ17" s="99"/>
      <c r="DK17" s="99"/>
      <c r="DL17" s="99"/>
      <c r="DM17" s="99"/>
      <c r="DN17" s="99"/>
      <c r="DO17" s="100"/>
      <c r="DP17" s="100"/>
      <c r="DQ17" s="99"/>
      <c r="DR17" s="100"/>
      <c r="DS17" s="99"/>
      <c r="DT17" s="100"/>
      <c r="DU17" s="99"/>
      <c r="DV17" s="99"/>
      <c r="DW17" s="99"/>
      <c r="DX17" s="99"/>
      <c r="DY17" s="99"/>
      <c r="DZ17" s="99"/>
      <c r="EA17" s="99"/>
      <c r="EB17" s="99"/>
      <c r="EC17" s="99"/>
      <c r="ED17" s="99"/>
      <c r="EE17" s="99"/>
      <c r="EF17" s="100"/>
      <c r="EG17" s="100"/>
      <c r="EH17" s="99"/>
      <c r="EI17" s="100"/>
      <c r="EJ17" s="99"/>
      <c r="EK17" s="100"/>
      <c r="EL17" s="99"/>
      <c r="EM17" s="99"/>
      <c r="EN17" s="99"/>
      <c r="EO17" s="99"/>
      <c r="EP17" s="99"/>
      <c r="EQ17" s="99">
        <f>(EP17)*a14a!$I$44/1000000</f>
        <v>0</v>
      </c>
      <c r="ER17" s="99"/>
      <c r="ES17" s="99"/>
      <c r="ET17" s="99"/>
      <c r="EU17" s="99"/>
      <c r="EV17" s="99"/>
      <c r="EW17" s="100"/>
      <c r="EX17" s="100"/>
      <c r="EY17" s="99"/>
      <c r="EZ17" s="100"/>
      <c r="FA17" s="99"/>
      <c r="FB17" s="100"/>
      <c r="FC17" s="99"/>
      <c r="FD17" s="99"/>
      <c r="FE17" s="99"/>
      <c r="FF17" s="99"/>
      <c r="FG17" s="99"/>
      <c r="FH17" s="99"/>
      <c r="FI17" s="99"/>
      <c r="FJ17" s="99"/>
      <c r="FK17" s="99"/>
      <c r="FL17" s="99"/>
      <c r="FM17" s="99"/>
      <c r="FN17" s="100"/>
      <c r="FO17" s="100"/>
      <c r="FP17" s="99"/>
      <c r="FQ17" s="100"/>
      <c r="FR17" s="99"/>
      <c r="FS17" s="100"/>
      <c r="FT17" s="99"/>
      <c r="FU17" s="99"/>
      <c r="FV17" s="99"/>
      <c r="FW17" s="99"/>
      <c r="FX17" s="99"/>
      <c r="FY17" s="99"/>
      <c r="FZ17" s="99"/>
      <c r="GA17" s="99">
        <f>(FZ17)*a14a!$J$54/1000000</f>
        <v>0</v>
      </c>
      <c r="GB17" s="99"/>
      <c r="GC17" s="99"/>
      <c r="GD17" s="99"/>
      <c r="GE17" s="100"/>
      <c r="GF17" s="100"/>
    </row>
    <row r="18" spans="1:188" s="26" customFormat="1" ht="16.5" customHeight="1">
      <c r="A18" s="202">
        <v>1981</v>
      </c>
      <c r="B18" s="99">
        <v>4177</v>
      </c>
      <c r="C18" s="168">
        <f>B18*a14a!$E$4/1000000</f>
        <v>295.46438204607807</v>
      </c>
      <c r="D18" s="99">
        <v>9647.9</v>
      </c>
      <c r="E18" s="168">
        <f>D18*a14a!$F$4/1000000</f>
        <v>853.06763572610623</v>
      </c>
      <c r="F18" s="99"/>
      <c r="G18" s="99"/>
      <c r="H18" s="99">
        <v>1498.4</v>
      </c>
      <c r="I18" s="168">
        <f>H18*a14a!$H$4/1000000</f>
        <v>182.78156820485287</v>
      </c>
      <c r="J18" s="99">
        <v>1895.3</v>
      </c>
      <c r="K18" s="168">
        <f>J18*a14a!$I$4/1000000</f>
        <v>248.1308984708372</v>
      </c>
      <c r="L18" s="99">
        <v>1595.5</v>
      </c>
      <c r="M18" s="168">
        <f>L18*a14a!$J$4/1000000</f>
        <v>323.68075033298584</v>
      </c>
      <c r="N18" s="99">
        <v>18814.400000000001</v>
      </c>
      <c r="O18" s="99">
        <f t="shared" si="28"/>
        <v>1903.12523478086</v>
      </c>
      <c r="P18" s="168">
        <f>'a1'!F19/1000</f>
        <v>24819.915000000001</v>
      </c>
      <c r="Q18" s="100">
        <f t="shared" si="5"/>
        <v>76677.346992560604</v>
      </c>
      <c r="R18" s="168">
        <f>Q18/'a8'!C$39*100</f>
        <v>77530.178961133061</v>
      </c>
      <c r="S18" s="99">
        <v>138.4</v>
      </c>
      <c r="T18" s="100">
        <f>(S18)*a14a!$E$9/1000000</f>
        <v>9.4099680829173735</v>
      </c>
      <c r="U18" s="99">
        <v>174.4</v>
      </c>
      <c r="V18" s="100">
        <f>(U18)*a14a!$F$9/1000000</f>
        <v>14.822059552572162</v>
      </c>
      <c r="W18" s="99"/>
      <c r="X18" s="99"/>
      <c r="Y18" s="99">
        <v>24.9</v>
      </c>
      <c r="Z18" s="99">
        <f>(Y18)*a14a!$H$9/1000000</f>
        <v>3.0941387153304496</v>
      </c>
      <c r="AA18" s="99">
        <v>43.9</v>
      </c>
      <c r="AB18" s="99">
        <f>(AA18)*a14a!$I$9/1000000</f>
        <v>6.4976047025796628</v>
      </c>
      <c r="AC18" s="99">
        <v>21.6</v>
      </c>
      <c r="AD18" s="99">
        <f>(AC18)*a14a!$J$9/1000000</f>
        <v>4.5292981531987939</v>
      </c>
      <c r="AE18" s="99">
        <v>401.8</v>
      </c>
      <c r="AF18" s="99">
        <f t="shared" si="8"/>
        <v>38.353069206598441</v>
      </c>
      <c r="AG18" s="99">
        <f>'a1'!L19/1000</f>
        <v>575.30200000000002</v>
      </c>
      <c r="AH18" s="100">
        <f t="shared" si="9"/>
        <v>66665.975794623417</v>
      </c>
      <c r="AI18" s="100">
        <f>AH18/'a8'!I$39*100</f>
        <v>66933.710637172117</v>
      </c>
      <c r="AJ18" s="99">
        <v>24</v>
      </c>
      <c r="AK18" s="100">
        <f>(AJ18)*a14a!$E$14/1000000</f>
        <v>1.3501988792522888</v>
      </c>
      <c r="AL18" s="99">
        <v>47.5</v>
      </c>
      <c r="AM18" s="100">
        <f>(AL18)*a14a!$F$14/1000000</f>
        <v>3.3403357689835271</v>
      </c>
      <c r="AN18" s="99"/>
      <c r="AO18" s="99"/>
      <c r="AP18" s="99">
        <v>6.5</v>
      </c>
      <c r="AQ18" s="99">
        <f>(AP18)*a14a!$H$14/1000000</f>
        <v>0.70647169538303023</v>
      </c>
      <c r="AR18" s="99">
        <v>6.8</v>
      </c>
      <c r="AS18" s="99">
        <f>(AR18)*a14a!$I$14/1000000</f>
        <v>0.96882157654244139</v>
      </c>
      <c r="AT18" s="99">
        <v>5.9</v>
      </c>
      <c r="AU18" s="99">
        <f>(AT18)*a14a!$J$14/1000000</f>
        <v>1.0748433177778074</v>
      </c>
      <c r="AV18" s="99">
        <v>90.5</v>
      </c>
      <c r="AW18" s="99">
        <f t="shared" si="10"/>
        <v>7.4406712379390942</v>
      </c>
      <c r="AX18" s="99">
        <f>'a1'!R19/1000</f>
        <v>123.551</v>
      </c>
      <c r="AY18" s="100">
        <f t="shared" si="11"/>
        <v>60223.480489345238</v>
      </c>
      <c r="AZ18" s="100">
        <f>AY18/'a8'!O$39*100</f>
        <v>62022.122028161939</v>
      </c>
      <c r="BA18" s="99">
        <v>141.9</v>
      </c>
      <c r="BB18" s="100">
        <f>(BA18)*a14a!$E$19/1000000</f>
        <v>8.4488529579333775</v>
      </c>
      <c r="BC18" s="99">
        <v>341.7</v>
      </c>
      <c r="BD18" s="100">
        <f>(BC18)*a14a!$F$19/1000000</f>
        <v>25.431404648747662</v>
      </c>
      <c r="BE18" s="99"/>
      <c r="BF18" s="99"/>
      <c r="BG18" s="99">
        <v>40.700000000000003</v>
      </c>
      <c r="BH18" s="99">
        <f>(BG18)*a14a!$H$19/1000000</f>
        <v>4.3014842673174796</v>
      </c>
      <c r="BI18" s="99">
        <v>62.3</v>
      </c>
      <c r="BJ18" s="99">
        <f>(BI18)*a14a!$I$19/1000000</f>
        <v>7.3898609509906441</v>
      </c>
      <c r="BK18" s="99">
        <v>47.7</v>
      </c>
      <c r="BL18" s="99">
        <f>(BK18)*a14a!$J$19/1000000</f>
        <v>8.5768721845188889</v>
      </c>
      <c r="BM18" s="99">
        <v>632.70000000000005</v>
      </c>
      <c r="BN18" s="99">
        <f t="shared" si="12"/>
        <v>54.148475009508054</v>
      </c>
      <c r="BO18" s="99">
        <f>'a1'!X19/1000</f>
        <v>854.87099999999998</v>
      </c>
      <c r="BP18" s="100">
        <f t="shared" si="13"/>
        <v>63341.106447064005</v>
      </c>
      <c r="BQ18" s="100">
        <f>BP18/'a8'!U$39*100</f>
        <v>63659.403464385934</v>
      </c>
      <c r="BR18" s="99">
        <v>152.4</v>
      </c>
      <c r="BS18" s="100">
        <f>(BR18)*a14a!$E$24/1000000</f>
        <v>9.4041655879228294</v>
      </c>
      <c r="BT18" s="99">
        <v>250.6</v>
      </c>
      <c r="BU18" s="100">
        <f>(BT18)*a14a!$F$24/1000000</f>
        <v>19.329756367564478</v>
      </c>
      <c r="BV18" s="99"/>
      <c r="BW18" s="99"/>
      <c r="BX18" s="99">
        <v>34.5</v>
      </c>
      <c r="BY18" s="99">
        <f>(BX18)*a14a!$H$24/1000000</f>
        <v>3.9966551324937623</v>
      </c>
      <c r="BZ18" s="99">
        <v>46.3</v>
      </c>
      <c r="CA18" s="99">
        <f>(BZ18)*a14a!$I$24/1000000</f>
        <v>6.9335711432774279</v>
      </c>
      <c r="CB18" s="99">
        <v>35</v>
      </c>
      <c r="CC18" s="99">
        <f>(CB18)*a14a!$J$24/1000000</f>
        <v>6.3848196983454013</v>
      </c>
      <c r="CD18" s="99">
        <v>517</v>
      </c>
      <c r="CE18" s="99">
        <f t="shared" si="14"/>
        <v>46.048967929603897</v>
      </c>
      <c r="CF18" s="99">
        <f>'a1'!AD19/1000</f>
        <v>706.43799999999999</v>
      </c>
      <c r="CG18" s="100">
        <f t="shared" si="15"/>
        <v>65184.726656272593</v>
      </c>
      <c r="CH18" s="100">
        <f>CG18/'a8'!AA$39*100</f>
        <v>63781.532931773574</v>
      </c>
      <c r="CI18" s="99">
        <v>1463.6</v>
      </c>
      <c r="CJ18" s="100">
        <f>(CI18)*a14a!$E$29/1000000</f>
        <v>105.43351217626594</v>
      </c>
      <c r="CK18" s="99">
        <v>2380</v>
      </c>
      <c r="CL18" s="100">
        <f>(CK18)*a14a!$F$29/1000000</f>
        <v>214.31039814456901</v>
      </c>
      <c r="CM18" s="99"/>
      <c r="CN18" s="99"/>
      <c r="CO18" s="99">
        <v>305.7</v>
      </c>
      <c r="CP18" s="99">
        <f>(CO18)*a14a!$H$29/1000000</f>
        <v>38.176697996091633</v>
      </c>
      <c r="CQ18" s="99">
        <v>542.70000000000005</v>
      </c>
      <c r="CR18" s="99">
        <f>(CQ18)*a14a!$I$29/1000000</f>
        <v>74.199739023364813</v>
      </c>
      <c r="CS18" s="99">
        <v>368.2</v>
      </c>
      <c r="CT18" s="99">
        <f>(CS18)*a14a!$J$29/1000000</f>
        <v>75.355360474063403</v>
      </c>
      <c r="CU18" s="99">
        <v>5042.3999999999996</v>
      </c>
      <c r="CV18" s="99">
        <f t="shared" si="16"/>
        <v>507.47570781435485</v>
      </c>
      <c r="CW18" s="99">
        <f>'a1'!AJ19/1000</f>
        <v>6547.2070000000003</v>
      </c>
      <c r="CX18" s="100">
        <f t="shared" si="17"/>
        <v>77510.258620867622</v>
      </c>
      <c r="CY18" s="100">
        <f>CX18/'a8'!AG$39*100</f>
        <v>78931.016925527103</v>
      </c>
      <c r="CZ18" s="99">
        <v>1387.9</v>
      </c>
      <c r="DA18" s="100">
        <f>(CZ18)*a14a!$E$34/1000000</f>
        <v>93.572063101665137</v>
      </c>
      <c r="DB18" s="99">
        <v>3523.3</v>
      </c>
      <c r="DC18" s="100">
        <f>(DB18)*a14a!$F$34/1000000</f>
        <v>296.92561597205918</v>
      </c>
      <c r="DD18" s="99"/>
      <c r="DE18" s="99"/>
      <c r="DF18" s="99">
        <v>586.6</v>
      </c>
      <c r="DG18" s="99">
        <f>(DF18)*a14a!$H$34/1000000</f>
        <v>67.22069617814752</v>
      </c>
      <c r="DH18" s="99">
        <v>662.6</v>
      </c>
      <c r="DI18" s="99">
        <f>(DH18)*a14a!$I$34/1000000</f>
        <v>80.805871832229656</v>
      </c>
      <c r="DJ18" s="99">
        <v>649.29999999999995</v>
      </c>
      <c r="DK18" s="99">
        <f>(DJ18)*a14a!$J$34/1000000</f>
        <v>119.28409200720057</v>
      </c>
      <c r="DL18" s="99">
        <v>6786.6</v>
      </c>
      <c r="DM18" s="99">
        <f t="shared" si="18"/>
        <v>657.80833909130206</v>
      </c>
      <c r="DN18" s="99">
        <f>'a1'!AP19/1000</f>
        <v>8812.2860000000001</v>
      </c>
      <c r="DO18" s="100">
        <f t="shared" si="19"/>
        <v>74646.73060898183</v>
      </c>
      <c r="DP18" s="100">
        <f>DO18/'a8'!AM$39*100</f>
        <v>76247.937292116258</v>
      </c>
      <c r="DQ18" s="99">
        <v>173</v>
      </c>
      <c r="DR18" s="100">
        <f>(DQ18)*a14a!$E$39/1000000</f>
        <v>15.469016179705584</v>
      </c>
      <c r="DS18" s="99">
        <v>398.3</v>
      </c>
      <c r="DT18" s="100">
        <f>(DS18)*a14a!$F$39/1000000</f>
        <v>44.518129655901262</v>
      </c>
      <c r="DU18" s="99"/>
      <c r="DV18" s="99"/>
      <c r="DW18" s="99">
        <v>63</v>
      </c>
      <c r="DX18" s="99">
        <f>(DW18)*a14a!$H$39/1000000</f>
        <v>9.5357555379404033</v>
      </c>
      <c r="DY18" s="99">
        <v>67.2</v>
      </c>
      <c r="DZ18" s="99">
        <f>(DY18)*a14a!$I$39/1000000</f>
        <v>11.295646894541957</v>
      </c>
      <c r="EA18" s="99">
        <v>65.8</v>
      </c>
      <c r="EB18" s="99">
        <f>(EA18)*a14a!$J$39/1000000</f>
        <v>14.579853189162151</v>
      </c>
      <c r="EC18" s="99">
        <v>765.5</v>
      </c>
      <c r="ED18" s="99">
        <f t="shared" si="20"/>
        <v>95.398401457251367</v>
      </c>
      <c r="EE18" s="99">
        <f>'a1'!AV19/1000</f>
        <v>1035.5450000000001</v>
      </c>
      <c r="EF18" s="100">
        <f t="shared" si="21"/>
        <v>92123.85889290311</v>
      </c>
      <c r="EG18" s="100">
        <f>EF18/'a8'!AS$39*100</f>
        <v>94292.588426717615</v>
      </c>
      <c r="EH18" s="99">
        <v>171.1</v>
      </c>
      <c r="EI18" s="100">
        <f>(EH18)*a14a!$E$44/1000000</f>
        <v>13.650078283646923</v>
      </c>
      <c r="EJ18" s="99">
        <v>366.1</v>
      </c>
      <c r="EK18" s="100">
        <f>(EJ18)*a14a!$F$44/1000000</f>
        <v>36.508574369105339</v>
      </c>
      <c r="EL18" s="99"/>
      <c r="EM18" s="99"/>
      <c r="EN18" s="99">
        <v>52.8</v>
      </c>
      <c r="EO18" s="99">
        <f>(EN18)*a14a!$H$44/1000000</f>
        <v>8.0766139561997043</v>
      </c>
      <c r="EP18" s="99">
        <v>73.7</v>
      </c>
      <c r="EQ18" s="99">
        <f>(EP18)*a14a!$I$44/1000000</f>
        <v>12.119351620411386</v>
      </c>
      <c r="ER18" s="99">
        <v>47.5</v>
      </c>
      <c r="ES18" s="99">
        <f>(ER18)*a14a!$J$44/1000000</f>
        <v>16.184127808620531</v>
      </c>
      <c r="ET18" s="99">
        <v>709.1</v>
      </c>
      <c r="EU18" s="99">
        <f t="shared" si="22"/>
        <v>86.538746037983884</v>
      </c>
      <c r="EV18" s="99">
        <f>'a1'!BB19/1000</f>
        <v>975.75900000000001</v>
      </c>
      <c r="EW18" s="100">
        <f t="shared" si="23"/>
        <v>88688.647543075582</v>
      </c>
      <c r="EX18" s="100">
        <f>EW18/'a8'!AY$39*100</f>
        <v>92287.874654605184</v>
      </c>
      <c r="EY18" s="99">
        <v>228</v>
      </c>
      <c r="EZ18" s="100">
        <f>(EY18)*a14a!$E$49/1000000</f>
        <v>15.405907829002226</v>
      </c>
      <c r="FA18" s="99">
        <v>957.2</v>
      </c>
      <c r="FB18" s="100">
        <f>(FA18)*a14a!$F$49/1000000</f>
        <v>80.847231216671759</v>
      </c>
      <c r="FC18" s="99"/>
      <c r="FD18" s="99"/>
      <c r="FE18" s="99">
        <v>157</v>
      </c>
      <c r="FF18" s="99">
        <f>(FE18)*a14a!$H$49/1000000</f>
        <v>18.479960435002653</v>
      </c>
      <c r="FG18" s="99">
        <v>200.1</v>
      </c>
      <c r="FH18" s="99">
        <f>(FG18)*a14a!$I$49/1000000</f>
        <v>24.269333613481304</v>
      </c>
      <c r="FI18" s="99">
        <v>168.3</v>
      </c>
      <c r="FJ18" s="99">
        <f>(FI18)*a14a!$J$49/1000000</f>
        <v>36.192445777943888</v>
      </c>
      <c r="FK18" s="99">
        <v>1702.3</v>
      </c>
      <c r="FL18" s="99">
        <f t="shared" si="24"/>
        <v>175.19487887210181</v>
      </c>
      <c r="FM18" s="99">
        <f>'a1'!BH19/1000</f>
        <v>2291.1039999999998</v>
      </c>
      <c r="FN18" s="100">
        <f t="shared" si="25"/>
        <v>76467.449261186674</v>
      </c>
      <c r="FO18" s="100">
        <f>FN18/'a8'!BE$39*100</f>
        <v>74529.677642482144</v>
      </c>
      <c r="FP18" s="99">
        <v>286.89999999999998</v>
      </c>
      <c r="FQ18" s="100">
        <f>(FP18)*a14a!$E$54/1000000</f>
        <v>22.355949156860355</v>
      </c>
      <c r="FR18" s="99">
        <v>1244.0999999999999</v>
      </c>
      <c r="FS18" s="100">
        <f>(FR18)*a14a!$F$54/1000000</f>
        <v>121.17914058055929</v>
      </c>
      <c r="FT18" s="99"/>
      <c r="FU18" s="99"/>
      <c r="FV18" s="99">
        <v>238.1</v>
      </c>
      <c r="FW18" s="99">
        <f>(FV18)*a14a!$H$54/1000000</f>
        <v>32.159838723095007</v>
      </c>
      <c r="FX18" s="99">
        <v>199.3</v>
      </c>
      <c r="FY18" s="99">
        <f>(FX18)*a14a!$I$54/1000000</f>
        <v>28.055727444325161</v>
      </c>
      <c r="FZ18" s="99">
        <v>209</v>
      </c>
      <c r="GA18" s="99">
        <f>(FZ18)*a14a!$J$54/1000000</f>
        <v>49.953934841224601</v>
      </c>
      <c r="GB18" s="99">
        <v>2166.5</v>
      </c>
      <c r="GC18" s="99">
        <f t="shared" si="26"/>
        <v>253.70459074606438</v>
      </c>
      <c r="GD18" s="99">
        <f>'a1'!BN19/1000</f>
        <v>2826.558</v>
      </c>
      <c r="GE18" s="100">
        <f t="shared" si="27"/>
        <v>89757.433155825696</v>
      </c>
      <c r="GF18" s="100">
        <f>GE18/'a8'!BK$39*100</f>
        <v>89667.765390435263</v>
      </c>
    </row>
    <row r="19" spans="1:188" s="26" customFormat="1" ht="16.5" customHeight="1">
      <c r="A19" s="202">
        <v>1982</v>
      </c>
      <c r="B19" s="99">
        <v>4068.2</v>
      </c>
      <c r="C19" s="168">
        <f>B19*a14a!$E$4/1000000</f>
        <v>287.76830237966362</v>
      </c>
      <c r="D19" s="99">
        <v>9757.2999999999993</v>
      </c>
      <c r="E19" s="168">
        <f>D19*a14a!$F$4/1000000</f>
        <v>862.7407873288837</v>
      </c>
      <c r="F19" s="99"/>
      <c r="G19" s="99"/>
      <c r="H19" s="99">
        <v>1587.3</v>
      </c>
      <c r="I19" s="168">
        <f>H19*a14a!$H$4/1000000</f>
        <v>193.62598986356309</v>
      </c>
      <c r="J19" s="99">
        <v>1991.1</v>
      </c>
      <c r="K19" s="168">
        <f>J19*a14a!$I$4/1000000</f>
        <v>260.67294462369227</v>
      </c>
      <c r="L19" s="99">
        <v>1699.2</v>
      </c>
      <c r="M19" s="168">
        <f>L19*a14a!$J$4/1000000</f>
        <v>344.7184775718016</v>
      </c>
      <c r="N19" s="99">
        <v>19103.400000000001</v>
      </c>
      <c r="O19" s="99">
        <f t="shared" si="28"/>
        <v>1949.5265017676043</v>
      </c>
      <c r="P19" s="168">
        <f>'a1'!F20/1000</f>
        <v>25116.941999999999</v>
      </c>
      <c r="Q19" s="100">
        <f t="shared" si="5"/>
        <v>77617.987960779792</v>
      </c>
      <c r="R19" s="168">
        <f>Q19/'a8'!C$39*100</f>
        <v>78481.282063478051</v>
      </c>
      <c r="S19" s="99">
        <v>129.4</v>
      </c>
      <c r="T19" s="100">
        <f>(S19)*a14a!$E$9/1000000</f>
        <v>8.7980481931322831</v>
      </c>
      <c r="U19" s="99">
        <v>178.2</v>
      </c>
      <c r="V19" s="100">
        <f>(U19)*a14a!$F$9/1000000</f>
        <v>15.145017272180958</v>
      </c>
      <c r="W19" s="99"/>
      <c r="X19" s="99"/>
      <c r="Y19" s="99">
        <v>30.1</v>
      </c>
      <c r="Z19" s="99">
        <f>(Y19)*a14a!$H$9/1000000</f>
        <v>3.7403042301785758</v>
      </c>
      <c r="AA19" s="99">
        <v>46.9</v>
      </c>
      <c r="AB19" s="99">
        <f>(AA19)*a14a!$I$9/1000000</f>
        <v>6.941632358792396</v>
      </c>
      <c r="AC19" s="99">
        <v>23.4</v>
      </c>
      <c r="AD19" s="99">
        <f>(AC19)*a14a!$J$9/1000000</f>
        <v>4.9067396659653584</v>
      </c>
      <c r="AE19" s="99">
        <v>406.5</v>
      </c>
      <c r="AF19" s="99">
        <f t="shared" si="8"/>
        <v>39.53174172024957</v>
      </c>
      <c r="AG19" s="99">
        <f>'a1'!L20/1000</f>
        <v>573.79499999999996</v>
      </c>
      <c r="AH19" s="100">
        <f t="shared" si="9"/>
        <v>68895.23561594222</v>
      </c>
      <c r="AI19" s="100">
        <f>AH19/'a8'!I$39*100</f>
        <v>69171.923309178936</v>
      </c>
      <c r="AJ19" s="99">
        <v>23.5</v>
      </c>
      <c r="AK19" s="100">
        <f>(AJ19)*a14a!$E$14/1000000</f>
        <v>1.3220697359345328</v>
      </c>
      <c r="AL19" s="99">
        <v>46.9</v>
      </c>
      <c r="AM19" s="100">
        <f>(AL19)*a14a!$F$14/1000000</f>
        <v>3.2981420540068926</v>
      </c>
      <c r="AN19" s="99"/>
      <c r="AO19" s="99"/>
      <c r="AP19" s="99">
        <v>7.7</v>
      </c>
      <c r="AQ19" s="99">
        <f>(AP19)*a14a!$H$14/1000000</f>
        <v>0.83689723914605108</v>
      </c>
      <c r="AR19" s="99">
        <v>7.5</v>
      </c>
      <c r="AS19" s="99">
        <f>(AR19)*a14a!$I$14/1000000</f>
        <v>1.0685532094218104</v>
      </c>
      <c r="AT19" s="99">
        <v>5.8</v>
      </c>
      <c r="AU19" s="99">
        <f>(AT19)*a14a!$J$14/1000000</f>
        <v>1.0566256344256411</v>
      </c>
      <c r="AV19" s="99">
        <v>91.1</v>
      </c>
      <c r="AW19" s="99">
        <f t="shared" si="10"/>
        <v>7.5822878729349279</v>
      </c>
      <c r="AX19" s="99">
        <f>'a1'!R20/1000</f>
        <v>123.58799999999999</v>
      </c>
      <c r="AY19" s="100">
        <f t="shared" si="11"/>
        <v>61351.327579821082</v>
      </c>
      <c r="AZ19" s="100">
        <f>AY19/'a8'!O$39*100</f>
        <v>63183.653532256525</v>
      </c>
      <c r="BA19" s="99">
        <v>142.80000000000001</v>
      </c>
      <c r="BB19" s="100">
        <f>(BA19)*a14a!$E$19/1000000</f>
        <v>8.5024397631633981</v>
      </c>
      <c r="BC19" s="99">
        <v>344.2</v>
      </c>
      <c r="BD19" s="100">
        <f>(BC19)*a14a!$F$19/1000000</f>
        <v>25.61746994468524</v>
      </c>
      <c r="BE19" s="99"/>
      <c r="BF19" s="99"/>
      <c r="BG19" s="99">
        <v>40.4</v>
      </c>
      <c r="BH19" s="99">
        <f>(BG19)*a14a!$H$19/1000000</f>
        <v>4.2697779950768089</v>
      </c>
      <c r="BI19" s="99">
        <v>62.5</v>
      </c>
      <c r="BJ19" s="99">
        <f>(BI19)*a14a!$I$19/1000000</f>
        <v>7.4135844211382871</v>
      </c>
      <c r="BK19" s="99">
        <v>51.6</v>
      </c>
      <c r="BL19" s="99">
        <f>(BK19)*a14a!$J$19/1000000</f>
        <v>9.2781258851399286</v>
      </c>
      <c r="BM19" s="99">
        <v>639.79999999999995</v>
      </c>
      <c r="BN19" s="99">
        <f t="shared" si="12"/>
        <v>55.08139800920366</v>
      </c>
      <c r="BO19" s="99">
        <f>'a1'!X20/1000</f>
        <v>859.03800000000001</v>
      </c>
      <c r="BP19" s="100">
        <f t="shared" si="13"/>
        <v>64119.861995864754</v>
      </c>
      <c r="BQ19" s="100">
        <f>BP19/'a8'!U$39*100</f>
        <v>64442.072357653022</v>
      </c>
      <c r="BR19" s="99">
        <v>152.30000000000001</v>
      </c>
      <c r="BS19" s="100">
        <f>(BR19)*a14a!$E$24/1000000</f>
        <v>9.3979948755947973</v>
      </c>
      <c r="BT19" s="99">
        <v>251.4</v>
      </c>
      <c r="BU19" s="100">
        <f>(BT19)*a14a!$F$24/1000000</f>
        <v>19.391463490844814</v>
      </c>
      <c r="BV19" s="99"/>
      <c r="BW19" s="99"/>
      <c r="BX19" s="99">
        <v>36.200000000000003</v>
      </c>
      <c r="BY19" s="99">
        <f>(BX19)*a14a!$H$24/1000000</f>
        <v>4.193591762210847</v>
      </c>
      <c r="BZ19" s="99">
        <v>49.3</v>
      </c>
      <c r="CA19" s="99">
        <f>(BZ19)*a14a!$I$24/1000000</f>
        <v>7.3828306126042591</v>
      </c>
      <c r="CB19" s="99">
        <v>35</v>
      </c>
      <c r="CC19" s="99">
        <f>(CB19)*a14a!$J$24/1000000</f>
        <v>6.3848196983454013</v>
      </c>
      <c r="CD19" s="99">
        <v>522.20000000000005</v>
      </c>
      <c r="CE19" s="99">
        <f t="shared" si="14"/>
        <v>46.750700439600124</v>
      </c>
      <c r="CF19" s="99">
        <f>'a1'!AD20/1000</f>
        <v>707.45699999999999</v>
      </c>
      <c r="CG19" s="100">
        <f t="shared" si="15"/>
        <v>66082.744872974785</v>
      </c>
      <c r="CH19" s="100">
        <f>CG19/'a8'!AA$39*100</f>
        <v>64660.220032264951</v>
      </c>
      <c r="CI19" s="99">
        <v>1436.6</v>
      </c>
      <c r="CJ19" s="100">
        <f>(CI19)*a14a!$E$29/1000000</f>
        <v>103.48851024352531</v>
      </c>
      <c r="CK19" s="99">
        <v>2393.4</v>
      </c>
      <c r="CL19" s="100">
        <f>(CK19)*a14a!$F$29/1000000</f>
        <v>215.5170197139544</v>
      </c>
      <c r="CM19" s="99"/>
      <c r="CN19" s="99"/>
      <c r="CO19" s="99">
        <v>334</v>
      </c>
      <c r="CP19" s="99">
        <f>(CO19)*a14a!$H$29/1000000</f>
        <v>41.710883646367698</v>
      </c>
      <c r="CQ19" s="99">
        <v>559</v>
      </c>
      <c r="CR19" s="99">
        <f>(CQ19)*a14a!$I$29/1000000</f>
        <v>76.428328936909764</v>
      </c>
      <c r="CS19" s="99">
        <v>381.1</v>
      </c>
      <c r="CT19" s="99">
        <f>(CS19)*a14a!$J$29/1000000</f>
        <v>77.995458654713644</v>
      </c>
      <c r="CU19" s="99">
        <v>5085.3</v>
      </c>
      <c r="CV19" s="99">
        <f t="shared" si="16"/>
        <v>515.14020119547081</v>
      </c>
      <c r="CW19" s="99">
        <f>'a1'!AJ20/1000</f>
        <v>6580.6310000000003</v>
      </c>
      <c r="CX19" s="100">
        <f t="shared" si="17"/>
        <v>78281.277463433347</v>
      </c>
      <c r="CY19" s="100">
        <f>CX19/'a8'!AG$39*100</f>
        <v>79716.168496367973</v>
      </c>
      <c r="CZ19" s="99">
        <v>1329.7</v>
      </c>
      <c r="DA19" s="100">
        <f>(CZ19)*a14a!$E$34/1000000</f>
        <v>89.648225597149747</v>
      </c>
      <c r="DB19" s="99">
        <v>3583.6</v>
      </c>
      <c r="DC19" s="100">
        <f>(DB19)*a14a!$F$34/1000000</f>
        <v>302.00739005973696</v>
      </c>
      <c r="DD19" s="99"/>
      <c r="DE19" s="99"/>
      <c r="DF19" s="99">
        <v>613.4</v>
      </c>
      <c r="DG19" s="99">
        <f>(DF19)*a14a!$H$34/1000000</f>
        <v>70.291808789082324</v>
      </c>
      <c r="DH19" s="99">
        <v>702.7</v>
      </c>
      <c r="DI19" s="99">
        <f>(DH19)*a14a!$I$34/1000000</f>
        <v>85.696175877615119</v>
      </c>
      <c r="DJ19" s="99">
        <v>693.4</v>
      </c>
      <c r="DK19" s="99">
        <f>(DJ19)*a14a!$J$34/1000000</f>
        <v>127.38578376373461</v>
      </c>
      <c r="DL19" s="99">
        <v>6897.6</v>
      </c>
      <c r="DM19" s="99">
        <f t="shared" si="18"/>
        <v>675.0293840873187</v>
      </c>
      <c r="DN19" s="99">
        <f>'a1'!AP20/1000</f>
        <v>8920.2880000000005</v>
      </c>
      <c r="DO19" s="100">
        <f t="shared" si="19"/>
        <v>75673.496650255984</v>
      </c>
      <c r="DP19" s="100">
        <f>DO19/'a8'!AM$39*100</f>
        <v>77296.727936931537</v>
      </c>
      <c r="DQ19" s="99">
        <v>163.5</v>
      </c>
      <c r="DR19" s="100">
        <f>(DQ19)*a14a!$E$39/1000000</f>
        <v>14.619561533999208</v>
      </c>
      <c r="DS19" s="99">
        <v>407.2</v>
      </c>
      <c r="DT19" s="100">
        <f>(DS19)*a14a!$F$39/1000000</f>
        <v>45.512885754162667</v>
      </c>
      <c r="DU19" s="99"/>
      <c r="DV19" s="99"/>
      <c r="DW19" s="99">
        <v>67.599999999999994</v>
      </c>
      <c r="DX19" s="99">
        <f>(DW19)*a14a!$H$39/1000000</f>
        <v>10.232017053409066</v>
      </c>
      <c r="DY19" s="99">
        <v>69.400000000000006</v>
      </c>
      <c r="DZ19" s="99">
        <f>(DY19)*a14a!$I$39/1000000</f>
        <v>11.665444858351366</v>
      </c>
      <c r="EA19" s="99">
        <v>68.599999999999994</v>
      </c>
      <c r="EB19" s="99">
        <f>(EA19)*a14a!$J$39/1000000</f>
        <v>15.200272473807347</v>
      </c>
      <c r="EC19" s="99">
        <v>774.4</v>
      </c>
      <c r="ED19" s="99">
        <f t="shared" si="20"/>
        <v>97.230181673729646</v>
      </c>
      <c r="EE19" s="99">
        <f>'a1'!AV20/1000</f>
        <v>1045.2239999999999</v>
      </c>
      <c r="EF19" s="100">
        <f t="shared" si="21"/>
        <v>93023.296129566152</v>
      </c>
      <c r="EG19" s="100">
        <f>EF19/'a8'!AS$39*100</f>
        <v>95213.199723199737</v>
      </c>
      <c r="EH19" s="99">
        <v>162</v>
      </c>
      <c r="EI19" s="100">
        <f>(EH19)*a14a!$E$44/1000000</f>
        <v>12.924095160437179</v>
      </c>
      <c r="EJ19" s="99">
        <v>371.8</v>
      </c>
      <c r="EK19" s="100">
        <f>(EJ19)*a14a!$F$44/1000000</f>
        <v>37.076995221069005</v>
      </c>
      <c r="EL19" s="99"/>
      <c r="EM19" s="99"/>
      <c r="EN19" s="99">
        <v>59.7</v>
      </c>
      <c r="EO19" s="99">
        <f>(EN19)*a14a!$H$44/1000000</f>
        <v>9.1320805527485298</v>
      </c>
      <c r="EP19" s="99">
        <v>77.5</v>
      </c>
      <c r="EQ19" s="99">
        <f>(EP19)*a14a!$I$44/1000000</f>
        <v>12.744229994326762</v>
      </c>
      <c r="ER19" s="99">
        <v>49.9</v>
      </c>
      <c r="ES19" s="99">
        <f>(ER19)*a14a!$J$44/1000000</f>
        <v>17.001852161056092</v>
      </c>
      <c r="ET19" s="99">
        <v>718.6</v>
      </c>
      <c r="EU19" s="99">
        <f t="shared" si="22"/>
        <v>88.879253089637572</v>
      </c>
      <c r="EV19" s="99">
        <f>'a1'!BB20/1000</f>
        <v>986.58199999999999</v>
      </c>
      <c r="EW19" s="100">
        <f t="shared" si="23"/>
        <v>90088.054606345511</v>
      </c>
      <c r="EX19" s="100">
        <f>EW19/'a8'!AY$39*100</f>
        <v>93744.073471743512</v>
      </c>
      <c r="EY19" s="99">
        <v>228</v>
      </c>
      <c r="EZ19" s="100">
        <f>(EY19)*a14a!$E$49/1000000</f>
        <v>15.405907829002226</v>
      </c>
      <c r="FA19" s="99">
        <v>975.6</v>
      </c>
      <c r="FB19" s="100">
        <f>(FA19)*a14a!$F$49/1000000</f>
        <v>82.401335953807958</v>
      </c>
      <c r="FC19" s="99"/>
      <c r="FD19" s="99"/>
      <c r="FE19" s="99">
        <v>165.4</v>
      </c>
      <c r="FF19" s="99">
        <f>(FE19)*a14a!$H$49/1000000</f>
        <v>19.468697171652476</v>
      </c>
      <c r="FG19" s="99">
        <v>209.7</v>
      </c>
      <c r="FH19" s="99">
        <f>(FG19)*a14a!$I$49/1000000</f>
        <v>25.433679454008143</v>
      </c>
      <c r="FI19" s="99">
        <v>188.7</v>
      </c>
      <c r="FJ19" s="99">
        <f>(FI19)*a14a!$J$49/1000000</f>
        <v>40.579408902543143</v>
      </c>
      <c r="FK19" s="99">
        <v>1759.2</v>
      </c>
      <c r="FL19" s="99">
        <f t="shared" si="24"/>
        <v>183.28902931101396</v>
      </c>
      <c r="FM19" s="99">
        <f>'a1'!BH20/1000</f>
        <v>2369.8270000000002</v>
      </c>
      <c r="FN19" s="100">
        <f t="shared" si="25"/>
        <v>77342.788866450559</v>
      </c>
      <c r="FO19" s="100">
        <f>FN19/'a8'!BE$39*100</f>
        <v>75382.835152485932</v>
      </c>
      <c r="FP19" s="99">
        <v>289.10000000000002</v>
      </c>
      <c r="FQ19" s="100">
        <f>(FP19)*a14a!$E$54/1000000</f>
        <v>22.527378533455316</v>
      </c>
      <c r="FR19" s="99">
        <v>1244</v>
      </c>
      <c r="FS19" s="100">
        <f>(FR19)*a14a!$F$54/1000000</f>
        <v>121.16940027507096</v>
      </c>
      <c r="FT19" s="99"/>
      <c r="FU19" s="99"/>
      <c r="FV19" s="99">
        <v>246.4</v>
      </c>
      <c r="FW19" s="99">
        <f>(FV19)*a14a!$H$54/1000000</f>
        <v>33.280908279590975</v>
      </c>
      <c r="FX19" s="99">
        <v>220.2</v>
      </c>
      <c r="FY19" s="99">
        <f>(FX19)*a14a!$I$54/1000000</f>
        <v>30.997848385551432</v>
      </c>
      <c r="FZ19" s="99">
        <v>220.9</v>
      </c>
      <c r="GA19" s="99">
        <f>(FZ19)*a14a!$J$54/1000000</f>
        <v>52.798201944624473</v>
      </c>
      <c r="GB19" s="99">
        <v>2208.9</v>
      </c>
      <c r="GC19" s="99">
        <f t="shared" si="26"/>
        <v>260.77373741829314</v>
      </c>
      <c r="GD19" s="99">
        <f>'a1'!BN20/1000</f>
        <v>2876.5129999999999</v>
      </c>
      <c r="GE19" s="100">
        <f t="shared" si="27"/>
        <v>90656.19985666436</v>
      </c>
      <c r="GF19" s="100">
        <f>GE19/'a8'!BK$39*100</f>
        <v>90565.63422244192</v>
      </c>
    </row>
    <row r="20" spans="1:188" s="26" customFormat="1" ht="16.5" customHeight="1">
      <c r="A20" s="202">
        <v>1983</v>
      </c>
      <c r="B20" s="99">
        <v>3991.4</v>
      </c>
      <c r="C20" s="168">
        <f>B20*a14a!$E$4/1000000</f>
        <v>282.33577555631229</v>
      </c>
      <c r="D20" s="99">
        <v>9710.9</v>
      </c>
      <c r="E20" s="168">
        <f>D20*a14a!$F$4/1000000</f>
        <v>858.63809780083182</v>
      </c>
      <c r="F20" s="99"/>
      <c r="G20" s="99"/>
      <c r="H20" s="99">
        <v>1700.5</v>
      </c>
      <c r="I20" s="168">
        <f>H20*a14a!$H$4/1000000</f>
        <v>207.43463476531787</v>
      </c>
      <c r="J20" s="99">
        <v>2115.6999999999998</v>
      </c>
      <c r="K20" s="168">
        <f>J20*a14a!$I$4/1000000</f>
        <v>276.98545976613218</v>
      </c>
      <c r="L20" s="99">
        <v>1836.4</v>
      </c>
      <c r="M20" s="168">
        <f>L20*a14a!$J$4/1000000</f>
        <v>372.55238477686942</v>
      </c>
      <c r="N20" s="99">
        <v>19355</v>
      </c>
      <c r="O20" s="99">
        <f t="shared" si="28"/>
        <v>1997.9463526654636</v>
      </c>
      <c r="P20" s="168">
        <f>'a1'!F21/1000</f>
        <v>25366.451000000001</v>
      </c>
      <c r="Q20" s="100">
        <f t="shared" si="5"/>
        <v>78763.337948436834</v>
      </c>
      <c r="R20" s="168">
        <f>Q20/'a8'!C$39*100</f>
        <v>79639.371029764225</v>
      </c>
      <c r="S20" s="99">
        <v>129.1</v>
      </c>
      <c r="T20" s="100">
        <f>(S20)*a14a!$E$9/1000000</f>
        <v>8.7776508634727808</v>
      </c>
      <c r="U20" s="99">
        <v>178.5</v>
      </c>
      <c r="V20" s="100">
        <f>(U20)*a14a!$F$9/1000000</f>
        <v>15.170513934255338</v>
      </c>
      <c r="W20" s="99"/>
      <c r="X20" s="99"/>
      <c r="Y20" s="99">
        <v>32.700000000000003</v>
      </c>
      <c r="Z20" s="99">
        <f>(Y20)*a14a!$H$9/1000000</f>
        <v>4.0633869876026392</v>
      </c>
      <c r="AA20" s="99">
        <v>49.8</v>
      </c>
      <c r="AB20" s="99">
        <f>(AA20)*a14a!$I$9/1000000</f>
        <v>7.3708590931313713</v>
      </c>
      <c r="AC20" s="99">
        <v>25.2</v>
      </c>
      <c r="AD20" s="99">
        <f>(AC20)*a14a!$J$9/1000000</f>
        <v>5.2841811787319246</v>
      </c>
      <c r="AE20" s="99">
        <v>413.8</v>
      </c>
      <c r="AF20" s="99">
        <f t="shared" si="8"/>
        <v>40.666592057194059</v>
      </c>
      <c r="AG20" s="99">
        <f>'a1'!L21/1000</f>
        <v>579.16399999999999</v>
      </c>
      <c r="AH20" s="100">
        <f t="shared" si="9"/>
        <v>70216.021812809602</v>
      </c>
      <c r="AI20" s="100">
        <f>AH20/'a8'!I$39*100</f>
        <v>70498.013868282738</v>
      </c>
      <c r="AJ20" s="99">
        <v>22.1</v>
      </c>
      <c r="AK20" s="100">
        <f>(AJ20)*a14a!$E$14/1000000</f>
        <v>1.2433081346448158</v>
      </c>
      <c r="AL20" s="99">
        <v>48</v>
      </c>
      <c r="AM20" s="100">
        <f>(AL20)*a14a!$F$14/1000000</f>
        <v>3.3754971981307222</v>
      </c>
      <c r="AN20" s="99"/>
      <c r="AO20" s="99"/>
      <c r="AP20" s="99">
        <v>8.1</v>
      </c>
      <c r="AQ20" s="99">
        <f>(AP20)*a14a!$H$14/1000000</f>
        <v>0.88037242040039143</v>
      </c>
      <c r="AR20" s="99">
        <v>7.8</v>
      </c>
      <c r="AS20" s="99">
        <f>(AR20)*a14a!$I$14/1000000</f>
        <v>1.1112953377986827</v>
      </c>
      <c r="AT20" s="99">
        <v>6.9</v>
      </c>
      <c r="AU20" s="99">
        <f>(AT20)*a14a!$J$14/1000000</f>
        <v>1.2570201512994696</v>
      </c>
      <c r="AV20" s="99">
        <v>92.6</v>
      </c>
      <c r="AW20" s="99">
        <f t="shared" si="10"/>
        <v>7.8674932422740813</v>
      </c>
      <c r="AX20" s="99">
        <f>'a1'!R21/1000</f>
        <v>125.102</v>
      </c>
      <c r="AY20" s="100">
        <f t="shared" si="11"/>
        <v>62888.628817077908</v>
      </c>
      <c r="AZ20" s="100">
        <f>AY20/'a8'!O$39*100</f>
        <v>64766.867988751706</v>
      </c>
      <c r="BA20" s="99">
        <v>138.80000000000001</v>
      </c>
      <c r="BB20" s="100">
        <f>(BA20)*a14a!$E$19/1000000</f>
        <v>8.2642761843633039</v>
      </c>
      <c r="BC20" s="99">
        <v>346.9</v>
      </c>
      <c r="BD20" s="100">
        <f>(BC20)*a14a!$F$19/1000000</f>
        <v>25.818420464297819</v>
      </c>
      <c r="BE20" s="99"/>
      <c r="BF20" s="99"/>
      <c r="BG20" s="99">
        <v>43.7</v>
      </c>
      <c r="BH20" s="99">
        <f>(BG20)*a14a!$H$19/1000000</f>
        <v>4.6185469897241731</v>
      </c>
      <c r="BI20" s="99">
        <v>66.900000000000006</v>
      </c>
      <c r="BJ20" s="99">
        <f>(BI20)*a14a!$I$19/1000000</f>
        <v>7.9355007643864237</v>
      </c>
      <c r="BK20" s="99">
        <v>55.7</v>
      </c>
      <c r="BL20" s="99">
        <f>(BK20)*a14a!$J$19/1000000</f>
        <v>10.015341313997947</v>
      </c>
      <c r="BM20" s="99">
        <v>650.1</v>
      </c>
      <c r="BN20" s="99">
        <f t="shared" si="12"/>
        <v>56.652085716769676</v>
      </c>
      <c r="BO20" s="99">
        <f>'a1'!X21/1000</f>
        <v>868.28899999999999</v>
      </c>
      <c r="BP20" s="100">
        <f t="shared" si="13"/>
        <v>65245.656361844594</v>
      </c>
      <c r="BQ20" s="100">
        <f>BP20/'a8'!U$39*100</f>
        <v>65573.523981753358</v>
      </c>
      <c r="BR20" s="99">
        <v>148.69999999999999</v>
      </c>
      <c r="BS20" s="100">
        <f>(BR20)*a14a!$E$24/1000000</f>
        <v>9.1758492317855946</v>
      </c>
      <c r="BT20" s="99">
        <v>258.10000000000002</v>
      </c>
      <c r="BU20" s="100">
        <f>(BT20)*a14a!$F$24/1000000</f>
        <v>19.908260648317604</v>
      </c>
      <c r="BV20" s="99"/>
      <c r="BW20" s="99"/>
      <c r="BX20" s="99">
        <v>38.299999999999997</v>
      </c>
      <c r="BY20" s="99">
        <f>(BX20)*a14a!$H$24/1000000</f>
        <v>4.4368664224495973</v>
      </c>
      <c r="BZ20" s="99">
        <v>51.7</v>
      </c>
      <c r="CA20" s="99">
        <f>(BZ20)*a14a!$I$24/1000000</f>
        <v>7.7422381880657252</v>
      </c>
      <c r="CB20" s="99">
        <v>35.5</v>
      </c>
      <c r="CC20" s="99">
        <f>(CB20)*a14a!$J$24/1000000</f>
        <v>6.4760314083217647</v>
      </c>
      <c r="CD20" s="99">
        <v>530.20000000000005</v>
      </c>
      <c r="CE20" s="99">
        <f t="shared" si="14"/>
        <v>47.73924589894029</v>
      </c>
      <c r="CF20" s="99">
        <f>'a1'!AD21/1000</f>
        <v>714.84199999999998</v>
      </c>
      <c r="CG20" s="100">
        <f t="shared" si="15"/>
        <v>66782.933709743258</v>
      </c>
      <c r="CH20" s="100">
        <f>CG20/'a8'!AA$39*100</f>
        <v>65345.336310903382</v>
      </c>
      <c r="CI20" s="99">
        <v>1395.1</v>
      </c>
      <c r="CJ20" s="100">
        <f>(CI20)*a14a!$E$29/1000000</f>
        <v>100.49897023579435</v>
      </c>
      <c r="CK20" s="99">
        <v>2382.1</v>
      </c>
      <c r="CL20" s="100">
        <f>(CK20)*a14a!$F$29/1000000</f>
        <v>214.49949555469655</v>
      </c>
      <c r="CM20" s="99"/>
      <c r="CN20" s="99"/>
      <c r="CO20" s="99">
        <v>346.3</v>
      </c>
      <c r="CP20" s="99">
        <f>(CO20)*a14a!$H$29/1000000</f>
        <v>43.246943133943518</v>
      </c>
      <c r="CQ20" s="99">
        <v>594.1</v>
      </c>
      <c r="CR20" s="99">
        <f>(CQ20)*a14a!$I$29/1000000</f>
        <v>81.227317032948292</v>
      </c>
      <c r="CS20" s="99">
        <v>421.8</v>
      </c>
      <c r="CT20" s="99">
        <f>(CS20)*a14a!$J$29/1000000</f>
        <v>86.325070744051999</v>
      </c>
      <c r="CU20" s="99">
        <v>5119.3</v>
      </c>
      <c r="CV20" s="99">
        <f t="shared" si="16"/>
        <v>525.79779670143466</v>
      </c>
      <c r="CW20" s="99">
        <f>'a1'!AJ21/1000</f>
        <v>6602.9759999999997</v>
      </c>
      <c r="CX20" s="100">
        <f t="shared" si="17"/>
        <v>79630.42675021608</v>
      </c>
      <c r="CY20" s="100">
        <f>CX20/'a8'!AG$39*100</f>
        <v>81090.04760714469</v>
      </c>
      <c r="CZ20" s="99">
        <v>1320.8</v>
      </c>
      <c r="DA20" s="100">
        <f>(CZ20)*a14a!$E$34/1000000</f>
        <v>89.048188590445505</v>
      </c>
      <c r="DB20" s="99">
        <v>3534.7</v>
      </c>
      <c r="DC20" s="100">
        <f>(DB20)*a14a!$F$34/1000000</f>
        <v>297.8863493816699</v>
      </c>
      <c r="DD20" s="99"/>
      <c r="DE20" s="99"/>
      <c r="DF20" s="99">
        <v>670.3</v>
      </c>
      <c r="DG20" s="99">
        <f>(DF20)*a14a!$H$34/1000000</f>
        <v>76.812193399611786</v>
      </c>
      <c r="DH20" s="99">
        <v>761.5</v>
      </c>
      <c r="DI20" s="99">
        <f>(DH20)*a14a!$I$34/1000000</f>
        <v>92.866995774589313</v>
      </c>
      <c r="DJ20" s="99">
        <v>756.4</v>
      </c>
      <c r="DK20" s="99">
        <f>(DJ20)*a14a!$J$34/1000000</f>
        <v>138.95962913021179</v>
      </c>
      <c r="DL20" s="99">
        <v>7016.2</v>
      </c>
      <c r="DM20" s="99">
        <f t="shared" si="18"/>
        <v>695.57335627652833</v>
      </c>
      <c r="DN20" s="99">
        <f>'a1'!AP21/1000</f>
        <v>9039.5640000000003</v>
      </c>
      <c r="DO20" s="100">
        <f t="shared" si="19"/>
        <v>76947.666533090349</v>
      </c>
      <c r="DP20" s="100">
        <f>DO20/'a8'!AM$39*100</f>
        <v>78598.229349428337</v>
      </c>
      <c r="DQ20" s="99">
        <v>163</v>
      </c>
      <c r="DR20" s="100">
        <f>(DQ20)*a14a!$E$39/1000000</f>
        <v>14.574853394751504</v>
      </c>
      <c r="DS20" s="99">
        <v>412.7</v>
      </c>
      <c r="DT20" s="100">
        <f>(DS20)*a14a!$F$39/1000000</f>
        <v>46.127622668818603</v>
      </c>
      <c r="DU20" s="99"/>
      <c r="DV20" s="99"/>
      <c r="DW20" s="99">
        <v>69.8</v>
      </c>
      <c r="DX20" s="99">
        <f>(DW20)*a14a!$H$39/1000000</f>
        <v>10.565011691241907</v>
      </c>
      <c r="DY20" s="99">
        <v>74</v>
      </c>
      <c r="DZ20" s="99">
        <f>(DY20)*a14a!$I$39/1000000</f>
        <v>12.438658782680129</v>
      </c>
      <c r="EA20" s="99">
        <v>68.3</v>
      </c>
      <c r="EB20" s="99">
        <f>(EA20)*a14a!$J$39/1000000</f>
        <v>15.133798979023933</v>
      </c>
      <c r="EC20" s="99">
        <v>785.8</v>
      </c>
      <c r="ED20" s="99">
        <f t="shared" si="20"/>
        <v>98.839945516516082</v>
      </c>
      <c r="EE20" s="99">
        <f>'a1'!AV21/1000</f>
        <v>1059.752</v>
      </c>
      <c r="EF20" s="100">
        <f t="shared" si="21"/>
        <v>93267.052590149469</v>
      </c>
      <c r="EG20" s="100">
        <f>EF20/'a8'!AS$39*100</f>
        <v>95462.69456514786</v>
      </c>
      <c r="EH20" s="99">
        <v>161.5</v>
      </c>
      <c r="EI20" s="100">
        <f>(EH20)*a14a!$E$44/1000000</f>
        <v>12.884205977843237</v>
      </c>
      <c r="EJ20" s="99">
        <v>384.3</v>
      </c>
      <c r="EK20" s="100">
        <f>(EJ20)*a14a!$F$44/1000000</f>
        <v>38.323532177129692</v>
      </c>
      <c r="EL20" s="99"/>
      <c r="EM20" s="99"/>
      <c r="EN20" s="99">
        <v>58.6</v>
      </c>
      <c r="EO20" s="99">
        <f>(EN20)*a14a!$H$44/1000000</f>
        <v>8.9638177619943669</v>
      </c>
      <c r="EP20" s="99">
        <v>77.3</v>
      </c>
      <c r="EQ20" s="99">
        <f>(EP20)*a14a!$I$44/1000000</f>
        <v>12.711341658857531</v>
      </c>
      <c r="ER20" s="99">
        <v>50.1</v>
      </c>
      <c r="ES20" s="99">
        <f>(ER20)*a14a!$J$44/1000000</f>
        <v>17.06999585709239</v>
      </c>
      <c r="ET20" s="99">
        <v>729.2</v>
      </c>
      <c r="EU20" s="99">
        <f t="shared" si="22"/>
        <v>89.952893432917222</v>
      </c>
      <c r="EV20" s="99">
        <f>'a1'!BB21/1000</f>
        <v>1001.249</v>
      </c>
      <c r="EW20" s="100">
        <f t="shared" si="23"/>
        <v>89840.682420573925</v>
      </c>
      <c r="EX20" s="100">
        <f>EW20/'a8'!AY$39*100</f>
        <v>93486.662248255918</v>
      </c>
      <c r="EY20" s="99">
        <v>226.8</v>
      </c>
      <c r="EZ20" s="100">
        <f>(EY20)*a14a!$E$49/1000000</f>
        <v>15.324824103586426</v>
      </c>
      <c r="FA20" s="99">
        <v>955.6</v>
      </c>
      <c r="FB20" s="100">
        <f>(FA20)*a14a!$F$49/1000000</f>
        <v>80.712091674312106</v>
      </c>
      <c r="FC20" s="99"/>
      <c r="FD20" s="99"/>
      <c r="FE20" s="99">
        <v>178.2</v>
      </c>
      <c r="FF20" s="99">
        <f>(FE20)*a14a!$H$49/1000000</f>
        <v>20.975343627499822</v>
      </c>
      <c r="FG20" s="99">
        <v>222.6</v>
      </c>
      <c r="FH20" s="99">
        <f>(FG20)*a14a!$I$49/1000000</f>
        <v>26.998269177216088</v>
      </c>
      <c r="FI20" s="99">
        <v>202.2</v>
      </c>
      <c r="FJ20" s="99">
        <f>(FI20)*a14a!$J$49/1000000</f>
        <v>43.482546264410303</v>
      </c>
      <c r="FK20" s="99">
        <v>1777.4</v>
      </c>
      <c r="FL20" s="99">
        <f t="shared" si="24"/>
        <v>187.49307484702473</v>
      </c>
      <c r="FM20" s="99">
        <f>'a1'!BH21/1000</f>
        <v>2393.587</v>
      </c>
      <c r="FN20" s="100">
        <f t="shared" si="25"/>
        <v>78331.422608421897</v>
      </c>
      <c r="FO20" s="100">
        <f>FN20/'a8'!BE$39*100</f>
        <v>76346.415797682159</v>
      </c>
      <c r="FP20" s="99">
        <v>283</v>
      </c>
      <c r="FQ20" s="100">
        <f>(FP20)*a14a!$E$54/1000000</f>
        <v>22.052051625623843</v>
      </c>
      <c r="FR20" s="99">
        <v>1251.0999999999999</v>
      </c>
      <c r="FS20" s="100">
        <f>(FR20)*a14a!$F$54/1000000</f>
        <v>121.86096196474378</v>
      </c>
      <c r="FT20" s="99"/>
      <c r="FU20" s="99"/>
      <c r="FV20" s="99">
        <v>266.10000000000002</v>
      </c>
      <c r="FW20" s="99">
        <f>(FV20)*a14a!$H$54/1000000</f>
        <v>35.941760118503076</v>
      </c>
      <c r="FX20" s="99">
        <v>221.2</v>
      </c>
      <c r="FY20" s="99">
        <f>(FX20)*a14a!$I$54/1000000</f>
        <v>31.138619722452209</v>
      </c>
      <c r="FZ20" s="99">
        <v>231.5</v>
      </c>
      <c r="GA20" s="99">
        <f>(FZ20)*a14a!$J$54/1000000</f>
        <v>55.331750793031084</v>
      </c>
      <c r="GB20" s="99">
        <v>2240.4</v>
      </c>
      <c r="GC20" s="99">
        <f t="shared" si="26"/>
        <v>266.32514422435401</v>
      </c>
      <c r="GD20" s="99">
        <f>'a1'!BN21/1000</f>
        <v>2907.502</v>
      </c>
      <c r="GE20" s="100">
        <f t="shared" si="27"/>
        <v>91599.298719090817</v>
      </c>
      <c r="GF20" s="100">
        <f>GE20/'a8'!BK$39*100</f>
        <v>91507.790928162663</v>
      </c>
    </row>
    <row r="21" spans="1:188" s="26" customFormat="1" ht="16.5" customHeight="1">
      <c r="A21" s="202">
        <v>1984</v>
      </c>
      <c r="B21" s="99">
        <v>3914.7</v>
      </c>
      <c r="C21" s="168">
        <f>B21*a14a!$E$4/1000000</f>
        <v>276.91032233559537</v>
      </c>
      <c r="D21" s="99">
        <v>9794.2000000000007</v>
      </c>
      <c r="E21" s="168">
        <f>D21*a14a!$F$4/1000000</f>
        <v>866.00348654408015</v>
      </c>
      <c r="F21" s="99"/>
      <c r="G21" s="99"/>
      <c r="H21" s="99">
        <v>1770.5</v>
      </c>
      <c r="I21" s="168">
        <f>H21*a14a!$H$4/1000000</f>
        <v>215.97354945721568</v>
      </c>
      <c r="J21" s="99">
        <v>2205.9</v>
      </c>
      <c r="K21" s="168">
        <f>J21*a14a!$I$4/1000000</f>
        <v>288.79435917101239</v>
      </c>
      <c r="L21" s="99">
        <v>1912.7</v>
      </c>
      <c r="M21" s="168">
        <f>L21*a14a!$J$4/1000000</f>
        <v>388.0314454164224</v>
      </c>
      <c r="N21" s="99">
        <v>19597.900000000001</v>
      </c>
      <c r="O21" s="99">
        <f t="shared" si="28"/>
        <v>2035.7131629243261</v>
      </c>
      <c r="P21" s="168">
        <f>'a1'!F22/1000</f>
        <v>25607.053</v>
      </c>
      <c r="Q21" s="100">
        <f t="shared" si="5"/>
        <v>79498.143067237223</v>
      </c>
      <c r="R21" s="168">
        <f>Q21/'a8'!C$39*100</f>
        <v>80382.348905194347</v>
      </c>
      <c r="S21" s="99">
        <v>126.2</v>
      </c>
      <c r="T21" s="100">
        <f>(S21)*a14a!$E$9/1000000</f>
        <v>8.5804766767642509</v>
      </c>
      <c r="U21" s="99">
        <v>181.8</v>
      </c>
      <c r="V21" s="100">
        <f>(U21)*a14a!$F$9/1000000</f>
        <v>15.450977217073504</v>
      </c>
      <c r="W21" s="99"/>
      <c r="X21" s="99"/>
      <c r="Y21" s="99">
        <v>34.200000000000003</v>
      </c>
      <c r="Z21" s="99">
        <f>(Y21)*a14a!$H$9/1000000</f>
        <v>4.2497808861165218</v>
      </c>
      <c r="AA21" s="99">
        <v>52.4</v>
      </c>
      <c r="AB21" s="99">
        <f>(AA21)*a14a!$I$9/1000000</f>
        <v>7.7556830618490746</v>
      </c>
      <c r="AC21" s="99">
        <v>25.5</v>
      </c>
      <c r="AD21" s="99">
        <f>(AC21)*a14a!$J$9/1000000</f>
        <v>5.3470880975263526</v>
      </c>
      <c r="AE21" s="99">
        <v>418.6</v>
      </c>
      <c r="AF21" s="99">
        <f t="shared" si="8"/>
        <v>41.384005939329704</v>
      </c>
      <c r="AG21" s="99">
        <f>'a1'!L22/1000</f>
        <v>580.06500000000005</v>
      </c>
      <c r="AH21" s="100">
        <f t="shared" si="9"/>
        <v>71343.738959133378</v>
      </c>
      <c r="AI21" s="100">
        <f>AH21/'a8'!I$39*100</f>
        <v>71630.259999129892</v>
      </c>
      <c r="AJ21" s="99">
        <v>22.4</v>
      </c>
      <c r="AK21" s="100">
        <f>(AJ21)*a14a!$E$14/1000000</f>
        <v>1.2601856206354694</v>
      </c>
      <c r="AL21" s="99">
        <v>47.7</v>
      </c>
      <c r="AM21" s="100">
        <f>(AL21)*a14a!$F$14/1000000</f>
        <v>3.354400340642405</v>
      </c>
      <c r="AN21" s="99"/>
      <c r="AO21" s="99"/>
      <c r="AP21" s="99">
        <v>8.8000000000000007</v>
      </c>
      <c r="AQ21" s="99">
        <f>(AP21)*a14a!$H$14/1000000</f>
        <v>0.95645398759548705</v>
      </c>
      <c r="AR21" s="99">
        <v>8.4</v>
      </c>
      <c r="AS21" s="99">
        <f>(AR21)*a14a!$I$14/1000000</f>
        <v>1.1967795945524278</v>
      </c>
      <c r="AT21" s="99">
        <v>7.1</v>
      </c>
      <c r="AU21" s="99">
        <f>(AT21)*a14a!$J$14/1000000</f>
        <v>1.2934555180038019</v>
      </c>
      <c r="AV21" s="99">
        <v>94.1</v>
      </c>
      <c r="AW21" s="99">
        <f t="shared" si="10"/>
        <v>8.0612750614295905</v>
      </c>
      <c r="AX21" s="99">
        <f>'a1'!R22/1000</f>
        <v>126.563</v>
      </c>
      <c r="AY21" s="100">
        <f t="shared" si="11"/>
        <v>63693.773547004981</v>
      </c>
      <c r="AZ21" s="100">
        <f>AY21/'a8'!O$39*100</f>
        <v>65596.059265710603</v>
      </c>
      <c r="BA21" s="99">
        <v>131.5</v>
      </c>
      <c r="BB21" s="100">
        <f>(BA21)*a14a!$E$19/1000000</f>
        <v>7.8296276530531292</v>
      </c>
      <c r="BC21" s="99">
        <v>354.2</v>
      </c>
      <c r="BD21" s="100">
        <f>(BC21)*a14a!$F$19/1000000</f>
        <v>26.361731128435537</v>
      </c>
      <c r="BE21" s="99"/>
      <c r="BF21" s="99"/>
      <c r="BG21" s="99">
        <v>44.2</v>
      </c>
      <c r="BH21" s="99">
        <f>(BG21)*a14a!$H$19/1000000</f>
        <v>4.6713907767919549</v>
      </c>
      <c r="BI21" s="99">
        <v>73.7</v>
      </c>
      <c r="BJ21" s="99">
        <f>(BI21)*a14a!$I$19/1000000</f>
        <v>8.742098749406269</v>
      </c>
      <c r="BK21" s="99">
        <v>58.2</v>
      </c>
      <c r="BL21" s="99">
        <f>(BK21)*a14a!$J$19/1000000</f>
        <v>10.464862916960154</v>
      </c>
      <c r="BM21" s="99">
        <v>659.8</v>
      </c>
      <c r="BN21" s="99">
        <f t="shared" si="12"/>
        <v>58.069711224647037</v>
      </c>
      <c r="BO21" s="99">
        <f>'a1'!X22/1000</f>
        <v>877.471</v>
      </c>
      <c r="BP21" s="100">
        <f t="shared" si="13"/>
        <v>66178.496183517214</v>
      </c>
      <c r="BQ21" s="100">
        <f>BP21/'a8'!U$39*100</f>
        <v>66511.05144072081</v>
      </c>
      <c r="BR21" s="99">
        <v>153.19999999999999</v>
      </c>
      <c r="BS21" s="100">
        <f>(BR21)*a14a!$E$24/1000000</f>
        <v>9.4535312865470971</v>
      </c>
      <c r="BT21" s="99">
        <v>258.3</v>
      </c>
      <c r="BU21" s="100">
        <f>(BT21)*a14a!$F$24/1000000</f>
        <v>19.923687429137686</v>
      </c>
      <c r="BV21" s="99"/>
      <c r="BW21" s="99"/>
      <c r="BX21" s="99">
        <v>40.700000000000003</v>
      </c>
      <c r="BY21" s="99">
        <f>(BX21)*a14a!$H$24/1000000</f>
        <v>4.7148946055795991</v>
      </c>
      <c r="BZ21" s="99">
        <v>49.7</v>
      </c>
      <c r="CA21" s="99">
        <f>(BZ21)*a14a!$I$24/1000000</f>
        <v>7.4427318751811713</v>
      </c>
      <c r="CB21" s="99">
        <v>37.700000000000003</v>
      </c>
      <c r="CC21" s="99">
        <f>(CB21)*a14a!$J$24/1000000</f>
        <v>6.8773629322177623</v>
      </c>
      <c r="CD21" s="99">
        <v>537.5</v>
      </c>
      <c r="CE21" s="99">
        <f t="shared" si="14"/>
        <v>48.412208128663323</v>
      </c>
      <c r="CF21" s="99">
        <f>'a1'!AD22/1000</f>
        <v>720.48800000000006</v>
      </c>
      <c r="CG21" s="100">
        <f t="shared" si="15"/>
        <v>67193.635603456714</v>
      </c>
      <c r="CH21" s="100">
        <f>CG21/'a8'!AA$39*100</f>
        <v>65747.197263656271</v>
      </c>
      <c r="CI21" s="99">
        <v>1378.8</v>
      </c>
      <c r="CJ21" s="100">
        <f>(CI21)*a14a!$E$29/1000000</f>
        <v>99.324765365287973</v>
      </c>
      <c r="CK21" s="99">
        <v>2378.9</v>
      </c>
      <c r="CL21" s="100">
        <f>(CK21)*a14a!$F$29/1000000</f>
        <v>214.21134712021646</v>
      </c>
      <c r="CM21" s="99"/>
      <c r="CN21" s="99"/>
      <c r="CO21" s="99">
        <v>346.7</v>
      </c>
      <c r="CP21" s="99">
        <f>(CO21)*a14a!$H$29/1000000</f>
        <v>43.29689628801102</v>
      </c>
      <c r="CQ21" s="99">
        <v>630.9</v>
      </c>
      <c r="CR21" s="99">
        <f>(CQ21)*a14a!$I$29/1000000</f>
        <v>86.258734751871856</v>
      </c>
      <c r="CS21" s="99">
        <v>441</v>
      </c>
      <c r="CT21" s="99">
        <f>(CS21)*a14a!$J$29/1000000</f>
        <v>90.25451919897327</v>
      </c>
      <c r="CU21" s="99">
        <v>5155.2</v>
      </c>
      <c r="CV21" s="99">
        <f t="shared" si="16"/>
        <v>533.3462627243606</v>
      </c>
      <c r="CW21" s="99">
        <f>'a1'!AJ22/1000</f>
        <v>6631.22</v>
      </c>
      <c r="CX21" s="100">
        <f t="shared" si="17"/>
        <v>80429.58350414563</v>
      </c>
      <c r="CY21" s="100">
        <f>CX21/'a8'!AG$39*100</f>
        <v>81903.852855545454</v>
      </c>
      <c r="CZ21" s="99">
        <v>1278.7</v>
      </c>
      <c r="DA21" s="100">
        <f>(CZ21)*a14a!$E$34/1000000</f>
        <v>86.209811289069251</v>
      </c>
      <c r="DB21" s="99">
        <v>3604.9</v>
      </c>
      <c r="DC21" s="100">
        <f>(DB21)*a14a!$F$34/1000000</f>
        <v>303.80244458822017</v>
      </c>
      <c r="DD21" s="99"/>
      <c r="DE21" s="99"/>
      <c r="DF21" s="99">
        <v>715.7</v>
      </c>
      <c r="DG21" s="99">
        <f>(DF21)*a14a!$H$34/1000000</f>
        <v>82.014749837538659</v>
      </c>
      <c r="DH21" s="99">
        <v>773.9</v>
      </c>
      <c r="DI21" s="99">
        <f>(DH21)*a14a!$I$34/1000000</f>
        <v>94.379209494359372</v>
      </c>
      <c r="DJ21" s="99">
        <v>798.7</v>
      </c>
      <c r="DK21" s="99">
        <f>(DJ21)*a14a!$J$34/1000000</f>
        <v>146.73063959056077</v>
      </c>
      <c r="DL21" s="99">
        <v>7142.2</v>
      </c>
      <c r="DM21" s="99">
        <f t="shared" si="18"/>
        <v>713.13685479974811</v>
      </c>
      <c r="DN21" s="99">
        <f>'a1'!AP22/1000</f>
        <v>9167.4840000000004</v>
      </c>
      <c r="DO21" s="100">
        <f t="shared" si="19"/>
        <v>77789.811773846348</v>
      </c>
      <c r="DP21" s="100">
        <f>DO21/'a8'!AM$39*100</f>
        <v>79458.438992692885</v>
      </c>
      <c r="DQ21" s="99">
        <v>153.19999999999999</v>
      </c>
      <c r="DR21" s="100">
        <f>(DQ21)*a14a!$E$39/1000000</f>
        <v>13.698573865496504</v>
      </c>
      <c r="DS21" s="99">
        <v>414</v>
      </c>
      <c r="DT21" s="100">
        <f>(DS21)*a14a!$F$39/1000000</f>
        <v>46.272924121373642</v>
      </c>
      <c r="DU21" s="99"/>
      <c r="DV21" s="99"/>
      <c r="DW21" s="99">
        <v>75.8</v>
      </c>
      <c r="DX21" s="99">
        <f>(DW21)*a14a!$H$39/1000000</f>
        <v>11.473178885331469</v>
      </c>
      <c r="DY21" s="99">
        <v>77.099999999999994</v>
      </c>
      <c r="DZ21" s="99">
        <f>(DY21)*a14a!$I$39/1000000</f>
        <v>12.959737731684298</v>
      </c>
      <c r="EA21" s="99">
        <v>77.599999999999994</v>
      </c>
      <c r="EB21" s="99">
        <f>(EA21)*a14a!$J$39/1000000</f>
        <v>17.194477317309772</v>
      </c>
      <c r="EC21" s="99">
        <v>795.6</v>
      </c>
      <c r="ED21" s="99">
        <f t="shared" si="20"/>
        <v>101.59889192119569</v>
      </c>
      <c r="EE21" s="99">
        <f>'a1'!AV22/1000</f>
        <v>1071.81</v>
      </c>
      <c r="EF21" s="100">
        <f t="shared" si="21"/>
        <v>94791.886548171504</v>
      </c>
      <c r="EG21" s="100">
        <f>EF21/'a8'!AS$39*100</f>
        <v>97023.425330779428</v>
      </c>
      <c r="EH21" s="99">
        <v>167.3</v>
      </c>
      <c r="EI21" s="100">
        <f>(EH21)*a14a!$E$44/1000000</f>
        <v>13.346920495932965</v>
      </c>
      <c r="EJ21" s="99">
        <v>377.1</v>
      </c>
      <c r="EK21" s="100">
        <f>(EJ21)*a14a!$F$44/1000000</f>
        <v>37.605526890438746</v>
      </c>
      <c r="EL21" s="99"/>
      <c r="EM21" s="99"/>
      <c r="EN21" s="99">
        <v>64.099999999999994</v>
      </c>
      <c r="EO21" s="99">
        <f>(EN21)*a14a!$H$44/1000000</f>
        <v>9.8051317157651692</v>
      </c>
      <c r="EP21" s="99">
        <v>78.900000000000006</v>
      </c>
      <c r="EQ21" s="99">
        <f>(EP21)*a14a!$I$44/1000000</f>
        <v>12.974448342611376</v>
      </c>
      <c r="ER21" s="99">
        <v>55.1</v>
      </c>
      <c r="ES21" s="99">
        <f>(ER21)*a14a!$J$44/1000000</f>
        <v>18.773588257999815</v>
      </c>
      <c r="ET21" s="99">
        <v>739.8</v>
      </c>
      <c r="EU21" s="99">
        <f t="shared" si="22"/>
        <v>92.505615702748074</v>
      </c>
      <c r="EV21" s="99">
        <f>'a1'!BB22/1000</f>
        <v>1014.615</v>
      </c>
      <c r="EW21" s="100">
        <f t="shared" si="23"/>
        <v>91173.120545968733</v>
      </c>
      <c r="EX21" s="100">
        <f>EW21/'a8'!AY$39*100</f>
        <v>94873.17434544093</v>
      </c>
      <c r="EY21" s="99">
        <v>224.7</v>
      </c>
      <c r="EZ21" s="100">
        <f>(EY21)*a14a!$E$49/1000000</f>
        <v>15.182927584108771</v>
      </c>
      <c r="FA21" s="99">
        <v>939.2</v>
      </c>
      <c r="FB21" s="100">
        <f>(FA21)*a14a!$F$49/1000000</f>
        <v>79.326911365125497</v>
      </c>
      <c r="FC21" s="99"/>
      <c r="FD21" s="99"/>
      <c r="FE21" s="99">
        <v>181.9</v>
      </c>
      <c r="FF21" s="99">
        <f>(FE21)*a14a!$H$49/1000000</f>
        <v>21.410858618643203</v>
      </c>
      <c r="FG21" s="99">
        <v>243.3</v>
      </c>
      <c r="FH21" s="99">
        <f>(FG21)*a14a!$I$49/1000000</f>
        <v>29.508889895852086</v>
      </c>
      <c r="FI21" s="99">
        <v>197.4</v>
      </c>
      <c r="FJ21" s="99">
        <f>(FI21)*a14a!$J$49/1000000</f>
        <v>42.450319646857537</v>
      </c>
      <c r="FK21" s="99">
        <v>1778.8</v>
      </c>
      <c r="FL21" s="99">
        <f t="shared" si="24"/>
        <v>187.87990711058708</v>
      </c>
      <c r="FM21" s="99">
        <f>'a1'!BH22/1000</f>
        <v>2393.9070000000002</v>
      </c>
      <c r="FN21" s="100">
        <f t="shared" si="25"/>
        <v>78482.542183379323</v>
      </c>
      <c r="FO21" s="100">
        <f>FN21/'a8'!BE$39*100</f>
        <v>76493.70583175373</v>
      </c>
      <c r="FP21" s="99">
        <v>277.89999999999998</v>
      </c>
      <c r="FQ21" s="100">
        <f>(FP21)*a14a!$E$54/1000000</f>
        <v>21.654647161699177</v>
      </c>
      <c r="FR21" s="99">
        <v>1277.5</v>
      </c>
      <c r="FS21" s="100">
        <f>(FR21)*a14a!$F$54/1000000</f>
        <v>124.43240261366812</v>
      </c>
      <c r="FT21" s="99"/>
      <c r="FU21" s="99"/>
      <c r="FV21" s="99">
        <v>269.7</v>
      </c>
      <c r="FW21" s="99">
        <f>(FV21)*a14a!$H$54/1000000</f>
        <v>36.428007155055539</v>
      </c>
      <c r="FX21" s="99">
        <v>232.4</v>
      </c>
      <c r="FY21" s="99">
        <f>(FX21)*a14a!$I$54/1000000</f>
        <v>32.715258695740928</v>
      </c>
      <c r="FZ21" s="99">
        <v>232.3</v>
      </c>
      <c r="GA21" s="99">
        <f>(FZ21)*a14a!$J$54/1000000</f>
        <v>55.522962026873088</v>
      </c>
      <c r="GB21" s="99">
        <v>2276.5</v>
      </c>
      <c r="GC21" s="99">
        <f t="shared" si="26"/>
        <v>270.75327765303683</v>
      </c>
      <c r="GD21" s="99">
        <f>'a1'!BN22/1000</f>
        <v>2947.181</v>
      </c>
      <c r="GE21" s="100">
        <f t="shared" si="27"/>
        <v>91868.561059886313</v>
      </c>
      <c r="GF21" s="100">
        <f>GE21/'a8'!BK$39*100</f>
        <v>91776.784275610698</v>
      </c>
    </row>
    <row r="22" spans="1:188" s="26" customFormat="1" ht="16.5" customHeight="1">
      <c r="A22" s="202">
        <v>1985</v>
      </c>
      <c r="B22" s="99">
        <v>3791.1</v>
      </c>
      <c r="C22" s="168">
        <f>B22*a14a!$E$4/1000000</f>
        <v>268.1673494792642</v>
      </c>
      <c r="D22" s="99">
        <v>9938.2000000000007</v>
      </c>
      <c r="E22" s="168">
        <f>D22*a14a!$F$4/1000000</f>
        <v>878.7359712863099</v>
      </c>
      <c r="F22" s="99"/>
      <c r="G22" s="99"/>
      <c r="H22" s="99">
        <v>1834.4</v>
      </c>
      <c r="I22" s="168">
        <f>H22*a14a!$H$4/1000000</f>
        <v>223.76835872596243</v>
      </c>
      <c r="J22" s="99">
        <v>2277.1</v>
      </c>
      <c r="K22" s="168">
        <f>J22*a14a!$I$4/1000000</f>
        <v>298.11579639526377</v>
      </c>
      <c r="L22" s="99">
        <v>2001.8</v>
      </c>
      <c r="M22" s="168">
        <f>L22*a14a!$J$4/1000000</f>
        <v>406.10725541621497</v>
      </c>
      <c r="N22" s="99">
        <v>19842.7</v>
      </c>
      <c r="O22" s="99">
        <f t="shared" si="28"/>
        <v>2074.8947313030153</v>
      </c>
      <c r="P22" s="168">
        <f>'a1'!F23/1000</f>
        <v>25842.116000000002</v>
      </c>
      <c r="Q22" s="100">
        <f t="shared" si="5"/>
        <v>80291.208788901611</v>
      </c>
      <c r="R22" s="168">
        <f>Q22/'a8'!C$39*100</f>
        <v>81184.235378060272</v>
      </c>
      <c r="S22" s="99">
        <v>126</v>
      </c>
      <c r="T22" s="100">
        <f>(S22)*a14a!$E$9/1000000</f>
        <v>8.5668784569912493</v>
      </c>
      <c r="U22" s="99">
        <v>188.7</v>
      </c>
      <c r="V22" s="100">
        <f>(U22)*a14a!$F$9/1000000</f>
        <v>16.037400444784211</v>
      </c>
      <c r="W22" s="99"/>
      <c r="X22" s="99"/>
      <c r="Y22" s="99">
        <v>27.9</v>
      </c>
      <c r="Z22" s="99">
        <f>(Y22)*a14a!$H$9/1000000</f>
        <v>3.4669265123582149</v>
      </c>
      <c r="AA22" s="99">
        <v>55.7</v>
      </c>
      <c r="AB22" s="99">
        <f>(AA22)*a14a!$I$9/1000000</f>
        <v>8.2441134836830816</v>
      </c>
      <c r="AC22" s="99">
        <v>25</v>
      </c>
      <c r="AD22" s="99">
        <f>(AC22)*a14a!$J$9/1000000</f>
        <v>5.2422432328689732</v>
      </c>
      <c r="AE22" s="99">
        <v>421.9</v>
      </c>
      <c r="AF22" s="99">
        <f t="shared" si="8"/>
        <v>41.557562130685724</v>
      </c>
      <c r="AG22" s="99">
        <f>'a1'!L23/1000</f>
        <v>579.27499999999998</v>
      </c>
      <c r="AH22" s="100">
        <f t="shared" si="9"/>
        <v>71740.644997083815</v>
      </c>
      <c r="AI22" s="100">
        <f>AH22/'a8'!I$39*100</f>
        <v>72028.760037232743</v>
      </c>
      <c r="AJ22" s="99">
        <v>19.8</v>
      </c>
      <c r="AK22" s="100">
        <f>(AJ22)*a14a!$E$14/1000000</f>
        <v>1.1139140753831382</v>
      </c>
      <c r="AL22" s="99">
        <v>50.3</v>
      </c>
      <c r="AM22" s="100">
        <f>(AL22)*a14a!$F$14/1000000</f>
        <v>3.537239772207819</v>
      </c>
      <c r="AN22" s="99"/>
      <c r="AO22" s="99"/>
      <c r="AP22" s="99">
        <v>9.1999999999999993</v>
      </c>
      <c r="AQ22" s="99">
        <f>(AP22)*a14a!$H$14/1000000</f>
        <v>0.9999291688498273</v>
      </c>
      <c r="AR22" s="99">
        <v>8.9</v>
      </c>
      <c r="AS22" s="99">
        <f>(AR22)*a14a!$I$14/1000000</f>
        <v>1.2680164751805483</v>
      </c>
      <c r="AT22" s="99">
        <v>7.4</v>
      </c>
      <c r="AU22" s="99">
        <f>(AT22)*a14a!$J$14/1000000</f>
        <v>1.3481085680603009</v>
      </c>
      <c r="AV22" s="99">
        <v>95.3</v>
      </c>
      <c r="AW22" s="99">
        <f t="shared" si="10"/>
        <v>8.267208059681634</v>
      </c>
      <c r="AX22" s="99">
        <f>'a1'!R23/1000</f>
        <v>127.619</v>
      </c>
      <c r="AY22" s="100">
        <f t="shared" si="11"/>
        <v>64780.385833470209</v>
      </c>
      <c r="AZ22" s="100">
        <f>AY22/'a8'!O$39*100</f>
        <v>66715.12444229683</v>
      </c>
      <c r="BA22" s="99">
        <v>133.19999999999999</v>
      </c>
      <c r="BB22" s="100">
        <f>(BA22)*a14a!$E$19/1000000</f>
        <v>7.9308471740431692</v>
      </c>
      <c r="BC22" s="99">
        <v>354.3</v>
      </c>
      <c r="BD22" s="100">
        <f>(BC22)*a14a!$F$19/1000000</f>
        <v>26.369173740273041</v>
      </c>
      <c r="BE22" s="99"/>
      <c r="BF22" s="99"/>
      <c r="BG22" s="99">
        <v>49.2</v>
      </c>
      <c r="BH22" s="99">
        <f>(BG22)*a14a!$H$19/1000000</f>
        <v>5.1998286474697775</v>
      </c>
      <c r="BI22" s="99">
        <v>72.400000000000006</v>
      </c>
      <c r="BJ22" s="99">
        <f>(BI22)*a14a!$I$19/1000000</f>
        <v>8.5878961934465927</v>
      </c>
      <c r="BK22" s="99">
        <v>61.5</v>
      </c>
      <c r="BL22" s="99">
        <f>(BK22)*a14a!$J$19/1000000</f>
        <v>11.058231432870265</v>
      </c>
      <c r="BM22" s="99">
        <v>668.3</v>
      </c>
      <c r="BN22" s="99">
        <f t="shared" si="12"/>
        <v>59.14597718810284</v>
      </c>
      <c r="BO22" s="99">
        <f>'a1'!X23/1000</f>
        <v>885.84799999999996</v>
      </c>
      <c r="BP22" s="100">
        <f t="shared" si="13"/>
        <v>66767.636420811294</v>
      </c>
      <c r="BQ22" s="100">
        <f>BP22/'a8'!U$39*100</f>
        <v>67103.152181719895</v>
      </c>
      <c r="BR22" s="99">
        <v>145.5</v>
      </c>
      <c r="BS22" s="100">
        <f>(BR22)*a14a!$E$24/1000000</f>
        <v>8.9783864372885276</v>
      </c>
      <c r="BT22" s="99">
        <v>262.10000000000002</v>
      </c>
      <c r="BU22" s="100">
        <f>(BT22)*a14a!$F$24/1000000</f>
        <v>20.216796264719274</v>
      </c>
      <c r="BV22" s="99"/>
      <c r="BW22" s="99"/>
      <c r="BX22" s="99">
        <v>44.7</v>
      </c>
      <c r="BY22" s="99">
        <f>(BX22)*a14a!$H$24/1000000</f>
        <v>5.1782749107962669</v>
      </c>
      <c r="BZ22" s="99">
        <v>51.6</v>
      </c>
      <c r="CA22" s="99">
        <f>(BZ22)*a14a!$I$24/1000000</f>
        <v>7.7272628724214973</v>
      </c>
      <c r="CB22" s="99">
        <v>41.3</v>
      </c>
      <c r="CC22" s="99">
        <f>(CB22)*a14a!$J$24/1000000</f>
        <v>7.5340872440475737</v>
      </c>
      <c r="CD22" s="99">
        <v>543</v>
      </c>
      <c r="CE22" s="99">
        <f t="shared" si="14"/>
        <v>49.634807729273142</v>
      </c>
      <c r="CF22" s="99">
        <f>'a1'!AD23/1000</f>
        <v>723.28700000000003</v>
      </c>
      <c r="CG22" s="100">
        <f t="shared" si="15"/>
        <v>68623.945583527893</v>
      </c>
      <c r="CH22" s="100">
        <f>CG22/'a8'!AA$39*100</f>
        <v>67146.717792101656</v>
      </c>
      <c r="CI22" s="99">
        <v>1347</v>
      </c>
      <c r="CJ22" s="100">
        <f>(CI22)*a14a!$E$29/1000000</f>
        <v>97.03398531117125</v>
      </c>
      <c r="CK22" s="99">
        <v>2410.1999999999998</v>
      </c>
      <c r="CL22" s="100">
        <f>(CK22)*a14a!$F$29/1000000</f>
        <v>217.02979899497484</v>
      </c>
      <c r="CM22" s="99"/>
      <c r="CN22" s="99"/>
      <c r="CO22" s="99">
        <v>371.1</v>
      </c>
      <c r="CP22" s="99">
        <f>(CO22)*a14a!$H$29/1000000</f>
        <v>46.344038686128904</v>
      </c>
      <c r="CQ22" s="99">
        <v>640.6</v>
      </c>
      <c r="CR22" s="99">
        <f>(CQ22)*a14a!$I$29/1000000</f>
        <v>87.584950835392476</v>
      </c>
      <c r="CS22" s="99">
        <v>449.3</v>
      </c>
      <c r="CT22" s="99">
        <f>(CS22)*a14a!$J$29/1000000</f>
        <v>91.953187020631958</v>
      </c>
      <c r="CU22" s="99">
        <v>5196</v>
      </c>
      <c r="CV22" s="99">
        <f t="shared" si="16"/>
        <v>539.94596084829936</v>
      </c>
      <c r="CW22" s="99">
        <f>'a1'!AJ23/1000</f>
        <v>6665.8019999999997</v>
      </c>
      <c r="CX22" s="100">
        <f t="shared" si="17"/>
        <v>81002.400138542871</v>
      </c>
      <c r="CY22" s="100">
        <f>CX22/'a8'!AG$39*100</f>
        <v>82487.169183852209</v>
      </c>
      <c r="CZ22" s="99">
        <v>1211.4000000000001</v>
      </c>
      <c r="DA22" s="100">
        <f>(CZ22)*a14a!$E$34/1000000</f>
        <v>81.672452800170873</v>
      </c>
      <c r="DB22" s="99">
        <v>3678.3</v>
      </c>
      <c r="DC22" s="100">
        <f>(DB22)*a14a!$F$34/1000000</f>
        <v>309.98821934834541</v>
      </c>
      <c r="DD22" s="99"/>
      <c r="DE22" s="99"/>
      <c r="DF22" s="99">
        <v>749</v>
      </c>
      <c r="DG22" s="99">
        <f>(DF22)*a14a!$H$34/1000000</f>
        <v>85.830721850379291</v>
      </c>
      <c r="DH22" s="99">
        <v>815.1</v>
      </c>
      <c r="DI22" s="99">
        <f>(DH22)*a14a!$I$34/1000000</f>
        <v>99.403661531014777</v>
      </c>
      <c r="DJ22" s="99">
        <v>846.3</v>
      </c>
      <c r="DK22" s="99">
        <f>(DJ22)*a14a!$J$34/1000000</f>
        <v>155.4753227563435</v>
      </c>
      <c r="DL22" s="99">
        <v>7268.4</v>
      </c>
      <c r="DM22" s="99">
        <f t="shared" si="18"/>
        <v>732.37037828625387</v>
      </c>
      <c r="DN22" s="99">
        <f>'a1'!AP23/1000</f>
        <v>9294.6569999999992</v>
      </c>
      <c r="DO22" s="100">
        <f t="shared" si="19"/>
        <v>78794.771908877752</v>
      </c>
      <c r="DP22" s="100">
        <f>DO22/'a8'!AM$39*100</f>
        <v>80484.955984553366</v>
      </c>
      <c r="DQ22" s="99">
        <v>158</v>
      </c>
      <c r="DR22" s="100">
        <f>(DQ22)*a14a!$E$39/1000000</f>
        <v>14.127772002274464</v>
      </c>
      <c r="DS22" s="99">
        <v>419</v>
      </c>
      <c r="DT22" s="100">
        <f>(DS22)*a14a!$F$39/1000000</f>
        <v>46.831775861969938</v>
      </c>
      <c r="DU22" s="99"/>
      <c r="DV22" s="99"/>
      <c r="DW22" s="99">
        <v>76.900000000000006</v>
      </c>
      <c r="DX22" s="99">
        <f>(DW22)*a14a!$H$39/1000000</f>
        <v>11.639676204247889</v>
      </c>
      <c r="DY22" s="99">
        <v>78.2</v>
      </c>
      <c r="DZ22" s="99">
        <f>(DY22)*a14a!$I$39/1000000</f>
        <v>13.144636713589003</v>
      </c>
      <c r="EA22" s="99">
        <v>75.3</v>
      </c>
      <c r="EB22" s="99">
        <f>(EA22)*a14a!$J$39/1000000</f>
        <v>16.68484719063693</v>
      </c>
      <c r="EC22" s="99">
        <v>805.1</v>
      </c>
      <c r="ED22" s="99">
        <f t="shared" si="20"/>
        <v>102.42870797271823</v>
      </c>
      <c r="EE22" s="99">
        <f>'a1'!AV23/1000</f>
        <v>1082.4949999999999</v>
      </c>
      <c r="EF22" s="100">
        <f t="shared" si="21"/>
        <v>94622.800080109591</v>
      </c>
      <c r="EG22" s="100">
        <f>EF22/'a8'!AS$39*100</f>
        <v>96850.358321504187</v>
      </c>
      <c r="EH22" s="99">
        <v>154.1</v>
      </c>
      <c r="EI22" s="100">
        <f>(EH22)*a14a!$E$44/1000000</f>
        <v>12.293846075452898</v>
      </c>
      <c r="EJ22" s="99">
        <v>385.3</v>
      </c>
      <c r="EK22" s="100">
        <f>(EJ22)*a14a!$F$44/1000000</f>
        <v>38.423255133614553</v>
      </c>
      <c r="EL22" s="99"/>
      <c r="EM22" s="99"/>
      <c r="EN22" s="99">
        <v>61.7</v>
      </c>
      <c r="EO22" s="99">
        <f>(EN22)*a14a!$H$44/1000000</f>
        <v>9.4380128995742769</v>
      </c>
      <c r="EP22" s="99">
        <v>87.9</v>
      </c>
      <c r="EQ22" s="99">
        <f>(EP22)*a14a!$I$44/1000000</f>
        <v>14.454423438726744</v>
      </c>
      <c r="ER22" s="99">
        <v>61.2</v>
      </c>
      <c r="ES22" s="99">
        <f>(ER22)*a14a!$J$44/1000000</f>
        <v>20.851970987106871</v>
      </c>
      <c r="ET22" s="99">
        <v>747.2</v>
      </c>
      <c r="EU22" s="99">
        <f t="shared" si="22"/>
        <v>95.461508534475342</v>
      </c>
      <c r="EV22" s="99">
        <f>'a1'!BB23/1000</f>
        <v>1024.9280000000001</v>
      </c>
      <c r="EW22" s="100">
        <f t="shared" si="23"/>
        <v>93139.721555538854</v>
      </c>
      <c r="EX22" s="100">
        <f>EW22/'a8'!AY$39*100</f>
        <v>96919.585385576342</v>
      </c>
      <c r="EY22" s="99">
        <v>210.8</v>
      </c>
      <c r="EZ22" s="100">
        <f>(EY22)*a14a!$E$49/1000000</f>
        <v>14.243707764709075</v>
      </c>
      <c r="FA22" s="99">
        <v>937</v>
      </c>
      <c r="FB22" s="100">
        <f>(FA22)*a14a!$F$49/1000000</f>
        <v>79.141094494380951</v>
      </c>
      <c r="FC22" s="99"/>
      <c r="FD22" s="99"/>
      <c r="FE22" s="99">
        <v>182</v>
      </c>
      <c r="FF22" s="99">
        <f>(FE22)*a14a!$H$49/1000000</f>
        <v>21.42262929407951</v>
      </c>
      <c r="FG22" s="99">
        <v>260.39999999999998</v>
      </c>
      <c r="FH22" s="99">
        <f>(FG22)*a14a!$I$49/1000000</f>
        <v>31.58288092429051</v>
      </c>
      <c r="FI22" s="99">
        <v>208.3</v>
      </c>
      <c r="FJ22" s="99">
        <f>(FI22)*a14a!$J$49/1000000</f>
        <v>44.794334257550283</v>
      </c>
      <c r="FK22" s="99">
        <v>1791.1</v>
      </c>
      <c r="FL22" s="99">
        <f t="shared" si="24"/>
        <v>191.18464673501032</v>
      </c>
      <c r="FM22" s="99">
        <f>'a1'!BH23/1000</f>
        <v>2404.4899999999998</v>
      </c>
      <c r="FN22" s="100">
        <f t="shared" si="25"/>
        <v>79511.516677137493</v>
      </c>
      <c r="FO22" s="100">
        <f>FN22/'a8'!BE$39*100</f>
        <v>77496.604948477092</v>
      </c>
      <c r="FP22" s="99">
        <v>268.2</v>
      </c>
      <c r="FQ22" s="100">
        <f>(FP22)*a14a!$E$54/1000000</f>
        <v>20.898799455803236</v>
      </c>
      <c r="FR22" s="99">
        <v>1290.2</v>
      </c>
      <c r="FS22" s="100">
        <f>(FR22)*a14a!$F$54/1000000</f>
        <v>125.66942141068854</v>
      </c>
      <c r="FT22" s="99"/>
      <c r="FU22" s="99"/>
      <c r="FV22" s="99">
        <v>275.7</v>
      </c>
      <c r="FW22" s="99">
        <f>(FV22)*a14a!$H$54/1000000</f>
        <v>37.238418882642975</v>
      </c>
      <c r="FX22" s="99">
        <v>229.4</v>
      </c>
      <c r="FY22" s="99">
        <f>(FX22)*a14a!$I$54/1000000</f>
        <v>32.292944685038592</v>
      </c>
      <c r="FZ22" s="99">
        <v>257.10000000000002</v>
      </c>
      <c r="GA22" s="99">
        <f>(FZ22)*a14a!$J$54/1000000</f>
        <v>61.45051027597534</v>
      </c>
      <c r="GB22" s="99">
        <v>2306.6</v>
      </c>
      <c r="GC22" s="99">
        <f t="shared" si="26"/>
        <v>277.55009471014864</v>
      </c>
      <c r="GD22" s="99">
        <f>'a1'!BN23/1000</f>
        <v>2975.1309999999999</v>
      </c>
      <c r="GE22" s="100">
        <f t="shared" si="27"/>
        <v>93290.041584773455</v>
      </c>
      <c r="GF22" s="100">
        <f>GE22/'a8'!BK$39*100</f>
        <v>93196.844740033426</v>
      </c>
    </row>
    <row r="23" spans="1:188" s="26" customFormat="1" ht="16.5" customHeight="1">
      <c r="A23" s="202">
        <v>1986</v>
      </c>
      <c r="B23" s="99">
        <v>3715.3</v>
      </c>
      <c r="C23" s="168">
        <f>B23*a14a!$E$4/1000000</f>
        <v>262.80555868225855</v>
      </c>
      <c r="D23" s="99">
        <v>9969.7999999999993</v>
      </c>
      <c r="E23" s="168">
        <f>D23*a14a!$F$4/1000000</f>
        <v>881.53004432696582</v>
      </c>
      <c r="F23" s="99"/>
      <c r="G23" s="99"/>
      <c r="H23" s="99">
        <v>1892.4</v>
      </c>
      <c r="I23" s="168">
        <f>H23*a14a!$H$4/1000000</f>
        <v>230.84345947067777</v>
      </c>
      <c r="J23" s="99">
        <v>2424.3000000000002</v>
      </c>
      <c r="K23" s="168">
        <f>J23*a14a!$I$4/1000000</f>
        <v>317.38708234203062</v>
      </c>
      <c r="L23" s="99">
        <v>2091.1</v>
      </c>
      <c r="M23" s="168">
        <f>L23*a14a!$J$4/1000000</f>
        <v>424.22363962476123</v>
      </c>
      <c r="N23" s="99">
        <v>20093.2</v>
      </c>
      <c r="O23" s="99">
        <f t="shared" si="28"/>
        <v>2116.7897844466938</v>
      </c>
      <c r="P23" s="168">
        <f>'a1'!F24/1000</f>
        <v>26100.277999999998</v>
      </c>
      <c r="Q23" s="100">
        <f t="shared" si="5"/>
        <v>81102.193028238777</v>
      </c>
      <c r="R23" s="168">
        <f>Q23/'a8'!C$39*100</f>
        <v>82004.239664548804</v>
      </c>
      <c r="S23" s="99">
        <v>123.5</v>
      </c>
      <c r="T23" s="100">
        <f>(S23)*a14a!$E$9/1000000</f>
        <v>8.3969007098287243</v>
      </c>
      <c r="U23" s="99">
        <v>187.4</v>
      </c>
      <c r="V23" s="100">
        <f>(U23)*a14a!$F$9/1000000</f>
        <v>15.926914909128573</v>
      </c>
      <c r="W23" s="99"/>
      <c r="X23" s="99"/>
      <c r="Y23" s="99">
        <v>32.5</v>
      </c>
      <c r="Z23" s="99">
        <f>(Y23)*a14a!$H$9/1000000</f>
        <v>4.0385344678007877</v>
      </c>
      <c r="AA23" s="99">
        <v>56.8</v>
      </c>
      <c r="AB23" s="99">
        <f>(AA23)*a14a!$I$9/1000000</f>
        <v>8.4069236242944179</v>
      </c>
      <c r="AC23" s="99">
        <v>25.4</v>
      </c>
      <c r="AD23" s="99">
        <f>(AC23)*a14a!$J$9/1000000</f>
        <v>5.3261191245948769</v>
      </c>
      <c r="AE23" s="99">
        <v>424.2</v>
      </c>
      <c r="AF23" s="99">
        <f t="shared" si="8"/>
        <v>42.095392835647381</v>
      </c>
      <c r="AG23" s="99">
        <f>'a1'!L24/1000</f>
        <v>576.30600000000004</v>
      </c>
      <c r="AH23" s="100">
        <f t="shared" si="9"/>
        <v>73043.474882523136</v>
      </c>
      <c r="AI23" s="100">
        <f>AH23/'a8'!I$39*100</f>
        <v>73336.822171207968</v>
      </c>
      <c r="AJ23" s="99">
        <v>19.899999999999999</v>
      </c>
      <c r="AK23" s="100">
        <f>(AJ23)*a14a!$E$14/1000000</f>
        <v>1.1195399040466891</v>
      </c>
      <c r="AL23" s="99">
        <v>51.1</v>
      </c>
      <c r="AM23" s="100">
        <f>(AL23)*a14a!$F$14/1000000</f>
        <v>3.593498058843331</v>
      </c>
      <c r="AN23" s="99"/>
      <c r="AO23" s="99"/>
      <c r="AP23" s="99">
        <v>9.1</v>
      </c>
      <c r="AQ23" s="99">
        <f>(AP23)*a14a!$H$14/1000000</f>
        <v>0.98906037353624221</v>
      </c>
      <c r="AR23" s="99">
        <v>8.3000000000000007</v>
      </c>
      <c r="AS23" s="99">
        <f>(AR23)*a14a!$I$14/1000000</f>
        <v>1.1825322184268037</v>
      </c>
      <c r="AT23" s="99">
        <v>8.1</v>
      </c>
      <c r="AU23" s="99">
        <f>(AT23)*a14a!$J$14/1000000</f>
        <v>1.4756323515254641</v>
      </c>
      <c r="AV23" s="99">
        <v>96</v>
      </c>
      <c r="AW23" s="99">
        <f t="shared" si="10"/>
        <v>8.3602629063785301</v>
      </c>
      <c r="AX23" s="99">
        <f>'a1'!R24/1000</f>
        <v>128.43600000000001</v>
      </c>
      <c r="AY23" s="100">
        <f t="shared" si="11"/>
        <v>65092.831498789514</v>
      </c>
      <c r="AZ23" s="100">
        <f>AY23/'a8'!O$39*100</f>
        <v>67036.901646539147</v>
      </c>
      <c r="BA23" s="99">
        <v>125.6</v>
      </c>
      <c r="BB23" s="100">
        <f>(BA23)*a14a!$E$19/1000000</f>
        <v>7.4783363743229883</v>
      </c>
      <c r="BC23" s="99">
        <v>354.4</v>
      </c>
      <c r="BD23" s="100">
        <f>(BC23)*a14a!$F$19/1000000</f>
        <v>26.376616352110542</v>
      </c>
      <c r="BE23" s="99"/>
      <c r="BF23" s="99"/>
      <c r="BG23" s="99">
        <v>52.1</v>
      </c>
      <c r="BH23" s="99">
        <f>(BG23)*a14a!$H$19/1000000</f>
        <v>5.5063226124629159</v>
      </c>
      <c r="BI23" s="99">
        <v>81.400000000000006</v>
      </c>
      <c r="BJ23" s="99">
        <f>(BI23)*a14a!$I$19/1000000</f>
        <v>9.6554523500905063</v>
      </c>
      <c r="BK23" s="99">
        <v>64</v>
      </c>
      <c r="BL23" s="99">
        <f>(BK23)*a14a!$J$19/1000000</f>
        <v>11.50775303583247</v>
      </c>
      <c r="BM23" s="99">
        <v>675</v>
      </c>
      <c r="BN23" s="99">
        <f t="shared" si="12"/>
        <v>60.524480724819426</v>
      </c>
      <c r="BO23" s="99">
        <f>'a1'!X24/1000</f>
        <v>889.08699999999999</v>
      </c>
      <c r="BP23" s="100">
        <f t="shared" si="13"/>
        <v>68074.868629076154</v>
      </c>
      <c r="BQ23" s="100">
        <f>BP23/'a8'!U$39*100</f>
        <v>68416.953396056429</v>
      </c>
      <c r="BR23" s="99">
        <v>142.19999999999999</v>
      </c>
      <c r="BS23" s="100">
        <f>(BR23)*a14a!$E$24/1000000</f>
        <v>8.7747529304634284</v>
      </c>
      <c r="BT23" s="99">
        <v>263.10000000000002</v>
      </c>
      <c r="BU23" s="100">
        <f>(BT23)*a14a!$F$24/1000000</f>
        <v>20.293930168819692</v>
      </c>
      <c r="BV23" s="99"/>
      <c r="BW23" s="99"/>
      <c r="BX23" s="99">
        <v>43</v>
      </c>
      <c r="BY23" s="99">
        <f>(BX23)*a14a!$H$24/1000000</f>
        <v>4.9813382810791822</v>
      </c>
      <c r="BZ23" s="99">
        <v>57.4</v>
      </c>
      <c r="CA23" s="99">
        <f>(BZ23)*a14a!$I$24/1000000</f>
        <v>8.5958311797867051</v>
      </c>
      <c r="CB23" s="99">
        <v>43.9</v>
      </c>
      <c r="CC23" s="99">
        <f>(CB23)*a14a!$J$24/1000000</f>
        <v>8.00838813592466</v>
      </c>
      <c r="CD23" s="99">
        <v>547.20000000000005</v>
      </c>
      <c r="CE23" s="99">
        <f t="shared" si="14"/>
        <v>50.654240696073671</v>
      </c>
      <c r="CF23" s="99">
        <f>'a1'!AD24/1000</f>
        <v>725.01900000000001</v>
      </c>
      <c r="CG23" s="100">
        <f t="shared" si="15"/>
        <v>69866.087228160468</v>
      </c>
      <c r="CH23" s="100">
        <f>CG23/'a8'!AA$39*100</f>
        <v>68362.120575499473</v>
      </c>
      <c r="CI23" s="99">
        <v>1330.5</v>
      </c>
      <c r="CJ23" s="100">
        <f>(CI23)*a14a!$E$29/1000000</f>
        <v>95.845373018940862</v>
      </c>
      <c r="CK23" s="99">
        <v>2375.6999999999998</v>
      </c>
      <c r="CL23" s="100">
        <f>(CK23)*a14a!$F$29/1000000</f>
        <v>213.92319868573637</v>
      </c>
      <c r="CM23" s="99"/>
      <c r="CN23" s="99"/>
      <c r="CO23" s="99">
        <v>390.7</v>
      </c>
      <c r="CP23" s="99">
        <f>(CO23)*a14a!$H$29/1000000</f>
        <v>48.791743235436705</v>
      </c>
      <c r="CQ23" s="99">
        <v>676.7</v>
      </c>
      <c r="CR23" s="99">
        <f>(CQ23)*a14a!$I$29/1000000</f>
        <v>92.520662239010449</v>
      </c>
      <c r="CS23" s="99">
        <v>489.4</v>
      </c>
      <c r="CT23" s="99">
        <f>(CS23)*a14a!$J$29/1000000</f>
        <v>100.16000384575402</v>
      </c>
      <c r="CU23" s="99">
        <v>5240.5</v>
      </c>
      <c r="CV23" s="99">
        <f t="shared" si="16"/>
        <v>551.24098102487835</v>
      </c>
      <c r="CW23" s="99">
        <f>'a1'!AJ24/1000</f>
        <v>6708.17</v>
      </c>
      <c r="CX23" s="100">
        <f t="shared" si="17"/>
        <v>82174.569372105703</v>
      </c>
      <c r="CY23" s="100">
        <f>CX23/'a8'!AG$39*100</f>
        <v>83680.824207846948</v>
      </c>
      <c r="CZ23" s="99">
        <v>1191.5</v>
      </c>
      <c r="DA23" s="100">
        <f>(CZ23)*a14a!$E$34/1000000</f>
        <v>80.330797021135538</v>
      </c>
      <c r="DB23" s="99">
        <v>3755.4</v>
      </c>
      <c r="DC23" s="100">
        <f>(DB23)*a14a!$F$34/1000000</f>
        <v>316.48581109229167</v>
      </c>
      <c r="DD23" s="99"/>
      <c r="DE23" s="99"/>
      <c r="DF23" s="99">
        <v>757.1</v>
      </c>
      <c r="DG23" s="99">
        <f>(DF23)*a14a!$H$34/1000000</f>
        <v>86.758931258908092</v>
      </c>
      <c r="DH23" s="99">
        <v>868.8</v>
      </c>
      <c r="DI23" s="99">
        <f>(DH23)*a14a!$I$34/1000000</f>
        <v>105.95252255937386</v>
      </c>
      <c r="DJ23" s="99">
        <v>860</v>
      </c>
      <c r="DK23" s="99">
        <f>(DJ23)*a14a!$J$34/1000000</f>
        <v>157.99217484397428</v>
      </c>
      <c r="DL23" s="99">
        <v>7399.6</v>
      </c>
      <c r="DM23" s="99">
        <f t="shared" si="18"/>
        <v>747.52023677568354</v>
      </c>
      <c r="DN23" s="99">
        <f>'a1'!AP24/1000</f>
        <v>9437.3590000000004</v>
      </c>
      <c r="DO23" s="100">
        <f t="shared" si="19"/>
        <v>79208.625715699018</v>
      </c>
      <c r="DP23" s="100">
        <f>DO23/'a8'!AM$39*100</f>
        <v>80907.687145759977</v>
      </c>
      <c r="DQ23" s="99">
        <v>148.30000000000001</v>
      </c>
      <c r="DR23" s="100">
        <f>(DQ23)*a14a!$E$39/1000000</f>
        <v>13.260434100869007</v>
      </c>
      <c r="DS23" s="99">
        <v>425.6</v>
      </c>
      <c r="DT23" s="100">
        <f>(DS23)*a14a!$F$39/1000000</f>
        <v>47.56946015955706</v>
      </c>
      <c r="DU23" s="99"/>
      <c r="DV23" s="99"/>
      <c r="DW23" s="99">
        <v>77</v>
      </c>
      <c r="DX23" s="99">
        <f>(DW23)*a14a!$H$39/1000000</f>
        <v>11.654812324149381</v>
      </c>
      <c r="DY23" s="99">
        <v>81.599999999999994</v>
      </c>
      <c r="DZ23" s="99">
        <f>(DY23)*a14a!$I$39/1000000</f>
        <v>13.716142657658089</v>
      </c>
      <c r="EA23" s="99">
        <v>82.9</v>
      </c>
      <c r="EB23" s="99">
        <f>(EA23)*a14a!$J$39/1000000</f>
        <v>18.368842391816752</v>
      </c>
      <c r="EC23" s="99">
        <v>813.2</v>
      </c>
      <c r="ED23" s="99">
        <f t="shared" si="20"/>
        <v>104.5696916340503</v>
      </c>
      <c r="EE23" s="99">
        <f>'a1'!AV24/1000</f>
        <v>1091.5519999999999</v>
      </c>
      <c r="EF23" s="100">
        <f t="shared" si="21"/>
        <v>95799.093065699388</v>
      </c>
      <c r="EG23" s="100">
        <f>EF23/'a8'!AS$39*100</f>
        <v>98054.34295363295</v>
      </c>
      <c r="EH23" s="99">
        <v>152.80000000000001</v>
      </c>
      <c r="EI23" s="100">
        <f>(EH23)*a14a!$E$44/1000000</f>
        <v>12.19013420070865</v>
      </c>
      <c r="EJ23" s="99">
        <v>381.6</v>
      </c>
      <c r="EK23" s="100">
        <f>(EJ23)*a14a!$F$44/1000000</f>
        <v>38.054280194620588</v>
      </c>
      <c r="EL23" s="99"/>
      <c r="EM23" s="99"/>
      <c r="EN23" s="99">
        <v>66.3</v>
      </c>
      <c r="EO23" s="99">
        <f>(EN23)*a14a!$H$44/1000000</f>
        <v>10.14165729727349</v>
      </c>
      <c r="EP23" s="99">
        <v>91.5</v>
      </c>
      <c r="EQ23" s="99">
        <f>(EP23)*a14a!$I$44/1000000</f>
        <v>15.046413477172889</v>
      </c>
      <c r="ER23" s="99">
        <v>61.4</v>
      </c>
      <c r="ES23" s="99">
        <f>(ER23)*a14a!$J$44/1000000</f>
        <v>20.920114683143169</v>
      </c>
      <c r="ET23" s="99">
        <v>750.5</v>
      </c>
      <c r="EU23" s="99">
        <f t="shared" si="22"/>
        <v>96.352599852918786</v>
      </c>
      <c r="EV23" s="99">
        <f>'a1'!BB24/1000</f>
        <v>1028.7170000000001</v>
      </c>
      <c r="EW23" s="100">
        <f t="shared" si="23"/>
        <v>93662.882846223773</v>
      </c>
      <c r="EX23" s="100">
        <f>EW23/'a8'!AY$39*100</f>
        <v>97463.977987745864</v>
      </c>
      <c r="EY23" s="99">
        <v>201.7</v>
      </c>
      <c r="EZ23" s="100">
        <f>(EY23)*a14a!$E$49/1000000</f>
        <v>13.628822846972582</v>
      </c>
      <c r="FA23" s="99">
        <v>936</v>
      </c>
      <c r="FB23" s="100">
        <f>(FA23)*a14a!$F$49/1000000</f>
        <v>79.056632280406163</v>
      </c>
      <c r="FC23" s="99"/>
      <c r="FD23" s="99"/>
      <c r="FE23" s="99">
        <v>185.8</v>
      </c>
      <c r="FF23" s="99">
        <f>(FE23)*a14a!$H$49/1000000</f>
        <v>21.869914960659191</v>
      </c>
      <c r="FG23" s="99">
        <v>273.5</v>
      </c>
      <c r="FH23" s="99">
        <f>(FG23)*a14a!$I$49/1000000</f>
        <v>33.171727852509434</v>
      </c>
      <c r="FI23" s="99">
        <v>222.1</v>
      </c>
      <c r="FJ23" s="99">
        <f>(FI23)*a14a!$J$49/1000000</f>
        <v>47.761985783014481</v>
      </c>
      <c r="FK23" s="99">
        <v>1811.9</v>
      </c>
      <c r="FL23" s="99">
        <f t="shared" si="24"/>
        <v>195.48908372356186</v>
      </c>
      <c r="FM23" s="99">
        <f>'a1'!BH24/1000</f>
        <v>2432.9299999999998</v>
      </c>
      <c r="FN23" s="100">
        <f t="shared" si="25"/>
        <v>80351.298115260972</v>
      </c>
      <c r="FO23" s="100">
        <f>FN23/'a8'!BE$39*100</f>
        <v>78315.105375498024</v>
      </c>
      <c r="FP23" s="99">
        <v>258.7</v>
      </c>
      <c r="FQ23" s="100">
        <f>(FP23)*a14a!$E$54/1000000</f>
        <v>20.158536238688651</v>
      </c>
      <c r="FR23" s="99">
        <v>1277.5</v>
      </c>
      <c r="FS23" s="100">
        <f>(FR23)*a14a!$F$54/1000000</f>
        <v>124.43240261366812</v>
      </c>
      <c r="FT23" s="99"/>
      <c r="FU23" s="99"/>
      <c r="FV23" s="99">
        <v>291.3</v>
      </c>
      <c r="FW23" s="99">
        <f>(FV23)*a14a!$H$54/1000000</f>
        <v>39.345489374370331</v>
      </c>
      <c r="FX23" s="99">
        <v>249.4</v>
      </c>
      <c r="FY23" s="99">
        <f>(FX23)*a14a!$I$54/1000000</f>
        <v>35.108371423054166</v>
      </c>
      <c r="FZ23" s="99">
        <v>272.2</v>
      </c>
      <c r="GA23" s="99">
        <f>(FZ23)*a14a!$J$54/1000000</f>
        <v>65.059622314743237</v>
      </c>
      <c r="GB23" s="99">
        <v>2335.1</v>
      </c>
      <c r="GC23" s="99">
        <f t="shared" si="26"/>
        <v>284.10442196452453</v>
      </c>
      <c r="GD23" s="99">
        <f>'a1'!BN24/1000</f>
        <v>3003.6210000000001</v>
      </c>
      <c r="GE23" s="100">
        <f t="shared" si="27"/>
        <v>94587.30710849489</v>
      </c>
      <c r="GF23" s="100">
        <f>GE23/'a8'!BK$39*100</f>
        <v>94492.814294200696</v>
      </c>
    </row>
    <row r="24" spans="1:188" s="26" customFormat="1" ht="16.5" customHeight="1">
      <c r="A24" s="202">
        <v>1987</v>
      </c>
      <c r="B24" s="99">
        <v>3599.6</v>
      </c>
      <c r="C24" s="168">
        <f>B24*a14a!$E$4/1000000</f>
        <v>254.62140043405861</v>
      </c>
      <c r="D24" s="99">
        <v>10078.5</v>
      </c>
      <c r="E24" s="168">
        <f>D24*a14a!$F$4/1000000</f>
        <v>891.14130190669084</v>
      </c>
      <c r="F24" s="99"/>
      <c r="G24" s="99"/>
      <c r="H24" s="99">
        <v>1882.8</v>
      </c>
      <c r="I24" s="168">
        <f>H24*a14a!$H$4/1000000</f>
        <v>229.67240831293176</v>
      </c>
      <c r="J24" s="99">
        <v>2534.1</v>
      </c>
      <c r="K24" s="168">
        <f>J24*a14a!$I$4/1000000</f>
        <v>331.76199536482272</v>
      </c>
      <c r="L24" s="99">
        <v>2254</v>
      </c>
      <c r="M24" s="168">
        <f>L24*a14a!$J$4/1000000</f>
        <v>457.27133265468501</v>
      </c>
      <c r="N24" s="99">
        <v>20348.099999999999</v>
      </c>
      <c r="O24" s="99">
        <f t="shared" si="28"/>
        <v>2164.4684386731888</v>
      </c>
      <c r="P24" s="168">
        <f>'a1'!F25/1000</f>
        <v>26446.600999999999</v>
      </c>
      <c r="Q24" s="100">
        <f t="shared" si="5"/>
        <v>81842.972511786633</v>
      </c>
      <c r="R24" s="168">
        <f>Q24/'a8'!C$39*100</f>
        <v>82753.258353677069</v>
      </c>
      <c r="S24" s="99">
        <v>119</v>
      </c>
      <c r="T24" s="100">
        <f>(S24)*a14a!$E$9/1000000</f>
        <v>8.09094076493618</v>
      </c>
      <c r="U24" s="99">
        <v>187.4</v>
      </c>
      <c r="V24" s="100">
        <f>(U24)*a14a!$F$9/1000000</f>
        <v>15.926914909128573</v>
      </c>
      <c r="W24" s="99"/>
      <c r="X24" s="99"/>
      <c r="Y24" s="99">
        <v>36.5</v>
      </c>
      <c r="Z24" s="99">
        <f>(Y24)*a14a!$H$9/1000000</f>
        <v>4.5355848638378076</v>
      </c>
      <c r="AA24" s="99">
        <v>57.5</v>
      </c>
      <c r="AB24" s="99">
        <f>(AA24)*a14a!$I$9/1000000</f>
        <v>8.5105300774107207</v>
      </c>
      <c r="AC24" s="99">
        <v>27.9</v>
      </c>
      <c r="AD24" s="99">
        <f>(AC24)*a14a!$J$9/1000000</f>
        <v>5.850343447881774</v>
      </c>
      <c r="AE24" s="99">
        <v>427.1</v>
      </c>
      <c r="AF24" s="99">
        <f t="shared" si="8"/>
        <v>42.914314063195057</v>
      </c>
      <c r="AG24" s="99">
        <f>'a1'!L25/1000</f>
        <v>575.24199999999996</v>
      </c>
      <c r="AH24" s="100">
        <f t="shared" si="9"/>
        <v>74602.191883059757</v>
      </c>
      <c r="AI24" s="100">
        <f>AH24/'a8'!I$39*100</f>
        <v>74901.799079377262</v>
      </c>
      <c r="AJ24" s="99">
        <v>20</v>
      </c>
      <c r="AK24" s="100">
        <f>(AJ24)*a14a!$E$14/1000000</f>
        <v>1.1251657327102407</v>
      </c>
      <c r="AL24" s="99">
        <v>52.6</v>
      </c>
      <c r="AM24" s="100">
        <f>(AL24)*a14a!$F$14/1000000</f>
        <v>3.6989823462849163</v>
      </c>
      <c r="AN24" s="99"/>
      <c r="AO24" s="99"/>
      <c r="AP24" s="99">
        <v>9.1999999999999993</v>
      </c>
      <c r="AQ24" s="99">
        <f>(AP24)*a14a!$H$14/1000000</f>
        <v>0.9999291688498273</v>
      </c>
      <c r="AR24" s="99">
        <v>7.8</v>
      </c>
      <c r="AS24" s="99">
        <f>(AR24)*a14a!$I$14/1000000</f>
        <v>1.1112953377986827</v>
      </c>
      <c r="AT24" s="99">
        <v>7.2</v>
      </c>
      <c r="AU24" s="99">
        <f>(AT24)*a14a!$J$14/1000000</f>
        <v>1.3116732013559682</v>
      </c>
      <c r="AV24" s="99">
        <v>96.3</v>
      </c>
      <c r="AW24" s="99">
        <f t="shared" si="10"/>
        <v>8.2470457869996352</v>
      </c>
      <c r="AX24" s="99">
        <f>'a1'!R25/1000</f>
        <v>128.64099999999999</v>
      </c>
      <c r="AY24" s="100">
        <f t="shared" si="11"/>
        <v>64108.999362564311</v>
      </c>
      <c r="AZ24" s="100">
        <f>AY24/'a8'!O$39*100</f>
        <v>66023.686264226897</v>
      </c>
      <c r="BA24" s="99">
        <v>128.80000000000001</v>
      </c>
      <c r="BB24" s="100">
        <f>(BA24)*a14a!$E$19/1000000</f>
        <v>7.6688672373630657</v>
      </c>
      <c r="BC24" s="99">
        <v>355.6</v>
      </c>
      <c r="BD24" s="100">
        <f>(BC24)*a14a!$F$19/1000000</f>
        <v>26.46592769416058</v>
      </c>
      <c r="BE24" s="99"/>
      <c r="BF24" s="99"/>
      <c r="BG24" s="99">
        <v>52.7</v>
      </c>
      <c r="BH24" s="99">
        <f>(BG24)*a14a!$H$19/1000000</f>
        <v>5.5697351569442546</v>
      </c>
      <c r="BI24" s="99">
        <v>75</v>
      </c>
      <c r="BJ24" s="99">
        <f>(BI24)*a14a!$I$19/1000000</f>
        <v>8.8963013053659434</v>
      </c>
      <c r="BK24" s="99">
        <v>70.5</v>
      </c>
      <c r="BL24" s="99">
        <f>(BK24)*a14a!$J$19/1000000</f>
        <v>12.676509203534206</v>
      </c>
      <c r="BM24" s="99">
        <v>680.2</v>
      </c>
      <c r="BN24" s="99">
        <f t="shared" si="12"/>
        <v>61.277340597368052</v>
      </c>
      <c r="BO24" s="99">
        <f>'a1'!X25/1000</f>
        <v>893.60599999999999</v>
      </c>
      <c r="BP24" s="100">
        <f t="shared" si="13"/>
        <v>68573.107832051319</v>
      </c>
      <c r="BQ24" s="100">
        <f>BP24/'a8'!U$39*100</f>
        <v>68917.69631361941</v>
      </c>
      <c r="BR24" s="99">
        <v>139.9</v>
      </c>
      <c r="BS24" s="100">
        <f>(BR24)*a14a!$E$24/1000000</f>
        <v>8.6328265469186611</v>
      </c>
      <c r="BT24" s="99">
        <v>265.10000000000002</v>
      </c>
      <c r="BU24" s="100">
        <f>(BT24)*a14a!$F$24/1000000</f>
        <v>20.448197977020524</v>
      </c>
      <c r="BV24" s="99"/>
      <c r="BW24" s="99"/>
      <c r="BX24" s="99">
        <v>42.5</v>
      </c>
      <c r="BY24" s="99">
        <f>(BX24)*a14a!$H$24/1000000</f>
        <v>4.9234157429270988</v>
      </c>
      <c r="BZ24" s="99">
        <v>62.8</v>
      </c>
      <c r="CA24" s="99">
        <f>(BZ24)*a14a!$I$24/1000000</f>
        <v>9.4044982245750006</v>
      </c>
      <c r="CB24" s="99">
        <v>44</v>
      </c>
      <c r="CC24" s="99">
        <f>(CB24)*a14a!$J$24/1000000</f>
        <v>8.0266304779199338</v>
      </c>
      <c r="CD24" s="99">
        <v>551.9</v>
      </c>
      <c r="CE24" s="99">
        <f t="shared" si="14"/>
        <v>51.435568969361213</v>
      </c>
      <c r="CF24" s="99">
        <f>'a1'!AD25/1000</f>
        <v>727.76800000000003</v>
      </c>
      <c r="CG24" s="100">
        <f t="shared" si="15"/>
        <v>70675.777128647067</v>
      </c>
      <c r="CH24" s="100">
        <f>CG24/'a8'!AA$39*100</f>
        <v>69154.380752100842</v>
      </c>
      <c r="CI24" s="99">
        <v>1295.9000000000001</v>
      </c>
      <c r="CJ24" s="100">
        <f>(CI24)*a14a!$E$29/1000000</f>
        <v>93.352889060688057</v>
      </c>
      <c r="CK24" s="99">
        <v>2423.6999999999998</v>
      </c>
      <c r="CL24" s="100">
        <f>(CK24)*a14a!$F$29/1000000</f>
        <v>218.24542520293775</v>
      </c>
      <c r="CM24" s="99"/>
      <c r="CN24" s="99"/>
      <c r="CO24" s="99">
        <v>373.7</v>
      </c>
      <c r="CP24" s="99">
        <f>(CO24)*a14a!$H$29/1000000</f>
        <v>46.668734187567686</v>
      </c>
      <c r="CQ24" s="99">
        <v>686.5</v>
      </c>
      <c r="CR24" s="99">
        <f>(CQ24)*a14a!$I$29/1000000</f>
        <v>93.86055065328901</v>
      </c>
      <c r="CS24" s="99">
        <v>531.4</v>
      </c>
      <c r="CT24" s="99">
        <f>(CS24)*a14a!$J$29/1000000</f>
        <v>108.75567234089431</v>
      </c>
      <c r="CU24" s="99">
        <v>5290.9</v>
      </c>
      <c r="CV24" s="99">
        <f t="shared" si="16"/>
        <v>560.88327144537675</v>
      </c>
      <c r="CW24" s="99">
        <f>'a1'!AJ25/1000</f>
        <v>6781.9840000000004</v>
      </c>
      <c r="CX24" s="100">
        <f t="shared" si="17"/>
        <v>82701.945543572016</v>
      </c>
      <c r="CY24" s="100">
        <f>CX24/'a8'!AG$39*100</f>
        <v>84217.867152313658</v>
      </c>
      <c r="CZ24" s="99">
        <v>1116.7</v>
      </c>
      <c r="DA24" s="100">
        <f>(CZ24)*a14a!$E$34/1000000</f>
        <v>75.287789369284141</v>
      </c>
      <c r="DB24" s="99">
        <v>3807.6</v>
      </c>
      <c r="DC24" s="100">
        <f>(DB24)*a14a!$F$34/1000000</f>
        <v>320.88495880998283</v>
      </c>
      <c r="DD24" s="99"/>
      <c r="DE24" s="99"/>
      <c r="DF24" s="99">
        <v>763.1</v>
      </c>
      <c r="DG24" s="99">
        <f>(DF24)*a14a!$H$34/1000000</f>
        <v>87.446493783744245</v>
      </c>
      <c r="DH24" s="99">
        <v>927.9</v>
      </c>
      <c r="DI24" s="99">
        <f>(DH24)*a14a!$I$34/1000000</f>
        <v>113.15992827214893</v>
      </c>
      <c r="DJ24" s="99">
        <v>961.9</v>
      </c>
      <c r="DK24" s="99">
        <f>(DJ24)*a14a!$J$34/1000000</f>
        <v>176.71241044467308</v>
      </c>
      <c r="DL24" s="99">
        <v>7544.8</v>
      </c>
      <c r="DM24" s="99">
        <f t="shared" si="18"/>
        <v>773.49158067983319</v>
      </c>
      <c r="DN24" s="99">
        <f>'a1'!AP25/1000</f>
        <v>9637.9449999999997</v>
      </c>
      <c r="DO24" s="100">
        <f t="shared" si="19"/>
        <v>80254.824102008599</v>
      </c>
      <c r="DP24" s="100">
        <f>DO24/'a8'!AM$39*100</f>
        <v>81976.326968343812</v>
      </c>
      <c r="DQ24" s="99">
        <v>143.30000000000001</v>
      </c>
      <c r="DR24" s="100">
        <f>(DQ24)*a14a!$E$39/1000000</f>
        <v>12.813352708391966</v>
      </c>
      <c r="DS24" s="99">
        <v>421</v>
      </c>
      <c r="DT24" s="100">
        <f>(DS24)*a14a!$F$39/1000000</f>
        <v>47.05531655820846</v>
      </c>
      <c r="DU24" s="99"/>
      <c r="DV24" s="99"/>
      <c r="DW24" s="99">
        <v>85.4</v>
      </c>
      <c r="DX24" s="99">
        <f>(DW24)*a14a!$H$39/1000000</f>
        <v>12.926246395874768</v>
      </c>
      <c r="DY24" s="99">
        <v>89.1</v>
      </c>
      <c r="DZ24" s="99">
        <f>(DY24)*a14a!$I$39/1000000</f>
        <v>14.976817534281075</v>
      </c>
      <c r="EA24" s="99">
        <v>82</v>
      </c>
      <c r="EB24" s="99">
        <f>(EA24)*a14a!$J$39/1000000</f>
        <v>18.169421907466507</v>
      </c>
      <c r="EC24" s="99">
        <v>818.4</v>
      </c>
      <c r="ED24" s="99">
        <f t="shared" si="20"/>
        <v>105.94115510422276</v>
      </c>
      <c r="EE24" s="99">
        <f>'a1'!AV25/1000</f>
        <v>1098.373</v>
      </c>
      <c r="EF24" s="100">
        <f t="shared" si="21"/>
        <v>96452.80346860562</v>
      </c>
      <c r="EG24" s="100">
        <f>EF24/'a8'!AS$39*100</f>
        <v>98723.442649545148</v>
      </c>
      <c r="EH24" s="99">
        <v>148.80000000000001</v>
      </c>
      <c r="EI24" s="100">
        <f>(EH24)*a14a!$E$44/1000000</f>
        <v>11.871020739957114</v>
      </c>
      <c r="EJ24" s="99">
        <v>381.2</v>
      </c>
      <c r="EK24" s="100">
        <f>(EJ24)*a14a!$F$44/1000000</f>
        <v>38.014391012026643</v>
      </c>
      <c r="EL24" s="99"/>
      <c r="EM24" s="99"/>
      <c r="EN24" s="99">
        <v>71.7</v>
      </c>
      <c r="EO24" s="99">
        <f>(EN24)*a14a!$H$44/1000000</f>
        <v>10.967674633703007</v>
      </c>
      <c r="EP24" s="99">
        <v>91</v>
      </c>
      <c r="EQ24" s="99">
        <f>(EP24)*a14a!$I$44/1000000</f>
        <v>14.964192638499814</v>
      </c>
      <c r="ER24" s="99">
        <v>62.6</v>
      </c>
      <c r="ES24" s="99">
        <f>(ER24)*a14a!$J$44/1000000</f>
        <v>21.328976859360953</v>
      </c>
      <c r="ET24" s="99">
        <v>752.3</v>
      </c>
      <c r="EU24" s="99">
        <f t="shared" si="22"/>
        <v>97.146255883547525</v>
      </c>
      <c r="EV24" s="99">
        <f>'a1'!BB25/1000</f>
        <v>1032.799</v>
      </c>
      <c r="EW24" s="100">
        <f t="shared" si="23"/>
        <v>94061.144408106062</v>
      </c>
      <c r="EX24" s="100">
        <f>EW24/'a8'!AY$39*100</f>
        <v>97878.402089600495</v>
      </c>
      <c r="EY24" s="99">
        <v>208.6</v>
      </c>
      <c r="EZ24" s="100">
        <f>(EY24)*a14a!$E$49/1000000</f>
        <v>14.09505426811344</v>
      </c>
      <c r="FA24" s="99">
        <v>931.2</v>
      </c>
      <c r="FB24" s="100">
        <f>(FA24)*a14a!$F$49/1000000</f>
        <v>78.651213653327147</v>
      </c>
      <c r="FC24" s="99"/>
      <c r="FD24" s="99"/>
      <c r="FE24" s="99">
        <v>184.9</v>
      </c>
      <c r="FF24" s="99">
        <f>(FE24)*a14a!$H$49/1000000</f>
        <v>21.763978881732424</v>
      </c>
      <c r="FG24" s="99">
        <v>273.89999999999998</v>
      </c>
      <c r="FH24" s="99">
        <f>(FG24)*a14a!$I$49/1000000</f>
        <v>33.220242262531379</v>
      </c>
      <c r="FI24" s="99">
        <v>224.1</v>
      </c>
      <c r="FJ24" s="99">
        <f>(FI24)*a14a!$J$49/1000000</f>
        <v>48.192080206994802</v>
      </c>
      <c r="FK24" s="99">
        <v>1815</v>
      </c>
      <c r="FL24" s="99">
        <f t="shared" si="24"/>
        <v>195.92256927269921</v>
      </c>
      <c r="FM24" s="99">
        <f>'a1'!BH25/1000</f>
        <v>2440.877</v>
      </c>
      <c r="FN24" s="100">
        <f t="shared" si="25"/>
        <v>80267.284780306101</v>
      </c>
      <c r="FO24" s="100">
        <f>FN24/'a8'!BE$39*100</f>
        <v>78233.221033436741</v>
      </c>
      <c r="FP24" s="99">
        <v>263.10000000000002</v>
      </c>
      <c r="FQ24" s="100">
        <f>(FP24)*a14a!$E$54/1000000</f>
        <v>20.501394991878566</v>
      </c>
      <c r="FR24" s="99">
        <v>1284.8</v>
      </c>
      <c r="FS24" s="100">
        <f>(FR24)*a14a!$F$54/1000000</f>
        <v>125.14344491431766</v>
      </c>
      <c r="FT24" s="99"/>
      <c r="FU24" s="99"/>
      <c r="FV24" s="99">
        <v>276.5</v>
      </c>
      <c r="FW24" s="99">
        <f>(FV24)*a14a!$H$54/1000000</f>
        <v>37.346473779654637</v>
      </c>
      <c r="FX24" s="99">
        <v>285</v>
      </c>
      <c r="FY24" s="99">
        <f>(FX24)*a14a!$I$54/1000000</f>
        <v>40.119831016721882</v>
      </c>
      <c r="FZ24" s="99">
        <v>274.10000000000002</v>
      </c>
      <c r="GA24" s="99">
        <f>(FZ24)*a14a!$J$54/1000000</f>
        <v>65.513748995118021</v>
      </c>
      <c r="GB24" s="99">
        <v>2371.1999999999998</v>
      </c>
      <c r="GC24" s="99">
        <f t="shared" si="26"/>
        <v>288.62489369769077</v>
      </c>
      <c r="GD24" s="99">
        <f>'a1'!BN25/1000</f>
        <v>3048.6509999999998</v>
      </c>
      <c r="GE24" s="100">
        <f t="shared" si="27"/>
        <v>94672.986083907541</v>
      </c>
      <c r="GF24" s="100">
        <f>GE24/'a8'!BK$39*100</f>
        <v>94578.40767623132</v>
      </c>
    </row>
    <row r="25" spans="1:188" s="26" customFormat="1" ht="16.5" customHeight="1">
      <c r="A25" s="202">
        <v>1988</v>
      </c>
      <c r="B25" s="99">
        <v>3586.4</v>
      </c>
      <c r="C25" s="168">
        <f>B25*a14a!$E$4/1000000</f>
        <v>253.68768488629507</v>
      </c>
      <c r="D25" s="99">
        <v>9965.1</v>
      </c>
      <c r="E25" s="168">
        <f>D25*a14a!$F$4/1000000</f>
        <v>881.11447017218484</v>
      </c>
      <c r="F25" s="99"/>
      <c r="G25" s="99"/>
      <c r="H25" s="99">
        <v>1965.7</v>
      </c>
      <c r="I25" s="168">
        <f>H25*a14a!$H$4/1000000</f>
        <v>239.78492299805077</v>
      </c>
      <c r="J25" s="99">
        <v>2676.1</v>
      </c>
      <c r="K25" s="168">
        <f>J25*a14a!$I$4/1000000</f>
        <v>350.35250218847011</v>
      </c>
      <c r="L25" s="99">
        <v>2421.3000000000002</v>
      </c>
      <c r="M25" s="168">
        <f>L25*a14a!$J$4/1000000</f>
        <v>491.21165827719125</v>
      </c>
      <c r="N25" s="99">
        <v>20612.2</v>
      </c>
      <c r="O25" s="99">
        <f t="shared" si="28"/>
        <v>2216.1512385221922</v>
      </c>
      <c r="P25" s="168">
        <f>'a1'!F26/1000</f>
        <v>26791.746999999999</v>
      </c>
      <c r="Q25" s="100">
        <f t="shared" si="5"/>
        <v>82717.68311794645</v>
      </c>
      <c r="R25" s="168">
        <f>Q25/'a8'!C$39*100</f>
        <v>83637.697793676882</v>
      </c>
      <c r="S25" s="99">
        <v>115</v>
      </c>
      <c r="T25" s="100">
        <f>(S25)*a14a!$E$9/1000000</f>
        <v>7.8189763694761405</v>
      </c>
      <c r="U25" s="99">
        <v>188.2</v>
      </c>
      <c r="V25" s="100">
        <f>(U25)*a14a!$F$9/1000000</f>
        <v>15.994906007993581</v>
      </c>
      <c r="W25" s="99"/>
      <c r="X25" s="99"/>
      <c r="Y25" s="99">
        <v>39.4</v>
      </c>
      <c r="Z25" s="99">
        <f>(Y25)*a14a!$H$9/1000000</f>
        <v>4.8959464009646467</v>
      </c>
      <c r="AA25" s="99">
        <v>62</v>
      </c>
      <c r="AB25" s="99">
        <f>(AA25)*a14a!$I$9/1000000</f>
        <v>9.1765715617298209</v>
      </c>
      <c r="AC25" s="99">
        <v>27.4</v>
      </c>
      <c r="AD25" s="99">
        <f>(AC25)*a14a!$J$9/1000000</f>
        <v>5.7454985832243946</v>
      </c>
      <c r="AE25" s="99">
        <v>430.9</v>
      </c>
      <c r="AF25" s="99">
        <f t="shared" si="8"/>
        <v>43.631898923388583</v>
      </c>
      <c r="AG25" s="99">
        <f>'a1'!L26/1000</f>
        <v>574.98199999999997</v>
      </c>
      <c r="AH25" s="100">
        <f t="shared" si="9"/>
        <v>75883.938842239557</v>
      </c>
      <c r="AI25" s="100">
        <f>AH25/'a8'!I$39*100</f>
        <v>76188.693616706383</v>
      </c>
      <c r="AJ25" s="99">
        <v>19.100000000000001</v>
      </c>
      <c r="AK25" s="100">
        <f>(AJ25)*a14a!$E$14/1000000</f>
        <v>1.0745332747382799</v>
      </c>
      <c r="AL25" s="99">
        <v>52.5</v>
      </c>
      <c r="AM25" s="100">
        <f>(AL25)*a14a!$F$14/1000000</f>
        <v>3.6919500604554774</v>
      </c>
      <c r="AN25" s="99"/>
      <c r="AO25" s="99"/>
      <c r="AP25" s="99">
        <v>7.9</v>
      </c>
      <c r="AQ25" s="99">
        <f>(AP25)*a14a!$H$14/1000000</f>
        <v>0.85863482977322125</v>
      </c>
      <c r="AR25" s="99">
        <v>10.6</v>
      </c>
      <c r="AS25" s="99">
        <f>(AR25)*a14a!$I$14/1000000</f>
        <v>1.5102218693161586</v>
      </c>
      <c r="AT25" s="99">
        <v>7.3</v>
      </c>
      <c r="AU25" s="99">
        <f>(AT25)*a14a!$J$14/1000000</f>
        <v>1.3298908847081345</v>
      </c>
      <c r="AV25" s="99">
        <v>96.9</v>
      </c>
      <c r="AW25" s="99">
        <f t="shared" si="10"/>
        <v>8.4652309189912724</v>
      </c>
      <c r="AX25" s="99">
        <f>'a1'!R26/1000</f>
        <v>129.28899999999999</v>
      </c>
      <c r="AY25" s="100">
        <f t="shared" si="11"/>
        <v>65475.260223153353</v>
      </c>
      <c r="AZ25" s="100">
        <f>AY25/'a8'!O$39*100</f>
        <v>67430.752032083779</v>
      </c>
      <c r="BA25" s="99">
        <v>120.9</v>
      </c>
      <c r="BB25" s="100">
        <f>(BA25)*a14a!$E$19/1000000</f>
        <v>7.1984941692328768</v>
      </c>
      <c r="BC25" s="99">
        <v>356</v>
      </c>
      <c r="BD25" s="100">
        <f>(BC25)*a14a!$F$19/1000000</f>
        <v>26.495698141510591</v>
      </c>
      <c r="BE25" s="99"/>
      <c r="BF25" s="99"/>
      <c r="BG25" s="99">
        <v>55.5</v>
      </c>
      <c r="BH25" s="99">
        <f>(BG25)*a14a!$H$19/1000000</f>
        <v>5.8656603645238343</v>
      </c>
      <c r="BI25" s="99">
        <v>80.900000000000006</v>
      </c>
      <c r="BJ25" s="99">
        <f>(BI25)*a14a!$I$19/1000000</f>
        <v>9.5961436747214002</v>
      </c>
      <c r="BK25" s="99">
        <v>74.3</v>
      </c>
      <c r="BL25" s="99">
        <f>(BK25)*a14a!$J$19/1000000</f>
        <v>13.359782040036759</v>
      </c>
      <c r="BM25" s="99">
        <v>685.1</v>
      </c>
      <c r="BN25" s="99">
        <f t="shared" si="12"/>
        <v>62.51577839002546</v>
      </c>
      <c r="BO25" s="99">
        <f>'a1'!X26/1000</f>
        <v>897.21600000000001</v>
      </c>
      <c r="BP25" s="100">
        <f t="shared" si="13"/>
        <v>69677.511758623848</v>
      </c>
      <c r="BQ25" s="100">
        <f>BP25/'a8'!U$39*100</f>
        <v>70027.650008667188</v>
      </c>
      <c r="BR25" s="99">
        <v>140</v>
      </c>
      <c r="BS25" s="100">
        <f>(BR25)*a14a!$E$24/1000000</f>
        <v>8.6389972592466933</v>
      </c>
      <c r="BT25" s="99">
        <v>260.39999999999998</v>
      </c>
      <c r="BU25" s="100">
        <f>(BT25)*a14a!$F$24/1000000</f>
        <v>20.085668627748564</v>
      </c>
      <c r="BV25" s="99"/>
      <c r="BW25" s="99"/>
      <c r="BX25" s="99">
        <v>45.5</v>
      </c>
      <c r="BY25" s="99">
        <f>(BX25)*a14a!$H$24/1000000</f>
        <v>5.2709509718395999</v>
      </c>
      <c r="BZ25" s="99">
        <v>69</v>
      </c>
      <c r="CA25" s="99">
        <f>(BZ25)*a14a!$I$24/1000000</f>
        <v>10.332967794517119</v>
      </c>
      <c r="CB25" s="99">
        <v>44.3</v>
      </c>
      <c r="CC25" s="99">
        <f>(CB25)*a14a!$J$24/1000000</f>
        <v>8.0813575039057515</v>
      </c>
      <c r="CD25" s="99">
        <v>556.79999999999995</v>
      </c>
      <c r="CE25" s="99">
        <f t="shared" si="14"/>
        <v>52.409942157257724</v>
      </c>
      <c r="CF25" s="99">
        <f>'a1'!AD26/1000</f>
        <v>730.34900000000005</v>
      </c>
      <c r="CG25" s="100">
        <f t="shared" si="15"/>
        <v>71760.134069133681</v>
      </c>
      <c r="CH25" s="100">
        <f>CG25/'a8'!AA$39*100</f>
        <v>70215.395370972299</v>
      </c>
      <c r="CI25" s="99">
        <v>1294.5</v>
      </c>
      <c r="CJ25" s="100">
        <f>(CI25)*a14a!$E$29/1000000</f>
        <v>93.25203710862003</v>
      </c>
      <c r="CK25" s="99">
        <v>2394</v>
      </c>
      <c r="CL25" s="100">
        <f>(CK25)*a14a!$F$29/1000000</f>
        <v>215.57104754541939</v>
      </c>
      <c r="CM25" s="99"/>
      <c r="CN25" s="99"/>
      <c r="CO25" s="99">
        <v>416.4</v>
      </c>
      <c r="CP25" s="99">
        <f>(CO25)*a14a!$H$29/1000000</f>
        <v>52.001233384273981</v>
      </c>
      <c r="CQ25" s="99">
        <v>669.8</v>
      </c>
      <c r="CR25" s="99">
        <f>(CQ25)*a14a!$I$29/1000000</f>
        <v>91.577271416712264</v>
      </c>
      <c r="CS25" s="99">
        <v>581.29999999999995</v>
      </c>
      <c r="CT25" s="99">
        <f>(CS25)*a14a!$J$29/1000000</f>
        <v>118.96814514821577</v>
      </c>
      <c r="CU25" s="99">
        <v>5338.7</v>
      </c>
      <c r="CV25" s="99">
        <f t="shared" si="16"/>
        <v>571.36973460324145</v>
      </c>
      <c r="CW25" s="99">
        <f>'a1'!AJ26/1000</f>
        <v>6837.0770000000002</v>
      </c>
      <c r="CX25" s="100">
        <f t="shared" si="17"/>
        <v>83569.299366270337</v>
      </c>
      <c r="CY25" s="100">
        <f>CX25/'a8'!AG$39*100</f>
        <v>85101.119517586907</v>
      </c>
      <c r="CZ25" s="99">
        <v>1132.4000000000001</v>
      </c>
      <c r="DA25" s="100">
        <f>(CZ25)*a14a!$E$34/1000000</f>
        <v>76.346281617065785</v>
      </c>
      <c r="DB25" s="99">
        <v>3739.7</v>
      </c>
      <c r="DC25" s="100">
        <f>(DB25)*a14a!$F$34/1000000</f>
        <v>315.16269578256458</v>
      </c>
      <c r="DD25" s="99"/>
      <c r="DE25" s="99"/>
      <c r="DF25" s="99">
        <v>765.8</v>
      </c>
      <c r="DG25" s="99">
        <f>(DF25)*a14a!$H$34/1000000</f>
        <v>87.755896919920502</v>
      </c>
      <c r="DH25" s="99">
        <v>1028.2</v>
      </c>
      <c r="DI25" s="99">
        <f>(DH25)*a14a!$I$34/1000000</f>
        <v>125.39178602157943</v>
      </c>
      <c r="DJ25" s="99">
        <v>1050.9000000000001</v>
      </c>
      <c r="DK25" s="99">
        <f>(DJ25)*a14a!$J$34/1000000</f>
        <v>193.06276342271229</v>
      </c>
      <c r="DL25" s="99">
        <v>7687.2</v>
      </c>
      <c r="DM25" s="99">
        <f t="shared" si="18"/>
        <v>797.71942376384254</v>
      </c>
      <c r="DN25" s="99">
        <f>'a1'!AP26/1000</f>
        <v>9838.6200000000008</v>
      </c>
      <c r="DO25" s="100">
        <f t="shared" si="19"/>
        <v>81080.418164726609</v>
      </c>
      <c r="DP25" s="100">
        <f>DO25/'a8'!AM$39*100</f>
        <v>82819.630403193674</v>
      </c>
      <c r="DQ25" s="99">
        <v>146.4</v>
      </c>
      <c r="DR25" s="100">
        <f>(DQ25)*a14a!$E$39/1000000</f>
        <v>13.090543171727731</v>
      </c>
      <c r="DS25" s="99">
        <v>419.1</v>
      </c>
      <c r="DT25" s="100">
        <f>(DS25)*a14a!$F$39/1000000</f>
        <v>46.842952896781867</v>
      </c>
      <c r="DU25" s="99"/>
      <c r="DV25" s="99"/>
      <c r="DW25" s="99">
        <v>79.900000000000006</v>
      </c>
      <c r="DX25" s="99">
        <f>(DW25)*a14a!$H$39/1000000</f>
        <v>12.093759801292672</v>
      </c>
      <c r="DY25" s="99">
        <v>91.8</v>
      </c>
      <c r="DZ25" s="99">
        <f>(DY25)*a14a!$I$39/1000000</f>
        <v>15.430660489865351</v>
      </c>
      <c r="EA25" s="99">
        <v>86.6</v>
      </c>
      <c r="EB25" s="99">
        <f>(EA25)*a14a!$J$39/1000000</f>
        <v>19.188682160812192</v>
      </c>
      <c r="EC25" s="99">
        <v>821.4</v>
      </c>
      <c r="ED25" s="99">
        <f t="shared" si="20"/>
        <v>106.64659852047981</v>
      </c>
      <c r="EE25" s="99">
        <f>'a1'!AV26/1000</f>
        <v>1102.152</v>
      </c>
      <c r="EF25" s="100">
        <f t="shared" si="21"/>
        <v>96762.151246361493</v>
      </c>
      <c r="EG25" s="100">
        <f>EF25/'a8'!AS$39*100</f>
        <v>99040.072923604399</v>
      </c>
      <c r="EH25" s="99">
        <v>143.1</v>
      </c>
      <c r="EI25" s="100">
        <f>(EH25)*a14a!$E$44/1000000</f>
        <v>11.416284058386175</v>
      </c>
      <c r="EJ25" s="99">
        <v>383.1</v>
      </c>
      <c r="EK25" s="100">
        <f>(EJ25)*a14a!$F$44/1000000</f>
        <v>38.203864629347869</v>
      </c>
      <c r="EL25" s="99"/>
      <c r="EM25" s="99"/>
      <c r="EN25" s="99">
        <v>66.3</v>
      </c>
      <c r="EO25" s="99">
        <f>(EN25)*a14a!$H$44/1000000</f>
        <v>10.14165729727349</v>
      </c>
      <c r="EP25" s="99">
        <v>94.1</v>
      </c>
      <c r="EQ25" s="99">
        <f>(EP25)*a14a!$I$44/1000000</f>
        <v>15.473961838272883</v>
      </c>
      <c r="ER25" s="99">
        <v>65.5</v>
      </c>
      <c r="ES25" s="99">
        <f>(ER25)*a14a!$J$44/1000000</f>
        <v>22.317060451887258</v>
      </c>
      <c r="ET25" s="99">
        <v>748.9</v>
      </c>
      <c r="EU25" s="99">
        <f t="shared" si="22"/>
        <v>97.55282827516767</v>
      </c>
      <c r="EV25" s="99">
        <f>'a1'!BB26/1000</f>
        <v>1028.2249999999999</v>
      </c>
      <c r="EW25" s="100">
        <f t="shared" si="23"/>
        <v>94874.981910737115</v>
      </c>
      <c r="EX25" s="100">
        <f>EW25/'a8'!AY$39*100</f>
        <v>98725.267336875258</v>
      </c>
      <c r="EY25" s="99">
        <v>194.3</v>
      </c>
      <c r="EZ25" s="100">
        <f>(EY25)*a14a!$E$49/1000000</f>
        <v>13.128806540241809</v>
      </c>
      <c r="FA25" s="99">
        <v>935.1</v>
      </c>
      <c r="FB25" s="100">
        <f>(FA25)*a14a!$F$49/1000000</f>
        <v>78.980616287828852</v>
      </c>
      <c r="FC25" s="99"/>
      <c r="FD25" s="99"/>
      <c r="FE25" s="99">
        <v>198</v>
      </c>
      <c r="FF25" s="99">
        <f>(FE25)*a14a!$H$49/1000000</f>
        <v>23.305937363888695</v>
      </c>
      <c r="FG25" s="99">
        <v>280.89999999999998</v>
      </c>
      <c r="FH25" s="99">
        <f>(FG25)*a14a!$I$49/1000000</f>
        <v>34.069244437915536</v>
      </c>
      <c r="FI25" s="99">
        <v>227</v>
      </c>
      <c r="FJ25" s="99">
        <f>(FI25)*a14a!$J$49/1000000</f>
        <v>48.815717121766269</v>
      </c>
      <c r="FK25" s="99">
        <v>1827.1</v>
      </c>
      <c r="FL25" s="99">
        <f t="shared" si="24"/>
        <v>198.30032175164115</v>
      </c>
      <c r="FM25" s="99">
        <f>'a1'!BH26/1000</f>
        <v>2456.614</v>
      </c>
      <c r="FN25" s="100">
        <f t="shared" si="25"/>
        <v>80720.993103369576</v>
      </c>
      <c r="FO25" s="100">
        <f>FN25/'a8'!BE$39*100</f>
        <v>78675.431874629227</v>
      </c>
      <c r="FP25" s="99">
        <v>263.39999999999998</v>
      </c>
      <c r="FQ25" s="100">
        <f>(FP25)*a14a!$E$54/1000000</f>
        <v>20.524771725050602</v>
      </c>
      <c r="FR25" s="99">
        <v>1272.8</v>
      </c>
      <c r="FS25" s="100">
        <f>(FR25)*a14a!$F$54/1000000</f>
        <v>123.97460825571568</v>
      </c>
      <c r="FT25" s="99"/>
      <c r="FU25" s="99"/>
      <c r="FV25" s="99">
        <v>307.5</v>
      </c>
      <c r="FW25" s="99">
        <f>(FV25)*a14a!$H$54/1000000</f>
        <v>41.533601038856425</v>
      </c>
      <c r="FX25" s="99">
        <v>303</v>
      </c>
      <c r="FY25" s="99">
        <f>(FX25)*a14a!$I$54/1000000</f>
        <v>42.653715080935896</v>
      </c>
      <c r="FZ25" s="99">
        <v>282.7</v>
      </c>
      <c r="GA25" s="99">
        <f>(FZ25)*a14a!$J$54/1000000</f>
        <v>67.569269758919603</v>
      </c>
      <c r="GB25" s="99">
        <v>2419</v>
      </c>
      <c r="GC25" s="99">
        <f t="shared" si="26"/>
        <v>296.25596585947824</v>
      </c>
      <c r="GD25" s="99">
        <f>'a1'!BN26/1000</f>
        <v>3114.761</v>
      </c>
      <c r="GE25" s="100">
        <f t="shared" si="27"/>
        <v>95113.546708552676</v>
      </c>
      <c r="GF25" s="100">
        <f>GE25/'a8'!BK$39*100</f>
        <v>95018.528180372305</v>
      </c>
    </row>
    <row r="26" spans="1:188" s="26" customFormat="1" ht="16.5" customHeight="1">
      <c r="A26" s="202">
        <v>1989</v>
      </c>
      <c r="B26" s="99">
        <v>3517</v>
      </c>
      <c r="C26" s="168">
        <f>B26*a14a!$E$4/1000000</f>
        <v>248.77860465790204</v>
      </c>
      <c r="D26" s="99">
        <v>10088.5</v>
      </c>
      <c r="E26" s="168">
        <f>D26*a14a!$F$4/1000000</f>
        <v>892.02550223601236</v>
      </c>
      <c r="F26" s="99"/>
      <c r="G26" s="99"/>
      <c r="H26" s="99">
        <v>1983.5</v>
      </c>
      <c r="I26" s="168">
        <f>H26*a14a!$H$4/1000000</f>
        <v>241.95624701970479</v>
      </c>
      <c r="J26" s="99">
        <v>2836.7</v>
      </c>
      <c r="K26" s="168">
        <f>J26*a14a!$I$4/1000000</f>
        <v>371.37810356789106</v>
      </c>
      <c r="L26" s="99">
        <v>2476.3000000000002</v>
      </c>
      <c r="M26" s="168">
        <f>L26*a14a!$J$4/1000000</f>
        <v>502.36956568447061</v>
      </c>
      <c r="N26" s="99">
        <v>20898.5</v>
      </c>
      <c r="O26" s="99">
        <f t="shared" si="28"/>
        <v>2256.5080231659808</v>
      </c>
      <c r="P26" s="168">
        <f>'a1'!F27/1000</f>
        <v>27276.780999999999</v>
      </c>
      <c r="Q26" s="100">
        <f t="shared" si="5"/>
        <v>82726.331349948538</v>
      </c>
      <c r="R26" s="168">
        <f>Q26/'a8'!C$39*100</f>
        <v>83646.442214305891</v>
      </c>
      <c r="S26" s="99">
        <v>111.5</v>
      </c>
      <c r="T26" s="100">
        <f>(S26)*a14a!$E$9/1000000</f>
        <v>7.5810075234486058</v>
      </c>
      <c r="U26" s="99">
        <v>187.5</v>
      </c>
      <c r="V26" s="100">
        <f>(U26)*a14a!$F$9/1000000</f>
        <v>15.935413796486698</v>
      </c>
      <c r="W26" s="99"/>
      <c r="X26" s="99"/>
      <c r="Y26" s="99">
        <v>36.799999999999997</v>
      </c>
      <c r="Z26" s="99">
        <f>(Y26)*a14a!$H$9/1000000</f>
        <v>4.5728636435405834</v>
      </c>
      <c r="AA26" s="99">
        <v>72</v>
      </c>
      <c r="AB26" s="99">
        <f>(AA26)*a14a!$I$9/1000000</f>
        <v>10.656663749105599</v>
      </c>
      <c r="AC26" s="99">
        <v>28.6</v>
      </c>
      <c r="AD26" s="99">
        <f>(AC26)*a14a!$J$9/1000000</f>
        <v>5.9971262584021066</v>
      </c>
      <c r="AE26" s="99">
        <v>435.6</v>
      </c>
      <c r="AF26" s="99">
        <f t="shared" si="8"/>
        <v>44.743074970983592</v>
      </c>
      <c r="AG26" s="99">
        <f>'a1'!L27/1000</f>
        <v>576.55100000000004</v>
      </c>
      <c r="AH26" s="100">
        <f t="shared" si="9"/>
        <v>77604.713149372023</v>
      </c>
      <c r="AI26" s="100">
        <f>AH26/'a8'!I$39*100</f>
        <v>77916.378664028132</v>
      </c>
      <c r="AJ26" s="99">
        <v>20.9</v>
      </c>
      <c r="AK26" s="100">
        <f>(AJ26)*a14a!$E$14/1000000</f>
        <v>1.1757981906822015</v>
      </c>
      <c r="AL26" s="99">
        <v>49.8</v>
      </c>
      <c r="AM26" s="100">
        <f>(AL26)*a14a!$F$14/1000000</f>
        <v>3.5020783430606239</v>
      </c>
      <c r="AN26" s="99"/>
      <c r="AO26" s="99"/>
      <c r="AP26" s="99">
        <v>8.1999999999999993</v>
      </c>
      <c r="AQ26" s="99">
        <f>(AP26)*a14a!$H$14/1000000</f>
        <v>0.89124121571397641</v>
      </c>
      <c r="AR26" s="99">
        <v>11.4</v>
      </c>
      <c r="AS26" s="99">
        <f>(AR26)*a14a!$I$14/1000000</f>
        <v>1.6242008783211519</v>
      </c>
      <c r="AT26" s="99">
        <v>7.8</v>
      </c>
      <c r="AU26" s="99">
        <f>(AT26)*a14a!$J$14/1000000</f>
        <v>1.4209793014689656</v>
      </c>
      <c r="AV26" s="99">
        <v>97.5</v>
      </c>
      <c r="AW26" s="99">
        <f t="shared" si="10"/>
        <v>8.6142979292469199</v>
      </c>
      <c r="AX26" s="99">
        <f>'a1'!R27/1000</f>
        <v>130.15299999999999</v>
      </c>
      <c r="AY26" s="100">
        <f t="shared" si="11"/>
        <v>66185.934471329281</v>
      </c>
      <c r="AZ26" s="100">
        <f>AY26/'a8'!O$39*100</f>
        <v>68162.651360792253</v>
      </c>
      <c r="BA26" s="99">
        <v>113.6</v>
      </c>
      <c r="BB26" s="100">
        <f>(BA26)*a14a!$E$19/1000000</f>
        <v>6.763845637922703</v>
      </c>
      <c r="BC26" s="99">
        <v>366.7</v>
      </c>
      <c r="BD26" s="100">
        <f>(BC26)*a14a!$F$19/1000000</f>
        <v>27.292057608123407</v>
      </c>
      <c r="BE26" s="99"/>
      <c r="BF26" s="99"/>
      <c r="BG26" s="99">
        <v>52.2</v>
      </c>
      <c r="BH26" s="99">
        <f>(BG26)*a14a!$H$19/1000000</f>
        <v>5.516891369876471</v>
      </c>
      <c r="BI26" s="99">
        <v>81</v>
      </c>
      <c r="BJ26" s="99">
        <f>(BI26)*a14a!$I$19/1000000</f>
        <v>9.6080054097952203</v>
      </c>
      <c r="BK26" s="99">
        <v>80</v>
      </c>
      <c r="BL26" s="99">
        <f>(BK26)*a14a!$J$19/1000000</f>
        <v>14.384691294790589</v>
      </c>
      <c r="BM26" s="99">
        <v>690.9</v>
      </c>
      <c r="BN26" s="99">
        <f t="shared" si="12"/>
        <v>63.565491320508386</v>
      </c>
      <c r="BO26" s="99">
        <f>'a1'!X27/1000</f>
        <v>903.84100000000001</v>
      </c>
      <c r="BP26" s="100">
        <f t="shared" si="13"/>
        <v>70328.178651453505</v>
      </c>
      <c r="BQ26" s="100">
        <f>BP26/'a8'!U$39*100</f>
        <v>70681.586584375385</v>
      </c>
      <c r="BR26" s="99">
        <v>134.4</v>
      </c>
      <c r="BS26" s="100">
        <f>(BR26)*a14a!$E$24/1000000</f>
        <v>8.2934373688768268</v>
      </c>
      <c r="BT26" s="99">
        <v>263.89999999999998</v>
      </c>
      <c r="BU26" s="100">
        <f>(BT26)*a14a!$F$24/1000000</f>
        <v>20.35563729210002</v>
      </c>
      <c r="BV26" s="99"/>
      <c r="BW26" s="99"/>
      <c r="BX26" s="99">
        <v>45.1</v>
      </c>
      <c r="BY26" s="99">
        <f>(BX26)*a14a!$H$24/1000000</f>
        <v>5.2246129413179334</v>
      </c>
      <c r="BZ26" s="99">
        <v>75.400000000000006</v>
      </c>
      <c r="CA26" s="99">
        <f>(BZ26)*a14a!$I$24/1000000</f>
        <v>11.291387995747693</v>
      </c>
      <c r="CB26" s="99">
        <v>46</v>
      </c>
      <c r="CC26" s="99">
        <f>(CB26)*a14a!$J$24/1000000</f>
        <v>8.3914773178253839</v>
      </c>
      <c r="CD26" s="99">
        <v>562.6</v>
      </c>
      <c r="CE26" s="99">
        <f t="shared" si="14"/>
        <v>53.556552915867854</v>
      </c>
      <c r="CF26" s="99">
        <f>'a1'!AD27/1000</f>
        <v>735.12900000000002</v>
      </c>
      <c r="CG26" s="100">
        <f t="shared" si="15"/>
        <v>72853.271896317325</v>
      </c>
      <c r="CH26" s="100">
        <f>CG26/'a8'!AA$39*100</f>
        <v>71285.001855496404</v>
      </c>
      <c r="CI26" s="99">
        <v>1271.4000000000001</v>
      </c>
      <c r="CJ26" s="100">
        <f>(CI26)*a14a!$E$29/1000000</f>
        <v>91.587979899497498</v>
      </c>
      <c r="CK26" s="99">
        <v>2431.3000000000002</v>
      </c>
      <c r="CL26" s="100">
        <f>(CK26)*a14a!$F$29/1000000</f>
        <v>218.92977773482801</v>
      </c>
      <c r="CM26" s="99"/>
      <c r="CN26" s="99"/>
      <c r="CO26" s="99">
        <v>416.7</v>
      </c>
      <c r="CP26" s="99">
        <f>(CO26)*a14a!$H$29/1000000</f>
        <v>52.038698249824613</v>
      </c>
      <c r="CQ26" s="99">
        <v>723.6</v>
      </c>
      <c r="CR26" s="99">
        <f>(CQ26)*a14a!$I$29/1000000</f>
        <v>98.932985364486413</v>
      </c>
      <c r="CS26" s="99">
        <v>564.29999999999995</v>
      </c>
      <c r="CT26" s="99">
        <f>(CS26)*a14a!$J$29/1000000</f>
        <v>115.48894599542089</v>
      </c>
      <c r="CU26" s="99">
        <v>5393.3</v>
      </c>
      <c r="CV26" s="99">
        <f t="shared" si="16"/>
        <v>576.97838724405744</v>
      </c>
      <c r="CW26" s="99">
        <f>'a1'!AJ27/1000</f>
        <v>6925.1279999999997</v>
      </c>
      <c r="CX26" s="100">
        <f t="shared" si="17"/>
        <v>83316.638659106</v>
      </c>
      <c r="CY26" s="100">
        <f>CX26/'a8'!AG$39*100</f>
        <v>84843.827555097756</v>
      </c>
      <c r="CZ26" s="99">
        <v>1110.5</v>
      </c>
      <c r="DA26" s="100">
        <f>(CZ26)*a14a!$E$34/1000000</f>
        <v>74.869786061242976</v>
      </c>
      <c r="DB26" s="99">
        <v>3794</v>
      </c>
      <c r="DC26" s="100">
        <f>(DB26)*a14a!$F$34/1000000</f>
        <v>319.73882070728934</v>
      </c>
      <c r="DD26" s="99"/>
      <c r="DE26" s="99"/>
      <c r="DF26" s="99">
        <v>795.6</v>
      </c>
      <c r="DG26" s="99">
        <f>(DF26)*a14a!$H$34/1000000</f>
        <v>91.170790793273369</v>
      </c>
      <c r="DH26" s="99">
        <v>1082.0999999999999</v>
      </c>
      <c r="DI26" s="99">
        <f>(DH26)*a14a!$I$34/1000000</f>
        <v>131.96503759380576</v>
      </c>
      <c r="DJ26" s="99">
        <v>1068.4000000000001</v>
      </c>
      <c r="DK26" s="99">
        <f>(DJ26)*a14a!$J$34/1000000</f>
        <v>196.27772046895598</v>
      </c>
      <c r="DL26" s="99">
        <v>7823.8</v>
      </c>
      <c r="DM26" s="99">
        <f t="shared" si="18"/>
        <v>814.0221556245674</v>
      </c>
      <c r="DN26" s="99">
        <f>'a1'!AP27/1000</f>
        <v>10103.305</v>
      </c>
      <c r="DO26" s="100">
        <f t="shared" si="19"/>
        <v>80569.888331052804</v>
      </c>
      <c r="DP26" s="100">
        <f>DO26/'a8'!AM$39*100</f>
        <v>82298.149469921147</v>
      </c>
      <c r="DQ26" s="99">
        <v>140.30000000000001</v>
      </c>
      <c r="DR26" s="100">
        <f>(DQ26)*a14a!$E$39/1000000</f>
        <v>12.545103872905742</v>
      </c>
      <c r="DS26" s="99">
        <v>417.4</v>
      </c>
      <c r="DT26" s="100">
        <f>(DS26)*a14a!$F$39/1000000</f>
        <v>46.652943304979125</v>
      </c>
      <c r="DU26" s="99"/>
      <c r="DV26" s="99"/>
      <c r="DW26" s="99">
        <v>80.599999999999994</v>
      </c>
      <c r="DX26" s="99">
        <f>(DW26)*a14a!$H$39/1000000</f>
        <v>12.199712640603117</v>
      </c>
      <c r="DY26" s="99">
        <v>99.7</v>
      </c>
      <c r="DZ26" s="99">
        <f>(DY26)*a14a!$I$39/1000000</f>
        <v>16.758571359908231</v>
      </c>
      <c r="EA26" s="99">
        <v>86.8</v>
      </c>
      <c r="EB26" s="99">
        <f>(EA26)*a14a!$J$39/1000000</f>
        <v>19.232997824001135</v>
      </c>
      <c r="EC26" s="99">
        <v>822.5</v>
      </c>
      <c r="ED26" s="99">
        <f t="shared" si="20"/>
        <v>107.38932900239735</v>
      </c>
      <c r="EE26" s="99">
        <f>'a1'!AV27/1000</f>
        <v>1103.7919999999999</v>
      </c>
      <c r="EF26" s="100">
        <f t="shared" si="21"/>
        <v>97291.273176828021</v>
      </c>
      <c r="EG26" s="100">
        <f>EF26/'a8'!AS$39*100</f>
        <v>99581.651153355182</v>
      </c>
      <c r="EH26" s="99">
        <v>136.6</v>
      </c>
      <c r="EI26" s="100">
        <f>(EH26)*a14a!$E$44/1000000</f>
        <v>10.897724684664931</v>
      </c>
      <c r="EJ26" s="99">
        <v>378.3</v>
      </c>
      <c r="EK26" s="100">
        <f>(EJ26)*a14a!$F$44/1000000</f>
        <v>37.725194438220569</v>
      </c>
      <c r="EL26" s="99"/>
      <c r="EM26" s="99"/>
      <c r="EN26" s="99">
        <v>64.3</v>
      </c>
      <c r="EO26" s="99">
        <f>(EN26)*a14a!$H$44/1000000</f>
        <v>9.8357249504477462</v>
      </c>
      <c r="EP26" s="99">
        <v>95.6</v>
      </c>
      <c r="EQ26" s="99">
        <f>(EP26)*a14a!$I$44/1000000</f>
        <v>15.720624354292109</v>
      </c>
      <c r="ER26" s="99">
        <v>70.3</v>
      </c>
      <c r="ES26" s="99">
        <f>(ER26)*a14a!$J$44/1000000</f>
        <v>23.952509156758381</v>
      </c>
      <c r="ET26" s="99">
        <v>741.9</v>
      </c>
      <c r="EU26" s="99">
        <f t="shared" si="22"/>
        <v>98.131777584383741</v>
      </c>
      <c r="EV26" s="99">
        <f>'a1'!BB27/1000</f>
        <v>1019.439</v>
      </c>
      <c r="EW26" s="100">
        <f t="shared" si="23"/>
        <v>96260.568395346607</v>
      </c>
      <c r="EX26" s="100">
        <f>EW26/'a8'!AY$39*100</f>
        <v>100167.08469859169</v>
      </c>
      <c r="EY26" s="99">
        <v>191.2</v>
      </c>
      <c r="EZ26" s="100">
        <f>(EY26)*a14a!$E$49/1000000</f>
        <v>12.919340249584321</v>
      </c>
      <c r="FA26" s="99">
        <v>918.2</v>
      </c>
      <c r="FB26" s="100">
        <f>(FA26)*a14a!$F$49/1000000</f>
        <v>77.553204871654856</v>
      </c>
      <c r="FC26" s="99"/>
      <c r="FD26" s="99"/>
      <c r="FE26" s="99">
        <v>211</v>
      </c>
      <c r="FF26" s="99">
        <f>(FE26)*a14a!$H$49/1000000</f>
        <v>24.836125170608657</v>
      </c>
      <c r="FG26" s="99">
        <v>295.3</v>
      </c>
      <c r="FH26" s="99">
        <f>(FG26)*a14a!$I$49/1000000</f>
        <v>35.815763198705802</v>
      </c>
      <c r="FI26" s="99">
        <v>246.2</v>
      </c>
      <c r="FJ26" s="99">
        <f>(FI26)*a14a!$J$49/1000000</f>
        <v>52.944623591977326</v>
      </c>
      <c r="FK26" s="99">
        <v>1853.1</v>
      </c>
      <c r="FL26" s="99">
        <f t="shared" si="24"/>
        <v>204.06905708253095</v>
      </c>
      <c r="FM26" s="99">
        <f>'a1'!BH27/1000</f>
        <v>2498.3249999999998</v>
      </c>
      <c r="FN26" s="100">
        <f t="shared" si="25"/>
        <v>81682.350007517423</v>
      </c>
      <c r="FO26" s="100">
        <f>FN26/'a8'!BE$39*100</f>
        <v>79612.426907911722</v>
      </c>
      <c r="FP26" s="99">
        <v>260.5</v>
      </c>
      <c r="FQ26" s="100">
        <f>(FP26)*a14a!$E$54/1000000</f>
        <v>20.298796637720891</v>
      </c>
      <c r="FR26" s="99">
        <v>1330</v>
      </c>
      <c r="FS26" s="100">
        <f>(FR26)*a14a!$F$54/1000000</f>
        <v>129.54606299505176</v>
      </c>
      <c r="FT26" s="99"/>
      <c r="FU26" s="99"/>
      <c r="FV26" s="99">
        <v>288.8</v>
      </c>
      <c r="FW26" s="99">
        <f>(FV26)*a14a!$H$54/1000000</f>
        <v>39.007817821208896</v>
      </c>
      <c r="FX26" s="99">
        <v>316.10000000000002</v>
      </c>
      <c r="FY26" s="99">
        <f>(FX26)*a14a!$I$54/1000000</f>
        <v>44.497819594336093</v>
      </c>
      <c r="FZ26" s="99">
        <v>290.5</v>
      </c>
      <c r="GA26" s="99">
        <f>(FZ26)*a14a!$J$54/1000000</f>
        <v>69.433579288879173</v>
      </c>
      <c r="GB26" s="99">
        <v>2477.1999999999998</v>
      </c>
      <c r="GC26" s="99">
        <f t="shared" si="26"/>
        <v>302.78407633719684</v>
      </c>
      <c r="GD26" s="99">
        <f>'a1'!BN27/1000</f>
        <v>3196.7249999999999</v>
      </c>
      <c r="GE26" s="100">
        <f t="shared" si="27"/>
        <v>94716.960744886368</v>
      </c>
      <c r="GF26" s="100">
        <f>GE26/'a8'!BK$39*100</f>
        <v>94622.338406479888</v>
      </c>
    </row>
    <row r="27" spans="1:188" s="26" customFormat="1" ht="16.5" customHeight="1">
      <c r="A27" s="202">
        <v>1990</v>
      </c>
      <c r="B27" s="99">
        <v>3133.4</v>
      </c>
      <c r="C27" s="168">
        <f>B27*a14a!$E$4/1000000</f>
        <v>221.64426495168331</v>
      </c>
      <c r="D27" s="99">
        <v>4890.8</v>
      </c>
      <c r="E27" s="168">
        <f>D27*a14a!$F$4/1000000</f>
        <v>432.44469706456749</v>
      </c>
      <c r="F27" s="99">
        <v>4373.6000000000004</v>
      </c>
      <c r="G27" s="99">
        <f>F27*a14a!$G$4/1000000</f>
        <v>464.05662723847041</v>
      </c>
      <c r="H27" s="99">
        <v>1880.7</v>
      </c>
      <c r="I27" s="168">
        <f>H27*a14a!$H$4/1000000</f>
        <v>229.41624087217482</v>
      </c>
      <c r="J27" s="99">
        <v>4631.8</v>
      </c>
      <c r="K27" s="168">
        <f>J27*a14a!$I$4/1000000</f>
        <v>606.39091201246447</v>
      </c>
      <c r="L27" s="99">
        <v>2304.5</v>
      </c>
      <c r="M27" s="168">
        <f>L27*a14a!$J$4/1000000</f>
        <v>467.51632036500519</v>
      </c>
      <c r="N27" s="99">
        <v>21214.7</v>
      </c>
      <c r="O27" s="99">
        <f t="shared" si="28"/>
        <v>2421.4690625043659</v>
      </c>
      <c r="P27" s="168">
        <f>'a1'!F28/1000</f>
        <v>27691.137999999999</v>
      </c>
      <c r="Q27" s="100">
        <f t="shared" si="5"/>
        <v>87445.631974546006</v>
      </c>
      <c r="R27" s="168">
        <f>Q27/'a8'!C$39*100</f>
        <v>88418.232532402428</v>
      </c>
      <c r="S27" s="99">
        <v>97.9</v>
      </c>
      <c r="T27" s="100">
        <f>(S27)*a14a!$E$9/1000000</f>
        <v>6.6563285788844713</v>
      </c>
      <c r="U27" s="99">
        <v>115.6</v>
      </c>
      <c r="V27" s="100">
        <f>(U27)*a14a!$F$9/1000000</f>
        <v>9.8247137859939322</v>
      </c>
      <c r="W27" s="99">
        <v>67.7</v>
      </c>
      <c r="X27" s="99">
        <f>(W27)*a14a!$G$9/1000000</f>
        <v>6.904496089741758</v>
      </c>
      <c r="Y27" s="99">
        <v>33.700000000000003</v>
      </c>
      <c r="Z27" s="99">
        <f>(Y27)*a14a!$H$9/1000000</f>
        <v>4.1876495866118937</v>
      </c>
      <c r="AA27" s="99">
        <v>99.2</v>
      </c>
      <c r="AB27" s="99">
        <f>(AA27)*a14a!$I$9/1000000</f>
        <v>14.682514498767713</v>
      </c>
      <c r="AC27" s="99">
        <v>25.7</v>
      </c>
      <c r="AD27" s="99">
        <f>(AC27)*a14a!$J$9/1000000</f>
        <v>5.3890260433893049</v>
      </c>
      <c r="AE27" s="99">
        <v>439.8</v>
      </c>
      <c r="AF27" s="99">
        <f t="shared" si="8"/>
        <v>47.644728583389082</v>
      </c>
      <c r="AG27" s="99">
        <f>'a1'!L28/1000</f>
        <v>577.36800000000005</v>
      </c>
      <c r="AH27" s="100">
        <f t="shared" si="9"/>
        <v>82520.556358144328</v>
      </c>
      <c r="AI27" s="100">
        <f>AH27/'a8'!I$39*100</f>
        <v>82851.964215004351</v>
      </c>
      <c r="AJ27" s="99">
        <v>17.3</v>
      </c>
      <c r="AK27" s="100">
        <f>(AJ27)*a14a!$E$14/1000000</f>
        <v>0.97326835879435813</v>
      </c>
      <c r="AL27" s="99">
        <v>30.1</v>
      </c>
      <c r="AM27" s="100">
        <f>(AL27)*a14a!$F$14/1000000</f>
        <v>2.1167180346611403</v>
      </c>
      <c r="AN27" s="99">
        <v>15.9</v>
      </c>
      <c r="AO27" s="99">
        <f>(AN27)*a14a!$G$14/1000000</f>
        <v>1.3417601362569618</v>
      </c>
      <c r="AP27" s="99">
        <v>7.5</v>
      </c>
      <c r="AQ27" s="99">
        <f>(AP27)*a14a!$H$14/1000000</f>
        <v>0.8151596485188809</v>
      </c>
      <c r="AR27" s="99">
        <v>20.6</v>
      </c>
      <c r="AS27" s="99">
        <f>(AR27)*a14a!$I$14/1000000</f>
        <v>2.9349594818785727</v>
      </c>
      <c r="AT27" s="99">
        <v>6.7</v>
      </c>
      <c r="AU27" s="99">
        <f>(AT27)*a14a!$J$14/1000000</f>
        <v>1.2205847845951372</v>
      </c>
      <c r="AV27" s="99">
        <v>98.1</v>
      </c>
      <c r="AW27" s="99">
        <f t="shared" si="10"/>
        <v>9.4024504447050514</v>
      </c>
      <c r="AX27" s="99">
        <f>'a1'!R28/1000</f>
        <v>130.404</v>
      </c>
      <c r="AY27" s="100">
        <f t="shared" si="11"/>
        <v>72102.469592229158</v>
      </c>
      <c r="AZ27" s="100">
        <f>AY27/'a8'!O$39*100</f>
        <v>74255.890414242182</v>
      </c>
      <c r="BA27" s="99">
        <v>96.1</v>
      </c>
      <c r="BB27" s="100">
        <f>(BA27)*a14a!$E$19/1000000</f>
        <v>5.7218799806722869</v>
      </c>
      <c r="BC27" s="99">
        <v>199.7</v>
      </c>
      <c r="BD27" s="100">
        <f>(BC27)*a14a!$F$19/1000000</f>
        <v>14.86289583949344</v>
      </c>
      <c r="BE27" s="99">
        <v>104.5</v>
      </c>
      <c r="BF27" s="99">
        <f>(BE27)*a14a!$G$19/1000000</f>
        <v>9.3330352442287303</v>
      </c>
      <c r="BG27" s="99">
        <v>47.6</v>
      </c>
      <c r="BH27" s="99">
        <f>(BG27)*a14a!$H$19/1000000</f>
        <v>5.0307285288528742</v>
      </c>
      <c r="BI27" s="99">
        <v>178.1</v>
      </c>
      <c r="BJ27" s="99">
        <f>(BI27)*a14a!$I$19/1000000</f>
        <v>21.125750166475662</v>
      </c>
      <c r="BK27" s="99">
        <v>71</v>
      </c>
      <c r="BL27" s="99">
        <f>(BK27)*a14a!$J$19/1000000</f>
        <v>12.766413524126648</v>
      </c>
      <c r="BM27" s="99">
        <v>697</v>
      </c>
      <c r="BN27" s="99">
        <f t="shared" si="12"/>
        <v>68.840703283849649</v>
      </c>
      <c r="BO27" s="99">
        <f>'a1'!X28/1000</f>
        <v>910.45100000000002</v>
      </c>
      <c r="BP27" s="100">
        <f t="shared" si="13"/>
        <v>75611.651021141879</v>
      </c>
      <c r="BQ27" s="100">
        <f>BP27/'a8'!U$39*100</f>
        <v>75991.609066474251</v>
      </c>
      <c r="BR27" s="99">
        <v>120.4</v>
      </c>
      <c r="BS27" s="100">
        <f>(BR27)*a14a!$E$24/1000000</f>
        <v>7.4295376429521571</v>
      </c>
      <c r="BT27" s="99">
        <v>131.5</v>
      </c>
      <c r="BU27" s="100">
        <f>(BT27)*a14a!$F$24/1000000</f>
        <v>10.143108389204825</v>
      </c>
      <c r="BV27" s="99">
        <v>111</v>
      </c>
      <c r="BW27" s="99">
        <f>(BV27)*a14a!$G$24/1000000</f>
        <v>10.274236026175533</v>
      </c>
      <c r="BX27" s="99">
        <v>42</v>
      </c>
      <c r="BY27" s="99">
        <f>(BX27)*a14a!$H$24/1000000</f>
        <v>4.8654932047750146</v>
      </c>
      <c r="BZ27" s="99">
        <v>120</v>
      </c>
      <c r="CA27" s="99">
        <f>(BZ27)*a14a!$I$24/1000000</f>
        <v>17.97037877307325</v>
      </c>
      <c r="CB27" s="99">
        <v>44.2</v>
      </c>
      <c r="CC27" s="99">
        <f>(CB27)*a14a!$J$24/1000000</f>
        <v>8.0631151619104795</v>
      </c>
      <c r="CD27" s="99">
        <v>569.1</v>
      </c>
      <c r="CE27" s="99">
        <f t="shared" si="14"/>
        <v>58.745869198091263</v>
      </c>
      <c r="CF27" s="99">
        <f>'a1'!AD28/1000</f>
        <v>740.15599999999995</v>
      </c>
      <c r="CG27" s="100">
        <f t="shared" si="15"/>
        <v>79369.577762108616</v>
      </c>
      <c r="CH27" s="100">
        <f>CG27/'a8'!AA$39*100</f>
        <v>77661.034992278481</v>
      </c>
      <c r="CI27" s="99">
        <v>1232</v>
      </c>
      <c r="CJ27" s="100">
        <f>(CI27)*a14a!$E$29/1000000</f>
        <v>88.749717819868579</v>
      </c>
      <c r="CK27" s="99">
        <v>1133.9000000000001</v>
      </c>
      <c r="CL27" s="100">
        <f>(CK27)*a14a!$F$29/1000000</f>
        <v>102.10359683030538</v>
      </c>
      <c r="CM27" s="100">
        <v>963.8</v>
      </c>
      <c r="CN27" s="99">
        <f>(CM27)*a14a!$G$29/1000000</f>
        <v>104.14404793196753</v>
      </c>
      <c r="CO27" s="100">
        <v>388.6</v>
      </c>
      <c r="CP27" s="99">
        <f>(CO27)*a14a!$H$29/1000000</f>
        <v>48.52948917658231</v>
      </c>
      <c r="CQ27" s="99">
        <v>1234.2</v>
      </c>
      <c r="CR27" s="99">
        <f>(CQ27)*a14a!$I$29/1000000</f>
        <v>168.74390621455103</v>
      </c>
      <c r="CS27" s="99">
        <v>504.5</v>
      </c>
      <c r="CT27" s="99">
        <f>(CS27)*a14a!$J$29/1000000</f>
        <v>103.25035132853064</v>
      </c>
      <c r="CU27" s="99">
        <v>5457</v>
      </c>
      <c r="CV27" s="99">
        <f t="shared" si="16"/>
        <v>615.5211093018055</v>
      </c>
      <c r="CW27" s="99">
        <f>'a1'!AJ28/1000</f>
        <v>6996.9859999999999</v>
      </c>
      <c r="CX27" s="100">
        <f t="shared" si="17"/>
        <v>87969.464180978131</v>
      </c>
      <c r="CY27" s="100">
        <f>CX27/'a8'!AG$39*100</f>
        <v>89581.939084499114</v>
      </c>
      <c r="CZ27" s="99">
        <v>927.5</v>
      </c>
      <c r="DA27" s="100">
        <f>(CZ27)*a14a!$E$34/1000000</f>
        <v>62.53194648518943</v>
      </c>
      <c r="DB27" s="99">
        <v>1920.6</v>
      </c>
      <c r="DC27" s="100">
        <f>(DB27)*a14a!$F$34/1000000</f>
        <v>161.85829706125986</v>
      </c>
      <c r="DD27" s="99">
        <v>1719.8</v>
      </c>
      <c r="DE27" s="99">
        <f>(DD27)*a14a!$G$34/1000000</f>
        <v>173.92308608931882</v>
      </c>
      <c r="DF27" s="99">
        <v>748.5</v>
      </c>
      <c r="DG27" s="99">
        <f>(DF27)*a14a!$H$34/1000000</f>
        <v>85.773424973309602</v>
      </c>
      <c r="DH27" s="99">
        <v>1633.9</v>
      </c>
      <c r="DI27" s="99">
        <f>(DH27)*a14a!$I$34/1000000</f>
        <v>199.25854812357383</v>
      </c>
      <c r="DJ27" s="99">
        <v>1009.7</v>
      </c>
      <c r="DK27" s="99">
        <f>(DJ27)*a14a!$J$34/1000000</f>
        <v>185.49383597669865</v>
      </c>
      <c r="DL27" s="99">
        <v>7960</v>
      </c>
      <c r="DM27" s="99">
        <f t="shared" si="18"/>
        <v>868.83913870935021</v>
      </c>
      <c r="DN27" s="99">
        <f>'a1'!AP28/1000</f>
        <v>10295.832</v>
      </c>
      <c r="DO27" s="100">
        <f t="shared" si="19"/>
        <v>84387.462684836952</v>
      </c>
      <c r="DP27" s="100">
        <f>DO27/'a8'!AM$39*100</f>
        <v>86197.61254835235</v>
      </c>
      <c r="DQ27" s="99">
        <v>126.5</v>
      </c>
      <c r="DR27" s="100">
        <f>(DQ27)*a14a!$E$39/1000000</f>
        <v>11.31115922966911</v>
      </c>
      <c r="DS27" s="99">
        <v>218.8</v>
      </c>
      <c r="DT27" s="100">
        <f>(DS27)*a14a!$F$39/1000000</f>
        <v>24.455352168494091</v>
      </c>
      <c r="DU27" s="99">
        <v>162.4</v>
      </c>
      <c r="DV27" s="99">
        <f>(DU27)*a14a!$G$39/1000000</f>
        <v>21.781805441481389</v>
      </c>
      <c r="DW27" s="99">
        <v>83.9</v>
      </c>
      <c r="DX27" s="99">
        <f>(DW27)*a14a!$H$39/1000000</f>
        <v>12.699204597352377</v>
      </c>
      <c r="DY27" s="99">
        <v>151</v>
      </c>
      <c r="DZ27" s="99">
        <f>(DY27)*a14a!$I$39/1000000</f>
        <v>25.381587516009454</v>
      </c>
      <c r="EA27" s="99">
        <v>81.7</v>
      </c>
      <c r="EB27" s="99">
        <f>(EA27)*a14a!$J$39/1000000</f>
        <v>18.102948412683094</v>
      </c>
      <c r="EC27" s="99">
        <v>824.2</v>
      </c>
      <c r="ED27" s="99">
        <f t="shared" si="20"/>
        <v>113.73205736568953</v>
      </c>
      <c r="EE27" s="99">
        <f>'a1'!AV28/1000</f>
        <v>1105.421</v>
      </c>
      <c r="EF27" s="100">
        <f t="shared" si="21"/>
        <v>102885.73979116511</v>
      </c>
      <c r="EG27" s="100">
        <f>EF27/'a8'!AS$39*100</f>
        <v>105307.81964295302</v>
      </c>
      <c r="EH27" s="99">
        <v>120.8</v>
      </c>
      <c r="EI27" s="100">
        <f>(EH27)*a14a!$E$44/1000000</f>
        <v>9.6372265146963674</v>
      </c>
      <c r="EJ27" s="99">
        <v>187.2</v>
      </c>
      <c r="EK27" s="100">
        <f>(EJ27)*a14a!$F$44/1000000</f>
        <v>18.668137453964814</v>
      </c>
      <c r="EL27" s="99">
        <v>153.1</v>
      </c>
      <c r="EM27" s="99">
        <f>(EL27)*a14a!$G$44/1000000</f>
        <v>18.32110156539752</v>
      </c>
      <c r="EN27" s="99">
        <v>60.1</v>
      </c>
      <c r="EO27" s="99">
        <f>(EN27)*a14a!$H$44/1000000</f>
        <v>9.1932670221136785</v>
      </c>
      <c r="EP27" s="99">
        <v>153.80000000000001</v>
      </c>
      <c r="EQ27" s="99">
        <f>(EP27)*a14a!$I$44/1000000</f>
        <v>25.291129975838146</v>
      </c>
      <c r="ER27" s="99">
        <v>58.8</v>
      </c>
      <c r="ES27" s="99">
        <f>(ER27)*a14a!$J$44/1000000</f>
        <v>20.034246634671309</v>
      </c>
      <c r="ET27" s="99">
        <v>733.8</v>
      </c>
      <c r="EU27" s="99">
        <f t="shared" si="22"/>
        <v>101.14510916668183</v>
      </c>
      <c r="EV27" s="99">
        <f>'a1'!BB28/1000</f>
        <v>1007.727</v>
      </c>
      <c r="EW27" s="100">
        <f t="shared" si="23"/>
        <v>100369.55362581517</v>
      </c>
      <c r="EX27" s="100">
        <f>EW27/'a8'!AY$39*100</f>
        <v>104442.82375214898</v>
      </c>
      <c r="EY27" s="99">
        <v>177.8</v>
      </c>
      <c r="EZ27" s="100">
        <f>(EY27)*a14a!$E$49/1000000</f>
        <v>12.013905315774544</v>
      </c>
      <c r="FA27" s="99">
        <v>427.2</v>
      </c>
      <c r="FB27" s="100">
        <f>(FA27)*a14a!$F$49/1000000</f>
        <v>36.082257810031528</v>
      </c>
      <c r="FC27" s="99">
        <v>431.1</v>
      </c>
      <c r="FD27" s="99">
        <f>(FC27)*a14a!$G$49/1000000</f>
        <v>43.693992533439868</v>
      </c>
      <c r="FE27" s="99">
        <v>185.3</v>
      </c>
      <c r="FF27" s="99">
        <f>(FE27)*a14a!$H$49/1000000</f>
        <v>21.811061583477652</v>
      </c>
      <c r="FG27" s="99">
        <v>446.2</v>
      </c>
      <c r="FH27" s="99">
        <f>(FG27)*a14a!$I$49/1000000</f>
        <v>54.117824379487054</v>
      </c>
      <c r="FI27" s="99">
        <v>222.1</v>
      </c>
      <c r="FJ27" s="99">
        <f>(FI27)*a14a!$J$49/1000000</f>
        <v>47.761985783014481</v>
      </c>
      <c r="FK27" s="99">
        <v>1889.8</v>
      </c>
      <c r="FL27" s="99">
        <f t="shared" si="24"/>
        <v>215.48102740522512</v>
      </c>
      <c r="FM27" s="99">
        <f>'a1'!BH28/1000</f>
        <v>2547.788</v>
      </c>
      <c r="FN27" s="100">
        <f t="shared" si="25"/>
        <v>84575.728987351031</v>
      </c>
      <c r="FO27" s="100">
        <f>FN27/'a8'!BE$39*100</f>
        <v>82432.484393129664</v>
      </c>
      <c r="FP27" s="99">
        <v>217.1</v>
      </c>
      <c r="FQ27" s="100">
        <f>(FP27)*a14a!$E$54/1000000</f>
        <v>16.916962572165854</v>
      </c>
      <c r="FR27" s="99">
        <v>526.20000000000005</v>
      </c>
      <c r="FS27" s="100">
        <f>(FR27)*a14a!$F$54/1000000</f>
        <v>51.253487479696417</v>
      </c>
      <c r="FT27" s="99">
        <v>644.1</v>
      </c>
      <c r="FU27" s="99">
        <f>(FT27)*a14a!$G$54/1000000</f>
        <v>75.284769180552928</v>
      </c>
      <c r="FV27" s="99">
        <v>283.5</v>
      </c>
      <c r="FW27" s="99">
        <f>(FV27)*a14a!$H$54/1000000</f>
        <v>38.291954128506653</v>
      </c>
      <c r="FX27" s="99">
        <v>594.79999999999995</v>
      </c>
      <c r="FY27" s="99">
        <f>(FX27)*a14a!$I$54/1000000</f>
        <v>83.730791188583055</v>
      </c>
      <c r="FZ27" s="99">
        <v>280.2</v>
      </c>
      <c r="GA27" s="99">
        <f>(FZ27)*a14a!$J$54/1000000</f>
        <v>66.97173465316331</v>
      </c>
      <c r="GB27" s="99">
        <v>2545.9</v>
      </c>
      <c r="GC27" s="99">
        <f t="shared" si="26"/>
        <v>332.44969920266823</v>
      </c>
      <c r="GD27" s="99">
        <f>'a1'!BN28/1000</f>
        <v>3292.1109999999999</v>
      </c>
      <c r="GE27" s="100">
        <f t="shared" si="27"/>
        <v>100983.74544560262</v>
      </c>
      <c r="GF27" s="100">
        <f>GE27/'a8'!BK$39*100</f>
        <v>100882.86258301961</v>
      </c>
    </row>
    <row r="28" spans="1:188" s="26" customFormat="1" ht="16.5" customHeight="1">
      <c r="A28" s="202">
        <v>1991</v>
      </c>
      <c r="B28" s="99">
        <v>3061.1</v>
      </c>
      <c r="C28" s="168">
        <f>B28*a14a!$E$4/1000000</f>
        <v>216.53005024688764</v>
      </c>
      <c r="D28" s="99">
        <v>4925.1000000000004</v>
      </c>
      <c r="E28" s="168">
        <f>D28*a14a!$F$4/1000000</f>
        <v>435.47750419414029</v>
      </c>
      <c r="F28" s="99">
        <v>4509.2</v>
      </c>
      <c r="G28" s="99">
        <f>F28*a14a!$G$4/1000000</f>
        <v>478.44433499719014</v>
      </c>
      <c r="H28" s="99">
        <v>1909.8</v>
      </c>
      <c r="I28" s="168">
        <f>H28*a14a!$H$4/1000000</f>
        <v>232.96598969409237</v>
      </c>
      <c r="J28" s="99">
        <v>4722.2</v>
      </c>
      <c r="K28" s="168">
        <f>J28*a14a!$I$4/1000000</f>
        <v>618.22599522977237</v>
      </c>
      <c r="L28" s="99">
        <v>2405.9</v>
      </c>
      <c r="M28" s="168">
        <f>L28*a14a!$J$4/1000000</f>
        <v>488.08744420315293</v>
      </c>
      <c r="N28" s="99">
        <v>21533.3</v>
      </c>
      <c r="O28" s="99">
        <f t="shared" si="28"/>
        <v>2469.7313185652356</v>
      </c>
      <c r="P28" s="168">
        <f>'a1'!F29/1000</f>
        <v>28037.42</v>
      </c>
      <c r="Q28" s="100">
        <f t="shared" si="5"/>
        <v>88086.968007942094</v>
      </c>
      <c r="R28" s="168">
        <f>Q28/'a8'!C$39*100</f>
        <v>89066.701726938409</v>
      </c>
      <c r="S28" s="99">
        <v>94.1</v>
      </c>
      <c r="T28" s="100">
        <f>(S28)*a14a!$E$9/1000000</f>
        <v>6.3979624031974325</v>
      </c>
      <c r="U28" s="99">
        <v>115.6</v>
      </c>
      <c r="V28" s="100">
        <f>(U28)*a14a!$F$9/1000000</f>
        <v>9.8247137859939322</v>
      </c>
      <c r="W28" s="99">
        <v>70.8</v>
      </c>
      <c r="X28" s="99">
        <f>(W28)*a14a!$G$9/1000000</f>
        <v>7.2206546994640535</v>
      </c>
      <c r="Y28" s="99">
        <v>32.799999999999997</v>
      </c>
      <c r="Z28" s="99">
        <f>(Y28)*a14a!$H$9/1000000</f>
        <v>4.0758132475035636</v>
      </c>
      <c r="AA28" s="99">
        <v>103.5</v>
      </c>
      <c r="AB28" s="99">
        <f>(AA28)*a14a!$I$9/1000000</f>
        <v>15.318954139339297</v>
      </c>
      <c r="AC28" s="99">
        <v>27.8</v>
      </c>
      <c r="AD28" s="99">
        <f>(AC28)*a14a!$J$9/1000000</f>
        <v>5.8293744749502983</v>
      </c>
      <c r="AE28" s="99">
        <v>444.4</v>
      </c>
      <c r="AF28" s="99">
        <f t="shared" si="8"/>
        <v>48.667472750448582</v>
      </c>
      <c r="AG28" s="99">
        <f>'a1'!L29/1000</f>
        <v>579.64400000000001</v>
      </c>
      <c r="AH28" s="100">
        <f t="shared" si="9"/>
        <v>83960.970441251149</v>
      </c>
      <c r="AI28" s="100">
        <f>AH28/'a8'!I$39*100</f>
        <v>84298.163093625655</v>
      </c>
      <c r="AJ28" s="99">
        <v>16.600000000000001</v>
      </c>
      <c r="AK28" s="100">
        <f>(AJ28)*a14a!$E$14/1000000</f>
        <v>0.93388755814949975</v>
      </c>
      <c r="AL28" s="99">
        <v>29.6</v>
      </c>
      <c r="AM28" s="100">
        <f>(AL28)*a14a!$F$14/1000000</f>
        <v>2.0815566055139452</v>
      </c>
      <c r="AN28" s="99">
        <v>16.7</v>
      </c>
      <c r="AO28" s="99">
        <f>(AN28)*a14a!$G$14/1000000</f>
        <v>1.4092700802195763</v>
      </c>
      <c r="AP28" s="99">
        <v>7.7</v>
      </c>
      <c r="AQ28" s="99">
        <f>(AP28)*a14a!$H$14/1000000</f>
        <v>0.83689723914605108</v>
      </c>
      <c r="AR28" s="99">
        <v>20.100000000000001</v>
      </c>
      <c r="AS28" s="99">
        <f>(AR28)*a14a!$I$14/1000000</f>
        <v>2.8637226012504522</v>
      </c>
      <c r="AT28" s="99">
        <v>7.7</v>
      </c>
      <c r="AU28" s="99">
        <f>(AT28)*a14a!$J$14/1000000</f>
        <v>1.4027616181167992</v>
      </c>
      <c r="AV28" s="99">
        <v>98.5</v>
      </c>
      <c r="AW28" s="99">
        <f t="shared" si="10"/>
        <v>9.5280957023963229</v>
      </c>
      <c r="AX28" s="99">
        <f>'a1'!R29/1000</f>
        <v>130.369</v>
      </c>
      <c r="AY28" s="100">
        <f t="shared" si="11"/>
        <v>73085.593219218703</v>
      </c>
      <c r="AZ28" s="100">
        <f>AY28/'a8'!O$39*100</f>
        <v>75268.376126898773</v>
      </c>
      <c r="BA28" s="99">
        <v>92.2</v>
      </c>
      <c r="BB28" s="100">
        <f>(BA28)*a14a!$E$19/1000000</f>
        <v>5.4896704913421948</v>
      </c>
      <c r="BC28" s="99">
        <v>205.2</v>
      </c>
      <c r="BD28" s="100">
        <f>(BC28)*a14a!$F$19/1000000</f>
        <v>15.272239490556105</v>
      </c>
      <c r="BE28" s="99">
        <v>104.4</v>
      </c>
      <c r="BF28" s="99">
        <f>(BE28)*a14a!$G$19/1000000</f>
        <v>9.3241041100237254</v>
      </c>
      <c r="BG28" s="99">
        <v>47.4</v>
      </c>
      <c r="BH28" s="99">
        <f>(BG28)*a14a!$H$19/1000000</f>
        <v>5.0095910140257613</v>
      </c>
      <c r="BI28" s="99">
        <v>176.7</v>
      </c>
      <c r="BJ28" s="99">
        <f>(BI28)*a14a!$I$19/1000000</f>
        <v>20.959685875442165</v>
      </c>
      <c r="BK28" s="99">
        <v>77.7</v>
      </c>
      <c r="BL28" s="99">
        <f>(BK28)*a14a!$J$19/1000000</f>
        <v>13.971131420065358</v>
      </c>
      <c r="BM28" s="99">
        <v>703.4</v>
      </c>
      <c r="BN28" s="99">
        <f t="shared" si="12"/>
        <v>70.026422401455306</v>
      </c>
      <c r="BO28" s="99">
        <f>'a1'!X29/1000</f>
        <v>914.96900000000005</v>
      </c>
      <c r="BP28" s="100">
        <f t="shared" si="13"/>
        <v>76534.202143958217</v>
      </c>
      <c r="BQ28" s="100">
        <f>BP28/'a8'!U$39*100</f>
        <v>76918.796124581131</v>
      </c>
      <c r="BR28" s="99">
        <v>115.9</v>
      </c>
      <c r="BS28" s="100">
        <f>(BR28)*a14a!$E$24/1000000</f>
        <v>7.1518555881906565</v>
      </c>
      <c r="BT28" s="99">
        <v>135.5</v>
      </c>
      <c r="BU28" s="100">
        <f>(BT28)*a14a!$F$24/1000000</f>
        <v>10.451644005606491</v>
      </c>
      <c r="BV28" s="99">
        <v>118.2</v>
      </c>
      <c r="BW28" s="99">
        <f>(BV28)*a14a!$G$24/1000000</f>
        <v>10.940672957603134</v>
      </c>
      <c r="BX28" s="99">
        <v>43.9</v>
      </c>
      <c r="BY28" s="99">
        <f>(BX28)*a14a!$H$24/1000000</f>
        <v>5.085598849752933</v>
      </c>
      <c r="BZ28" s="99">
        <v>117.5</v>
      </c>
      <c r="CA28" s="99">
        <f>(BZ28)*a14a!$I$24/1000000</f>
        <v>17.595995881967557</v>
      </c>
      <c r="CB28" s="99">
        <v>44.5</v>
      </c>
      <c r="CC28" s="99">
        <f>(CB28)*a14a!$J$24/1000000</f>
        <v>8.1178421878962972</v>
      </c>
      <c r="CD28" s="99">
        <v>575.5</v>
      </c>
      <c r="CE28" s="99">
        <f t="shared" si="14"/>
        <v>59.343609471017075</v>
      </c>
      <c r="CF28" s="99">
        <f>'a1'!AD29/1000</f>
        <v>745.56700000000001</v>
      </c>
      <c r="CG28" s="100">
        <f t="shared" si="15"/>
        <v>79595.273759456992</v>
      </c>
      <c r="CH28" s="100">
        <f>CG28/'a8'!AA$39*100</f>
        <v>77881.872563069468</v>
      </c>
      <c r="CI28" s="99">
        <v>1205.8</v>
      </c>
      <c r="CJ28" s="100">
        <f>(CI28)*a14a!$E$29/1000000</f>
        <v>86.862345574023962</v>
      </c>
      <c r="CK28" s="99">
        <v>1135.4000000000001</v>
      </c>
      <c r="CL28" s="100">
        <f>(CK28)*a14a!$F$29/1000000</f>
        <v>102.23866640896793</v>
      </c>
      <c r="CM28" s="100">
        <v>991</v>
      </c>
      <c r="CN28" s="99">
        <f>(CM28)*a14a!$G$29/1000000</f>
        <v>107.08316196366448</v>
      </c>
      <c r="CO28" s="100">
        <v>375.8</v>
      </c>
      <c r="CP28" s="99">
        <f>(CO28)*a14a!$H$29/1000000</f>
        <v>46.930988246422103</v>
      </c>
      <c r="CQ28" s="99">
        <v>1284.5999999999999</v>
      </c>
      <c r="CR28" s="99">
        <f>(CQ28)*a14a!$I$29/1000000</f>
        <v>175.63476091655505</v>
      </c>
      <c r="CS28" s="99">
        <v>524.4</v>
      </c>
      <c r="CT28" s="99">
        <f>(CS28)*a14a!$J$29/1000000</f>
        <v>107.32306092503759</v>
      </c>
      <c r="CU28" s="99">
        <v>5517</v>
      </c>
      <c r="CV28" s="99">
        <f t="shared" si="16"/>
        <v>626.07298403467109</v>
      </c>
      <c r="CW28" s="99">
        <f>'a1'!AJ29/1000</f>
        <v>7067.3959999999997</v>
      </c>
      <c r="CX28" s="100">
        <f t="shared" si="17"/>
        <v>88586.090836663338</v>
      </c>
      <c r="CY28" s="100">
        <f>CX28/'a8'!AG$39*100</f>
        <v>90209.86846910727</v>
      </c>
      <c r="CZ28" s="99">
        <v>902.3</v>
      </c>
      <c r="DA28" s="100">
        <f>(CZ28)*a14a!$E$34/1000000</f>
        <v>60.8329652976673</v>
      </c>
      <c r="DB28" s="99">
        <v>1960.9</v>
      </c>
      <c r="DC28" s="100">
        <f>(DB28)*a14a!$F$34/1000000</f>
        <v>165.25457393909429</v>
      </c>
      <c r="DD28" s="99">
        <v>1755.3</v>
      </c>
      <c r="DE28" s="99">
        <f>(DD28)*a14a!$G$34/1000000</f>
        <v>177.5131951462852</v>
      </c>
      <c r="DF28" s="99">
        <v>763</v>
      </c>
      <c r="DG28" s="99">
        <f>(DF28)*a14a!$H$34/1000000</f>
        <v>87.43503440833031</v>
      </c>
      <c r="DH28" s="99">
        <v>1642.2</v>
      </c>
      <c r="DI28" s="99">
        <f>(DH28)*a14a!$I$34/1000000</f>
        <v>200.27075569406509</v>
      </c>
      <c r="DJ28" s="99">
        <v>1067.9000000000001</v>
      </c>
      <c r="DK28" s="99">
        <f>(DJ28)*a14a!$J$34/1000000</f>
        <v>196.18586455334901</v>
      </c>
      <c r="DL28" s="99">
        <v>8091.5</v>
      </c>
      <c r="DM28" s="99">
        <f t="shared" si="18"/>
        <v>887.4923890387912</v>
      </c>
      <c r="DN28" s="99">
        <f>'a1'!AP29/1000</f>
        <v>10431.316000000001</v>
      </c>
      <c r="DO28" s="100">
        <f t="shared" si="19"/>
        <v>85079.618816915448</v>
      </c>
      <c r="DP28" s="100">
        <f>DO28/'a8'!AM$39*100</f>
        <v>86904.61574761536</v>
      </c>
      <c r="DQ28" s="99">
        <v>125.9</v>
      </c>
      <c r="DR28" s="100">
        <f>(DQ28)*a14a!$E$39/1000000</f>
        <v>11.257509462571868</v>
      </c>
      <c r="DS28" s="99">
        <v>210</v>
      </c>
      <c r="DT28" s="100">
        <f>(DS28)*a14a!$F$39/1000000</f>
        <v>23.471773105044601</v>
      </c>
      <c r="DU28" s="99">
        <v>163.5</v>
      </c>
      <c r="DV28" s="99">
        <f>(DU28)*a14a!$G$39/1000000</f>
        <v>21.929342300998812</v>
      </c>
      <c r="DW28" s="99">
        <v>82.6</v>
      </c>
      <c r="DX28" s="99">
        <f>(DW28)*a14a!$H$39/1000000</f>
        <v>12.502435038632973</v>
      </c>
      <c r="DY28" s="99">
        <v>160</v>
      </c>
      <c r="DZ28" s="99">
        <f>(DY28)*a14a!$I$39/1000000</f>
        <v>26.894397367957041</v>
      </c>
      <c r="EA28" s="99">
        <v>85.2</v>
      </c>
      <c r="EB28" s="99">
        <f>(EA28)*a14a!$J$39/1000000</f>
        <v>18.878472518489595</v>
      </c>
      <c r="EC28" s="99">
        <v>827.3</v>
      </c>
      <c r="ED28" s="99">
        <f t="shared" si="20"/>
        <v>114.93392979369489</v>
      </c>
      <c r="EE28" s="99">
        <f>'a1'!AV29/1000</f>
        <v>1109.604</v>
      </c>
      <c r="EF28" s="100">
        <f t="shared" si="21"/>
        <v>103581.03412901799</v>
      </c>
      <c r="EG28" s="100">
        <f>EF28/'a8'!AS$39*100</f>
        <v>106019.48222007982</v>
      </c>
      <c r="EH28" s="99">
        <v>125.1</v>
      </c>
      <c r="EI28" s="100">
        <f>(EH28)*a14a!$E$44/1000000</f>
        <v>9.9802734850042665</v>
      </c>
      <c r="EJ28" s="99">
        <v>180.4</v>
      </c>
      <c r="EK28" s="100">
        <f>(EJ28)*a14a!$F$44/1000000</f>
        <v>17.990021349867806</v>
      </c>
      <c r="EL28" s="99">
        <v>158</v>
      </c>
      <c r="EM28" s="99">
        <f>(EL28)*a14a!$G$44/1000000</f>
        <v>18.907472549528464</v>
      </c>
      <c r="EN28" s="99">
        <v>58.2</v>
      </c>
      <c r="EO28" s="99">
        <f>(EN28)*a14a!$H$44/1000000</f>
        <v>8.9026312926292199</v>
      </c>
      <c r="EP28" s="99">
        <v>149.1</v>
      </c>
      <c r="EQ28" s="99">
        <f>(EP28)*a14a!$I$44/1000000</f>
        <v>24.518254092311231</v>
      </c>
      <c r="ER28" s="99">
        <v>60.7</v>
      </c>
      <c r="ES28" s="99">
        <f>(ER28)*a14a!$J$44/1000000</f>
        <v>20.681611747016131</v>
      </c>
      <c r="ET28" s="99">
        <v>731.5</v>
      </c>
      <c r="EU28" s="99">
        <f t="shared" si="22"/>
        <v>100.98026451635711</v>
      </c>
      <c r="EV28" s="99">
        <f>'a1'!BB29/1000</f>
        <v>1002.713</v>
      </c>
      <c r="EW28" s="100">
        <f t="shared" si="23"/>
        <v>100707.0462997459</v>
      </c>
      <c r="EX28" s="100">
        <f>EW28/'a8'!AY$39*100</f>
        <v>104794.01279890312</v>
      </c>
      <c r="EY28" s="99">
        <v>170.9</v>
      </c>
      <c r="EZ28" s="100">
        <f>(EY28)*a14a!$E$49/1000000</f>
        <v>11.547673894633686</v>
      </c>
      <c r="FA28" s="99">
        <v>431</v>
      </c>
      <c r="FB28" s="100">
        <f>(FA28)*a14a!$F$49/1000000</f>
        <v>36.403214223135741</v>
      </c>
      <c r="FC28" s="99">
        <v>448.3</v>
      </c>
      <c r="FD28" s="99">
        <f>(FC28)*a14a!$G$49/1000000</f>
        <v>45.437292629879593</v>
      </c>
      <c r="FE28" s="99">
        <v>184</v>
      </c>
      <c r="FF28" s="99">
        <f>(FE28)*a14a!$H$49/1000000</f>
        <v>21.658042802805653</v>
      </c>
      <c r="FG28" s="99">
        <v>462.3</v>
      </c>
      <c r="FH28" s="99">
        <f>(FG28)*a14a!$I$49/1000000</f>
        <v>56.07052938287061</v>
      </c>
      <c r="FI28" s="99">
        <v>231.4</v>
      </c>
      <c r="FJ28" s="99">
        <f>(FI28)*a14a!$J$49/1000000</f>
        <v>49.761924854522974</v>
      </c>
      <c r="FK28" s="99">
        <v>1927.8</v>
      </c>
      <c r="FL28" s="99">
        <f t="shared" si="24"/>
        <v>220.87867778784823</v>
      </c>
      <c r="FM28" s="99">
        <f>'a1'!BH29/1000</f>
        <v>2592.306</v>
      </c>
      <c r="FN28" s="100">
        <f t="shared" si="25"/>
        <v>85205.480289691201</v>
      </c>
      <c r="FO28" s="100">
        <f>FN28/'a8'!BE$39*100</f>
        <v>83046.277085469017</v>
      </c>
      <c r="FP28" s="99">
        <v>212.3</v>
      </c>
      <c r="FQ28" s="100">
        <f>(FP28)*a14a!$E$54/1000000</f>
        <v>16.542934841413224</v>
      </c>
      <c r="FR28" s="99">
        <v>521.6</v>
      </c>
      <c r="FS28" s="100">
        <f>(FR28)*a14a!$F$54/1000000</f>
        <v>50.805433427232323</v>
      </c>
      <c r="FT28" s="99">
        <v>683.1</v>
      </c>
      <c r="FU28" s="99">
        <f>(FT28)*a14a!$G$54/1000000</f>
        <v>79.843232149100615</v>
      </c>
      <c r="FV28" s="99">
        <v>314.3</v>
      </c>
      <c r="FW28" s="99">
        <f>(FV28)*a14a!$H$54/1000000</f>
        <v>42.45206766345553</v>
      </c>
      <c r="FX28" s="99">
        <v>606.29999999999995</v>
      </c>
      <c r="FY28" s="99">
        <f>(FX28)*a14a!$I$54/1000000</f>
        <v>85.349661562942018</v>
      </c>
      <c r="FZ28" s="99">
        <v>278.7</v>
      </c>
      <c r="GA28" s="99">
        <f>(FZ28)*a14a!$J$54/1000000</f>
        <v>66.613213589709545</v>
      </c>
      <c r="GB28" s="99">
        <v>2616.1999999999998</v>
      </c>
      <c r="GC28" s="99">
        <f t="shared" si="26"/>
        <v>341.60654323385324</v>
      </c>
      <c r="GD28" s="99">
        <f>'a1'!BN29/1000</f>
        <v>3373.7869999999998</v>
      </c>
      <c r="GE28" s="100">
        <f t="shared" si="27"/>
        <v>101253.14468099298</v>
      </c>
      <c r="GF28" s="100">
        <f>GE28/'a8'!BK$39*100</f>
        <v>101151.99268830467</v>
      </c>
    </row>
    <row r="29" spans="1:188" s="26" customFormat="1" ht="16.5" customHeight="1">
      <c r="A29" s="202">
        <v>1992</v>
      </c>
      <c r="B29" s="99">
        <v>2992.6</v>
      </c>
      <c r="C29" s="168">
        <f>B29*a14a!$E$4/1000000</f>
        <v>211.68463244220573</v>
      </c>
      <c r="D29" s="99">
        <v>4809.7</v>
      </c>
      <c r="E29" s="168">
        <f>D29*a14a!$F$4/1000000</f>
        <v>425.27383239376996</v>
      </c>
      <c r="F29" s="99">
        <v>4629.1000000000004</v>
      </c>
      <c r="G29" s="99">
        <f>F29*a14a!$G$4/1000000</f>
        <v>491.16620933546818</v>
      </c>
      <c r="H29" s="99">
        <v>1934.2</v>
      </c>
      <c r="I29" s="168">
        <f>H29*a14a!$H$4/1000000</f>
        <v>235.94241138669676</v>
      </c>
      <c r="J29" s="99">
        <v>4866.7</v>
      </c>
      <c r="K29" s="168">
        <f>J29*a14a!$I$4/1000000</f>
        <v>637.14379970876564</v>
      </c>
      <c r="L29" s="99">
        <v>2587.8000000000002</v>
      </c>
      <c r="M29" s="168">
        <f>L29*a14a!$J$4/1000000</f>
        <v>524.98968706468236</v>
      </c>
      <c r="N29" s="183">
        <v>21820.2</v>
      </c>
      <c r="O29" s="99">
        <f t="shared" si="28"/>
        <v>2526.2005723315888</v>
      </c>
      <c r="P29" s="168">
        <f>'a1'!F30/1000</f>
        <v>28371.263999999999</v>
      </c>
      <c r="Q29" s="100">
        <f t="shared" si="5"/>
        <v>89040.818637181233</v>
      </c>
      <c r="R29" s="168">
        <f>Q29/'a8'!C$39*100</f>
        <v>90031.161412721151</v>
      </c>
      <c r="S29" s="99">
        <v>92.6</v>
      </c>
      <c r="T29" s="100">
        <f>(S29)*a14a!$E$9/1000000</f>
        <v>6.295975754899918</v>
      </c>
      <c r="U29" s="99">
        <v>111.3</v>
      </c>
      <c r="V29" s="100">
        <f>(U29)*a14a!$F$9/1000000</f>
        <v>9.4592616295945042</v>
      </c>
      <c r="W29" s="99">
        <v>74.5</v>
      </c>
      <c r="X29" s="99">
        <f>(W29)*a14a!$G$9/1000000</f>
        <v>7.5980052981648587</v>
      </c>
      <c r="Y29" s="99">
        <v>32</v>
      </c>
      <c r="Z29" s="99">
        <f>(Y29)*a14a!$H$9/1000000</f>
        <v>3.97640316829616</v>
      </c>
      <c r="AA29" s="99">
        <v>108</v>
      </c>
      <c r="AB29" s="99">
        <f>(AA29)*a14a!$I$9/1000000</f>
        <v>15.984995623658397</v>
      </c>
      <c r="AC29" s="99">
        <v>29.6</v>
      </c>
      <c r="AD29" s="99">
        <f>(AC29)*a14a!$J$9/1000000</f>
        <v>6.2068159877168645</v>
      </c>
      <c r="AE29" s="99">
        <v>447.9</v>
      </c>
      <c r="AF29" s="99">
        <f t="shared" si="8"/>
        <v>49.521457462330702</v>
      </c>
      <c r="AG29" s="99">
        <f>'a1'!L30/1000</f>
        <v>580.10900000000004</v>
      </c>
      <c r="AH29" s="100">
        <f t="shared" si="9"/>
        <v>85365.780331507864</v>
      </c>
      <c r="AI29" s="100">
        <f>AH29/'a8'!I$39*100</f>
        <v>85708.614790670545</v>
      </c>
      <c r="AJ29" s="99">
        <v>15.3</v>
      </c>
      <c r="AK29" s="100">
        <f>(AJ29)*a14a!$E$14/1000000</f>
        <v>0.86075178552333409</v>
      </c>
      <c r="AL29" s="99">
        <v>28.5</v>
      </c>
      <c r="AM29" s="100">
        <f>(AL29)*a14a!$F$14/1000000</f>
        <v>2.0042014613901165</v>
      </c>
      <c r="AN29" s="99">
        <v>17</v>
      </c>
      <c r="AO29" s="99">
        <f>(AN29)*a14a!$G$14/1000000</f>
        <v>1.4345863092055569</v>
      </c>
      <c r="AP29" s="99">
        <v>8.1999999999999993</v>
      </c>
      <c r="AQ29" s="99">
        <f>(AP29)*a14a!$H$14/1000000</f>
        <v>0.89124121571397641</v>
      </c>
      <c r="AR29" s="99">
        <v>21.5</v>
      </c>
      <c r="AS29" s="99">
        <f>(AR29)*a14a!$I$14/1000000</f>
        <v>3.06318586700919</v>
      </c>
      <c r="AT29" s="99">
        <v>9</v>
      </c>
      <c r="AU29" s="99">
        <f>(AT29)*a14a!$J$14/1000000</f>
        <v>1.6395915016949603</v>
      </c>
      <c r="AV29" s="99">
        <v>99.6</v>
      </c>
      <c r="AW29" s="99">
        <f t="shared" si="10"/>
        <v>9.8935581405371344</v>
      </c>
      <c r="AX29" s="99">
        <f>'a1'!R30/1000</f>
        <v>130.827</v>
      </c>
      <c r="AY29" s="100">
        <f t="shared" si="11"/>
        <v>75623.213408066644</v>
      </c>
      <c r="AZ29" s="100">
        <f>AY29/'a8'!O$39*100</f>
        <v>77881.78517823547</v>
      </c>
      <c r="BA29" s="99">
        <v>88.9</v>
      </c>
      <c r="BB29" s="100">
        <f>(BA29)*a14a!$E$19/1000000</f>
        <v>5.2931855388321161</v>
      </c>
      <c r="BC29" s="99">
        <v>200.1</v>
      </c>
      <c r="BD29" s="100">
        <f>(BC29)*a14a!$F$19/1000000</f>
        <v>14.892666286843452</v>
      </c>
      <c r="BE29" s="99">
        <v>107.4</v>
      </c>
      <c r="BF29" s="99">
        <f>(BE29)*a14a!$G$19/1000000</f>
        <v>9.5920381361738336</v>
      </c>
      <c r="BG29" s="99">
        <v>50.2</v>
      </c>
      <c r="BH29" s="99">
        <f>(BG29)*a14a!$H$19/1000000</f>
        <v>5.3055162216053429</v>
      </c>
      <c r="BI29" s="99">
        <v>186.4</v>
      </c>
      <c r="BJ29" s="99">
        <f>(BI29)*a14a!$I$19/1000000</f>
        <v>22.110274177602829</v>
      </c>
      <c r="BK29" s="99">
        <v>74.900000000000006</v>
      </c>
      <c r="BL29" s="99">
        <f>(BK29)*a14a!$J$19/1000000</f>
        <v>13.467667224747689</v>
      </c>
      <c r="BM29" s="99">
        <v>708</v>
      </c>
      <c r="BN29" s="99">
        <f t="shared" si="12"/>
        <v>70.66134758580526</v>
      </c>
      <c r="BO29" s="99">
        <f>'a1'!X30/1000</f>
        <v>919.45100000000002</v>
      </c>
      <c r="BP29" s="100">
        <f t="shared" si="13"/>
        <v>76851.672993781365</v>
      </c>
      <c r="BQ29" s="100">
        <f>BP29/'a8'!U$39*100</f>
        <v>77237.862305307906</v>
      </c>
      <c r="BR29" s="99">
        <v>112.6</v>
      </c>
      <c r="BS29" s="100">
        <f>(BR29)*a14a!$E$24/1000000</f>
        <v>6.9482220813655555</v>
      </c>
      <c r="BT29" s="99">
        <v>130.69999999999999</v>
      </c>
      <c r="BU29" s="100">
        <f>(BT29)*a14a!$F$24/1000000</f>
        <v>10.081401265924489</v>
      </c>
      <c r="BV29" s="99">
        <v>121.9</v>
      </c>
      <c r="BW29" s="99">
        <f>(BV29)*a14a!$G$24/1000000</f>
        <v>11.283147491808986</v>
      </c>
      <c r="BX29" s="99">
        <v>45.2</v>
      </c>
      <c r="BY29" s="99">
        <f>(BX29)*a14a!$H$24/1000000</f>
        <v>5.2361974489483494</v>
      </c>
      <c r="BZ29" s="99">
        <v>120.3</v>
      </c>
      <c r="CA29" s="99">
        <f>(BZ29)*a14a!$I$24/1000000</f>
        <v>18.015304720005933</v>
      </c>
      <c r="CB29" s="99">
        <v>49</v>
      </c>
      <c r="CC29" s="99">
        <f>(CB29)*a14a!$J$24/1000000</f>
        <v>8.9387475776835625</v>
      </c>
      <c r="CD29" s="99">
        <v>579.70000000000005</v>
      </c>
      <c r="CE29" s="99">
        <f t="shared" si="14"/>
        <v>60.50302058573687</v>
      </c>
      <c r="CF29" s="99">
        <f>'a1'!AD30/1000</f>
        <v>748.12099999999998</v>
      </c>
      <c r="CG29" s="100">
        <f t="shared" si="15"/>
        <v>80873.308710404963</v>
      </c>
      <c r="CH29" s="100">
        <f>CG29/'a8'!AA$39*100</f>
        <v>79132.3959984393</v>
      </c>
      <c r="CI29" s="99">
        <v>1178.4000000000001</v>
      </c>
      <c r="CJ29" s="100">
        <f>(CI29)*a14a!$E$29/1000000</f>
        <v>84.888528797835335</v>
      </c>
      <c r="CK29" s="99">
        <v>1098.5</v>
      </c>
      <c r="CL29" s="100">
        <f>(CK29)*a14a!$F$29/1000000</f>
        <v>98.915954773869345</v>
      </c>
      <c r="CM29" s="100">
        <v>999.2</v>
      </c>
      <c r="CN29" s="99">
        <f>(CM29)*a14a!$G$29/1000000</f>
        <v>107.96921839969077</v>
      </c>
      <c r="CO29" s="100">
        <v>369.3</v>
      </c>
      <c r="CP29" s="99">
        <f>(CO29)*a14a!$H$29/1000000</f>
        <v>46.119249492825126</v>
      </c>
      <c r="CQ29" s="99">
        <v>1324.8</v>
      </c>
      <c r="CR29" s="99">
        <f>(CQ29)*a14a!$I$29/1000000</f>
        <v>181.13103788124874</v>
      </c>
      <c r="CS29" s="99">
        <v>594.29999999999995</v>
      </c>
      <c r="CT29" s="99">
        <f>(CS29)*a14a!$J$29/1000000</f>
        <v>121.6287092062354</v>
      </c>
      <c r="CU29" s="99">
        <v>5564.5</v>
      </c>
      <c r="CV29" s="99">
        <f t="shared" si="16"/>
        <v>640.6526985517047</v>
      </c>
      <c r="CW29" s="99">
        <f>'a1'!AJ30/1000</f>
        <v>7110.01</v>
      </c>
      <c r="CX29" s="100">
        <f t="shared" si="17"/>
        <v>90105.73804420876</v>
      </c>
      <c r="CY29" s="100">
        <f>CX29/'a8'!AG$39*100</f>
        <v>91757.370717116864</v>
      </c>
      <c r="CZ29" s="99">
        <v>879.9</v>
      </c>
      <c r="DA29" s="100">
        <f>(CZ29)*a14a!$E$34/1000000</f>
        <v>59.322759797647635</v>
      </c>
      <c r="DB29" s="99">
        <v>1910.3</v>
      </c>
      <c r="DC29" s="100">
        <f>(DB29)*a14a!$F$34/1000000</f>
        <v>160.99026599819052</v>
      </c>
      <c r="DD29" s="99">
        <v>1826.5</v>
      </c>
      <c r="DE29" s="99">
        <f>(DD29)*a14a!$G$34/1000000</f>
        <v>184.71363922673612</v>
      </c>
      <c r="DF29" s="99">
        <v>763.9</v>
      </c>
      <c r="DG29" s="99">
        <f>(DF29)*a14a!$H$34/1000000</f>
        <v>87.53816878705571</v>
      </c>
      <c r="DH29" s="99">
        <v>1708.8</v>
      </c>
      <c r="DI29" s="99">
        <f>(DH29)*a14a!$I$34/1000000</f>
        <v>208.39280680186238</v>
      </c>
      <c r="DJ29" s="99">
        <v>1121.5</v>
      </c>
      <c r="DK29" s="99">
        <f>(DJ29)*a14a!$J$34/1000000</f>
        <v>206.0328187064153</v>
      </c>
      <c r="DL29" s="99">
        <v>8210.9</v>
      </c>
      <c r="DM29" s="99">
        <f t="shared" si="18"/>
        <v>906.99045931790761</v>
      </c>
      <c r="DN29" s="99">
        <f>'a1'!AP30/1000</f>
        <v>10572.205</v>
      </c>
      <c r="DO29" s="100">
        <f t="shared" si="19"/>
        <v>85790.093865745846</v>
      </c>
      <c r="DP29" s="100">
        <f>DO29/'a8'!AM$39*100</f>
        <v>87630.330812814951</v>
      </c>
      <c r="DQ29" s="99">
        <v>118.5</v>
      </c>
      <c r="DR29" s="100">
        <f>(DQ29)*a14a!$E$39/1000000</f>
        <v>10.595829001705848</v>
      </c>
      <c r="DS29" s="99">
        <v>208.3</v>
      </c>
      <c r="DT29" s="100">
        <f>(DS29)*a14a!$F$39/1000000</f>
        <v>23.281763513241859</v>
      </c>
      <c r="DU29" s="99">
        <v>171.4</v>
      </c>
      <c r="DV29" s="99">
        <f>(DU29)*a14a!$G$39/1000000</f>
        <v>22.988925201169394</v>
      </c>
      <c r="DW29" s="99">
        <v>84.2</v>
      </c>
      <c r="DX29" s="99">
        <f>(DW29)*a14a!$H$39/1000000</f>
        <v>12.744612957056855</v>
      </c>
      <c r="DY29" s="99">
        <v>158.69999999999999</v>
      </c>
      <c r="DZ29" s="99">
        <f>(DY29)*a14a!$I$39/1000000</f>
        <v>26.675880389342385</v>
      </c>
      <c r="EA29" s="99">
        <v>87.5</v>
      </c>
      <c r="EB29" s="99">
        <f>(EA29)*a14a!$J$39/1000000</f>
        <v>19.388102645162434</v>
      </c>
      <c r="EC29" s="99">
        <v>828.6</v>
      </c>
      <c r="ED29" s="99">
        <f t="shared" si="20"/>
        <v>115.67511370767878</v>
      </c>
      <c r="EE29" s="99">
        <f>'a1'!AV30/1000</f>
        <v>1112.6890000000001</v>
      </c>
      <c r="EF29" s="100">
        <f t="shared" si="21"/>
        <v>103959.96878523898</v>
      </c>
      <c r="EG29" s="100">
        <f>EF29/'a8'!AS$39*100</f>
        <v>106407.33754886282</v>
      </c>
      <c r="EH29" s="99">
        <v>116.1</v>
      </c>
      <c r="EI29" s="100">
        <f>(EH29)*a14a!$E$44/1000000</f>
        <v>9.2622681983133131</v>
      </c>
      <c r="EJ29" s="99">
        <v>180.1</v>
      </c>
      <c r="EK29" s="100">
        <f>(EJ29)*a14a!$F$44/1000000</f>
        <v>17.960104462922345</v>
      </c>
      <c r="EL29" s="99">
        <v>156.1</v>
      </c>
      <c r="EM29" s="99">
        <f>(EL29)*a14a!$G$44/1000000</f>
        <v>18.680104208742996</v>
      </c>
      <c r="EN29" s="99">
        <v>59.4</v>
      </c>
      <c r="EO29" s="99">
        <f>(EN29)*a14a!$H$44/1000000</f>
        <v>9.0861907007246661</v>
      </c>
      <c r="EP29" s="99">
        <v>160.1</v>
      </c>
      <c r="EQ29" s="99">
        <f>(EP29)*a14a!$I$44/1000000</f>
        <v>26.327112543118901</v>
      </c>
      <c r="ER29" s="99">
        <v>60.7</v>
      </c>
      <c r="ES29" s="99">
        <f>(ER29)*a14a!$J$44/1000000</f>
        <v>20.681611747016131</v>
      </c>
      <c r="ET29" s="99">
        <v>732.5</v>
      </c>
      <c r="EU29" s="99">
        <f t="shared" si="22"/>
        <v>101.99739186083836</v>
      </c>
      <c r="EV29" s="99">
        <f>'a1'!BB30/1000</f>
        <v>1003.995</v>
      </c>
      <c r="EW29" s="100">
        <f t="shared" si="23"/>
        <v>101591.53368377169</v>
      </c>
      <c r="EX29" s="100">
        <f>EW29/'a8'!AY$39*100</f>
        <v>105714.3950923743</v>
      </c>
      <c r="EY29" s="99">
        <v>170.1</v>
      </c>
      <c r="EZ29" s="100">
        <f>(EY29)*a14a!$E$49/1000000</f>
        <v>11.493618077689817</v>
      </c>
      <c r="FA29" s="99">
        <v>422</v>
      </c>
      <c r="FB29" s="100">
        <f>(FA29)*a14a!$F$49/1000000</f>
        <v>35.643054297362603</v>
      </c>
      <c r="FC29" s="99">
        <v>454.4</v>
      </c>
      <c r="FD29" s="99">
        <f>(FC29)*a14a!$G$49/1000000</f>
        <v>46.055556036175069</v>
      </c>
      <c r="FE29" s="99">
        <v>182.4</v>
      </c>
      <c r="FF29" s="99">
        <f>(FE29)*a14a!$H$49/1000000</f>
        <v>21.469711995824735</v>
      </c>
      <c r="FG29" s="99">
        <v>478.2</v>
      </c>
      <c r="FH29" s="99">
        <f>(FG29)*a14a!$I$49/1000000</f>
        <v>57.998977181243184</v>
      </c>
      <c r="FI29" s="99">
        <v>251</v>
      </c>
      <c r="FJ29" s="99">
        <f>(FI29)*a14a!$J$49/1000000</f>
        <v>53.976850209530099</v>
      </c>
      <c r="FK29" s="99">
        <v>1958.1</v>
      </c>
      <c r="FL29" s="99">
        <f t="shared" si="24"/>
        <v>226.63776779782552</v>
      </c>
      <c r="FM29" s="99">
        <f>'a1'!BH30/1000</f>
        <v>2632.672</v>
      </c>
      <c r="FN29" s="100">
        <f t="shared" si="25"/>
        <v>86086.594835142969</v>
      </c>
      <c r="FO29" s="100">
        <f>FN29/'a8'!BE$39*100</f>
        <v>83905.06319214715</v>
      </c>
      <c r="FP29" s="99">
        <v>220.1</v>
      </c>
      <c r="FQ29" s="100">
        <f>(FP29)*a14a!$E$54/1000000</f>
        <v>17.150729903886248</v>
      </c>
      <c r="FR29" s="99">
        <v>519.9</v>
      </c>
      <c r="FS29" s="100">
        <f>(FR29)*a14a!$F$54/1000000</f>
        <v>50.639848233930373</v>
      </c>
      <c r="FT29" s="99">
        <v>700.7</v>
      </c>
      <c r="FU29" s="99">
        <f>(FT29)*a14a!$G$54/1000000</f>
        <v>81.900384668240079</v>
      </c>
      <c r="FV29" s="99">
        <v>339.4</v>
      </c>
      <c r="FW29" s="99">
        <f>(FV29)*a14a!$H$54/1000000</f>
        <v>45.84229005719633</v>
      </c>
      <c r="FX29" s="99">
        <v>599.9</v>
      </c>
      <c r="FY29" s="99">
        <f>(FX29)*a14a!$I$54/1000000</f>
        <v>84.448725006777039</v>
      </c>
      <c r="FZ29" s="99">
        <v>310.3</v>
      </c>
      <c r="GA29" s="99">
        <f>(FZ29)*a14a!$J$54/1000000</f>
        <v>74.166057326468874</v>
      </c>
      <c r="GB29" s="99">
        <v>2690.4</v>
      </c>
      <c r="GC29" s="99">
        <f t="shared" si="26"/>
        <v>354.14803519649894</v>
      </c>
      <c r="GD29" s="99">
        <f>'a1'!BN30/1000</f>
        <v>3468.8020000000001</v>
      </c>
      <c r="GE29" s="100">
        <f t="shared" si="27"/>
        <v>102095.20035923034</v>
      </c>
      <c r="GF29" s="100">
        <f>GE29/'a8'!BK$39*100</f>
        <v>101993.20715207826</v>
      </c>
    </row>
    <row r="30" spans="1:188" s="26" customFormat="1" ht="16.5" customHeight="1">
      <c r="A30" s="202">
        <v>1993</v>
      </c>
      <c r="B30" s="99">
        <v>2864.1</v>
      </c>
      <c r="C30" s="168">
        <f>B30*a14a!$E$4/1000000</f>
        <v>202.59505305678056</v>
      </c>
      <c r="D30" s="99">
        <v>4684</v>
      </c>
      <c r="E30" s="168">
        <f>D30*a14a!$F$4/1000000</f>
        <v>414.15943425419852</v>
      </c>
      <c r="F30" s="99">
        <v>4723.5</v>
      </c>
      <c r="G30" s="99">
        <f>F30*a14a!$G$4/1000000</f>
        <v>501.18243066602224</v>
      </c>
      <c r="H30" s="99">
        <v>1969</v>
      </c>
      <c r="I30" s="168">
        <f>H30*a14a!$H$4/1000000</f>
        <v>240.18747183352596</v>
      </c>
      <c r="J30" s="99">
        <v>5070.5</v>
      </c>
      <c r="K30" s="168">
        <f>J30*a14a!$I$4/1000000</f>
        <v>663.82510457256376</v>
      </c>
      <c r="L30" s="99">
        <v>2781.8</v>
      </c>
      <c r="M30" s="168">
        <f>L30*a14a!$J$4/1000000</f>
        <v>564.34666955581315</v>
      </c>
      <c r="N30" s="183">
        <v>22092.9</v>
      </c>
      <c r="O30" s="99">
        <f t="shared" si="28"/>
        <v>2586.2961639389041</v>
      </c>
      <c r="P30" s="168">
        <f>'a1'!F31/1000</f>
        <v>28684.763999999999</v>
      </c>
      <c r="Q30" s="100">
        <f t="shared" si="5"/>
        <v>90162.713694939375</v>
      </c>
      <c r="R30" s="168">
        <f>Q30/'a8'!C$39*100</f>
        <v>91165.534575267317</v>
      </c>
      <c r="S30" s="99">
        <v>93.7</v>
      </c>
      <c r="T30" s="100">
        <f>(S30)*a14a!$E$9/1000000</f>
        <v>6.3707659636514302</v>
      </c>
      <c r="U30" s="99">
        <v>106.5</v>
      </c>
      <c r="V30" s="100">
        <f>(U30)*a14a!$F$9/1000000</f>
        <v>9.0513150364044446</v>
      </c>
      <c r="W30" s="99">
        <v>77.099999999999994</v>
      </c>
      <c r="X30" s="99">
        <f>(W30)*a14a!$G$9/1000000</f>
        <v>7.8631705837383965</v>
      </c>
      <c r="Y30" s="99">
        <v>31.5</v>
      </c>
      <c r="Z30" s="99">
        <f>(Y30)*a14a!$H$9/1000000</f>
        <v>3.9142718687915328</v>
      </c>
      <c r="AA30" s="99">
        <v>108.1</v>
      </c>
      <c r="AB30" s="99">
        <f>(AA30)*a14a!$I$9/1000000</f>
        <v>15.999796545532154</v>
      </c>
      <c r="AC30" s="99">
        <v>33.5</v>
      </c>
      <c r="AD30" s="99">
        <f>(AC30)*a14a!$J$9/1000000</f>
        <v>7.0246059320444241</v>
      </c>
      <c r="AE30" s="99">
        <v>450.3</v>
      </c>
      <c r="AF30" s="99">
        <f t="shared" si="8"/>
        <v>50.22392593016238</v>
      </c>
      <c r="AG30" s="99">
        <f>'a1'!L31/1000</f>
        <v>579.97699999999998</v>
      </c>
      <c r="AH30" s="100">
        <f t="shared" si="9"/>
        <v>86596.409737217822</v>
      </c>
      <c r="AI30" s="100">
        <f>AH30/'a8'!I$39*100</f>
        <v>86944.186483150435</v>
      </c>
      <c r="AJ30" s="99">
        <v>14.5</v>
      </c>
      <c r="AK30" s="100">
        <f>(AJ30)*a14a!$E$14/1000000</f>
        <v>0.81574515621492438</v>
      </c>
      <c r="AL30" s="99">
        <v>26.4</v>
      </c>
      <c r="AM30" s="100">
        <f>(AL30)*a14a!$F$14/1000000</f>
        <v>1.8565234589718969</v>
      </c>
      <c r="AN30" s="99">
        <v>17.3</v>
      </c>
      <c r="AO30" s="99">
        <f>(AN30)*a14a!$G$14/1000000</f>
        <v>1.4599025381915371</v>
      </c>
      <c r="AP30" s="99">
        <v>8.9</v>
      </c>
      <c r="AQ30" s="99">
        <f>(AP30)*a14a!$H$14/1000000</f>
        <v>0.96732278290907214</v>
      </c>
      <c r="AR30" s="99">
        <v>22.7</v>
      </c>
      <c r="AS30" s="99">
        <f>(AR30)*a14a!$I$14/1000000</f>
        <v>3.2341543805166797</v>
      </c>
      <c r="AT30" s="99">
        <v>11.1</v>
      </c>
      <c r="AU30" s="99">
        <f>(AT30)*a14a!$J$14/1000000</f>
        <v>2.0221628520904509</v>
      </c>
      <c r="AV30" s="99">
        <v>100.8</v>
      </c>
      <c r="AW30" s="99">
        <f t="shared" si="10"/>
        <v>10.355811168894562</v>
      </c>
      <c r="AX30" s="99">
        <f>'a1'!R31/1000</f>
        <v>132.17699999999999</v>
      </c>
      <c r="AY30" s="100">
        <f t="shared" si="11"/>
        <v>78348.057293587859</v>
      </c>
      <c r="AZ30" s="100">
        <f>AY30/'a8'!O$39*100</f>
        <v>80688.00957115124</v>
      </c>
      <c r="BA30" s="99">
        <v>87.5</v>
      </c>
      <c r="BB30" s="100">
        <f>(BA30)*a14a!$E$19/1000000</f>
        <v>5.2098282862520824</v>
      </c>
      <c r="BC30" s="99">
        <v>190.1</v>
      </c>
      <c r="BD30" s="100">
        <f>(BC30)*a14a!$F$19/1000000</f>
        <v>14.148405103093154</v>
      </c>
      <c r="BE30" s="99">
        <v>111.8</v>
      </c>
      <c r="BF30" s="99">
        <f>(BE30)*a14a!$G$19/1000000</f>
        <v>9.9850080411939892</v>
      </c>
      <c r="BG30" s="99">
        <v>52.8</v>
      </c>
      <c r="BH30" s="99">
        <f>(BG30)*a14a!$H$19/1000000</f>
        <v>5.5803039143578106</v>
      </c>
      <c r="BI30" s="99">
        <v>183.4</v>
      </c>
      <c r="BJ30" s="99">
        <f>(BI30)*a14a!$I$19/1000000</f>
        <v>21.754422125388189</v>
      </c>
      <c r="BK30" s="99">
        <v>87</v>
      </c>
      <c r="BL30" s="99">
        <f>(BK30)*a14a!$J$19/1000000</f>
        <v>15.643351783084766</v>
      </c>
      <c r="BM30" s="99">
        <v>712.6</v>
      </c>
      <c r="BN30" s="99">
        <f t="shared" si="12"/>
        <v>72.321319253369992</v>
      </c>
      <c r="BO30" s="99">
        <f>'a1'!X31/1000</f>
        <v>923.92499999999995</v>
      </c>
      <c r="BP30" s="100">
        <f t="shared" si="13"/>
        <v>78276.179617793649</v>
      </c>
      <c r="BQ30" s="100">
        <f>BP30/'a8'!U$39*100</f>
        <v>78669.527254063971</v>
      </c>
      <c r="BR30" s="99">
        <v>106.6</v>
      </c>
      <c r="BS30" s="100">
        <f>(BR30)*a14a!$E$24/1000000</f>
        <v>6.5779793416835535</v>
      </c>
      <c r="BT30" s="99">
        <v>127</v>
      </c>
      <c r="BU30" s="100">
        <f>(BT30)*a14a!$F$24/1000000</f>
        <v>9.7960058207529492</v>
      </c>
      <c r="BV30" s="99">
        <v>121.2</v>
      </c>
      <c r="BW30" s="99">
        <f>(BV30)*a14a!$G$24/1000000</f>
        <v>11.218355012364635</v>
      </c>
      <c r="BX30" s="99">
        <v>45.2</v>
      </c>
      <c r="BY30" s="99">
        <f>(BX30)*a14a!$H$24/1000000</f>
        <v>5.2361974489483494</v>
      </c>
      <c r="BZ30" s="99">
        <v>131.4</v>
      </c>
      <c r="CA30" s="99">
        <f>(BZ30)*a14a!$I$24/1000000</f>
        <v>19.67756475651521</v>
      </c>
      <c r="CB30" s="99">
        <v>50.8</v>
      </c>
      <c r="CC30" s="99">
        <f>(CB30)*a14a!$J$24/1000000</f>
        <v>9.2671097335984687</v>
      </c>
      <c r="CD30" s="99">
        <v>582.20000000000005</v>
      </c>
      <c r="CE30" s="99">
        <f t="shared" si="14"/>
        <v>61.77321211386316</v>
      </c>
      <c r="CF30" s="99">
        <f>'a1'!AD31/1000</f>
        <v>748.81200000000001</v>
      </c>
      <c r="CG30" s="100">
        <f t="shared" si="15"/>
        <v>82494.954826930072</v>
      </c>
      <c r="CH30" s="100">
        <f>CG30/'a8'!AA$39*100</f>
        <v>80719.133881536283</v>
      </c>
      <c r="CI30" s="99">
        <v>1128.2</v>
      </c>
      <c r="CJ30" s="100">
        <f>(CI30)*a14a!$E$29/1000000</f>
        <v>81.272265945110178</v>
      </c>
      <c r="CK30" s="99">
        <v>1067.8</v>
      </c>
      <c r="CL30" s="100">
        <f>(CK30)*a14a!$F$29/1000000</f>
        <v>96.151530730575942</v>
      </c>
      <c r="CM30" s="100">
        <v>1012.3</v>
      </c>
      <c r="CN30" s="99">
        <f>(CM30)*a14a!$G$29/1000000</f>
        <v>109.38474758407423</v>
      </c>
      <c r="CO30" s="100">
        <v>394.9</v>
      </c>
      <c r="CP30" s="99">
        <f>(CO30)*a14a!$H$29/1000000</f>
        <v>49.316251353145518</v>
      </c>
      <c r="CQ30" s="99">
        <v>1366.7</v>
      </c>
      <c r="CR30" s="99">
        <f>(CQ30)*a14a!$I$29/1000000</f>
        <v>186.85974446882753</v>
      </c>
      <c r="CS30" s="99">
        <v>641.1</v>
      </c>
      <c r="CT30" s="99">
        <f>(CS30)*a14a!$J$29/1000000</f>
        <v>131.20673981510606</v>
      </c>
      <c r="CU30" s="99">
        <v>5610.9</v>
      </c>
      <c r="CV30" s="99">
        <f t="shared" si="16"/>
        <v>654.19127989683943</v>
      </c>
      <c r="CW30" s="99">
        <f>'a1'!AJ31/1000</f>
        <v>7156.5370000000003</v>
      </c>
      <c r="CX30" s="100">
        <f t="shared" si="17"/>
        <v>91411.709308124788</v>
      </c>
      <c r="CY30" s="100">
        <f>CX30/'a8'!AG$39*100</f>
        <v>93087.280354505885</v>
      </c>
      <c r="CZ30" s="99">
        <v>846.7</v>
      </c>
      <c r="DA30" s="100">
        <f>(CZ30)*a14a!$E$34/1000000</f>
        <v>57.084419502975628</v>
      </c>
      <c r="DB30" s="99">
        <v>1850.7</v>
      </c>
      <c r="DC30" s="100">
        <f>(DB30)*a14a!$F$34/1000000</f>
        <v>155.96748431285724</v>
      </c>
      <c r="DD30" s="99">
        <v>1908.3</v>
      </c>
      <c r="DE30" s="99">
        <f>(DD30)*a14a!$G$34/1000000</f>
        <v>192.98605953264743</v>
      </c>
      <c r="DF30" s="99">
        <v>776.7</v>
      </c>
      <c r="DG30" s="99">
        <f>(DF30)*a14a!$H$34/1000000</f>
        <v>89.00496884003951</v>
      </c>
      <c r="DH30" s="99">
        <v>1741.5</v>
      </c>
      <c r="DI30" s="99">
        <f>(DH30)*a14a!$I$34/1000000</f>
        <v>212.38066072415927</v>
      </c>
      <c r="DJ30" s="99">
        <v>1188.3</v>
      </c>
      <c r="DK30" s="99">
        <f>(DJ30)*a14a!$J$34/1000000</f>
        <v>218.30476903150537</v>
      </c>
      <c r="DL30" s="99">
        <v>8312.1</v>
      </c>
      <c r="DM30" s="99">
        <f t="shared" si="18"/>
        <v>925.72836194418437</v>
      </c>
      <c r="DN30" s="99">
        <f>'a1'!AP31/1000</f>
        <v>10690.038</v>
      </c>
      <c r="DO30" s="100">
        <f t="shared" si="19"/>
        <v>86597.293849113004</v>
      </c>
      <c r="DP30" s="100">
        <f>DO30/'a8'!AM$39*100</f>
        <v>88454.845606856994</v>
      </c>
      <c r="DQ30" s="99">
        <v>122</v>
      </c>
      <c r="DR30" s="100">
        <f>(DQ30)*a14a!$E$39/1000000</f>
        <v>10.908785976439775</v>
      </c>
      <c r="DS30" s="99">
        <v>201.8</v>
      </c>
      <c r="DT30" s="100">
        <f>(DS30)*a14a!$F$39/1000000</f>
        <v>22.55525625046667</v>
      </c>
      <c r="DU30" s="99">
        <v>165.9</v>
      </c>
      <c r="DV30" s="99">
        <f>(DU30)*a14a!$G$39/1000000</f>
        <v>22.251240903582278</v>
      </c>
      <c r="DW30" s="99">
        <v>86.8</v>
      </c>
      <c r="DX30" s="99">
        <f>(DW30)*a14a!$H$39/1000000</f>
        <v>13.138152074495666</v>
      </c>
      <c r="DY30" s="99">
        <v>162.5</v>
      </c>
      <c r="DZ30" s="99">
        <f>(DY30)*a14a!$I$39/1000000</f>
        <v>27.314622326831365</v>
      </c>
      <c r="EA30" s="99">
        <v>91.9</v>
      </c>
      <c r="EB30" s="99">
        <f>(EA30)*a14a!$J$39/1000000</f>
        <v>20.363047235319176</v>
      </c>
      <c r="EC30" s="99">
        <v>831</v>
      </c>
      <c r="ED30" s="99">
        <f t="shared" si="20"/>
        <v>116.53110476713493</v>
      </c>
      <c r="EE30" s="99">
        <f>'a1'!AV31/1000</f>
        <v>1117.6179999999999</v>
      </c>
      <c r="EF30" s="100">
        <f t="shared" si="21"/>
        <v>104267.3836383585</v>
      </c>
      <c r="EG30" s="100">
        <f>EF30/'a8'!AS$39*100</f>
        <v>106721.98939443039</v>
      </c>
      <c r="EH30" s="99">
        <v>105.9</v>
      </c>
      <c r="EI30" s="100">
        <f>(EH30)*a14a!$E$44/1000000</f>
        <v>8.4485288733968975</v>
      </c>
      <c r="EJ30" s="99">
        <v>178.1</v>
      </c>
      <c r="EK30" s="100">
        <f>(EJ30)*a14a!$F$44/1000000</f>
        <v>17.760658549952637</v>
      </c>
      <c r="EL30" s="99">
        <v>160.1</v>
      </c>
      <c r="EM30" s="99">
        <f>(EL30)*a14a!$G$44/1000000</f>
        <v>19.1587743998703</v>
      </c>
      <c r="EN30" s="99">
        <v>61.7</v>
      </c>
      <c r="EO30" s="99">
        <f>(EN30)*a14a!$H$44/1000000</f>
        <v>9.4380128995742769</v>
      </c>
      <c r="EP30" s="99">
        <v>162.1</v>
      </c>
      <c r="EQ30" s="99">
        <f>(EP30)*a14a!$I$44/1000000</f>
        <v>26.655995897811206</v>
      </c>
      <c r="ER30" s="99">
        <v>67.400000000000006</v>
      </c>
      <c r="ES30" s="99">
        <f>(ER30)*a14a!$J$44/1000000</f>
        <v>22.96442556423208</v>
      </c>
      <c r="ET30" s="99">
        <v>735.2</v>
      </c>
      <c r="EU30" s="99">
        <f t="shared" si="22"/>
        <v>104.42639618483739</v>
      </c>
      <c r="EV30" s="99">
        <f>'a1'!BB31/1000</f>
        <v>1006.9</v>
      </c>
      <c r="EW30" s="100">
        <f t="shared" si="23"/>
        <v>103710.79172195589</v>
      </c>
      <c r="EX30" s="100">
        <f>EW30/'a8'!AY$39*100</f>
        <v>107919.65839953786</v>
      </c>
      <c r="EY30" s="99">
        <v>160.19999999999999</v>
      </c>
      <c r="EZ30" s="100">
        <f>(EY30)*a14a!$E$49/1000000</f>
        <v>10.824677343009457</v>
      </c>
      <c r="FA30" s="99">
        <v>405.4</v>
      </c>
      <c r="FB30" s="100">
        <f>(FA30)*a14a!$F$49/1000000</f>
        <v>34.24098154538104</v>
      </c>
      <c r="FC30" s="99">
        <v>456.1</v>
      </c>
      <c r="FD30" s="99">
        <f>(FC30)*a14a!$G$49/1000000</f>
        <v>46.227858952683654</v>
      </c>
      <c r="FE30" s="99">
        <v>181.5</v>
      </c>
      <c r="FF30" s="99">
        <f>(FE30)*a14a!$H$49/1000000</f>
        <v>21.363775916897971</v>
      </c>
      <c r="FG30" s="99">
        <v>516.79999999999995</v>
      </c>
      <c r="FH30" s="99">
        <f>(FG30)*a14a!$I$49/1000000</f>
        <v>62.680617748361513</v>
      </c>
      <c r="FI30" s="99">
        <v>267.2</v>
      </c>
      <c r="FJ30" s="99">
        <f>(FI30)*a14a!$J$49/1000000</f>
        <v>57.460615043770687</v>
      </c>
      <c r="FK30" s="99">
        <v>1987.2</v>
      </c>
      <c r="FL30" s="99">
        <f t="shared" si="24"/>
        <v>232.79852655010433</v>
      </c>
      <c r="FM30" s="99">
        <f>'a1'!BH31/1000</f>
        <v>2667.2919999999999</v>
      </c>
      <c r="FN30" s="100">
        <f t="shared" si="25"/>
        <v>87278.980535353592</v>
      </c>
      <c r="FO30" s="100">
        <f>FN30/'a8'!BE$39*100</f>
        <v>85067.232490598049</v>
      </c>
      <c r="FP30" s="99">
        <v>198.8</v>
      </c>
      <c r="FQ30" s="100">
        <f>(FP30)*a14a!$E$54/1000000</f>
        <v>15.490981848671451</v>
      </c>
      <c r="FR30" s="99">
        <v>530.29999999999995</v>
      </c>
      <c r="FS30" s="100">
        <f>(FR30)*a14a!$F$54/1000000</f>
        <v>51.65284000471874</v>
      </c>
      <c r="FT30" s="99">
        <v>693.3</v>
      </c>
      <c r="FU30" s="99">
        <f>(FT30)*a14a!$G$54/1000000</f>
        <v>81.035445540874633</v>
      </c>
      <c r="FV30" s="99">
        <v>329.2</v>
      </c>
      <c r="FW30" s="99">
        <f>(FV30)*a14a!$H$54/1000000</f>
        <v>44.464590120297672</v>
      </c>
      <c r="FX30" s="99">
        <v>675.3</v>
      </c>
      <c r="FY30" s="99">
        <f>(FX30)*a14a!$I$54/1000000</f>
        <v>95.062883809095723</v>
      </c>
      <c r="FZ30" s="99">
        <v>343.6</v>
      </c>
      <c r="GA30" s="99">
        <f>(FZ30)*a14a!$J$54/1000000</f>
        <v>82.125224935142455</v>
      </c>
      <c r="GB30" s="99">
        <v>2770.5</v>
      </c>
      <c r="GC30" s="99">
        <f t="shared" si="26"/>
        <v>369.83196625880066</v>
      </c>
      <c r="GD30" s="99">
        <f>'a1'!BN31/1000</f>
        <v>3567.7719999999999</v>
      </c>
      <c r="GE30" s="100">
        <f t="shared" si="27"/>
        <v>103659.08086581784</v>
      </c>
      <c r="GF30" s="100">
        <f>GE30/'a8'!BK$39*100</f>
        <v>103555.52534047738</v>
      </c>
    </row>
    <row r="31" spans="1:188" s="26" customFormat="1" ht="16.5" customHeight="1">
      <c r="A31" s="202">
        <v>1994</v>
      </c>
      <c r="B31" s="99">
        <v>2932.3</v>
      </c>
      <c r="C31" s="168">
        <f>B31*a14a!$E$4/1000000</f>
        <v>207.41925005355876</v>
      </c>
      <c r="D31" s="99">
        <v>4625.2</v>
      </c>
      <c r="E31" s="168">
        <f>D31*a14a!$F$4/1000000</f>
        <v>408.96033631778801</v>
      </c>
      <c r="F31" s="99">
        <v>4444.2</v>
      </c>
      <c r="G31" s="99">
        <f>F31*a14a!$G$4/1000000</f>
        <v>471.54757242848228</v>
      </c>
      <c r="H31" s="99">
        <v>1937.9</v>
      </c>
      <c r="I31" s="168">
        <f>H31*a14a!$H$4/1000000</f>
        <v>236.39375402041134</v>
      </c>
      <c r="J31" s="99">
        <v>5491.7</v>
      </c>
      <c r="K31" s="168">
        <f>J31*a14a!$I$4/1000000</f>
        <v>718.96821354524184</v>
      </c>
      <c r="L31" s="99">
        <v>2936.4</v>
      </c>
      <c r="M31" s="168">
        <f>L31*a14a!$J$4/1000000</f>
        <v>595.71053292245665</v>
      </c>
      <c r="N31" s="183">
        <v>22367.7</v>
      </c>
      <c r="O31" s="99">
        <f t="shared" si="28"/>
        <v>2638.9996592879388</v>
      </c>
      <c r="P31" s="168">
        <f>'a1'!F32/1000</f>
        <v>29000.663</v>
      </c>
      <c r="Q31" s="100">
        <f t="shared" si="5"/>
        <v>90997.907850863223</v>
      </c>
      <c r="R31" s="168">
        <f>Q31/'a8'!C$39*100</f>
        <v>92010.018049406688</v>
      </c>
      <c r="S31" s="99">
        <v>90</v>
      </c>
      <c r="T31" s="100">
        <f>(S31)*a14a!$E$9/1000000</f>
        <v>6.1191988978508922</v>
      </c>
      <c r="U31" s="99">
        <v>109.7</v>
      </c>
      <c r="V31" s="100">
        <f>(U31)*a14a!$F$9/1000000</f>
        <v>9.3232794318644849</v>
      </c>
      <c r="W31" s="99">
        <v>68.5</v>
      </c>
      <c r="X31" s="99">
        <f>(W31)*a14a!$G$9/1000000</f>
        <v>6.9860854083797701</v>
      </c>
      <c r="Y31" s="99">
        <v>34.5</v>
      </c>
      <c r="Z31" s="99">
        <f>(Y31)*a14a!$H$9/1000000</f>
        <v>4.2870596658192976</v>
      </c>
      <c r="AA31" s="99">
        <v>113.4</v>
      </c>
      <c r="AB31" s="99">
        <f>(AA31)*a14a!$I$9/1000000</f>
        <v>16.784245404841318</v>
      </c>
      <c r="AC31" s="99">
        <v>32.9</v>
      </c>
      <c r="AD31" s="99">
        <f>(AC31)*a14a!$J$9/1000000</f>
        <v>6.898792094455569</v>
      </c>
      <c r="AE31" s="99">
        <v>449.1</v>
      </c>
      <c r="AF31" s="99">
        <f t="shared" si="8"/>
        <v>50.398660903211336</v>
      </c>
      <c r="AG31" s="99">
        <f>'a1'!L32/1000</f>
        <v>574.46600000000001</v>
      </c>
      <c r="AH31" s="100">
        <f t="shared" si="9"/>
        <v>87731.32074519874</v>
      </c>
      <c r="AI31" s="100">
        <f>AH31/'a8'!I$39*100</f>
        <v>88083.655366665407</v>
      </c>
      <c r="AJ31" s="99">
        <v>14.8</v>
      </c>
      <c r="AK31" s="100">
        <f>(AJ31)*a14a!$E$14/1000000</f>
        <v>0.83262264220557802</v>
      </c>
      <c r="AL31" s="99">
        <v>27.4</v>
      </c>
      <c r="AM31" s="100">
        <f>(AL31)*a14a!$F$14/1000000</f>
        <v>1.9268463172662871</v>
      </c>
      <c r="AN31" s="99">
        <v>15.4</v>
      </c>
      <c r="AO31" s="99">
        <f>(AN31)*a14a!$G$14/1000000</f>
        <v>1.299566421280328</v>
      </c>
      <c r="AP31" s="99">
        <v>8.1999999999999993</v>
      </c>
      <c r="AQ31" s="99">
        <f>(AP31)*a14a!$H$14/1000000</f>
        <v>0.89124121571397641</v>
      </c>
      <c r="AR31" s="99">
        <v>26.3</v>
      </c>
      <c r="AS31" s="99">
        <f>(AR31)*a14a!$I$14/1000000</f>
        <v>3.7470599210391486</v>
      </c>
      <c r="AT31" s="99">
        <v>10.1</v>
      </c>
      <c r="AU31" s="99">
        <f>(AT31)*a14a!$J$14/1000000</f>
        <v>1.8399860185687886</v>
      </c>
      <c r="AV31" s="99">
        <v>102.1</v>
      </c>
      <c r="AW31" s="99">
        <f t="shared" si="10"/>
        <v>10.537322536074107</v>
      </c>
      <c r="AX31" s="99">
        <f>'a1'!R32/1000</f>
        <v>133.43700000000001</v>
      </c>
      <c r="AY31" s="100">
        <f t="shared" si="11"/>
        <v>78968.520995481813</v>
      </c>
      <c r="AZ31" s="100">
        <f>AY31/'a8'!O$39*100</f>
        <v>81327.004114811352</v>
      </c>
      <c r="BA31" s="99">
        <v>94.2</v>
      </c>
      <c r="BB31" s="100">
        <f>(BA31)*a14a!$E$19/1000000</f>
        <v>5.6087522807422419</v>
      </c>
      <c r="BC31" s="99">
        <v>187.3</v>
      </c>
      <c r="BD31" s="100">
        <f>(BC31)*a14a!$F$19/1000000</f>
        <v>13.940011971643074</v>
      </c>
      <c r="BE31" s="99">
        <v>97.2</v>
      </c>
      <c r="BF31" s="99">
        <f>(BE31)*a14a!$G$19/1000000</f>
        <v>8.6810624472634697</v>
      </c>
      <c r="BG31" s="99">
        <v>54.8</v>
      </c>
      <c r="BH31" s="99">
        <f>(BG31)*a14a!$H$19/1000000</f>
        <v>5.7916790626289387</v>
      </c>
      <c r="BI31" s="99">
        <v>194.4</v>
      </c>
      <c r="BJ31" s="99">
        <f>(BI31)*a14a!$I$19/1000000</f>
        <v>23.05921298350853</v>
      </c>
      <c r="BK31" s="99">
        <v>88.7</v>
      </c>
      <c r="BL31" s="99">
        <f>(BK31)*a14a!$J$19/1000000</f>
        <v>15.949026473099064</v>
      </c>
      <c r="BM31" s="99">
        <v>716.5</v>
      </c>
      <c r="BN31" s="99">
        <f t="shared" si="12"/>
        <v>73.02974521888531</v>
      </c>
      <c r="BO31" s="99">
        <f>'a1'!X32/1000</f>
        <v>926.87099999999998</v>
      </c>
      <c r="BP31" s="100">
        <f t="shared" si="13"/>
        <v>78791.703720242949</v>
      </c>
      <c r="BQ31" s="100">
        <f>BP31/'a8'!U$39*100</f>
        <v>79187.641929892416</v>
      </c>
      <c r="BR31" s="99">
        <v>107</v>
      </c>
      <c r="BS31" s="100">
        <f>(BR31)*a14a!$E$24/1000000</f>
        <v>6.6026621909956873</v>
      </c>
      <c r="BT31" s="99">
        <v>123.4</v>
      </c>
      <c r="BU31" s="100">
        <f>(BT31)*a14a!$F$24/1000000</f>
        <v>9.5183237659914468</v>
      </c>
      <c r="BV31" s="99">
        <v>114.3</v>
      </c>
      <c r="BW31" s="99">
        <f>(BV31)*a14a!$G$24/1000000</f>
        <v>10.579686286413184</v>
      </c>
      <c r="BX31" s="99">
        <v>44.3</v>
      </c>
      <c r="BY31" s="99">
        <f>(BX31)*a14a!$H$24/1000000</f>
        <v>5.1319368802745995</v>
      </c>
      <c r="BZ31" s="99">
        <v>143.80000000000001</v>
      </c>
      <c r="CA31" s="99">
        <f>(BZ31)*a14a!$I$24/1000000</f>
        <v>21.534503896399446</v>
      </c>
      <c r="CB31" s="99">
        <v>51.8</v>
      </c>
      <c r="CC31" s="99">
        <f>(CB31)*a14a!$J$24/1000000</f>
        <v>9.4495331535511937</v>
      </c>
      <c r="CD31" s="99">
        <v>584.70000000000005</v>
      </c>
      <c r="CE31" s="99">
        <f t="shared" si="14"/>
        <v>62.816646173625564</v>
      </c>
      <c r="CF31" s="99">
        <f>'a1'!AD32/1000</f>
        <v>750.18499999999995</v>
      </c>
      <c r="CG31" s="100">
        <f t="shared" si="15"/>
        <v>83734.873629338865</v>
      </c>
      <c r="CH31" s="100">
        <f>CG31/'a8'!AA$39*100</f>
        <v>81932.361672542916</v>
      </c>
      <c r="CI31" s="99">
        <v>1161.0999999999999</v>
      </c>
      <c r="CJ31" s="100">
        <f>(CI31)*a14a!$E$29/1000000</f>
        <v>83.642286818708925</v>
      </c>
      <c r="CK31" s="99">
        <v>1066.3</v>
      </c>
      <c r="CL31" s="100">
        <f>(CK31)*a14a!$F$29/1000000</f>
        <v>96.016461151913404</v>
      </c>
      <c r="CM31" s="100">
        <v>941.6</v>
      </c>
      <c r="CN31" s="99">
        <f>(CM31)*a14a!$G$29/1000000</f>
        <v>101.74521221492077</v>
      </c>
      <c r="CO31" s="100">
        <v>365.5</v>
      </c>
      <c r="CP31" s="99">
        <f>(CO31)*a14a!$H$29/1000000</f>
        <v>45.644694529183809</v>
      </c>
      <c r="CQ31" s="99">
        <v>1470.3</v>
      </c>
      <c r="CR31" s="99">
        <f>(CQ31)*a14a!$I$29/1000000</f>
        <v>201.02427913405799</v>
      </c>
      <c r="CS31" s="99">
        <v>647.1</v>
      </c>
      <c r="CT31" s="99">
        <f>(CS31)*a14a!$J$29/1000000</f>
        <v>132.43469245726897</v>
      </c>
      <c r="CU31" s="99">
        <v>5651.8</v>
      </c>
      <c r="CV31" s="99">
        <f t="shared" si="16"/>
        <v>660.50762630605391</v>
      </c>
      <c r="CW31" s="99">
        <f>'a1'!AJ32/1000</f>
        <v>7192.4030000000002</v>
      </c>
      <c r="CX31" s="100">
        <f t="shared" si="17"/>
        <v>91834.068016774632</v>
      </c>
      <c r="CY31" s="100">
        <f>CX31/'a8'!AG$39*100</f>
        <v>93517.380872479262</v>
      </c>
      <c r="CZ31" s="99">
        <v>880.7</v>
      </c>
      <c r="DA31" s="100">
        <f>(CZ31)*a14a!$E$34/1000000</f>
        <v>59.376695708362625</v>
      </c>
      <c r="DB31" s="99">
        <v>1776.6</v>
      </c>
      <c r="DC31" s="100">
        <f>(DB31)*a14a!$F$34/1000000</f>
        <v>149.72271715038752</v>
      </c>
      <c r="DD31" s="99">
        <v>1787.1</v>
      </c>
      <c r="DE31" s="99">
        <f>(DD31)*a14a!$G$34/1000000</f>
        <v>180.72912382266637</v>
      </c>
      <c r="DF31" s="99">
        <v>790.5</v>
      </c>
      <c r="DG31" s="99">
        <f>(DF31)*a14a!$H$34/1000000</f>
        <v>90.586362647162645</v>
      </c>
      <c r="DH31" s="99">
        <v>1901.5</v>
      </c>
      <c r="DI31" s="99">
        <f>(DH31)*a14a!$I$34/1000000</f>
        <v>231.89309581796661</v>
      </c>
      <c r="DJ31" s="99">
        <v>1279.8</v>
      </c>
      <c r="DK31" s="99">
        <f>(DJ31)*a14a!$J$34/1000000</f>
        <v>235.11440158757941</v>
      </c>
      <c r="DL31" s="99">
        <v>8416.1</v>
      </c>
      <c r="DM31" s="99">
        <f t="shared" si="18"/>
        <v>947.42239673412519</v>
      </c>
      <c r="DN31" s="99">
        <f>'a1'!AP32/1000</f>
        <v>10819.146000000001</v>
      </c>
      <c r="DO31" s="100">
        <f t="shared" si="19"/>
        <v>87569.055518256719</v>
      </c>
      <c r="DP31" s="100">
        <f>DO31/'a8'!AM$39*100</f>
        <v>89447.452010476729</v>
      </c>
      <c r="DQ31" s="99">
        <v>117.8</v>
      </c>
      <c r="DR31" s="100">
        <f>(DQ31)*a14a!$E$39/1000000</f>
        <v>10.533237606759062</v>
      </c>
      <c r="DS31" s="99">
        <v>198.9</v>
      </c>
      <c r="DT31" s="100">
        <f>(DS31)*a14a!$F$39/1000000</f>
        <v>22.231122240920815</v>
      </c>
      <c r="DU31" s="99">
        <v>169.9</v>
      </c>
      <c r="DV31" s="99">
        <f>(DU31)*a14a!$G$39/1000000</f>
        <v>22.787738574554727</v>
      </c>
      <c r="DW31" s="99">
        <v>82.8</v>
      </c>
      <c r="DX31" s="99">
        <f>(DW31)*a14a!$H$39/1000000</f>
        <v>12.532707278435957</v>
      </c>
      <c r="DY31" s="99">
        <v>172.2</v>
      </c>
      <c r="DZ31" s="99">
        <f>(DY31)*a14a!$I$39/1000000</f>
        <v>28.945095167263762</v>
      </c>
      <c r="EA31" s="99">
        <v>91.9</v>
      </c>
      <c r="EB31" s="99">
        <f>(EA31)*a14a!$J$39/1000000</f>
        <v>20.363047235319176</v>
      </c>
      <c r="EC31" s="99">
        <v>833.5</v>
      </c>
      <c r="ED31" s="99">
        <f t="shared" si="20"/>
        <v>117.39294810325349</v>
      </c>
      <c r="EE31" s="99">
        <f>'a1'!AV32/1000</f>
        <v>1123.23</v>
      </c>
      <c r="EF31" s="100">
        <f t="shared" si="21"/>
        <v>104513.72212570309</v>
      </c>
      <c r="EG31" s="100">
        <f>EF31/'a8'!AS$39*100</f>
        <v>106974.12704780254</v>
      </c>
      <c r="EH31" s="99">
        <v>104.7</v>
      </c>
      <c r="EI31" s="100">
        <f>(EH31)*a14a!$E$44/1000000</f>
        <v>8.3527948351714372</v>
      </c>
      <c r="EJ31" s="99">
        <v>179</v>
      </c>
      <c r="EK31" s="100">
        <f>(EJ31)*a14a!$F$44/1000000</f>
        <v>17.850409210789007</v>
      </c>
      <c r="EL31" s="99">
        <v>150.1</v>
      </c>
      <c r="EM31" s="99">
        <f>(EL31)*a14a!$G$44/1000000</f>
        <v>17.962098922052039</v>
      </c>
      <c r="EN31" s="99">
        <v>61.5</v>
      </c>
      <c r="EO31" s="99">
        <f>(EN31)*a14a!$H$44/1000000</f>
        <v>9.4074196648917017</v>
      </c>
      <c r="EP31" s="99">
        <v>176.9</v>
      </c>
      <c r="EQ31" s="99">
        <f>(EP31)*a14a!$I$44/1000000</f>
        <v>29.089732722534251</v>
      </c>
      <c r="ER31" s="99">
        <v>66.5</v>
      </c>
      <c r="ES31" s="99">
        <f>(ER31)*a14a!$J$44/1000000</f>
        <v>22.657778932068744</v>
      </c>
      <c r="ET31" s="99">
        <v>738.7</v>
      </c>
      <c r="EU31" s="99">
        <f t="shared" si="22"/>
        <v>105.32023428750719</v>
      </c>
      <c r="EV31" s="99">
        <f>'a1'!BB32/1000</f>
        <v>1009.575</v>
      </c>
      <c r="EW31" s="100">
        <f t="shared" si="23"/>
        <v>104321.35729144164</v>
      </c>
      <c r="EX31" s="100">
        <f>EW31/'a8'!AY$39*100</f>
        <v>108555.0023844346</v>
      </c>
      <c r="EY31" s="99">
        <v>153.5</v>
      </c>
      <c r="EZ31" s="100">
        <f>(EY31)*a14a!$E$49/1000000</f>
        <v>10.371959876104569</v>
      </c>
      <c r="FA31" s="99">
        <v>421.6</v>
      </c>
      <c r="FB31" s="100">
        <f>(FA31)*a14a!$F$49/1000000</f>
        <v>35.609269411772694</v>
      </c>
      <c r="FC31" s="99">
        <v>435.8</v>
      </c>
      <c r="FD31" s="99">
        <f>(FC31)*a14a!$G$49/1000000</f>
        <v>44.170359420257697</v>
      </c>
      <c r="FE31" s="99">
        <v>188.9</v>
      </c>
      <c r="FF31" s="99">
        <f>(FE31)*a14a!$H$49/1000000</f>
        <v>22.234805899184718</v>
      </c>
      <c r="FG31" s="99">
        <v>535.70000000000005</v>
      </c>
      <c r="FH31" s="99">
        <f>(FG31)*a14a!$I$49/1000000</f>
        <v>64.97292362189873</v>
      </c>
      <c r="FI31" s="99">
        <v>280.8</v>
      </c>
      <c r="FJ31" s="99">
        <f>(FI31)*a14a!$J$49/1000000</f>
        <v>60.385257126836869</v>
      </c>
      <c r="FK31" s="99">
        <v>2016.3</v>
      </c>
      <c r="FL31" s="99">
        <f t="shared" si="24"/>
        <v>237.74457535605529</v>
      </c>
      <c r="FM31" s="99">
        <f>'a1'!BH32/1000</f>
        <v>2700.6060000000002</v>
      </c>
      <c r="FN31" s="100">
        <f t="shared" si="25"/>
        <v>88033.787733588411</v>
      </c>
      <c r="FO31" s="100">
        <f>FN31/'a8'!BE$39*100</f>
        <v>85802.912021041338</v>
      </c>
      <c r="FP31" s="99">
        <v>208.4</v>
      </c>
      <c r="FQ31" s="100">
        <f>(FP31)*a14a!$E$54/1000000</f>
        <v>16.239037310176712</v>
      </c>
      <c r="FR31" s="99">
        <v>535.20000000000005</v>
      </c>
      <c r="FS31" s="100">
        <f>(FR31)*a14a!$F$54/1000000</f>
        <v>52.130114973647892</v>
      </c>
      <c r="FT31" s="99">
        <v>664.3</v>
      </c>
      <c r="FU31" s="99">
        <f>(FT31)*a14a!$G$54/1000000</f>
        <v>77.645819230928907</v>
      </c>
      <c r="FV31" s="99">
        <v>307</v>
      </c>
      <c r="FW31" s="99">
        <f>(FV31)*a14a!$H$54/1000000</f>
        <v>41.466066728224135</v>
      </c>
      <c r="FX31" s="99">
        <v>757.1</v>
      </c>
      <c r="FY31" s="99">
        <f>(FX31)*a14a!$I$54/1000000</f>
        <v>106.57797916757943</v>
      </c>
      <c r="FZ31" s="99">
        <v>386.8</v>
      </c>
      <c r="GA31" s="99">
        <f>(FZ31)*a14a!$J$54/1000000</f>
        <v>92.450631562610894</v>
      </c>
      <c r="GB31" s="99">
        <v>2858.9</v>
      </c>
      <c r="GC31" s="99">
        <f t="shared" si="26"/>
        <v>386.509648973168</v>
      </c>
      <c r="GD31" s="99">
        <f>'a1'!BN32/1000</f>
        <v>3676.0749999999998</v>
      </c>
      <c r="GE31" s="100">
        <f t="shared" si="27"/>
        <v>105141.93779320826</v>
      </c>
      <c r="GF31" s="100">
        <f>GE31/'a8'!BK$39*100</f>
        <v>105036.90089231596</v>
      </c>
    </row>
    <row r="32" spans="1:188" s="26" customFormat="1" ht="16.5" customHeight="1">
      <c r="A32" s="202">
        <v>1995</v>
      </c>
      <c r="B32" s="99">
        <v>2870.4</v>
      </c>
      <c r="C32" s="168">
        <f>B32*a14a!$E$4/1000000</f>
        <v>203.04069002275861</v>
      </c>
      <c r="D32" s="99">
        <v>4578.8</v>
      </c>
      <c r="E32" s="168">
        <f>D32*a14a!$F$4/1000000</f>
        <v>404.85764678973618</v>
      </c>
      <c r="F32" s="99">
        <v>4449.3999999999996</v>
      </c>
      <c r="G32" s="99">
        <f>F32*a14a!$G$4/1000000</f>
        <v>472.09931343397886</v>
      </c>
      <c r="H32" s="99">
        <v>2006.7</v>
      </c>
      <c r="I32" s="168">
        <f>H32*a14a!$H$4/1000000</f>
        <v>244.78628731759093</v>
      </c>
      <c r="J32" s="99">
        <v>5747.8</v>
      </c>
      <c r="K32" s="168">
        <f>J32*a14a!$I$4/1000000</f>
        <v>752.49658535887636</v>
      </c>
      <c r="L32" s="99">
        <v>3006.8</v>
      </c>
      <c r="M32" s="168">
        <f>L32*a14a!$J$4/1000000</f>
        <v>609.99265440377428</v>
      </c>
      <c r="N32" s="183">
        <v>22660</v>
      </c>
      <c r="O32" s="99">
        <f t="shared" si="28"/>
        <v>2687.2731773267155</v>
      </c>
      <c r="P32" s="168">
        <f>'a1'!F33/1000</f>
        <v>29302.311000000002</v>
      </c>
      <c r="Q32" s="100">
        <f t="shared" si="5"/>
        <v>91708.57470343262</v>
      </c>
      <c r="R32" s="168">
        <f>Q32/'a8'!C$39*100</f>
        <v>92728.589184461685</v>
      </c>
      <c r="S32" s="99">
        <v>88.2</v>
      </c>
      <c r="T32" s="100">
        <f>(S32)*a14a!$E$9/1000000</f>
        <v>5.9968149198938745</v>
      </c>
      <c r="U32" s="99">
        <v>103.3</v>
      </c>
      <c r="V32" s="100">
        <f>(U32)*a14a!$F$9/1000000</f>
        <v>8.7793506409444042</v>
      </c>
      <c r="W32" s="99">
        <v>67.7</v>
      </c>
      <c r="X32" s="99">
        <f>(W32)*a14a!$G$9/1000000</f>
        <v>6.904496089741758</v>
      </c>
      <c r="Y32" s="99">
        <v>34.4</v>
      </c>
      <c r="Z32" s="99">
        <f>(Y32)*a14a!$H$9/1000000</f>
        <v>4.2746334059183715</v>
      </c>
      <c r="AA32" s="99">
        <v>117.8</v>
      </c>
      <c r="AB32" s="99">
        <f>(AA32)*a14a!$I$9/1000000</f>
        <v>17.43548596728666</v>
      </c>
      <c r="AC32" s="99">
        <v>35.299999999999997</v>
      </c>
      <c r="AD32" s="99">
        <f>(AC32)*a14a!$J$9/1000000</f>
        <v>7.4020474448109903</v>
      </c>
      <c r="AE32" s="99">
        <v>446.7</v>
      </c>
      <c r="AF32" s="99">
        <f t="shared" si="8"/>
        <v>50.792828468596056</v>
      </c>
      <c r="AG32" s="99">
        <f>'a1'!L33/1000</f>
        <v>567.39700000000005</v>
      </c>
      <c r="AH32" s="100">
        <f t="shared" si="9"/>
        <v>89519.028949035783</v>
      </c>
      <c r="AI32" s="100">
        <f>AH32/'a8'!I$39*100</f>
        <v>89878.54312152187</v>
      </c>
      <c r="AJ32" s="99">
        <v>13.4</v>
      </c>
      <c r="AK32" s="100">
        <f>(AJ32)*a14a!$E$14/1000000</f>
        <v>0.75386104091586115</v>
      </c>
      <c r="AL32" s="99">
        <v>28.4</v>
      </c>
      <c r="AM32" s="100">
        <f>(AL32)*a14a!$F$14/1000000</f>
        <v>1.9971691755606769</v>
      </c>
      <c r="AN32" s="99">
        <v>15.2</v>
      </c>
      <c r="AO32" s="99">
        <f>(AN32)*a14a!$G$14/1000000</f>
        <v>1.2826889352896742</v>
      </c>
      <c r="AP32" s="99">
        <v>7.3</v>
      </c>
      <c r="AQ32" s="99">
        <f>(AP32)*a14a!$H$14/1000000</f>
        <v>0.79342205789171083</v>
      </c>
      <c r="AR32" s="99">
        <v>27.5</v>
      </c>
      <c r="AS32" s="99">
        <f>(AR32)*a14a!$I$14/1000000</f>
        <v>3.9180284345466383</v>
      </c>
      <c r="AT32" s="99">
        <v>11.3</v>
      </c>
      <c r="AU32" s="99">
        <f>(AT32)*a14a!$J$14/1000000</f>
        <v>2.0585982187947836</v>
      </c>
      <c r="AV32" s="99">
        <v>103.2</v>
      </c>
      <c r="AW32" s="99">
        <f t="shared" si="10"/>
        <v>10.803767862999345</v>
      </c>
      <c r="AX32" s="99">
        <f>'a1'!R33/1000</f>
        <v>134.41499999999999</v>
      </c>
      <c r="AY32" s="100">
        <f t="shared" si="11"/>
        <v>80376.206993262254</v>
      </c>
      <c r="AZ32" s="100">
        <f>AY32/'a8'!O$39*100</f>
        <v>82776.732227870496</v>
      </c>
      <c r="BA32" s="99">
        <v>89.5</v>
      </c>
      <c r="BB32" s="100">
        <f>(BA32)*a14a!$E$19/1000000</f>
        <v>5.3289100756521304</v>
      </c>
      <c r="BC32" s="99">
        <v>184.2</v>
      </c>
      <c r="BD32" s="100">
        <f>(BC32)*a14a!$F$19/1000000</f>
        <v>13.709291004680479</v>
      </c>
      <c r="BE32" s="99">
        <v>97.3</v>
      </c>
      <c r="BF32" s="99">
        <f>(BE32)*a14a!$G$19/1000000</f>
        <v>8.6899935814684728</v>
      </c>
      <c r="BG32" s="99">
        <v>59.8</v>
      </c>
      <c r="BH32" s="99">
        <f>(BG32)*a14a!$H$19/1000000</f>
        <v>6.3201169333067622</v>
      </c>
      <c r="BI32" s="99">
        <v>204.6</v>
      </c>
      <c r="BJ32" s="99">
        <f>(BI32)*a14a!$I$19/1000000</f>
        <v>24.269109961038296</v>
      </c>
      <c r="BK32" s="99">
        <v>84.7</v>
      </c>
      <c r="BL32" s="99">
        <f>(BK32)*a14a!$J$19/1000000</f>
        <v>15.229791908359536</v>
      </c>
      <c r="BM32" s="99">
        <v>720.2</v>
      </c>
      <c r="BN32" s="99">
        <f t="shared" si="12"/>
        <v>73.547213464505674</v>
      </c>
      <c r="BO32" s="99">
        <f>'a1'!X33/1000</f>
        <v>928.12</v>
      </c>
      <c r="BP32" s="100">
        <f t="shared" si="13"/>
        <v>79243.215817465054</v>
      </c>
      <c r="BQ32" s="100">
        <f>BP32/'a8'!U$39*100</f>
        <v>79641.422932125686</v>
      </c>
      <c r="BR32" s="99">
        <v>103.1</v>
      </c>
      <c r="BS32" s="100">
        <f>(BR32)*a14a!$E$24/1000000</f>
        <v>6.3620044102023865</v>
      </c>
      <c r="BT32" s="99">
        <v>119.5</v>
      </c>
      <c r="BU32" s="100">
        <f>(BT32)*a14a!$F$24/1000000</f>
        <v>9.2175015399998195</v>
      </c>
      <c r="BV32" s="99">
        <v>114.9</v>
      </c>
      <c r="BW32" s="99">
        <f>(BV32)*a14a!$G$24/1000000</f>
        <v>10.635222697365485</v>
      </c>
      <c r="BX32" s="99">
        <v>46.3</v>
      </c>
      <c r="BY32" s="99">
        <f>(BX32)*a14a!$H$24/1000000</f>
        <v>5.3636270328829339</v>
      </c>
      <c r="BZ32" s="99">
        <v>147</v>
      </c>
      <c r="CA32" s="99">
        <f>(BZ32)*a14a!$I$24/1000000</f>
        <v>22.01371399701473</v>
      </c>
      <c r="CB32" s="99">
        <v>56.3</v>
      </c>
      <c r="CC32" s="99">
        <f>(CB32)*a14a!$J$24/1000000</f>
        <v>10.270438543338459</v>
      </c>
      <c r="CD32" s="99">
        <v>587.20000000000005</v>
      </c>
      <c r="CE32" s="99">
        <f t="shared" si="14"/>
        <v>63.862508220803811</v>
      </c>
      <c r="CF32" s="99">
        <f>'a1'!AD33/1000</f>
        <v>750.94299999999998</v>
      </c>
      <c r="CG32" s="100">
        <f t="shared" si="15"/>
        <v>85043.083457471221</v>
      </c>
      <c r="CH32" s="100">
        <f>CG32/'a8'!AA$39*100</f>
        <v>83212.410428054034</v>
      </c>
      <c r="CI32" s="99">
        <v>1126.8</v>
      </c>
      <c r="CJ32" s="100">
        <f>(CI32)*a14a!$E$29/1000000</f>
        <v>81.171413993042123</v>
      </c>
      <c r="CK32" s="99">
        <v>1051.8</v>
      </c>
      <c r="CL32" s="100">
        <f>(CK32)*a14a!$F$29/1000000</f>
        <v>94.710788558175494</v>
      </c>
      <c r="CM32" s="100">
        <v>896.1</v>
      </c>
      <c r="CN32" s="99">
        <f>(CM32)*a14a!$G$29/1000000</f>
        <v>96.828679551604182</v>
      </c>
      <c r="CO32" s="100">
        <v>378</v>
      </c>
      <c r="CP32" s="99">
        <f>(CO32)*a14a!$H$29/1000000</f>
        <v>47.205730593793383</v>
      </c>
      <c r="CQ32" s="99">
        <v>1535.7</v>
      </c>
      <c r="CR32" s="99">
        <f>(CQ32)*a14a!$I$29/1000000</f>
        <v>209.96598344975371</v>
      </c>
      <c r="CS32" s="99">
        <v>705.4</v>
      </c>
      <c r="CT32" s="99">
        <f>(CS32)*a14a!$J$29/1000000</f>
        <v>144.36629896361845</v>
      </c>
      <c r="CU32" s="99">
        <v>5693.8</v>
      </c>
      <c r="CV32" s="99">
        <f t="shared" si="16"/>
        <v>674.2488951099873</v>
      </c>
      <c r="CW32" s="99">
        <f>'a1'!AJ33/1000</f>
        <v>7219.2190000000001</v>
      </c>
      <c r="CX32" s="100">
        <f t="shared" si="17"/>
        <v>93396.376409967241</v>
      </c>
      <c r="CY32" s="100">
        <f>CX32/'a8'!AG$39*100</f>
        <v>95108.326283062372</v>
      </c>
      <c r="CZ32" s="99">
        <v>876.6</v>
      </c>
      <c r="DA32" s="100">
        <f>(CZ32)*a14a!$E$34/1000000</f>
        <v>59.100274165948306</v>
      </c>
      <c r="DB32" s="99">
        <v>1746.8</v>
      </c>
      <c r="DC32" s="100">
        <f>(DB32)*a14a!$F$34/1000000</f>
        <v>147.21132630772087</v>
      </c>
      <c r="DD32" s="99">
        <v>1823.3</v>
      </c>
      <c r="DE32" s="99">
        <f>(DD32)*a14a!$G$34/1000000</f>
        <v>184.39002376244619</v>
      </c>
      <c r="DF32" s="99">
        <v>832.9</v>
      </c>
      <c r="DG32" s="99">
        <f>(DF32)*a14a!$H$34/1000000</f>
        <v>95.445137822671441</v>
      </c>
      <c r="DH32" s="99">
        <v>1978</v>
      </c>
      <c r="DI32" s="99">
        <f>(DH32)*a14a!$I$34/1000000</f>
        <v>241.22247884719323</v>
      </c>
      <c r="DJ32" s="99">
        <v>1277.9000000000001</v>
      </c>
      <c r="DK32" s="99">
        <f>(DJ32)*a14a!$J$34/1000000</f>
        <v>234.76534910827297</v>
      </c>
      <c r="DL32" s="99">
        <v>8535.6</v>
      </c>
      <c r="DM32" s="99">
        <f t="shared" si="18"/>
        <v>962.13459001425292</v>
      </c>
      <c r="DN32" s="99">
        <f>'a1'!AP33/1000</f>
        <v>10950.119000000001</v>
      </c>
      <c r="DO32" s="100">
        <f t="shared" si="19"/>
        <v>87865.217721766574</v>
      </c>
      <c r="DP32" s="100">
        <f>DO32/'a8'!AM$39*100</f>
        <v>89749.967029383624</v>
      </c>
      <c r="DQ32" s="99">
        <v>111.2</v>
      </c>
      <c r="DR32" s="100">
        <f>(DQ32)*a14a!$E$39/1000000</f>
        <v>9.9430901686893698</v>
      </c>
      <c r="DS32" s="99">
        <v>197.3</v>
      </c>
      <c r="DT32" s="100">
        <f>(DS32)*a14a!$F$39/1000000</f>
        <v>22.052289683929999</v>
      </c>
      <c r="DU32" s="99">
        <v>165.6</v>
      </c>
      <c r="DV32" s="99">
        <f>(DU32)*a14a!$G$39/1000000</f>
        <v>22.211003578259344</v>
      </c>
      <c r="DW32" s="99">
        <v>76.5</v>
      </c>
      <c r="DX32" s="99">
        <f>(DW32)*a14a!$H$39/1000000</f>
        <v>11.579131724641917</v>
      </c>
      <c r="DY32" s="99">
        <v>191</v>
      </c>
      <c r="DZ32" s="99">
        <f>(DY32)*a14a!$I$39/1000000</f>
        <v>32.105186857998717</v>
      </c>
      <c r="EA32" s="99">
        <v>94.8</v>
      </c>
      <c r="EB32" s="99">
        <f>(EA32)*a14a!$J$39/1000000</f>
        <v>21.005624351558843</v>
      </c>
      <c r="EC32" s="99">
        <v>836.4</v>
      </c>
      <c r="ED32" s="99">
        <f t="shared" si="20"/>
        <v>118.89632636507818</v>
      </c>
      <c r="EE32" s="99">
        <f>'a1'!AV33/1000</f>
        <v>1129.1500000000001</v>
      </c>
      <c r="EF32" s="100">
        <f t="shared" si="21"/>
        <v>105297.1937874314</v>
      </c>
      <c r="EG32" s="100">
        <f>EF32/'a8'!AS$39*100</f>
        <v>107776.04277116827</v>
      </c>
      <c r="EH32" s="99">
        <v>99.2</v>
      </c>
      <c r="EI32" s="100">
        <f>(EH32)*a14a!$E$44/1000000</f>
        <v>7.914013826638076</v>
      </c>
      <c r="EJ32" s="99">
        <v>178.5</v>
      </c>
      <c r="EK32" s="100">
        <f>(EJ32)*a14a!$F$44/1000000</f>
        <v>17.80054773254658</v>
      </c>
      <c r="EL32" s="99">
        <v>149.9</v>
      </c>
      <c r="EM32" s="99">
        <f>(EL32)*a14a!$G$44/1000000</f>
        <v>17.938165412495682</v>
      </c>
      <c r="EN32" s="99">
        <v>63.1</v>
      </c>
      <c r="EO32" s="99">
        <f>(EN32)*a14a!$H$44/1000000</f>
        <v>9.6521655423522983</v>
      </c>
      <c r="EP32" s="99">
        <v>182.4</v>
      </c>
      <c r="EQ32" s="99">
        <f>(EP32)*a14a!$I$44/1000000</f>
        <v>29.994161947938089</v>
      </c>
      <c r="ER32" s="99">
        <v>70.5</v>
      </c>
      <c r="ES32" s="99">
        <f>(ER32)*a14a!$J$44/1000000</f>
        <v>24.020652852794679</v>
      </c>
      <c r="ET32" s="99">
        <v>743.6</v>
      </c>
      <c r="EU32" s="99">
        <f t="shared" si="22"/>
        <v>107.31970731476541</v>
      </c>
      <c r="EV32" s="99">
        <f>'a1'!BB33/1000</f>
        <v>1014.187</v>
      </c>
      <c r="EW32" s="100">
        <f t="shared" si="23"/>
        <v>105818.46081123641</v>
      </c>
      <c r="EX32" s="100">
        <f>EW32/'a8'!AY$39*100</f>
        <v>110112.862446656</v>
      </c>
      <c r="EY32" s="99">
        <v>154</v>
      </c>
      <c r="EZ32" s="100">
        <f>(EY32)*a14a!$E$49/1000000</f>
        <v>10.405744761694486</v>
      </c>
      <c r="FA32" s="99">
        <v>421.4</v>
      </c>
      <c r="FB32" s="100">
        <f>(FA32)*a14a!$F$49/1000000</f>
        <v>35.592376968977725</v>
      </c>
      <c r="FC32" s="99">
        <v>430.2</v>
      </c>
      <c r="FD32" s="99">
        <f>(FC32)*a14a!$G$49/1000000</f>
        <v>43.602773342347085</v>
      </c>
      <c r="FE32" s="99">
        <v>200.7</v>
      </c>
      <c r="FF32" s="99">
        <f>(FE32)*a14a!$H$49/1000000</f>
        <v>23.623745600668993</v>
      </c>
      <c r="FG32" s="99">
        <v>570.70000000000005</v>
      </c>
      <c r="FH32" s="99">
        <f>(FG32)*a14a!$I$49/1000000</f>
        <v>69.217934498819503</v>
      </c>
      <c r="FI32" s="99">
        <v>271.8</v>
      </c>
      <c r="FJ32" s="99">
        <f>(FI32)*a14a!$J$49/1000000</f>
        <v>58.449832218925422</v>
      </c>
      <c r="FK32" s="99">
        <v>2048.9</v>
      </c>
      <c r="FL32" s="99">
        <f t="shared" si="24"/>
        <v>240.89240739143324</v>
      </c>
      <c r="FM32" s="99">
        <f>'a1'!BH33/1000</f>
        <v>2734.5189999999998</v>
      </c>
      <c r="FN32" s="100">
        <f t="shared" si="25"/>
        <v>88093.155465891163</v>
      </c>
      <c r="FO32" s="100">
        <f>FN32/'a8'!BE$39*100</f>
        <v>85860.775307886128</v>
      </c>
      <c r="FP32" s="99">
        <v>208.3</v>
      </c>
      <c r="FQ32" s="100">
        <f>(FP32)*a14a!$E$54/1000000</f>
        <v>16.231245065786034</v>
      </c>
      <c r="FR32" s="99">
        <v>547.6</v>
      </c>
      <c r="FS32" s="100">
        <f>(FR32)*a14a!$F$54/1000000</f>
        <v>53.33791285420326</v>
      </c>
      <c r="FT32" s="99">
        <v>689.3</v>
      </c>
      <c r="FU32" s="99">
        <f>(FT32)*a14a!$G$54/1000000</f>
        <v>80.567910877433832</v>
      </c>
      <c r="FV32" s="99">
        <v>307.60000000000002</v>
      </c>
      <c r="FW32" s="99">
        <f>(FV32)*a14a!$H$54/1000000</f>
        <v>41.547107900982887</v>
      </c>
      <c r="FX32" s="99">
        <v>793.1</v>
      </c>
      <c r="FY32" s="99">
        <f>(FX32)*a14a!$I$54/1000000</f>
        <v>111.64574729600746</v>
      </c>
      <c r="FZ32" s="99">
        <v>398.7</v>
      </c>
      <c r="GA32" s="99">
        <f>(FZ32)*a14a!$J$54/1000000</f>
        <v>95.294898666010752</v>
      </c>
      <c r="GB32" s="99">
        <v>2944.5</v>
      </c>
      <c r="GC32" s="99">
        <f t="shared" si="26"/>
        <v>398.62482266042423</v>
      </c>
      <c r="GD32" s="99">
        <f>'a1'!BN33/1000</f>
        <v>3777.39</v>
      </c>
      <c r="GE32" s="100">
        <f t="shared" si="27"/>
        <v>105529.1676687936</v>
      </c>
      <c r="GF32" s="100">
        <f>GE32/'a8'!BK$39*100</f>
        <v>105423.74392486874</v>
      </c>
    </row>
    <row r="33" spans="1:188" s="26" customFormat="1" ht="16.5" customHeight="1">
      <c r="A33" s="202">
        <v>1996</v>
      </c>
      <c r="B33" s="99">
        <v>2818.7</v>
      </c>
      <c r="C33" s="168">
        <f>B33*a14a!$E$4/1000000</f>
        <v>199.38363746068478</v>
      </c>
      <c r="D33" s="99">
        <v>4517.6000000000004</v>
      </c>
      <c r="E33" s="168">
        <f>D33*a14a!$F$4/1000000</f>
        <v>399.44634077428856</v>
      </c>
      <c r="F33" s="99">
        <v>4550.8</v>
      </c>
      <c r="G33" s="99">
        <f>F33*a14a!$G$4/1000000</f>
        <v>482.85826304116313</v>
      </c>
      <c r="H33" s="99">
        <v>2033.7</v>
      </c>
      <c r="I33" s="168">
        <f>H33*a14a!$H$4/1000000</f>
        <v>248.07986869875151</v>
      </c>
      <c r="J33" s="99">
        <v>5930.6</v>
      </c>
      <c r="K33" s="168">
        <f>J33*a14a!$I$4/1000000</f>
        <v>776.42858991776882</v>
      </c>
      <c r="L33" s="99">
        <v>3108.2</v>
      </c>
      <c r="M33" s="168">
        <f>L33*a14a!$J$4/1000000</f>
        <v>630.56377824192191</v>
      </c>
      <c r="N33" s="183">
        <v>22959.5</v>
      </c>
      <c r="O33" s="99">
        <f t="shared" si="28"/>
        <v>2736.760478134579</v>
      </c>
      <c r="P33" s="168">
        <f>'a1'!F34/1000</f>
        <v>29610.218000000001</v>
      </c>
      <c r="Q33" s="100">
        <f t="shared" si="5"/>
        <v>92426.218480883152</v>
      </c>
      <c r="R33" s="168">
        <f>Q33/'a8'!C$39*100</f>
        <v>93454.214844169008</v>
      </c>
      <c r="S33" s="99">
        <v>80.7</v>
      </c>
      <c r="T33" s="100">
        <f>(S33)*a14a!$E$9/1000000</f>
        <v>5.4868816784063013</v>
      </c>
      <c r="U33" s="99">
        <v>104</v>
      </c>
      <c r="V33" s="100">
        <f>(U33)*a14a!$F$9/1000000</f>
        <v>8.8388428524512896</v>
      </c>
      <c r="W33" s="99">
        <v>71</v>
      </c>
      <c r="X33" s="99">
        <f>(W33)*a14a!$G$9/1000000</f>
        <v>7.2410520291235567</v>
      </c>
      <c r="Y33" s="99">
        <v>36.5</v>
      </c>
      <c r="Z33" s="99">
        <f>(Y33)*a14a!$H$9/1000000</f>
        <v>4.5355848638378076</v>
      </c>
      <c r="AA33" s="99">
        <v>118.2</v>
      </c>
      <c r="AB33" s="99">
        <f>(AA33)*a14a!$I$9/1000000</f>
        <v>17.494689654781691</v>
      </c>
      <c r="AC33" s="99">
        <v>33.4</v>
      </c>
      <c r="AD33" s="99">
        <f>(AC33)*a14a!$J$9/1000000</f>
        <v>7.0036369591129475</v>
      </c>
      <c r="AE33" s="99">
        <v>443.7</v>
      </c>
      <c r="AF33" s="99">
        <f t="shared" si="8"/>
        <v>50.600688037713596</v>
      </c>
      <c r="AG33" s="99">
        <f>'a1'!L34/1000</f>
        <v>559.69799999999998</v>
      </c>
      <c r="AH33" s="100">
        <f t="shared" si="9"/>
        <v>90407.126767852664</v>
      </c>
      <c r="AI33" s="100">
        <f>AH33/'a8'!I$39*100</f>
        <v>90770.207598245659</v>
      </c>
      <c r="AJ33" s="99">
        <v>13.6</v>
      </c>
      <c r="AK33" s="100">
        <f>(AJ33)*a14a!$E$14/1000000</f>
        <v>0.76511269824296357</v>
      </c>
      <c r="AL33" s="99">
        <v>27.4</v>
      </c>
      <c r="AM33" s="100">
        <f>(AL33)*a14a!$F$14/1000000</f>
        <v>1.9268463172662871</v>
      </c>
      <c r="AN33" s="99">
        <v>16.7</v>
      </c>
      <c r="AO33" s="99">
        <f>(AN33)*a14a!$G$14/1000000</f>
        <v>1.4092700802195763</v>
      </c>
      <c r="AP33" s="99">
        <v>8</v>
      </c>
      <c r="AQ33" s="99">
        <f>(AP33)*a14a!$H$14/1000000</f>
        <v>0.86950362508680634</v>
      </c>
      <c r="AR33" s="99">
        <v>28.1</v>
      </c>
      <c r="AS33" s="99">
        <f>(AR33)*a14a!$I$14/1000000</f>
        <v>4.0035126913003829</v>
      </c>
      <c r="AT33" s="99">
        <v>10.6</v>
      </c>
      <c r="AU33" s="99">
        <f>(AT33)*a14a!$J$14/1000000</f>
        <v>1.9310744353296199</v>
      </c>
      <c r="AV33" s="99">
        <v>104.4</v>
      </c>
      <c r="AW33" s="99">
        <f t="shared" si="10"/>
        <v>10.905319847445636</v>
      </c>
      <c r="AX33" s="99">
        <f>'a1'!R34/1000</f>
        <v>135.73699999999999</v>
      </c>
      <c r="AY33" s="100">
        <f t="shared" si="11"/>
        <v>80341.541712618055</v>
      </c>
      <c r="AZ33" s="100">
        <f>AY33/'a8'!O$39*100</f>
        <v>82741.031629884717</v>
      </c>
      <c r="BA33" s="99">
        <v>84</v>
      </c>
      <c r="BB33" s="100">
        <f>(BA33)*a14a!$E$19/1000000</f>
        <v>5.0014351548019995</v>
      </c>
      <c r="BC33" s="99">
        <v>183.6</v>
      </c>
      <c r="BD33" s="100">
        <f>(BC33)*a14a!$F$19/1000000</f>
        <v>13.664635333655461</v>
      </c>
      <c r="BE33" s="99">
        <v>97.4</v>
      </c>
      <c r="BF33" s="99">
        <f>(BE33)*a14a!$G$19/1000000</f>
        <v>8.6989247156734759</v>
      </c>
      <c r="BG33" s="99">
        <v>58.8</v>
      </c>
      <c r="BH33" s="99">
        <f>(BG33)*a14a!$H$19/1000000</f>
        <v>6.2144293591711977</v>
      </c>
      <c r="BI33" s="99">
        <v>213</v>
      </c>
      <c r="BJ33" s="99">
        <f>(BI33)*a14a!$I$19/1000000</f>
        <v>25.265495707239282</v>
      </c>
      <c r="BK33" s="99">
        <v>87.7</v>
      </c>
      <c r="BL33" s="99">
        <f>(BK33)*a14a!$J$19/1000000</f>
        <v>15.769217831914183</v>
      </c>
      <c r="BM33" s="99">
        <v>724.4</v>
      </c>
      <c r="BN33" s="99">
        <f t="shared" si="12"/>
        <v>74.614138102455598</v>
      </c>
      <c r="BO33" s="99">
        <f>'a1'!X34/1000</f>
        <v>931.327</v>
      </c>
      <c r="BP33" s="100">
        <f t="shared" si="13"/>
        <v>80115.940053768019</v>
      </c>
      <c r="BQ33" s="100">
        <f>BP33/'a8'!U$39*100</f>
        <v>80518.532717354799</v>
      </c>
      <c r="BR33" s="99">
        <v>103.4</v>
      </c>
      <c r="BS33" s="100">
        <f>(BR33)*a14a!$E$24/1000000</f>
        <v>6.3805165471864873</v>
      </c>
      <c r="BT33" s="99">
        <v>123</v>
      </c>
      <c r="BU33" s="100">
        <f>(BT33)*a14a!$F$24/1000000</f>
        <v>9.4874702043512791</v>
      </c>
      <c r="BV33" s="99">
        <v>113.7</v>
      </c>
      <c r="BW33" s="99">
        <f>(BV33)*a14a!$G$24/1000000</f>
        <v>10.524149875460884</v>
      </c>
      <c r="BX33" s="99">
        <v>47.7</v>
      </c>
      <c r="BY33" s="99">
        <f>(BX33)*a14a!$H$24/1000000</f>
        <v>5.525810139708768</v>
      </c>
      <c r="BZ33" s="99">
        <v>143.4</v>
      </c>
      <c r="CA33" s="99">
        <f>(BZ33)*a14a!$I$24/1000000</f>
        <v>21.474602633822535</v>
      </c>
      <c r="CB33" s="99">
        <v>58.8</v>
      </c>
      <c r="CC33" s="99">
        <f>(CB33)*a14a!$J$24/1000000</f>
        <v>10.726497093220274</v>
      </c>
      <c r="CD33" s="99">
        <v>589.9</v>
      </c>
      <c r="CE33" s="99">
        <f t="shared" si="14"/>
        <v>64.119046493750233</v>
      </c>
      <c r="CF33" s="99">
        <f>'a1'!AD34/1000</f>
        <v>752.26800000000003</v>
      </c>
      <c r="CG33" s="100">
        <f t="shared" si="15"/>
        <v>85234.313427861125</v>
      </c>
      <c r="CH33" s="100">
        <f>CG33/'a8'!AA$39*100</f>
        <v>83399.52390201675</v>
      </c>
      <c r="CI33" s="99">
        <v>1100.4000000000001</v>
      </c>
      <c r="CJ33" s="100">
        <f>(CI33)*a14a!$E$29/1000000</f>
        <v>79.269634325473532</v>
      </c>
      <c r="CK33" s="99">
        <v>1023.7</v>
      </c>
      <c r="CL33" s="100">
        <f>(CK33)*a14a!$F$29/1000000</f>
        <v>92.180485117897177</v>
      </c>
      <c r="CM33" s="100">
        <v>930.2</v>
      </c>
      <c r="CN33" s="99">
        <f>(CM33)*a14a!$G$29/1000000</f>
        <v>100.51337765751838</v>
      </c>
      <c r="CO33" s="100">
        <v>382.2</v>
      </c>
      <c r="CP33" s="99">
        <f>(CO33)*a14a!$H$29/1000000</f>
        <v>47.730238711502203</v>
      </c>
      <c r="CQ33" s="99">
        <v>1576.4</v>
      </c>
      <c r="CR33" s="99">
        <f>(CQ33)*a14a!$I$29/1000000</f>
        <v>215.53062206823714</v>
      </c>
      <c r="CS33" s="99">
        <v>724.6</v>
      </c>
      <c r="CT33" s="99">
        <f>(CS33)*a14a!$J$29/1000000</f>
        <v>148.29574741853978</v>
      </c>
      <c r="CU33" s="99">
        <v>5737.4</v>
      </c>
      <c r="CV33" s="99">
        <f t="shared" si="16"/>
        <v>683.52010529916822</v>
      </c>
      <c r="CW33" s="99">
        <f>'a1'!AJ34/1000</f>
        <v>7246.8969999999999</v>
      </c>
      <c r="CX33" s="100">
        <f t="shared" si="17"/>
        <v>94319.0037472822</v>
      </c>
      <c r="CY33" s="100">
        <f>CX33/'a8'!AG$39*100</f>
        <v>96047.865323097954</v>
      </c>
      <c r="CZ33" s="99">
        <v>886.3</v>
      </c>
      <c r="DA33" s="100">
        <f>(CZ33)*a14a!$E$34/1000000</f>
        <v>59.754247083367531</v>
      </c>
      <c r="DB33" s="99">
        <v>1726.7</v>
      </c>
      <c r="DC33" s="100">
        <f>(DB33)*a14a!$F$34/1000000</f>
        <v>145.51740161182829</v>
      </c>
      <c r="DD33" s="99">
        <v>1860.5</v>
      </c>
      <c r="DE33" s="99">
        <f>(DD33)*a14a!$G$34/1000000</f>
        <v>188.15205353481662</v>
      </c>
      <c r="DF33" s="99">
        <v>798.3</v>
      </c>
      <c r="DG33" s="99">
        <f>(DF33)*a14a!$H$34/1000000</f>
        <v>91.480193929449626</v>
      </c>
      <c r="DH33" s="99">
        <v>2071.9</v>
      </c>
      <c r="DI33" s="99">
        <f>(DH33)*a14a!$I$34/1000000</f>
        <v>252.67383919287144</v>
      </c>
      <c r="DJ33" s="99">
        <v>1317.9</v>
      </c>
      <c r="DK33" s="99">
        <f>(DJ33)*a14a!$J$34/1000000</f>
        <v>242.1138223568299</v>
      </c>
      <c r="DL33" s="99">
        <v>8661.7000000000007</v>
      </c>
      <c r="DM33" s="99">
        <f t="shared" si="18"/>
        <v>979.69155770916348</v>
      </c>
      <c r="DN33" s="99">
        <f>'a1'!AP34/1000</f>
        <v>11082.903</v>
      </c>
      <c r="DO33" s="100">
        <f t="shared" si="19"/>
        <v>88396.655434876884</v>
      </c>
      <c r="DP33" s="100">
        <f>DO33/'a8'!AM$39*100</f>
        <v>90292.804325716934</v>
      </c>
      <c r="DQ33" s="99">
        <v>104.8</v>
      </c>
      <c r="DR33" s="100">
        <f>(DQ33)*a14a!$E$39/1000000</f>
        <v>9.3708259863187582</v>
      </c>
      <c r="DS33" s="99">
        <v>191.8</v>
      </c>
      <c r="DT33" s="100">
        <f>(DS33)*a14a!$F$39/1000000</f>
        <v>21.43755276927407</v>
      </c>
      <c r="DU33" s="99">
        <v>170.5</v>
      </c>
      <c r="DV33" s="99">
        <f>(DU33)*a14a!$G$39/1000000</f>
        <v>22.868213225200595</v>
      </c>
      <c r="DW33" s="99">
        <v>77.5</v>
      </c>
      <c r="DX33" s="99">
        <f>(DW33)*a14a!$H$39/1000000</f>
        <v>11.730492923656845</v>
      </c>
      <c r="DY33" s="99">
        <v>197.4</v>
      </c>
      <c r="DZ33" s="99">
        <f>(DY33)*a14a!$I$39/1000000</f>
        <v>33.180962752716994</v>
      </c>
      <c r="EA33" s="99">
        <v>98</v>
      </c>
      <c r="EB33" s="99">
        <f>(EA33)*a14a!$J$39/1000000</f>
        <v>21.714674962581924</v>
      </c>
      <c r="EC33" s="99">
        <v>840</v>
      </c>
      <c r="ED33" s="99">
        <f t="shared" si="20"/>
        <v>120.30272261974918</v>
      </c>
      <c r="EE33" s="99">
        <f>'a1'!AV34/1000</f>
        <v>1134.1959999999999</v>
      </c>
      <c r="EF33" s="100">
        <f t="shared" si="21"/>
        <v>106068.72411800887</v>
      </c>
      <c r="EG33" s="100">
        <f>EF33/'a8'!AS$39*100</f>
        <v>108565.736047092</v>
      </c>
      <c r="EH33" s="99">
        <v>101.8</v>
      </c>
      <c r="EI33" s="100">
        <f>(EH33)*a14a!$E$44/1000000</f>
        <v>8.1214375761265742</v>
      </c>
      <c r="EJ33" s="99">
        <v>172.4</v>
      </c>
      <c r="EK33" s="100">
        <f>(EJ33)*a14a!$F$44/1000000</f>
        <v>17.192237697988965</v>
      </c>
      <c r="EL33" s="99">
        <v>150.80000000000001</v>
      </c>
      <c r="EM33" s="99">
        <f>(EL33)*a14a!$G$44/1000000</f>
        <v>18.045866205499323</v>
      </c>
      <c r="EN33" s="99">
        <v>70.7</v>
      </c>
      <c r="EO33" s="99">
        <f>(EN33)*a14a!$H$44/1000000</f>
        <v>10.814708460290134</v>
      </c>
      <c r="EP33" s="99">
        <v>173.5</v>
      </c>
      <c r="EQ33" s="99">
        <f>(EP33)*a14a!$I$44/1000000</f>
        <v>28.530631019557333</v>
      </c>
      <c r="ER33" s="99">
        <v>75.7</v>
      </c>
      <c r="ES33" s="99">
        <f>(ER33)*a14a!$J$44/1000000</f>
        <v>25.792388949738402</v>
      </c>
      <c r="ET33" s="99">
        <v>744.9</v>
      </c>
      <c r="EU33" s="99">
        <f t="shared" si="22"/>
        <v>108.49726990920072</v>
      </c>
      <c r="EV33" s="99">
        <f>'a1'!BB34/1000</f>
        <v>1018.9450000000001</v>
      </c>
      <c r="EW33" s="100">
        <f t="shared" si="23"/>
        <v>106480.00619189527</v>
      </c>
      <c r="EX33" s="100">
        <f>EW33/'a8'!AY$39*100</f>
        <v>110801.25514245086</v>
      </c>
      <c r="EY33" s="99">
        <v>144.19999999999999</v>
      </c>
      <c r="EZ33" s="100">
        <f>(EY33)*a14a!$E$49/1000000</f>
        <v>9.7435610041321095</v>
      </c>
      <c r="FA33" s="99">
        <v>421</v>
      </c>
      <c r="FB33" s="100">
        <f>(FA33)*a14a!$F$49/1000000</f>
        <v>35.558592083387815</v>
      </c>
      <c r="FC33" s="99">
        <v>437</v>
      </c>
      <c r="FD33" s="99">
        <f>(FC33)*a14a!$G$49/1000000</f>
        <v>44.291985008381396</v>
      </c>
      <c r="FE33" s="99">
        <v>221.6</v>
      </c>
      <c r="FF33" s="99">
        <f>(FE33)*a14a!$H$49/1000000</f>
        <v>26.083816766857243</v>
      </c>
      <c r="FG33" s="99">
        <v>586.70000000000005</v>
      </c>
      <c r="FH33" s="99">
        <f>(FG33)*a14a!$I$49/1000000</f>
        <v>71.158510899697575</v>
      </c>
      <c r="FI33" s="99">
        <v>276.5</v>
      </c>
      <c r="FJ33" s="99">
        <f>(FI33)*a14a!$J$49/1000000</f>
        <v>59.460554115279173</v>
      </c>
      <c r="FK33" s="99">
        <v>2086.9</v>
      </c>
      <c r="FL33" s="99">
        <f t="shared" si="24"/>
        <v>246.29701987773529</v>
      </c>
      <c r="FM33" s="99">
        <f>'a1'!BH34/1000</f>
        <v>2775.1329999999998</v>
      </c>
      <c r="FN33" s="100">
        <f t="shared" si="25"/>
        <v>88751.429166722941</v>
      </c>
      <c r="FO33" s="100">
        <f>FN33/'a8'!BE$39*100</f>
        <v>86502.367608891756</v>
      </c>
      <c r="FP33" s="99">
        <v>199.6</v>
      </c>
      <c r="FQ33" s="100">
        <f>(FP33)*a14a!$E$54/1000000</f>
        <v>15.553319803796889</v>
      </c>
      <c r="FR33" s="99">
        <v>544</v>
      </c>
      <c r="FS33" s="100">
        <f>(FR33)*a14a!$F$54/1000000</f>
        <v>52.987261856622666</v>
      </c>
      <c r="FT33" s="99">
        <v>703.2</v>
      </c>
      <c r="FU33" s="99">
        <f>(FT33)*a14a!$G$54/1000000</f>
        <v>82.19259383289058</v>
      </c>
      <c r="FV33" s="99">
        <v>332.4</v>
      </c>
      <c r="FW33" s="99">
        <f>(FV33)*a14a!$H$54/1000000</f>
        <v>44.896809708344314</v>
      </c>
      <c r="FX33" s="99">
        <v>822</v>
      </c>
      <c r="FY33" s="99">
        <f>(FX33)*a14a!$I$54/1000000</f>
        <v>115.71403893243993</v>
      </c>
      <c r="FZ33" s="99">
        <v>424.9</v>
      </c>
      <c r="GA33" s="99">
        <f>(FZ33)*a14a!$J$54/1000000</f>
        <v>101.55706657433652</v>
      </c>
      <c r="GB33" s="99">
        <v>3026.1</v>
      </c>
      <c r="GC33" s="99">
        <f t="shared" si="26"/>
        <v>412.90109070843084</v>
      </c>
      <c r="GD33" s="99">
        <f>'a1'!BN34/1000</f>
        <v>3874.317</v>
      </c>
      <c r="GE33" s="100">
        <f t="shared" si="27"/>
        <v>106573.90469298998</v>
      </c>
      <c r="GF33" s="100">
        <f>GE33/'a8'!BK$39*100</f>
        <v>106467.43725573424</v>
      </c>
    </row>
    <row r="34" spans="1:188" s="26" customFormat="1" ht="16.5" customHeight="1">
      <c r="A34" s="202">
        <v>1997</v>
      </c>
      <c r="B34" s="99">
        <v>2740.7</v>
      </c>
      <c r="C34" s="168">
        <f>B34*a14a!$E$4/1000000</f>
        <v>193.86622740571852</v>
      </c>
      <c r="D34" s="99">
        <v>4419.8</v>
      </c>
      <c r="E34" s="168">
        <f>D34*a14a!$F$4/1000000</f>
        <v>390.79886155352409</v>
      </c>
      <c r="F34" s="99">
        <v>4360.6000000000004</v>
      </c>
      <c r="G34" s="99">
        <f>F34*a14a!$G$4/1000000</f>
        <v>462.67727472472887</v>
      </c>
      <c r="H34" s="99">
        <v>2123.4</v>
      </c>
      <c r="I34" s="168">
        <f>H34*a14a!$H$4/1000000</f>
        <v>259.02187795394059</v>
      </c>
      <c r="J34" s="99">
        <v>6356.5</v>
      </c>
      <c r="K34" s="168">
        <f>J34*a14a!$I$4/1000000</f>
        <v>832.18701848249714</v>
      </c>
      <c r="L34" s="99">
        <v>3245.6</v>
      </c>
      <c r="M34" s="168">
        <f>L34*a14a!$J$4/1000000</f>
        <v>658.43825965574354</v>
      </c>
      <c r="N34" s="183">
        <v>23246.7</v>
      </c>
      <c r="O34" s="99">
        <f t="shared" si="28"/>
        <v>2796.9895197761525</v>
      </c>
      <c r="P34" s="168">
        <f>'a1'!F35/1000</f>
        <v>29905.948</v>
      </c>
      <c r="Q34" s="100">
        <f t="shared" si="5"/>
        <v>93526.194848468018</v>
      </c>
      <c r="R34" s="168">
        <f>Q34/'a8'!C$39*100</f>
        <v>94566.425529290194</v>
      </c>
      <c r="S34" s="99">
        <v>81.400000000000006</v>
      </c>
      <c r="T34" s="100">
        <f>(S34)*a14a!$E$9/1000000</f>
        <v>5.5344754476118077</v>
      </c>
      <c r="U34" s="99">
        <v>99.2</v>
      </c>
      <c r="V34" s="100">
        <f>(U34)*a14a!$F$9/1000000</f>
        <v>8.43089625926123</v>
      </c>
      <c r="W34" s="99">
        <v>65.099999999999994</v>
      </c>
      <c r="X34" s="99">
        <f>(W34)*a14a!$G$9/1000000</f>
        <v>6.6393308041682184</v>
      </c>
      <c r="Y34" s="99">
        <v>35.9</v>
      </c>
      <c r="Z34" s="99">
        <f>(Y34)*a14a!$H$9/1000000</f>
        <v>4.4610273044322541</v>
      </c>
      <c r="AA34" s="99">
        <v>122.6</v>
      </c>
      <c r="AB34" s="99">
        <f>(AA34)*a14a!$I$9/1000000</f>
        <v>18.145930217227029</v>
      </c>
      <c r="AC34" s="99">
        <v>35.200000000000003</v>
      </c>
      <c r="AD34" s="99">
        <f>(AC34)*a14a!$J$9/1000000</f>
        <v>7.3810784718795146</v>
      </c>
      <c r="AE34" s="99">
        <v>439.5</v>
      </c>
      <c r="AF34" s="99">
        <f t="shared" si="8"/>
        <v>50.592738504580048</v>
      </c>
      <c r="AG34" s="99">
        <f>'a1'!L35/1000</f>
        <v>550.91099999999994</v>
      </c>
      <c r="AH34" s="100">
        <f t="shared" si="9"/>
        <v>91834.685647191742</v>
      </c>
      <c r="AI34" s="100">
        <f>AH34/'a8'!I$39*100</f>
        <v>92203.499645774849</v>
      </c>
      <c r="AJ34" s="99">
        <v>12.8</v>
      </c>
      <c r="AK34" s="100">
        <f>(AJ34)*a14a!$E$14/1000000</f>
        <v>0.72010606893455398</v>
      </c>
      <c r="AL34" s="99">
        <v>28.4</v>
      </c>
      <c r="AM34" s="100">
        <f>(AL34)*a14a!$F$14/1000000</f>
        <v>1.9971691755606769</v>
      </c>
      <c r="AN34" s="99">
        <v>15.7</v>
      </c>
      <c r="AO34" s="99">
        <f>(AN34)*a14a!$G$14/1000000</f>
        <v>1.3248826502663082</v>
      </c>
      <c r="AP34" s="99">
        <v>8.4</v>
      </c>
      <c r="AQ34" s="99">
        <f>(AP34)*a14a!$H$14/1000000</f>
        <v>0.9129788063411467</v>
      </c>
      <c r="AR34" s="99">
        <v>28.4</v>
      </c>
      <c r="AS34" s="99">
        <f>(AR34)*a14a!$I$14/1000000</f>
        <v>4.0462548196772552</v>
      </c>
      <c r="AT34" s="99">
        <v>11.5</v>
      </c>
      <c r="AU34" s="99">
        <f>(AT34)*a14a!$J$14/1000000</f>
        <v>2.0950335854991158</v>
      </c>
      <c r="AV34" s="99">
        <v>105.1</v>
      </c>
      <c r="AW34" s="99">
        <f t="shared" si="10"/>
        <v>11.096425106279057</v>
      </c>
      <c r="AX34" s="99">
        <f>'a1'!R35/1000</f>
        <v>136.095</v>
      </c>
      <c r="AY34" s="100">
        <f t="shared" si="11"/>
        <v>81534.406894294851</v>
      </c>
      <c r="AZ34" s="100">
        <f>AY34/'a8'!O$39*100</f>
        <v>83969.523063125496</v>
      </c>
      <c r="BA34" s="99">
        <v>81.5</v>
      </c>
      <c r="BB34" s="100">
        <f>(BA34)*a14a!$E$19/1000000</f>
        <v>4.8525829180519393</v>
      </c>
      <c r="BC34" s="99">
        <v>174.6</v>
      </c>
      <c r="BD34" s="100">
        <f>(BC34)*a14a!$F$19/1000000</f>
        <v>12.994800268280192</v>
      </c>
      <c r="BE34" s="99">
        <v>99.5</v>
      </c>
      <c r="BF34" s="99">
        <f>(BE34)*a14a!$G$19/1000000</f>
        <v>8.8864785339785524</v>
      </c>
      <c r="BG34" s="99">
        <v>56.3</v>
      </c>
      <c r="BH34" s="99">
        <f>(BG34)*a14a!$H$19/1000000</f>
        <v>5.9502104238322859</v>
      </c>
      <c r="BI34" s="99">
        <v>228.1</v>
      </c>
      <c r="BJ34" s="99">
        <f>(BI34)*a14a!$I$19/1000000</f>
        <v>27.056617703386291</v>
      </c>
      <c r="BK34" s="99">
        <v>88.2</v>
      </c>
      <c r="BL34" s="99">
        <f>(BK34)*a14a!$J$19/1000000</f>
        <v>15.859122152506623</v>
      </c>
      <c r="BM34" s="99">
        <v>728.1</v>
      </c>
      <c r="BN34" s="99">
        <f t="shared" si="12"/>
        <v>75.599812000035897</v>
      </c>
      <c r="BO34" s="99">
        <f>'a1'!X35/1000</f>
        <v>932.40200000000004</v>
      </c>
      <c r="BP34" s="100">
        <f t="shared" si="13"/>
        <v>81080.705532630658</v>
      </c>
      <c r="BQ34" s="100">
        <f>BP34/'a8'!U$39*100</f>
        <v>81488.146263950402</v>
      </c>
      <c r="BR34" s="99">
        <v>95.1</v>
      </c>
      <c r="BS34" s="100">
        <f>(BR34)*a14a!$E$24/1000000</f>
        <v>5.868347423959718</v>
      </c>
      <c r="BT34" s="99">
        <v>117.6</v>
      </c>
      <c r="BU34" s="100">
        <f>(BT34)*a14a!$F$24/1000000</f>
        <v>9.070947122209029</v>
      </c>
      <c r="BV34" s="99">
        <v>119.4</v>
      </c>
      <c r="BW34" s="99">
        <f>(BV34)*a14a!$G$24/1000000</f>
        <v>11.051745779507735</v>
      </c>
      <c r="BX34" s="99">
        <v>48.2</v>
      </c>
      <c r="BY34" s="99">
        <f>(BX34)*a14a!$H$24/1000000</f>
        <v>5.5837326778608514</v>
      </c>
      <c r="BZ34" s="99">
        <v>152.6</v>
      </c>
      <c r="CA34" s="99">
        <f>(BZ34)*a14a!$I$24/1000000</f>
        <v>22.852331673091481</v>
      </c>
      <c r="CB34" s="99">
        <v>59.6</v>
      </c>
      <c r="CC34" s="99">
        <f>(CB34)*a14a!$J$24/1000000</f>
        <v>10.872435829182455</v>
      </c>
      <c r="CD34" s="99">
        <v>592.6</v>
      </c>
      <c r="CE34" s="99">
        <f t="shared" si="14"/>
        <v>65.299540505811265</v>
      </c>
      <c r="CF34" s="99">
        <f>'a1'!AD35/1000</f>
        <v>752.51099999999997</v>
      </c>
      <c r="CG34" s="100">
        <f t="shared" si="15"/>
        <v>86775.529534865622</v>
      </c>
      <c r="CH34" s="100">
        <f>CG34/'a8'!AA$39*100</f>
        <v>84907.563145661072</v>
      </c>
      <c r="CI34" s="99">
        <v>1045.4000000000001</v>
      </c>
      <c r="CJ34" s="100">
        <f>(CI34)*a14a!$E$29/1000000</f>
        <v>75.307593351372262</v>
      </c>
      <c r="CK34" s="99">
        <v>960.9</v>
      </c>
      <c r="CL34" s="100">
        <f>(CK34)*a14a!$F$29/1000000</f>
        <v>86.525572091225357</v>
      </c>
      <c r="CM34" s="100">
        <v>878.9</v>
      </c>
      <c r="CN34" s="99">
        <f>(CM34)*a14a!$G$29/1000000</f>
        <v>94.970122149207583</v>
      </c>
      <c r="CO34" s="100">
        <v>444.4</v>
      </c>
      <c r="CP34" s="99">
        <f>(CO34)*a14a!$H$29/1000000</f>
        <v>55.497954168999421</v>
      </c>
      <c r="CQ34" s="99">
        <v>1672.9</v>
      </c>
      <c r="CR34" s="99">
        <f>(CQ34)*a14a!$I$29/1000000</f>
        <v>228.72442124965357</v>
      </c>
      <c r="CS34" s="99">
        <v>769.7</v>
      </c>
      <c r="CT34" s="99">
        <f>(CS34)*a14a!$J$29/1000000</f>
        <v>157.52585811213092</v>
      </c>
      <c r="CU34" s="99">
        <v>5772.2</v>
      </c>
      <c r="CV34" s="99">
        <f t="shared" si="16"/>
        <v>698.55152112258907</v>
      </c>
      <c r="CW34" s="99">
        <f>'a1'!AJ35/1000</f>
        <v>7274.6109999999999</v>
      </c>
      <c r="CX34" s="100">
        <f t="shared" si="17"/>
        <v>96025.962229813958</v>
      </c>
      <c r="CY34" s="100">
        <f>CX34/'a8'!AG$39*100</f>
        <v>97786.112250319711</v>
      </c>
      <c r="CZ34" s="99">
        <v>884.2</v>
      </c>
      <c r="DA34" s="100">
        <f>(CZ34)*a14a!$E$34/1000000</f>
        <v>59.612665317740699</v>
      </c>
      <c r="DB34" s="99">
        <v>1701.3</v>
      </c>
      <c r="DC34" s="100">
        <f>(DB34)*a14a!$F$34/1000000</f>
        <v>143.37682015532721</v>
      </c>
      <c r="DD34" s="99">
        <v>1745.8</v>
      </c>
      <c r="DE34" s="99">
        <f>(DD34)*a14a!$G$34/1000000</f>
        <v>176.55246173667445</v>
      </c>
      <c r="DF34" s="99">
        <v>814.5</v>
      </c>
      <c r="DG34" s="99">
        <f>(DF34)*a14a!$H$34/1000000</f>
        <v>93.336612746507242</v>
      </c>
      <c r="DH34" s="99">
        <v>2265</v>
      </c>
      <c r="DI34" s="99">
        <f>(DH34)*a14a!$I$34/1000000</f>
        <v>276.22290929671021</v>
      </c>
      <c r="DJ34" s="99">
        <v>1373.5</v>
      </c>
      <c r="DK34" s="99">
        <f>(DJ34)*a14a!$J$34/1000000</f>
        <v>252.32820017232405</v>
      </c>
      <c r="DL34" s="99">
        <v>8784.2999999999993</v>
      </c>
      <c r="DM34" s="99">
        <f t="shared" si="18"/>
        <v>1001.4296694252838</v>
      </c>
      <c r="DN34" s="99">
        <f>'a1'!AP35/1000</f>
        <v>11227.651</v>
      </c>
      <c r="DO34" s="100">
        <f t="shared" si="19"/>
        <v>89193.159764699114</v>
      </c>
      <c r="DP34" s="100">
        <f>DO34/'a8'!AM$39*100</f>
        <v>91106.394039529216</v>
      </c>
      <c r="DQ34" s="99">
        <v>96.7</v>
      </c>
      <c r="DR34" s="100">
        <f>(DQ34)*a14a!$E$39/1000000</f>
        <v>8.6465541305059528</v>
      </c>
      <c r="DS34" s="99">
        <v>190.1</v>
      </c>
      <c r="DT34" s="100">
        <f>(DS34)*a14a!$F$39/1000000</f>
        <v>21.247543177471325</v>
      </c>
      <c r="DU34" s="99">
        <v>168.8</v>
      </c>
      <c r="DV34" s="99">
        <f>(DU34)*a14a!$G$39/1000000</f>
        <v>22.640201715037303</v>
      </c>
      <c r="DW34" s="99">
        <v>78.3</v>
      </c>
      <c r="DX34" s="99">
        <f>(DW34)*a14a!$H$39/1000000</f>
        <v>11.851581882868786</v>
      </c>
      <c r="DY34" s="99">
        <v>203.1</v>
      </c>
      <c r="DZ34" s="99">
        <f>(DY34)*a14a!$I$39/1000000</f>
        <v>34.13907565895046</v>
      </c>
      <c r="EA34" s="99">
        <v>105.8</v>
      </c>
      <c r="EB34" s="99">
        <f>(EA34)*a14a!$J$39/1000000</f>
        <v>23.442985826950693</v>
      </c>
      <c r="EC34" s="99">
        <v>842.8</v>
      </c>
      <c r="ED34" s="99">
        <f t="shared" si="20"/>
        <v>121.96794239178452</v>
      </c>
      <c r="EE34" s="99">
        <f>'a1'!AV35/1000</f>
        <v>1136.1279999999999</v>
      </c>
      <c r="EF34" s="100">
        <f t="shared" si="21"/>
        <v>107354.05024062828</v>
      </c>
      <c r="EG34" s="100">
        <f>EF34/'a8'!AS$39*100</f>
        <v>109881.32061476793</v>
      </c>
      <c r="EH34" s="99">
        <v>90.9</v>
      </c>
      <c r="EI34" s="100">
        <f>(EH34)*a14a!$E$44/1000000</f>
        <v>7.2518533955786406</v>
      </c>
      <c r="EJ34" s="99">
        <v>175</v>
      </c>
      <c r="EK34" s="100">
        <f>(EJ34)*a14a!$F$44/1000000</f>
        <v>17.451517384849588</v>
      </c>
      <c r="EL34" s="99">
        <v>149.69999999999999</v>
      </c>
      <c r="EM34" s="99">
        <f>(EL34)*a14a!$G$44/1000000</f>
        <v>17.914231902939314</v>
      </c>
      <c r="EN34" s="99">
        <v>70.400000000000006</v>
      </c>
      <c r="EO34" s="99">
        <f>(EN34)*a14a!$H$44/1000000</f>
        <v>10.768818608266272</v>
      </c>
      <c r="EP34" s="99">
        <v>186.2</v>
      </c>
      <c r="EQ34" s="99">
        <f>(EP34)*a14a!$I$44/1000000</f>
        <v>30.619040321853461</v>
      </c>
      <c r="ER34" s="99">
        <v>74.099999999999994</v>
      </c>
      <c r="ES34" s="99">
        <f>(ER34)*a14a!$J$44/1000000</f>
        <v>25.247239381448022</v>
      </c>
      <c r="ET34" s="99">
        <v>746.3</v>
      </c>
      <c r="EU34" s="99">
        <f t="shared" si="22"/>
        <v>109.25270099493531</v>
      </c>
      <c r="EV34" s="99">
        <f>'a1'!BB35/1000</f>
        <v>1017.902</v>
      </c>
      <c r="EW34" s="100">
        <f t="shared" si="23"/>
        <v>107331.25683507381</v>
      </c>
      <c r="EX34" s="100">
        <f>EW34/'a8'!AY$39*100</f>
        <v>111687.05185751698</v>
      </c>
      <c r="EY34" s="99">
        <v>142.30000000000001</v>
      </c>
      <c r="EZ34" s="100">
        <f>(EY34)*a14a!$E$49/1000000</f>
        <v>9.6151784388904247</v>
      </c>
      <c r="FA34" s="99">
        <v>415.8</v>
      </c>
      <c r="FB34" s="100">
        <f>(FA34)*a14a!$F$49/1000000</f>
        <v>35.11938857071889</v>
      </c>
      <c r="FC34" s="99">
        <v>447.5</v>
      </c>
      <c r="FD34" s="99">
        <f>(FC34)*a14a!$G$49/1000000</f>
        <v>45.356208904463791</v>
      </c>
      <c r="FE34" s="99">
        <v>216.3</v>
      </c>
      <c r="FF34" s="99">
        <f>(FE34)*a14a!$H$49/1000000</f>
        <v>25.459970968732954</v>
      </c>
      <c r="FG34" s="99">
        <v>619.9</v>
      </c>
      <c r="FH34" s="99">
        <f>(FG34)*a14a!$I$49/1000000</f>
        <v>75.185206931519559</v>
      </c>
      <c r="FI34" s="99">
        <v>297.3</v>
      </c>
      <c r="FJ34" s="99">
        <f>(FI34)*a14a!$J$49/1000000</f>
        <v>63.933536124674497</v>
      </c>
      <c r="FK34" s="99">
        <v>2139</v>
      </c>
      <c r="FL34" s="99">
        <f t="shared" si="24"/>
        <v>254.66948993900013</v>
      </c>
      <c r="FM34" s="99">
        <f>'a1'!BH35/1000</f>
        <v>2829.848</v>
      </c>
      <c r="FN34" s="100">
        <f t="shared" si="25"/>
        <v>89994.052662545888</v>
      </c>
      <c r="FO34" s="100">
        <f>FN34/'a8'!BE$39*100</f>
        <v>87713.501620415103</v>
      </c>
      <c r="FP34" s="99">
        <v>210.3</v>
      </c>
      <c r="FQ34" s="100">
        <f>(FP34)*a14a!$E$54/1000000</f>
        <v>16.387089953599631</v>
      </c>
      <c r="FR34" s="99">
        <v>557</v>
      </c>
      <c r="FS34" s="100">
        <f>(FR34)*a14a!$F$54/1000000</f>
        <v>54.253501570108135</v>
      </c>
      <c r="FT34" s="99">
        <v>670.2</v>
      </c>
      <c r="FU34" s="99">
        <f>(FT34)*a14a!$G$54/1000000</f>
        <v>78.335432859504095</v>
      </c>
      <c r="FV34" s="99">
        <v>350.8</v>
      </c>
      <c r="FW34" s="99">
        <f>(FV34)*a14a!$H$54/1000000</f>
        <v>47.382072339612471</v>
      </c>
      <c r="FX34" s="99">
        <v>877.6</v>
      </c>
      <c r="FY34" s="99">
        <f>(FX34)*a14a!$I$54/1000000</f>
        <v>123.54092526412323</v>
      </c>
      <c r="FZ34" s="99">
        <v>430.8</v>
      </c>
      <c r="GA34" s="99">
        <f>(FZ34)*a14a!$J$54/1000000</f>
        <v>102.96724942392133</v>
      </c>
      <c r="GB34" s="99">
        <v>3096.8</v>
      </c>
      <c r="GC34" s="99">
        <f t="shared" si="26"/>
        <v>422.86627141086888</v>
      </c>
      <c r="GD34" s="99">
        <f>'a1'!BN35/1000</f>
        <v>3948.5830000000001</v>
      </c>
      <c r="GE34" s="100">
        <f t="shared" si="27"/>
        <v>107093.17023622623</v>
      </c>
      <c r="GF34" s="100">
        <f>GE34/'a8'!BK$39*100</f>
        <v>106986.18405217405</v>
      </c>
    </row>
    <row r="35" spans="1:188" s="26" customFormat="1" ht="16.5" customHeight="1">
      <c r="A35" s="202">
        <v>1998</v>
      </c>
      <c r="B35" s="99">
        <v>2641.3</v>
      </c>
      <c r="C35" s="168">
        <f>B35*a14a!$E$4/1000000</f>
        <v>186.83506638695383</v>
      </c>
      <c r="D35" s="99">
        <v>4442.1000000000004</v>
      </c>
      <c r="E35" s="168">
        <f>D35*a14a!$F$4/1000000</f>
        <v>392.77062828791105</v>
      </c>
      <c r="F35" s="99">
        <v>4459.8</v>
      </c>
      <c r="G35" s="99">
        <f>F35*a14a!$G$4/1000000</f>
        <v>473.2027954449722</v>
      </c>
      <c r="H35" s="99">
        <v>2120</v>
      </c>
      <c r="I35" s="168">
        <f>H35*a14a!$H$4/1000000</f>
        <v>258.60713066890554</v>
      </c>
      <c r="J35" s="99">
        <v>6510.9</v>
      </c>
      <c r="K35" s="168">
        <f>J35*a14a!$I$4/1000000</f>
        <v>852.40092167666023</v>
      </c>
      <c r="L35" s="99">
        <v>3341.7</v>
      </c>
      <c r="M35" s="168">
        <f>L35*a14a!$J$4/1000000</f>
        <v>677.93416696191707</v>
      </c>
      <c r="N35" s="183">
        <v>23515.7</v>
      </c>
      <c r="O35" s="99">
        <f t="shared" si="28"/>
        <v>2841.7507094273201</v>
      </c>
      <c r="P35" s="168">
        <f>'a1'!F36/1000</f>
        <v>30155.172999999999</v>
      </c>
      <c r="Q35" s="100">
        <f t="shared" si="5"/>
        <v>94237.586016413174</v>
      </c>
      <c r="R35" s="168">
        <f>Q35/'a8'!C$39*100</f>
        <v>95285.729035807046</v>
      </c>
      <c r="S35" s="99">
        <v>75.400000000000006</v>
      </c>
      <c r="T35" s="100">
        <f>(S35)*a14a!$E$9/1000000</f>
        <v>5.126528854421748</v>
      </c>
      <c r="U35" s="99">
        <v>98</v>
      </c>
      <c r="V35" s="100">
        <f>(U35)*a14a!$F$9/1000000</f>
        <v>8.3289096109637146</v>
      </c>
      <c r="W35" s="99">
        <v>64.099999999999994</v>
      </c>
      <c r="X35" s="99">
        <f>(W35)*a14a!$G$9/1000000</f>
        <v>6.5373441558707031</v>
      </c>
      <c r="Y35" s="99">
        <v>35.5</v>
      </c>
      <c r="Z35" s="99">
        <f>(Y35)*a14a!$H$9/1000000</f>
        <v>4.4113222648285522</v>
      </c>
      <c r="AA35" s="99">
        <v>124.4</v>
      </c>
      <c r="AB35" s="99">
        <f>(AA35)*a14a!$I$9/1000000</f>
        <v>18.412346810954674</v>
      </c>
      <c r="AC35" s="99">
        <v>36.6</v>
      </c>
      <c r="AD35" s="99">
        <f>(AC35)*a14a!$J$9/1000000</f>
        <v>7.674644092920178</v>
      </c>
      <c r="AE35" s="99">
        <v>434.1</v>
      </c>
      <c r="AF35" s="99">
        <f t="shared" si="8"/>
        <v>50.491095789959566</v>
      </c>
      <c r="AG35" s="99">
        <f>'a1'!L36/1000</f>
        <v>539.84299999999996</v>
      </c>
      <c r="AH35" s="100">
        <f t="shared" si="9"/>
        <v>93529.221995949876</v>
      </c>
      <c r="AI35" s="100">
        <f>AH35/'a8'!I$39*100</f>
        <v>93904.841361395462</v>
      </c>
      <c r="AJ35" s="99">
        <v>13.8</v>
      </c>
      <c r="AK35" s="100">
        <f>(AJ35)*a14a!$E$14/1000000</f>
        <v>0.776364355570066</v>
      </c>
      <c r="AL35" s="99">
        <v>25.9</v>
      </c>
      <c r="AM35" s="100">
        <f>(AL35)*a14a!$F$14/1000000</f>
        <v>1.8213620298247017</v>
      </c>
      <c r="AN35" s="99">
        <v>15.7</v>
      </c>
      <c r="AO35" s="99">
        <f>(AN35)*a14a!$G$14/1000000</f>
        <v>1.3248826502663082</v>
      </c>
      <c r="AP35" s="99">
        <v>9.5</v>
      </c>
      <c r="AQ35" s="99">
        <f>(AP35)*a14a!$H$14/1000000</f>
        <v>1.0325355547905826</v>
      </c>
      <c r="AR35" s="99">
        <v>29.1</v>
      </c>
      <c r="AS35" s="99">
        <f>(AR35)*a14a!$I$14/1000000</f>
        <v>4.1459864525566248</v>
      </c>
      <c r="AT35" s="99">
        <v>11.6</v>
      </c>
      <c r="AU35" s="99">
        <f>(AT35)*a14a!$J$14/1000000</f>
        <v>2.1132512688512821</v>
      </c>
      <c r="AV35" s="99">
        <v>105.5</v>
      </c>
      <c r="AW35" s="99">
        <f t="shared" si="10"/>
        <v>11.214382311859566</v>
      </c>
      <c r="AX35" s="99">
        <f>'a1'!R36/1000</f>
        <v>135.804</v>
      </c>
      <c r="AY35" s="100">
        <f t="shared" si="11"/>
        <v>82577.702511410302</v>
      </c>
      <c r="AZ35" s="100">
        <f>AY35/'a8'!O$39*100</f>
        <v>85043.977869629569</v>
      </c>
      <c r="BA35" s="99">
        <v>77.599999999999994</v>
      </c>
      <c r="BB35" s="100">
        <f>(BA35)*a14a!$E$19/1000000</f>
        <v>4.6203734287218463</v>
      </c>
      <c r="BC35" s="99">
        <v>167.8</v>
      </c>
      <c r="BD35" s="100">
        <f>(BC35)*a14a!$F$19/1000000</f>
        <v>12.488702663329992</v>
      </c>
      <c r="BE35" s="99">
        <v>104</v>
      </c>
      <c r="BF35" s="99">
        <f>(BE35)*a14a!$G$19/1000000</f>
        <v>9.2883795732037111</v>
      </c>
      <c r="BG35" s="99">
        <v>58.5</v>
      </c>
      <c r="BH35" s="99">
        <f>(BG35)*a14a!$H$19/1000000</f>
        <v>6.1827230869305279</v>
      </c>
      <c r="BI35" s="99">
        <v>229.4</v>
      </c>
      <c r="BJ35" s="99">
        <f>(BI35)*a14a!$I$19/1000000</f>
        <v>27.210820259345972</v>
      </c>
      <c r="BK35" s="99">
        <v>93.5</v>
      </c>
      <c r="BL35" s="99">
        <f>(BK35)*a14a!$J$19/1000000</f>
        <v>16.812107950786501</v>
      </c>
      <c r="BM35" s="99">
        <v>730.8</v>
      </c>
      <c r="BN35" s="99">
        <f t="shared" si="12"/>
        <v>76.603106962318549</v>
      </c>
      <c r="BO35" s="99">
        <f>'a1'!X36/1000</f>
        <v>931.83600000000001</v>
      </c>
      <c r="BP35" s="100">
        <f t="shared" si="13"/>
        <v>82206.640398437652</v>
      </c>
      <c r="BQ35" s="100">
        <f>BP35/'a8'!U$39*100</f>
        <v>82619.739093907192</v>
      </c>
      <c r="BR35" s="99">
        <v>90.5</v>
      </c>
      <c r="BS35" s="100">
        <f>(BR35)*a14a!$E$24/1000000</f>
        <v>5.5844946568701843</v>
      </c>
      <c r="BT35" s="99">
        <v>113.6</v>
      </c>
      <c r="BU35" s="100">
        <f>(BT35)*a14a!$F$24/1000000</f>
        <v>8.7624115058073606</v>
      </c>
      <c r="BV35" s="99">
        <v>128.30000000000001</v>
      </c>
      <c r="BW35" s="99">
        <f>(BV35)*a14a!$G$24/1000000</f>
        <v>11.875535875300189</v>
      </c>
      <c r="BX35" s="99">
        <v>42.9</v>
      </c>
      <c r="BY35" s="99">
        <f>(BX35)*a14a!$H$24/1000000</f>
        <v>4.9697537734487653</v>
      </c>
      <c r="BZ35" s="99">
        <v>156.1</v>
      </c>
      <c r="CA35" s="99">
        <f>(BZ35)*a14a!$I$24/1000000</f>
        <v>23.376467720639454</v>
      </c>
      <c r="CB35" s="99">
        <v>62.3</v>
      </c>
      <c r="CC35" s="99">
        <f>(CB35)*a14a!$J$24/1000000</f>
        <v>11.364979063054815</v>
      </c>
      <c r="CD35" s="99">
        <v>593.70000000000005</v>
      </c>
      <c r="CE35" s="99">
        <f t="shared" si="14"/>
        <v>65.933642595120773</v>
      </c>
      <c r="CF35" s="99">
        <f>'a1'!AD36/1000</f>
        <v>750.53</v>
      </c>
      <c r="CG35" s="100">
        <f t="shared" si="15"/>
        <v>87849.443186975579</v>
      </c>
      <c r="CH35" s="100">
        <f>CG35/'a8'!AA$39*100</f>
        <v>85958.359282754958</v>
      </c>
      <c r="CI35" s="99">
        <v>1000.8</v>
      </c>
      <c r="CJ35" s="100">
        <f>(CI35)*a14a!$E$29/1000000</f>
        <v>72.094738306919211</v>
      </c>
      <c r="CK35" s="99">
        <v>992</v>
      </c>
      <c r="CL35" s="100">
        <f>(CK35)*a14a!$F$29/1000000</f>
        <v>89.326014688828749</v>
      </c>
      <c r="CM35" s="100">
        <v>865.5</v>
      </c>
      <c r="CN35" s="99">
        <f>(CM35)*a14a!$G$29/1000000</f>
        <v>93.52217626594512</v>
      </c>
      <c r="CO35" s="100">
        <v>450.9</v>
      </c>
      <c r="CP35" s="99">
        <f>(CO35)*a14a!$H$29/1000000</f>
        <v>56.309692922596398</v>
      </c>
      <c r="CQ35" s="99">
        <v>1714.7</v>
      </c>
      <c r="CR35" s="99">
        <f>(CQ35)*a14a!$I$29/1000000</f>
        <v>234.43945550647439</v>
      </c>
      <c r="CS35" s="99">
        <v>782.6</v>
      </c>
      <c r="CT35" s="99">
        <f>(CS35)*a14a!$J$29/1000000</f>
        <v>160.16595629278115</v>
      </c>
      <c r="CU35" s="99">
        <v>5806.6</v>
      </c>
      <c r="CV35" s="99">
        <f t="shared" si="16"/>
        <v>705.85803398354506</v>
      </c>
      <c r="CW35" s="99">
        <f>'a1'!AJ36/1000</f>
        <v>7295.9350000000004</v>
      </c>
      <c r="CX35" s="100">
        <f t="shared" si="17"/>
        <v>96746.754731716355</v>
      </c>
      <c r="CY35" s="100">
        <f>CX35/'a8'!AG$39*100</f>
        <v>98520.116834741697</v>
      </c>
      <c r="CZ35" s="99">
        <v>866.9</v>
      </c>
      <c r="DA35" s="100">
        <f>(CZ35)*a14a!$E$34/1000000</f>
        <v>58.446301248529075</v>
      </c>
      <c r="DB35" s="99">
        <v>1710</v>
      </c>
      <c r="DC35" s="100">
        <f>(DB35)*a14a!$F$34/1000000</f>
        <v>144.11001144160906</v>
      </c>
      <c r="DD35" s="99">
        <v>1816.9</v>
      </c>
      <c r="DE35" s="99">
        <f>(DD35)*a14a!$G$34/1000000</f>
        <v>183.74279283386636</v>
      </c>
      <c r="DF35" s="99">
        <v>811.5</v>
      </c>
      <c r="DG35" s="99">
        <f>(DF35)*a14a!$H$34/1000000</f>
        <v>92.992831484089166</v>
      </c>
      <c r="DH35" s="99">
        <v>2302.4</v>
      </c>
      <c r="DI35" s="99">
        <f>(DH35)*a14a!$I$34/1000000</f>
        <v>280.78394099988765</v>
      </c>
      <c r="DJ35" s="99">
        <v>1404.2</v>
      </c>
      <c r="DK35" s="99">
        <f>(DJ35)*a14a!$J$34/1000000</f>
        <v>257.96815339059151</v>
      </c>
      <c r="DL35" s="99">
        <v>8912</v>
      </c>
      <c r="DM35" s="99">
        <f t="shared" si="18"/>
        <v>1018.0440313985729</v>
      </c>
      <c r="DN35" s="99">
        <f>'a1'!AP36/1000</f>
        <v>11365.901</v>
      </c>
      <c r="DO35" s="100">
        <f t="shared" si="19"/>
        <v>89570.024532025476</v>
      </c>
      <c r="DP35" s="100">
        <f>DO35/'a8'!AM$39*100</f>
        <v>91491.342729341646</v>
      </c>
      <c r="DQ35" s="99">
        <v>95.5</v>
      </c>
      <c r="DR35" s="100">
        <f>(DQ35)*a14a!$E$39/1000000</f>
        <v>8.5392545963114639</v>
      </c>
      <c r="DS35" s="99">
        <v>188.8</v>
      </c>
      <c r="DT35" s="100">
        <f>(DS35)*a14a!$F$39/1000000</f>
        <v>21.10224172491629</v>
      </c>
      <c r="DU35" s="99">
        <v>164.9</v>
      </c>
      <c r="DV35" s="99">
        <f>(DU35)*a14a!$G$39/1000000</f>
        <v>22.117116485839169</v>
      </c>
      <c r="DW35" s="99">
        <v>71.2</v>
      </c>
      <c r="DX35" s="99">
        <f>(DW35)*a14a!$H$39/1000000</f>
        <v>10.776917369862804</v>
      </c>
      <c r="DY35" s="99">
        <v>215.3</v>
      </c>
      <c r="DZ35" s="99">
        <f>(DY35)*a14a!$I$39/1000000</f>
        <v>36.189773458257193</v>
      </c>
      <c r="EA35" s="99">
        <v>109.6</v>
      </c>
      <c r="EB35" s="99">
        <f>(EA35)*a14a!$J$39/1000000</f>
        <v>24.284983427540602</v>
      </c>
      <c r="EC35" s="99">
        <v>845.3</v>
      </c>
      <c r="ED35" s="99">
        <f t="shared" si="20"/>
        <v>123.01028706272751</v>
      </c>
      <c r="EE35" s="99">
        <f>'a1'!AV36/1000</f>
        <v>1137.489</v>
      </c>
      <c r="EF35" s="100">
        <f t="shared" si="21"/>
        <v>108141.95747187665</v>
      </c>
      <c r="EG35" s="100">
        <f>EF35/'a8'!AS$39*100</f>
        <v>110687.776327407</v>
      </c>
      <c r="EH35" s="99">
        <v>91</v>
      </c>
      <c r="EI35" s="100">
        <f>(EH35)*a14a!$E$44/1000000</f>
        <v>7.2598312320974285</v>
      </c>
      <c r="EJ35" s="99">
        <v>161.9</v>
      </c>
      <c r="EK35" s="100">
        <f>(EJ35)*a14a!$F$44/1000000</f>
        <v>16.145146654897992</v>
      </c>
      <c r="EL35" s="99">
        <v>145.4</v>
      </c>
      <c r="EM35" s="99">
        <f>(EL35)*a14a!$G$44/1000000</f>
        <v>17.399661447477463</v>
      </c>
      <c r="EN35" s="99">
        <v>75.3</v>
      </c>
      <c r="EO35" s="99">
        <f>(EN35)*a14a!$H$44/1000000</f>
        <v>11.518352857989351</v>
      </c>
      <c r="EP35" s="99">
        <v>195.8</v>
      </c>
      <c r="EQ35" s="99">
        <f>(EP35)*a14a!$I$44/1000000</f>
        <v>32.197680424376522</v>
      </c>
      <c r="ER35" s="99">
        <v>78.8</v>
      </c>
      <c r="ES35" s="99">
        <f>(ER35)*a14a!$J$44/1000000</f>
        <v>26.848616238301005</v>
      </c>
      <c r="ET35" s="99">
        <v>748.3</v>
      </c>
      <c r="EU35" s="99">
        <f t="shared" si="22"/>
        <v>111.36928885513976</v>
      </c>
      <c r="EV35" s="99">
        <f>'a1'!BB36/1000</f>
        <v>1017.332</v>
      </c>
      <c r="EW35" s="100">
        <f t="shared" si="23"/>
        <v>109471.9215115024</v>
      </c>
      <c r="EX35" s="100">
        <f>EW35/'a8'!AY$39*100</f>
        <v>113914.59054266638</v>
      </c>
      <c r="EY35" s="99">
        <v>128.5</v>
      </c>
      <c r="EZ35" s="100">
        <f>(EY35)*a14a!$E$49/1000000</f>
        <v>8.6827155966087091</v>
      </c>
      <c r="FA35" s="99">
        <v>424.7</v>
      </c>
      <c r="FB35" s="100">
        <f>(FA35)*a14a!$F$49/1000000</f>
        <v>35.871102275094543</v>
      </c>
      <c r="FC35" s="99">
        <v>461</v>
      </c>
      <c r="FD35" s="99">
        <f>(FC35)*a14a!$G$49/1000000</f>
        <v>46.724496770855431</v>
      </c>
      <c r="FE35" s="99">
        <v>214.9</v>
      </c>
      <c r="FF35" s="99">
        <f>(FE35)*a14a!$H$49/1000000</f>
        <v>25.295181512624652</v>
      </c>
      <c r="FG35" s="99">
        <v>669.3</v>
      </c>
      <c r="FH35" s="99">
        <f>(FG35)*a14a!$I$49/1000000</f>
        <v>81.17673656923057</v>
      </c>
      <c r="FI35" s="99">
        <v>302.5</v>
      </c>
      <c r="FJ35" s="99">
        <f>(FI35)*a14a!$J$49/1000000</f>
        <v>65.051781627023331</v>
      </c>
      <c r="FK35" s="99">
        <v>2201</v>
      </c>
      <c r="FL35" s="99">
        <f t="shared" si="24"/>
        <v>262.80201435143726</v>
      </c>
      <c r="FM35" s="99">
        <f>'a1'!BH36/1000</f>
        <v>2899.0659999999998</v>
      </c>
      <c r="FN35" s="100">
        <f t="shared" si="25"/>
        <v>90650.579997639681</v>
      </c>
      <c r="FO35" s="100">
        <f>FN35/'a8'!BE$39*100</f>
        <v>88353.391810564994</v>
      </c>
      <c r="FP35" s="99">
        <v>201.1</v>
      </c>
      <c r="FQ35" s="100">
        <f>(FP35)*a14a!$E$54/1000000</f>
        <v>15.670203469657086</v>
      </c>
      <c r="FR35" s="99">
        <v>559.29999999999995</v>
      </c>
      <c r="FS35" s="100">
        <f>(FR35)*a14a!$F$54/1000000</f>
        <v>54.477528596340171</v>
      </c>
      <c r="FT35" s="99">
        <v>693.9</v>
      </c>
      <c r="FU35" s="99">
        <f>(FT35)*a14a!$G$54/1000000</f>
        <v>81.105575740390748</v>
      </c>
      <c r="FV35" s="99">
        <v>349.9</v>
      </c>
      <c r="FW35" s="99">
        <f>(FV35)*a14a!$H$54/1000000</f>
        <v>47.260510580474346</v>
      </c>
      <c r="FX35" s="99">
        <v>874.3</v>
      </c>
      <c r="FY35" s="99">
        <f>(FX35)*a14a!$I$54/1000000</f>
        <v>123.07637985235066</v>
      </c>
      <c r="FZ35" s="99">
        <v>460</v>
      </c>
      <c r="GA35" s="99">
        <f>(FZ35)*a14a!$J$54/1000000</f>
        <v>109.94645945915462</v>
      </c>
      <c r="GB35" s="99">
        <v>3138.5</v>
      </c>
      <c r="GC35" s="99">
        <f t="shared" si="26"/>
        <v>431.53665769836766</v>
      </c>
      <c r="GD35" s="99">
        <f>'a1'!BN36/1000</f>
        <v>3983.1129999999998</v>
      </c>
      <c r="GE35" s="100">
        <f t="shared" si="27"/>
        <v>108341.55538604295</v>
      </c>
      <c r="GF35" s="100">
        <f>GE35/'a8'!BK$39*100</f>
        <v>108233.32206397897</v>
      </c>
    </row>
    <row r="36" spans="1:188" s="26" customFormat="1" ht="16.5" customHeight="1">
      <c r="A36" s="202">
        <v>1999</v>
      </c>
      <c r="B36" s="99">
        <v>2584.6</v>
      </c>
      <c r="C36" s="168">
        <f>B36*a14a!$E$4/1000000</f>
        <v>182.8243336931514</v>
      </c>
      <c r="D36" s="99">
        <v>4393.1000000000004</v>
      </c>
      <c r="E36" s="168">
        <f>D36*a14a!$F$4/1000000</f>
        <v>388.43804667423564</v>
      </c>
      <c r="F36" s="99">
        <v>4567.6000000000004</v>
      </c>
      <c r="G36" s="99">
        <f>F36*a14a!$G$4/1000000</f>
        <v>484.6408109050754</v>
      </c>
      <c r="H36" s="99">
        <v>2115.5</v>
      </c>
      <c r="I36" s="168">
        <f>H36*a14a!$H$4/1000000</f>
        <v>258.05820043871211</v>
      </c>
      <c r="J36" s="99">
        <v>6594.2</v>
      </c>
      <c r="K36" s="168">
        <f>J36*a14a!$I$4/1000000</f>
        <v>863.30647955278573</v>
      </c>
      <c r="L36" s="99">
        <v>3526.5</v>
      </c>
      <c r="M36" s="168">
        <f>L36*a14a!$J$4/1000000</f>
        <v>715.42473585037567</v>
      </c>
      <c r="N36" s="183">
        <v>23781.4</v>
      </c>
      <c r="O36" s="99">
        <f t="shared" si="28"/>
        <v>2892.6926071143362</v>
      </c>
      <c r="P36" s="168">
        <f>'a1'!F37/1000</f>
        <v>30401.286</v>
      </c>
      <c r="Q36" s="100">
        <f t="shared" si="5"/>
        <v>95150.336966480172</v>
      </c>
      <c r="R36" s="168">
        <f>Q36/'a8'!C$39*100</f>
        <v>96208.631917573468</v>
      </c>
      <c r="S36" s="99">
        <v>70.5</v>
      </c>
      <c r="T36" s="100">
        <f>(S36)*a14a!$E$9/1000000</f>
        <v>4.7933724699831997</v>
      </c>
      <c r="U36" s="99">
        <v>97.5</v>
      </c>
      <c r="V36" s="100">
        <f>(U36)*a14a!$F$9/1000000</f>
        <v>8.2864151741730829</v>
      </c>
      <c r="W36" s="99">
        <v>63.5</v>
      </c>
      <c r="X36" s="99">
        <f>(W36)*a14a!$G$9/1000000</f>
        <v>6.4761521668921951</v>
      </c>
      <c r="Y36" s="99">
        <v>35</v>
      </c>
      <c r="Z36" s="99">
        <f>(Y36)*a14a!$H$9/1000000</f>
        <v>4.3491909653239249</v>
      </c>
      <c r="AA36" s="99">
        <v>127.4</v>
      </c>
      <c r="AB36" s="99">
        <f>(AA36)*a14a!$I$9/1000000</f>
        <v>18.856374467167406</v>
      </c>
      <c r="AC36" s="99">
        <v>37.4</v>
      </c>
      <c r="AD36" s="99">
        <f>(AC36)*a14a!$J$9/1000000</f>
        <v>7.8423958763719845</v>
      </c>
      <c r="AE36" s="99">
        <v>431.2</v>
      </c>
      <c r="AF36" s="99">
        <f t="shared" si="8"/>
        <v>50.603901119911797</v>
      </c>
      <c r="AG36" s="99">
        <f>'a1'!L37/1000</f>
        <v>533.32899999999995</v>
      </c>
      <c r="AH36" s="100">
        <f t="shared" si="9"/>
        <v>94883.085524904513</v>
      </c>
      <c r="AI36" s="100">
        <f>AH36/'a8'!I$39*100</f>
        <v>95264.142093277638</v>
      </c>
      <c r="AJ36" s="99">
        <v>13.4</v>
      </c>
      <c r="AK36" s="100">
        <f>(AJ36)*a14a!$E$14/1000000</f>
        <v>0.75386104091586115</v>
      </c>
      <c r="AL36" s="99">
        <v>26.1</v>
      </c>
      <c r="AM36" s="100">
        <f>(AL36)*a14a!$F$14/1000000</f>
        <v>1.8354266014835803</v>
      </c>
      <c r="AN36" s="99">
        <v>17.100000000000001</v>
      </c>
      <c r="AO36" s="99">
        <f>(AN36)*a14a!$G$14/1000000</f>
        <v>1.4430250522008836</v>
      </c>
      <c r="AP36" s="99">
        <v>7.7</v>
      </c>
      <c r="AQ36" s="99">
        <f>(AP36)*a14a!$H$14/1000000</f>
        <v>0.83689723914605108</v>
      </c>
      <c r="AR36" s="99">
        <v>30.1</v>
      </c>
      <c r="AS36" s="99">
        <f>(AR36)*a14a!$I$14/1000000</f>
        <v>4.2884602138128667</v>
      </c>
      <c r="AT36" s="99">
        <v>11.9</v>
      </c>
      <c r="AU36" s="99">
        <f>(AT36)*a14a!$J$14/1000000</f>
        <v>2.1679043189077811</v>
      </c>
      <c r="AV36" s="99">
        <v>106.3</v>
      </c>
      <c r="AW36" s="99">
        <f t="shared" si="10"/>
        <v>11.325574466467025</v>
      </c>
      <c r="AX36" s="99">
        <f>'a1'!R37/1000</f>
        <v>136.28100000000001</v>
      </c>
      <c r="AY36" s="100">
        <f t="shared" si="11"/>
        <v>83104.574126011867</v>
      </c>
      <c r="AZ36" s="100">
        <f>AY36/'a8'!O$39*100</f>
        <v>85586.585093730042</v>
      </c>
      <c r="BA36" s="99">
        <v>75.8</v>
      </c>
      <c r="BB36" s="100">
        <f>(BA36)*a14a!$E$19/1000000</f>
        <v>4.5131998182618043</v>
      </c>
      <c r="BC36" s="99">
        <v>166.7</v>
      </c>
      <c r="BD36" s="100">
        <f>(BC36)*a14a!$F$19/1000000</f>
        <v>12.406833933117458</v>
      </c>
      <c r="BE36" s="99">
        <v>106.1</v>
      </c>
      <c r="BF36" s="99">
        <f>(BE36)*a14a!$G$19/1000000</f>
        <v>9.4759333915087858</v>
      </c>
      <c r="BG36" s="99">
        <v>57.3</v>
      </c>
      <c r="BH36" s="99">
        <f>(BG36)*a14a!$H$19/1000000</f>
        <v>6.0558979979678504</v>
      </c>
      <c r="BI36" s="99">
        <v>233.7</v>
      </c>
      <c r="BJ36" s="99">
        <f>(BI36)*a14a!$I$19/1000000</f>
        <v>27.720874867520283</v>
      </c>
      <c r="BK36" s="99">
        <v>95.3</v>
      </c>
      <c r="BL36" s="99">
        <f>(BK36)*a14a!$J$19/1000000</f>
        <v>17.135763504919286</v>
      </c>
      <c r="BM36" s="99">
        <v>734.9</v>
      </c>
      <c r="BN36" s="99">
        <f t="shared" si="12"/>
        <v>77.308503513295463</v>
      </c>
      <c r="BO36" s="99">
        <f>'a1'!X37/1000</f>
        <v>933.78399999999999</v>
      </c>
      <c r="BP36" s="100">
        <f t="shared" si="13"/>
        <v>82790.563463601284</v>
      </c>
      <c r="BQ36" s="100">
        <f>BP36/'a8'!U$39*100</f>
        <v>83206.596445830437</v>
      </c>
      <c r="BR36" s="99">
        <v>90.4</v>
      </c>
      <c r="BS36" s="100">
        <f>(BR36)*a14a!$E$24/1000000</f>
        <v>5.5783239445421522</v>
      </c>
      <c r="BT36" s="99">
        <v>114</v>
      </c>
      <c r="BU36" s="100">
        <f>(BT36)*a14a!$F$24/1000000</f>
        <v>8.7932650674475283</v>
      </c>
      <c r="BV36" s="99">
        <v>121.9</v>
      </c>
      <c r="BW36" s="99">
        <f>(BV36)*a14a!$G$24/1000000</f>
        <v>11.283147491808986</v>
      </c>
      <c r="BX36" s="99">
        <v>37.799999999999997</v>
      </c>
      <c r="BY36" s="99">
        <f>(BX36)*a14a!$H$24/1000000</f>
        <v>4.378943884297513</v>
      </c>
      <c r="BZ36" s="99">
        <v>165</v>
      </c>
      <c r="CA36" s="99">
        <f>(BZ36)*a14a!$I$24/1000000</f>
        <v>24.709270812975717</v>
      </c>
      <c r="CB36" s="99">
        <v>66.599999999999994</v>
      </c>
      <c r="CC36" s="99">
        <f>(CB36)*a14a!$J$24/1000000</f>
        <v>12.149399768851536</v>
      </c>
      <c r="CD36" s="99">
        <v>595.79999999999995</v>
      </c>
      <c r="CE36" s="99">
        <f t="shared" si="14"/>
        <v>66.892350969923427</v>
      </c>
      <c r="CF36" s="99">
        <f>'a1'!AD37/1000</f>
        <v>750.601</v>
      </c>
      <c r="CG36" s="100">
        <f t="shared" si="15"/>
        <v>89118.387758507422</v>
      </c>
      <c r="CH36" s="100">
        <f>CG36/'a8'!AA$39*100</f>
        <v>87199.98802202291</v>
      </c>
      <c r="CI36" s="99">
        <v>983.2</v>
      </c>
      <c r="CJ36" s="100">
        <f>(CI36)*a14a!$E$29/1000000</f>
        <v>70.826885195206799</v>
      </c>
      <c r="CK36" s="99">
        <v>979.1</v>
      </c>
      <c r="CL36" s="100">
        <f>(CK36)*a14a!$F$29/1000000</f>
        <v>88.164416312330886</v>
      </c>
      <c r="CM36" s="100">
        <v>912.4</v>
      </c>
      <c r="CN36" s="99">
        <f>(CM36)*a14a!$G$29/1000000</f>
        <v>98.589986857363741</v>
      </c>
      <c r="CO36" s="100">
        <v>437.3</v>
      </c>
      <c r="CP36" s="99">
        <f>(CO36)*a14a!$H$29/1000000</f>
        <v>54.61128568430118</v>
      </c>
      <c r="CQ36" s="99">
        <v>1710.8</v>
      </c>
      <c r="CR36" s="99">
        <f>(CQ36)*a14a!$I$29/1000000</f>
        <v>233.90623460691452</v>
      </c>
      <c r="CS36" s="99">
        <v>821.7</v>
      </c>
      <c r="CT36" s="99">
        <f>(CS36)*a14a!$J$29/1000000</f>
        <v>168.16811434420941</v>
      </c>
      <c r="CU36" s="99">
        <v>5844.6</v>
      </c>
      <c r="CV36" s="99">
        <f t="shared" si="16"/>
        <v>714.26692300032641</v>
      </c>
      <c r="CW36" s="99">
        <f>'a1'!AJ37/1000</f>
        <v>7323.25</v>
      </c>
      <c r="CX36" s="100">
        <f t="shared" si="17"/>
        <v>97534.144403144281</v>
      </c>
      <c r="CY36" s="100">
        <f>CX36/'a8'!AG$39*100</f>
        <v>99321.939310737565</v>
      </c>
      <c r="CZ36" s="99">
        <v>835.3</v>
      </c>
      <c r="DA36" s="100">
        <f>(CZ36)*a14a!$E$34/1000000</f>
        <v>56.315832775287042</v>
      </c>
      <c r="DB36" s="99">
        <v>1648.1</v>
      </c>
      <c r="DC36" s="100">
        <f>(DB36)*a14a!$F$34/1000000</f>
        <v>138.89339757714379</v>
      </c>
      <c r="DD36" s="99">
        <v>1876.1</v>
      </c>
      <c r="DE36" s="99">
        <f>(DD36)*a14a!$G$34/1000000</f>
        <v>189.72967892323001</v>
      </c>
      <c r="DF36" s="99">
        <v>825.8</v>
      </c>
      <c r="DG36" s="99">
        <f>(DF36)*a14a!$H$34/1000000</f>
        <v>94.63152216828199</v>
      </c>
      <c r="DH36" s="99">
        <v>2357.5</v>
      </c>
      <c r="DI36" s="99">
        <f>(DH36)*a14a!$I$34/1000000</f>
        <v>287.50353583531756</v>
      </c>
      <c r="DJ36" s="99">
        <v>1499.6</v>
      </c>
      <c r="DK36" s="99">
        <f>(DJ36)*a14a!$J$34/1000000</f>
        <v>275.49426208839975</v>
      </c>
      <c r="DL36" s="99">
        <v>9042.2999999999993</v>
      </c>
      <c r="DM36" s="99">
        <f t="shared" si="18"/>
        <v>1042.56822936766</v>
      </c>
      <c r="DN36" s="99">
        <f>'a1'!AP37/1000</f>
        <v>11504.759</v>
      </c>
      <c r="DO36" s="100">
        <f t="shared" si="19"/>
        <v>90620.60573086841</v>
      </c>
      <c r="DP36" s="100">
        <f>DO36/'a8'!AM$39*100</f>
        <v>92564.459377802254</v>
      </c>
      <c r="DQ36" s="99">
        <v>93.3</v>
      </c>
      <c r="DR36" s="100">
        <f>(DQ36)*a14a!$E$39/1000000</f>
        <v>8.342538783621567</v>
      </c>
      <c r="DS36" s="99">
        <v>190.4</v>
      </c>
      <c r="DT36" s="100">
        <f>(DS36)*a14a!$F$39/1000000</f>
        <v>21.281074281907102</v>
      </c>
      <c r="DU36" s="99">
        <v>161.30000000000001</v>
      </c>
      <c r="DV36" s="99">
        <f>(DU36)*a14a!$G$39/1000000</f>
        <v>21.634268581963966</v>
      </c>
      <c r="DW36" s="99">
        <v>70.8</v>
      </c>
      <c r="DX36" s="99">
        <f>(DW36)*a14a!$H$39/1000000</f>
        <v>10.716372890256833</v>
      </c>
      <c r="DY36" s="99">
        <v>224.8</v>
      </c>
      <c r="DZ36" s="99">
        <f>(DY36)*a14a!$I$39/1000000</f>
        <v>37.78662830197964</v>
      </c>
      <c r="EA36" s="99">
        <v>109.6</v>
      </c>
      <c r="EB36" s="99">
        <f>(EA36)*a14a!$J$39/1000000</f>
        <v>24.284983427540602</v>
      </c>
      <c r="EC36" s="99">
        <v>850.3</v>
      </c>
      <c r="ED36" s="99">
        <f t="shared" si="20"/>
        <v>124.0458662672697</v>
      </c>
      <c r="EE36" s="99">
        <f>'a1'!AV37/1000</f>
        <v>1142.4480000000001</v>
      </c>
      <c r="EF36" s="100">
        <f t="shared" si="21"/>
        <v>108579.00426738871</v>
      </c>
      <c r="EG36" s="100">
        <f>EF36/'a8'!AS$39*100</f>
        <v>111135.11183970183</v>
      </c>
      <c r="EH36" s="99">
        <v>88.2</v>
      </c>
      <c r="EI36" s="100">
        <f>(EH36)*a14a!$E$44/1000000</f>
        <v>7.0364518095713535</v>
      </c>
      <c r="EJ36" s="99">
        <v>165.7</v>
      </c>
      <c r="EK36" s="100">
        <f>(EJ36)*a14a!$F$44/1000000</f>
        <v>16.524093889540438</v>
      </c>
      <c r="EL36" s="99">
        <v>143.5</v>
      </c>
      <c r="EM36" s="99">
        <f>(EL36)*a14a!$G$44/1000000</f>
        <v>17.172293106691995</v>
      </c>
      <c r="EN36" s="99">
        <v>75.599999999999994</v>
      </c>
      <c r="EO36" s="99">
        <f>(EN36)*a14a!$H$44/1000000</f>
        <v>11.564242710013211</v>
      </c>
      <c r="EP36" s="99">
        <v>193.2</v>
      </c>
      <c r="EQ36" s="99">
        <f>(EP36)*a14a!$I$44/1000000</f>
        <v>31.77013206327652</v>
      </c>
      <c r="ER36" s="99">
        <v>82.4</v>
      </c>
      <c r="ES36" s="99">
        <f>(ER36)*a14a!$J$44/1000000</f>
        <v>28.075202766954352</v>
      </c>
      <c r="ET36" s="99">
        <v>748.6</v>
      </c>
      <c r="EU36" s="99">
        <f t="shared" si="22"/>
        <v>112.14241634604787</v>
      </c>
      <c r="EV36" s="99">
        <f>'a1'!BB37/1000</f>
        <v>1014.524</v>
      </c>
      <c r="EW36" s="100">
        <f t="shared" si="23"/>
        <v>110536.97728791814</v>
      </c>
      <c r="EX36" s="100">
        <f>EW36/'a8'!AY$39*100</f>
        <v>115022.86918617913</v>
      </c>
      <c r="EY36" s="99">
        <v>138.1</v>
      </c>
      <c r="EZ36" s="100">
        <f>(EY36)*a14a!$E$49/1000000</f>
        <v>9.3313853999351188</v>
      </c>
      <c r="FA36" s="99">
        <v>439.2</v>
      </c>
      <c r="FB36" s="100">
        <f>(FA36)*a14a!$F$49/1000000</f>
        <v>37.095804377729046</v>
      </c>
      <c r="FC36" s="99">
        <v>462.3</v>
      </c>
      <c r="FD36" s="99">
        <f>(FC36)*a14a!$G$49/1000000</f>
        <v>46.856257824656112</v>
      </c>
      <c r="FE36" s="99">
        <v>228.9</v>
      </c>
      <c r="FF36" s="99">
        <f>(FE36)*a14a!$H$49/1000000</f>
        <v>26.94307607370769</v>
      </c>
      <c r="FG36" s="99">
        <v>666.1</v>
      </c>
      <c r="FH36" s="99">
        <f>(FG36)*a14a!$I$49/1000000</f>
        <v>80.788621289054959</v>
      </c>
      <c r="FI36" s="99">
        <v>320</v>
      </c>
      <c r="FJ36" s="99">
        <f>(FI36)*a14a!$J$49/1000000</f>
        <v>68.815107836851126</v>
      </c>
      <c r="FK36" s="99">
        <v>2254.6</v>
      </c>
      <c r="FL36" s="99">
        <f t="shared" si="24"/>
        <v>269.83025280193408</v>
      </c>
      <c r="FM36" s="99">
        <f>'a1'!BH37/1000</f>
        <v>2952.692</v>
      </c>
      <c r="FN36" s="100">
        <f t="shared" si="25"/>
        <v>91384.490086312449</v>
      </c>
      <c r="FO36" s="100">
        <f>FN36/'a8'!BE$39*100</f>
        <v>89068.703787828912</v>
      </c>
      <c r="FP36" s="99">
        <v>196.4</v>
      </c>
      <c r="FQ36" s="100">
        <f>(FP36)*a14a!$E$54/1000000</f>
        <v>15.303967983295136</v>
      </c>
      <c r="FR36" s="99">
        <v>566.29999999999995</v>
      </c>
      <c r="FS36" s="100">
        <f>(FR36)*a14a!$F$54/1000000</f>
        <v>55.159349980524659</v>
      </c>
      <c r="FT36" s="99">
        <v>703.3</v>
      </c>
      <c r="FU36" s="99">
        <f>(FT36)*a14a!$G$54/1000000</f>
        <v>82.204282199476594</v>
      </c>
      <c r="FV36" s="99">
        <v>339.4</v>
      </c>
      <c r="FW36" s="99">
        <f>(FV36)*a14a!$H$54/1000000</f>
        <v>45.84229005719633</v>
      </c>
      <c r="FX36" s="99">
        <v>885.5</v>
      </c>
      <c r="FY36" s="99">
        <f>(FX36)*a14a!$I$54/1000000</f>
        <v>124.65301882563938</v>
      </c>
      <c r="FZ36" s="99">
        <v>482</v>
      </c>
      <c r="GA36" s="99">
        <f>(FZ36)*a14a!$J$54/1000000</f>
        <v>115.20476838980984</v>
      </c>
      <c r="GB36" s="99">
        <v>3172.8</v>
      </c>
      <c r="GC36" s="99">
        <f t="shared" si="26"/>
        <v>438.36767743594191</v>
      </c>
      <c r="GD36" s="99">
        <f>'a1'!BN37/1000</f>
        <v>4011.375</v>
      </c>
      <c r="GE36" s="100">
        <f t="shared" si="27"/>
        <v>109281.15108558584</v>
      </c>
      <c r="GF36" s="100">
        <f>GE36/'a8'!BK$39*100</f>
        <v>109171.97910647935</v>
      </c>
    </row>
    <row r="37" spans="1:188" s="26" customFormat="1" ht="16.5" customHeight="1">
      <c r="A37" s="202">
        <v>2000</v>
      </c>
      <c r="B37" s="99">
        <v>2498.8000000000002</v>
      </c>
      <c r="C37" s="168">
        <f>B37*a14a!$E$4/1000000</f>
        <v>176.75518263268856</v>
      </c>
      <c r="D37" s="99">
        <v>4291</v>
      </c>
      <c r="E37" s="168">
        <f>D37*a14a!$F$4/1000000</f>
        <v>379.41036131186291</v>
      </c>
      <c r="F37" s="99">
        <v>4717.3</v>
      </c>
      <c r="G37" s="99">
        <f>F37*a14a!$G$4/1000000</f>
        <v>500.52458562100708</v>
      </c>
      <c r="H37" s="99">
        <v>2275</v>
      </c>
      <c r="I37" s="168">
        <f>H37*a14a!$H$4/1000000</f>
        <v>277.51472748667931</v>
      </c>
      <c r="J37" s="99">
        <v>6581.4</v>
      </c>
      <c r="K37" s="168">
        <f>J37*a14a!$I$4/1000000</f>
        <v>861.63071555741465</v>
      </c>
      <c r="L37" s="99">
        <v>3726.3</v>
      </c>
      <c r="M37" s="168">
        <f>L37*a14a!$J$4/1000000</f>
        <v>755.95837039536514</v>
      </c>
      <c r="N37" s="183">
        <v>24089.7</v>
      </c>
      <c r="O37" s="99">
        <f t="shared" si="28"/>
        <v>2951.7939430050174</v>
      </c>
      <c r="P37" s="168">
        <f>'a1'!F38/1000</f>
        <v>30685.73</v>
      </c>
      <c r="Q37" s="100">
        <f t="shared" si="5"/>
        <v>96194.352977915711</v>
      </c>
      <c r="R37" s="168">
        <f>Q37/'a8'!C$39*100</f>
        <v>97264.259836112949</v>
      </c>
      <c r="S37" s="99">
        <v>67.599999999999994</v>
      </c>
      <c r="T37" s="100">
        <f>(S37)*a14a!$E$9/1000000</f>
        <v>4.5961982832746697</v>
      </c>
      <c r="U37" s="99">
        <v>94</v>
      </c>
      <c r="V37" s="100">
        <f>(U37)*a14a!$F$9/1000000</f>
        <v>7.9889541166386655</v>
      </c>
      <c r="W37" s="99">
        <v>65.8</v>
      </c>
      <c r="X37" s="99">
        <f>(W37)*a14a!$G$9/1000000</f>
        <v>6.7107214579764793</v>
      </c>
      <c r="Y37" s="99">
        <v>35.299999999999997</v>
      </c>
      <c r="Z37" s="99">
        <f>(Y37)*a14a!$H$9/1000000</f>
        <v>4.3864697450267007</v>
      </c>
      <c r="AA37" s="99">
        <v>128.6</v>
      </c>
      <c r="AB37" s="99">
        <f>(AA37)*a14a!$I$9/1000000</f>
        <v>19.033985529652497</v>
      </c>
      <c r="AC37" s="99">
        <v>38.1</v>
      </c>
      <c r="AD37" s="99">
        <f>(AC37)*a14a!$J$9/1000000</f>
        <v>7.9891786868923154</v>
      </c>
      <c r="AE37" s="99">
        <v>429.3</v>
      </c>
      <c r="AF37" s="99">
        <f t="shared" si="8"/>
        <v>50.705507819461332</v>
      </c>
      <c r="AG37" s="99">
        <f>'a1'!L38/1000</f>
        <v>527.96600000000001</v>
      </c>
      <c r="AH37" s="100">
        <f t="shared" si="9"/>
        <v>96039.343100618848</v>
      </c>
      <c r="AI37" s="100">
        <f>AH37/'a8'!I$39*100</f>
        <v>96425.043273713702</v>
      </c>
      <c r="AJ37" s="99">
        <v>12.7</v>
      </c>
      <c r="AK37" s="100">
        <f>(AJ37)*a14a!$E$14/1000000</f>
        <v>0.71448024027100276</v>
      </c>
      <c r="AL37" s="99">
        <v>25.7</v>
      </c>
      <c r="AM37" s="100">
        <f>(AL37)*a14a!$F$14/1000000</f>
        <v>1.8072974581658239</v>
      </c>
      <c r="AN37" s="99">
        <v>17.7</v>
      </c>
      <c r="AO37" s="99">
        <f>(AN37)*a14a!$G$14/1000000</f>
        <v>1.4936575101728444</v>
      </c>
      <c r="AP37" s="99">
        <v>8.6999999999999993</v>
      </c>
      <c r="AQ37" s="99">
        <f>(AP37)*a14a!$H$14/1000000</f>
        <v>0.94558519228190185</v>
      </c>
      <c r="AR37" s="99">
        <v>31</v>
      </c>
      <c r="AS37" s="99">
        <f>(AR37)*a14a!$I$14/1000000</f>
        <v>4.4166865989434827</v>
      </c>
      <c r="AT37" s="99">
        <v>11.1</v>
      </c>
      <c r="AU37" s="99">
        <f>(AT37)*a14a!$J$14/1000000</f>
        <v>2.0221628520904509</v>
      </c>
      <c r="AV37" s="99">
        <v>106.9</v>
      </c>
      <c r="AW37" s="99">
        <f t="shared" si="10"/>
        <v>11.399869851925507</v>
      </c>
      <c r="AX37" s="99">
        <f>'a1'!R38/1000</f>
        <v>136.47</v>
      </c>
      <c r="AY37" s="100">
        <f t="shared" si="11"/>
        <v>83533.889147252194</v>
      </c>
      <c r="AZ37" s="100">
        <f>AY37/'a8'!O$39*100</f>
        <v>86028.722087798349</v>
      </c>
      <c r="BA37" s="99">
        <v>70.2</v>
      </c>
      <c r="BB37" s="100">
        <f>(BA37)*a14a!$E$19/1000000</f>
        <v>4.1797708079416704</v>
      </c>
      <c r="BC37" s="99">
        <v>165.6</v>
      </c>
      <c r="BD37" s="100">
        <f>(BC37)*a14a!$F$19/1000000</f>
        <v>12.324965202904927</v>
      </c>
      <c r="BE37" s="99">
        <v>109.3</v>
      </c>
      <c r="BF37" s="99">
        <f>(BE37)*a14a!$G$19/1000000</f>
        <v>9.7617296860689002</v>
      </c>
      <c r="BG37" s="99">
        <v>61.6</v>
      </c>
      <c r="BH37" s="99">
        <f>(BG37)*a14a!$H$19/1000000</f>
        <v>6.5103545667507792</v>
      </c>
      <c r="BI37" s="99">
        <v>229.8</v>
      </c>
      <c r="BJ37" s="99">
        <f>(BI37)*a14a!$I$19/1000000</f>
        <v>27.258267199641256</v>
      </c>
      <c r="BK37" s="99">
        <v>102.7</v>
      </c>
      <c r="BL37" s="99">
        <f>(BK37)*a14a!$J$19/1000000</f>
        <v>18.466347449687419</v>
      </c>
      <c r="BM37" s="99">
        <v>739.1</v>
      </c>
      <c r="BN37" s="99">
        <f t="shared" si="12"/>
        <v>78.501434912994952</v>
      </c>
      <c r="BO37" s="99">
        <f>'a1'!X38/1000</f>
        <v>933.82100000000003</v>
      </c>
      <c r="BP37" s="100">
        <f t="shared" si="13"/>
        <v>84064.756428689172</v>
      </c>
      <c r="BQ37" s="100">
        <f>BP37/'a8'!U$39*100</f>
        <v>84487.192390642376</v>
      </c>
      <c r="BR37" s="99">
        <v>88.9</v>
      </c>
      <c r="BS37" s="100">
        <f>(BR37)*a14a!$E$24/1000000</f>
        <v>5.4857632596216508</v>
      </c>
      <c r="BT37" s="99">
        <v>113.7</v>
      </c>
      <c r="BU37" s="100">
        <f>(BT37)*a14a!$F$24/1000000</f>
        <v>8.7701248962174034</v>
      </c>
      <c r="BV37" s="99">
        <v>119.7</v>
      </c>
      <c r="BW37" s="99">
        <f>(BV37)*a14a!$G$24/1000000</f>
        <v>11.079513984983885</v>
      </c>
      <c r="BX37" s="99">
        <v>43.2</v>
      </c>
      <c r="BY37" s="99">
        <f>(BX37)*a14a!$H$24/1000000</f>
        <v>5.0045072963400159</v>
      </c>
      <c r="BZ37" s="99">
        <v>167.7</v>
      </c>
      <c r="CA37" s="99">
        <f>(BZ37)*a14a!$I$24/1000000</f>
        <v>25.113604335369864</v>
      </c>
      <c r="CB37" s="99">
        <v>65</v>
      </c>
      <c r="CC37" s="99">
        <f>(CB37)*a14a!$J$24/1000000</f>
        <v>11.857522296927174</v>
      </c>
      <c r="CD37" s="99">
        <v>598.20000000000005</v>
      </c>
      <c r="CE37" s="99">
        <f t="shared" si="14"/>
        <v>67.311036069459988</v>
      </c>
      <c r="CF37" s="99">
        <f>'a1'!AD38/1000</f>
        <v>750.51700000000005</v>
      </c>
      <c r="CG37" s="100">
        <f t="shared" si="15"/>
        <v>89686.224388601433</v>
      </c>
      <c r="CH37" s="100">
        <f>CG37/'a8'!AA$39*100</f>
        <v>87755.601163015104</v>
      </c>
      <c r="CI37" s="99">
        <v>976.6</v>
      </c>
      <c r="CJ37" s="100">
        <f>(CI37)*a14a!$E$29/1000000</f>
        <v>70.351440278314655</v>
      </c>
      <c r="CK37" s="99">
        <v>952.4</v>
      </c>
      <c r="CL37" s="100">
        <f>(CK37)*a14a!$F$29/1000000</f>
        <v>85.760177812137599</v>
      </c>
      <c r="CM37" s="100">
        <v>921.6</v>
      </c>
      <c r="CN37" s="99">
        <f>(CM37)*a14a!$G$29/1000000</f>
        <v>99.584098956320076</v>
      </c>
      <c r="CO37" s="100">
        <v>471.4</v>
      </c>
      <c r="CP37" s="99">
        <f>(CO37)*a14a!$H$29/1000000</f>
        <v>58.869792068556087</v>
      </c>
      <c r="CQ37" s="99">
        <v>1725.3</v>
      </c>
      <c r="CR37" s="99">
        <f>(CQ37)*a14a!$I$29/1000000</f>
        <v>235.88872256681648</v>
      </c>
      <c r="CS37" s="99">
        <v>840.8</v>
      </c>
      <c r="CT37" s="99">
        <f>(CS37)*a14a!$J$29/1000000</f>
        <v>172.07709692176127</v>
      </c>
      <c r="CU37" s="99">
        <v>5888.2</v>
      </c>
      <c r="CV37" s="99">
        <f t="shared" si="16"/>
        <v>722.53132860390622</v>
      </c>
      <c r="CW37" s="99">
        <f>'a1'!AJ38/1000</f>
        <v>7356.951</v>
      </c>
      <c r="CX37" s="100">
        <f t="shared" si="17"/>
        <v>98210.70285827732</v>
      </c>
      <c r="CY37" s="100">
        <f>CX37/'a8'!AG$39*100</f>
        <v>100010.8990410156</v>
      </c>
      <c r="CZ37" s="99">
        <v>789.5</v>
      </c>
      <c r="DA37" s="100">
        <f>(CZ37)*a14a!$E$34/1000000</f>
        <v>53.228001886853967</v>
      </c>
      <c r="DB37" s="99">
        <v>1617.5</v>
      </c>
      <c r="DC37" s="100">
        <f>(DB37)*a14a!$F$34/1000000</f>
        <v>136.31458684608344</v>
      </c>
      <c r="DD37" s="99">
        <v>1932.1</v>
      </c>
      <c r="DE37" s="99">
        <f>(DD37)*a14a!$G$34/1000000</f>
        <v>195.39294954830379</v>
      </c>
      <c r="DF37" s="99">
        <v>896.9</v>
      </c>
      <c r="DG37" s="99">
        <f>(DF37)*a14a!$H$34/1000000</f>
        <v>102.77913808759037</v>
      </c>
      <c r="DH37" s="99">
        <v>2340.9</v>
      </c>
      <c r="DI37" s="99">
        <f>(DH37)*a14a!$I$34/1000000</f>
        <v>285.47912069433505</v>
      </c>
      <c r="DJ37" s="99">
        <v>1630.9</v>
      </c>
      <c r="DK37" s="99">
        <f>(DJ37)*a14a!$J$34/1000000</f>
        <v>299.61562552678799</v>
      </c>
      <c r="DL37" s="99">
        <v>9207.7999999999993</v>
      </c>
      <c r="DM37" s="99">
        <f t="shared" si="18"/>
        <v>1072.8094225899545</v>
      </c>
      <c r="DN37" s="99">
        <f>'a1'!AP38/1000</f>
        <v>11683.29</v>
      </c>
      <c r="DO37" s="100">
        <f t="shared" si="19"/>
        <v>91824.256916498212</v>
      </c>
      <c r="DP37" s="100">
        <f>DO37/'a8'!AM$39*100</f>
        <v>93793.929434625345</v>
      </c>
      <c r="DQ37" s="99">
        <v>85.2</v>
      </c>
      <c r="DR37" s="100">
        <f>(DQ37)*a14a!$E$39/1000000</f>
        <v>7.6182669278087616</v>
      </c>
      <c r="DS37" s="99">
        <v>185.8</v>
      </c>
      <c r="DT37" s="100">
        <f>(DS37)*a14a!$F$39/1000000</f>
        <v>20.766930680558509</v>
      </c>
      <c r="DU37" s="99">
        <v>176.1</v>
      </c>
      <c r="DV37" s="99">
        <f>(DU37)*a14a!$G$39/1000000</f>
        <v>23.619309964562021</v>
      </c>
      <c r="DW37" s="99">
        <v>74.2</v>
      </c>
      <c r="DX37" s="99">
        <f>(DW37)*a14a!$H$39/1000000</f>
        <v>11.231000966907585</v>
      </c>
      <c r="DY37" s="99">
        <v>215.1</v>
      </c>
      <c r="DZ37" s="99">
        <f>(DY37)*a14a!$I$39/1000000</f>
        <v>36.156155461547243</v>
      </c>
      <c r="EA37" s="99">
        <v>119.6</v>
      </c>
      <c r="EB37" s="99">
        <f>(EA37)*a14a!$J$39/1000000</f>
        <v>26.500766586987737</v>
      </c>
      <c r="EC37" s="99">
        <v>855.9</v>
      </c>
      <c r="ED37" s="99">
        <f t="shared" si="20"/>
        <v>125.89243058837187</v>
      </c>
      <c r="EE37" s="99">
        <f>'a1'!AV38/1000</f>
        <v>1147.3130000000001</v>
      </c>
      <c r="EF37" s="100">
        <f t="shared" si="21"/>
        <v>109728.06077188339</v>
      </c>
      <c r="EG37" s="100">
        <f>EF37/'a8'!AS$39*100</f>
        <v>112311.21880438423</v>
      </c>
      <c r="EH37" s="99">
        <v>81.2</v>
      </c>
      <c r="EI37" s="100">
        <f>(EH37)*a14a!$E$44/1000000</f>
        <v>6.4780032532561673</v>
      </c>
      <c r="EJ37" s="99">
        <v>160.69999999999999</v>
      </c>
      <c r="EK37" s="100">
        <f>(EJ37)*a14a!$F$44/1000000</f>
        <v>16.025479107116162</v>
      </c>
      <c r="EL37" s="99">
        <v>152.5</v>
      </c>
      <c r="EM37" s="99">
        <f>(EL37)*a14a!$G$44/1000000</f>
        <v>18.249301036728422</v>
      </c>
      <c r="EN37" s="99">
        <v>72.8</v>
      </c>
      <c r="EO37" s="99">
        <f>(EN37)*a14a!$H$44/1000000</f>
        <v>11.135937424457167</v>
      </c>
      <c r="EP37" s="99">
        <v>194.5</v>
      </c>
      <c r="EQ37" s="99">
        <f>(EP37)*a14a!$I$44/1000000</f>
        <v>31.983906243826524</v>
      </c>
      <c r="ER37" s="99">
        <v>85</v>
      </c>
      <c r="ES37" s="99">
        <f>(ER37)*a14a!$J$44/1000000</f>
        <v>28.961070815426211</v>
      </c>
      <c r="ET37" s="99">
        <v>746.7</v>
      </c>
      <c r="EU37" s="99">
        <f t="shared" si="22"/>
        <v>112.83369788081066</v>
      </c>
      <c r="EV37" s="99">
        <f>'a1'!BB38/1000</f>
        <v>1007.5650000000001</v>
      </c>
      <c r="EW37" s="100">
        <f t="shared" si="23"/>
        <v>111986.51985808426</v>
      </c>
      <c r="EX37" s="100">
        <f>EW37/'a8'!AY$39*100</f>
        <v>116531.23814576927</v>
      </c>
      <c r="EY37" s="99">
        <v>150.9</v>
      </c>
      <c r="EZ37" s="100">
        <f>(EY37)*a14a!$E$49/1000000</f>
        <v>10.196278471037001</v>
      </c>
      <c r="FA37" s="99">
        <v>421.1</v>
      </c>
      <c r="FB37" s="100">
        <f>(FA37)*a14a!$F$49/1000000</f>
        <v>35.567038304785299</v>
      </c>
      <c r="FC37" s="99">
        <v>488.1</v>
      </c>
      <c r="FD37" s="99">
        <f>(FC37)*a14a!$G$49/1000000</f>
        <v>49.471207969315699</v>
      </c>
      <c r="FE37" s="99">
        <v>244.1</v>
      </c>
      <c r="FF37" s="99">
        <f>(FE37)*a14a!$H$49/1000000</f>
        <v>28.732218740026415</v>
      </c>
      <c r="FG37" s="99">
        <v>678.7</v>
      </c>
      <c r="FH37" s="99">
        <f>(FG37)*a14a!$I$49/1000000</f>
        <v>82.316825204746436</v>
      </c>
      <c r="FI37" s="99">
        <v>323.89999999999998</v>
      </c>
      <c r="FJ37" s="99">
        <f>(FI37)*a14a!$J$49/1000000</f>
        <v>69.653791963612733</v>
      </c>
      <c r="FK37" s="99">
        <v>2306.9</v>
      </c>
      <c r="FL37" s="99">
        <f t="shared" si="24"/>
        <v>275.93736065352357</v>
      </c>
      <c r="FM37" s="99">
        <f>'a1'!BH38/1000</f>
        <v>3004.1979999999999</v>
      </c>
      <c r="FN37" s="100">
        <f t="shared" si="25"/>
        <v>91850.590624693708</v>
      </c>
      <c r="FO37" s="100">
        <f>FN37/'a8'!BE$39*100</f>
        <v>89522.99281159231</v>
      </c>
      <c r="FP37" s="99">
        <v>176.2</v>
      </c>
      <c r="FQ37" s="100">
        <f>(FP37)*a14a!$E$54/1000000</f>
        <v>13.729934616377813</v>
      </c>
      <c r="FR37" s="99">
        <v>554.5</v>
      </c>
      <c r="FS37" s="100">
        <f>(FR37)*a14a!$F$54/1000000</f>
        <v>54.009993932899391</v>
      </c>
      <c r="FT37" s="99">
        <v>734.3</v>
      </c>
      <c r="FU37" s="99">
        <f>(FT37)*a14a!$G$54/1000000</f>
        <v>85.827675841142693</v>
      </c>
      <c r="FV37" s="99">
        <v>366.9</v>
      </c>
      <c r="FW37" s="99">
        <f>(FV37)*a14a!$H$54/1000000</f>
        <v>49.556677141972102</v>
      </c>
      <c r="FX37" s="99">
        <v>869.8</v>
      </c>
      <c r="FY37" s="99">
        <f>(FX37)*a14a!$I$54/1000000</f>
        <v>122.44290883629715</v>
      </c>
      <c r="FZ37" s="99">
        <v>509</v>
      </c>
      <c r="GA37" s="99">
        <f>(FZ37)*a14a!$J$54/1000000</f>
        <v>121.65814753197762</v>
      </c>
      <c r="GB37" s="99">
        <v>3210.6</v>
      </c>
      <c r="GC37" s="99">
        <f t="shared" si="26"/>
        <v>447.22533790066677</v>
      </c>
      <c r="GD37" s="99">
        <f>'a1'!BN38/1000</f>
        <v>4039.23</v>
      </c>
      <c r="GE37" s="100">
        <f t="shared" si="27"/>
        <v>110720.44372334993</v>
      </c>
      <c r="GF37" s="100">
        <f>GE37/'a8'!BK$39*100</f>
        <v>110609.83388946047</v>
      </c>
    </row>
    <row r="38" spans="1:188" s="26" customFormat="1" ht="16.5" customHeight="1">
      <c r="A38" s="202">
        <v>2001</v>
      </c>
      <c r="B38" s="99">
        <v>2370</v>
      </c>
      <c r="C38" s="168">
        <f>B38*a14a!$E$4/1000000</f>
        <v>167.64438243935962</v>
      </c>
      <c r="D38" s="99">
        <v>4273.8999999999996</v>
      </c>
      <c r="E38" s="168">
        <f>D38*a14a!$F$4/1000000</f>
        <v>377.89837874872308</v>
      </c>
      <c r="F38" s="99">
        <v>4739.8</v>
      </c>
      <c r="G38" s="99">
        <f>F38*a14a!$G$4/1000000</f>
        <v>502.91192651017519</v>
      </c>
      <c r="H38" s="99">
        <v>2240.8000000000002</v>
      </c>
      <c r="I38" s="168">
        <f>H38*a14a!$H$4/1000000</f>
        <v>273.34285773720927</v>
      </c>
      <c r="J38" s="99">
        <v>6912</v>
      </c>
      <c r="K38" s="168">
        <f>J38*a14a!$I$4/1000000</f>
        <v>904.91255750035714</v>
      </c>
      <c r="L38" s="99">
        <v>3902.4</v>
      </c>
      <c r="M38" s="168">
        <f>L38*a14a!$J$4/1000000</f>
        <v>791.68396120303601</v>
      </c>
      <c r="N38" s="183">
        <v>24439</v>
      </c>
      <c r="O38" s="99">
        <f t="shared" si="28"/>
        <v>3018.3940641388599</v>
      </c>
      <c r="P38" s="168">
        <f>'a1'!F39/1000</f>
        <v>31019.02</v>
      </c>
      <c r="Q38" s="100">
        <f t="shared" si="5"/>
        <v>97307.847383278378</v>
      </c>
      <c r="R38" s="168">
        <f>Q38/'a8'!C$39*100</f>
        <v>98390.138911302696</v>
      </c>
      <c r="S38" s="99">
        <v>62.8</v>
      </c>
      <c r="T38" s="100">
        <f>(S38)*a14a!$E$9/1000000</f>
        <v>4.2698410087226231</v>
      </c>
      <c r="U38" s="99">
        <v>93.3</v>
      </c>
      <c r="V38" s="100">
        <f>(U38)*a14a!$F$9/1000000</f>
        <v>7.929461905131781</v>
      </c>
      <c r="W38" s="99">
        <v>66.7</v>
      </c>
      <c r="X38" s="99">
        <f>(W38)*a14a!$G$9/1000000</f>
        <v>6.8025094414442435</v>
      </c>
      <c r="Y38" s="99">
        <v>33.799999999999997</v>
      </c>
      <c r="Z38" s="99">
        <f>(Y38)*a14a!$H$9/1000000</f>
        <v>4.200075846512819</v>
      </c>
      <c r="AA38" s="99">
        <v>129.4</v>
      </c>
      <c r="AB38" s="99">
        <f>(AA38)*a14a!$I$9/1000000</f>
        <v>19.152392904642564</v>
      </c>
      <c r="AC38" s="99">
        <v>41.3</v>
      </c>
      <c r="AD38" s="99">
        <f>(AC38)*a14a!$J$9/1000000</f>
        <v>8.6601858206995423</v>
      </c>
      <c r="AE38" s="99">
        <v>427.3</v>
      </c>
      <c r="AF38" s="99">
        <f t="shared" si="8"/>
        <v>51.014466927153563</v>
      </c>
      <c r="AG38" s="99">
        <f>'a1'!L39/1000</f>
        <v>522.03300000000002</v>
      </c>
      <c r="AH38" s="100">
        <f t="shared" si="9"/>
        <v>97722.685974169377</v>
      </c>
      <c r="AI38" s="100">
        <f>AH38/'a8'!I$39*100</f>
        <v>98115.146560411027</v>
      </c>
      <c r="AJ38" s="99">
        <v>11.5</v>
      </c>
      <c r="AK38" s="100">
        <f>(AJ38)*a14a!$E$14/1000000</f>
        <v>0.64697029630838832</v>
      </c>
      <c r="AL38" s="99">
        <v>24.6</v>
      </c>
      <c r="AM38" s="100">
        <f>(AL38)*a14a!$F$14/1000000</f>
        <v>1.7299423140419949</v>
      </c>
      <c r="AN38" s="99">
        <v>17.7</v>
      </c>
      <c r="AO38" s="99">
        <f>(AN38)*a14a!$G$14/1000000</f>
        <v>1.4936575101728444</v>
      </c>
      <c r="AP38" s="99">
        <v>8.8000000000000007</v>
      </c>
      <c r="AQ38" s="99">
        <f>(AP38)*a14a!$H$14/1000000</f>
        <v>0.95645398759548705</v>
      </c>
      <c r="AR38" s="99">
        <v>32.1</v>
      </c>
      <c r="AS38" s="99">
        <f>(AR38)*a14a!$I$14/1000000</f>
        <v>4.5734077363253487</v>
      </c>
      <c r="AT38" s="99">
        <v>13.1</v>
      </c>
      <c r="AU38" s="99">
        <f>(AT38)*a14a!$J$14/1000000</f>
        <v>2.3865165191337754</v>
      </c>
      <c r="AV38" s="99">
        <v>107.8</v>
      </c>
      <c r="AW38" s="99">
        <f t="shared" si="10"/>
        <v>11.786948363577839</v>
      </c>
      <c r="AX38" s="99">
        <f>'a1'!R39/1000</f>
        <v>136.66300000000001</v>
      </c>
      <c r="AY38" s="100">
        <f t="shared" si="11"/>
        <v>86248.277614115286</v>
      </c>
      <c r="AZ38" s="100">
        <f>AY38/'a8'!O$39*100</f>
        <v>88824.178799294838</v>
      </c>
      <c r="BA38" s="99">
        <v>65.3</v>
      </c>
      <c r="BB38" s="100">
        <f>(BA38)*a14a!$E$19/1000000</f>
        <v>3.8880204239115539</v>
      </c>
      <c r="BC38" s="99">
        <v>157.69999999999999</v>
      </c>
      <c r="BD38" s="100">
        <f>(BC38)*a14a!$F$19/1000000</f>
        <v>11.736998867742191</v>
      </c>
      <c r="BE38" s="99">
        <v>102.7</v>
      </c>
      <c r="BF38" s="99">
        <f>(BE38)*a14a!$G$19/1000000</f>
        <v>9.172274828538665</v>
      </c>
      <c r="BG38" s="99">
        <v>68.2</v>
      </c>
      <c r="BH38" s="99">
        <f>(BG38)*a14a!$H$19/1000000</f>
        <v>7.2078925560455049</v>
      </c>
      <c r="BI38" s="99">
        <v>240.2</v>
      </c>
      <c r="BJ38" s="99">
        <f>(BI38)*a14a!$I$19/1000000</f>
        <v>28.491887647318666</v>
      </c>
      <c r="BK38" s="99">
        <v>108.6</v>
      </c>
      <c r="BL38" s="99">
        <f>(BK38)*a14a!$J$19/1000000</f>
        <v>19.527218432678222</v>
      </c>
      <c r="BM38" s="99">
        <v>742.7</v>
      </c>
      <c r="BN38" s="99">
        <f t="shared" si="12"/>
        <v>80.024292756234814</v>
      </c>
      <c r="BO38" s="99">
        <f>'a1'!X39/1000</f>
        <v>932.45399999999995</v>
      </c>
      <c r="BP38" s="100">
        <f t="shared" si="13"/>
        <v>85821.169469201501</v>
      </c>
      <c r="BQ38" s="100">
        <f>BP38/'a8'!U$39*100</f>
        <v>86252.431627338199</v>
      </c>
      <c r="BR38" s="99">
        <v>87</v>
      </c>
      <c r="BS38" s="100">
        <f>(BR38)*a14a!$E$24/1000000</f>
        <v>5.3685197253890165</v>
      </c>
      <c r="BT38" s="99">
        <v>105.9</v>
      </c>
      <c r="BU38" s="100">
        <f>(BT38)*a14a!$F$24/1000000</f>
        <v>8.1684804442341505</v>
      </c>
      <c r="BV38" s="99">
        <v>118.8</v>
      </c>
      <c r="BW38" s="99">
        <f>(BV38)*a14a!$G$24/1000000</f>
        <v>10.996209368555434</v>
      </c>
      <c r="BX38" s="99">
        <v>45.2</v>
      </c>
      <c r="BY38" s="99">
        <f>(BX38)*a14a!$H$24/1000000</f>
        <v>5.2361974489483494</v>
      </c>
      <c r="BZ38" s="99">
        <v>173.2</v>
      </c>
      <c r="CA38" s="99">
        <f>(BZ38)*a14a!$I$24/1000000</f>
        <v>25.937246695802386</v>
      </c>
      <c r="CB38" s="99">
        <v>69.8</v>
      </c>
      <c r="CC38" s="99">
        <f>(CB38)*a14a!$J$24/1000000</f>
        <v>12.733154712700257</v>
      </c>
      <c r="CD38" s="99">
        <v>599.9</v>
      </c>
      <c r="CE38" s="99">
        <f t="shared" si="14"/>
        <v>68.439808395629598</v>
      </c>
      <c r="CF38" s="99">
        <f>'a1'!AD39/1000</f>
        <v>749.80100000000004</v>
      </c>
      <c r="CG38" s="100">
        <f t="shared" si="15"/>
        <v>91277.296770249159</v>
      </c>
      <c r="CH38" s="100">
        <f>CG38/'a8'!AA$39*100</f>
        <v>89312.423454255535</v>
      </c>
      <c r="CI38" s="99">
        <v>950.5</v>
      </c>
      <c r="CJ38" s="100">
        <f>(CI38)*a14a!$E$29/1000000</f>
        <v>68.471271743332039</v>
      </c>
      <c r="CK38" s="99">
        <v>945.6</v>
      </c>
      <c r="CL38" s="100">
        <f>(CK38)*a14a!$F$29/1000000</f>
        <v>85.147862388867409</v>
      </c>
      <c r="CM38" s="100">
        <v>898.3</v>
      </c>
      <c r="CN38" s="99">
        <f>(CM38)*a14a!$G$29/1000000</f>
        <v>97.066402010050254</v>
      </c>
      <c r="CO38" s="100">
        <v>483.2</v>
      </c>
      <c r="CP38" s="99">
        <f>(CO38)*a14a!$H$29/1000000</f>
        <v>60.34341011354752</v>
      </c>
      <c r="CQ38" s="99">
        <v>1766.5</v>
      </c>
      <c r="CR38" s="99">
        <f>(CQ38)*a14a!$I$29/1000000</f>
        <v>241.52172283908959</v>
      </c>
      <c r="CS38" s="99">
        <v>894.1</v>
      </c>
      <c r="CT38" s="99">
        <f>(CS38)*a14a!$J$29/1000000</f>
        <v>182.98540955964171</v>
      </c>
      <c r="CU38" s="99">
        <v>5938.3</v>
      </c>
      <c r="CV38" s="99">
        <f t="shared" si="16"/>
        <v>735.53607865452864</v>
      </c>
      <c r="CW38" s="99">
        <f>'a1'!AJ39/1000</f>
        <v>7396.3310000000001</v>
      </c>
      <c r="CX38" s="100">
        <f t="shared" si="17"/>
        <v>99446.073824241859</v>
      </c>
      <c r="CY38" s="100">
        <f>CX38/'a8'!AG$39*100</f>
        <v>101268.91428130535</v>
      </c>
      <c r="CZ38" s="99">
        <v>725.6</v>
      </c>
      <c r="DA38" s="100">
        <f>(CZ38)*a14a!$E$34/1000000</f>
        <v>48.919871018494284</v>
      </c>
      <c r="DB38" s="99">
        <v>1648.9</v>
      </c>
      <c r="DC38" s="100">
        <f>(DB38)*a14a!$F$34/1000000</f>
        <v>138.96081746553756</v>
      </c>
      <c r="DD38" s="99">
        <v>2009.5</v>
      </c>
      <c r="DE38" s="99">
        <f>(DD38)*a14a!$G$34/1000000</f>
        <v>203.22039859081644</v>
      </c>
      <c r="DF38" s="99">
        <v>812.9</v>
      </c>
      <c r="DG38" s="99">
        <f>(DF38)*a14a!$H$34/1000000</f>
        <v>93.153262739884269</v>
      </c>
      <c r="DH38" s="99">
        <v>2506.3000000000002</v>
      </c>
      <c r="DI38" s="99">
        <f>(DH38)*a14a!$I$34/1000000</f>
        <v>305.65010047255839</v>
      </c>
      <c r="DJ38" s="99">
        <v>1696.6</v>
      </c>
      <c r="DK38" s="99">
        <f>(DJ38)*a14a!$J$34/1000000</f>
        <v>311.68549283754271</v>
      </c>
      <c r="DL38" s="99">
        <v>9399.9</v>
      </c>
      <c r="DM38" s="99">
        <f t="shared" si="18"/>
        <v>1101.5899431248336</v>
      </c>
      <c r="DN38" s="99">
        <f>'a1'!AP39/1000</f>
        <v>11896.663</v>
      </c>
      <c r="DO38" s="100">
        <f t="shared" si="19"/>
        <v>92596.549395812384</v>
      </c>
      <c r="DP38" s="100">
        <f>DO38/'a8'!AM$39*100</f>
        <v>94582.78794260713</v>
      </c>
      <c r="DQ38" s="99">
        <v>82.9</v>
      </c>
      <c r="DR38" s="100">
        <f>(DQ38)*a14a!$E$39/1000000</f>
        <v>7.4126094872693233</v>
      </c>
      <c r="DS38" s="99">
        <v>180.1</v>
      </c>
      <c r="DT38" s="100">
        <f>(DS38)*a14a!$F$39/1000000</f>
        <v>20.129839696278726</v>
      </c>
      <c r="DU38" s="99">
        <v>186.7</v>
      </c>
      <c r="DV38" s="99">
        <f>(DU38)*a14a!$G$39/1000000</f>
        <v>25.041028792639008</v>
      </c>
      <c r="DW38" s="99">
        <v>68.7</v>
      </c>
      <c r="DX38" s="99">
        <f>(DW38)*a14a!$H$39/1000000</f>
        <v>10.398514372325488</v>
      </c>
      <c r="DY38" s="99">
        <v>222.6</v>
      </c>
      <c r="DZ38" s="99">
        <f>(DY38)*a14a!$I$39/1000000</f>
        <v>37.416830338170229</v>
      </c>
      <c r="EA38" s="99">
        <v>120.4</v>
      </c>
      <c r="EB38" s="99">
        <f>(EA38)*a14a!$J$39/1000000</f>
        <v>26.678029239743513</v>
      </c>
      <c r="EC38" s="99">
        <v>861.4</v>
      </c>
      <c r="ED38" s="99">
        <f t="shared" si="20"/>
        <v>127.07685192642627</v>
      </c>
      <c r="EE38" s="99">
        <f>'a1'!AV39/1000</f>
        <v>1151.4390000000001</v>
      </c>
      <c r="EF38" s="100">
        <f t="shared" si="21"/>
        <v>110363.51202836301</v>
      </c>
      <c r="EG38" s="100">
        <f>EF38/'a8'!AS$39*100</f>
        <v>112961.62950702458</v>
      </c>
      <c r="EH38" s="99">
        <v>76.5</v>
      </c>
      <c r="EI38" s="100">
        <f>(EH38)*a14a!$E$44/1000000</f>
        <v>6.103044936873113</v>
      </c>
      <c r="EJ38" s="99">
        <v>158.6</v>
      </c>
      <c r="EK38" s="100">
        <f>(EJ38)*a14a!$F$44/1000000</f>
        <v>15.81606089849797</v>
      </c>
      <c r="EL38" s="99">
        <v>155.1</v>
      </c>
      <c r="EM38" s="99">
        <f>(EL38)*a14a!$G$44/1000000</f>
        <v>18.56043666096117</v>
      </c>
      <c r="EN38" s="99">
        <v>66</v>
      </c>
      <c r="EO38" s="99">
        <f>(EN38)*a14a!$H$44/1000000</f>
        <v>10.09576744524963</v>
      </c>
      <c r="EP38" s="99">
        <v>203.3</v>
      </c>
      <c r="EQ38" s="99">
        <f>(EP38)*a14a!$I$44/1000000</f>
        <v>33.430993004472661</v>
      </c>
      <c r="ER38" s="99">
        <v>85.1</v>
      </c>
      <c r="ES38" s="99">
        <f>(ER38)*a14a!$J$44/1000000</f>
        <v>28.995142663444359</v>
      </c>
      <c r="ET38" s="99">
        <v>744.6</v>
      </c>
      <c r="EU38" s="99">
        <f t="shared" si="22"/>
        <v>113.0014456094989</v>
      </c>
      <c r="EV38" s="99">
        <f>'a1'!BB39/1000</f>
        <v>1000.221</v>
      </c>
      <c r="EW38" s="100">
        <f t="shared" si="23"/>
        <v>112976.47780790336</v>
      </c>
      <c r="EX38" s="100">
        <f>EW38/'a8'!AY$39*100</f>
        <v>117561.37128814087</v>
      </c>
      <c r="EY38" s="99">
        <v>132.69999999999999</v>
      </c>
      <c r="EZ38" s="100">
        <f>(EY38)*a14a!$E$49/1000000</f>
        <v>8.9665086355640149</v>
      </c>
      <c r="FA38" s="99">
        <v>421.9</v>
      </c>
      <c r="FB38" s="100">
        <f>(FA38)*a14a!$F$49/1000000</f>
        <v>35.634608075965119</v>
      </c>
      <c r="FC38" s="99">
        <v>462</v>
      </c>
      <c r="FD38" s="99">
        <f>(FC38)*a14a!$G$49/1000000</f>
        <v>46.825851427625189</v>
      </c>
      <c r="FE38" s="99">
        <v>261.2</v>
      </c>
      <c r="FF38" s="99">
        <f>(FE38)*a14a!$H$49/1000000</f>
        <v>30.745004239634984</v>
      </c>
      <c r="FG38" s="99">
        <v>719.4</v>
      </c>
      <c r="FH38" s="99">
        <f>(FG38)*a14a!$I$49/1000000</f>
        <v>87.253166424480014</v>
      </c>
      <c r="FI38" s="99">
        <v>367.7</v>
      </c>
      <c r="FJ38" s="99">
        <f>(FI38)*a14a!$J$49/1000000</f>
        <v>79.072859848781732</v>
      </c>
      <c r="FK38" s="99">
        <v>2364.9</v>
      </c>
      <c r="FL38" s="99">
        <f t="shared" si="24"/>
        <v>288.49799865205102</v>
      </c>
      <c r="FM38" s="99">
        <f>'a1'!BH39/1000</f>
        <v>3058.0169999999998</v>
      </c>
      <c r="FN38" s="100">
        <f t="shared" si="25"/>
        <v>94341.528726639197</v>
      </c>
      <c r="FO38" s="100">
        <f>FN38/'a8'!BE$39*100</f>
        <v>91950.807725769191</v>
      </c>
      <c r="FP38" s="99">
        <v>175.2</v>
      </c>
      <c r="FQ38" s="100">
        <f>(FP38)*a14a!$E$54/1000000</f>
        <v>13.652012172471016</v>
      </c>
      <c r="FR38" s="99">
        <v>537.4</v>
      </c>
      <c r="FS38" s="100">
        <f>(FR38)*a14a!$F$54/1000000</f>
        <v>52.344401694391578</v>
      </c>
      <c r="FT38" s="99">
        <v>722.3</v>
      </c>
      <c r="FU38" s="99">
        <f>(FT38)*a14a!$G$54/1000000</f>
        <v>84.425071850820331</v>
      </c>
      <c r="FV38" s="99">
        <v>392.7</v>
      </c>
      <c r="FW38" s="99">
        <f>(FV38)*a14a!$H$54/1000000</f>
        <v>53.041447570598102</v>
      </c>
      <c r="FX38" s="99">
        <v>919</v>
      </c>
      <c r="FY38" s="99">
        <f>(FX38)*a14a!$I$54/1000000</f>
        <v>129.36885861181545</v>
      </c>
      <c r="FZ38" s="99">
        <v>505.6</v>
      </c>
      <c r="GA38" s="99">
        <f>(FZ38)*a14a!$J$54/1000000</f>
        <v>120.84549978814908</v>
      </c>
      <c r="GB38" s="99">
        <v>3252.3</v>
      </c>
      <c r="GC38" s="99">
        <f t="shared" si="26"/>
        <v>453.67729168824559</v>
      </c>
      <c r="GD38" s="99">
        <f>'a1'!BN39/1000</f>
        <v>4076.2640000000001</v>
      </c>
      <c r="GE38" s="100">
        <f t="shared" si="27"/>
        <v>111297.32806517085</v>
      </c>
      <c r="GF38" s="100">
        <f>GE38/'a8'!BK$39*100</f>
        <v>111186.1419232476</v>
      </c>
    </row>
    <row r="39" spans="1:188" s="26" customFormat="1" ht="16.5" customHeight="1">
      <c r="A39" s="202">
        <v>2002</v>
      </c>
      <c r="B39" s="99">
        <v>2322.4</v>
      </c>
      <c r="C39" s="168">
        <f>B39*a14a!$E$4/1000000</f>
        <v>164.27734758530329</v>
      </c>
      <c r="D39" s="99">
        <v>4207.1000000000004</v>
      </c>
      <c r="E39" s="168">
        <f>D39*a14a!$F$4/1000000</f>
        <v>371.99192054885543</v>
      </c>
      <c r="F39" s="99">
        <v>4809.2</v>
      </c>
      <c r="G39" s="99">
        <f>F39*a14a!$G$4/1000000</f>
        <v>510.27554685276471</v>
      </c>
      <c r="H39" s="99">
        <v>2272.3000000000002</v>
      </c>
      <c r="I39" s="168">
        <f>H39*a14a!$H$4/1000000</f>
        <v>277.18536934856326</v>
      </c>
      <c r="J39" s="99">
        <v>7118.9</v>
      </c>
      <c r="K39" s="168">
        <f>J39*a14a!$I$4/1000000</f>
        <v>931.9997114567841</v>
      </c>
      <c r="L39" s="99">
        <v>4056.1</v>
      </c>
      <c r="M39" s="168">
        <f>L39*a14a!$J$4/1000000</f>
        <v>822.86524063028753</v>
      </c>
      <c r="N39" s="183">
        <v>24785.9</v>
      </c>
      <c r="O39" s="99">
        <f t="shared" ref="O39:O43" si="29">(C39)+(E39)+(G39)+(I39)+(K39)+(M39)</f>
        <v>3078.5951364225584</v>
      </c>
      <c r="P39" s="168">
        <f>'a1'!F40/1000</f>
        <v>31353.655999999999</v>
      </c>
      <c r="Q39" s="100">
        <f t="shared" ref="Q39:Q44" si="30">(O39)/(P39)*1000000</f>
        <v>98189.351073525788</v>
      </c>
      <c r="R39" s="168">
        <f>Q39/'a8'!C$39*100</f>
        <v>99281.446990420402</v>
      </c>
      <c r="S39" s="99">
        <v>58.6</v>
      </c>
      <c r="T39" s="100">
        <f>(S39)*a14a!$E$9/1000000</f>
        <v>3.9842783934895811</v>
      </c>
      <c r="U39" s="99">
        <v>88.6</v>
      </c>
      <c r="V39" s="100">
        <f>(U39)*a14a!$F$9/1000000</f>
        <v>7.5300141992998473</v>
      </c>
      <c r="W39" s="99">
        <v>64.599999999999994</v>
      </c>
      <c r="X39" s="99">
        <f>(W39)*a14a!$G$9/1000000</f>
        <v>6.5883374800194607</v>
      </c>
      <c r="Y39" s="99">
        <v>37.1</v>
      </c>
      <c r="Z39" s="99">
        <f>(Y39)*a14a!$H$9/1000000</f>
        <v>4.610142423243361</v>
      </c>
      <c r="AA39" s="99">
        <v>134.6</v>
      </c>
      <c r="AB39" s="99">
        <f>(AA39)*a14a!$I$9/1000000</f>
        <v>19.922040842077966</v>
      </c>
      <c r="AC39" s="99">
        <v>43.2</v>
      </c>
      <c r="AD39" s="99">
        <f>(AC39)*a14a!$J$9/1000000</f>
        <v>9.0585963063975878</v>
      </c>
      <c r="AE39" s="99">
        <v>426.7</v>
      </c>
      <c r="AF39" s="99">
        <f t="shared" ref="AF39:AF45" si="31">(T39)+(V39)+(X39)+(Z39)+(AB39)+(AD39)</f>
        <v>51.693409644527804</v>
      </c>
      <c r="AG39" s="99">
        <f>'a1'!L40/1000</f>
        <v>519.53099999999995</v>
      </c>
      <c r="AH39" s="100">
        <f t="shared" ref="AH39:AH45" si="32">(AF39)/(AG39)*1000000</f>
        <v>99500.144639160717</v>
      </c>
      <c r="AI39" s="100">
        <f>AH39/'a8'!I$39*100</f>
        <v>99899.743613615181</v>
      </c>
      <c r="AJ39" s="99">
        <v>10.5</v>
      </c>
      <c r="AK39" s="100">
        <f>(AJ39)*a14a!$E$14/1000000</f>
        <v>0.59071200967287629</v>
      </c>
      <c r="AL39" s="99">
        <v>23.2</v>
      </c>
      <c r="AM39" s="100">
        <f>(AL39)*a14a!$F$14/1000000</f>
        <v>1.6314903124298488</v>
      </c>
      <c r="AN39" s="99">
        <v>18.5</v>
      </c>
      <c r="AO39" s="99">
        <f>(AN39)*a14a!$G$14/1000000</f>
        <v>1.561167454135459</v>
      </c>
      <c r="AP39" s="99">
        <v>9.6</v>
      </c>
      <c r="AQ39" s="99">
        <f>(AP39)*a14a!$H$14/1000000</f>
        <v>1.0434043501041677</v>
      </c>
      <c r="AR39" s="99">
        <v>33.9</v>
      </c>
      <c r="AS39" s="99">
        <f>(AR39)*a14a!$I$14/1000000</f>
        <v>4.8298605065865825</v>
      </c>
      <c r="AT39" s="99">
        <v>13</v>
      </c>
      <c r="AU39" s="99">
        <f>(AT39)*a14a!$J$14/1000000</f>
        <v>2.368298835781609</v>
      </c>
      <c r="AV39" s="99">
        <v>108.7</v>
      </c>
      <c r="AW39" s="99">
        <f t="shared" ref="AW39:AW45" si="33">(AK39)+(AM39)+(AO39)+(AQ39)+(AS39)+(AU39)</f>
        <v>12.024933468710543</v>
      </c>
      <c r="AX39" s="99">
        <f>'a1'!R40/1000</f>
        <v>136.876</v>
      </c>
      <c r="AY39" s="100">
        <f t="shared" ref="AY39:AY45" si="34">(AW39)/(AX39)*1000000</f>
        <v>87852.753358591304</v>
      </c>
      <c r="AZ39" s="100">
        <f>AY39/'a8'!O$39*100</f>
        <v>90476.574004728434</v>
      </c>
      <c r="BA39" s="99">
        <v>63.5</v>
      </c>
      <c r="BB39" s="100">
        <f>(BA39)*a14a!$E$19/1000000</f>
        <v>3.7808468134515114</v>
      </c>
      <c r="BC39" s="99">
        <v>161.5</v>
      </c>
      <c r="BD39" s="100">
        <f>(BC39)*a14a!$F$19/1000000</f>
        <v>12.019818117567304</v>
      </c>
      <c r="BE39" s="99">
        <v>109</v>
      </c>
      <c r="BF39" s="99">
        <f>(BE39)*a14a!$G$19/1000000</f>
        <v>9.7349362834538891</v>
      </c>
      <c r="BG39" s="99">
        <v>67.7</v>
      </c>
      <c r="BH39" s="99">
        <f>(BG39)*a14a!$H$19/1000000</f>
        <v>7.1550487689777231</v>
      </c>
      <c r="BI39" s="99">
        <v>235.1</v>
      </c>
      <c r="BJ39" s="99">
        <f>(BI39)*a14a!$I$19/1000000</f>
        <v>27.88693915855378</v>
      </c>
      <c r="BK39" s="99">
        <v>111.1</v>
      </c>
      <c r="BL39" s="99">
        <f>(BK39)*a14a!$J$19/1000000</f>
        <v>19.976740035640429</v>
      </c>
      <c r="BM39" s="99">
        <v>747.8</v>
      </c>
      <c r="BN39" s="99">
        <f t="shared" ref="BN39:BN43" si="35">(BB39)+(BD39)+(BF39)+(BH39)+(BJ39)+(BL39)</f>
        <v>80.554329177644632</v>
      </c>
      <c r="BO39" s="99">
        <f>'a1'!X40/1000</f>
        <v>935.01499999999999</v>
      </c>
      <c r="BP39" s="100">
        <f t="shared" ref="BP39:BP43" si="36">(BN39)/(BO39)*1000000</f>
        <v>86152.980623460186</v>
      </c>
      <c r="BQ39" s="100">
        <f>BP39/'a8'!U$39*100</f>
        <v>86585.910174331846</v>
      </c>
      <c r="BR39" s="99">
        <v>82.7</v>
      </c>
      <c r="BS39" s="100">
        <f>(BR39)*a14a!$E$24/1000000</f>
        <v>5.1031790952835827</v>
      </c>
      <c r="BT39" s="99">
        <v>104.4</v>
      </c>
      <c r="BU39" s="100">
        <f>(BT39)*a14a!$F$24/1000000</f>
        <v>8.052779588083526</v>
      </c>
      <c r="BV39" s="99">
        <v>124.5</v>
      </c>
      <c r="BW39" s="99">
        <f>(BV39)*a14a!$G$24/1000000</f>
        <v>11.523805272602287</v>
      </c>
      <c r="BX39" s="99">
        <v>48.6</v>
      </c>
      <c r="BY39" s="99">
        <f>(BX39)*a14a!$H$24/1000000</f>
        <v>5.6300707083825179</v>
      </c>
      <c r="BZ39" s="99">
        <v>170.8</v>
      </c>
      <c r="CA39" s="99">
        <f>(BZ39)*a14a!$I$24/1000000</f>
        <v>25.577839120340926</v>
      </c>
      <c r="CB39" s="99">
        <v>70.400000000000006</v>
      </c>
      <c r="CC39" s="99">
        <f>(CB39)*a14a!$J$24/1000000</f>
        <v>12.842608764671894</v>
      </c>
      <c r="CD39" s="99">
        <v>601.5</v>
      </c>
      <c r="CE39" s="99">
        <f t="shared" ref="CE39:CE45" si="37">(BS39)+(BU39)+(BW39)+(BY39)+(CA39)+(CC39)</f>
        <v>68.73028254936473</v>
      </c>
      <c r="CF39" s="99">
        <f>'a1'!AD40/1000</f>
        <v>749.33100000000002</v>
      </c>
      <c r="CG39" s="100">
        <f t="shared" ref="CG39:CG44" si="38">(CE39)/(CF39)*1000000</f>
        <v>91722.192928578603</v>
      </c>
      <c r="CH39" s="100">
        <f>CG39/'a8'!AA$39*100</f>
        <v>89747.742591564194</v>
      </c>
      <c r="CI39" s="99">
        <v>911.1</v>
      </c>
      <c r="CJ39" s="100">
        <f>(CI39)*a14a!$E$29/1000000</f>
        <v>65.633009663703135</v>
      </c>
      <c r="CK39" s="99">
        <v>922.5</v>
      </c>
      <c r="CL39" s="100">
        <f>(CK39)*a14a!$F$29/1000000</f>
        <v>83.067790877464248</v>
      </c>
      <c r="CM39" s="100">
        <v>897</v>
      </c>
      <c r="CN39" s="99">
        <f>(CM39)*a14a!$G$29/1000000</f>
        <v>96.925929648241222</v>
      </c>
      <c r="CO39" s="100">
        <v>485.2</v>
      </c>
      <c r="CP39" s="99">
        <f>(CO39)*a14a!$H$29/1000000</f>
        <v>60.593175883885053</v>
      </c>
      <c r="CQ39" s="99">
        <v>1871</v>
      </c>
      <c r="CR39" s="99">
        <f>(CQ39)*a14a!$I$29/1000000</f>
        <v>255.80930848114161</v>
      </c>
      <c r="CS39" s="99">
        <v>902.6</v>
      </c>
      <c r="CT39" s="99">
        <f>(CS39)*a14a!$J$29/1000000</f>
        <v>184.72500913603918</v>
      </c>
      <c r="CU39" s="99">
        <v>5989.5</v>
      </c>
      <c r="CV39" s="99">
        <f t="shared" ref="CV39:CV45" si="39">(CJ39)+(CL39)+(CN39)+(CP39)+(CR39)+(CT39)</f>
        <v>746.75422369047442</v>
      </c>
      <c r="CW39" s="99">
        <f>'a1'!AJ40/1000</f>
        <v>7441.076</v>
      </c>
      <c r="CX39" s="100">
        <f t="shared" ref="CX39:CX44" si="40">(CV39)/(CW39)*1000000</f>
        <v>100355.67755126736</v>
      </c>
      <c r="CY39" s="100">
        <f>CX39/'a8'!AG$39*100</f>
        <v>102195.19098907063</v>
      </c>
      <c r="CZ39" s="99">
        <v>725.9</v>
      </c>
      <c r="DA39" s="100">
        <f>(CZ39)*a14a!$E$34/1000000</f>
        <v>48.940096985012403</v>
      </c>
      <c r="DB39" s="99">
        <v>1626.5</v>
      </c>
      <c r="DC39" s="100">
        <f>(DB39)*a14a!$F$34/1000000</f>
        <v>137.07306059051297</v>
      </c>
      <c r="DD39" s="99">
        <v>2023</v>
      </c>
      <c r="DE39" s="99">
        <f>(DD39)*a14a!$G$34/1000000</f>
        <v>204.5856513307896</v>
      </c>
      <c r="DF39" s="99">
        <v>843.2</v>
      </c>
      <c r="DG39" s="99">
        <f>(DF39)*a14a!$H$34/1000000</f>
        <v>96.625453490306839</v>
      </c>
      <c r="DH39" s="99">
        <v>2580.8000000000002</v>
      </c>
      <c r="DI39" s="99">
        <f>(DH39)*a14a!$I$34/1000000</f>
        <v>314.73557806311243</v>
      </c>
      <c r="DJ39" s="99">
        <v>1787.8</v>
      </c>
      <c r="DK39" s="99">
        <f>(DJ39)*a14a!$J$34/1000000</f>
        <v>328.44001184425258</v>
      </c>
      <c r="DL39" s="99">
        <v>9587.2999999999993</v>
      </c>
      <c r="DM39" s="99">
        <f t="shared" ref="DM39:DM44" si="41">(DA39)+(DC39)+(DE39)+(DG39)+(DI39)+(DK39)</f>
        <v>1130.3998523039868</v>
      </c>
      <c r="DN39" s="99">
        <f>'a1'!AP40/1000</f>
        <v>12091.029</v>
      </c>
      <c r="DO39" s="100">
        <f t="shared" ref="DO39:DO44" si="42">(DM39)/(DN39)*1000000</f>
        <v>93490.789932270185</v>
      </c>
      <c r="DP39" s="100">
        <f>DO39/'a8'!AM$39*100</f>
        <v>95496.21034961204</v>
      </c>
      <c r="DQ39" s="99">
        <v>79.5</v>
      </c>
      <c r="DR39" s="100">
        <f>(DQ39)*a14a!$E$39/1000000</f>
        <v>7.1085941403849358</v>
      </c>
      <c r="DS39" s="99">
        <v>177.7</v>
      </c>
      <c r="DT39" s="100">
        <f>(DS39)*a14a!$F$39/1000000</f>
        <v>19.861590860792504</v>
      </c>
      <c r="DU39" s="99">
        <v>189</v>
      </c>
      <c r="DV39" s="99">
        <f>(DU39)*a14a!$G$39/1000000</f>
        <v>25.349514953448164</v>
      </c>
      <c r="DW39" s="99">
        <v>74.599999999999994</v>
      </c>
      <c r="DX39" s="99">
        <f>(DW39)*a14a!$H$39/1000000</f>
        <v>11.291545446513556</v>
      </c>
      <c r="DY39" s="99">
        <v>226</v>
      </c>
      <c r="DZ39" s="99">
        <f>(DY39)*a14a!$I$39/1000000</f>
        <v>37.988336282239317</v>
      </c>
      <c r="EA39" s="99">
        <v>120.7</v>
      </c>
      <c r="EB39" s="99">
        <f>(EA39)*a14a!$J$39/1000000</f>
        <v>26.744502734526925</v>
      </c>
      <c r="EC39" s="99">
        <v>867.5</v>
      </c>
      <c r="ED39" s="99">
        <f t="shared" ref="ED39:ED44" si="43">(DR39)+(DT39)+(DV39)+(DX39)+(DZ39)+(EB39)</f>
        <v>128.34408441790541</v>
      </c>
      <c r="EE39" s="99">
        <f>'a1'!AV40/1000</f>
        <v>1156.6130000000001</v>
      </c>
      <c r="EF39" s="100">
        <f t="shared" ref="EF39:EF44" si="44">(ED39)/(EE39)*1000000</f>
        <v>110965.45207247835</v>
      </c>
      <c r="EG39" s="100">
        <f>EF39/'a8'!AS$39*100</f>
        <v>113577.74009465543</v>
      </c>
      <c r="EH39" s="99">
        <v>74.099999999999994</v>
      </c>
      <c r="EI39" s="100">
        <f>(EH39)*a14a!$E$44/1000000</f>
        <v>5.9115768604221914</v>
      </c>
      <c r="EJ39" s="99">
        <v>152.69999999999999</v>
      </c>
      <c r="EK39" s="100">
        <f>(EJ39)*a14a!$F$44/1000000</f>
        <v>15.227695455237326</v>
      </c>
      <c r="EL39" s="99">
        <v>157.19999999999999</v>
      </c>
      <c r="EM39" s="99">
        <f>(EL39)*a14a!$G$44/1000000</f>
        <v>18.811738511303005</v>
      </c>
      <c r="EN39" s="99">
        <v>67</v>
      </c>
      <c r="EO39" s="99">
        <f>(EN39)*a14a!$H$44/1000000</f>
        <v>10.248733618662502</v>
      </c>
      <c r="EP39" s="99">
        <v>203.4</v>
      </c>
      <c r="EQ39" s="99">
        <f>(EP39)*a14a!$I$44/1000000</f>
        <v>33.447437172207273</v>
      </c>
      <c r="ER39" s="99">
        <v>89.9</v>
      </c>
      <c r="ES39" s="99">
        <f>(ER39)*a14a!$J$44/1000000</f>
        <v>30.630591368315489</v>
      </c>
      <c r="ET39" s="99">
        <v>744.3</v>
      </c>
      <c r="EU39" s="99">
        <f t="shared" ref="EU39:EU44" si="45">(EI39)+(EK39)+(EM39)+(EO39)+(EQ39)+(ES39)</f>
        <v>114.2777729861478</v>
      </c>
      <c r="EV39" s="99">
        <f>'a1'!BB40/1000</f>
        <v>996.80100000000004</v>
      </c>
      <c r="EW39" s="100">
        <f t="shared" ref="EW39:EW44" si="46">(EU39)/(EV39)*1000000</f>
        <v>114644.52080821326</v>
      </c>
      <c r="EX39" s="100">
        <f>EW39/'a8'!AY$39*100</f>
        <v>119297.10802103356</v>
      </c>
      <c r="EY39" s="99">
        <v>131.9</v>
      </c>
      <c r="EZ39" s="100">
        <f>(EY39)*a14a!$E$49/1000000</f>
        <v>8.9124528186201477</v>
      </c>
      <c r="FA39" s="99">
        <v>426.4</v>
      </c>
      <c r="FB39" s="100">
        <f>(FA39)*a14a!$F$49/1000000</f>
        <v>36.014688038851695</v>
      </c>
      <c r="FC39" s="99">
        <v>491.5</v>
      </c>
      <c r="FD39" s="99">
        <f>(FC39)*a14a!$G$49/1000000</f>
        <v>49.815813802332855</v>
      </c>
      <c r="FE39" s="99">
        <v>246.5</v>
      </c>
      <c r="FF39" s="99">
        <f>(FE39)*a14a!$H$49/1000000</f>
        <v>29.014714950497794</v>
      </c>
      <c r="FG39" s="99">
        <v>744.7</v>
      </c>
      <c r="FH39" s="99">
        <f>(FG39)*a14a!$I$49/1000000</f>
        <v>90.321702858368468</v>
      </c>
      <c r="FI39" s="99">
        <v>387.4</v>
      </c>
      <c r="FJ39" s="99">
        <f>(FI39)*a14a!$J$49/1000000</f>
        <v>83.30928992498788</v>
      </c>
      <c r="FK39" s="99">
        <v>2428.3000000000002</v>
      </c>
      <c r="FL39" s="99">
        <f t="shared" ref="FL39:FL44" si="47">(EZ39)+(FB39)+(FD39)+(FF39)+(FH39)+(FJ39)</f>
        <v>297.38866239365882</v>
      </c>
      <c r="FM39" s="99">
        <f>'a1'!BH40/1000</f>
        <v>3128.364</v>
      </c>
      <c r="FN39" s="100">
        <f t="shared" ref="FN39:FN44" si="48">(FL39)/(FM39)*1000000</f>
        <v>95062.039581602017</v>
      </c>
      <c r="FO39" s="100">
        <f>FN39/'a8'!BE$39*100</f>
        <v>92653.060021054596</v>
      </c>
      <c r="FP39" s="99">
        <v>184.5</v>
      </c>
      <c r="FQ39" s="100">
        <f>(FP39)*a14a!$E$54/1000000</f>
        <v>14.376690900804238</v>
      </c>
      <c r="FR39" s="99">
        <v>523.5</v>
      </c>
      <c r="FS39" s="100">
        <f>(FR39)*a14a!$F$54/1000000</f>
        <v>50.990499231510967</v>
      </c>
      <c r="FT39" s="99">
        <v>734.8</v>
      </c>
      <c r="FU39" s="99">
        <f>(FT39)*a14a!$G$54/1000000</f>
        <v>85.886117674072807</v>
      </c>
      <c r="FV39" s="99">
        <v>392.7</v>
      </c>
      <c r="FW39" s="99">
        <f>(FV39)*a14a!$H$54/1000000</f>
        <v>53.041447570598102</v>
      </c>
      <c r="FX39" s="99">
        <v>918.7</v>
      </c>
      <c r="FY39" s="99">
        <f>(FX39)*a14a!$I$54/1000000</f>
        <v>129.32662721074524</v>
      </c>
      <c r="FZ39" s="99">
        <v>530</v>
      </c>
      <c r="GA39" s="99">
        <f>(FZ39)*a14a!$J$54/1000000</f>
        <v>126.67744242033034</v>
      </c>
      <c r="GB39" s="99">
        <v>3284.2</v>
      </c>
      <c r="GC39" s="99">
        <f t="shared" si="26"/>
        <v>460.29882500806173</v>
      </c>
      <c r="GD39" s="99">
        <f>'a1'!BN40/1000</f>
        <v>4098.1779999999999</v>
      </c>
      <c r="GE39" s="100">
        <f t="shared" ref="GE39:GE44" si="49">(GC39)/(GD39)*1000000</f>
        <v>112317.91908698494</v>
      </c>
      <c r="GF39" s="100">
        <f>GE39/'a8'!BK$39*100</f>
        <v>112205.71337361135</v>
      </c>
    </row>
    <row r="40" spans="1:188" s="26" customFormat="1" ht="16.5" customHeight="1">
      <c r="A40" s="202">
        <v>2003</v>
      </c>
      <c r="B40" s="99">
        <v>2263.8000000000002</v>
      </c>
      <c r="C40" s="168">
        <f>B40*a14a!$E$4/1000000</f>
        <v>160.13221644144403</v>
      </c>
      <c r="D40" s="99">
        <v>4021.8</v>
      </c>
      <c r="E40" s="168">
        <f>D40*a14a!$F$4/1000000</f>
        <v>355.60768844652767</v>
      </c>
      <c r="F40" s="99">
        <v>4807.5</v>
      </c>
      <c r="G40" s="99">
        <f>F40*a14a!$G$4/1000000</f>
        <v>510.09516998558314</v>
      </c>
      <c r="H40" s="99">
        <v>2448</v>
      </c>
      <c r="I40" s="168">
        <f>H40*a14a!$H$4/1000000</f>
        <v>298.61804522522675</v>
      </c>
      <c r="J40" s="99">
        <v>7257.1</v>
      </c>
      <c r="K40" s="168">
        <f>J40*a14a!$I$4/1000000</f>
        <v>950.09272584430585</v>
      </c>
      <c r="L40" s="99">
        <v>4300.3</v>
      </c>
      <c r="M40" s="168">
        <f>L40*a14a!$J$4/1000000</f>
        <v>872.40634951860784</v>
      </c>
      <c r="N40" s="183">
        <v>25098.5</v>
      </c>
      <c r="O40" s="99">
        <f t="shared" si="29"/>
        <v>3146.9521954616953</v>
      </c>
      <c r="P40" s="168">
        <f>'a1'!F41/1000</f>
        <v>31639.67</v>
      </c>
      <c r="Q40" s="100">
        <f t="shared" si="30"/>
        <v>99462.231921562256</v>
      </c>
      <c r="R40" s="168">
        <f>Q40/'a8'!C$39*100</f>
        <v>100568.48525941581</v>
      </c>
      <c r="S40" s="99">
        <v>57.2</v>
      </c>
      <c r="T40" s="100">
        <f>(S40)*a14a!$E$9/1000000</f>
        <v>3.8890908550785674</v>
      </c>
      <c r="U40" s="99">
        <v>81.3</v>
      </c>
      <c r="V40" s="100">
        <f>(U40)*a14a!$F$9/1000000</f>
        <v>6.9095954221566318</v>
      </c>
      <c r="W40" s="99">
        <v>64.400000000000006</v>
      </c>
      <c r="X40" s="99">
        <f>(W40)*a14a!$G$9/1000000</f>
        <v>6.5679401503599593</v>
      </c>
      <c r="Y40" s="99">
        <v>37.6</v>
      </c>
      <c r="Z40" s="99">
        <f>(Y40)*a14a!$H$9/1000000</f>
        <v>4.6722737227479882</v>
      </c>
      <c r="AA40" s="99">
        <v>142.80000000000001</v>
      </c>
      <c r="AB40" s="99">
        <f>(AA40)*a14a!$I$9/1000000</f>
        <v>21.135716435726106</v>
      </c>
      <c r="AC40" s="99">
        <v>44.2</v>
      </c>
      <c r="AD40" s="99">
        <f>(AC40)*a14a!$J$9/1000000</f>
        <v>9.2682860357123467</v>
      </c>
      <c r="AE40" s="99">
        <v>427.4</v>
      </c>
      <c r="AF40" s="99">
        <f t="shared" si="31"/>
        <v>52.442902621781599</v>
      </c>
      <c r="AG40" s="99">
        <f>'a1'!L41/1000</f>
        <v>518.52</v>
      </c>
      <c r="AH40" s="100">
        <f t="shared" si="32"/>
        <v>101139.59465745121</v>
      </c>
      <c r="AI40" s="100">
        <f>AH40/'a8'!I$39*100</f>
        <v>101545.77776852532</v>
      </c>
      <c r="AJ40" s="99">
        <v>9.9</v>
      </c>
      <c r="AK40" s="100">
        <f>(AJ40)*a14a!$E$14/1000000</f>
        <v>0.55695703769156912</v>
      </c>
      <c r="AL40" s="99">
        <v>23.6</v>
      </c>
      <c r="AM40" s="100">
        <f>(AL40)*a14a!$F$14/1000000</f>
        <v>1.6596194557476052</v>
      </c>
      <c r="AN40" s="99">
        <v>18.100000000000001</v>
      </c>
      <c r="AO40" s="99">
        <f>(AN40)*a14a!$G$14/1000000</f>
        <v>1.5274124821541517</v>
      </c>
      <c r="AP40" s="99">
        <v>9.6999999999999993</v>
      </c>
      <c r="AQ40" s="99">
        <f>(AP40)*a14a!$H$14/1000000</f>
        <v>1.0542731454177527</v>
      </c>
      <c r="AR40" s="99">
        <v>33.9</v>
      </c>
      <c r="AS40" s="99">
        <f>(AR40)*a14a!$I$14/1000000</f>
        <v>4.8298605065865825</v>
      </c>
      <c r="AT40" s="99">
        <v>14.3</v>
      </c>
      <c r="AU40" s="99">
        <f>(AT40)*a14a!$J$14/1000000</f>
        <v>2.6051287193597705</v>
      </c>
      <c r="AV40" s="99">
        <v>109.5</v>
      </c>
      <c r="AW40" s="99">
        <f t="shared" si="33"/>
        <v>12.233251346957433</v>
      </c>
      <c r="AX40" s="99">
        <f>'a1'!R41/1000</f>
        <v>137.221</v>
      </c>
      <c r="AY40" s="100">
        <f t="shared" si="34"/>
        <v>89149.9941478158</v>
      </c>
      <c r="AZ40" s="100">
        <f>AY40/'a8'!O$39*100</f>
        <v>91812.558339666124</v>
      </c>
      <c r="BA40" s="99">
        <v>59.3</v>
      </c>
      <c r="BB40" s="100">
        <f>(BA40)*a14a!$E$19/1000000</f>
        <v>3.5307750557114108</v>
      </c>
      <c r="BC40" s="99">
        <v>155.4</v>
      </c>
      <c r="BD40" s="100">
        <f>(BC40)*a14a!$F$19/1000000</f>
        <v>11.565818795479624</v>
      </c>
      <c r="BE40" s="99">
        <v>111.4</v>
      </c>
      <c r="BF40" s="99">
        <f>(BE40)*a14a!$G$19/1000000</f>
        <v>9.9492835043739767</v>
      </c>
      <c r="BG40" s="99">
        <v>69.3</v>
      </c>
      <c r="BH40" s="99">
        <f>(BG40)*a14a!$H$19/1000000</f>
        <v>7.3241488875946255</v>
      </c>
      <c r="BI40" s="99">
        <v>239.9</v>
      </c>
      <c r="BJ40" s="99">
        <f>(BI40)*a14a!$I$19/1000000</f>
        <v>28.456302442097201</v>
      </c>
      <c r="BK40" s="99">
        <v>117.9</v>
      </c>
      <c r="BL40" s="99">
        <f>(BK40)*a14a!$J$19/1000000</f>
        <v>21.199438795697631</v>
      </c>
      <c r="BM40" s="99">
        <v>753.3</v>
      </c>
      <c r="BN40" s="99">
        <f t="shared" si="35"/>
        <v>82.025767480954471</v>
      </c>
      <c r="BO40" s="99">
        <f>'a1'!X41/1000</f>
        <v>937.49099999999999</v>
      </c>
      <c r="BP40" s="100">
        <f t="shared" si="36"/>
        <v>87494.991931607306</v>
      </c>
      <c r="BQ40" s="100">
        <f>BP40/'a8'!U$39*100</f>
        <v>87934.665257896791</v>
      </c>
      <c r="BR40" s="99">
        <v>75.900000000000006</v>
      </c>
      <c r="BS40" s="100">
        <f>(BR40)*a14a!$E$24/1000000</f>
        <v>4.6835706569773157</v>
      </c>
      <c r="BT40" s="99">
        <v>102.7</v>
      </c>
      <c r="BU40" s="100">
        <f>(BT40)*a14a!$F$24/1000000</f>
        <v>7.9216519511128167</v>
      </c>
      <c r="BV40" s="99">
        <v>127.3</v>
      </c>
      <c r="BW40" s="99">
        <f>(BV40)*a14a!$G$24/1000000</f>
        <v>11.782975190379686</v>
      </c>
      <c r="BX40" s="99">
        <v>49.9</v>
      </c>
      <c r="BY40" s="99">
        <f>(BX40)*a14a!$H$24/1000000</f>
        <v>5.7806693075779343</v>
      </c>
      <c r="BZ40" s="99">
        <v>175.2</v>
      </c>
      <c r="CA40" s="99">
        <f>(BZ40)*a14a!$I$24/1000000</f>
        <v>26.236753008686939</v>
      </c>
      <c r="CB40" s="99">
        <v>72.5</v>
      </c>
      <c r="CC40" s="99">
        <f>(CB40)*a14a!$J$24/1000000</f>
        <v>13.225697946572616</v>
      </c>
      <c r="CD40" s="99">
        <v>603.4</v>
      </c>
      <c r="CE40" s="99">
        <f t="shared" si="37"/>
        <v>69.631318061307297</v>
      </c>
      <c r="CF40" s="99">
        <f>'a1'!AD41/1000</f>
        <v>749.38900000000001</v>
      </c>
      <c r="CG40" s="100">
        <f t="shared" si="38"/>
        <v>92917.454167738382</v>
      </c>
      <c r="CH40" s="100">
        <f>CG40/'a8'!AA$39*100</f>
        <v>90917.27413673031</v>
      </c>
      <c r="CI40" s="99">
        <v>869</v>
      </c>
      <c r="CJ40" s="100">
        <f>(CI40)*a14a!$E$29/1000000</f>
        <v>62.600247390800156</v>
      </c>
      <c r="CK40" s="99">
        <v>877.3</v>
      </c>
      <c r="CL40" s="100">
        <f>(CK40)*a14a!$F$29/1000000</f>
        <v>78.997694240432935</v>
      </c>
      <c r="CM40" s="100">
        <v>883.5</v>
      </c>
      <c r="CN40" s="99">
        <f>(CM40)*a14a!$G$29/1000000</f>
        <v>95.467178198685744</v>
      </c>
      <c r="CO40" s="100">
        <v>518.29999999999995</v>
      </c>
      <c r="CP40" s="99">
        <f>(CO40)*a14a!$H$29/1000000</f>
        <v>64.726799382971194</v>
      </c>
      <c r="CQ40" s="99">
        <v>1934.4</v>
      </c>
      <c r="CR40" s="99">
        <f>(CQ40)*a14a!$I$29/1000000</f>
        <v>264.47756618167847</v>
      </c>
      <c r="CS40" s="99">
        <v>958</v>
      </c>
      <c r="CT40" s="99">
        <f>(CS40)*a14a!$J$29/1000000</f>
        <v>196.06310519867662</v>
      </c>
      <c r="CU40" s="99">
        <v>6040.3</v>
      </c>
      <c r="CV40" s="99">
        <f t="shared" si="39"/>
        <v>762.33259059324519</v>
      </c>
      <c r="CW40" s="99">
        <f>'a1'!AJ41/1000</f>
        <v>7485.8379999999997</v>
      </c>
      <c r="CX40" s="100">
        <f t="shared" si="40"/>
        <v>101836.6401454647</v>
      </c>
      <c r="CY40" s="100">
        <f>CX40/'a8'!AG$39*100</f>
        <v>103703.29953713308</v>
      </c>
      <c r="CZ40" s="99">
        <v>731.4</v>
      </c>
      <c r="DA40" s="100">
        <f>(CZ40)*a14a!$E$34/1000000</f>
        <v>49.31090637117795</v>
      </c>
      <c r="DB40" s="99">
        <v>1534.9</v>
      </c>
      <c r="DC40" s="100">
        <f>(DB40)*a14a!$F$34/1000000</f>
        <v>129.35348336943028</v>
      </c>
      <c r="DD40" s="99">
        <v>2027.8</v>
      </c>
      <c r="DE40" s="99">
        <f>(DD40)*a14a!$G$34/1000000</f>
        <v>205.07107452722448</v>
      </c>
      <c r="DF40" s="99">
        <v>932</v>
      </c>
      <c r="DG40" s="99">
        <f>(DF40)*a14a!$H$34/1000000</f>
        <v>106.80137885788183</v>
      </c>
      <c r="DH40" s="99">
        <v>2618</v>
      </c>
      <c r="DI40" s="99">
        <f>(DH40)*a14a!$I$34/1000000</f>
        <v>319.27221922242262</v>
      </c>
      <c r="DJ40" s="99">
        <v>1901.7</v>
      </c>
      <c r="DK40" s="99">
        <f>(DJ40)*a14a!$J$34/1000000</f>
        <v>349.36478941951844</v>
      </c>
      <c r="DL40" s="99">
        <v>9745.7000000000007</v>
      </c>
      <c r="DM40" s="99">
        <f t="shared" si="41"/>
        <v>1159.1738517676556</v>
      </c>
      <c r="DN40" s="99">
        <f>'a1'!AP41/1000</f>
        <v>12242.272999999999</v>
      </c>
      <c r="DO40" s="100">
        <f t="shared" si="42"/>
        <v>94686.162591510219</v>
      </c>
      <c r="DP40" s="100">
        <f>DO40/'a8'!AM$39*100</f>
        <v>96717.224301849041</v>
      </c>
      <c r="DQ40" s="99">
        <v>81.599999999999994</v>
      </c>
      <c r="DR40" s="100">
        <f>(DQ40)*a14a!$E$39/1000000</f>
        <v>7.2963683252252922</v>
      </c>
      <c r="DS40" s="99">
        <v>170.1</v>
      </c>
      <c r="DT40" s="100">
        <f>(DS40)*a14a!$F$39/1000000</f>
        <v>19.012136215086127</v>
      </c>
      <c r="DU40" s="99">
        <v>182.4</v>
      </c>
      <c r="DV40" s="99">
        <f>(DU40)*a14a!$G$39/1000000</f>
        <v>24.464293796343629</v>
      </c>
      <c r="DW40" s="99">
        <v>84.7</v>
      </c>
      <c r="DX40" s="99">
        <f>(DW40)*a14a!$H$39/1000000</f>
        <v>12.820293556564319</v>
      </c>
      <c r="DY40" s="99">
        <v>231.4</v>
      </c>
      <c r="DZ40" s="99">
        <f>(DY40)*a14a!$I$39/1000000</f>
        <v>38.896022193407873</v>
      </c>
      <c r="EA40" s="99">
        <v>124.9</v>
      </c>
      <c r="EB40" s="99">
        <f>(EA40)*a14a!$J$39/1000000</f>
        <v>27.675131661494721</v>
      </c>
      <c r="EC40" s="99">
        <v>875.2</v>
      </c>
      <c r="ED40" s="99">
        <f t="shared" si="43"/>
        <v>130.16424574812197</v>
      </c>
      <c r="EE40" s="99">
        <f>'a1'!AV41/1000</f>
        <v>1163.819</v>
      </c>
      <c r="EF40" s="100">
        <f t="shared" si="44"/>
        <v>111842.34468428679</v>
      </c>
      <c r="EG40" s="100">
        <f>EF40/'a8'!AS$39*100</f>
        <v>114475.27603304686</v>
      </c>
      <c r="EH40" s="99">
        <v>67.099999999999994</v>
      </c>
      <c r="EI40" s="100">
        <f>(EH40)*a14a!$E$44/1000000</f>
        <v>5.3531283041070044</v>
      </c>
      <c r="EJ40" s="99">
        <v>146.69999999999999</v>
      </c>
      <c r="EK40" s="100">
        <f>(EJ40)*a14a!$F$44/1000000</f>
        <v>14.629357716328196</v>
      </c>
      <c r="EL40" s="99">
        <v>152.69999999999999</v>
      </c>
      <c r="EM40" s="99">
        <f>(EL40)*a14a!$G$44/1000000</f>
        <v>18.273234546284787</v>
      </c>
      <c r="EN40" s="99">
        <v>66.7</v>
      </c>
      <c r="EO40" s="99">
        <f>(EN40)*a14a!$H$44/1000000</f>
        <v>10.202843766638642</v>
      </c>
      <c r="EP40" s="99">
        <v>219.7</v>
      </c>
      <c r="EQ40" s="99">
        <f>(EP40)*a14a!$I$44/1000000</f>
        <v>36.12783651294955</v>
      </c>
      <c r="ER40" s="99">
        <v>93.2</v>
      </c>
      <c r="ES40" s="99">
        <f>(ER40)*a14a!$J$44/1000000</f>
        <v>31.754962352914387</v>
      </c>
      <c r="ET40" s="99">
        <v>746.2</v>
      </c>
      <c r="EU40" s="99">
        <f t="shared" si="45"/>
        <v>116.34136319922257</v>
      </c>
      <c r="EV40" s="99">
        <f>'a1'!BB41/1000</f>
        <v>996.48299999999995</v>
      </c>
      <c r="EW40" s="100">
        <f t="shared" si="46"/>
        <v>116751.9799125751</v>
      </c>
      <c r="EX40" s="100">
        <f>EW40/'a8'!AY$39*100</f>
        <v>121490.09356147253</v>
      </c>
      <c r="EY40" s="99">
        <v>133.30000000000001</v>
      </c>
      <c r="EZ40" s="100">
        <f>(EY40)*a14a!$E$49/1000000</f>
        <v>9.0070504982719157</v>
      </c>
      <c r="FA40" s="99">
        <v>429.7</v>
      </c>
      <c r="FB40" s="100">
        <f>(FA40)*a14a!$F$49/1000000</f>
        <v>36.293413344968513</v>
      </c>
      <c r="FC40" s="99">
        <v>518</v>
      </c>
      <c r="FD40" s="99">
        <f>(FC40)*a14a!$G$49/1000000</f>
        <v>52.50171220673127</v>
      </c>
      <c r="FE40" s="99">
        <v>256.8</v>
      </c>
      <c r="FF40" s="99">
        <f>(FE40)*a14a!$H$49/1000000</f>
        <v>30.227094520437461</v>
      </c>
      <c r="FG40" s="99">
        <v>748</v>
      </c>
      <c r="FH40" s="99">
        <f>(FG40)*a14a!$I$49/1000000</f>
        <v>90.721946741049564</v>
      </c>
      <c r="FI40" s="99">
        <v>396.8</v>
      </c>
      <c r="FJ40" s="99">
        <f>(FI40)*a14a!$J$49/1000000</f>
        <v>85.330733717695395</v>
      </c>
      <c r="FK40" s="99">
        <v>2482.6</v>
      </c>
      <c r="FL40" s="99">
        <f t="shared" si="47"/>
        <v>304.08195102915414</v>
      </c>
      <c r="FM40" s="99">
        <f>'a1'!BH41/1000</f>
        <v>3183.3960000000002</v>
      </c>
      <c r="FN40" s="100">
        <f t="shared" si="48"/>
        <v>95521.245559507559</v>
      </c>
      <c r="FO40" s="100">
        <f>FN40/'a8'!BE$39*100</f>
        <v>93100.629200299765</v>
      </c>
      <c r="FP40" s="99">
        <v>179.2</v>
      </c>
      <c r="FQ40" s="100">
        <f>(FP40)*a14a!$E$54/1000000</f>
        <v>13.963701948098208</v>
      </c>
      <c r="FR40" s="99">
        <v>500.1</v>
      </c>
      <c r="FS40" s="100">
        <f>(FR40)*a14a!$F$54/1000000</f>
        <v>48.711267747237123</v>
      </c>
      <c r="FT40" s="99">
        <v>721.8</v>
      </c>
      <c r="FU40" s="99">
        <f>(FT40)*a14a!$G$54/1000000</f>
        <v>84.366630017890245</v>
      </c>
      <c r="FV40" s="99">
        <v>423.2</v>
      </c>
      <c r="FW40" s="99">
        <f>(FV40)*a14a!$H$54/1000000</f>
        <v>57.161040519167599</v>
      </c>
      <c r="FX40" s="99">
        <v>913.8</v>
      </c>
      <c r="FY40" s="99">
        <f>(FX40)*a14a!$I$54/1000000</f>
        <v>128.63684765993142</v>
      </c>
      <c r="FZ40" s="99">
        <v>576.9</v>
      </c>
      <c r="GA40" s="99">
        <f>(FZ40)*a14a!$J$54/1000000</f>
        <v>137.88720100431806</v>
      </c>
      <c r="GB40" s="99">
        <v>3315</v>
      </c>
      <c r="GC40" s="99">
        <f t="shared" ref="GC40:GC45" si="50">(FQ40)+(FS40)+(FU40)+(FW40)+(FY40)+(GA40)</f>
        <v>470.72668889664271</v>
      </c>
      <c r="GD40" s="99">
        <f>'a1'!BN41/1000</f>
        <v>4122.3959999999997</v>
      </c>
      <c r="GE40" s="100">
        <f t="shared" si="49"/>
        <v>114187.64449039896</v>
      </c>
      <c r="GF40" s="100">
        <f>GE40/'a8'!BK$39*100</f>
        <v>114073.57091947949</v>
      </c>
    </row>
    <row r="41" spans="1:188" s="26" customFormat="1" ht="16.5" customHeight="1">
      <c r="A41" s="202">
        <v>2004</v>
      </c>
      <c r="B41" s="99">
        <v>2225.5</v>
      </c>
      <c r="C41" s="168">
        <f>B41*a14a!$E$4/1000000</f>
        <v>157.42302663240289</v>
      </c>
      <c r="D41" s="99">
        <v>4005.5</v>
      </c>
      <c r="E41" s="168">
        <f>D41*a14a!$F$4/1000000</f>
        <v>354.16644190973358</v>
      </c>
      <c r="F41" s="99">
        <v>4905.3999999999996</v>
      </c>
      <c r="G41" s="99">
        <f>F41*a14a!$G$4/1000000</f>
        <v>520.48275545445233</v>
      </c>
      <c r="H41" s="99">
        <v>2474.1999999999998</v>
      </c>
      <c r="I41" s="168">
        <f>H41*a14a!$H$4/1000000</f>
        <v>301.81403900990847</v>
      </c>
      <c r="J41" s="99">
        <v>7449.1</v>
      </c>
      <c r="K41" s="168">
        <f>J41*a14a!$I$4/1000000</f>
        <v>975.22918577487133</v>
      </c>
      <c r="L41" s="99">
        <v>4371.3999999999996</v>
      </c>
      <c r="M41" s="168">
        <f>L41*a14a!$J$4/1000000</f>
        <v>886.83048073056352</v>
      </c>
      <c r="N41" s="183">
        <v>25431</v>
      </c>
      <c r="O41" s="99">
        <f t="shared" si="29"/>
        <v>3195.9459295119323</v>
      </c>
      <c r="P41" s="168">
        <f>'a1'!F42/1000</f>
        <v>31940.675999999999</v>
      </c>
      <c r="Q41" s="100">
        <f t="shared" si="30"/>
        <v>100058.80681773712</v>
      </c>
      <c r="R41" s="168">
        <f>Q41/'a8'!C$39*100</f>
        <v>101171.69546788384</v>
      </c>
      <c r="S41" s="99">
        <v>58.6</v>
      </c>
      <c r="T41" s="100">
        <f>(S41)*a14a!$E$9/1000000</f>
        <v>3.9842783934895811</v>
      </c>
      <c r="U41" s="99">
        <v>83.4</v>
      </c>
      <c r="V41" s="100">
        <f>(U41)*a14a!$F$9/1000000</f>
        <v>7.0880720566772837</v>
      </c>
      <c r="W41" s="99">
        <v>67</v>
      </c>
      <c r="X41" s="99">
        <f>(W41)*a14a!$G$9/1000000</f>
        <v>6.8331054359334971</v>
      </c>
      <c r="Y41" s="99">
        <v>36.200000000000003</v>
      </c>
      <c r="Z41" s="99">
        <f>(Y41)*a14a!$H$9/1000000</f>
        <v>4.4983060841350317</v>
      </c>
      <c r="AA41" s="99">
        <v>140.19999999999999</v>
      </c>
      <c r="AB41" s="99">
        <f>(AA41)*a14a!$I$9/1000000</f>
        <v>20.750892467008402</v>
      </c>
      <c r="AC41" s="99">
        <v>42.7</v>
      </c>
      <c r="AD41" s="99">
        <f>(AC41)*a14a!$J$9/1000000</f>
        <v>8.9537514417402075</v>
      </c>
      <c r="AE41" s="99">
        <v>428.1</v>
      </c>
      <c r="AF41" s="99">
        <f t="shared" si="31"/>
        <v>52.108405878984001</v>
      </c>
      <c r="AG41" s="99">
        <f>'a1'!L42/1000</f>
        <v>517.447</v>
      </c>
      <c r="AH41" s="100">
        <f t="shared" si="32"/>
        <v>100702.88527904115</v>
      </c>
      <c r="AI41" s="100">
        <f>AH41/'a8'!I$39*100</f>
        <v>101107.31453718992</v>
      </c>
      <c r="AJ41" s="99">
        <v>10.199999999999999</v>
      </c>
      <c r="AK41" s="100">
        <f>(AJ41)*a14a!$E$14/1000000</f>
        <v>0.57383452368222254</v>
      </c>
      <c r="AL41" s="99">
        <v>22.9</v>
      </c>
      <c r="AM41" s="100">
        <f>(AL41)*a14a!$F$14/1000000</f>
        <v>1.610393454941532</v>
      </c>
      <c r="AN41" s="99">
        <v>17.8</v>
      </c>
      <c r="AO41" s="99">
        <f>(AN41)*a14a!$G$14/1000000</f>
        <v>1.5020962531681712</v>
      </c>
      <c r="AP41" s="99">
        <v>8.5</v>
      </c>
      <c r="AQ41" s="99">
        <f>(AP41)*a14a!$H$14/1000000</f>
        <v>0.92384760165473179</v>
      </c>
      <c r="AR41" s="99">
        <v>36.5</v>
      </c>
      <c r="AS41" s="99">
        <f>(AR41)*a14a!$I$14/1000000</f>
        <v>5.20029228585281</v>
      </c>
      <c r="AT41" s="99">
        <v>14.6</v>
      </c>
      <c r="AU41" s="99">
        <f>(AT41)*a14a!$J$14/1000000</f>
        <v>2.6597817694162691</v>
      </c>
      <c r="AV41" s="99">
        <v>110.5</v>
      </c>
      <c r="AW41" s="99">
        <f t="shared" si="33"/>
        <v>12.470245888715738</v>
      </c>
      <c r="AX41" s="99">
        <f>'a1'!R42/1000</f>
        <v>137.67400000000001</v>
      </c>
      <c r="AY41" s="100">
        <f t="shared" si="34"/>
        <v>90578.074935832017</v>
      </c>
      <c r="AZ41" s="100">
        <f>AY41/'a8'!O$39*100</f>
        <v>93283.29035616068</v>
      </c>
      <c r="BA41" s="99">
        <v>58</v>
      </c>
      <c r="BB41" s="100">
        <f>(BA41)*a14a!$E$19/1000000</f>
        <v>3.4533718926013801</v>
      </c>
      <c r="BC41" s="99">
        <v>152.69999999999999</v>
      </c>
      <c r="BD41" s="100">
        <f>(BC41)*a14a!$F$19/1000000</f>
        <v>11.364868275867041</v>
      </c>
      <c r="BE41" s="99">
        <v>115</v>
      </c>
      <c r="BF41" s="99">
        <f>(BE41)*a14a!$G$19/1000000</f>
        <v>10.270804335754104</v>
      </c>
      <c r="BG41" s="99">
        <v>61.6</v>
      </c>
      <c r="BH41" s="99">
        <f>(BG41)*a14a!$H$19/1000000</f>
        <v>6.5103545667507792</v>
      </c>
      <c r="BI41" s="99">
        <v>252.3</v>
      </c>
      <c r="BJ41" s="99">
        <f>(BI41)*a14a!$I$19/1000000</f>
        <v>29.927157591251039</v>
      </c>
      <c r="BK41" s="99">
        <v>118.6</v>
      </c>
      <c r="BL41" s="99">
        <f>(BK41)*a14a!$J$19/1000000</f>
        <v>21.325304844527047</v>
      </c>
      <c r="BM41" s="99">
        <v>758.2</v>
      </c>
      <c r="BN41" s="99">
        <f t="shared" si="35"/>
        <v>82.851861506751391</v>
      </c>
      <c r="BO41" s="99">
        <f>'a1'!X42/1000</f>
        <v>939.37599999999998</v>
      </c>
      <c r="BP41" s="100">
        <f t="shared" si="36"/>
        <v>88198.827207371054</v>
      </c>
      <c r="BQ41" s="100">
        <f>BP41/'a8'!U$39*100</f>
        <v>88642.037394342769</v>
      </c>
      <c r="BR41" s="99">
        <v>74.2</v>
      </c>
      <c r="BS41" s="100">
        <f>(BR41)*a14a!$E$24/1000000</f>
        <v>4.5786685474007482</v>
      </c>
      <c r="BT41" s="99">
        <v>101.7</v>
      </c>
      <c r="BU41" s="100">
        <f>(BT41)*a14a!$F$24/1000000</f>
        <v>7.8445180470124001</v>
      </c>
      <c r="BV41" s="99">
        <v>123.7</v>
      </c>
      <c r="BW41" s="99">
        <f>(BV41)*a14a!$G$24/1000000</f>
        <v>11.449756724665885</v>
      </c>
      <c r="BX41" s="99">
        <v>48.5</v>
      </c>
      <c r="BY41" s="99">
        <f>(BX41)*a14a!$H$24/1000000</f>
        <v>5.618486200752101</v>
      </c>
      <c r="BZ41" s="99">
        <v>182</v>
      </c>
      <c r="CA41" s="99">
        <f>(BZ41)*a14a!$I$24/1000000</f>
        <v>27.255074472494428</v>
      </c>
      <c r="CB41" s="99">
        <v>75.099999999999994</v>
      </c>
      <c r="CC41" s="99">
        <f>(CB41)*a14a!$J$24/1000000</f>
        <v>13.699998838449703</v>
      </c>
      <c r="CD41" s="99">
        <v>605.29999999999995</v>
      </c>
      <c r="CE41" s="99">
        <f t="shared" si="37"/>
        <v>70.446502830775273</v>
      </c>
      <c r="CF41" s="99">
        <f>'a1'!AD42/1000</f>
        <v>749.36900000000003</v>
      </c>
      <c r="CG41" s="100">
        <f t="shared" si="38"/>
        <v>94007.762305053009</v>
      </c>
      <c r="CH41" s="100">
        <f>CG41/'a8'!AA$39*100</f>
        <v>91984.111844474566</v>
      </c>
      <c r="CI41" s="99">
        <v>854.6</v>
      </c>
      <c r="CJ41" s="100">
        <f>(CI41)*a14a!$E$29/1000000</f>
        <v>61.562913026671829</v>
      </c>
      <c r="CK41" s="99">
        <v>873.8</v>
      </c>
      <c r="CL41" s="100">
        <f>(CK41)*a14a!$F$29/1000000</f>
        <v>78.682531890220332</v>
      </c>
      <c r="CM41" s="100">
        <v>909.3</v>
      </c>
      <c r="CN41" s="99">
        <f>(CM41)*a14a!$G$29/1000000</f>
        <v>98.255014302280628</v>
      </c>
      <c r="CO41" s="100">
        <v>510.5</v>
      </c>
      <c r="CP41" s="99">
        <f>(CO41)*a14a!$H$29/1000000</f>
        <v>63.752712878654826</v>
      </c>
      <c r="CQ41" s="99">
        <v>1965.1</v>
      </c>
      <c r="CR41" s="99">
        <f>(CQ41)*a14a!$I$29/1000000</f>
        <v>268.67497172436737</v>
      </c>
      <c r="CS41" s="99">
        <v>984.8</v>
      </c>
      <c r="CT41" s="99">
        <f>(CS41)*a14a!$J$29/1000000</f>
        <v>201.54796033367091</v>
      </c>
      <c r="CU41" s="99">
        <v>6098.2</v>
      </c>
      <c r="CV41" s="99">
        <f t="shared" si="39"/>
        <v>772.47610415586587</v>
      </c>
      <c r="CW41" s="99">
        <f>'a1'!AJ42/1000</f>
        <v>7535.9290000000001</v>
      </c>
      <c r="CX41" s="100">
        <f t="shared" si="40"/>
        <v>102505.75664339006</v>
      </c>
      <c r="CY41" s="100">
        <f>CX41/'a8'!AG$39*100</f>
        <v>104384.68089958256</v>
      </c>
      <c r="CZ41" s="99">
        <v>736</v>
      </c>
      <c r="DA41" s="100">
        <f>(CZ41)*a14a!$E$34/1000000</f>
        <v>49.621037857789133</v>
      </c>
      <c r="DB41" s="99">
        <v>1513.8</v>
      </c>
      <c r="DC41" s="100">
        <f>(DB41)*a14a!$F$34/1000000</f>
        <v>127.57528381304549</v>
      </c>
      <c r="DD41" s="99">
        <v>2036.4</v>
      </c>
      <c r="DE41" s="99">
        <f>(DD41)*a14a!$G$34/1000000</f>
        <v>205.94079108750367</v>
      </c>
      <c r="DF41" s="99">
        <v>984</v>
      </c>
      <c r="DG41" s="99">
        <f>(DF41)*a14a!$H$34/1000000</f>
        <v>112.76025407312846</v>
      </c>
      <c r="DH41" s="99">
        <v>2705.9</v>
      </c>
      <c r="DI41" s="99">
        <f>(DH41)*a14a!$I$34/1000000</f>
        <v>329.99186325208302</v>
      </c>
      <c r="DJ41" s="99">
        <v>1927.4</v>
      </c>
      <c r="DK41" s="99">
        <f>(DJ41)*a14a!$J$34/1000000</f>
        <v>354.08618348171632</v>
      </c>
      <c r="DL41" s="99">
        <v>9903.5</v>
      </c>
      <c r="DM41" s="99">
        <f t="shared" si="41"/>
        <v>1179.9754135652661</v>
      </c>
      <c r="DN41" s="99">
        <f>'a1'!AP42/1000</f>
        <v>12390.599</v>
      </c>
      <c r="DO41" s="100">
        <f t="shared" si="42"/>
        <v>95231.506851707978</v>
      </c>
      <c r="DP41" s="100">
        <f>DO41/'a8'!AM$39*100</f>
        <v>97274.266447097005</v>
      </c>
      <c r="DQ41" s="99">
        <v>74.5</v>
      </c>
      <c r="DR41" s="100">
        <f>(DQ41)*a14a!$E$39/1000000</f>
        <v>6.6615127479078957</v>
      </c>
      <c r="DS41" s="99">
        <v>172.9</v>
      </c>
      <c r="DT41" s="100">
        <f>(DS41)*a14a!$F$39/1000000</f>
        <v>19.325093189820056</v>
      </c>
      <c r="DU41" s="99">
        <v>186.7</v>
      </c>
      <c r="DV41" s="99">
        <f>(DU41)*a14a!$G$39/1000000</f>
        <v>25.041028792639008</v>
      </c>
      <c r="DW41" s="99">
        <v>89.6</v>
      </c>
      <c r="DX41" s="99">
        <f>(DW41)*a14a!$H$39/1000000</f>
        <v>13.56196343173746</v>
      </c>
      <c r="DY41" s="99">
        <v>231.5</v>
      </c>
      <c r="DZ41" s="99">
        <f>(DY41)*a14a!$I$39/1000000</f>
        <v>38.912831191762841</v>
      </c>
      <c r="EA41" s="99">
        <v>129.5</v>
      </c>
      <c r="EB41" s="99">
        <f>(EA41)*a14a!$J$39/1000000</f>
        <v>28.694391914840406</v>
      </c>
      <c r="EC41" s="99">
        <v>884.7</v>
      </c>
      <c r="ED41" s="99">
        <f t="shared" si="43"/>
        <v>132.19682126870765</v>
      </c>
      <c r="EE41" s="99">
        <f>'a1'!AV42/1000</f>
        <v>1173.566</v>
      </c>
      <c r="EF41" s="100">
        <f t="shared" si="44"/>
        <v>112645.40832702008</v>
      </c>
      <c r="EG41" s="100">
        <f>EF41/'a8'!AS$39*100</f>
        <v>115297.24496112597</v>
      </c>
      <c r="EH41" s="99">
        <v>63.8</v>
      </c>
      <c r="EI41" s="100">
        <f>(EH41)*a14a!$E$44/1000000</f>
        <v>5.089859698986988</v>
      </c>
      <c r="EJ41" s="99">
        <v>147.5</v>
      </c>
      <c r="EK41" s="100">
        <f>(EJ41)*a14a!$F$44/1000000</f>
        <v>14.709136081516082</v>
      </c>
      <c r="EL41" s="99">
        <v>159</v>
      </c>
      <c r="EM41" s="99">
        <f>(EL41)*a14a!$G$44/1000000</f>
        <v>19.027140097310294</v>
      </c>
      <c r="EN41" s="99">
        <v>69.5</v>
      </c>
      <c r="EO41" s="99">
        <f>(EN41)*a14a!$H$44/1000000</f>
        <v>10.631149052194687</v>
      </c>
      <c r="EP41" s="99">
        <v>215.1</v>
      </c>
      <c r="EQ41" s="99">
        <f>(EP41)*a14a!$I$44/1000000</f>
        <v>35.371404797157247</v>
      </c>
      <c r="ER41" s="99">
        <v>94.6</v>
      </c>
      <c r="ES41" s="99">
        <f>(ER41)*a14a!$J$44/1000000</f>
        <v>32.231968225168465</v>
      </c>
      <c r="ET41" s="99">
        <v>749.5</v>
      </c>
      <c r="EU41" s="99">
        <f t="shared" si="45"/>
        <v>117.06065795233377</v>
      </c>
      <c r="EV41" s="99">
        <f>'a1'!BB42/1000</f>
        <v>997.447</v>
      </c>
      <c r="EW41" s="100">
        <f t="shared" si="46"/>
        <v>117360.27874396712</v>
      </c>
      <c r="EX41" s="100">
        <f>EW41/'a8'!AY$39*100</f>
        <v>122123.07881786383</v>
      </c>
      <c r="EY41" s="99">
        <v>125</v>
      </c>
      <c r="EZ41" s="100">
        <f>(EY41)*a14a!$E$49/1000000</f>
        <v>8.4462213974792899</v>
      </c>
      <c r="FA41" s="99">
        <v>438.7</v>
      </c>
      <c r="FB41" s="100">
        <f>(FA41)*a14a!$F$49/1000000</f>
        <v>37.053573270741651</v>
      </c>
      <c r="FC41" s="99">
        <v>551.79999999999995</v>
      </c>
      <c r="FD41" s="99">
        <f>(FC41)*a14a!$G$49/1000000</f>
        <v>55.927499605548867</v>
      </c>
      <c r="FE41" s="99">
        <v>257.7</v>
      </c>
      <c r="FF41" s="99">
        <f>(FE41)*a14a!$H$49/1000000</f>
        <v>30.333030599364225</v>
      </c>
      <c r="FG41" s="99">
        <v>766.4</v>
      </c>
      <c r="FH41" s="99">
        <f>(FG41)*a14a!$I$49/1000000</f>
        <v>92.953609602059331</v>
      </c>
      <c r="FI41" s="99">
        <v>399.1</v>
      </c>
      <c r="FJ41" s="99">
        <f>(FI41)*a14a!$J$49/1000000</f>
        <v>85.82534230527277</v>
      </c>
      <c r="FK41" s="99">
        <v>2538.6</v>
      </c>
      <c r="FL41" s="99">
        <f t="shared" si="47"/>
        <v>310.53927678046614</v>
      </c>
      <c r="FM41" s="99">
        <f>'a1'!BH42/1000</f>
        <v>3239.471</v>
      </c>
      <c r="FN41" s="100">
        <f t="shared" si="48"/>
        <v>95861.107193262767</v>
      </c>
      <c r="FO41" s="100">
        <f>FN41/'a8'!BE$39*100</f>
        <v>93431.878356006593</v>
      </c>
      <c r="FP41" s="99">
        <v>170.6</v>
      </c>
      <c r="FQ41" s="100">
        <f>(FP41)*a14a!$E$54/1000000</f>
        <v>13.293568930499745</v>
      </c>
      <c r="FR41" s="99">
        <v>498</v>
      </c>
      <c r="FS41" s="100">
        <f>(FR41)*a14a!$F$54/1000000</f>
        <v>48.50672133198178</v>
      </c>
      <c r="FT41" s="99">
        <v>738.5</v>
      </c>
      <c r="FU41" s="99">
        <f>(FT41)*a14a!$G$54/1000000</f>
        <v>86.318587237755537</v>
      </c>
      <c r="FV41" s="99">
        <v>408</v>
      </c>
      <c r="FW41" s="99">
        <f>(FV41)*a14a!$H$54/1000000</f>
        <v>55.107997475946085</v>
      </c>
      <c r="FX41" s="99">
        <v>954.1</v>
      </c>
      <c r="FY41" s="99">
        <f>(FX41)*a14a!$I$54/1000000</f>
        <v>134.30993253703278</v>
      </c>
      <c r="FZ41" s="99">
        <v>585.1</v>
      </c>
      <c r="GA41" s="99">
        <f>(FZ41)*a14a!$J$54/1000000</f>
        <v>139.84711615119866</v>
      </c>
      <c r="GB41" s="99">
        <v>3354.4</v>
      </c>
      <c r="GC41" s="99">
        <f t="shared" si="50"/>
        <v>477.38392366441462</v>
      </c>
      <c r="GD41" s="99">
        <f>'a1'!BN42/1000</f>
        <v>4155.17</v>
      </c>
      <c r="GE41" s="100">
        <f t="shared" si="49"/>
        <v>114889.14380504639</v>
      </c>
      <c r="GF41" s="100">
        <f>GE41/'a8'!BK$39*100</f>
        <v>114774.36943561079</v>
      </c>
    </row>
    <row r="42" spans="1:188" s="26" customFormat="1" ht="16.5" customHeight="1">
      <c r="A42" s="202">
        <v>2005</v>
      </c>
      <c r="B42" s="99">
        <v>2166.9</v>
      </c>
      <c r="C42" s="168">
        <f>B42*a14a!$E$4/1000000</f>
        <v>153.27789548854363</v>
      </c>
      <c r="D42" s="99">
        <v>3944.5</v>
      </c>
      <c r="E42" s="168">
        <f>D42*a14a!$F$4/1000000</f>
        <v>348.77281990087238</v>
      </c>
      <c r="F42" s="99">
        <v>5119.2</v>
      </c>
      <c r="G42" s="99">
        <f>F42*a14a!$G$4/1000000</f>
        <v>543.16779910352511</v>
      </c>
      <c r="H42" s="99">
        <v>2215.8000000000002</v>
      </c>
      <c r="I42" s="168">
        <f>H42*a14a!$H$4/1000000</f>
        <v>270.29324534724577</v>
      </c>
      <c r="J42" s="99">
        <v>7672.9</v>
      </c>
      <c r="K42" s="168">
        <f>J42*a14a!$I$4/1000000</f>
        <v>1004.5288718814365</v>
      </c>
      <c r="L42" s="99">
        <v>4660.5</v>
      </c>
      <c r="M42" s="168">
        <f>L42*a14a!$J$4/1000000</f>
        <v>945.48049948409925</v>
      </c>
      <c r="N42" s="183">
        <v>25779.8</v>
      </c>
      <c r="O42" s="99">
        <f t="shared" si="29"/>
        <v>3265.5211312057231</v>
      </c>
      <c r="P42" s="168">
        <f>'a1'!F43/1000</f>
        <v>32245.208999999999</v>
      </c>
      <c r="Q42" s="100">
        <f t="shared" si="30"/>
        <v>101271.51389236531</v>
      </c>
      <c r="R42" s="168">
        <f>Q42/'a8'!C$39*100</f>
        <v>102397.8906899548</v>
      </c>
      <c r="S42" s="99">
        <v>54.2</v>
      </c>
      <c r="T42" s="100">
        <f>(S42)*a14a!$E$9/1000000</f>
        <v>3.6851175584835376</v>
      </c>
      <c r="U42" s="99">
        <v>81.2</v>
      </c>
      <c r="V42" s="100">
        <f>(U42)*a14a!$F$9/1000000</f>
        <v>6.9010965347985067</v>
      </c>
      <c r="W42" s="99">
        <v>71.3</v>
      </c>
      <c r="X42" s="99">
        <f>(W42)*a14a!$G$9/1000000</f>
        <v>7.2716480236128112</v>
      </c>
      <c r="Y42" s="99">
        <v>31.7</v>
      </c>
      <c r="Z42" s="99">
        <f>(Y42)*a14a!$H$9/1000000</f>
        <v>3.9391243885933838</v>
      </c>
      <c r="AA42" s="99">
        <v>144.4</v>
      </c>
      <c r="AB42" s="99">
        <f>(AA42)*a14a!$I$9/1000000</f>
        <v>21.372531185706229</v>
      </c>
      <c r="AC42" s="99">
        <v>44.8</v>
      </c>
      <c r="AD42" s="99">
        <f>(AC42)*a14a!$J$9/1000000</f>
        <v>9.3940998733012009</v>
      </c>
      <c r="AE42" s="99">
        <v>427.6</v>
      </c>
      <c r="AF42" s="99">
        <f t="shared" si="31"/>
        <v>52.563617564495672</v>
      </c>
      <c r="AG42" s="99">
        <f>'a1'!L43/1000</f>
        <v>514.36300000000006</v>
      </c>
      <c r="AH42" s="100">
        <f t="shared" si="32"/>
        <v>102191.6770150568</v>
      </c>
      <c r="AI42" s="100">
        <f>AH42/'a8'!I$39*100</f>
        <v>102602.08535648274</v>
      </c>
      <c r="AJ42" s="99">
        <v>9.3000000000000007</v>
      </c>
      <c r="AK42" s="100">
        <f>(AJ42)*a14a!$E$14/1000000</f>
        <v>0.52320206571026184</v>
      </c>
      <c r="AL42" s="99">
        <v>22.6</v>
      </c>
      <c r="AM42" s="100">
        <f>(AL42)*a14a!$F$14/1000000</f>
        <v>1.5892965974532149</v>
      </c>
      <c r="AN42" s="99">
        <v>20.2</v>
      </c>
      <c r="AO42" s="99">
        <f>(AN42)*a14a!$G$14/1000000</f>
        <v>1.7046260850560144</v>
      </c>
      <c r="AP42" s="99">
        <v>8.1</v>
      </c>
      <c r="AQ42" s="99">
        <f>(AP42)*a14a!$H$14/1000000</f>
        <v>0.88037242040039143</v>
      </c>
      <c r="AR42" s="99">
        <v>36.6</v>
      </c>
      <c r="AS42" s="99">
        <f>(AR42)*a14a!$I$14/1000000</f>
        <v>5.214539661978435</v>
      </c>
      <c r="AT42" s="99">
        <v>14.6</v>
      </c>
      <c r="AU42" s="99">
        <f>(AT42)*a14a!$J$14/1000000</f>
        <v>2.6597817694162691</v>
      </c>
      <c r="AV42" s="99">
        <v>111.4</v>
      </c>
      <c r="AW42" s="99">
        <f t="shared" si="33"/>
        <v>12.571818600014588</v>
      </c>
      <c r="AX42" s="99">
        <f>'a1'!R43/1000</f>
        <v>138.05500000000001</v>
      </c>
      <c r="AY42" s="100">
        <f t="shared" si="34"/>
        <v>91063.841222806761</v>
      </c>
      <c r="AZ42" s="100">
        <f>AY42/'a8'!O$39*100</f>
        <v>93783.564596093478</v>
      </c>
      <c r="BA42" s="99">
        <v>58</v>
      </c>
      <c r="BB42" s="100">
        <f>(BA42)*a14a!$E$19/1000000</f>
        <v>3.4533718926013801</v>
      </c>
      <c r="BC42" s="99">
        <v>146.6</v>
      </c>
      <c r="BD42" s="100">
        <f>(BC42)*a14a!$F$19/1000000</f>
        <v>10.91086895377936</v>
      </c>
      <c r="BE42" s="99">
        <v>130.30000000000001</v>
      </c>
      <c r="BF42" s="99">
        <f>(BE42)*a14a!$G$19/1000000</f>
        <v>11.637267869119652</v>
      </c>
      <c r="BG42" s="99">
        <v>56.9</v>
      </c>
      <c r="BH42" s="99">
        <f>(BG42)*a14a!$H$19/1000000</f>
        <v>6.0136229683136246</v>
      </c>
      <c r="BI42" s="99">
        <v>250.8</v>
      </c>
      <c r="BJ42" s="99">
        <f>(BI42)*a14a!$I$19/1000000</f>
        <v>29.74923156514372</v>
      </c>
      <c r="BK42" s="99">
        <v>118.4</v>
      </c>
      <c r="BL42" s="99">
        <f>(BK42)*a14a!$J$19/1000000</f>
        <v>21.28934311629007</v>
      </c>
      <c r="BM42" s="99">
        <v>761.1</v>
      </c>
      <c r="BN42" s="99">
        <f t="shared" si="35"/>
        <v>83.053706365247805</v>
      </c>
      <c r="BO42" s="99">
        <f>'a1'!X43/1000</f>
        <v>937.94100000000003</v>
      </c>
      <c r="BP42" s="100">
        <f t="shared" si="36"/>
        <v>88548.966689000488</v>
      </c>
      <c r="BQ42" s="100">
        <f>BP42/'a8'!U$39*100</f>
        <v>88993.936370854761</v>
      </c>
      <c r="BR42" s="99">
        <v>71</v>
      </c>
      <c r="BS42" s="100">
        <f>(BR42)*a14a!$E$24/1000000</f>
        <v>4.3812057529036803</v>
      </c>
      <c r="BT42" s="99">
        <v>102.7</v>
      </c>
      <c r="BU42" s="100">
        <f>(BT42)*a14a!$F$24/1000000</f>
        <v>7.9216519511128167</v>
      </c>
      <c r="BV42" s="99">
        <v>127.8</v>
      </c>
      <c r="BW42" s="99">
        <f>(BV42)*a14a!$G$24/1000000</f>
        <v>11.829255532839937</v>
      </c>
      <c r="BX42" s="99">
        <v>47</v>
      </c>
      <c r="BY42" s="99">
        <f>(BX42)*a14a!$H$24/1000000</f>
        <v>5.4447185862958509</v>
      </c>
      <c r="BZ42" s="99">
        <v>178.4</v>
      </c>
      <c r="CA42" s="99">
        <f>(BZ42)*a14a!$I$24/1000000</f>
        <v>26.71596310930223</v>
      </c>
      <c r="CB42" s="99">
        <v>79.5</v>
      </c>
      <c r="CC42" s="99">
        <f>(CB42)*a14a!$J$24/1000000</f>
        <v>14.502661886241698</v>
      </c>
      <c r="CD42" s="99">
        <v>606.4</v>
      </c>
      <c r="CE42" s="99">
        <f t="shared" si="37"/>
        <v>70.795456818696209</v>
      </c>
      <c r="CF42" s="99">
        <f>'a1'!AD43/1000</f>
        <v>747.96</v>
      </c>
      <c r="CG42" s="100">
        <f t="shared" si="38"/>
        <v>94651.394217199049</v>
      </c>
      <c r="CH42" s="100">
        <f>CG42/'a8'!AA$39*100</f>
        <v>92613.888666535277</v>
      </c>
      <c r="CI42" s="99">
        <v>827.6</v>
      </c>
      <c r="CJ42" s="100">
        <f>(CI42)*a14a!$E$29/1000000</f>
        <v>59.617911093931198</v>
      </c>
      <c r="CK42" s="99">
        <v>841.9</v>
      </c>
      <c r="CL42" s="100">
        <f>(CK42)*a14a!$F$29/1000000</f>
        <v>75.810052183996902</v>
      </c>
      <c r="CM42" s="100">
        <v>936.6</v>
      </c>
      <c r="CN42" s="99">
        <f>(CM42)*a14a!$G$29/1000000</f>
        <v>101.20493390027059</v>
      </c>
      <c r="CO42" s="100">
        <v>473.3</v>
      </c>
      <c r="CP42" s="99">
        <f>(CO42)*a14a!$H$29/1000000</f>
        <v>59.107069550376742</v>
      </c>
      <c r="CQ42" s="99">
        <v>2037.6</v>
      </c>
      <c r="CR42" s="99">
        <f>(CQ42)*a14a!$I$29/1000000</f>
        <v>278.58741152387717</v>
      </c>
      <c r="CS42" s="99">
        <v>1043</v>
      </c>
      <c r="CT42" s="99">
        <f>(CS42)*a14a!$J$29/1000000</f>
        <v>213.45910096265106</v>
      </c>
      <c r="CU42" s="99">
        <v>6160</v>
      </c>
      <c r="CV42" s="99">
        <f t="shared" si="39"/>
        <v>787.78647921510367</v>
      </c>
      <c r="CW42" s="99">
        <f>'a1'!AJ43/1000</f>
        <v>7581.9110000000001</v>
      </c>
      <c r="CX42" s="100">
        <f t="shared" si="40"/>
        <v>103903.41949610114</v>
      </c>
      <c r="CY42" s="100">
        <f>CX42/'a8'!AG$39*100</f>
        <v>105807.96282698691</v>
      </c>
      <c r="CZ42" s="99">
        <v>731.2</v>
      </c>
      <c r="DA42" s="100">
        <f>(CZ42)*a14a!$E$34/1000000</f>
        <v>49.297422393499211</v>
      </c>
      <c r="DB42" s="99">
        <v>1502.4</v>
      </c>
      <c r="DC42" s="100">
        <f>(DB42)*a14a!$F$34/1000000</f>
        <v>126.61455040343478</v>
      </c>
      <c r="DD42" s="99">
        <v>2126.8000000000002</v>
      </c>
      <c r="DE42" s="99">
        <f>(DD42)*a14a!$G$34/1000000</f>
        <v>215.0829279536942</v>
      </c>
      <c r="DF42" s="99">
        <v>821.7</v>
      </c>
      <c r="DG42" s="99">
        <f>(DF42)*a14a!$H$34/1000000</f>
        <v>94.161687776310643</v>
      </c>
      <c r="DH42" s="99">
        <v>2855.5</v>
      </c>
      <c r="DI42" s="99">
        <f>(DH42)*a14a!$I$34/1000000</f>
        <v>348.23599006479287</v>
      </c>
      <c r="DJ42" s="99">
        <v>2020.1</v>
      </c>
      <c r="DK42" s="99">
        <f>(DJ42)*a14a!$J$34/1000000</f>
        <v>371.11627023524704</v>
      </c>
      <c r="DL42" s="99">
        <v>10057.6</v>
      </c>
      <c r="DM42" s="99">
        <f t="shared" si="41"/>
        <v>1204.5088488269789</v>
      </c>
      <c r="DN42" s="99">
        <f>'a1'!AP43/1000</f>
        <v>12528.48</v>
      </c>
      <c r="DO42" s="100">
        <f t="shared" si="42"/>
        <v>96141.658750860355</v>
      </c>
      <c r="DP42" s="100">
        <f>DO42/'a8'!AM$39*100</f>
        <v>98203.941522839988</v>
      </c>
      <c r="DQ42" s="99">
        <v>69.400000000000006</v>
      </c>
      <c r="DR42" s="100">
        <f>(DQ42)*a14a!$E$39/1000000</f>
        <v>6.2054897275813161</v>
      </c>
      <c r="DS42" s="99">
        <v>174</v>
      </c>
      <c r="DT42" s="100">
        <f>(DS42)*a14a!$F$39/1000000</f>
        <v>19.448040572751239</v>
      </c>
      <c r="DU42" s="99">
        <v>192.1</v>
      </c>
      <c r="DV42" s="99">
        <f>(DU42)*a14a!$G$39/1000000</f>
        <v>25.765300648451813</v>
      </c>
      <c r="DW42" s="99">
        <v>86.6</v>
      </c>
      <c r="DX42" s="99">
        <f>(DW42)*a14a!$H$39/1000000</f>
        <v>13.10787983469268</v>
      </c>
      <c r="DY42" s="99">
        <v>234.6</v>
      </c>
      <c r="DZ42" s="99">
        <f>(DY42)*a14a!$I$39/1000000</f>
        <v>39.433910140767011</v>
      </c>
      <c r="EA42" s="99">
        <v>134.80000000000001</v>
      </c>
      <c r="EB42" s="99">
        <f>(EA42)*a14a!$J$39/1000000</f>
        <v>29.868756989347386</v>
      </c>
      <c r="EC42" s="99">
        <v>891.5</v>
      </c>
      <c r="ED42" s="99">
        <f t="shared" si="43"/>
        <v>133.82937791359143</v>
      </c>
      <c r="EE42" s="99">
        <f>'a1'!AV43/1000</f>
        <v>1178.3009999999999</v>
      </c>
      <c r="EF42" s="100">
        <f t="shared" si="44"/>
        <v>113578.2604899694</v>
      </c>
      <c r="EG42" s="100">
        <f>EF42/'a8'!AS$39*100</f>
        <v>116252.05781982538</v>
      </c>
      <c r="EH42" s="99">
        <v>58.3</v>
      </c>
      <c r="EI42" s="100">
        <f>(EH42)*a14a!$E$44/1000000</f>
        <v>4.6510786904536268</v>
      </c>
      <c r="EJ42" s="99">
        <v>146.19999999999999</v>
      </c>
      <c r="EK42" s="100">
        <f>(EJ42)*a14a!$F$44/1000000</f>
        <v>14.579496238085769</v>
      </c>
      <c r="EL42" s="99">
        <v>163.80000000000001</v>
      </c>
      <c r="EM42" s="99">
        <f>(EL42)*a14a!$G$44/1000000</f>
        <v>19.60154432666306</v>
      </c>
      <c r="EN42" s="99">
        <v>67.3</v>
      </c>
      <c r="EO42" s="99">
        <f>(EN42)*a14a!$H$44/1000000</f>
        <v>10.294623470686364</v>
      </c>
      <c r="EP42" s="99">
        <v>214.9</v>
      </c>
      <c r="EQ42" s="99">
        <f>(EP42)*a14a!$I$44/1000000</f>
        <v>35.338516461688016</v>
      </c>
      <c r="ER42" s="99">
        <v>99.8</v>
      </c>
      <c r="ES42" s="99">
        <f>(ER42)*a14a!$J$44/1000000</f>
        <v>34.003704322112185</v>
      </c>
      <c r="ET42" s="99">
        <v>750.3</v>
      </c>
      <c r="EU42" s="99">
        <f t="shared" si="45"/>
        <v>118.46896350968902</v>
      </c>
      <c r="EV42" s="99">
        <f>'a1'!BB43/1000</f>
        <v>993.57899999999995</v>
      </c>
      <c r="EW42" s="100">
        <f t="shared" si="46"/>
        <v>119234.56867515219</v>
      </c>
      <c r="EX42" s="100">
        <f>EW42/'a8'!AY$39*100</f>
        <v>124073.43254438313</v>
      </c>
      <c r="EY42" s="99">
        <v>119.5</v>
      </c>
      <c r="EZ42" s="100">
        <f>(EY42)*a14a!$E$49/1000000</f>
        <v>8.0745876559902019</v>
      </c>
      <c r="FA42" s="99">
        <v>425.8</v>
      </c>
      <c r="FB42" s="100">
        <f>(FA42)*a14a!$F$49/1000000</f>
        <v>35.964010710466816</v>
      </c>
      <c r="FC42" s="99">
        <v>581.4</v>
      </c>
      <c r="FD42" s="99">
        <f>(FC42)*a14a!$G$49/1000000</f>
        <v>58.927597445933515</v>
      </c>
      <c r="FE42" s="99">
        <v>237.1</v>
      </c>
      <c r="FF42" s="99">
        <f>(FE42)*a14a!$H$49/1000000</f>
        <v>27.908271459484894</v>
      </c>
      <c r="FG42" s="99">
        <v>774.7</v>
      </c>
      <c r="FH42" s="99">
        <f>(FG42)*a14a!$I$49/1000000</f>
        <v>93.960283610014841</v>
      </c>
      <c r="FI42" s="99">
        <v>474.7</v>
      </c>
      <c r="FJ42" s="99">
        <f>(FI42)*a14a!$J$49/1000000</f>
        <v>102.08291153172884</v>
      </c>
      <c r="FK42" s="99">
        <v>2613.1999999999998</v>
      </c>
      <c r="FL42" s="99">
        <f t="shared" si="47"/>
        <v>326.9176624136191</v>
      </c>
      <c r="FM42" s="99">
        <f>'a1'!BH43/1000</f>
        <v>3322.2</v>
      </c>
      <c r="FN42" s="100">
        <f t="shared" si="48"/>
        <v>98403.967977129345</v>
      </c>
      <c r="FO42" s="100">
        <f>FN42/'a8'!BE$39*100</f>
        <v>95910.300172640695</v>
      </c>
      <c r="FP42" s="99">
        <v>168.2</v>
      </c>
      <c r="FQ42" s="100">
        <f>(FP42)*a14a!$E$54/1000000</f>
        <v>13.10655506512343</v>
      </c>
      <c r="FR42" s="99">
        <v>501.1</v>
      </c>
      <c r="FS42" s="100">
        <f>(FR42)*a14a!$F$54/1000000</f>
        <v>48.808670802120623</v>
      </c>
      <c r="FT42" s="99">
        <v>768.9</v>
      </c>
      <c r="FU42" s="99">
        <f>(FT42)*a14a!$G$54/1000000</f>
        <v>89.871850679905521</v>
      </c>
      <c r="FV42" s="99">
        <v>386.1</v>
      </c>
      <c r="FW42" s="99">
        <f>(FV42)*a14a!$H$54/1000000</f>
        <v>52.149994670251921</v>
      </c>
      <c r="FX42" s="99">
        <v>945.3</v>
      </c>
      <c r="FY42" s="99">
        <f>(FX42)*a14a!$I$54/1000000</f>
        <v>133.07114477230593</v>
      </c>
      <c r="FZ42" s="99">
        <v>630.9</v>
      </c>
      <c r="GA42" s="99">
        <f>(FZ42)*a14a!$J$54/1000000</f>
        <v>150.79395928865358</v>
      </c>
      <c r="GB42" s="99">
        <v>3400.6</v>
      </c>
      <c r="GC42" s="99">
        <f t="shared" si="50"/>
        <v>487.80217527836101</v>
      </c>
      <c r="GD42" s="99">
        <f>'a1'!BN43/1000</f>
        <v>4196.7879999999996</v>
      </c>
      <c r="GE42" s="100">
        <f t="shared" si="49"/>
        <v>116232.26507470977</v>
      </c>
      <c r="GF42" s="100">
        <f>GE42/'a8'!BK$39*100</f>
        <v>116116.14892578397</v>
      </c>
    </row>
    <row r="43" spans="1:188" s="26" customFormat="1" ht="16.5" customHeight="1">
      <c r="A43" s="202">
        <v>2006</v>
      </c>
      <c r="B43" s="99">
        <v>2125.4</v>
      </c>
      <c r="C43" s="168">
        <f>B43*a14a!$E$4/1000000</f>
        <v>150.34235039519618</v>
      </c>
      <c r="D43" s="99">
        <v>3980.8</v>
      </c>
      <c r="E43" s="168">
        <f>D43*a14a!$F$4/1000000</f>
        <v>351.98246709630951</v>
      </c>
      <c r="F43" s="99">
        <v>5198.2</v>
      </c>
      <c r="G43" s="99">
        <f>F43*a14a!$G$4/1000000</f>
        <v>551.55001822549309</v>
      </c>
      <c r="H43" s="99">
        <v>2112.3000000000002</v>
      </c>
      <c r="I43" s="168">
        <f>H43*a14a!$H$4/1000000</f>
        <v>257.66785005279684</v>
      </c>
      <c r="J43" s="99">
        <v>7807.1</v>
      </c>
      <c r="K43" s="168">
        <f>J43*a14a!$I$4/1000000</f>
        <v>1022.098210020405</v>
      </c>
      <c r="L43" s="99">
        <v>4922.1000000000004</v>
      </c>
      <c r="M43" s="168">
        <f>L43*a14a!$J$4/1000000</f>
        <v>998.55156453399525</v>
      </c>
      <c r="N43" s="183">
        <v>26145.9</v>
      </c>
      <c r="O43" s="99">
        <f t="shared" si="29"/>
        <v>3332.192460324196</v>
      </c>
      <c r="P43" s="168">
        <f>'a1'!F44/1000</f>
        <v>32576.074000000001</v>
      </c>
      <c r="Q43" s="100">
        <f t="shared" si="30"/>
        <v>102289.56565865476</v>
      </c>
      <c r="R43" s="168">
        <f>Q43/'a8'!C$39*100</f>
        <v>103427.26558003515</v>
      </c>
      <c r="S43" s="99">
        <v>51.6</v>
      </c>
      <c r="T43" s="100">
        <f>(S43)*a14a!$E$9/1000000</f>
        <v>3.5083407014345118</v>
      </c>
      <c r="U43" s="99">
        <v>79.599999999999994</v>
      </c>
      <c r="V43" s="100">
        <f>(U43)*a14a!$F$9/1000000</f>
        <v>6.7651143370684856</v>
      </c>
      <c r="W43" s="99">
        <v>76.900000000000006</v>
      </c>
      <c r="X43" s="99">
        <f>(W43)*a14a!$G$9/1000000</f>
        <v>7.842773254078895</v>
      </c>
      <c r="Y43" s="99">
        <v>33.4</v>
      </c>
      <c r="Z43" s="99">
        <f>(Y43)*a14a!$H$9/1000000</f>
        <v>4.150370806909117</v>
      </c>
      <c r="AA43" s="99">
        <v>138.30000000000001</v>
      </c>
      <c r="AB43" s="99">
        <f>(AA43)*a14a!$I$9/1000000</f>
        <v>20.469674951407004</v>
      </c>
      <c r="AC43" s="99">
        <v>45.9</v>
      </c>
      <c r="AD43" s="99">
        <f>(AC43)*a14a!$J$9/1000000</f>
        <v>9.6247585755474336</v>
      </c>
      <c r="AE43" s="99">
        <v>425.8</v>
      </c>
      <c r="AF43" s="99">
        <f t="shared" si="31"/>
        <v>52.36103262644545</v>
      </c>
      <c r="AG43" s="99">
        <f>'a1'!L44/1000</f>
        <v>510.31299999999999</v>
      </c>
      <c r="AH43" s="100">
        <f t="shared" si="32"/>
        <v>102605.71967879606</v>
      </c>
      <c r="AI43" s="100">
        <f>AH43/'a8'!I$39*100</f>
        <v>103017.79084216473</v>
      </c>
      <c r="AJ43" s="99">
        <v>8.8000000000000007</v>
      </c>
      <c r="AK43" s="100">
        <f>(AJ43)*a14a!$E$14/1000000</f>
        <v>0.49507292239250589</v>
      </c>
      <c r="AL43" s="99">
        <v>23</v>
      </c>
      <c r="AM43" s="100">
        <f>(AL43)*a14a!$F$14/1000000</f>
        <v>1.6174257407709709</v>
      </c>
      <c r="AN43" s="99">
        <v>20.2</v>
      </c>
      <c r="AO43" s="99">
        <f>(AN43)*a14a!$G$14/1000000</f>
        <v>1.7046260850560144</v>
      </c>
      <c r="AP43" s="99">
        <v>8.6</v>
      </c>
      <c r="AQ43" s="99">
        <f>(AP43)*a14a!$H$14/1000000</f>
        <v>0.93471639696831677</v>
      </c>
      <c r="AR43" s="99">
        <v>35.799999999999997</v>
      </c>
      <c r="AS43" s="99">
        <f>(AR43)*a14a!$I$14/1000000</f>
        <v>5.1005606529734413</v>
      </c>
      <c r="AT43" s="99">
        <v>15.7</v>
      </c>
      <c r="AU43" s="99">
        <f>(AT43)*a14a!$J$14/1000000</f>
        <v>2.860176286290097</v>
      </c>
      <c r="AV43" s="99">
        <v>112</v>
      </c>
      <c r="AW43" s="99">
        <f t="shared" si="33"/>
        <v>12.712578084451346</v>
      </c>
      <c r="AX43" s="99">
        <f>'a1'!R44/1000</f>
        <v>137.91999999999999</v>
      </c>
      <c r="AY43" s="100">
        <f t="shared" si="34"/>
        <v>92173.564997472058</v>
      </c>
      <c r="AZ43" s="100">
        <f>AY43/'a8'!O$39*100</f>
        <v>94926.431511299757</v>
      </c>
      <c r="BA43" s="99">
        <v>57.1</v>
      </c>
      <c r="BB43" s="100">
        <f>(BA43)*a14a!$E$19/1000000</f>
        <v>3.3997850873713586</v>
      </c>
      <c r="BC43" s="99">
        <v>147.30000000000001</v>
      </c>
      <c r="BD43" s="100">
        <f>(BC43)*a14a!$F$19/1000000</f>
        <v>10.962967236641884</v>
      </c>
      <c r="BE43" s="99">
        <v>124</v>
      </c>
      <c r="BF43" s="99">
        <f>(BE43)*a14a!$G$19/1000000</f>
        <v>11.074606414204426</v>
      </c>
      <c r="BG43" s="99">
        <v>65.599999999999994</v>
      </c>
      <c r="BH43" s="99">
        <f>(BG43)*a14a!$H$19/1000000</f>
        <v>6.9331048632930372</v>
      </c>
      <c r="BI43" s="99">
        <v>246.3</v>
      </c>
      <c r="BJ43" s="99">
        <f>(BI43)*a14a!$I$19/1000000</f>
        <v>29.215453486821762</v>
      </c>
      <c r="BK43" s="99">
        <v>124</v>
      </c>
      <c r="BL43" s="99">
        <f>(BK43)*a14a!$J$19/1000000</f>
        <v>22.296271506925411</v>
      </c>
      <c r="BM43" s="99">
        <v>764.3</v>
      </c>
      <c r="BN43" s="99">
        <f t="shared" si="35"/>
        <v>83.882188595257873</v>
      </c>
      <c r="BO43" s="99">
        <f>'a1'!X44/1000</f>
        <v>938.01</v>
      </c>
      <c r="BP43" s="100">
        <f t="shared" si="36"/>
        <v>89425.686927919611</v>
      </c>
      <c r="BQ43" s="100">
        <f>BP43/'a8'!U$39*100</f>
        <v>89875.062239115185</v>
      </c>
      <c r="BR43" s="99">
        <v>68.8</v>
      </c>
      <c r="BS43" s="100">
        <f>(BR43)*a14a!$E$24/1000000</f>
        <v>4.2454500816869469</v>
      </c>
      <c r="BT43" s="99">
        <v>97</v>
      </c>
      <c r="BU43" s="100">
        <f>(BT43)*a14a!$F$24/1000000</f>
        <v>7.48198869774044</v>
      </c>
      <c r="BV43" s="99">
        <v>126.2</v>
      </c>
      <c r="BW43" s="99">
        <f>(BV43)*a14a!$G$24/1000000</f>
        <v>11.681158436967138</v>
      </c>
      <c r="BX43" s="99">
        <v>47.4</v>
      </c>
      <c r="BY43" s="99">
        <f>(BX43)*a14a!$H$24/1000000</f>
        <v>5.4910566168175174</v>
      </c>
      <c r="BZ43" s="99">
        <v>185.1</v>
      </c>
      <c r="CA43" s="99">
        <f>(BZ43)*a14a!$I$24/1000000</f>
        <v>27.719309257465486</v>
      </c>
      <c r="CB43" s="99">
        <v>82.1</v>
      </c>
      <c r="CC43" s="99">
        <f>(CB43)*a14a!$J$24/1000000</f>
        <v>14.976962778118784</v>
      </c>
      <c r="CD43" s="99">
        <v>606.70000000000005</v>
      </c>
      <c r="CE43" s="99">
        <f t="shared" si="37"/>
        <v>71.595925868796314</v>
      </c>
      <c r="CF43" s="99">
        <f>'a1'!AD44/1000</f>
        <v>745.67399999999998</v>
      </c>
      <c r="CG43" s="100">
        <f t="shared" si="38"/>
        <v>96015.049296068144</v>
      </c>
      <c r="CH43" s="100">
        <f>CG43/'a8'!AA$39*100</f>
        <v>93948.189135096021</v>
      </c>
      <c r="CI43" s="99">
        <v>795.7</v>
      </c>
      <c r="CJ43" s="100">
        <f>(CI43)*a14a!$E$29/1000000</f>
        <v>57.31992732895246</v>
      </c>
      <c r="CK43" s="99">
        <v>855.9</v>
      </c>
      <c r="CL43" s="100">
        <f>(CK43)*a14a!$F$29/1000000</f>
        <v>77.070701584847313</v>
      </c>
      <c r="CM43" s="100">
        <v>953.5</v>
      </c>
      <c r="CN43" s="99">
        <f>(CM43)*a14a!$G$29/1000000</f>
        <v>103.03107460378818</v>
      </c>
      <c r="CO43" s="100">
        <v>437.6</v>
      </c>
      <c r="CP43" s="99">
        <f>(CO43)*a14a!$H$29/1000000</f>
        <v>54.648750549851812</v>
      </c>
      <c r="CQ43" s="99">
        <v>2106.5</v>
      </c>
      <c r="CR43" s="99">
        <f>(CQ43)*a14a!$I$29/1000000</f>
        <v>288.00764741610089</v>
      </c>
      <c r="CS43" s="99">
        <v>1076.9000000000001</v>
      </c>
      <c r="CT43" s="99">
        <f>(CS43)*a14a!$J$29/1000000</f>
        <v>220.39703339087148</v>
      </c>
      <c r="CU43" s="99">
        <v>6226</v>
      </c>
      <c r="CV43" s="99">
        <f t="shared" si="39"/>
        <v>800.47513487441211</v>
      </c>
      <c r="CW43" s="99">
        <f>'a1'!AJ44/1000</f>
        <v>7631.5519999999997</v>
      </c>
      <c r="CX43" s="100">
        <f t="shared" si="40"/>
        <v>104890.21563037402</v>
      </c>
      <c r="CY43" s="100">
        <f>CX43/'a8'!AG$39*100</f>
        <v>106812.84687410796</v>
      </c>
      <c r="CZ43" s="99">
        <v>718.4</v>
      </c>
      <c r="DA43" s="100">
        <f>(CZ43)*a14a!$E$34/1000000</f>
        <v>48.43444782205939</v>
      </c>
      <c r="DB43" s="99">
        <v>1506.1</v>
      </c>
      <c r="DC43" s="100">
        <f>(DB43)*a14a!$F$34/1000000</f>
        <v>126.92636738725579</v>
      </c>
      <c r="DD43" s="99">
        <v>2124.6</v>
      </c>
      <c r="DE43" s="99">
        <f>(DD43)*a14a!$G$34/1000000</f>
        <v>214.86044232199484</v>
      </c>
      <c r="DF43" s="99">
        <v>790.2</v>
      </c>
      <c r="DG43" s="99">
        <f>(DF43)*a14a!$H$34/1000000</f>
        <v>90.55198452092084</v>
      </c>
      <c r="DH43" s="99">
        <v>2911.3</v>
      </c>
      <c r="DI43" s="99">
        <f>(DH43)*a14a!$I$34/1000000</f>
        <v>355.04095180375822</v>
      </c>
      <c r="DJ43" s="99">
        <v>2156.1999999999998</v>
      </c>
      <c r="DK43" s="99">
        <f>(DJ43)*a14a!$J$34/1000000</f>
        <v>396.11945046346199</v>
      </c>
      <c r="DL43" s="99">
        <v>10206.799999999999</v>
      </c>
      <c r="DM43" s="99">
        <f t="shared" si="41"/>
        <v>1231.9336443194511</v>
      </c>
      <c r="DN43" s="99">
        <f>'a1'!AP44/1000</f>
        <v>12665.346</v>
      </c>
      <c r="DO43" s="100">
        <f t="shared" si="42"/>
        <v>97268.06076355523</v>
      </c>
      <c r="DP43" s="100">
        <f>DO43/'a8'!AM$39*100</f>
        <v>99354.505376460904</v>
      </c>
      <c r="DQ43" s="99">
        <v>68.400000000000006</v>
      </c>
      <c r="DR43" s="100">
        <f>(DQ43)*a14a!$E$39/1000000</f>
        <v>6.1160734490859081</v>
      </c>
      <c r="DS43" s="99">
        <v>176.8</v>
      </c>
      <c r="DT43" s="100">
        <f>(DS43)*a14a!$F$39/1000000</f>
        <v>19.760997547485168</v>
      </c>
      <c r="DU43" s="99">
        <v>188.2</v>
      </c>
      <c r="DV43" s="99">
        <f>(DU43)*a14a!$G$39/1000000</f>
        <v>25.242215419253675</v>
      </c>
      <c r="DW43" s="99">
        <v>91.2</v>
      </c>
      <c r="DX43" s="99">
        <f>(DW43)*a14a!$H$39/1000000</f>
        <v>13.804141350161345</v>
      </c>
      <c r="DY43" s="99">
        <v>230.5</v>
      </c>
      <c r="DZ43" s="99">
        <f>(DY43)*a14a!$I$39/1000000</f>
        <v>38.744741208213107</v>
      </c>
      <c r="EA43" s="99">
        <v>143.19999999999999</v>
      </c>
      <c r="EB43" s="99">
        <f>(EA43)*a14a!$J$39/1000000</f>
        <v>31.730014843282976</v>
      </c>
      <c r="EC43" s="99">
        <v>898.3</v>
      </c>
      <c r="ED43" s="99">
        <f t="shared" si="43"/>
        <v>135.39818381748219</v>
      </c>
      <c r="EE43" s="99">
        <f>'a1'!AV44/1000</f>
        <v>1184.0309999999999</v>
      </c>
      <c r="EF43" s="100">
        <f t="shared" si="44"/>
        <v>114353.58011528599</v>
      </c>
      <c r="EG43" s="100">
        <f>EF43/'a8'!AS$39*100</f>
        <v>117045.62959599384</v>
      </c>
      <c r="EH43" s="99">
        <v>55</v>
      </c>
      <c r="EI43" s="100">
        <f>(EH43)*a14a!$E$44/1000000</f>
        <v>4.3878100853336113</v>
      </c>
      <c r="EJ43" s="99">
        <v>148.5</v>
      </c>
      <c r="EK43" s="100">
        <f>(EJ43)*a14a!$F$44/1000000</f>
        <v>14.808859038000936</v>
      </c>
      <c r="EL43" s="99">
        <v>164.5</v>
      </c>
      <c r="EM43" s="99">
        <f>(EL43)*a14a!$G$44/1000000</f>
        <v>19.685311610110336</v>
      </c>
      <c r="EN43" s="99">
        <v>64.900000000000006</v>
      </c>
      <c r="EO43" s="99">
        <f>(EN43)*a14a!$H$44/1000000</f>
        <v>9.9275046544954701</v>
      </c>
      <c r="EP43" s="99">
        <v>212.3</v>
      </c>
      <c r="EQ43" s="99">
        <f>(EP43)*a14a!$I$44/1000000</f>
        <v>34.910968100588022</v>
      </c>
      <c r="ER43" s="99">
        <v>105.9</v>
      </c>
      <c r="ES43" s="99">
        <f>(ER43)*a14a!$J$44/1000000</f>
        <v>36.082087051219247</v>
      </c>
      <c r="ET43" s="99">
        <v>751</v>
      </c>
      <c r="EU43" s="99">
        <f t="shared" si="45"/>
        <v>119.80254053974762</v>
      </c>
      <c r="EV43" s="99">
        <f>'a1'!BB44/1000</f>
        <v>992.12199999999996</v>
      </c>
      <c r="EW43" s="100">
        <f t="shared" si="46"/>
        <v>120753.8392856399</v>
      </c>
      <c r="EX43" s="100">
        <f>EW43/'a8'!AY$39*100</f>
        <v>125654.35929827254</v>
      </c>
      <c r="EY43" s="99">
        <v>122.3</v>
      </c>
      <c r="EZ43" s="100">
        <f>(EY43)*a14a!$E$49/1000000</f>
        <v>8.2637830152937379</v>
      </c>
      <c r="FA43" s="99">
        <v>441.6</v>
      </c>
      <c r="FB43" s="100">
        <f>(FA43)*a14a!$F$49/1000000</f>
        <v>37.298513691268546</v>
      </c>
      <c r="FC43" s="99">
        <v>616.1</v>
      </c>
      <c r="FD43" s="99">
        <f>(FC43)*a14a!$G$49/1000000</f>
        <v>62.444604035843895</v>
      </c>
      <c r="FE43" s="99">
        <v>227.7</v>
      </c>
      <c r="FF43" s="99">
        <f>(FE43)*a14a!$H$49/1000000</f>
        <v>26.801827968471997</v>
      </c>
      <c r="FG43" s="99">
        <v>798.7</v>
      </c>
      <c r="FH43" s="99">
        <f>(FG43)*a14a!$I$49/1000000</f>
        <v>96.871148211331928</v>
      </c>
      <c r="FI43" s="99">
        <v>496.1</v>
      </c>
      <c r="FJ43" s="99">
        <f>(FI43)*a14a!$J$49/1000000</f>
        <v>106.68492186831826</v>
      </c>
      <c r="FK43" s="99">
        <v>2702.5</v>
      </c>
      <c r="FL43" s="99">
        <f t="shared" si="47"/>
        <v>338.36479879052837</v>
      </c>
      <c r="FM43" s="99">
        <f>'a1'!BH44/1000</f>
        <v>3421.2530000000002</v>
      </c>
      <c r="FN43" s="100">
        <f t="shared" si="48"/>
        <v>98900.840946439319</v>
      </c>
      <c r="FO43" s="100">
        <f>FN43/'a8'!BE$39*100</f>
        <v>96394.581819141633</v>
      </c>
      <c r="FP43" s="99">
        <v>179.2</v>
      </c>
      <c r="FQ43" s="100">
        <f>(FP43)*a14a!$E$54/1000000</f>
        <v>13.963701948098208</v>
      </c>
      <c r="FR43" s="99">
        <v>505</v>
      </c>
      <c r="FS43" s="100">
        <f>(FR43)*a14a!$F$54/1000000</f>
        <v>49.188542716166268</v>
      </c>
      <c r="FT43" s="99">
        <v>804</v>
      </c>
      <c r="FU43" s="99">
        <f>(FT43)*a14a!$G$54/1000000</f>
        <v>93.974467351598435</v>
      </c>
      <c r="FV43" s="99">
        <v>345.8</v>
      </c>
      <c r="FW43" s="99">
        <f>(FV43)*a14a!$H$54/1000000</f>
        <v>46.7067292332896</v>
      </c>
      <c r="FX43" s="99">
        <v>942.3</v>
      </c>
      <c r="FY43" s="99">
        <f>(FX43)*a14a!$I$54/1000000</f>
        <v>132.64883076160359</v>
      </c>
      <c r="FZ43" s="99">
        <v>676.1</v>
      </c>
      <c r="GA43" s="99">
        <f>(FZ43)*a14a!$J$54/1000000</f>
        <v>161.59739400072706</v>
      </c>
      <c r="GB43" s="99">
        <v>3452.4</v>
      </c>
      <c r="GC43" s="99">
        <f t="shared" si="50"/>
        <v>498.07966601148314</v>
      </c>
      <c r="GD43" s="99">
        <f>'a1'!BN44/1000</f>
        <v>4243.58</v>
      </c>
      <c r="GE43" s="100">
        <f t="shared" si="49"/>
        <v>117372.51707555488</v>
      </c>
      <c r="GF43" s="100">
        <f>GE43/'a8'!BK$39*100</f>
        <v>117255.26181374113</v>
      </c>
    </row>
    <row r="44" spans="1:188" s="26" customFormat="1" ht="16.5" customHeight="1">
      <c r="A44" s="202">
        <v>2007</v>
      </c>
      <c r="B44" s="99">
        <v>2030</v>
      </c>
      <c r="C44" s="168">
        <f>B44*a14a!$E$4/1000000</f>
        <v>143.59413348181437</v>
      </c>
      <c r="D44" s="99">
        <v>3895.1</v>
      </c>
      <c r="E44" s="168">
        <f>D44*a14a!$F$4/1000000</f>
        <v>344.40487027402406</v>
      </c>
      <c r="F44" s="99">
        <v>5233.2</v>
      </c>
      <c r="G44" s="99">
        <f>F44*a14a!$G$4/1000000</f>
        <v>555.26365960864348</v>
      </c>
      <c r="H44" s="99">
        <v>2159.6999999999998</v>
      </c>
      <c r="I44" s="168">
        <f>H44*a14a!$H$4/1000000</f>
        <v>263.44991514416756</v>
      </c>
      <c r="J44" s="99">
        <v>8074.3</v>
      </c>
      <c r="K44" s="168">
        <f>J44*a14a!$I$4/1000000</f>
        <v>1057.0797834237751</v>
      </c>
      <c r="L44" s="99">
        <v>5127.7</v>
      </c>
      <c r="M44" s="168">
        <f>L44*a14a!$J$4/1000000</f>
        <v>1040.261851132843</v>
      </c>
      <c r="N44" s="183">
        <v>26519.9</v>
      </c>
      <c r="O44" s="99">
        <f>(C44)+(E44)+(G44)+(I44)+(K44)+(M44)</f>
        <v>3404.0542130652675</v>
      </c>
      <c r="P44" s="168">
        <f>'a1'!F45/1000</f>
        <v>32929.733</v>
      </c>
      <c r="Q44" s="100">
        <f t="shared" si="30"/>
        <v>103373.27099084792</v>
      </c>
      <c r="R44" s="168">
        <f>Q44/'a8'!C$39*100</f>
        <v>104523.02425768241</v>
      </c>
      <c r="S44" s="99">
        <v>50.1</v>
      </c>
      <c r="T44" s="100">
        <f>(S44)*a14a!$E$9/1000000</f>
        <v>3.4063540531369969</v>
      </c>
      <c r="U44" s="99">
        <v>78.2</v>
      </c>
      <c r="V44" s="100">
        <f>(U44)*a14a!$F$9/1000000</f>
        <v>6.6461299140547201</v>
      </c>
      <c r="W44" s="99">
        <v>74</v>
      </c>
      <c r="X44" s="99">
        <f>(W44)*a14a!$G$9/1000000</f>
        <v>7.547011974016101</v>
      </c>
      <c r="Y44" s="99">
        <v>34.200000000000003</v>
      </c>
      <c r="Z44" s="99">
        <f>(Y44)*a14a!$H$9/1000000</f>
        <v>4.2497808861165218</v>
      </c>
      <c r="AA44" s="99">
        <v>137.80000000000001</v>
      </c>
      <c r="AB44" s="99">
        <f>(AA44)*a14a!$I$9/1000000</f>
        <v>20.395670342038219</v>
      </c>
      <c r="AC44" s="99">
        <v>49.5</v>
      </c>
      <c r="AD44" s="99">
        <f>(AC44)*a14a!$J$9/1000000</f>
        <v>10.379641601080566</v>
      </c>
      <c r="AE44" s="99">
        <v>423.9</v>
      </c>
      <c r="AF44" s="99">
        <f t="shared" si="31"/>
        <v>52.624588770443125</v>
      </c>
      <c r="AG44" s="99">
        <f>'a1'!L45/1000</f>
        <v>506.37900000000002</v>
      </c>
      <c r="AH44" s="100">
        <f t="shared" si="32"/>
        <v>103923.32377615012</v>
      </c>
      <c r="AI44" s="100">
        <f>AH44/'a8'!I$39*100</f>
        <v>104340.68652223909</v>
      </c>
      <c r="AJ44" s="99">
        <v>9.3000000000000007</v>
      </c>
      <c r="AK44" s="100">
        <f>(AJ44)*a14a!$E$14/1000000</f>
        <v>0.52320206571026184</v>
      </c>
      <c r="AL44" s="99">
        <v>22.2</v>
      </c>
      <c r="AM44" s="100">
        <f>(AL44)*a14a!$F$14/1000000</f>
        <v>1.561167454135459</v>
      </c>
      <c r="AN44" s="99">
        <v>21.2</v>
      </c>
      <c r="AO44" s="99">
        <f>(AN44)*a14a!$G$14/1000000</f>
        <v>1.7890135150092823</v>
      </c>
      <c r="AP44" s="99">
        <v>9</v>
      </c>
      <c r="AQ44" s="99">
        <f>(AP44)*a14a!$H$14/1000000</f>
        <v>0.97819157822265723</v>
      </c>
      <c r="AR44" s="99">
        <v>35.700000000000003</v>
      </c>
      <c r="AS44" s="99">
        <f>(AR44)*a14a!$I$14/1000000</f>
        <v>5.0863132768478181</v>
      </c>
      <c r="AT44" s="99">
        <v>15.3</v>
      </c>
      <c r="AU44" s="99">
        <f>(AT44)*a14a!$J$14/1000000</f>
        <v>2.7873055528814326</v>
      </c>
      <c r="AV44" s="99">
        <v>112.8</v>
      </c>
      <c r="AW44" s="99">
        <f t="shared" si="33"/>
        <v>12.72519344280691</v>
      </c>
      <c r="AX44" s="99">
        <f>'a1'!R45/1000</f>
        <v>138.161</v>
      </c>
      <c r="AY44" s="100">
        <f t="shared" si="34"/>
        <v>92104.091913107957</v>
      </c>
      <c r="AZ44" s="100">
        <f>AY44/'a8'!O$39*100</f>
        <v>94854.883535641566</v>
      </c>
      <c r="BA44" s="99">
        <v>52.1</v>
      </c>
      <c r="BB44" s="100">
        <f>(BA44)*a14a!$E$19/1000000</f>
        <v>3.10208061387124</v>
      </c>
      <c r="BC44" s="99">
        <v>142.5</v>
      </c>
      <c r="BD44" s="100">
        <f>(BC44)*a14a!$F$19/1000000</f>
        <v>10.605721868441741</v>
      </c>
      <c r="BE44" s="99">
        <v>127.7</v>
      </c>
      <c r="BF44" s="99">
        <f>(BE44)*a14a!$G$19/1000000</f>
        <v>11.405058379789557</v>
      </c>
      <c r="BG44" s="99">
        <v>70.099999999999994</v>
      </c>
      <c r="BH44" s="99">
        <f>(BG44)*a14a!$H$19/1000000</f>
        <v>7.4086989469030771</v>
      </c>
      <c r="BI44" s="99">
        <v>250.6</v>
      </c>
      <c r="BJ44" s="99">
        <f>(BI44)*a14a!$I$19/1000000</f>
        <v>29.725508094996076</v>
      </c>
      <c r="BK44" s="99">
        <v>123.1</v>
      </c>
      <c r="BL44" s="99">
        <f>(BK44)*a14a!$J$19/1000000</f>
        <v>22.134443729859015</v>
      </c>
      <c r="BM44" s="99">
        <v>766.1</v>
      </c>
      <c r="BN44" s="99">
        <f>(BB44)+(BD44)+(BF44)+(BH44)+(BJ44)+(BL44)</f>
        <v>84.381511633860711</v>
      </c>
      <c r="BO44" s="99">
        <f>'a1'!X45/1000</f>
        <v>935.79399999999998</v>
      </c>
      <c r="BP44" s="100">
        <f>(BN44)/(BO44)*1000000</f>
        <v>90171.032977194467</v>
      </c>
      <c r="BQ44" s="100">
        <f>BP44/'a8'!U$39*100</f>
        <v>90624.153745924094</v>
      </c>
      <c r="BR44" s="99">
        <v>68.3</v>
      </c>
      <c r="BS44" s="100">
        <f>(BR44)*a14a!$E$24/1000000</f>
        <v>4.2145965200467801</v>
      </c>
      <c r="BT44" s="99">
        <v>96.5</v>
      </c>
      <c r="BU44" s="100">
        <f>(BT44)*a14a!$F$24/1000000</f>
        <v>7.4434217456902321</v>
      </c>
      <c r="BV44" s="99">
        <v>124.1</v>
      </c>
      <c r="BW44" s="99">
        <f>(BV44)*a14a!$G$24/1000000</f>
        <v>11.486780998634087</v>
      </c>
      <c r="BX44" s="99">
        <v>48.8</v>
      </c>
      <c r="BY44" s="99">
        <f>(BX44)*a14a!$H$24/1000000</f>
        <v>5.6532397236433507</v>
      </c>
      <c r="BZ44" s="99">
        <v>185.2</v>
      </c>
      <c r="CA44" s="99">
        <f>(BZ44)*a14a!$I$24/1000000</f>
        <v>27.734284573109711</v>
      </c>
      <c r="CB44" s="99">
        <v>85.2</v>
      </c>
      <c r="CC44" s="99">
        <f>(CB44)*a14a!$J$24/1000000</f>
        <v>15.542475379972235</v>
      </c>
      <c r="CD44" s="99">
        <v>608.1</v>
      </c>
      <c r="CE44" s="99">
        <f t="shared" si="37"/>
        <v>72.074798941096404</v>
      </c>
      <c r="CF44" s="99">
        <f>'a1'!AD45/1000</f>
        <v>745.51499999999999</v>
      </c>
      <c r="CG44" s="100">
        <f t="shared" si="38"/>
        <v>96677.865557495708</v>
      </c>
      <c r="CH44" s="100">
        <f>CG44/'a8'!AA$39*100</f>
        <v>94596.737336101476</v>
      </c>
      <c r="CI44" s="99">
        <v>748.4</v>
      </c>
      <c r="CJ44" s="100">
        <f>(CI44)*a14a!$E$29/1000000</f>
        <v>53.912572091225357</v>
      </c>
      <c r="CK44" s="99">
        <v>851.7</v>
      </c>
      <c r="CL44" s="100">
        <f>(CK44)*a14a!$F$29/1000000</f>
        <v>76.692506764592196</v>
      </c>
      <c r="CM44" s="100">
        <v>977.5</v>
      </c>
      <c r="CN44" s="99">
        <f>(CM44)*a14a!$G$29/1000000</f>
        <v>105.62441051410902</v>
      </c>
      <c r="CO44" s="100">
        <v>446.9</v>
      </c>
      <c r="CP44" s="99">
        <f>(CO44)*a14a!$H$29/1000000</f>
        <v>55.810161381921326</v>
      </c>
      <c r="CQ44" s="99">
        <v>2139.8000000000002</v>
      </c>
      <c r="CR44" s="99">
        <f>(CQ44)*a14a!$I$29/1000000</f>
        <v>292.5605335584965</v>
      </c>
      <c r="CS44" s="99">
        <v>1128.3</v>
      </c>
      <c r="CT44" s="99">
        <f>(CS44)*a14a!$J$29/1000000</f>
        <v>230.91649435873364</v>
      </c>
      <c r="CU44" s="99">
        <v>6292.6</v>
      </c>
      <c r="CV44" s="99">
        <f t="shared" si="39"/>
        <v>815.51667866907803</v>
      </c>
      <c r="CW44" s="99">
        <f>'a1'!AJ45/1000</f>
        <v>7687.4229999999998</v>
      </c>
      <c r="CX44" s="100">
        <f t="shared" si="40"/>
        <v>106084.53296625905</v>
      </c>
      <c r="CY44" s="100">
        <f>CX44/'a8'!AG$39*100</f>
        <v>108029.05597378721</v>
      </c>
      <c r="CZ44" s="99">
        <v>696</v>
      </c>
      <c r="DA44" s="100">
        <f>(CZ44)*a14a!$E$34/1000000</f>
        <v>46.924242322039724</v>
      </c>
      <c r="DB44" s="99">
        <v>1453</v>
      </c>
      <c r="DC44" s="100">
        <f>(DB44)*a14a!$F$34/1000000</f>
        <v>122.45137229512163</v>
      </c>
      <c r="DD44" s="99">
        <v>2145.8000000000002</v>
      </c>
      <c r="DE44" s="99">
        <f>(DD44)*a14a!$G$34/1000000</f>
        <v>217.00439477291565</v>
      </c>
      <c r="DF44" s="99">
        <v>770</v>
      </c>
      <c r="DG44" s="99">
        <f>(DF44)*a14a!$H$34/1000000</f>
        <v>88.237190687305812</v>
      </c>
      <c r="DH44" s="99">
        <v>3035.1</v>
      </c>
      <c r="DI44" s="99">
        <f>(DH44)*a14a!$I$34/1000000</f>
        <v>370.1386984575916</v>
      </c>
      <c r="DJ44" s="99">
        <v>2253</v>
      </c>
      <c r="DK44" s="99">
        <f>(DJ44)*a14a!$J$34/1000000</f>
        <v>413.90275572496978</v>
      </c>
      <c r="DL44" s="99">
        <v>10353</v>
      </c>
      <c r="DM44" s="99">
        <f t="shared" si="41"/>
        <v>1258.6586542599443</v>
      </c>
      <c r="DN44" s="99">
        <f>'a1'!AP45/1000</f>
        <v>12792.937</v>
      </c>
      <c r="DO44" s="100">
        <f t="shared" si="42"/>
        <v>98386.997001544238</v>
      </c>
      <c r="DP44" s="100">
        <f>DO44/'a8'!AM$39*100</f>
        <v>100497.44331107684</v>
      </c>
      <c r="DQ44" s="99">
        <v>68.8</v>
      </c>
      <c r="DR44" s="100">
        <f>(DQ44)*a14a!$E$39/1000000</f>
        <v>6.1518399604840699</v>
      </c>
      <c r="DS44" s="99">
        <v>176.2</v>
      </c>
      <c r="DT44" s="100">
        <f>(DS44)*a14a!$F$39/1000000</f>
        <v>19.69393533861361</v>
      </c>
      <c r="DU44" s="99">
        <v>192.8</v>
      </c>
      <c r="DV44" s="99">
        <f>(DU44)*a14a!$G$39/1000000</f>
        <v>25.859187740871992</v>
      </c>
      <c r="DW44" s="99">
        <v>94.1</v>
      </c>
      <c r="DX44" s="99">
        <f>(DW44)*a14a!$H$39/1000000</f>
        <v>14.243088827304634</v>
      </c>
      <c r="DY44" s="99">
        <v>227.5</v>
      </c>
      <c r="DZ44" s="99">
        <f>(DY44)*a14a!$I$39/1000000</f>
        <v>38.240471257563911</v>
      </c>
      <c r="EA44" s="99">
        <v>147.80000000000001</v>
      </c>
      <c r="EB44" s="99">
        <f>(EA44)*a14a!$J$39/1000000</f>
        <v>32.749275096628665</v>
      </c>
      <c r="EC44" s="99">
        <v>907.2</v>
      </c>
      <c r="ED44" s="99">
        <f t="shared" si="43"/>
        <v>136.93779822146689</v>
      </c>
      <c r="EE44" s="99">
        <f>'a1'!AV45/1000</f>
        <v>1193.558</v>
      </c>
      <c r="EF44" s="100">
        <f t="shared" si="44"/>
        <v>114730.7447325282</v>
      </c>
      <c r="EG44" s="100">
        <f>EF44/'a8'!AS$39*100</f>
        <v>117431.67321650787</v>
      </c>
      <c r="EH44" s="99">
        <v>53.8</v>
      </c>
      <c r="EI44" s="100">
        <f>(EH44)*a14a!$E$44/1000000</f>
        <v>4.29207604710815</v>
      </c>
      <c r="EJ44" s="99">
        <v>145.19999999999999</v>
      </c>
      <c r="EK44" s="100">
        <f>(EJ44)*a14a!$F$44/1000000</f>
        <v>14.479773281600915</v>
      </c>
      <c r="EL44" s="99">
        <v>167.3</v>
      </c>
      <c r="EM44" s="99">
        <f>(EL44)*a14a!$G$44/1000000</f>
        <v>20.020380743899445</v>
      </c>
      <c r="EN44" s="99">
        <v>65.400000000000006</v>
      </c>
      <c r="EO44" s="99">
        <f>(EN44)*a14a!$H$44/1000000</f>
        <v>10.003987741201907</v>
      </c>
      <c r="EP44" s="99">
        <v>222.3</v>
      </c>
      <c r="EQ44" s="99">
        <f>(EP44)*a14a!$I$44/1000000</f>
        <v>36.555384874049544</v>
      </c>
      <c r="ER44" s="99">
        <v>104</v>
      </c>
      <c r="ES44" s="99">
        <f>(ER44)*a14a!$J$44/1000000</f>
        <v>35.434721938874425</v>
      </c>
      <c r="ET44" s="99">
        <v>757.9</v>
      </c>
      <c r="EU44" s="99">
        <f t="shared" si="45"/>
        <v>120.78632462673437</v>
      </c>
      <c r="EV44" s="99">
        <f>'a1'!BB45/1000</f>
        <v>1000.2569999999999</v>
      </c>
      <c r="EW44" s="100">
        <f t="shared" si="46"/>
        <v>120755.29051707148</v>
      </c>
      <c r="EX44" s="100">
        <f>EW44/'a8'!AY$39*100</f>
        <v>125655.86942463214</v>
      </c>
      <c r="EY44" s="99">
        <v>116</v>
      </c>
      <c r="EZ44" s="100">
        <f>(EY44)*a14a!$E$49/1000000</f>
        <v>7.8380934568607818</v>
      </c>
      <c r="FA44" s="99">
        <v>429.1</v>
      </c>
      <c r="FB44" s="100">
        <f>(FA44)*a14a!$F$49/1000000</f>
        <v>36.242736016583635</v>
      </c>
      <c r="FC44" s="99">
        <v>609.79999999999995</v>
      </c>
      <c r="FD44" s="99">
        <f>(FC44)*a14a!$G$49/1000000</f>
        <v>61.806069698194449</v>
      </c>
      <c r="FE44" s="99">
        <v>263</v>
      </c>
      <c r="FF44" s="99">
        <f>(FE44)*a14a!$H$49/1000000</f>
        <v>30.956876397488518</v>
      </c>
      <c r="FG44" s="99">
        <v>854.1</v>
      </c>
      <c r="FH44" s="99">
        <f>(FG44)*a14a!$I$49/1000000</f>
        <v>103.59039399937224</v>
      </c>
      <c r="FI44" s="99">
        <v>508.5</v>
      </c>
      <c r="FJ44" s="99">
        <f>(FI44)*a14a!$J$49/1000000</f>
        <v>109.35150729699623</v>
      </c>
      <c r="FK44" s="99">
        <v>2780.3</v>
      </c>
      <c r="FL44" s="99">
        <f t="shared" si="47"/>
        <v>349.78567686549582</v>
      </c>
      <c r="FM44" s="99">
        <f>'a1'!BH45/1000</f>
        <v>3512.6909999999998</v>
      </c>
      <c r="FN44" s="100">
        <f t="shared" si="48"/>
        <v>99577.696092681043</v>
      </c>
      <c r="FO44" s="100">
        <f>FN44/'a8'!BE$39*100</f>
        <v>97054.28469072227</v>
      </c>
      <c r="FP44" s="99">
        <v>167</v>
      </c>
      <c r="FQ44" s="100">
        <f>(FP44)*a14a!$E$54/1000000</f>
        <v>13.013048132435273</v>
      </c>
      <c r="FR44" s="99">
        <v>500.4</v>
      </c>
      <c r="FS44" s="100">
        <f>(FR44)*a14a!$F$54/1000000</f>
        <v>48.740488663702166</v>
      </c>
      <c r="FT44" s="99">
        <v>793</v>
      </c>
      <c r="FU44" s="99">
        <f>(FT44)*a14a!$G$54/1000000</f>
        <v>92.688747027136287</v>
      </c>
      <c r="FV44" s="99">
        <v>358.3</v>
      </c>
      <c r="FW44" s="99">
        <f>(FV44)*a14a!$H$54/1000000</f>
        <v>48.395086999096776</v>
      </c>
      <c r="FX44" s="99">
        <v>986.3</v>
      </c>
      <c r="FY44" s="99">
        <f>(FX44)*a14a!$I$54/1000000</f>
        <v>138.84276958523787</v>
      </c>
      <c r="FZ44" s="99">
        <v>713</v>
      </c>
      <c r="GA44" s="99">
        <f>(FZ44)*a14a!$J$54/1000000</f>
        <v>170.41701216168966</v>
      </c>
      <c r="GB44" s="99">
        <v>3518</v>
      </c>
      <c r="GC44" s="99">
        <f t="shared" si="50"/>
        <v>512.09715256929803</v>
      </c>
      <c r="GD44" s="99">
        <f>'a1'!BN45/1000</f>
        <v>4309.6319999999996</v>
      </c>
      <c r="GE44" s="100">
        <f t="shared" si="49"/>
        <v>118826.19039614011</v>
      </c>
      <c r="GF44" s="100">
        <f>GE44/'a8'!BK$39*100</f>
        <v>118707.48291322688</v>
      </c>
    </row>
    <row r="45" spans="1:188" s="26" customFormat="1" ht="16.5" customHeight="1">
      <c r="A45" s="202">
        <v>2008</v>
      </c>
      <c r="B45" s="325">
        <v>1960.7</v>
      </c>
      <c r="C45" s="326">
        <f>B45*a14a!$E$4/1000000</f>
        <v>138.69212685605589</v>
      </c>
      <c r="D45" s="325">
        <v>3876.8</v>
      </c>
      <c r="E45" s="326">
        <f>D45*a14a!$F$4/1000000</f>
        <v>342.7867836713657</v>
      </c>
      <c r="F45" s="325">
        <v>5269.7</v>
      </c>
      <c r="G45" s="325">
        <f>F45*a14a!$G$4/1000000</f>
        <v>559.13645705107172</v>
      </c>
      <c r="H45" s="325">
        <v>2285.1</v>
      </c>
      <c r="I45" s="326">
        <f>H45*a14a!$H$4/1000000</f>
        <v>278.74677089222456</v>
      </c>
      <c r="J45" s="325">
        <v>8186.6</v>
      </c>
      <c r="K45" s="326">
        <f>J45*a14a!$I$4/1000000</f>
        <v>1071.7819941019131</v>
      </c>
      <c r="L45" s="325">
        <v>5328.6</v>
      </c>
      <c r="M45" s="326">
        <f>L45*a14a!$J$4/1000000</f>
        <v>1081.0186438259782</v>
      </c>
      <c r="N45" s="183">
        <v>26907.4</v>
      </c>
      <c r="O45" s="325">
        <f>(C45)+(E45)+(G45)+(I45)+(K45)+(M45)</f>
        <v>3472.1627763986089</v>
      </c>
      <c r="P45" s="326">
        <f>'a1'!F46/1000</f>
        <v>33315.976000000002</v>
      </c>
      <c r="Q45" s="325">
        <f>(O45)/(P45)*1000000</f>
        <v>104219.15228893816</v>
      </c>
      <c r="R45" s="326">
        <f>Q45/'a8'!C$39*100</f>
        <v>105378.31374007903</v>
      </c>
      <c r="S45" s="325">
        <v>50.6</v>
      </c>
      <c r="T45" s="325">
        <f>(S45)*a14a!$E$9/1000000</f>
        <v>3.4403496025695017</v>
      </c>
      <c r="U45" s="325">
        <v>75.5</v>
      </c>
      <c r="V45" s="325">
        <f>(U45)*a14a!$F$9/1000000</f>
        <v>6.4166599553853105</v>
      </c>
      <c r="W45" s="325">
        <v>72.099999999999994</v>
      </c>
      <c r="X45" s="325">
        <f>(W45)*a14a!$G$9/1000000</f>
        <v>7.3532373422508224</v>
      </c>
      <c r="Y45" s="325">
        <v>34.1</v>
      </c>
      <c r="Z45" s="325">
        <f>(Y45)*a14a!$H$9/1000000</f>
        <v>4.2373546262155957</v>
      </c>
      <c r="AA45" s="325">
        <v>139.69999999999999</v>
      </c>
      <c r="AB45" s="325">
        <f>(AA45)*a14a!$I$9/1000000</f>
        <v>20.67688785763961</v>
      </c>
      <c r="AC45" s="325">
        <v>52.2</v>
      </c>
      <c r="AD45" s="325">
        <f>(AC45)*a14a!$J$9/1000000</f>
        <v>10.945803870230417</v>
      </c>
      <c r="AE45" s="325">
        <v>424.2</v>
      </c>
      <c r="AF45" s="325">
        <f t="shared" si="31"/>
        <v>53.070293254291258</v>
      </c>
      <c r="AG45" s="325">
        <f>'a1'!L46/1000</f>
        <v>506.19299999999998</v>
      </c>
      <c r="AH45" s="325">
        <f t="shared" si="32"/>
        <v>104842.01333145906</v>
      </c>
      <c r="AI45" s="325">
        <f>AH45/'a8'!I$39*100</f>
        <v>105263.0655938344</v>
      </c>
      <c r="AJ45" s="325">
        <v>8.6999999999999993</v>
      </c>
      <c r="AK45" s="325">
        <f>(AJ45)*a14a!$E$14/1000000</f>
        <v>0.48944709372895462</v>
      </c>
      <c r="AL45" s="325">
        <v>23.1</v>
      </c>
      <c r="AM45" s="325">
        <f>(AL45)*a14a!$F$14/1000000</f>
        <v>1.6244580266004101</v>
      </c>
      <c r="AN45" s="325">
        <v>22.3</v>
      </c>
      <c r="AO45" s="325">
        <f>(AN45)*a14a!$G$14/1000000</f>
        <v>1.8818396879578776</v>
      </c>
      <c r="AP45" s="325">
        <v>8.9</v>
      </c>
      <c r="AQ45" s="325">
        <f>(AP45)*a14a!$H$14/1000000</f>
        <v>0.96732278290907214</v>
      </c>
      <c r="AR45" s="325">
        <v>34.9</v>
      </c>
      <c r="AS45" s="325">
        <f>(AR45)*a14a!$I$14/1000000</f>
        <v>4.9723342678428244</v>
      </c>
      <c r="AT45" s="325">
        <v>16.3</v>
      </c>
      <c r="AU45" s="325">
        <f>(AT45)*a14a!$J$14/1000000</f>
        <v>2.969482386403095</v>
      </c>
      <c r="AV45" s="325">
        <v>114.2</v>
      </c>
      <c r="AW45" s="325">
        <f t="shared" si="33"/>
        <v>12.904884245442235</v>
      </c>
      <c r="AX45" s="325">
        <f>'a1'!R46/1000</f>
        <v>139.54499999999999</v>
      </c>
      <c r="AY45" s="325">
        <f t="shared" si="34"/>
        <v>92478.299082319223</v>
      </c>
      <c r="AZ45" s="325">
        <f>AY45/'a8'!O$39*100</f>
        <v>95240.266820102188</v>
      </c>
      <c r="BA45" s="325">
        <v>49.9</v>
      </c>
      <c r="BB45" s="325">
        <f>(BA45)*a14a!$E$19/1000000</f>
        <v>2.9710906455311874</v>
      </c>
      <c r="BC45" s="325">
        <v>146</v>
      </c>
      <c r="BD45" s="325">
        <f>(BC45)*a14a!$F$19/1000000</f>
        <v>10.866213282754343</v>
      </c>
      <c r="BE45" s="325">
        <v>131.30000000000001</v>
      </c>
      <c r="BF45" s="325">
        <f>(BE45)*a14a!$G$19/1000000</f>
        <v>11.726579211169685</v>
      </c>
      <c r="BG45" s="325">
        <v>73.7</v>
      </c>
      <c r="BH45" s="325">
        <f>(BG45)*a14a!$H$19/1000000</f>
        <v>7.7891742137911102</v>
      </c>
      <c r="BI45" s="327">
        <v>240.5</v>
      </c>
      <c r="BJ45" s="325">
        <f>(BI45)*a14a!$I$19/1000000</f>
        <v>28.527472852540129</v>
      </c>
      <c r="BK45" s="327">
        <v>127.7</v>
      </c>
      <c r="BL45" s="325">
        <f>(BK45)*a14a!$J$19/1000000</f>
        <v>22.961563479309476</v>
      </c>
      <c r="BM45" s="327">
        <v>769.3</v>
      </c>
      <c r="BN45" s="325">
        <f>(BB45)+(BD45)+(BF45)+(BH45)+(BJ45)+(BL45)</f>
        <v>84.842093685095932</v>
      </c>
      <c r="BO45" s="327">
        <f>'a1'!X46/1000</f>
        <v>936.73699999999997</v>
      </c>
      <c r="BP45" s="325">
        <f>(BN45)/(BO45)*1000000</f>
        <v>90571.946752499294</v>
      </c>
      <c r="BQ45" s="325">
        <f>BP45/'a8'!U$39*100</f>
        <v>91027.082163315878</v>
      </c>
      <c r="BR45" s="327">
        <v>64.8</v>
      </c>
      <c r="BS45" s="325">
        <f>(BR45)*a14a!$E$24/1000000</f>
        <v>3.9986215885656127</v>
      </c>
      <c r="BT45" s="325">
        <v>95.3</v>
      </c>
      <c r="BU45" s="325">
        <f>(BT45)*a14a!$F$24/1000000</f>
        <v>7.3508610607697316</v>
      </c>
      <c r="BV45" s="325">
        <v>123.5</v>
      </c>
      <c r="BW45" s="325">
        <f>(BV45)*a14a!$G$24/1000000</f>
        <v>11.431244587681787</v>
      </c>
      <c r="BX45" s="325">
        <v>45.6</v>
      </c>
      <c r="BY45" s="325">
        <f>(BX45)*a14a!$H$24/1000000</f>
        <v>5.2825354794700168</v>
      </c>
      <c r="BZ45" s="325">
        <v>193.9</v>
      </c>
      <c r="CA45" s="325">
        <f>(BZ45)*a14a!$I$24/1000000</f>
        <v>29.037137034157524</v>
      </c>
      <c r="CB45" s="325">
        <v>87.6</v>
      </c>
      <c r="CC45" s="325">
        <f>(CB45)*a14a!$J$24/1000000</f>
        <v>15.980291587858776</v>
      </c>
      <c r="CD45" s="325">
        <v>610.70000000000005</v>
      </c>
      <c r="CE45" s="325">
        <f t="shared" si="37"/>
        <v>73.080691338503442</v>
      </c>
      <c r="CF45" s="325">
        <f>'a1'!AD46/1000</f>
        <v>746.90200000000004</v>
      </c>
      <c r="CG45" s="325">
        <f t="shared" ref="CG45" si="51">(CE45)/(CF45)*1000000</f>
        <v>97845.087224968534</v>
      </c>
      <c r="CH45" s="325">
        <f>CG45/'a8'!AA$39*100</f>
        <v>95738.832901143382</v>
      </c>
      <c r="CI45" s="325">
        <v>721.5</v>
      </c>
      <c r="CJ45" s="325">
        <f>(CI45)*a14a!$E$29/1000000</f>
        <v>51.974773869346741</v>
      </c>
      <c r="CK45" s="325">
        <v>860</v>
      </c>
      <c r="CL45" s="325">
        <f>(CK45)*a14a!$F$29/1000000</f>
        <v>77.439891766524923</v>
      </c>
      <c r="CM45" s="325">
        <v>959.6</v>
      </c>
      <c r="CN45" s="325">
        <f>(CM45)*a14a!$G$29/1000000</f>
        <v>103.69021414766141</v>
      </c>
      <c r="CO45" s="325">
        <v>504.9</v>
      </c>
      <c r="CP45" s="325">
        <f>(CO45)*a14a!$H$29/1000000</f>
        <v>63.053368721709738</v>
      </c>
      <c r="CQ45" s="325">
        <v>2193.3000000000002</v>
      </c>
      <c r="CR45" s="325">
        <f>(CQ45)*a14a!$I$29/1000000</f>
        <v>299.87523051399677</v>
      </c>
      <c r="CS45" s="325">
        <v>1122.4000000000001</v>
      </c>
      <c r="CT45" s="325">
        <f>(CS45)*a14a!$J$29/1000000</f>
        <v>229.70900759394013</v>
      </c>
      <c r="CU45" s="325">
        <v>6361.7</v>
      </c>
      <c r="CV45" s="325">
        <f t="shared" si="39"/>
        <v>825.74248661317972</v>
      </c>
      <c r="CW45" s="325">
        <f>'a1'!AJ46/1000</f>
        <v>7751.3320000000003</v>
      </c>
      <c r="CX45" s="325">
        <f t="shared" ref="CX45" si="52">(CV45)/(CW45)*1000000</f>
        <v>106529.10836655941</v>
      </c>
      <c r="CY45" s="325">
        <f>CX45/'a8'!AG$39*100</f>
        <v>108481.78041401161</v>
      </c>
      <c r="CZ45" s="325">
        <v>684</v>
      </c>
      <c r="DA45" s="325">
        <f>(CZ45)*a14a!$E$34/1000000</f>
        <v>46.115203661314908</v>
      </c>
      <c r="DB45" s="325">
        <v>1433.5</v>
      </c>
      <c r="DC45" s="325">
        <f>(DB45)*a14a!$F$34/1000000</f>
        <v>120.80801251552433</v>
      </c>
      <c r="DD45" s="325">
        <v>2149.1999999999998</v>
      </c>
      <c r="DE45" s="325">
        <f>(DD45)*a14a!$G$34/1000000</f>
        <v>217.34823620372364</v>
      </c>
      <c r="DF45" s="325">
        <v>836</v>
      </c>
      <c r="DG45" s="325">
        <f>(DF45)*a14a!$H$34/1000000</f>
        <v>95.800378460503438</v>
      </c>
      <c r="DH45" s="325">
        <v>3032</v>
      </c>
      <c r="DI45" s="325">
        <f>(DH45)*a14a!$I$34/1000000</f>
        <v>369.7606450276491</v>
      </c>
      <c r="DJ45" s="325">
        <v>2367.6999999999998</v>
      </c>
      <c r="DK45" s="325">
        <f>(DJ45)*a14a!$J$34/1000000</f>
        <v>434.97450276520681</v>
      </c>
      <c r="DL45" s="325">
        <v>10502.3</v>
      </c>
      <c r="DM45" s="325">
        <f t="shared" ref="DM45" si="53">(DA45)+(DC45)+(DE45)+(DG45)+(DI45)+(DK45)</f>
        <v>1284.8069786339222</v>
      </c>
      <c r="DN45" s="325">
        <f>'a1'!AP46/1000</f>
        <v>12932.297</v>
      </c>
      <c r="DO45" s="325">
        <f t="shared" ref="DO45" si="54">(DM45)/(DN45)*1000000</f>
        <v>99348.706469850033</v>
      </c>
      <c r="DP45" s="325">
        <f>DO45/'a8'!AM$39*100</f>
        <v>101479.78188953016</v>
      </c>
      <c r="DQ45" s="325">
        <v>62.8</v>
      </c>
      <c r="DR45" s="325">
        <f>(DQ45)*a14a!$E$39/1000000</f>
        <v>5.6153422895116218</v>
      </c>
      <c r="DS45" s="325">
        <v>167.7</v>
      </c>
      <c r="DT45" s="325">
        <f>(DS45)*a14a!$F$39/1000000</f>
        <v>18.743887379599901</v>
      </c>
      <c r="DU45" s="325">
        <v>194.2</v>
      </c>
      <c r="DV45" s="325">
        <f>(DU45)*a14a!$G$39/1000000</f>
        <v>26.046961925712345</v>
      </c>
      <c r="DW45" s="325">
        <v>96.4</v>
      </c>
      <c r="DX45" s="325">
        <f>(DW45)*a14a!$H$39/1000000</f>
        <v>14.591219585038965</v>
      </c>
      <c r="DY45" s="325">
        <v>241.9</v>
      </c>
      <c r="DZ45" s="325">
        <f>(DY45)*a14a!$I$39/1000000</f>
        <v>40.660967020680047</v>
      </c>
      <c r="EA45" s="325">
        <v>153.69999999999999</v>
      </c>
      <c r="EB45" s="325">
        <f>(EA45)*a14a!$J$39/1000000</f>
        <v>34.05658716070247</v>
      </c>
      <c r="EC45" s="325">
        <v>916.9</v>
      </c>
      <c r="ED45" s="325">
        <f t="shared" ref="ED45" si="55">(DR45)+(DT45)+(DV45)+(DX45)+(DZ45)+(EB45)</f>
        <v>139.71496536124536</v>
      </c>
      <c r="EE45" s="325">
        <f>'a1'!AV46/1000</f>
        <v>1205.5170000000001</v>
      </c>
      <c r="EF45" s="325">
        <f t="shared" ref="EF45" si="56">(ED45)/(EE45)*1000000</f>
        <v>115896.30454091096</v>
      </c>
      <c r="EG45" s="325">
        <f>EF45/'a8'!AS$39*100</f>
        <v>118624.67199683824</v>
      </c>
      <c r="EH45" s="325">
        <v>48.3</v>
      </c>
      <c r="EI45" s="325">
        <f>(EH45)*a14a!$E$44/1000000</f>
        <v>3.8532950385747888</v>
      </c>
      <c r="EJ45" s="325">
        <v>143.4</v>
      </c>
      <c r="EK45" s="325">
        <f>(EJ45)*a14a!$F$44/1000000</f>
        <v>14.300271959928176</v>
      </c>
      <c r="EL45" s="325">
        <v>174</v>
      </c>
      <c r="EM45" s="325">
        <f>(EL45)*a14a!$G$44/1000000</f>
        <v>20.822153314037678</v>
      </c>
      <c r="EN45" s="325">
        <v>69.3</v>
      </c>
      <c r="EO45" s="325">
        <f>(EN45)*a14a!$H$44/1000000</f>
        <v>10.60055581751211</v>
      </c>
      <c r="EP45" s="325">
        <v>222.5</v>
      </c>
      <c r="EQ45" s="325">
        <f>(EP45)*a14a!$I$44/1000000</f>
        <v>36.588273209518775</v>
      </c>
      <c r="ER45" s="325">
        <v>110.6</v>
      </c>
      <c r="ES45" s="325">
        <f>(ER45)*a14a!$J$44/1000000</f>
        <v>37.68346390807222</v>
      </c>
      <c r="ET45" s="325">
        <v>768.1</v>
      </c>
      <c r="EU45" s="325">
        <f t="shared" ref="EU45" si="57">(EI45)+(EK45)+(EM45)+(EO45)+(EQ45)+(ES45)</f>
        <v>123.84801324764373</v>
      </c>
      <c r="EV45" s="325">
        <f>'a1'!BB46/1000</f>
        <v>1013.792</v>
      </c>
      <c r="EW45" s="325">
        <f t="shared" ref="EW45" si="58">(EU45)/(EV45)*1000000</f>
        <v>122163.13923136475</v>
      </c>
      <c r="EX45" s="325">
        <f>EW45/'a8'!AY$39*100</f>
        <v>127120.85247800703</v>
      </c>
      <c r="EY45" s="325">
        <v>113.6</v>
      </c>
      <c r="EZ45" s="325">
        <f>(EY45)*a14a!$E$49/1000000</f>
        <v>7.6759260060291785</v>
      </c>
      <c r="FA45" s="325">
        <v>442.2</v>
      </c>
      <c r="FB45" s="325">
        <f>(FA45)*a14a!$F$49/1000000</f>
        <v>37.349191019653418</v>
      </c>
      <c r="FC45" s="325">
        <v>630.1</v>
      </c>
      <c r="FD45" s="325">
        <f>(FC45)*a14a!$G$49/1000000</f>
        <v>63.863569230620413</v>
      </c>
      <c r="FE45" s="325">
        <v>241.2</v>
      </c>
      <c r="FF45" s="325">
        <f>(FE45)*a14a!$H$49/1000000</f>
        <v>28.390869152373501</v>
      </c>
      <c r="FG45" s="325">
        <v>869.4</v>
      </c>
      <c r="FH45" s="325">
        <f>(FG45)*a14a!$I$49/1000000</f>
        <v>105.44607018271188</v>
      </c>
      <c r="FI45" s="325">
        <v>554.79999999999995</v>
      </c>
      <c r="FJ45" s="325">
        <f>(FI45)*a14a!$J$49/1000000</f>
        <v>119.30819321214062</v>
      </c>
      <c r="FK45" s="325">
        <v>2851.2</v>
      </c>
      <c r="FL45" s="325">
        <f t="shared" ref="FL45" si="59">(EZ45)+(FB45)+(FD45)+(FF45)+(FH45)+(FJ45)</f>
        <v>362.03381880352902</v>
      </c>
      <c r="FM45" s="325">
        <f>'a1'!BH46/1000</f>
        <v>3591.3910000000001</v>
      </c>
      <c r="FN45" s="325">
        <f t="shared" ref="FN45" si="60">(FL45)/(FM45)*1000000</f>
        <v>100806.01605437254</v>
      </c>
      <c r="FO45" s="325">
        <f>FN45/'a8'!BE$39*100</f>
        <v>98251.477635840682</v>
      </c>
      <c r="FP45" s="325">
        <v>156.4</v>
      </c>
      <c r="FQ45" s="325">
        <f>(FP45)*a14a!$E$54/1000000</f>
        <v>12.187070227023215</v>
      </c>
      <c r="FR45" s="325">
        <v>490</v>
      </c>
      <c r="FS45" s="325">
        <f>(FR45)*a14a!$F$54/1000000</f>
        <v>47.727496892913798</v>
      </c>
      <c r="FT45" s="325">
        <v>813.4</v>
      </c>
      <c r="FU45" s="325">
        <f>(FT45)*a14a!$G$54/1000000</f>
        <v>95.073173810684295</v>
      </c>
      <c r="FV45" s="325">
        <v>374.8</v>
      </c>
      <c r="FW45" s="325">
        <f>(FV45)*a14a!$H$54/1000000</f>
        <v>50.623719249962242</v>
      </c>
      <c r="FX45" s="325">
        <v>1018.4</v>
      </c>
      <c r="FY45" s="325">
        <f>(FX45)*a14a!$I$54/1000000</f>
        <v>143.36152949975286</v>
      </c>
      <c r="FZ45" s="325">
        <v>735.6</v>
      </c>
      <c r="GA45" s="325">
        <f>(FZ45)*a14a!$J$54/1000000</f>
        <v>175.81872951772638</v>
      </c>
      <c r="GB45" s="325">
        <v>3588.7</v>
      </c>
      <c r="GC45" s="325">
        <f t="shared" si="50"/>
        <v>524.79171919806276</v>
      </c>
      <c r="GD45" s="325">
        <f>'a1'!BN46/1000</f>
        <v>4383.8599999999997</v>
      </c>
      <c r="GE45" s="325">
        <f t="shared" ref="GE45" si="61">(GC45)/(GD45)*1000000</f>
        <v>119709.96318268895</v>
      </c>
      <c r="GF45" s="325">
        <f>GE45/'a8'!BK$39*100</f>
        <v>119590.37280987909</v>
      </c>
    </row>
    <row r="46" spans="1:188" s="26" customFormat="1" ht="16.5" customHeight="1">
      <c r="A46" s="202">
        <v>2009</v>
      </c>
      <c r="B46" s="328">
        <v>1893.6</v>
      </c>
      <c r="C46" s="326">
        <f>B46*a14a!$E$4/1000000</f>
        <v>133.94573948825797</v>
      </c>
      <c r="D46" s="328">
        <v>3849.8</v>
      </c>
      <c r="E46" s="326">
        <f>D46*a14a!$F$4/1000000</f>
        <v>340.39944278219758</v>
      </c>
      <c r="F46" s="328">
        <v>5448.1</v>
      </c>
      <c r="G46" s="325">
        <f>F46*a14a!$G$4/1000000</f>
        <v>578.0654177011869</v>
      </c>
      <c r="H46" s="328">
        <v>2266.6999999999998</v>
      </c>
      <c r="I46" s="326">
        <f>H46*a14a!$H$4/1000000</f>
        <v>276.50225617321138</v>
      </c>
      <c r="J46" s="328">
        <v>8351.2999999999993</v>
      </c>
      <c r="K46" s="326">
        <f>J46*a14a!$I$4/1000000</f>
        <v>1093.3443636361012</v>
      </c>
      <c r="L46" s="328">
        <v>5488.7</v>
      </c>
      <c r="M46" s="326">
        <f>L46*a14a!$J$4/1000000</f>
        <v>1113.4982979333495</v>
      </c>
      <c r="N46" s="183">
        <v>27298.2</v>
      </c>
      <c r="O46" s="325">
        <f>(C46)+(E46)+(G46)+(I46)+(K46)+(M46)</f>
        <v>3535.7555177143045</v>
      </c>
      <c r="P46" s="326">
        <f>'a1'!F47/1000</f>
        <v>33720.184000000001</v>
      </c>
      <c r="Q46" s="325">
        <f>(O46)/(P46)*1000000</f>
        <v>104855.7599126477</v>
      </c>
      <c r="R46" s="326">
        <f>Q46/'a8'!C$39*100</f>
        <v>106022.00193392082</v>
      </c>
      <c r="S46" s="328">
        <v>46.8</v>
      </c>
      <c r="T46" s="325">
        <f>(S46)*a14a!$E$9/1000000</f>
        <v>3.1819834268824638</v>
      </c>
      <c r="U46" s="328">
        <v>76.2</v>
      </c>
      <c r="V46" s="325">
        <f>(U46)*a14a!$F$9/1000000</f>
        <v>6.4761521668921942</v>
      </c>
      <c r="W46" s="328">
        <v>70.7</v>
      </c>
      <c r="X46" s="325">
        <f>(W46)*a14a!$G$9/1000000</f>
        <v>7.2104560346343023</v>
      </c>
      <c r="Y46" s="328">
        <v>32.6</v>
      </c>
      <c r="Z46" s="325">
        <f>(Y46)*a14a!$H$9/1000000</f>
        <v>4.050960727701713</v>
      </c>
      <c r="AA46" s="328">
        <v>147.30000000000001</v>
      </c>
      <c r="AB46" s="325">
        <f>(AA46)*a14a!$I$9/1000000</f>
        <v>21.801757920045205</v>
      </c>
      <c r="AC46" s="328">
        <v>52.5</v>
      </c>
      <c r="AD46" s="325">
        <f>(AC46)*a14a!$J$9/1000000</f>
        <v>11.008710789024844</v>
      </c>
      <c r="AE46" s="328">
        <v>426.1</v>
      </c>
      <c r="AF46" s="325">
        <f t="shared" ref="AF46:AF47" si="62">(T46)+(V46)+(X46)+(Z46)+(AB46)+(AD46)</f>
        <v>53.730021065180722</v>
      </c>
      <c r="AG46" s="325">
        <f>'a1'!L47/1000</f>
        <v>508.14299999999997</v>
      </c>
      <c r="AH46" s="325">
        <f t="shared" ref="AH46" si="63">(AF46)/(AG46)*1000000</f>
        <v>105737.99317353722</v>
      </c>
      <c r="AI46" s="325">
        <f>AH46/'a8'!I$39*100</f>
        <v>106162.64374853135</v>
      </c>
      <c r="AJ46" s="328">
        <v>8</v>
      </c>
      <c r="AK46" s="325">
        <f>(AJ46)*a14a!$E$14/1000000</f>
        <v>0.45006629308409624</v>
      </c>
      <c r="AL46" s="328">
        <v>22.2</v>
      </c>
      <c r="AM46" s="325">
        <f>(AL46)*a14a!$F$14/1000000</f>
        <v>1.561167454135459</v>
      </c>
      <c r="AN46" s="328">
        <v>21.1</v>
      </c>
      <c r="AO46" s="325">
        <f>(AN46)*a14a!$G$14/1000000</f>
        <v>1.780574772013956</v>
      </c>
      <c r="AP46" s="328">
        <v>10.6</v>
      </c>
      <c r="AQ46" s="325">
        <f>(AP46)*a14a!$H$14/1000000</f>
        <v>1.1520923032400183</v>
      </c>
      <c r="AR46" s="328">
        <v>36.5</v>
      </c>
      <c r="AS46" s="325">
        <f>(AR46)*a14a!$I$14/1000000</f>
        <v>5.20029228585281</v>
      </c>
      <c r="AT46" s="328">
        <v>17.2</v>
      </c>
      <c r="AU46" s="325">
        <f>(AT46)*a14a!$J$14/1000000</f>
        <v>3.1334415365725903</v>
      </c>
      <c r="AV46" s="328">
        <v>115.6</v>
      </c>
      <c r="AW46" s="325">
        <f t="shared" ref="AW46" si="64">(AK46)+(AM46)+(AO46)+(AQ46)+(AS46)+(AU46)</f>
        <v>13.27763464489893</v>
      </c>
      <c r="AX46" s="325">
        <f>'a1'!R47/1000</f>
        <v>141.09700000000001</v>
      </c>
      <c r="AY46" s="325">
        <f t="shared" ref="AY46" si="65">(AW46)/(AX46)*1000000</f>
        <v>94102.884149903461</v>
      </c>
      <c r="AZ46" s="325">
        <f>AY46/'a8'!O$39*100</f>
        <v>96913.37193604889</v>
      </c>
      <c r="BA46" s="328">
        <v>49.4</v>
      </c>
      <c r="BB46" s="325">
        <f>(BA46)*a14a!$E$19/1000000</f>
        <v>2.9413201981811756</v>
      </c>
      <c r="BC46" s="328">
        <v>142.1</v>
      </c>
      <c r="BD46" s="325">
        <f>(BC46)*a14a!$F$19/1000000</f>
        <v>10.575951421091728</v>
      </c>
      <c r="BE46" s="328">
        <v>134</v>
      </c>
      <c r="BF46" s="325">
        <f>(BE46)*a14a!$G$19/1000000</f>
        <v>11.967719834704782</v>
      </c>
      <c r="BG46" s="328">
        <v>59</v>
      </c>
      <c r="BH46" s="325">
        <f>(BG46)*a14a!$H$19/1000000</f>
        <v>6.2355668739983106</v>
      </c>
      <c r="BI46" s="328">
        <v>254.4</v>
      </c>
      <c r="BJ46" s="325">
        <f>(BI46)*a14a!$I$19/1000000</f>
        <v>30.176254027801285</v>
      </c>
      <c r="BK46" s="328">
        <v>134.5</v>
      </c>
      <c r="BL46" s="325">
        <f>(BK46)*a14a!$J$19/1000000</f>
        <v>24.184262239366678</v>
      </c>
      <c r="BM46" s="328">
        <v>773.4</v>
      </c>
      <c r="BN46" s="325">
        <f>(BB46)+(BD46)+(BF46)+(BH46)+(BJ46)+(BL46)</f>
        <v>86.08107459514396</v>
      </c>
      <c r="BO46" s="327">
        <f>'a1'!X47/1000</f>
        <v>939.12400000000002</v>
      </c>
      <c r="BP46" s="325">
        <f>(BN46)/(BO46)*1000000</f>
        <v>91661.031551897249</v>
      </c>
      <c r="BQ46" s="325">
        <f>BP46/'a8'!U$39*100</f>
        <v>92121.639750650502</v>
      </c>
      <c r="BR46" s="328">
        <v>62.4</v>
      </c>
      <c r="BS46" s="325">
        <f>(BR46)*a14a!$E$24/1000000</f>
        <v>3.8505244926928124</v>
      </c>
      <c r="BT46" s="328">
        <v>93.5</v>
      </c>
      <c r="BU46" s="325">
        <f>(BT46)*a14a!$F$24/1000000</f>
        <v>7.2120200333889812</v>
      </c>
      <c r="BV46" s="328">
        <v>124.5</v>
      </c>
      <c r="BW46" s="325">
        <f>(BV46)*a14a!$G$24/1000000</f>
        <v>11.523805272602287</v>
      </c>
      <c r="BX46" s="328">
        <v>48.7</v>
      </c>
      <c r="BY46" s="325">
        <f>(BX46)*a14a!$H$24/1000000</f>
        <v>5.6416552160129338</v>
      </c>
      <c r="BZ46" s="328">
        <v>193.4</v>
      </c>
      <c r="CA46" s="325">
        <f>(BZ46)*a14a!$I$24/1000000</f>
        <v>28.962260455936388</v>
      </c>
      <c r="CB46" s="328">
        <v>91.5</v>
      </c>
      <c r="CC46" s="325">
        <f>(CB46)*a14a!$J$24/1000000</f>
        <v>16.691742925674408</v>
      </c>
      <c r="CD46" s="328">
        <v>613.9</v>
      </c>
      <c r="CE46" s="325">
        <f>(BS46)+(BU46)+(BW46)+(BY46)+(CA46)+(CC46)</f>
        <v>73.88200839630781</v>
      </c>
      <c r="CF46" s="325">
        <f>'a1'!AD47/1000</f>
        <v>749.32399999999996</v>
      </c>
      <c r="CG46" s="325">
        <f t="shared" ref="CG46" si="66">(CE46)/(CF46)*1000000</f>
        <v>98598.214385643339</v>
      </c>
      <c r="CH46" s="325">
        <f>CG46/'a8'!AA$39*100</f>
        <v>96475.747931157865</v>
      </c>
      <c r="CI46" s="328">
        <v>687</v>
      </c>
      <c r="CJ46" s="325">
        <f>(CI46)*a14a!$E$29/1000000</f>
        <v>49.48949362195593</v>
      </c>
      <c r="CK46" s="328">
        <v>887.5</v>
      </c>
      <c r="CL46" s="325">
        <f>(CK46)*a14a!$F$29/1000000</f>
        <v>79.916167375338233</v>
      </c>
      <c r="CM46" s="328">
        <v>1005.7</v>
      </c>
      <c r="CN46" s="325">
        <f>(CM46)*a14a!$G$29/1000000</f>
        <v>108.671580208736</v>
      </c>
      <c r="CO46" s="328">
        <v>477.6</v>
      </c>
      <c r="CP46" s="325">
        <f>(CO46)*a14a!$H$29/1000000</f>
        <v>59.644065956602439</v>
      </c>
      <c r="CQ46" s="328">
        <v>2202.5</v>
      </c>
      <c r="CR46" s="325">
        <f>(CQ46)*a14a!$I$29/1000000</f>
        <v>301.13308494372762</v>
      </c>
      <c r="CS46" s="328">
        <v>1174.2</v>
      </c>
      <c r="CT46" s="325">
        <f>(CS46)*a14a!$J$29/1000000</f>
        <v>240.31033207127984</v>
      </c>
      <c r="CU46" s="328">
        <v>6434.5</v>
      </c>
      <c r="CV46" s="325">
        <f t="shared" ref="CV46" si="67">(CJ46)+(CL46)+(CN46)+(CP46)+(CR46)+(CT46)</f>
        <v>839.16472417763998</v>
      </c>
      <c r="CW46" s="325">
        <f>'a1'!AJ47/1000</f>
        <v>7828.357</v>
      </c>
      <c r="CX46" s="325">
        <f t="shared" ref="CX46" si="68">(CV46)/(CW46)*1000000</f>
        <v>107195.51039606906</v>
      </c>
      <c r="CY46" s="325">
        <f>CX46/'a8'!AG$39*100</f>
        <v>109160.39755200516</v>
      </c>
      <c r="CZ46" s="328">
        <v>671.4</v>
      </c>
      <c r="DA46" s="325">
        <f>(CZ46)*a14a!$E$34/1000000</f>
        <v>45.265713067553833</v>
      </c>
      <c r="DB46" s="328">
        <v>1422.9</v>
      </c>
      <c r="DC46" s="325">
        <f>(DB46)*a14a!$F$34/1000000</f>
        <v>119.91469899430734</v>
      </c>
      <c r="DD46" s="328">
        <v>2223.6</v>
      </c>
      <c r="DE46" s="325">
        <f>(DD46)*a14a!$G$34/1000000</f>
        <v>224.87229574846452</v>
      </c>
      <c r="DF46" s="328">
        <v>829.9</v>
      </c>
      <c r="DG46" s="325">
        <f>(DF46)*a14a!$H$34/1000000</f>
        <v>95.101356560253365</v>
      </c>
      <c r="DH46" s="328">
        <v>3101.2</v>
      </c>
      <c r="DI46" s="325">
        <f>(DH46)*a14a!$I$34/1000000</f>
        <v>378.19977320572076</v>
      </c>
      <c r="DJ46" s="328">
        <v>2397.1</v>
      </c>
      <c r="DK46" s="325">
        <f>(DJ46)*a14a!$J$34/1000000</f>
        <v>440.37563060289619</v>
      </c>
      <c r="DL46" s="328">
        <v>10646</v>
      </c>
      <c r="DM46" s="325">
        <f t="shared" ref="DM46" si="69">(DA46)+(DC46)+(DE46)+(DG46)+(DI46)+(DK46)</f>
        <v>1303.7294681791959</v>
      </c>
      <c r="DN46" s="325">
        <f>'a1'!AP47/1000</f>
        <v>13064.9</v>
      </c>
      <c r="DO46" s="325">
        <f t="shared" ref="DO46" si="70">(DM46)/(DN46)*1000000</f>
        <v>99788.706241853826</v>
      </c>
      <c r="DP46" s="325">
        <f>DO46/'a8'!AM$39*100</f>
        <v>101929.21985889052</v>
      </c>
      <c r="DQ46" s="328">
        <v>60.5</v>
      </c>
      <c r="DR46" s="325">
        <f>(DQ46)*a14a!$E$39/1000000</f>
        <v>5.4096848489721836</v>
      </c>
      <c r="DS46" s="328">
        <v>165.5</v>
      </c>
      <c r="DT46" s="325">
        <f>(DS46)*a14a!$F$39/1000000</f>
        <v>18.49799261373753</v>
      </c>
      <c r="DU46" s="328">
        <v>204.2</v>
      </c>
      <c r="DV46" s="325">
        <f>(DU46)*a14a!$G$39/1000000</f>
        <v>27.388206103143467</v>
      </c>
      <c r="DW46" s="328">
        <v>90.4</v>
      </c>
      <c r="DX46" s="325">
        <f>(DW46)*a14a!$H$39/1000000</f>
        <v>13.683052390949404</v>
      </c>
      <c r="DY46" s="328">
        <v>250.2</v>
      </c>
      <c r="DZ46" s="325">
        <f>(DY46)*a14a!$I$39/1000000</f>
        <v>42.056113884142817</v>
      </c>
      <c r="EA46" s="328">
        <v>157.80000000000001</v>
      </c>
      <c r="EB46" s="325">
        <f>(EA46)*a14a!$J$39/1000000</f>
        <v>34.9650582560758</v>
      </c>
      <c r="EC46" s="328">
        <v>928.5</v>
      </c>
      <c r="ED46" s="325">
        <f>(DR46)+(DT46)+(DV46)+(DX46)+(DZ46)+(EB46)</f>
        <v>142.00010809702121</v>
      </c>
      <c r="EE46" s="325">
        <f>'a1'!AV47/1000</f>
        <v>1219.5619999999999</v>
      </c>
      <c r="EF46" s="325">
        <f t="shared" ref="EF46" si="71">(ED46)/(EE46)*1000000</f>
        <v>116435.33342054051</v>
      </c>
      <c r="EG46" s="325">
        <f>EF46/'a8'!AS$39*100</f>
        <v>119176.3903997344</v>
      </c>
      <c r="EH46" s="328">
        <v>47.8</v>
      </c>
      <c r="EI46" s="325">
        <f>(EH46)*a14a!$E$44/1000000</f>
        <v>3.8134058559808466</v>
      </c>
      <c r="EJ46" s="328">
        <v>135.80000000000001</v>
      </c>
      <c r="EK46" s="325">
        <f>(EJ46)*a14a!$F$44/1000000</f>
        <v>13.542377490643281</v>
      </c>
      <c r="EL46" s="328">
        <v>184.3</v>
      </c>
      <c r="EM46" s="325">
        <f>(EL46)*a14a!$G$44/1000000</f>
        <v>22.054729056190482</v>
      </c>
      <c r="EN46" s="328">
        <v>66.900000000000006</v>
      </c>
      <c r="EO46" s="325">
        <f>(EN46)*a14a!$H$44/1000000</f>
        <v>10.233437001321217</v>
      </c>
      <c r="EP46" s="328">
        <v>230.8</v>
      </c>
      <c r="EQ46" s="325">
        <f>(EP46)*a14a!$I$44/1000000</f>
        <v>37.953139131491831</v>
      </c>
      <c r="ER46" s="328">
        <v>113.6</v>
      </c>
      <c r="ES46" s="325">
        <f>(ER46)*a14a!$J$44/1000000</f>
        <v>38.705619348616672</v>
      </c>
      <c r="ET46" s="328">
        <v>779.3</v>
      </c>
      <c r="EU46" s="325">
        <f t="shared" ref="EU46" si="72">(EI46)+(EK46)+(EM46)+(EO46)+(EQ46)+(ES46)</f>
        <v>126.30270788424431</v>
      </c>
      <c r="EV46" s="325">
        <f>'a1'!BB47/1000</f>
        <v>1029.124</v>
      </c>
      <c r="EW46" s="325">
        <f t="shared" ref="EW46" si="73">(EU46)/(EV46)*1000000</f>
        <v>122728.36692589456</v>
      </c>
      <c r="EX46" s="325">
        <f>EW46/'a8'!AY$39*100</f>
        <v>127709.01865337623</v>
      </c>
      <c r="EY46" s="328">
        <v>107.6</v>
      </c>
      <c r="EZ46" s="325">
        <f>(EY46)*a14a!$E$49/1000000</f>
        <v>7.2705073789501728</v>
      </c>
      <c r="FA46" s="328">
        <v>428.6</v>
      </c>
      <c r="FB46" s="325">
        <f>(FA46)*a14a!$F$49/1000000</f>
        <v>36.200504909596241</v>
      </c>
      <c r="FC46" s="328">
        <v>647.70000000000005</v>
      </c>
      <c r="FD46" s="325">
        <f>(FC46)*a14a!$G$49/1000000</f>
        <v>65.647411189768036</v>
      </c>
      <c r="FE46" s="328">
        <v>242.9</v>
      </c>
      <c r="FF46" s="325">
        <f>(FE46)*a14a!$H$49/1000000</f>
        <v>28.590970634790725</v>
      </c>
      <c r="FG46" s="328">
        <v>926.7</v>
      </c>
      <c r="FH46" s="325">
        <f>(FG46)*a14a!$I$49/1000000</f>
        <v>112.39575941835646</v>
      </c>
      <c r="FI46" s="328">
        <v>564.29999999999995</v>
      </c>
      <c r="FJ46" s="325">
        <f>(FI46)*a14a!$J$49/1000000</f>
        <v>121.35114172604715</v>
      </c>
      <c r="FK46" s="328">
        <v>2917.8</v>
      </c>
      <c r="FL46" s="325">
        <f t="shared" ref="FL46" si="74">(EZ46)+(FB46)+(FD46)+(FF46)+(FH46)+(FJ46)</f>
        <v>371.45629525750877</v>
      </c>
      <c r="FM46" s="325">
        <f>'a1'!BH47/1000</f>
        <v>3670.7420000000002</v>
      </c>
      <c r="FN46" s="325">
        <f t="shared" ref="FN46" si="75">(FL46)/(FM46)*1000000</f>
        <v>101193.7900450396</v>
      </c>
      <c r="FO46" s="325">
        <f>FN46/'a8'!BE$39*100</f>
        <v>98629.424995165304</v>
      </c>
      <c r="FP46" s="328">
        <v>152.6</v>
      </c>
      <c r="FQ46" s="325">
        <f>(FP46)*a14a!$E$54/1000000</f>
        <v>11.890964940177382</v>
      </c>
      <c r="FR46" s="328">
        <v>475.5</v>
      </c>
      <c r="FS46" s="325">
        <f>(FR46)*a14a!$F$54/1000000</f>
        <v>46.315152597103079</v>
      </c>
      <c r="FT46" s="328">
        <v>832.3</v>
      </c>
      <c r="FU46" s="325">
        <f>(FT46)*a14a!$G$54/1000000</f>
        <v>97.282275095442017</v>
      </c>
      <c r="FV46" s="328">
        <v>408.1</v>
      </c>
      <c r="FW46" s="325">
        <f>(FV46)*a14a!$H$54/1000000</f>
        <v>55.121504338072548</v>
      </c>
      <c r="FX46" s="328">
        <v>1008.4</v>
      </c>
      <c r="FY46" s="325">
        <f>(FX46)*a14a!$I$54/1000000</f>
        <v>141.95381613074505</v>
      </c>
      <c r="FZ46" s="328">
        <v>786.1</v>
      </c>
      <c r="GA46" s="325">
        <f>(FZ46)*a14a!$J$54/1000000</f>
        <v>187.88893865400317</v>
      </c>
      <c r="GB46" s="328">
        <v>3663</v>
      </c>
      <c r="GC46" s="325">
        <f t="shared" ref="GC46" si="76">(FQ46)+(FS46)+(FU46)+(FW46)+(FY46)+(GA46)</f>
        <v>540.45265175554323</v>
      </c>
      <c r="GD46" s="325">
        <f>'a1'!BN47/1000</f>
        <v>4460.2920000000004</v>
      </c>
      <c r="GE46" s="325">
        <f t="shared" ref="GE46" si="77">(GC46)/(GD46)*1000000</f>
        <v>121169.79151937658</v>
      </c>
      <c r="GF46" s="325">
        <f>GE46/'a8'!BK$39*100</f>
        <v>121048.74277659999</v>
      </c>
    </row>
    <row r="47" spans="1:188" s="26" customFormat="1" ht="16.5" customHeight="1">
      <c r="A47" s="202">
        <v>2010</v>
      </c>
      <c r="B47" s="328">
        <v>1810.3</v>
      </c>
      <c r="C47" s="326">
        <f>B47*a14a!$E$4/1000000</f>
        <v>128.05342849365937</v>
      </c>
      <c r="D47" s="328">
        <v>3771.9</v>
      </c>
      <c r="E47" s="326">
        <f>D47*a14a!$F$4/1000000</f>
        <v>333.51152221678296</v>
      </c>
      <c r="F47" s="328">
        <v>5447.9</v>
      </c>
      <c r="G47" s="325">
        <f>F47*a14a!$G$4/1000000</f>
        <v>578.04419689328302</v>
      </c>
      <c r="H47" s="328">
        <v>2292.9</v>
      </c>
      <c r="I47" s="326">
        <f>H47*a14a!$H$4/1000000</f>
        <v>279.69824995789321</v>
      </c>
      <c r="J47" s="328">
        <v>8546</v>
      </c>
      <c r="K47" s="326">
        <f>J47*a14a!$I$4/1000000</f>
        <v>1118.8343050344406</v>
      </c>
      <c r="L47" s="328">
        <v>5789.4</v>
      </c>
      <c r="M47" s="326">
        <f>L47*a14a!$J$4/1000000</f>
        <v>1174.5016207946021</v>
      </c>
      <c r="N47" s="183">
        <v>27658.5</v>
      </c>
      <c r="O47" s="325">
        <f>(C47)+(E47)+(G47)+(I47)+(K47)+(M47)</f>
        <v>3612.643323390661</v>
      </c>
      <c r="P47" s="326">
        <f>'a1'!F48/1000</f>
        <v>34108.752</v>
      </c>
      <c r="Q47" s="325">
        <f>(O47)/(P47)*1000000</f>
        <v>105915.43552782761</v>
      </c>
      <c r="R47" s="326">
        <f>Q47/'a8'!C$39*100</f>
        <v>107093.46362773265</v>
      </c>
      <c r="S47" s="328">
        <v>45</v>
      </c>
      <c r="T47" s="325">
        <f>(S47)*a14a!$E$9/1000000</f>
        <v>3.0595994489254461</v>
      </c>
      <c r="U47" s="328">
        <v>71.2</v>
      </c>
      <c r="V47" s="325">
        <f>(U47)*a14a!$F$9/1000000</f>
        <v>6.0512077989858826</v>
      </c>
      <c r="W47" s="328">
        <v>72</v>
      </c>
      <c r="X47" s="325">
        <f>(W47)*a14a!$G$9/1000000</f>
        <v>7.3430386774210712</v>
      </c>
      <c r="Y47" s="328">
        <v>31.4</v>
      </c>
      <c r="Z47" s="325">
        <f>(Y47)*a14a!$H$9/1000000</f>
        <v>3.9018456088906071</v>
      </c>
      <c r="AA47" s="328">
        <v>157.1</v>
      </c>
      <c r="AB47" s="325">
        <f>(AA47)*a14a!$I$9/1000000</f>
        <v>23.252248263673465</v>
      </c>
      <c r="AC47" s="328">
        <v>51.3</v>
      </c>
      <c r="AD47" s="325">
        <f>(AC47)*a14a!$J$9/1000000</f>
        <v>10.757083113847132</v>
      </c>
      <c r="AE47" s="328">
        <v>428.1</v>
      </c>
      <c r="AF47" s="325">
        <f t="shared" si="62"/>
        <v>54.365022911743601</v>
      </c>
      <c r="AG47" s="325">
        <f>'a1'!L48/1000</f>
        <v>509.73899999999998</v>
      </c>
      <c r="AH47" s="325">
        <f t="shared" ref="AH47" si="78">(AF47)/(AG47)*1000000</f>
        <v>106652.66521051676</v>
      </c>
      <c r="AI47" s="325">
        <f>AH47/'a8'!I$39*100</f>
        <v>107080.9891671855</v>
      </c>
      <c r="AJ47" s="328">
        <v>8.1</v>
      </c>
      <c r="AK47" s="325">
        <f>(AJ47)*a14a!$E$14/1000000</f>
        <v>0.45569212174764739</v>
      </c>
      <c r="AL47" s="328">
        <v>20.3</v>
      </c>
      <c r="AM47" s="325">
        <f>(AL47)*a14a!$F$14/1000000</f>
        <v>1.4275540233761179</v>
      </c>
      <c r="AN47" s="328">
        <v>21.9</v>
      </c>
      <c r="AO47" s="325">
        <f>(AN47)*a14a!$G$14/1000000</f>
        <v>1.8480847159765701</v>
      </c>
      <c r="AP47" s="328">
        <v>10.9</v>
      </c>
      <c r="AQ47" s="325">
        <f>(AP47)*a14a!$H$14/1000000</f>
        <v>1.1846986891807736</v>
      </c>
      <c r="AR47" s="328">
        <v>35.4</v>
      </c>
      <c r="AS47" s="325">
        <f>(AR47)*a14a!$I$14/1000000</f>
        <v>5.0435711484709449</v>
      </c>
      <c r="AT47" s="328">
        <v>20.399999999999999</v>
      </c>
      <c r="AU47" s="325">
        <f>(AT47)*a14a!$J$14/1000000</f>
        <v>3.7164074038419095</v>
      </c>
      <c r="AV47" s="328">
        <v>117</v>
      </c>
      <c r="AW47" s="325">
        <f t="shared" ref="AW47" si="79">(AK47)+(AM47)+(AO47)+(AQ47)+(AS47)+(AU47)</f>
        <v>13.676008102593963</v>
      </c>
      <c r="AX47" s="325">
        <f>'a1'!R48/1000</f>
        <v>142.26599999999999</v>
      </c>
      <c r="AY47" s="325">
        <f t="shared" ref="AY47" si="80">(AW47)/(AX47)*1000000</f>
        <v>96129.842004371836</v>
      </c>
      <c r="AZ47" s="325">
        <f>AY47/'a8'!O$39*100</f>
        <v>99000.867151773258</v>
      </c>
      <c r="BA47" s="328">
        <v>44.9</v>
      </c>
      <c r="BB47" s="325">
        <f>(BA47)*a14a!$E$19/1000000</f>
        <v>2.6733861720310683</v>
      </c>
      <c r="BC47" s="328">
        <v>133.80000000000001</v>
      </c>
      <c r="BD47" s="325">
        <f>(BC47)*a14a!$F$19/1000000</f>
        <v>9.9582146385789816</v>
      </c>
      <c r="BE47" s="328">
        <v>124.4</v>
      </c>
      <c r="BF47" s="325">
        <f>(BE47)*a14a!$G$19/1000000</f>
        <v>11.110330951024439</v>
      </c>
      <c r="BG47" s="328">
        <v>64.599999999999994</v>
      </c>
      <c r="BH47" s="325">
        <f>(BG47)*a14a!$H$19/1000000</f>
        <v>6.8274172891574718</v>
      </c>
      <c r="BI47" s="328">
        <v>259.7</v>
      </c>
      <c r="BJ47" s="325">
        <f>(BI47)*a14a!$I$19/1000000</f>
        <v>30.804925986713812</v>
      </c>
      <c r="BK47" s="328">
        <v>149.5</v>
      </c>
      <c r="BL47" s="325">
        <f>(BK47)*a14a!$J$19/1000000</f>
        <v>26.88139185713991</v>
      </c>
      <c r="BM47" s="328">
        <v>777</v>
      </c>
      <c r="BN47" s="325">
        <f>(BB47)+(BD47)+(BF47)+(BH47)+(BJ47)+(BL47)</f>
        <v>88.255666894645685</v>
      </c>
      <c r="BO47" s="327">
        <f>'a1'!X48/1000</f>
        <v>942.50599999999997</v>
      </c>
      <c r="BP47" s="325">
        <f>(BN47)/(BO47)*1000000</f>
        <v>93639.368762263257</v>
      </c>
      <c r="BQ47" s="325">
        <f>BP47/'a8'!U$39*100</f>
        <v>94109.91835403342</v>
      </c>
      <c r="BR47" s="328">
        <v>58.4</v>
      </c>
      <c r="BS47" s="325">
        <f>(BR47)*a14a!$E$24/1000000</f>
        <v>3.6036959995714781</v>
      </c>
      <c r="BT47" s="328">
        <v>94.6</v>
      </c>
      <c r="BU47" s="325">
        <f>(BT47)*a14a!$F$24/1000000</f>
        <v>7.2968673278994389</v>
      </c>
      <c r="BV47" s="328">
        <v>125.2</v>
      </c>
      <c r="BW47" s="325">
        <f>(BV47)*a14a!$G$24/1000000</f>
        <v>11.588597752046637</v>
      </c>
      <c r="BX47" s="328">
        <v>51.3</v>
      </c>
      <c r="BY47" s="325">
        <f>(BX47)*a14a!$H$24/1000000</f>
        <v>5.9428524144037684</v>
      </c>
      <c r="BZ47" s="328">
        <v>196.2</v>
      </c>
      <c r="CA47" s="325">
        <f>(BZ47)*a14a!$I$24/1000000</f>
        <v>29.38156929397476</v>
      </c>
      <c r="CB47" s="328">
        <v>91.2</v>
      </c>
      <c r="CC47" s="325">
        <f>(CB47)*a14a!$J$24/1000000</f>
        <v>16.637015899688592</v>
      </c>
      <c r="CD47" s="328">
        <v>616.79999999999995</v>
      </c>
      <c r="CE47" s="325">
        <f>(BS47)+(BU47)+(BW47)+(BY47)+(CA47)+(CC47)</f>
        <v>74.450598687584673</v>
      </c>
      <c r="CF47" s="325">
        <f>'a1'!AD48/1000</f>
        <v>751.755</v>
      </c>
      <c r="CG47" s="325">
        <f t="shared" ref="CG47" si="81">(CE47)/(CF47)*1000000</f>
        <v>99035.721328870015</v>
      </c>
      <c r="CH47" s="325">
        <f>CG47/'a8'!AA$39*100</f>
        <v>96903.836916702552</v>
      </c>
      <c r="CI47" s="328">
        <v>695</v>
      </c>
      <c r="CJ47" s="325">
        <f>(CI47)*a14a!$E$29/1000000</f>
        <v>50.065790490916115</v>
      </c>
      <c r="CK47" s="328">
        <v>835.3</v>
      </c>
      <c r="CL47" s="325">
        <f>(CK47)*a14a!$F$29/1000000</f>
        <v>75.215746037881715</v>
      </c>
      <c r="CM47" s="328">
        <v>994.9</v>
      </c>
      <c r="CN47" s="325">
        <f>(CM47)*a14a!$G$29/1000000</f>
        <v>107.50457904909162</v>
      </c>
      <c r="CO47" s="328">
        <v>482.7</v>
      </c>
      <c r="CP47" s="325">
        <f>(CO47)*a14a!$H$29/1000000</f>
        <v>60.280968670963141</v>
      </c>
      <c r="CQ47" s="328">
        <v>2272.3000000000002</v>
      </c>
      <c r="CR47" s="325">
        <f>(CQ47)*a14a!$I$29/1000000</f>
        <v>310.67637181277291</v>
      </c>
      <c r="CS47" s="328">
        <v>1227</v>
      </c>
      <c r="CT47" s="325">
        <f>(CS47)*a14a!$J$29/1000000</f>
        <v>251.1163153223134</v>
      </c>
      <c r="CU47" s="328">
        <v>6507.2</v>
      </c>
      <c r="CV47" s="325">
        <f t="shared" ref="CV47" si="82">(CJ47)+(CL47)+(CN47)+(CP47)+(CR47)+(CT47)</f>
        <v>854.85977138393889</v>
      </c>
      <c r="CW47" s="325">
        <f>'a1'!AJ48/1000</f>
        <v>7907.375</v>
      </c>
      <c r="CX47" s="325">
        <f t="shared" ref="CX47" si="83">(CV47)/(CW47)*1000000</f>
        <v>108109.1729409493</v>
      </c>
      <c r="CY47" s="325">
        <f>CX47/'a8'!AG$39*100</f>
        <v>110090.80747550845</v>
      </c>
      <c r="CZ47" s="328">
        <v>612.29999999999995</v>
      </c>
      <c r="DA47" s="325">
        <f>(CZ47)*a14a!$E$34/1000000</f>
        <v>41.281197663484079</v>
      </c>
      <c r="DB47" s="328">
        <v>1405.5</v>
      </c>
      <c r="DC47" s="325">
        <f>(DB47)*a14a!$F$34/1000000</f>
        <v>118.44831642174358</v>
      </c>
      <c r="DD47" s="328">
        <v>2242.6999999999998</v>
      </c>
      <c r="DE47" s="325">
        <f>(DD47)*a14a!$G$34/1000000</f>
        <v>226.80387555094501</v>
      </c>
      <c r="DF47" s="328">
        <v>845.4</v>
      </c>
      <c r="DG47" s="325">
        <f>(DF47)*a14a!$H$34/1000000</f>
        <v>96.877559749413422</v>
      </c>
      <c r="DH47" s="328">
        <v>3143.2</v>
      </c>
      <c r="DI47" s="325">
        <f>(DH47)*a14a!$I$34/1000000</f>
        <v>383.3217874178452</v>
      </c>
      <c r="DJ47" s="328">
        <v>2541.6</v>
      </c>
      <c r="DK47" s="325">
        <f>(DJ47)*a14a!$J$34/1000000</f>
        <v>466.92199021330816</v>
      </c>
      <c r="DL47" s="328">
        <v>10790.6</v>
      </c>
      <c r="DM47" s="325">
        <f t="shared" ref="DM47" si="84">(DA47)+(DC47)+(DE47)+(DG47)+(DI47)+(DK47)</f>
        <v>1333.6547270167393</v>
      </c>
      <c r="DN47" s="325">
        <f>'a1'!AP48/1000</f>
        <v>13210.666999999999</v>
      </c>
      <c r="DO47" s="325">
        <f t="shared" ref="DO47" si="85">(DM47)/(DN47)*1000000</f>
        <v>100952.8683916368</v>
      </c>
      <c r="DP47" s="325">
        <f>DO47/'a8'!AM$39*100</f>
        <v>103118.35382189663</v>
      </c>
      <c r="DQ47" s="328">
        <v>55.8</v>
      </c>
      <c r="DR47" s="325">
        <f>(DQ47)*a14a!$E$39/1000000</f>
        <v>4.9894283400437667</v>
      </c>
      <c r="DS47" s="328">
        <v>164.7</v>
      </c>
      <c r="DT47" s="325">
        <f>(DS47)*a14a!$F$39/1000000</f>
        <v>18.408576335242124</v>
      </c>
      <c r="DU47" s="328">
        <v>208.6</v>
      </c>
      <c r="DV47" s="325">
        <f>(DU47)*a14a!$G$39/1000000</f>
        <v>27.97835354121316</v>
      </c>
      <c r="DW47" s="328">
        <v>85.5</v>
      </c>
      <c r="DX47" s="325">
        <f>(DW47)*a14a!$H$39/1000000</f>
        <v>12.941382515776262</v>
      </c>
      <c r="DY47" s="328">
        <v>253.9</v>
      </c>
      <c r="DZ47" s="325">
        <f>(DY47)*a14a!$I$39/1000000</f>
        <v>42.678046823276823</v>
      </c>
      <c r="EA47" s="328">
        <v>172.6</v>
      </c>
      <c r="EB47" s="325">
        <f>(EA47)*a14a!$J$39/1000000</f>
        <v>38.244417332057559</v>
      </c>
      <c r="EC47" s="328">
        <v>941</v>
      </c>
      <c r="ED47" s="325">
        <f>(DR47)+(DT47)+(DV47)+(DX47)+(DZ47)+(EB47)</f>
        <v>145.24020488760971</v>
      </c>
      <c r="EE47" s="325">
        <f>'a1'!AV48/1000</f>
        <v>1235.412</v>
      </c>
      <c r="EF47" s="325">
        <f t="shared" ref="EF47" si="86">(ED47)/(EE47)*1000000</f>
        <v>117564.18497441315</v>
      </c>
      <c r="EG47" s="325">
        <f>EF47/'a8'!AS$39*100</f>
        <v>120331.81675989063</v>
      </c>
      <c r="EH47" s="328">
        <v>45.4</v>
      </c>
      <c r="EI47" s="325">
        <f>(EH47)*a14a!$E$44/1000000</f>
        <v>3.6219377795299259</v>
      </c>
      <c r="EJ47" s="328">
        <v>134.1</v>
      </c>
      <c r="EK47" s="325">
        <f>(EJ47)*a14a!$F$44/1000000</f>
        <v>13.372848464619027</v>
      </c>
      <c r="EL47" s="328">
        <v>182.2</v>
      </c>
      <c r="EM47" s="325">
        <f>(EL47)*a14a!$G$44/1000000</f>
        <v>21.803427205848649</v>
      </c>
      <c r="EN47" s="328">
        <v>67.900000000000006</v>
      </c>
      <c r="EO47" s="325">
        <f>(EN47)*a14a!$H$44/1000000</f>
        <v>10.38640317473409</v>
      </c>
      <c r="EP47" s="328">
        <v>239.2</v>
      </c>
      <c r="EQ47" s="325">
        <f>(EP47)*a14a!$I$44/1000000</f>
        <v>39.334449221199506</v>
      </c>
      <c r="ER47" s="328">
        <v>122</v>
      </c>
      <c r="ES47" s="325">
        <f>(ER47)*a14a!$J$44/1000000</f>
        <v>41.567654582141145</v>
      </c>
      <c r="ET47" s="328">
        <v>790.9</v>
      </c>
      <c r="EU47" s="325">
        <f t="shared" ref="EU47" si="87">(EI47)+(EK47)+(EM47)+(EO47)+(EQ47)+(ES47)</f>
        <v>130.08672042807234</v>
      </c>
      <c r="EV47" s="325">
        <f>'a1'!BB48/1000</f>
        <v>1045.6220000000001</v>
      </c>
      <c r="EW47" s="325">
        <f t="shared" ref="EW47" si="88">(EU47)/(EV47)*1000000</f>
        <v>124410.8486891748</v>
      </c>
      <c r="EX47" s="325">
        <f>EW47/'a8'!AY$39*100</f>
        <v>129459.78011360542</v>
      </c>
      <c r="EY47" s="328">
        <v>110.1</v>
      </c>
      <c r="EZ47" s="325">
        <f>(EY47)*a14a!$E$49/1000000</f>
        <v>7.4394318068997594</v>
      </c>
      <c r="FA47" s="328">
        <v>431.9</v>
      </c>
      <c r="FB47" s="325">
        <f>(FA47)*a14a!$F$49/1000000</f>
        <v>36.479230215713052</v>
      </c>
      <c r="FC47" s="328">
        <v>659.3</v>
      </c>
      <c r="FD47" s="325">
        <f>(FC47)*a14a!$G$49/1000000</f>
        <v>66.823125208297142</v>
      </c>
      <c r="FE47" s="328">
        <v>240.2</v>
      </c>
      <c r="FF47" s="325">
        <f>(FE47)*a14a!$H$49/1000000</f>
        <v>28.273162398010424</v>
      </c>
      <c r="FG47" s="328">
        <v>938.1</v>
      </c>
      <c r="FH47" s="325">
        <f>(FG47)*a14a!$I$49/1000000</f>
        <v>113.77842010398207</v>
      </c>
      <c r="FI47" s="328">
        <v>581.29999999999995</v>
      </c>
      <c r="FJ47" s="325">
        <f>(FI47)*a14a!$J$49/1000000</f>
        <v>125.00694432987987</v>
      </c>
      <c r="FK47" s="328">
        <v>2960.9</v>
      </c>
      <c r="FL47" s="325">
        <f t="shared" ref="FL47" si="89">(EZ47)+(FB47)+(FD47)+(FF47)+(FH47)+(FJ47)</f>
        <v>377.80031406278226</v>
      </c>
      <c r="FM47" s="325">
        <f>'a1'!BH48/1000</f>
        <v>3720.9459999999999</v>
      </c>
      <c r="FN47" s="325">
        <f t="shared" ref="FN47" si="90">(FL47)/(FM47)*1000000</f>
        <v>101533.40415657262</v>
      </c>
      <c r="FO47" s="325">
        <f>FN47/'a8'!BE$39*100</f>
        <v>98960.432901142922</v>
      </c>
      <c r="FP47" s="328">
        <v>135.30000000000001</v>
      </c>
      <c r="FQ47" s="325">
        <f>(FP47)*a14a!$E$54/1000000</f>
        <v>10.542906660589775</v>
      </c>
      <c r="FR47" s="328">
        <v>480.5</v>
      </c>
      <c r="FS47" s="325">
        <f>(FR47)*a14a!$F$54/1000000</f>
        <v>46.802167871520574</v>
      </c>
      <c r="FT47" s="328">
        <v>816.7</v>
      </c>
      <c r="FU47" s="325">
        <f>(FT47)*a14a!$G$54/1000000</f>
        <v>95.458889908022954</v>
      </c>
      <c r="FV47" s="328">
        <v>413.1</v>
      </c>
      <c r="FW47" s="325">
        <f>(FV47)*a14a!$H$54/1000000</f>
        <v>55.796847444395418</v>
      </c>
      <c r="FX47" s="328">
        <v>1051</v>
      </c>
      <c r="FY47" s="325">
        <f>(FX47)*a14a!$I$54/1000000</f>
        <v>147.95067508271822</v>
      </c>
      <c r="FZ47" s="328">
        <v>832.6</v>
      </c>
      <c r="GA47" s="325">
        <f>(FZ47)*a14a!$J$54/1000000</f>
        <v>199.00309162106987</v>
      </c>
      <c r="GB47" s="328">
        <v>3729.1</v>
      </c>
      <c r="GC47" s="325">
        <f t="shared" ref="GC47" si="91">(FQ47)+(FS47)+(FU47)+(FW47)+(FY47)+(GA47)</f>
        <v>555.55457858831687</v>
      </c>
      <c r="GD47" s="325">
        <f>'a1'!BN48/1000</f>
        <v>4530.96</v>
      </c>
      <c r="GE47" s="325">
        <f t="shared" ref="GE47" si="92">(GC47)/(GD47)*1000000</f>
        <v>122612.99560983034</v>
      </c>
      <c r="GF47" s="325">
        <f>GE47/'a8'!BK$39*100</f>
        <v>122490.50510472561</v>
      </c>
    </row>
    <row r="48" spans="1:188" s="26" customFormat="1" ht="16.5" customHeight="1">
      <c r="A48" s="202"/>
      <c r="B48" s="172" t="s">
        <v>435</v>
      </c>
      <c r="C48" s="168"/>
      <c r="D48" s="99"/>
      <c r="E48" s="168"/>
      <c r="F48" s="99"/>
      <c r="G48" s="99"/>
      <c r="H48" s="99"/>
      <c r="I48" s="168"/>
      <c r="J48" s="99"/>
      <c r="K48" s="168"/>
      <c r="L48" s="99"/>
      <c r="M48" s="168"/>
      <c r="N48" s="99"/>
      <c r="O48" s="99"/>
      <c r="P48" s="168"/>
      <c r="Q48" s="100"/>
      <c r="R48" s="168"/>
      <c r="S48" s="172" t="s">
        <v>435</v>
      </c>
      <c r="T48" s="100"/>
      <c r="U48" s="99"/>
      <c r="V48" s="100"/>
      <c r="W48" s="99"/>
      <c r="X48" s="99"/>
      <c r="Y48" s="99"/>
      <c r="Z48" s="99"/>
      <c r="AA48" s="99"/>
      <c r="AB48" s="99"/>
      <c r="AC48" s="99"/>
      <c r="AD48" s="99"/>
      <c r="AE48" s="99"/>
      <c r="AF48" s="99"/>
      <c r="AG48" s="99"/>
      <c r="AH48" s="100"/>
      <c r="AI48" s="100"/>
      <c r="AJ48" s="172" t="s">
        <v>435</v>
      </c>
      <c r="AK48" s="100"/>
      <c r="AL48" s="99"/>
      <c r="AM48" s="100"/>
      <c r="AN48" s="99"/>
      <c r="AO48" s="99"/>
      <c r="AP48" s="99"/>
      <c r="AQ48" s="99"/>
      <c r="AR48" s="99"/>
      <c r="AS48" s="99"/>
      <c r="AT48" s="99"/>
      <c r="AU48" s="99"/>
      <c r="AV48" s="99"/>
      <c r="AW48" s="99"/>
      <c r="AX48" s="99"/>
      <c r="AY48" s="100"/>
      <c r="AZ48" s="100"/>
      <c r="BA48" s="172" t="s">
        <v>435</v>
      </c>
      <c r="BB48" s="100"/>
      <c r="BC48" s="99"/>
      <c r="BD48" s="100"/>
      <c r="BE48" s="99"/>
      <c r="BF48" s="99"/>
      <c r="BG48" s="99"/>
      <c r="BH48" s="99"/>
      <c r="BI48" s="242"/>
      <c r="BJ48" s="99"/>
      <c r="BK48" s="242"/>
      <c r="BL48" s="99"/>
      <c r="BM48" s="242"/>
      <c r="BN48" s="99"/>
      <c r="BO48" s="242"/>
      <c r="BP48" s="100"/>
      <c r="BQ48" s="100"/>
      <c r="BR48" s="172" t="s">
        <v>435</v>
      </c>
      <c r="BS48" s="100"/>
      <c r="BT48" s="99"/>
      <c r="BU48" s="100"/>
      <c r="BV48" s="99"/>
      <c r="BW48" s="99"/>
      <c r="BX48" s="99"/>
      <c r="BY48" s="99"/>
      <c r="BZ48" s="99"/>
      <c r="CA48" s="99"/>
      <c r="CB48" s="99"/>
      <c r="CC48" s="99"/>
      <c r="CD48" s="99"/>
      <c r="CE48" s="99"/>
      <c r="CF48" s="99"/>
      <c r="CG48" s="100"/>
      <c r="CH48" s="100"/>
      <c r="CI48" s="172" t="s">
        <v>435</v>
      </c>
      <c r="CJ48" s="100"/>
      <c r="CK48" s="99"/>
      <c r="CL48" s="100"/>
      <c r="CM48" s="100"/>
      <c r="CN48" s="99"/>
      <c r="CO48" s="100"/>
      <c r="CP48" s="99"/>
      <c r="CQ48" s="99"/>
      <c r="CR48" s="99"/>
      <c r="CS48" s="99"/>
      <c r="CT48" s="99"/>
      <c r="CU48" s="99"/>
      <c r="CV48" s="99"/>
      <c r="CW48" s="99"/>
      <c r="CX48" s="100"/>
      <c r="CY48" s="100"/>
      <c r="CZ48" s="172" t="s">
        <v>435</v>
      </c>
      <c r="DA48" s="100"/>
      <c r="DB48" s="99"/>
      <c r="DC48" s="100"/>
      <c r="DD48" s="99"/>
      <c r="DE48" s="99"/>
      <c r="DF48" s="99"/>
      <c r="DG48" s="99"/>
      <c r="DH48" s="99"/>
      <c r="DI48" s="99"/>
      <c r="DJ48" s="99"/>
      <c r="DK48" s="99"/>
      <c r="DL48" s="99"/>
      <c r="DM48" s="99"/>
      <c r="DN48" s="99"/>
      <c r="DO48" s="100"/>
      <c r="DP48" s="100"/>
      <c r="DQ48" s="172" t="s">
        <v>435</v>
      </c>
      <c r="DR48" s="100"/>
      <c r="DS48" s="99"/>
      <c r="DT48" s="100"/>
      <c r="DU48" s="99"/>
      <c r="DV48" s="99"/>
      <c r="DW48" s="99"/>
      <c r="DX48" s="99"/>
      <c r="DY48" s="99"/>
      <c r="DZ48" s="99"/>
      <c r="EA48" s="99"/>
      <c r="EB48" s="99"/>
      <c r="EC48" s="99"/>
      <c r="ED48" s="99"/>
      <c r="EE48" s="99"/>
      <c r="EF48" s="100"/>
      <c r="EG48" s="100"/>
      <c r="EH48" s="172" t="s">
        <v>435</v>
      </c>
      <c r="EI48" s="100"/>
      <c r="EJ48" s="99"/>
      <c r="EK48" s="100"/>
      <c r="EL48" s="99"/>
      <c r="EM48" s="99"/>
      <c r="EN48" s="99"/>
      <c r="EO48" s="99"/>
      <c r="EP48" s="99"/>
      <c r="EQ48" s="99"/>
      <c r="ER48" s="99"/>
      <c r="ES48" s="99"/>
      <c r="ET48" s="99"/>
      <c r="EU48" s="99"/>
      <c r="EV48" s="99"/>
      <c r="EW48" s="100"/>
      <c r="EX48" s="100"/>
      <c r="EY48" s="172" t="s">
        <v>435</v>
      </c>
      <c r="EZ48" s="100"/>
      <c r="FA48" s="99"/>
      <c r="FB48" s="100"/>
      <c r="FC48" s="99"/>
      <c r="FD48" s="99"/>
      <c r="FE48" s="99"/>
      <c r="FF48" s="99"/>
      <c r="FG48" s="99"/>
      <c r="FH48" s="99"/>
      <c r="FI48" s="99"/>
      <c r="FJ48" s="99"/>
      <c r="FK48" s="99"/>
      <c r="FL48" s="99"/>
      <c r="FM48" s="99"/>
      <c r="FN48" s="100"/>
      <c r="FO48" s="100"/>
      <c r="FP48" s="172" t="s">
        <v>435</v>
      </c>
      <c r="FQ48" s="100"/>
      <c r="FR48" s="99"/>
      <c r="FS48" s="100"/>
      <c r="FT48" s="99"/>
      <c r="FU48" s="99"/>
      <c r="FV48" s="99"/>
      <c r="FW48" s="99"/>
      <c r="FX48" s="99"/>
      <c r="FY48" s="99"/>
      <c r="FZ48" s="99"/>
      <c r="GA48" s="99"/>
      <c r="GB48" s="99"/>
      <c r="GC48" s="99"/>
      <c r="GD48" s="99"/>
      <c r="GE48" s="100"/>
      <c r="GF48" s="100"/>
    </row>
    <row r="49" spans="1:189" s="282" customFormat="1" ht="16.5" customHeight="1">
      <c r="A49" s="282" t="s">
        <v>988</v>
      </c>
      <c r="B49" s="271">
        <f>(POWER(B47/B18, 1/28)-1)*100</f>
        <v>-2.941931238399198</v>
      </c>
      <c r="C49" s="271">
        <f>(POWER(C47/C18, 1/28)-1)*100</f>
        <v>-2.941931238399198</v>
      </c>
      <c r="D49" s="271">
        <f>(POWER(D47/D18, 1/28)-1)*100</f>
        <v>-3.2985200745936805</v>
      </c>
      <c r="E49" s="271">
        <f>(POWER(E47/E18, 1/28)-1)*100</f>
        <v>-3.2985200745936805</v>
      </c>
      <c r="F49" s="271">
        <f>(POWER(F47/F28, 1/18)-1)*100</f>
        <v>1.0561519856389978</v>
      </c>
      <c r="G49" s="271">
        <f>(POWER(G47/G28, 1/18)-1)*100</f>
        <v>1.0561519856389978</v>
      </c>
      <c r="H49" s="271">
        <f t="shared" ref="H49:V49" si="93">(POWER(H47/H18, 1/28)-1)*100</f>
        <v>1.5309563108088842</v>
      </c>
      <c r="I49" s="271">
        <f t="shared" si="93"/>
        <v>1.5309563108088842</v>
      </c>
      <c r="J49" s="271">
        <f t="shared" si="93"/>
        <v>5.5261699803206943</v>
      </c>
      <c r="K49" s="271">
        <f t="shared" si="93"/>
        <v>5.5261699803206943</v>
      </c>
      <c r="L49" s="271">
        <f t="shared" si="93"/>
        <v>4.7105879476285528</v>
      </c>
      <c r="M49" s="271">
        <f t="shared" si="93"/>
        <v>4.7105879476285528</v>
      </c>
      <c r="N49" s="271">
        <f t="shared" si="93"/>
        <v>1.3856211090024662</v>
      </c>
      <c r="O49" s="271">
        <f t="shared" si="93"/>
        <v>2.3154802444853573</v>
      </c>
      <c r="P49" s="271">
        <f t="shared" si="93"/>
        <v>1.1418544281197152</v>
      </c>
      <c r="Q49" s="271">
        <f t="shared" si="93"/>
        <v>1.1603760114955453</v>
      </c>
      <c r="R49" s="271">
        <f t="shared" si="93"/>
        <v>1.1603760114955453</v>
      </c>
      <c r="S49" s="271">
        <f t="shared" si="93"/>
        <v>-3.9330156364692725</v>
      </c>
      <c r="T49" s="271">
        <f t="shared" si="93"/>
        <v>-3.9330156364692725</v>
      </c>
      <c r="U49" s="271">
        <f t="shared" si="93"/>
        <v>-3.1488530169024753</v>
      </c>
      <c r="V49" s="271">
        <f t="shared" si="93"/>
        <v>-3.1488530169024753</v>
      </c>
      <c r="W49" s="271">
        <f>(POWER(W47/W28, 1/18)-1)*100</f>
        <v>9.3416485579633779E-2</v>
      </c>
      <c r="X49" s="271">
        <f>(POWER(X47/X28, 1/18)-1)*100</f>
        <v>9.3416485579633779E-2</v>
      </c>
      <c r="Y49" s="271">
        <f t="shared" ref="Y49:AM49" si="94">(POWER(Y47/Y18, 1/28)-1)*100</f>
        <v>0.83179783569389265</v>
      </c>
      <c r="Z49" s="271">
        <f t="shared" si="94"/>
        <v>0.83179783569389265</v>
      </c>
      <c r="AA49" s="271">
        <f t="shared" si="94"/>
        <v>4.6587194419489109</v>
      </c>
      <c r="AB49" s="271">
        <f t="shared" si="94"/>
        <v>4.6587194419489109</v>
      </c>
      <c r="AC49" s="271">
        <f t="shared" si="94"/>
        <v>3.1374899113121302</v>
      </c>
      <c r="AD49" s="271">
        <f t="shared" si="94"/>
        <v>3.1374899113121302</v>
      </c>
      <c r="AE49" s="271">
        <f t="shared" si="94"/>
        <v>0.22669356494533499</v>
      </c>
      <c r="AF49" s="271">
        <f t="shared" si="94"/>
        <v>1.2538181728206865</v>
      </c>
      <c r="AG49" s="271">
        <f t="shared" si="94"/>
        <v>-0.43119727165249477</v>
      </c>
      <c r="AH49" s="271">
        <f t="shared" si="94"/>
        <v>1.6923126504497565</v>
      </c>
      <c r="AI49" s="271">
        <f t="shared" si="94"/>
        <v>1.6923126504497565</v>
      </c>
      <c r="AJ49" s="271">
        <f t="shared" si="94"/>
        <v>-3.8049698927921205</v>
      </c>
      <c r="AK49" s="271">
        <f t="shared" si="94"/>
        <v>-3.8049698927921205</v>
      </c>
      <c r="AL49" s="271">
        <f t="shared" si="94"/>
        <v>-2.9904762644911265</v>
      </c>
      <c r="AM49" s="271">
        <f t="shared" si="94"/>
        <v>-2.9904762644911265</v>
      </c>
      <c r="AN49" s="271">
        <f>(POWER(AN47/AN28, 1/18)-1)*100</f>
        <v>1.5173855771199785</v>
      </c>
      <c r="AO49" s="271">
        <f>(POWER(AO47/AO28, 1/18)-1)*100</f>
        <v>1.5173855771199785</v>
      </c>
      <c r="AP49" s="271">
        <f t="shared" ref="AP49:BD49" si="95">(POWER(AP47/AP18, 1/28)-1)*100</f>
        <v>1.8634371753362799</v>
      </c>
      <c r="AQ49" s="271">
        <f t="shared" si="95"/>
        <v>1.8634371753362799</v>
      </c>
      <c r="AR49" s="271">
        <f t="shared" si="95"/>
        <v>6.0691488565859153</v>
      </c>
      <c r="AS49" s="271">
        <f t="shared" si="95"/>
        <v>6.0691488565859153</v>
      </c>
      <c r="AT49" s="271">
        <f t="shared" si="95"/>
        <v>4.5302711599664702</v>
      </c>
      <c r="AU49" s="271">
        <f t="shared" si="95"/>
        <v>4.5302711599664702</v>
      </c>
      <c r="AV49" s="271">
        <f t="shared" si="95"/>
        <v>0.92144830653055898</v>
      </c>
      <c r="AW49" s="271">
        <f t="shared" si="95"/>
        <v>2.1976648641123697</v>
      </c>
      <c r="AX49" s="271">
        <f t="shared" si="95"/>
        <v>0.50500127762822533</v>
      </c>
      <c r="AY49" s="271">
        <f t="shared" si="95"/>
        <v>1.6841585642175749</v>
      </c>
      <c r="AZ49" s="271">
        <f t="shared" si="95"/>
        <v>1.6841585642175749</v>
      </c>
      <c r="BA49" s="271">
        <f t="shared" si="95"/>
        <v>-4.026289917897186</v>
      </c>
      <c r="BB49" s="271">
        <f t="shared" si="95"/>
        <v>-4.026289917897186</v>
      </c>
      <c r="BC49" s="271">
        <f t="shared" si="95"/>
        <v>-3.2930824998130381</v>
      </c>
      <c r="BD49" s="271">
        <f t="shared" si="95"/>
        <v>-3.2930824998130381</v>
      </c>
      <c r="BE49" s="271">
        <f>(POWER(BE47/BE28, 1/18)-1)*100</f>
        <v>0.97849237361804509</v>
      </c>
      <c r="BF49" s="271">
        <f>(POWER(BF47/BF28, 1/18)-1)*100</f>
        <v>0.97849237361804509</v>
      </c>
      <c r="BG49" s="271">
        <f t="shared" ref="BG49:BU49" si="96">(POWER(BG47/BG18, 1/28)-1)*100</f>
        <v>1.6636380026173958</v>
      </c>
      <c r="BH49" s="271">
        <f t="shared" si="96"/>
        <v>1.6636380026173958</v>
      </c>
      <c r="BI49" s="271">
        <f t="shared" si="96"/>
        <v>5.2306570862290958</v>
      </c>
      <c r="BJ49" s="271">
        <f t="shared" si="96"/>
        <v>5.2306570862290958</v>
      </c>
      <c r="BK49" s="271">
        <f t="shared" si="96"/>
        <v>4.1642453717770422</v>
      </c>
      <c r="BL49" s="271">
        <f t="shared" si="96"/>
        <v>4.1642453717770422</v>
      </c>
      <c r="BM49" s="271">
        <f t="shared" si="96"/>
        <v>0.73642686230976917</v>
      </c>
      <c r="BN49" s="271">
        <f t="shared" si="96"/>
        <v>1.759980070439493</v>
      </c>
      <c r="BO49" s="271">
        <f t="shared" si="96"/>
        <v>0.34914991678047791</v>
      </c>
      <c r="BP49" s="271">
        <f t="shared" si="96"/>
        <v>1.4059213803295778</v>
      </c>
      <c r="BQ49" s="271">
        <f t="shared" si="96"/>
        <v>1.4059213803295778</v>
      </c>
      <c r="BR49" s="271">
        <f t="shared" si="96"/>
        <v>-3.3676760276839524</v>
      </c>
      <c r="BS49" s="271">
        <f t="shared" si="96"/>
        <v>-3.3676760276839524</v>
      </c>
      <c r="BT49" s="271">
        <f t="shared" si="96"/>
        <v>-3.4194564297036489</v>
      </c>
      <c r="BU49" s="271">
        <f t="shared" si="96"/>
        <v>-3.4194564297036489</v>
      </c>
      <c r="BV49" s="271">
        <f>(POWER(BV47/BV28, 1/18)-1)*100</f>
        <v>0.3201466766229899</v>
      </c>
      <c r="BW49" s="271">
        <f>(POWER(BW47/BW28, 1/18)-1)*100</f>
        <v>0.3201466766229899</v>
      </c>
      <c r="BX49" s="271">
        <f t="shared" ref="BX49:CL49" si="97">(POWER(BX47/BX18, 1/28)-1)*100</f>
        <v>1.4269835345667836</v>
      </c>
      <c r="BY49" s="271">
        <f t="shared" si="97"/>
        <v>1.4269835345667836</v>
      </c>
      <c r="BZ49" s="271">
        <f t="shared" si="97"/>
        <v>5.2924113693512576</v>
      </c>
      <c r="CA49" s="271">
        <f t="shared" si="97"/>
        <v>5.2924113693512576</v>
      </c>
      <c r="CB49" s="271">
        <f t="shared" si="97"/>
        <v>3.4795492655998794</v>
      </c>
      <c r="CC49" s="271">
        <f t="shared" si="97"/>
        <v>3.4795492655998794</v>
      </c>
      <c r="CD49" s="271">
        <f t="shared" si="97"/>
        <v>0.63235507482783948</v>
      </c>
      <c r="CE49" s="271">
        <f t="shared" si="97"/>
        <v>1.7306278329186409</v>
      </c>
      <c r="CF49" s="271">
        <f t="shared" si="97"/>
        <v>0.22230040486979075</v>
      </c>
      <c r="CG49" s="271">
        <f t="shared" si="97"/>
        <v>1.5049818473090504</v>
      </c>
      <c r="CH49" s="271">
        <f t="shared" si="97"/>
        <v>1.5049818473090504</v>
      </c>
      <c r="CI49" s="271">
        <f t="shared" si="97"/>
        <v>-2.6247339476943687</v>
      </c>
      <c r="CJ49" s="271">
        <f t="shared" si="97"/>
        <v>-2.6247339476943687</v>
      </c>
      <c r="CK49" s="271">
        <f t="shared" si="97"/>
        <v>-3.6704607548660562</v>
      </c>
      <c r="CL49" s="271">
        <f t="shared" si="97"/>
        <v>-3.6704607548660562</v>
      </c>
      <c r="CM49" s="271">
        <f>(POWER(CM47/CM28, 1/18)-1)*100</f>
        <v>2.1822910102464732E-2</v>
      </c>
      <c r="CN49" s="271">
        <f>(POWER(CN47/CN28, 1/18)-1)*100</f>
        <v>2.1822910102464732E-2</v>
      </c>
      <c r="CO49" s="271">
        <f t="shared" ref="CO49:DC49" si="98">(POWER(CO47/CO18, 1/28)-1)*100</f>
        <v>1.6447767739993902</v>
      </c>
      <c r="CP49" s="271">
        <f t="shared" si="98"/>
        <v>1.6447767739993902</v>
      </c>
      <c r="CQ49" s="271">
        <f t="shared" si="98"/>
        <v>5.2472902541937261</v>
      </c>
      <c r="CR49" s="271">
        <f t="shared" si="98"/>
        <v>5.2472902541937261</v>
      </c>
      <c r="CS49" s="271">
        <f t="shared" si="98"/>
        <v>4.3926753703298349</v>
      </c>
      <c r="CT49" s="271">
        <f t="shared" si="98"/>
        <v>4.3926753703298127</v>
      </c>
      <c r="CU49" s="271">
        <f t="shared" si="98"/>
        <v>0.91497156634610111</v>
      </c>
      <c r="CV49" s="271">
        <f t="shared" si="98"/>
        <v>1.8799112427833942</v>
      </c>
      <c r="CW49" s="271">
        <f t="shared" si="98"/>
        <v>0.67641068530477355</v>
      </c>
      <c r="CX49" s="271">
        <f t="shared" si="98"/>
        <v>1.1954146450855685</v>
      </c>
      <c r="CY49" s="271">
        <f t="shared" si="98"/>
        <v>1.1954146450855685</v>
      </c>
      <c r="CZ49" s="271">
        <f t="shared" si="98"/>
        <v>-2.8802937560770459</v>
      </c>
      <c r="DA49" s="271">
        <f t="shared" si="98"/>
        <v>-2.8802937560770459</v>
      </c>
      <c r="DB49" s="271">
        <f t="shared" si="98"/>
        <v>-3.2288820940616469</v>
      </c>
      <c r="DC49" s="271">
        <f t="shared" si="98"/>
        <v>-3.2288820940616469</v>
      </c>
      <c r="DD49" s="271">
        <f>(POWER(DD47/DD28, 1/18)-1)*100</f>
        <v>1.3706456915510978</v>
      </c>
      <c r="DE49" s="271">
        <f>(POWER(DE47/DE28, 1/18)-1)*100</f>
        <v>1.3706456915510978</v>
      </c>
      <c r="DF49" s="271">
        <f t="shared" ref="DF49:DT49" si="99">(POWER(DF47/DF18, 1/28)-1)*100</f>
        <v>1.3137937448990833</v>
      </c>
      <c r="DG49" s="271">
        <f t="shared" si="99"/>
        <v>1.3137937448990833</v>
      </c>
      <c r="DH49" s="271">
        <f t="shared" si="99"/>
        <v>5.717567990098682</v>
      </c>
      <c r="DI49" s="271">
        <f t="shared" si="99"/>
        <v>5.717567990098682</v>
      </c>
      <c r="DJ49" s="271">
        <f t="shared" si="99"/>
        <v>4.9944862448869864</v>
      </c>
      <c r="DK49" s="271">
        <f t="shared" si="99"/>
        <v>4.9944862448869864</v>
      </c>
      <c r="DL49" s="271">
        <f t="shared" si="99"/>
        <v>1.669952188288315</v>
      </c>
      <c r="DM49" s="271">
        <f t="shared" si="99"/>
        <v>2.5562864999235879</v>
      </c>
      <c r="DN49" s="271">
        <f t="shared" si="99"/>
        <v>1.4564969109899462</v>
      </c>
      <c r="DO49" s="271">
        <f t="shared" si="99"/>
        <v>1.0840011457309728</v>
      </c>
      <c r="DP49" s="271">
        <f t="shared" si="99"/>
        <v>1.0840011457309728</v>
      </c>
      <c r="DQ49" s="271">
        <f t="shared" si="99"/>
        <v>-3.9605697738897772</v>
      </c>
      <c r="DR49" s="271">
        <f t="shared" si="99"/>
        <v>-3.9605697738897772</v>
      </c>
      <c r="DS49" s="271">
        <f t="shared" si="99"/>
        <v>-3.1046413104054427</v>
      </c>
      <c r="DT49" s="271">
        <f t="shared" si="99"/>
        <v>-3.1046413104054427</v>
      </c>
      <c r="DU49" s="271">
        <f>(POWER(DU47/DU28, 1/18)-1)*100</f>
        <v>1.362563605793099</v>
      </c>
      <c r="DV49" s="271">
        <f>(POWER(DV47/DV28, 1/18)-1)*100</f>
        <v>1.362563605793099</v>
      </c>
      <c r="DW49" s="271">
        <f t="shared" ref="DW49:EK49" si="100">(POWER(DW47/DW18, 1/28)-1)*100</f>
        <v>1.0966180033223694</v>
      </c>
      <c r="DX49" s="271">
        <f t="shared" si="100"/>
        <v>1.0966180033223694</v>
      </c>
      <c r="DY49" s="271">
        <f t="shared" si="100"/>
        <v>4.8618758453540245</v>
      </c>
      <c r="DZ49" s="271">
        <f t="shared" si="100"/>
        <v>4.8618758453540245</v>
      </c>
      <c r="EA49" s="271">
        <f t="shared" si="100"/>
        <v>3.5041289643601647</v>
      </c>
      <c r="EB49" s="271">
        <f t="shared" si="100"/>
        <v>3.5041289643601647</v>
      </c>
      <c r="EC49" s="271">
        <f t="shared" si="100"/>
        <v>0.73991654149252462</v>
      </c>
      <c r="ED49" s="271">
        <f t="shared" si="100"/>
        <v>1.5124924654358107</v>
      </c>
      <c r="EE49" s="271">
        <f t="shared" si="100"/>
        <v>0.63226418864470446</v>
      </c>
      <c r="EF49" s="271">
        <f t="shared" si="100"/>
        <v>0.87469787536631483</v>
      </c>
      <c r="EG49" s="271">
        <f t="shared" si="100"/>
        <v>0.87469787536631483</v>
      </c>
      <c r="EH49" s="271">
        <f t="shared" si="100"/>
        <v>-4.6278359236303075</v>
      </c>
      <c r="EI49" s="271">
        <f t="shared" si="100"/>
        <v>-4.6278359236303075</v>
      </c>
      <c r="EJ49" s="271">
        <f t="shared" si="100"/>
        <v>-3.5232942036747872</v>
      </c>
      <c r="EK49" s="271">
        <f t="shared" si="100"/>
        <v>-3.5232942036747872</v>
      </c>
      <c r="EL49" s="271">
        <f>(POWER(EL47/EL28, 1/18)-1)*100</f>
        <v>0.79486436026856566</v>
      </c>
      <c r="EM49" s="271">
        <f>(POWER(EM47/EM28, 1/18)-1)*100</f>
        <v>0.79486436026856566</v>
      </c>
      <c r="EN49" s="271">
        <f t="shared" ref="EN49:FB49" si="101">(POWER(EN47/EN18, 1/28)-1)*100</f>
        <v>0.90234986386361626</v>
      </c>
      <c r="EO49" s="271">
        <f t="shared" si="101"/>
        <v>0.90234986386361626</v>
      </c>
      <c r="EP49" s="271">
        <f t="shared" si="101"/>
        <v>4.2942796533610439</v>
      </c>
      <c r="EQ49" s="271">
        <f t="shared" si="101"/>
        <v>4.2942796533610439</v>
      </c>
      <c r="ER49" s="271">
        <f t="shared" si="101"/>
        <v>3.4262876331234038</v>
      </c>
      <c r="ES49" s="271">
        <f t="shared" si="101"/>
        <v>3.4262876331233816</v>
      </c>
      <c r="ET49" s="271">
        <f t="shared" si="101"/>
        <v>0.39067177335483372</v>
      </c>
      <c r="EU49" s="271">
        <f t="shared" si="101"/>
        <v>1.4663942517665784</v>
      </c>
      <c r="EV49" s="271">
        <f t="shared" si="101"/>
        <v>0.24727512526596662</v>
      </c>
      <c r="EW49" s="271">
        <f t="shared" si="101"/>
        <v>1.2161119840686352</v>
      </c>
      <c r="EX49" s="271">
        <f t="shared" si="101"/>
        <v>1.2161119840686352</v>
      </c>
      <c r="EY49" s="271">
        <f t="shared" si="101"/>
        <v>-2.566339965658293</v>
      </c>
      <c r="EZ49" s="271">
        <f t="shared" si="101"/>
        <v>-2.566339965658293</v>
      </c>
      <c r="FA49" s="271">
        <f t="shared" si="101"/>
        <v>-2.8021973528593147</v>
      </c>
      <c r="FB49" s="271">
        <f t="shared" si="101"/>
        <v>-2.8021973528593147</v>
      </c>
      <c r="FC49" s="271">
        <f>(POWER(FC47/FC28, 1/18)-1)*100</f>
        <v>2.165991018011626</v>
      </c>
      <c r="FD49" s="271">
        <f>(POWER(FD47/FD28, 1/18)-1)*100</f>
        <v>2.165991018011626</v>
      </c>
      <c r="FE49" s="271">
        <f t="shared" ref="FE49:FS49" si="102">(POWER(FE47/FE18, 1/28)-1)*100</f>
        <v>1.5302549682450151</v>
      </c>
      <c r="FF49" s="271">
        <f t="shared" si="102"/>
        <v>1.5302549682450151</v>
      </c>
      <c r="FG49" s="271">
        <f t="shared" si="102"/>
        <v>5.673078312045865</v>
      </c>
      <c r="FH49" s="271">
        <f t="shared" si="102"/>
        <v>5.673078312045865</v>
      </c>
      <c r="FI49" s="271">
        <f t="shared" si="102"/>
        <v>4.5263002930533203</v>
      </c>
      <c r="FJ49" s="271">
        <f t="shared" si="102"/>
        <v>4.5263002930533203</v>
      </c>
      <c r="FK49" s="271">
        <f t="shared" si="102"/>
        <v>1.9965008554653663</v>
      </c>
      <c r="FL49" s="271">
        <f t="shared" si="102"/>
        <v>2.7825334199835794</v>
      </c>
      <c r="FM49" s="271">
        <f t="shared" si="102"/>
        <v>1.7470284571615924</v>
      </c>
      <c r="FN49" s="271">
        <f t="shared" si="102"/>
        <v>1.0177250171566232</v>
      </c>
      <c r="FO49" s="271">
        <f t="shared" si="102"/>
        <v>1.0177250171566232</v>
      </c>
      <c r="FP49" s="271">
        <f t="shared" si="102"/>
        <v>-2.6487152185611373</v>
      </c>
      <c r="FQ49" s="271">
        <f t="shared" si="102"/>
        <v>-2.6487152185611373</v>
      </c>
      <c r="FR49" s="271">
        <f t="shared" si="102"/>
        <v>-3.3405726380962952</v>
      </c>
      <c r="FS49" s="271">
        <f t="shared" si="102"/>
        <v>-3.3405726380962952</v>
      </c>
      <c r="FT49" s="271">
        <f>(POWER(FT47/FT28, 1/18)-1)*100</f>
        <v>0.99733258745768882</v>
      </c>
      <c r="FU49" s="271">
        <f>(POWER(FU47/FU28, 1/18)-1)*100</f>
        <v>0.99733258745768882</v>
      </c>
      <c r="FV49" s="271">
        <f t="shared" ref="FV49:GF49" si="103">(POWER(FV47/FV18, 1/28)-1)*100</f>
        <v>1.9873432287190074</v>
      </c>
      <c r="FW49" s="271">
        <f t="shared" si="103"/>
        <v>1.9873432287190074</v>
      </c>
      <c r="FX49" s="271">
        <f t="shared" si="103"/>
        <v>6.1180160739824796</v>
      </c>
      <c r="FY49" s="271">
        <f t="shared" si="103"/>
        <v>6.1180160739824796</v>
      </c>
      <c r="FZ49" s="271">
        <f t="shared" si="103"/>
        <v>5.0603716719439307</v>
      </c>
      <c r="GA49" s="271">
        <f t="shared" si="103"/>
        <v>5.0603716719439307</v>
      </c>
      <c r="GB49" s="271">
        <f t="shared" si="103"/>
        <v>1.958408478453344</v>
      </c>
      <c r="GC49" s="271">
        <f t="shared" si="103"/>
        <v>2.8388202646737692</v>
      </c>
      <c r="GD49" s="271">
        <f t="shared" si="103"/>
        <v>1.6995454118678532</v>
      </c>
      <c r="GE49" s="271">
        <f t="shared" si="103"/>
        <v>1.120235934381042</v>
      </c>
      <c r="GF49" s="271">
        <f t="shared" si="103"/>
        <v>1.120235934381042</v>
      </c>
      <c r="GG49" s="271"/>
    </row>
    <row r="50" spans="1:189" s="25" customFormat="1" ht="26.25" customHeight="1">
      <c r="A50" s="26"/>
      <c r="B50" s="655" t="s">
        <v>971</v>
      </c>
      <c r="C50" s="656"/>
      <c r="D50" s="656"/>
      <c r="E50" s="656"/>
      <c r="F50" s="656"/>
      <c r="G50" s="656"/>
      <c r="H50" s="656"/>
      <c r="I50" s="656"/>
      <c r="J50" s="656"/>
      <c r="K50" s="656"/>
      <c r="L50" s="656"/>
      <c r="M50" s="656"/>
      <c r="N50" s="656"/>
      <c r="O50" s="656"/>
      <c r="P50" s="656"/>
      <c r="Q50" s="656"/>
      <c r="R50" s="656"/>
      <c r="S50" s="102"/>
      <c r="T50" s="103"/>
      <c r="U50" s="104"/>
      <c r="V50" s="103"/>
      <c r="W50" s="104"/>
      <c r="X50" s="105"/>
      <c r="Y50" s="104"/>
      <c r="Z50" s="105"/>
      <c r="AA50" s="104"/>
      <c r="AB50" s="105"/>
      <c r="AC50" s="104"/>
      <c r="AD50" s="105"/>
      <c r="AE50" s="104"/>
      <c r="AF50" s="105"/>
      <c r="AG50" s="105"/>
      <c r="AH50" s="103"/>
      <c r="AI50" s="103"/>
      <c r="AJ50" s="101"/>
      <c r="AK50" s="103"/>
      <c r="AL50" s="104"/>
      <c r="AM50" s="103"/>
      <c r="AN50" s="104"/>
      <c r="AO50" s="105"/>
      <c r="AP50" s="104"/>
      <c r="AQ50" s="105"/>
      <c r="AR50" s="104"/>
      <c r="AS50" s="105"/>
      <c r="AT50" s="104"/>
      <c r="AU50" s="105"/>
      <c r="AV50" s="104"/>
      <c r="AW50" s="105"/>
      <c r="AX50" s="105"/>
      <c r="AY50" s="103"/>
      <c r="AZ50" s="103"/>
      <c r="BA50" s="101"/>
      <c r="BB50" s="103"/>
      <c r="BC50" s="104"/>
      <c r="BD50" s="103"/>
      <c r="BE50" s="104"/>
      <c r="BF50" s="105"/>
      <c r="BG50" s="104"/>
      <c r="BH50" s="105"/>
      <c r="BI50" s="104"/>
      <c r="BJ50" s="105"/>
      <c r="BK50" s="104"/>
      <c r="BL50" s="105"/>
      <c r="BM50" s="104"/>
      <c r="BN50" s="105"/>
      <c r="BO50" s="105"/>
      <c r="BP50" s="103"/>
      <c r="BQ50" s="103"/>
      <c r="BR50" s="101"/>
      <c r="BS50" s="103"/>
      <c r="BT50" s="104"/>
      <c r="BU50" s="103"/>
      <c r="BV50" s="104"/>
      <c r="BW50" s="105"/>
      <c r="BX50" s="104"/>
      <c r="BY50" s="105"/>
      <c r="BZ50" s="104"/>
      <c r="CA50" s="105"/>
      <c r="CB50" s="104"/>
      <c r="CC50" s="105"/>
      <c r="CD50" s="104"/>
      <c r="CE50" s="105"/>
      <c r="CF50" s="105"/>
      <c r="CG50" s="103"/>
      <c r="CH50" s="103"/>
      <c r="CI50" s="101"/>
      <c r="CJ50" s="103"/>
      <c r="CK50" s="104"/>
      <c r="CL50" s="103"/>
      <c r="CM50" s="104"/>
      <c r="CN50" s="105"/>
      <c r="CO50" s="104"/>
      <c r="CP50" s="105"/>
      <c r="CQ50" s="104"/>
      <c r="CR50" s="105"/>
      <c r="CS50" s="104"/>
      <c r="CT50" s="105"/>
      <c r="CU50" s="104"/>
      <c r="CV50" s="105"/>
      <c r="CW50" s="105"/>
      <c r="CX50" s="103"/>
      <c r="CY50" s="103"/>
      <c r="CZ50" s="101"/>
      <c r="DA50" s="103"/>
      <c r="DB50" s="104"/>
      <c r="DC50" s="103"/>
      <c r="DD50" s="104"/>
      <c r="DE50" s="105"/>
      <c r="DF50" s="104"/>
      <c r="DG50" s="105"/>
      <c r="DH50" s="104"/>
      <c r="DI50" s="105"/>
      <c r="DJ50" s="104"/>
      <c r="DK50" s="105"/>
      <c r="DL50" s="104"/>
      <c r="DM50" s="105"/>
      <c r="DN50" s="105"/>
      <c r="DO50" s="103"/>
      <c r="DP50" s="103"/>
      <c r="DQ50" s="101"/>
      <c r="DR50" s="103"/>
      <c r="DS50" s="104"/>
      <c r="DT50" s="103"/>
      <c r="DU50" s="104"/>
      <c r="DV50" s="105"/>
      <c r="DW50" s="104"/>
      <c r="DX50" s="105"/>
      <c r="DY50" s="104"/>
      <c r="DZ50" s="105"/>
      <c r="EA50" s="104"/>
      <c r="EB50" s="105"/>
      <c r="EC50" s="104"/>
      <c r="ED50" s="105"/>
      <c r="EE50" s="105"/>
      <c r="EF50" s="103"/>
      <c r="EG50" s="103"/>
      <c r="EH50" s="101"/>
      <c r="EI50" s="103"/>
      <c r="EJ50" s="104"/>
      <c r="EK50" s="103"/>
      <c r="EL50" s="104"/>
      <c r="EM50" s="105"/>
      <c r="EN50" s="104"/>
      <c r="EO50" s="105"/>
      <c r="EP50" s="104"/>
      <c r="EQ50" s="105"/>
      <c r="ER50" s="104"/>
      <c r="ES50" s="105"/>
      <c r="ET50" s="104"/>
      <c r="EU50" s="105"/>
      <c r="EV50" s="105"/>
      <c r="EW50" s="103"/>
      <c r="EX50" s="103"/>
      <c r="EY50" s="101"/>
      <c r="EZ50" s="103"/>
      <c r="FA50" s="104"/>
      <c r="FB50" s="103"/>
      <c r="FC50" s="104"/>
      <c r="FD50" s="105"/>
      <c r="FE50" s="104"/>
      <c r="FF50" s="105"/>
      <c r="FG50" s="104"/>
      <c r="FH50" s="105"/>
      <c r="FI50" s="104"/>
      <c r="FJ50" s="105"/>
      <c r="FK50" s="104"/>
      <c r="FL50" s="105"/>
      <c r="FM50" s="105"/>
      <c r="FN50" s="103"/>
      <c r="FO50" s="103"/>
      <c r="FP50" s="101"/>
      <c r="FQ50" s="103"/>
      <c r="FR50" s="104"/>
      <c r="FS50" s="103"/>
      <c r="FT50" s="104"/>
      <c r="FU50" s="105"/>
      <c r="FV50" s="104"/>
      <c r="FW50" s="105"/>
      <c r="FX50" s="104"/>
      <c r="FY50" s="105"/>
      <c r="FZ50" s="104"/>
      <c r="GA50" s="105"/>
      <c r="GB50" s="104"/>
      <c r="GC50" s="105"/>
      <c r="GD50" s="105"/>
      <c r="GE50" s="103"/>
      <c r="GF50" s="103"/>
    </row>
    <row r="51" spans="1:189" s="25" customFormat="1" ht="12">
      <c r="B51" s="102" t="s">
        <v>210</v>
      </c>
      <c r="C51" s="102"/>
      <c r="D51" s="102"/>
      <c r="E51" s="102"/>
      <c r="F51" s="102"/>
      <c r="G51" s="102"/>
      <c r="H51" s="102"/>
      <c r="I51" s="102"/>
      <c r="J51" s="102"/>
      <c r="K51" s="102"/>
      <c r="L51" s="102"/>
      <c r="M51" s="102"/>
      <c r="N51" s="102"/>
      <c r="O51" s="102"/>
      <c r="P51" s="102"/>
      <c r="Q51" s="102"/>
      <c r="R51" s="102"/>
      <c r="S51" s="102" t="s">
        <v>380</v>
      </c>
      <c r="T51" s="102"/>
      <c r="U51" s="102"/>
      <c r="V51" s="102"/>
      <c r="W51" s="102"/>
      <c r="X51" s="102"/>
      <c r="Y51" s="102"/>
      <c r="Z51" s="102"/>
      <c r="AA51" s="102"/>
      <c r="AB51" s="102"/>
      <c r="AC51" s="102"/>
      <c r="AD51" s="102"/>
      <c r="AE51" s="102"/>
      <c r="AF51" s="102"/>
      <c r="AG51" s="102"/>
      <c r="AH51" s="102"/>
      <c r="AI51" s="102"/>
      <c r="AJ51" s="102" t="s">
        <v>380</v>
      </c>
      <c r="AK51" s="102"/>
      <c r="AL51" s="102"/>
      <c r="AM51" s="102"/>
      <c r="AN51" s="102"/>
      <c r="AO51" s="102"/>
      <c r="AP51" s="102"/>
      <c r="AQ51" s="102"/>
      <c r="AR51" s="102"/>
      <c r="AS51" s="102"/>
      <c r="AT51" s="102"/>
      <c r="AU51" s="102"/>
      <c r="AV51" s="102"/>
      <c r="AW51" s="102"/>
      <c r="AX51" s="102"/>
      <c r="AY51" s="102"/>
      <c r="AZ51" s="102"/>
      <c r="BA51" s="102" t="s">
        <v>380</v>
      </c>
      <c r="BB51" s="102"/>
      <c r="BC51" s="102"/>
      <c r="BD51" s="102"/>
      <c r="BE51" s="102"/>
      <c r="BF51" s="102"/>
      <c r="BG51" s="102"/>
      <c r="BH51" s="102"/>
      <c r="BI51" s="102"/>
      <c r="BJ51" s="102"/>
      <c r="BK51" s="102"/>
      <c r="BL51" s="102"/>
      <c r="BM51" s="102"/>
      <c r="BN51" s="102"/>
      <c r="BO51" s="102"/>
      <c r="BP51" s="102"/>
      <c r="BQ51" s="102"/>
      <c r="BR51" s="102" t="s">
        <v>380</v>
      </c>
      <c r="BS51" s="102"/>
      <c r="BT51" s="102"/>
      <c r="BU51" s="102"/>
      <c r="BV51" s="102"/>
      <c r="BW51" s="102"/>
      <c r="BX51" s="102"/>
      <c r="BY51" s="102"/>
      <c r="BZ51" s="102"/>
      <c r="CA51" s="102"/>
      <c r="CB51" s="102"/>
      <c r="CC51" s="102"/>
      <c r="CD51" s="102"/>
      <c r="CE51" s="102"/>
      <c r="CF51" s="102"/>
      <c r="CG51" s="102"/>
      <c r="CH51" s="102"/>
      <c r="CI51" s="102" t="s">
        <v>380</v>
      </c>
      <c r="CJ51" s="102"/>
      <c r="CK51" s="102"/>
      <c r="CL51" s="102"/>
      <c r="CM51" s="102"/>
      <c r="CN51" s="102"/>
      <c r="CO51" s="102"/>
      <c r="CP51" s="102"/>
      <c r="CQ51" s="102"/>
      <c r="CR51" s="102"/>
      <c r="CS51" s="102"/>
      <c r="CT51" s="102"/>
      <c r="CU51" s="102"/>
      <c r="CV51" s="102"/>
      <c r="CW51" s="102"/>
      <c r="CX51" s="102"/>
      <c r="CY51" s="102"/>
      <c r="CZ51" s="102" t="s">
        <v>380</v>
      </c>
      <c r="DA51" s="102"/>
      <c r="DB51" s="102"/>
      <c r="DC51" s="102"/>
      <c r="DD51" s="102"/>
      <c r="DE51" s="102"/>
      <c r="DF51" s="102"/>
      <c r="DG51" s="102"/>
      <c r="DH51" s="102"/>
      <c r="DI51" s="102"/>
      <c r="DJ51" s="102"/>
      <c r="DK51" s="102"/>
      <c r="DL51" s="102"/>
      <c r="DM51" s="102"/>
      <c r="DN51" s="102"/>
      <c r="DO51" s="102"/>
      <c r="DP51" s="102"/>
      <c r="DQ51" s="102" t="s">
        <v>380</v>
      </c>
      <c r="DR51" s="102"/>
      <c r="DS51" s="102"/>
      <c r="DT51" s="102"/>
      <c r="DU51" s="102"/>
      <c r="DV51" s="102"/>
      <c r="DW51" s="102"/>
      <c r="DX51" s="102"/>
      <c r="DY51" s="102"/>
      <c r="DZ51" s="102"/>
      <c r="EA51" s="102"/>
      <c r="EB51" s="102"/>
      <c r="EC51" s="102"/>
      <c r="ED51" s="102"/>
      <c r="EE51" s="102"/>
      <c r="EF51" s="102"/>
      <c r="EG51" s="102"/>
      <c r="EH51" s="102" t="s">
        <v>380</v>
      </c>
      <c r="EI51" s="102"/>
      <c r="EJ51" s="102"/>
      <c r="EK51" s="102"/>
      <c r="EL51" s="102"/>
      <c r="EM51" s="102"/>
      <c r="EN51" s="102"/>
      <c r="EO51" s="102"/>
      <c r="EP51" s="102"/>
      <c r="EQ51" s="102"/>
      <c r="ER51" s="102"/>
      <c r="ES51" s="102"/>
      <c r="ET51" s="102"/>
      <c r="EU51" s="102"/>
      <c r="EV51" s="102"/>
      <c r="EW51" s="102"/>
      <c r="EX51" s="102"/>
      <c r="EY51" s="102" t="s">
        <v>380</v>
      </c>
      <c r="EZ51" s="102"/>
      <c r="FA51" s="102"/>
      <c r="FB51" s="102"/>
      <c r="FC51" s="102"/>
      <c r="FD51" s="102"/>
      <c r="FE51" s="102"/>
      <c r="FF51" s="102"/>
      <c r="FG51" s="102"/>
      <c r="FH51" s="102"/>
      <c r="FI51" s="102"/>
      <c r="FJ51" s="102"/>
      <c r="FK51" s="102"/>
      <c r="FL51" s="102"/>
      <c r="FM51" s="102"/>
      <c r="FN51" s="102"/>
      <c r="FO51" s="102"/>
      <c r="FP51" s="102" t="s">
        <v>380</v>
      </c>
      <c r="FQ51" s="102"/>
      <c r="FR51" s="102"/>
      <c r="FS51" s="102"/>
      <c r="FT51" s="102"/>
      <c r="FU51" s="102"/>
      <c r="FV51" s="102"/>
      <c r="FW51" s="102"/>
      <c r="FX51" s="102"/>
      <c r="FY51" s="102"/>
      <c r="FZ51" s="102"/>
      <c r="GA51" s="102"/>
      <c r="GB51" s="102"/>
      <c r="GC51" s="102"/>
      <c r="GD51" s="102"/>
      <c r="GE51" s="102"/>
      <c r="GF51" s="102"/>
    </row>
    <row r="52" spans="1:189">
      <c r="B52" s="102" t="s">
        <v>1041</v>
      </c>
    </row>
    <row r="53" spans="1:189">
      <c r="B53" s="102" t="s">
        <v>1042</v>
      </c>
      <c r="C53" s="102"/>
    </row>
  </sheetData>
  <mergeCells count="1">
    <mergeCell ref="B50:R50"/>
  </mergeCells>
  <phoneticPr fontId="0" type="noConversion"/>
  <pageMargins left="0.35433070866141736" right="0.35433070866141736" top="0.59055118110236227" bottom="0.59055118110236227" header="0.51181102362204722" footer="0.51181102362204722"/>
  <pageSetup scale="77" orientation="landscape" r:id="rId1"/>
  <headerFooter alignWithMargins="0"/>
  <rowBreaks count="2" manualBreakCount="2">
    <brk id="53" max="16383" man="1"/>
    <brk id="59" max="16383" man="1"/>
  </rowBreaks>
  <colBreaks count="10" manualBreakCount="10">
    <brk id="18" max="1048575" man="1"/>
    <brk id="35" max="1048575" man="1"/>
    <brk id="52" max="1048575" man="1"/>
    <brk id="69" max="1048575" man="1"/>
    <brk id="86" max="1048575" man="1"/>
    <brk id="103" max="1048575" man="1"/>
    <brk id="120" max="1048575" man="1"/>
    <brk id="137" max="1048575" man="1"/>
    <brk id="154" max="1048575" man="1"/>
    <brk id="171" max="1048575" man="1"/>
  </colBreaks>
  <legacyDrawing r:id="rId2"/>
</worksheet>
</file>

<file path=xl/worksheets/sheet44.xml><?xml version="1.0" encoding="utf-8"?>
<worksheet xmlns="http://schemas.openxmlformats.org/spreadsheetml/2006/main" xmlns:r="http://schemas.openxmlformats.org/officeDocument/2006/relationships">
  <dimension ref="A1:EH95"/>
  <sheetViews>
    <sheetView view="pageBreakPreview" zoomScaleSheetLayoutView="100" workbookViewId="0">
      <pane xSplit="1" ySplit="6" topLeftCell="AO7" activePane="bottomRight" state="frozen"/>
      <selection activeCell="E9" sqref="E9"/>
      <selection pane="topRight" activeCell="E9" sqref="E9"/>
      <selection pane="bottomLeft" activeCell="E9" sqref="E9"/>
      <selection pane="bottomRight" activeCell="E9" sqref="E9"/>
    </sheetView>
  </sheetViews>
  <sheetFormatPr defaultRowHeight="12.75"/>
  <cols>
    <col min="1" max="1" width="9" style="1"/>
    <col min="2" max="2" width="10.75" style="1" customWidth="1"/>
    <col min="3" max="3" width="10.5" style="1" customWidth="1"/>
    <col min="4" max="6" width="8.875" style="1"/>
    <col min="7" max="7" width="9.875" style="1" customWidth="1"/>
    <col min="8" max="16384" width="9" style="1"/>
  </cols>
  <sheetData>
    <row r="1" spans="1:44" ht="15.75">
      <c r="B1" s="2" t="s">
        <v>286</v>
      </c>
      <c r="Q1" s="2" t="s">
        <v>287</v>
      </c>
      <c r="AG1" s="2" t="s">
        <v>288</v>
      </c>
    </row>
    <row r="3" spans="1:44" s="3" customFormat="1" ht="15">
      <c r="B3" s="3" t="s">
        <v>321</v>
      </c>
      <c r="E3" s="3" t="s">
        <v>370</v>
      </c>
      <c r="I3" s="3" t="s">
        <v>371</v>
      </c>
      <c r="M3" s="3" t="s">
        <v>372</v>
      </c>
      <c r="Q3" s="3" t="s">
        <v>373</v>
      </c>
      <c r="U3" s="3" t="s">
        <v>374</v>
      </c>
      <c r="Y3" s="3" t="s">
        <v>375</v>
      </c>
      <c r="AC3" s="3" t="s">
        <v>376</v>
      </c>
      <c r="AG3" s="3" t="s">
        <v>377</v>
      </c>
      <c r="AK3" s="3" t="s">
        <v>378</v>
      </c>
      <c r="AO3" s="3" t="s">
        <v>379</v>
      </c>
    </row>
    <row r="4" spans="1:44" s="4" customFormat="1" ht="63.75">
      <c r="B4" s="4" t="s">
        <v>604</v>
      </c>
      <c r="C4" s="4" t="s">
        <v>765</v>
      </c>
      <c r="D4" s="4" t="s">
        <v>763</v>
      </c>
      <c r="E4" s="4" t="s">
        <v>605</v>
      </c>
      <c r="F4" s="4" t="s">
        <v>606</v>
      </c>
      <c r="G4" s="4" t="s">
        <v>765</v>
      </c>
      <c r="H4" s="4" t="s">
        <v>763</v>
      </c>
      <c r="I4" s="4" t="s">
        <v>605</v>
      </c>
      <c r="J4" s="4" t="s">
        <v>606</v>
      </c>
      <c r="K4" s="4" t="s">
        <v>765</v>
      </c>
      <c r="L4" s="4" t="s">
        <v>763</v>
      </c>
      <c r="M4" s="4" t="s">
        <v>605</v>
      </c>
      <c r="N4" s="4" t="s">
        <v>606</v>
      </c>
      <c r="O4" s="4" t="s">
        <v>765</v>
      </c>
      <c r="P4" s="4" t="s">
        <v>763</v>
      </c>
      <c r="Q4" s="4" t="s">
        <v>605</v>
      </c>
      <c r="R4" s="4" t="s">
        <v>606</v>
      </c>
      <c r="S4" s="4" t="s">
        <v>765</v>
      </c>
      <c r="T4" s="4" t="s">
        <v>763</v>
      </c>
      <c r="U4" s="4" t="s">
        <v>605</v>
      </c>
      <c r="V4" s="4" t="s">
        <v>606</v>
      </c>
      <c r="W4" s="4" t="s">
        <v>765</v>
      </c>
      <c r="X4" s="4" t="s">
        <v>763</v>
      </c>
      <c r="Y4" s="4" t="s">
        <v>605</v>
      </c>
      <c r="Z4" s="4" t="s">
        <v>606</v>
      </c>
      <c r="AA4" s="4" t="s">
        <v>765</v>
      </c>
      <c r="AB4" s="4" t="s">
        <v>763</v>
      </c>
      <c r="AC4" s="4" t="s">
        <v>605</v>
      </c>
      <c r="AD4" s="4" t="s">
        <v>606</v>
      </c>
      <c r="AE4" s="4" t="s">
        <v>765</v>
      </c>
      <c r="AF4" s="4" t="s">
        <v>763</v>
      </c>
      <c r="AG4" s="4" t="s">
        <v>605</v>
      </c>
      <c r="AH4" s="4" t="s">
        <v>606</v>
      </c>
      <c r="AI4" s="4" t="s">
        <v>765</v>
      </c>
      <c r="AJ4" s="4" t="s">
        <v>763</v>
      </c>
      <c r="AK4" s="4" t="s">
        <v>605</v>
      </c>
      <c r="AL4" s="4" t="s">
        <v>606</v>
      </c>
      <c r="AM4" s="4" t="s">
        <v>765</v>
      </c>
      <c r="AN4" s="4" t="s">
        <v>763</v>
      </c>
      <c r="AO4" s="4" t="s">
        <v>605</v>
      </c>
      <c r="AP4" s="4" t="s">
        <v>606</v>
      </c>
      <c r="AQ4" s="4" t="s">
        <v>765</v>
      </c>
      <c r="AR4" s="4" t="s">
        <v>763</v>
      </c>
    </row>
    <row r="5" spans="1:44" s="4" customFormat="1" hidden="1"/>
    <row r="6" spans="1:44" s="4" customFormat="1" ht="38.25">
      <c r="B6" s="4" t="s">
        <v>266</v>
      </c>
      <c r="C6" s="4" t="s">
        <v>263</v>
      </c>
      <c r="D6" s="4" t="s">
        <v>262</v>
      </c>
      <c r="E6" s="4" t="s">
        <v>108</v>
      </c>
      <c r="F6" s="4" t="s">
        <v>268</v>
      </c>
      <c r="G6" s="4" t="s">
        <v>259</v>
      </c>
      <c r="H6" s="4" t="s">
        <v>198</v>
      </c>
      <c r="I6" s="4" t="s">
        <v>112</v>
      </c>
      <c r="J6" s="4" t="s">
        <v>267</v>
      </c>
      <c r="K6" s="4" t="s">
        <v>264</v>
      </c>
      <c r="L6" s="4" t="s">
        <v>261</v>
      </c>
      <c r="M6" s="4" t="s">
        <v>115</v>
      </c>
      <c r="N6" s="4" t="s">
        <v>269</v>
      </c>
      <c r="O6" s="4" t="s">
        <v>265</v>
      </c>
      <c r="P6" s="4" t="s">
        <v>260</v>
      </c>
      <c r="Q6" s="4" t="s">
        <v>105</v>
      </c>
      <c r="R6" s="4" t="s">
        <v>270</v>
      </c>
      <c r="S6" s="4" t="s">
        <v>271</v>
      </c>
      <c r="T6" s="4" t="s">
        <v>272</v>
      </c>
      <c r="U6" s="4" t="s">
        <v>109</v>
      </c>
      <c r="V6" s="4" t="s">
        <v>273</v>
      </c>
      <c r="W6" s="4" t="s">
        <v>274</v>
      </c>
      <c r="X6" s="4" t="s">
        <v>275</v>
      </c>
      <c r="Y6" s="4" t="s">
        <v>138</v>
      </c>
      <c r="Z6" s="4" t="s">
        <v>276</v>
      </c>
      <c r="AA6" s="4" t="s">
        <v>277</v>
      </c>
      <c r="AB6" s="4" t="s">
        <v>226</v>
      </c>
      <c r="AC6" s="4" t="s">
        <v>116</v>
      </c>
      <c r="AD6" s="4" t="s">
        <v>278</v>
      </c>
      <c r="AE6" s="4" t="s">
        <v>279</v>
      </c>
      <c r="AF6" s="4" t="s">
        <v>280</v>
      </c>
      <c r="AG6" s="4" t="s">
        <v>105</v>
      </c>
      <c r="AH6" s="4" t="s">
        <v>270</v>
      </c>
      <c r="AI6" s="4" t="s">
        <v>271</v>
      </c>
      <c r="AJ6" s="4" t="s">
        <v>272</v>
      </c>
      <c r="AK6" s="4" t="s">
        <v>109</v>
      </c>
      <c r="AL6" s="4" t="s">
        <v>273</v>
      </c>
      <c r="AM6" s="4" t="s">
        <v>274</v>
      </c>
      <c r="AN6" s="4" t="s">
        <v>275</v>
      </c>
      <c r="AO6" s="4" t="s">
        <v>138</v>
      </c>
      <c r="AP6" s="4" t="s">
        <v>276</v>
      </c>
      <c r="AQ6" s="4" t="s">
        <v>277</v>
      </c>
      <c r="AR6" s="4" t="s">
        <v>226</v>
      </c>
    </row>
    <row r="7" spans="1:44" s="4" customFormat="1" hidden="1"/>
    <row r="8" spans="1:44" hidden="1">
      <c r="A8" s="1">
        <v>1971</v>
      </c>
      <c r="B8" s="7">
        <v>-32264</v>
      </c>
      <c r="C8" s="7">
        <f>B8/'a8'!C8*100</f>
        <v>-142463.1135031844</v>
      </c>
      <c r="D8" s="7">
        <f>C8*1000000/'a1'!F8</f>
        <v>-6486.7910903319143</v>
      </c>
      <c r="E8" s="121">
        <f t="shared" ref="E8:E20" si="0">E9</f>
        <v>1.4086189383394154</v>
      </c>
      <c r="F8" s="7">
        <f>E8/100*B8</f>
        <v>-454.47681426582898</v>
      </c>
      <c r="G8" s="7">
        <f>F8/'a8'!I8*100</f>
        <v>-1940.2260260477683</v>
      </c>
      <c r="H8" s="7">
        <f>G8*1000000/'a1'!L8</f>
        <v>-3654.9145830073207</v>
      </c>
      <c r="I8" s="121">
        <f t="shared" ref="I8:I20" si="1">I9</f>
        <v>0.32857115985102142</v>
      </c>
      <c r="J8" s="7">
        <f>I8/100*B8</f>
        <v>-106.01019901433355</v>
      </c>
      <c r="K8" s="7">
        <f>J8/'a8'!O8*100</f>
        <v>-393.47894048815175</v>
      </c>
      <c r="L8" s="7">
        <f>K8*1000000/'a1'!R8</f>
        <v>-3494.7637065853551</v>
      </c>
      <c r="M8" s="121">
        <f t="shared" ref="M8:M20" si="2">M9</f>
        <v>2.601482261765923</v>
      </c>
      <c r="N8" s="7">
        <f>M8/100*B8</f>
        <v>-839.34223693615741</v>
      </c>
      <c r="O8" s="7">
        <f>N8/'a8'!U8*100</f>
        <v>-3770.0119855465955</v>
      </c>
      <c r="P8" s="7">
        <f>O8*1000000/'a1'!X8</f>
        <v>-4728.5091641810868</v>
      </c>
      <c r="Q8" s="121">
        <f t="shared" ref="Q8:Q20" si="3">Q9</f>
        <v>1.9679235167977125</v>
      </c>
      <c r="R8" s="7">
        <f>Q8/100*B8</f>
        <v>-634.93084345961393</v>
      </c>
      <c r="S8" s="7">
        <f>R8/'a8'!AA8*100</f>
        <v>-2763.5212310512807</v>
      </c>
      <c r="T8" s="7">
        <f>S8*1000000/'a1'!AD8</f>
        <v>-4301.3945081587817</v>
      </c>
      <c r="U8" s="121">
        <f t="shared" ref="U8:U20" si="4">U9</f>
        <v>21.652848839396562</v>
      </c>
      <c r="V8" s="7">
        <f>U8/100*B8</f>
        <v>-6986.0751495429067</v>
      </c>
      <c r="W8" s="7">
        <f>V8/'a8'!AG8*100</f>
        <v>-31283.732466226058</v>
      </c>
      <c r="X8" s="7">
        <f>W8*1000000/'a1'!AJ8</f>
        <v>-5097.3077704670141</v>
      </c>
      <c r="Y8" s="121">
        <f t="shared" ref="Y8:Y20" si="5">Y9</f>
        <v>37.148738760768971</v>
      </c>
      <c r="Z8" s="7">
        <f>Y8/100*B8</f>
        <v>-11985.669073774501</v>
      </c>
      <c r="AA8" s="7">
        <f>Z8/'a8'!AM8*100</f>
        <v>-50655.936660456064</v>
      </c>
      <c r="AB8" s="7">
        <f>AA8*1000000/'a1'!AP8</f>
        <v>-6453.7855023885204</v>
      </c>
      <c r="AC8" s="121">
        <f t="shared" ref="AC8:AC20" si="6">AC9</f>
        <v>3.8943465257138556</v>
      </c>
      <c r="AD8" s="7">
        <f>AC8/100*B8</f>
        <v>-1256.4719630563184</v>
      </c>
      <c r="AE8" s="7">
        <f>AD8/'a8'!AS8*100</f>
        <v>-5194.1255797534877</v>
      </c>
      <c r="AF8" s="7">
        <f>AE8*1000000/'a1'!AV8</f>
        <v>-5199.9703464228669</v>
      </c>
      <c r="AG8" s="121">
        <f t="shared" ref="AG8:AG20" si="7">AG9</f>
        <v>4.1418212256875213</v>
      </c>
      <c r="AH8" s="7">
        <f>AG8/100*B8</f>
        <v>-1336.3172002558217</v>
      </c>
      <c r="AI8" s="7">
        <f>AH8/'a8'!AY8*100</f>
        <v>-4844.596946744442</v>
      </c>
      <c r="AJ8" s="7">
        <f>AI8*1000000/'a1'!BB8</f>
        <v>-5197.8534638549527</v>
      </c>
      <c r="AK8" s="121">
        <f t="shared" ref="AK8:AK20" si="8">AK9</f>
        <v>15.042323464128513</v>
      </c>
      <c r="AL8" s="7">
        <f>AK8/100*B8</f>
        <v>-4853.2552424664236</v>
      </c>
      <c r="AM8" s="7">
        <f>AL8/'a8'!BE8*100</f>
        <v>-17338.838422519602</v>
      </c>
      <c r="AN8" s="7">
        <f>AM8*1000000/'a1'!BH8</f>
        <v>-10409.234235178967</v>
      </c>
      <c r="AO8" s="121">
        <f t="shared" ref="AO8:AO20" si="9">AO9</f>
        <v>11.21759903690606</v>
      </c>
      <c r="AP8" s="7">
        <f>AO8/100*B8</f>
        <v>-3619.2461532673715</v>
      </c>
      <c r="AQ8" s="7">
        <f>AP8/'a8'!BK8*100</f>
        <v>-15497.63186343865</v>
      </c>
      <c r="AR8" s="7">
        <f>AQ8*1000000/'a1'!BN8</f>
        <v>-6917.1342903224104</v>
      </c>
    </row>
    <row r="9" spans="1:44" hidden="1">
      <c r="A9" s="1">
        <v>1972</v>
      </c>
      <c r="B9" s="7">
        <v>-34909</v>
      </c>
      <c r="C9" s="7">
        <f>B9/'a8'!C9*100</f>
        <v>-145388.80911515793</v>
      </c>
      <c r="D9" s="7">
        <f>C9*1000000/'a1'!F9</f>
        <v>-6543.6033588443061</v>
      </c>
      <c r="E9" s="121">
        <f t="shared" si="0"/>
        <v>1.4086189383394154</v>
      </c>
      <c r="F9" s="7">
        <f t="shared" ref="F9:F39" si="10">E9/100*B9</f>
        <v>-491.73478518490651</v>
      </c>
      <c r="G9" s="7">
        <f>F9/'a8'!I9*100</f>
        <v>-1993.1419385605896</v>
      </c>
      <c r="H9" s="7">
        <f>G9*1000000/'a1'!L9</f>
        <v>-3697.0009470188484</v>
      </c>
      <c r="I9" s="121">
        <f t="shared" si="1"/>
        <v>0.32857115985102142</v>
      </c>
      <c r="J9" s="7">
        <f t="shared" ref="J9:J39" si="11">I9/100*B9</f>
        <v>-114.70090619239306</v>
      </c>
      <c r="K9" s="7">
        <f>J9/'a8'!O9*100</f>
        <v>-405.02481465345983</v>
      </c>
      <c r="L9" s="7">
        <f>K9*1000000/'a1'!R9</f>
        <v>-3569.7586343509593</v>
      </c>
      <c r="M9" s="121">
        <f t="shared" si="2"/>
        <v>2.601482261765923</v>
      </c>
      <c r="N9" s="7">
        <f t="shared" ref="N9:N39" si="12">M9/100*B9</f>
        <v>-908.15144275986609</v>
      </c>
      <c r="O9" s="7">
        <f>N9/'a8'!U9*100</f>
        <v>-3866.7417221953428</v>
      </c>
      <c r="P9" s="7">
        <f>O9*1000000/'a1'!X9</f>
        <v>-4819.8412252903918</v>
      </c>
      <c r="Q9" s="121">
        <f t="shared" si="3"/>
        <v>1.9679235167977125</v>
      </c>
      <c r="R9" s="7">
        <f t="shared" ref="R9:R39" si="13">Q9/100*B9</f>
        <v>-686.98242047891347</v>
      </c>
      <c r="S9" s="7">
        <f>R9/'a8'!AA9*100</f>
        <v>-2824.8769841428252</v>
      </c>
      <c r="T9" s="7">
        <f>S9*1000000/'a1'!AD9</f>
        <v>-4354.2107963586814</v>
      </c>
      <c r="U9" s="121">
        <f t="shared" si="4"/>
        <v>21.652848839396562</v>
      </c>
      <c r="V9" s="7">
        <f t="shared" ref="V9:V39" si="14">U9/100*B9</f>
        <v>-7558.7930013449459</v>
      </c>
      <c r="W9" s="7">
        <f>V9/'a8'!AG9*100</f>
        <v>-32132.114825191697</v>
      </c>
      <c r="X9" s="7">
        <f>W9*1000000/'a1'!AJ9</f>
        <v>-5204.2420973272874</v>
      </c>
      <c r="Y9" s="121">
        <f t="shared" si="5"/>
        <v>37.148738760768971</v>
      </c>
      <c r="Z9" s="7">
        <f t="shared" ref="Z9:Z39" si="15">Y9/100*B9</f>
        <v>-12968.253213996841</v>
      </c>
      <c r="AA9" s="7">
        <f>Z9/'a8'!AM9*100</f>
        <v>-52009.33668093328</v>
      </c>
      <c r="AB9" s="7">
        <f>AA9*1000000/'a1'!AP9</f>
        <v>-6531.2787292882022</v>
      </c>
      <c r="AC9" s="121">
        <f t="shared" si="6"/>
        <v>3.8943465257138556</v>
      </c>
      <c r="AD9" s="7">
        <f t="shared" ref="AD9:AD39" si="16">AC9/100*B9</f>
        <v>-1359.4774286614499</v>
      </c>
      <c r="AE9" s="7">
        <f>AD9/'a8'!AS9*100</f>
        <v>-5354.5535222624949</v>
      </c>
      <c r="AF9" s="7">
        <f>AE9*1000000/'a1'!AV9</f>
        <v>-5345.7223888760718</v>
      </c>
      <c r="AG9" s="121">
        <f t="shared" si="7"/>
        <v>4.1418212256875213</v>
      </c>
      <c r="AH9" s="7">
        <f t="shared" ref="AH9:AH39" si="17">AG9/100*B9</f>
        <v>-1445.8683716752569</v>
      </c>
      <c r="AI9" s="7">
        <f>AH9/'a8'!AY9*100</f>
        <v>-4968.8980334848793</v>
      </c>
      <c r="AJ9" s="7">
        <f>AI9*1000000/'a1'!BB9</f>
        <v>-5396.4009138826641</v>
      </c>
      <c r="AK9" s="121">
        <f t="shared" si="8"/>
        <v>15.042323464128513</v>
      </c>
      <c r="AL9" s="7">
        <f t="shared" ref="AL9:AL39" si="18">AK9/100*B9</f>
        <v>-5251.1246980926226</v>
      </c>
      <c r="AM9" s="7">
        <f>AL9/'a8'!BE9*100</f>
        <v>-17791.673783138303</v>
      </c>
      <c r="AN9" s="7">
        <f>AM9*1000000/'a1'!BH9</f>
        <v>-10502.201053744666</v>
      </c>
      <c r="AO9" s="121">
        <f t="shared" si="9"/>
        <v>11.21759903690606</v>
      </c>
      <c r="AP9" s="7">
        <f t="shared" ref="AP9:AP39" si="19">AO9/100*B9</f>
        <v>-3915.9516477935367</v>
      </c>
      <c r="AQ9" s="7">
        <f>AP9/'a8'!BK9*100</f>
        <v>-15967.52621679828</v>
      </c>
      <c r="AR9" s="7">
        <f>AQ9*1000000/'a1'!BN9</f>
        <v>-6936.1119509863147</v>
      </c>
    </row>
    <row r="10" spans="1:44" hidden="1">
      <c r="A10" s="1">
        <v>1973</v>
      </c>
      <c r="B10" s="7">
        <v>-37666</v>
      </c>
      <c r="C10" s="7">
        <f>B10/'a8'!C10*100</f>
        <v>-143385.06334558703</v>
      </c>
      <c r="D10" s="7">
        <f>C10*1000000/'a1'!F10</f>
        <v>-6374.9993317818789</v>
      </c>
      <c r="E10" s="121">
        <f t="shared" si="0"/>
        <v>1.4086189383394154</v>
      </c>
      <c r="F10" s="7">
        <f t="shared" si="10"/>
        <v>-530.57040931492418</v>
      </c>
      <c r="G10" s="7">
        <f>F10/'a8'!I10*100</f>
        <v>-1983.4123566413343</v>
      </c>
      <c r="H10" s="7">
        <f>G10*1000000/'a1'!L10</f>
        <v>-3635.5464496936811</v>
      </c>
      <c r="I10" s="121">
        <f t="shared" si="1"/>
        <v>0.32857115985102142</v>
      </c>
      <c r="J10" s="7">
        <f t="shared" si="11"/>
        <v>-123.75961306948572</v>
      </c>
      <c r="K10" s="7">
        <f>J10/'a8'!O10*100</f>
        <v>-400.23409715562934</v>
      </c>
      <c r="L10" s="7">
        <f>K10*1000000/'a1'!R10</f>
        <v>-3491.8347335162216</v>
      </c>
      <c r="M10" s="121">
        <f t="shared" si="2"/>
        <v>2.601482261765923</v>
      </c>
      <c r="N10" s="7">
        <f t="shared" si="12"/>
        <v>-979.87430871675258</v>
      </c>
      <c r="O10" s="7">
        <f>N10/'a8'!U10*100</f>
        <v>-3865.0391818944313</v>
      </c>
      <c r="P10" s="7">
        <f>O10*1000000/'a1'!X10</f>
        <v>-4757.6388341187949</v>
      </c>
      <c r="Q10" s="121">
        <f t="shared" si="3"/>
        <v>1.9679235167977125</v>
      </c>
      <c r="R10" s="7">
        <f t="shared" si="13"/>
        <v>-741.23807183702638</v>
      </c>
      <c r="S10" s="7">
        <f>R10/'a8'!AA10*100</f>
        <v>-2821.9118753311013</v>
      </c>
      <c r="T10" s="7">
        <f>S10*1000000/'a1'!AD10</f>
        <v>-4296.9787357338</v>
      </c>
      <c r="U10" s="121">
        <f t="shared" si="4"/>
        <v>21.652848839396562</v>
      </c>
      <c r="V10" s="7">
        <f t="shared" si="14"/>
        <v>-8155.7620438471095</v>
      </c>
      <c r="W10" s="7">
        <f>V10/'a8'!AG10*100</f>
        <v>-32303.886929188968</v>
      </c>
      <c r="X10" s="7">
        <f>W10*1000000/'a1'!AJ10</f>
        <v>-5199.2776817663589</v>
      </c>
      <c r="Y10" s="121">
        <f t="shared" si="5"/>
        <v>37.148738760768971</v>
      </c>
      <c r="Z10" s="7">
        <f t="shared" si="15"/>
        <v>-13992.443941631242</v>
      </c>
      <c r="AA10" s="7">
        <f>Z10/'a8'!AM10*100</f>
        <v>-52319.484096369175</v>
      </c>
      <c r="AB10" s="7">
        <f>AA10*1000000/'a1'!AP10</f>
        <v>-6478.7542065409525</v>
      </c>
      <c r="AC10" s="121">
        <f t="shared" si="6"/>
        <v>3.8943465257138556</v>
      </c>
      <c r="AD10" s="7">
        <f t="shared" si="16"/>
        <v>-1466.844562375381</v>
      </c>
      <c r="AE10" s="7">
        <f>AD10/'a8'!AS10*100</f>
        <v>-5374.3617250576181</v>
      </c>
      <c r="AF10" s="7">
        <f>AE10*1000000/'a1'!AV10</f>
        <v>-5335.1060149992536</v>
      </c>
      <c r="AG10" s="121">
        <f t="shared" si="7"/>
        <v>4.1418212256875213</v>
      </c>
      <c r="AH10" s="7">
        <f t="shared" si="17"/>
        <v>-1560.0583828674617</v>
      </c>
      <c r="AI10" s="7">
        <f>AH10/'a8'!AY10*100</f>
        <v>-5017.6508273285726</v>
      </c>
      <c r="AJ10" s="7">
        <f>AI10*1000000/'a1'!BB10</f>
        <v>-5502.1902031922955</v>
      </c>
      <c r="AK10" s="121">
        <f t="shared" si="8"/>
        <v>15.042323464128513</v>
      </c>
      <c r="AL10" s="7">
        <f t="shared" si="18"/>
        <v>-5665.8415559986452</v>
      </c>
      <c r="AM10" s="7">
        <f>AL10/'a8'!BE10*100</f>
        <v>-17884.616166617143</v>
      </c>
      <c r="AN10" s="7">
        <f>AM10*1000000/'a1'!BH10</f>
        <v>-10365.928410450391</v>
      </c>
      <c r="AO10" s="121">
        <f t="shared" si="9"/>
        <v>11.21759903690606</v>
      </c>
      <c r="AP10" s="7">
        <f t="shared" si="19"/>
        <v>-4225.2208532410368</v>
      </c>
      <c r="AQ10" s="7">
        <f>AP10/'a8'!BK10*100</f>
        <v>-16037.477449529999</v>
      </c>
      <c r="AR10" s="7">
        <f>AQ10*1000000/'a1'!BN10</f>
        <v>-6774.6689962957344</v>
      </c>
    </row>
    <row r="11" spans="1:44" hidden="1">
      <c r="A11" s="1">
        <v>1974</v>
      </c>
      <c r="B11" s="7">
        <v>-42188</v>
      </c>
      <c r="C11" s="7">
        <f>B11/'a8'!C11*100</f>
        <v>-140041.58417415628</v>
      </c>
      <c r="D11" s="7">
        <f>C11*1000000/'a1'!F11</f>
        <v>-6140.0286967312295</v>
      </c>
      <c r="E11" s="121">
        <f t="shared" si="0"/>
        <v>1.4086189383394154</v>
      </c>
      <c r="F11" s="7">
        <f t="shared" si="10"/>
        <v>-594.26815770663256</v>
      </c>
      <c r="G11" s="7">
        <f>F11/'a8'!I11*100</f>
        <v>-1948.8888818084106</v>
      </c>
      <c r="H11" s="7">
        <f>G11*1000000/'a1'!L11</f>
        <v>-3545.98744151864</v>
      </c>
      <c r="I11" s="121">
        <f t="shared" si="1"/>
        <v>0.32857115985102142</v>
      </c>
      <c r="J11" s="7">
        <f t="shared" si="11"/>
        <v>-138.61760091794892</v>
      </c>
      <c r="K11" s="7">
        <f>J11/'a8'!O11*100</f>
        <v>-399.79437839689155</v>
      </c>
      <c r="L11" s="7">
        <f>K11*1000000/'a1'!R11</f>
        <v>-3447.6326589476857</v>
      </c>
      <c r="M11" s="121">
        <f t="shared" si="2"/>
        <v>2.601482261765923</v>
      </c>
      <c r="N11" s="7">
        <f t="shared" si="12"/>
        <v>-1097.5133365938075</v>
      </c>
      <c r="O11" s="7">
        <f>N11/'a8'!U11*100</f>
        <v>-3894.1748492742349</v>
      </c>
      <c r="P11" s="7">
        <f>O11*1000000/'a1'!X11</f>
        <v>-4756.2382815706296</v>
      </c>
      <c r="Q11" s="121">
        <f t="shared" si="3"/>
        <v>1.9679235167977125</v>
      </c>
      <c r="R11" s="7">
        <f t="shared" si="13"/>
        <v>-830.22757326661895</v>
      </c>
      <c r="S11" s="7">
        <f>R11/'a8'!AA11*100</f>
        <v>-2808.7104064685282</v>
      </c>
      <c r="T11" s="7">
        <f>S11*1000000/'a1'!AD11</f>
        <v>-4225.251234262405</v>
      </c>
      <c r="U11" s="121">
        <f t="shared" si="4"/>
        <v>21.652848839396562</v>
      </c>
      <c r="V11" s="7">
        <f t="shared" si="14"/>
        <v>-9134.9038683646213</v>
      </c>
      <c r="W11" s="7">
        <f>V11/'a8'!AG11*100</f>
        <v>-31984.673534487079</v>
      </c>
      <c r="X11" s="7">
        <f>W11*1000000/'a1'!AJ11</f>
        <v>-5102.3867376611161</v>
      </c>
      <c r="Y11" s="121">
        <f t="shared" si="5"/>
        <v>37.148738760768971</v>
      </c>
      <c r="Z11" s="7">
        <f t="shared" si="15"/>
        <v>-15672.309908393214</v>
      </c>
      <c r="AA11" s="7">
        <f>Z11/'a8'!AM11*100</f>
        <v>-52308.017545715993</v>
      </c>
      <c r="AB11" s="7">
        <f>AA11*1000000/'a1'!AP11</f>
        <v>-6375.7026118354142</v>
      </c>
      <c r="AC11" s="121">
        <f t="shared" si="6"/>
        <v>3.8943465257138556</v>
      </c>
      <c r="AD11" s="7">
        <f t="shared" si="16"/>
        <v>-1642.9469122681614</v>
      </c>
      <c r="AE11" s="7">
        <f>AD11/'a8'!AS11*100</f>
        <v>-5392.5421332896512</v>
      </c>
      <c r="AF11" s="7">
        <f>AE11*1000000/'a1'!AV11</f>
        <v>-5296.1209551796501</v>
      </c>
      <c r="AG11" s="121">
        <f t="shared" si="7"/>
        <v>4.1418212256875213</v>
      </c>
      <c r="AH11" s="7">
        <f t="shared" si="17"/>
        <v>-1747.3515386930515</v>
      </c>
      <c r="AI11" s="7">
        <f>AH11/'a8'!AY11*100</f>
        <v>-4992.7515827765219</v>
      </c>
      <c r="AJ11" s="7">
        <f>AI11*1000000/'a1'!BB11</f>
        <v>-5495.8590035373409</v>
      </c>
      <c r="AK11" s="121">
        <f t="shared" si="8"/>
        <v>15.042323464128513</v>
      </c>
      <c r="AL11" s="7">
        <f t="shared" si="18"/>
        <v>-6346.0554230465368</v>
      </c>
      <c r="AM11" s="7">
        <f>AL11/'a8'!BE11*100</f>
        <v>-17861.273826699387</v>
      </c>
      <c r="AN11" s="7">
        <f>AM11*1000000/'a1'!BH11</f>
        <v>-10179.562325253935</v>
      </c>
      <c r="AO11" s="121">
        <f t="shared" si="9"/>
        <v>11.21759903690606</v>
      </c>
      <c r="AP11" s="7">
        <f t="shared" si="19"/>
        <v>-4732.480681689929</v>
      </c>
      <c r="AQ11" s="7">
        <f>AP11/'a8'!BK11*100</f>
        <v>-15884.188753824557</v>
      </c>
      <c r="AR11" s="7">
        <f>AQ11*1000000/'a1'!BN11</f>
        <v>-6503.042586081001</v>
      </c>
    </row>
    <row r="12" spans="1:44" hidden="1">
      <c r="A12" s="1">
        <v>1975</v>
      </c>
      <c r="B12" s="7">
        <v>-50433</v>
      </c>
      <c r="C12" s="7">
        <f>B12/'a8'!C12*100</f>
        <v>-151742.65955932433</v>
      </c>
      <c r="D12" s="7">
        <f>C12*1000000/'a1'!F12</f>
        <v>-6556.663201700032</v>
      </c>
      <c r="E12" s="121">
        <f t="shared" si="0"/>
        <v>1.4086189383394154</v>
      </c>
      <c r="F12" s="7">
        <f t="shared" si="10"/>
        <v>-710.40878917271732</v>
      </c>
      <c r="G12" s="7">
        <f>F12/'a8'!I12*100</f>
        <v>-2087.7770915420956</v>
      </c>
      <c r="H12" s="7">
        <f>G12*1000000/'a1'!L12</f>
        <v>-3751.6479750835506</v>
      </c>
      <c r="I12" s="121">
        <f t="shared" si="1"/>
        <v>0.32857115985102142</v>
      </c>
      <c r="J12" s="7">
        <f t="shared" si="11"/>
        <v>-165.70829304766562</v>
      </c>
      <c r="K12" s="7">
        <f>J12/'a8'!O12*100</f>
        <v>-429.56631099388096</v>
      </c>
      <c r="L12" s="7">
        <f>K12*1000000/'a1'!R12</f>
        <v>-3648.927245029739</v>
      </c>
      <c r="M12" s="121">
        <f t="shared" si="2"/>
        <v>2.601482261765923</v>
      </c>
      <c r="N12" s="7">
        <f t="shared" si="12"/>
        <v>-1312.005549076408</v>
      </c>
      <c r="O12" s="7">
        <f>N12/'a8'!U12*100</f>
        <v>-4186.8409419521167</v>
      </c>
      <c r="P12" s="7">
        <f>O12*1000000/'a1'!X12</f>
        <v>-5065.4479552357052</v>
      </c>
      <c r="Q12" s="121">
        <f t="shared" si="3"/>
        <v>1.9679235167977125</v>
      </c>
      <c r="R12" s="7">
        <f t="shared" si="13"/>
        <v>-992.48286722659032</v>
      </c>
      <c r="S12" s="7">
        <f>R12/'a8'!AA12*100</f>
        <v>-2996.6676953670726</v>
      </c>
      <c r="T12" s="7">
        <f>S12*1000000/'a1'!AD12</f>
        <v>-4426.3401545728748</v>
      </c>
      <c r="U12" s="121">
        <f t="shared" si="4"/>
        <v>21.652848839396562</v>
      </c>
      <c r="V12" s="7">
        <f t="shared" si="14"/>
        <v>-10920.181255172869</v>
      </c>
      <c r="W12" s="7">
        <f>V12/'a8'!AG12*100</f>
        <v>-34476.022966197881</v>
      </c>
      <c r="X12" s="7">
        <f>W12*1000000/'a1'!AJ12</f>
        <v>-5446.1884314538947</v>
      </c>
      <c r="Y12" s="121">
        <f t="shared" si="5"/>
        <v>37.148738760768971</v>
      </c>
      <c r="Z12" s="7">
        <f t="shared" si="15"/>
        <v>-18735.223419218615</v>
      </c>
      <c r="AA12" s="7">
        <f>Z12/'a8'!AM12*100</f>
        <v>-56581.531773274321</v>
      </c>
      <c r="AB12" s="7">
        <f>AA12*1000000/'a1'!AP12</f>
        <v>-6800.8324451833632</v>
      </c>
      <c r="AC12" s="121">
        <f t="shared" si="6"/>
        <v>3.8943465257138556</v>
      </c>
      <c r="AD12" s="7">
        <f t="shared" si="16"/>
        <v>-1964.0357833132689</v>
      </c>
      <c r="AE12" s="7">
        <f>AD12/'a8'!AS12*100</f>
        <v>-5741.9766328403884</v>
      </c>
      <c r="AF12" s="7">
        <f>AE12*1000000/'a1'!AV12</f>
        <v>-5602.0650580164283</v>
      </c>
      <c r="AG12" s="121">
        <f t="shared" si="7"/>
        <v>4.1418212256875213</v>
      </c>
      <c r="AH12" s="7">
        <f t="shared" si="17"/>
        <v>-2088.8446987509874</v>
      </c>
      <c r="AI12" s="7">
        <f>AH12/'a8'!AY12*100</f>
        <v>-5336.4058510696987</v>
      </c>
      <c r="AJ12" s="7">
        <f>AI12*1000000/'a1'!BB12</f>
        <v>-5816.7850439219965</v>
      </c>
      <c r="AK12" s="121">
        <f t="shared" si="8"/>
        <v>15.042323464128513</v>
      </c>
      <c r="AL12" s="7">
        <f t="shared" si="18"/>
        <v>-7586.294992663933</v>
      </c>
      <c r="AM12" s="7">
        <f>AL12/'a8'!BE12*100</f>
        <v>-18917.860384258795</v>
      </c>
      <c r="AN12" s="7">
        <f>AM12*1000000/'a1'!BH12</f>
        <v>-10459.432431036399</v>
      </c>
      <c r="AO12" s="121">
        <f t="shared" si="9"/>
        <v>11.21759903690606</v>
      </c>
      <c r="AP12" s="7">
        <f t="shared" si="19"/>
        <v>-5657.3717222828336</v>
      </c>
      <c r="AQ12" s="7">
        <f>AP12/'a8'!BK12*100</f>
        <v>-16985.816254729034</v>
      </c>
      <c r="AR12" s="7">
        <f>AQ12*1000000/'a1'!BN12</f>
        <v>-6795.5116391214769</v>
      </c>
    </row>
    <row r="13" spans="1:44" hidden="1">
      <c r="A13" s="1">
        <v>1976</v>
      </c>
      <c r="B13" s="7">
        <v>-61307</v>
      </c>
      <c r="C13" s="7">
        <f>B13/'a8'!C13*100</f>
        <v>-168971.28388043802</v>
      </c>
      <c r="D13" s="7">
        <f>C13*1000000/'a1'!F13</f>
        <v>-7205.6574570008424</v>
      </c>
      <c r="E13" s="121">
        <f t="shared" si="0"/>
        <v>1.4086189383394154</v>
      </c>
      <c r="F13" s="7">
        <f t="shared" si="10"/>
        <v>-863.58201252774541</v>
      </c>
      <c r="G13" s="7">
        <f>F13/'a8'!I13*100</f>
        <v>-2337.9416773899416</v>
      </c>
      <c r="H13" s="7">
        <f>G13*1000000/'a1'!L13</f>
        <v>-4155.3139355607091</v>
      </c>
      <c r="I13" s="121">
        <f t="shared" si="1"/>
        <v>0.32857115985102142</v>
      </c>
      <c r="J13" s="7">
        <f t="shared" si="11"/>
        <v>-201.4371209698657</v>
      </c>
      <c r="K13" s="7">
        <f>J13/'a8'!O13*100</f>
        <v>-477.64409582753228</v>
      </c>
      <c r="L13" s="7">
        <f>K13*1000000/'a1'!R13</f>
        <v>-4025.7239551238308</v>
      </c>
      <c r="M13" s="121">
        <f t="shared" si="2"/>
        <v>2.601482261765923</v>
      </c>
      <c r="N13" s="7">
        <f t="shared" si="12"/>
        <v>-1594.8907302208343</v>
      </c>
      <c r="O13" s="7">
        <f>N13/'a8'!U13*100</f>
        <v>-4730.1988544457618</v>
      </c>
      <c r="P13" s="7">
        <f>O13*1000000/'a1'!X13</f>
        <v>-5663.7828341261038</v>
      </c>
      <c r="Q13" s="121">
        <f t="shared" si="3"/>
        <v>1.9679235167977125</v>
      </c>
      <c r="R13" s="7">
        <f t="shared" si="13"/>
        <v>-1206.4748704431736</v>
      </c>
      <c r="S13" s="7">
        <f>R13/'a8'!AA13*100</f>
        <v>-3388.4797747781745</v>
      </c>
      <c r="T13" s="7">
        <f>S13*1000000/'a1'!AD13</f>
        <v>-4914.4441790329929</v>
      </c>
      <c r="U13" s="121">
        <f t="shared" si="4"/>
        <v>21.652848839396562</v>
      </c>
      <c r="V13" s="7">
        <f t="shared" si="14"/>
        <v>-13274.712037968851</v>
      </c>
      <c r="W13" s="7">
        <f>V13/'a8'!AG13*100</f>
        <v>-38673.240169269098</v>
      </c>
      <c r="X13" s="7">
        <f>W13*1000000/'a1'!AJ13</f>
        <v>-6045.753494505906</v>
      </c>
      <c r="Y13" s="121">
        <f t="shared" si="5"/>
        <v>37.148738760768971</v>
      </c>
      <c r="Z13" s="7">
        <f t="shared" si="15"/>
        <v>-22774.777272064635</v>
      </c>
      <c r="AA13" s="7">
        <f>Z13/'a8'!AM13*100</f>
        <v>-63868.288605694215</v>
      </c>
      <c r="AB13" s="7">
        <f>AA13*1000000/'a1'!AP13</f>
        <v>-7590.9158780726493</v>
      </c>
      <c r="AC13" s="121">
        <f t="shared" si="6"/>
        <v>3.8943465257138556</v>
      </c>
      <c r="AD13" s="7">
        <f t="shared" si="16"/>
        <v>-2387.5070245193933</v>
      </c>
      <c r="AE13" s="7">
        <f>AD13/'a8'!AS13*100</f>
        <v>-6448.209186287876</v>
      </c>
      <c r="AF13" s="7">
        <f>AE13*1000000/'a1'!AV13</f>
        <v>-6249.7302529157769</v>
      </c>
      <c r="AG13" s="121">
        <f t="shared" si="7"/>
        <v>4.1418212256875213</v>
      </c>
      <c r="AH13" s="7">
        <f t="shared" si="17"/>
        <v>-2539.2263388322485</v>
      </c>
      <c r="AI13" s="7">
        <f>AH13/'a8'!AY13*100</f>
        <v>-5942.385414480792</v>
      </c>
      <c r="AJ13" s="7">
        <f>AI13*1000000/'a1'!BB13</f>
        <v>-6378.6054864909338</v>
      </c>
      <c r="AK13" s="121">
        <f t="shared" si="8"/>
        <v>15.042323464128513</v>
      </c>
      <c r="AL13" s="7">
        <f t="shared" si="18"/>
        <v>-9221.997246153267</v>
      </c>
      <c r="AM13" s="7">
        <f>AL13/'a8'!BE13*100</f>
        <v>-21097.975324110699</v>
      </c>
      <c r="AN13" s="7">
        <f>AM13*1000000/'a1'!BH13</f>
        <v>-11286.643155444133</v>
      </c>
      <c r="AO13" s="121">
        <f t="shared" si="9"/>
        <v>11.21759903690606</v>
      </c>
      <c r="AP13" s="7">
        <f t="shared" si="19"/>
        <v>-6877.1734415559986</v>
      </c>
      <c r="AQ13" s="7">
        <f>AP13/'a8'!BK13*100</f>
        <v>-19048.406986841004</v>
      </c>
      <c r="AR13" s="7">
        <f>AQ13*1000000/'a1'!BN13</f>
        <v>-7517.429458254257</v>
      </c>
    </row>
    <row r="14" spans="1:44" hidden="1">
      <c r="A14" s="1">
        <v>1977</v>
      </c>
      <c r="B14" s="7">
        <v>-68656</v>
      </c>
      <c r="C14" s="7">
        <f>B14/'a8'!C14*100</f>
        <v>-177159.02651525693</v>
      </c>
      <c r="D14" s="7">
        <f>C14*1000000/'a1'!F14</f>
        <v>-7466.9223140040558</v>
      </c>
      <c r="E14" s="121">
        <f t="shared" si="0"/>
        <v>1.4086189383394154</v>
      </c>
      <c r="F14" s="7">
        <f t="shared" si="10"/>
        <v>-967.10141830630903</v>
      </c>
      <c r="G14" s="7">
        <f>F14/'a8'!I14*100</f>
        <v>-2469.9085102651684</v>
      </c>
      <c r="H14" s="7">
        <f>G14*1000000/'a1'!L14</f>
        <v>-4368.828598076173</v>
      </c>
      <c r="I14" s="121">
        <f t="shared" si="1"/>
        <v>0.32857115985102142</v>
      </c>
      <c r="J14" s="7">
        <f t="shared" si="11"/>
        <v>-225.58381550731727</v>
      </c>
      <c r="K14" s="7">
        <f>J14/'a8'!O14*100</f>
        <v>-497.8548453630857</v>
      </c>
      <c r="L14" s="7">
        <f>K14*1000000/'a1'!R14</f>
        <v>-4152.1813261087027</v>
      </c>
      <c r="M14" s="121">
        <f t="shared" si="2"/>
        <v>2.601482261765923</v>
      </c>
      <c r="N14" s="7">
        <f t="shared" si="12"/>
        <v>-1786.073661638012</v>
      </c>
      <c r="O14" s="7">
        <f>N14/'a8'!U14*100</f>
        <v>-4947.8469425574413</v>
      </c>
      <c r="P14" s="7">
        <f>O14*1000000/'a1'!X14</f>
        <v>-5890.0976426469615</v>
      </c>
      <c r="Q14" s="121">
        <f t="shared" si="3"/>
        <v>1.9679235167977125</v>
      </c>
      <c r="R14" s="7">
        <f t="shared" si="13"/>
        <v>-1351.0975696926375</v>
      </c>
      <c r="S14" s="7">
        <f>R14/'a8'!AA14*100</f>
        <v>-3565.9076836267777</v>
      </c>
      <c r="T14" s="7">
        <f>S14*1000000/'a1'!AD14</f>
        <v>-5124.5865570635588</v>
      </c>
      <c r="U14" s="121">
        <f t="shared" si="4"/>
        <v>21.652848839396562</v>
      </c>
      <c r="V14" s="7">
        <f t="shared" si="14"/>
        <v>-14865.979899176104</v>
      </c>
      <c r="W14" s="7">
        <f>V14/'a8'!AG14*100</f>
        <v>-40276.670036149815</v>
      </c>
      <c r="X14" s="7">
        <f>W14*1000000/'a1'!AJ14</f>
        <v>-6260.8172466121587</v>
      </c>
      <c r="Y14" s="121">
        <f t="shared" si="5"/>
        <v>37.148738760768971</v>
      </c>
      <c r="Z14" s="7">
        <f t="shared" si="15"/>
        <v>-25504.838083593546</v>
      </c>
      <c r="AA14" s="7">
        <f>Z14/'a8'!AM14*100</f>
        <v>-66873.349651086784</v>
      </c>
      <c r="AB14" s="7">
        <f>AA14*1000000/'a1'!AP14</f>
        <v>-7863.6783345272843</v>
      </c>
      <c r="AC14" s="121">
        <f t="shared" si="6"/>
        <v>3.8943465257138556</v>
      </c>
      <c r="AD14" s="7">
        <f t="shared" si="16"/>
        <v>-2673.702550694105</v>
      </c>
      <c r="AE14" s="7">
        <f>AD14/'a8'!AS14*100</f>
        <v>-6698.0814218332325</v>
      </c>
      <c r="AF14" s="7">
        <f>AE14*1000000/'a1'!AV14</f>
        <v>-6456.7973612410169</v>
      </c>
      <c r="AG14" s="121">
        <f t="shared" si="7"/>
        <v>4.1418212256875213</v>
      </c>
      <c r="AH14" s="7">
        <f t="shared" si="17"/>
        <v>-2843.6087807080244</v>
      </c>
      <c r="AI14" s="7">
        <f>AH14/'a8'!AY14*100</f>
        <v>-6171.1513769826415</v>
      </c>
      <c r="AJ14" s="7">
        <f>AI14*1000000/'a1'!BB14</f>
        <v>-6532.9390062074008</v>
      </c>
      <c r="AK14" s="121">
        <f t="shared" si="8"/>
        <v>15.042323464128513</v>
      </c>
      <c r="AL14" s="7">
        <f t="shared" si="18"/>
        <v>-10327.457597532071</v>
      </c>
      <c r="AM14" s="7">
        <f>AL14/'a8'!BE14*100</f>
        <v>-22011.510617906562</v>
      </c>
      <c r="AN14" s="7">
        <f>AM14*1000000/'a1'!BH14</f>
        <v>-11298.018089912175</v>
      </c>
      <c r="AO14" s="121">
        <f t="shared" si="9"/>
        <v>11.21759903690606</v>
      </c>
      <c r="AP14" s="7">
        <f t="shared" si="19"/>
        <v>-7701.5547947782252</v>
      </c>
      <c r="AQ14" s="7">
        <f>AP14/'a8'!BK14*100</f>
        <v>-20100.403806995917</v>
      </c>
      <c r="AR14" s="7">
        <f>AQ14*1000000/'a1'!BN14</f>
        <v>-7820.2102882315667</v>
      </c>
    </row>
    <row r="15" spans="1:44" hidden="1">
      <c r="A15" s="1">
        <v>1978</v>
      </c>
      <c r="B15" s="7">
        <v>-88104</v>
      </c>
      <c r="C15" s="7">
        <f>B15/'a8'!C15*100</f>
        <v>-213272.71822296322</v>
      </c>
      <c r="D15" s="7">
        <f>C15*1000000/'a1'!F15</f>
        <v>-8900.0088269904172</v>
      </c>
      <c r="E15" s="121">
        <f t="shared" si="0"/>
        <v>1.4086189383394154</v>
      </c>
      <c r="F15" s="7">
        <f t="shared" si="10"/>
        <v>-1241.0496294345585</v>
      </c>
      <c r="G15" s="7">
        <f>F15/'a8'!I15*100</f>
        <v>-2989.6449939104436</v>
      </c>
      <c r="H15" s="7">
        <f>G15*1000000/'a1'!L15</f>
        <v>-5266.8068859089026</v>
      </c>
      <c r="I15" s="121">
        <f t="shared" si="1"/>
        <v>0.32857115985102142</v>
      </c>
      <c r="J15" s="7">
        <f t="shared" si="11"/>
        <v>-289.48433467514394</v>
      </c>
      <c r="K15" s="7">
        <f>J15/'a8'!O15*100</f>
        <v>-598.44534850215064</v>
      </c>
      <c r="L15" s="7">
        <f>K15*1000000/'a1'!R15</f>
        <v>-4918.0282411997523</v>
      </c>
      <c r="M15" s="121">
        <f t="shared" si="2"/>
        <v>2.601482261765923</v>
      </c>
      <c r="N15" s="7">
        <f t="shared" si="12"/>
        <v>-2292.0099319062488</v>
      </c>
      <c r="O15" s="7">
        <f>N15/'a8'!U15*100</f>
        <v>-5956.5537206430436</v>
      </c>
      <c r="P15" s="7">
        <f>O15*1000000/'a1'!X15</f>
        <v>-7052.2806734361675</v>
      </c>
      <c r="Q15" s="121">
        <f t="shared" si="3"/>
        <v>1.9679235167977125</v>
      </c>
      <c r="R15" s="7">
        <f t="shared" si="13"/>
        <v>-1733.8193352394567</v>
      </c>
      <c r="S15" s="7">
        <f>R15/'a8'!AA15*100</f>
        <v>-4265.9027841006609</v>
      </c>
      <c r="T15" s="7">
        <f>S15*1000000/'a1'!AD15</f>
        <v>-6098.380853136121</v>
      </c>
      <c r="U15" s="121">
        <f t="shared" si="4"/>
        <v>21.652848839396562</v>
      </c>
      <c r="V15" s="7">
        <f t="shared" si="14"/>
        <v>-19077.025941461947</v>
      </c>
      <c r="W15" s="7">
        <f>V15/'a8'!AG15*100</f>
        <v>-48303.613595652358</v>
      </c>
      <c r="X15" s="7">
        <f>W15*1000000/'a1'!AJ15</f>
        <v>-7500.0265657544533</v>
      </c>
      <c r="Y15" s="121">
        <f t="shared" si="5"/>
        <v>37.148738760768971</v>
      </c>
      <c r="Z15" s="7">
        <f t="shared" si="15"/>
        <v>-32729.524797787897</v>
      </c>
      <c r="AA15" s="7">
        <f>Z15/'a8'!AM15*100</f>
        <v>-80576.768944117706</v>
      </c>
      <c r="AB15" s="7">
        <f>AA15*1000000/'a1'!AP15</f>
        <v>-9380.1418164954757</v>
      </c>
      <c r="AC15" s="121">
        <f t="shared" si="6"/>
        <v>3.8943465257138556</v>
      </c>
      <c r="AD15" s="7">
        <f t="shared" si="16"/>
        <v>-3431.0750630149355</v>
      </c>
      <c r="AE15" s="7">
        <f>AD15/'a8'!AS15*100</f>
        <v>-8014.8480220920519</v>
      </c>
      <c r="AF15" s="7">
        <f>AE15*1000000/'a1'!AV15</f>
        <v>-7700.061795817247</v>
      </c>
      <c r="AG15" s="121">
        <f t="shared" si="7"/>
        <v>4.1418212256875213</v>
      </c>
      <c r="AH15" s="7">
        <f t="shared" si="17"/>
        <v>-3649.1101726797338</v>
      </c>
      <c r="AI15" s="7">
        <f>AH15/'a8'!AY15*100</f>
        <v>-7359.0335425567828</v>
      </c>
      <c r="AJ15" s="7">
        <f>AI15*1000000/'a1'!BB15</f>
        <v>-7726.5873004386494</v>
      </c>
      <c r="AK15" s="121">
        <f t="shared" si="8"/>
        <v>15.042323464128513</v>
      </c>
      <c r="AL15" s="7">
        <f t="shared" si="18"/>
        <v>-13252.888664835784</v>
      </c>
      <c r="AM15" s="7">
        <f>AL15/'a8'!BE15*100</f>
        <v>-26187.46648154928</v>
      </c>
      <c r="AN15" s="7">
        <f>AM15*1000000/'a1'!BH15</f>
        <v>-12949.725814850593</v>
      </c>
      <c r="AO15" s="121">
        <f t="shared" si="9"/>
        <v>11.21759903690606</v>
      </c>
      <c r="AP15" s="7">
        <f t="shared" si="19"/>
        <v>-9883.1534554757163</v>
      </c>
      <c r="AQ15" s="7">
        <f>AP15/'a8'!BK15*100</f>
        <v>-24308.445594495777</v>
      </c>
      <c r="AR15" s="7">
        <f>AQ15*1000000/'a1'!BN15</f>
        <v>-9295.1968537688208</v>
      </c>
    </row>
    <row r="16" spans="1:44" hidden="1">
      <c r="A16" s="1">
        <v>1979</v>
      </c>
      <c r="B16" s="7">
        <v>-103154</v>
      </c>
      <c r="C16" s="7">
        <f>B16/'a8'!C16*100</f>
        <v>-227954.96083507</v>
      </c>
      <c r="D16" s="7">
        <f>C16*1000000/'a1'!F16</f>
        <v>-9419.0255313904763</v>
      </c>
      <c r="E16" s="121">
        <f t="shared" si="0"/>
        <v>1.4086189383394154</v>
      </c>
      <c r="F16" s="7">
        <f t="shared" si="10"/>
        <v>-1453.0467796546407</v>
      </c>
      <c r="G16" s="7">
        <f>F16/'a8'!I16*100</f>
        <v>-3210.8772950462862</v>
      </c>
      <c r="H16" s="7">
        <f>G16*1000000/'a1'!L16</f>
        <v>-5632.3769592532317</v>
      </c>
      <c r="I16" s="121">
        <f t="shared" si="1"/>
        <v>0.32857115985102142</v>
      </c>
      <c r="J16" s="7">
        <f t="shared" si="11"/>
        <v>-338.93429423272266</v>
      </c>
      <c r="K16" s="7">
        <f>J16/'a8'!O16*100</f>
        <v>-645.51732882764281</v>
      </c>
      <c r="L16" s="7">
        <f>K16*1000000/'a1'!R16</f>
        <v>-5253.0197243572675</v>
      </c>
      <c r="M16" s="121">
        <f t="shared" si="2"/>
        <v>2.601482261765923</v>
      </c>
      <c r="N16" s="7">
        <f t="shared" si="12"/>
        <v>-2683.5330123020203</v>
      </c>
      <c r="O16" s="7">
        <f>N16/'a8'!U16*100</f>
        <v>-6445.882925464387</v>
      </c>
      <c r="P16" s="7">
        <f>O16*1000000/'a1'!X16</f>
        <v>-7588.7841777738377</v>
      </c>
      <c r="Q16" s="121">
        <f t="shared" si="3"/>
        <v>1.9679235167977125</v>
      </c>
      <c r="R16" s="7">
        <f t="shared" si="13"/>
        <v>-2029.9918245175124</v>
      </c>
      <c r="S16" s="7">
        <f>R16/'a8'!AA16*100</f>
        <v>-4641.6863116810027</v>
      </c>
      <c r="T16" s="7">
        <f>S16*1000000/'a1'!AD16</f>
        <v>-6601.199604755976</v>
      </c>
      <c r="U16" s="121">
        <f t="shared" si="4"/>
        <v>21.652848839396562</v>
      </c>
      <c r="V16" s="7">
        <f t="shared" si="14"/>
        <v>-22335.779691791129</v>
      </c>
      <c r="W16" s="7">
        <f>V16/'a8'!AG16*100</f>
        <v>-52096.919922937966</v>
      </c>
      <c r="X16" s="7">
        <f>W16*1000000/'a1'!AJ16</f>
        <v>-8057.0603388770987</v>
      </c>
      <c r="Y16" s="121">
        <f t="shared" si="5"/>
        <v>37.148738760768971</v>
      </c>
      <c r="Z16" s="7">
        <f t="shared" si="15"/>
        <v>-38320.409981283628</v>
      </c>
      <c r="AA16" s="7">
        <f>Z16/'a8'!AM16*100</f>
        <v>-87150.338927658668</v>
      </c>
      <c r="AB16" s="7">
        <f>AA16*1000000/'a1'!AP16</f>
        <v>-10061.12370685436</v>
      </c>
      <c r="AC16" s="121">
        <f t="shared" si="6"/>
        <v>3.8943465257138556</v>
      </c>
      <c r="AD16" s="7">
        <f t="shared" si="16"/>
        <v>-4017.1742151348708</v>
      </c>
      <c r="AE16" s="7">
        <f>AD16/'a8'!AS16*100</f>
        <v>-8683.015782356757</v>
      </c>
      <c r="AF16" s="7">
        <f>AE16*1000000/'a1'!AV16</f>
        <v>-8371.011443822601</v>
      </c>
      <c r="AG16" s="121">
        <f t="shared" si="7"/>
        <v>4.1418212256875213</v>
      </c>
      <c r="AH16" s="7">
        <f t="shared" si="17"/>
        <v>-4272.4542671457057</v>
      </c>
      <c r="AI16" s="7">
        <f>AH16/'a8'!AY16*100</f>
        <v>-7951.365509941199</v>
      </c>
      <c r="AJ16" s="7">
        <f>AI16*1000000/'a1'!BB16</f>
        <v>-8284.959400189844</v>
      </c>
      <c r="AK16" s="121">
        <f t="shared" si="8"/>
        <v>15.042323464128513</v>
      </c>
      <c r="AL16" s="7">
        <f t="shared" si="18"/>
        <v>-15516.758346187125</v>
      </c>
      <c r="AM16" s="7">
        <f>AL16/'a8'!BE16*100</f>
        <v>-28409.669327905671</v>
      </c>
      <c r="AN16" s="7">
        <f>AM16*1000000/'a1'!BH16</f>
        <v>-13547.987582014048</v>
      </c>
      <c r="AO16" s="121">
        <f t="shared" si="9"/>
        <v>11.21759903690606</v>
      </c>
      <c r="AP16" s="7">
        <f t="shared" si="19"/>
        <v>-11571.402110530078</v>
      </c>
      <c r="AQ16" s="7">
        <f>AP16/'a8'!BK16*100</f>
        <v>-26391.723745051637</v>
      </c>
      <c r="AR16" s="7">
        <f>AQ16*1000000/'a1'!BN16</f>
        <v>-9902.2015088527314</v>
      </c>
    </row>
    <row r="17" spans="1:44" hidden="1">
      <c r="A17" s="1">
        <v>1980</v>
      </c>
      <c r="B17" s="7">
        <v>-110277</v>
      </c>
      <c r="C17" s="7">
        <f>B17/'a8'!C17*100</f>
        <v>-219605.31528342434</v>
      </c>
      <c r="D17" s="7">
        <f>C17*1000000/'a1'!F17</f>
        <v>-8957.7540469702235</v>
      </c>
      <c r="E17" s="121">
        <f>E19</f>
        <v>1.4086189383394154</v>
      </c>
      <c r="F17" s="7">
        <f t="shared" si="10"/>
        <v>-1553.3827066325571</v>
      </c>
      <c r="G17" s="7">
        <f>F17/'a8'!I17*100</f>
        <v>-3139.3341787036857</v>
      </c>
      <c r="H17" s="7">
        <f>G17*1000000/'a1'!L17</f>
        <v>-5481.073503347282</v>
      </c>
      <c r="I17" s="121">
        <f>I19</f>
        <v>0.32857115985102142</v>
      </c>
      <c r="J17" s="7">
        <f t="shared" si="11"/>
        <v>-362.33841794891089</v>
      </c>
      <c r="K17" s="7">
        <f>J17/'a8'!O17*100</f>
        <v>-627.02367497592695</v>
      </c>
      <c r="L17" s="7">
        <f>K17*1000000/'a1'!R17</f>
        <v>-5067.4722186602576</v>
      </c>
      <c r="M17" s="121">
        <f>M19</f>
        <v>2.601482261765923</v>
      </c>
      <c r="N17" s="7">
        <f t="shared" si="12"/>
        <v>-2868.8365938076067</v>
      </c>
      <c r="O17" s="7">
        <f>N17/'a8'!U17*100</f>
        <v>-6351.0926972589268</v>
      </c>
      <c r="P17" s="7">
        <f>O17*1000000/'a1'!X17</f>
        <v>-7448.5728729291859</v>
      </c>
      <c r="Q17" s="121">
        <f>Q19</f>
        <v>1.9679235167977125</v>
      </c>
      <c r="R17" s="7">
        <f t="shared" si="13"/>
        <v>-2170.1670166190133</v>
      </c>
      <c r="S17" s="7">
        <f>R17/'a8'!AA17*100</f>
        <v>-4556.2695619238757</v>
      </c>
      <c r="T17" s="7">
        <f>S17*1000000/'a1'!AD17</f>
        <v>-6451.63831888391</v>
      </c>
      <c r="U17" s="121">
        <f>U19</f>
        <v>21.652848839396562</v>
      </c>
      <c r="V17" s="7">
        <f t="shared" si="14"/>
        <v>-23878.112114621348</v>
      </c>
      <c r="W17" s="7">
        <f>V17/'a8'!AG17*100</f>
        <v>-51257.789473727862</v>
      </c>
      <c r="X17" s="7">
        <f>W17*1000000/'a1'!AJ17</f>
        <v>-7878.5448984572022</v>
      </c>
      <c r="Y17" s="121">
        <f>Y19</f>
        <v>37.148738760768971</v>
      </c>
      <c r="Z17" s="7">
        <f t="shared" si="15"/>
        <v>-40966.514643213202</v>
      </c>
      <c r="AA17" s="7">
        <f>Z17/'a8'!AM17*100</f>
        <v>-86447.487536000961</v>
      </c>
      <c r="AB17" s="7">
        <f>AA17*1000000/'a1'!AP17</f>
        <v>-9884.2166751868499</v>
      </c>
      <c r="AC17" s="121">
        <f>AC19</f>
        <v>3.8943465257138556</v>
      </c>
      <c r="AD17" s="7">
        <f t="shared" si="16"/>
        <v>-4294.568518161469</v>
      </c>
      <c r="AE17" s="7">
        <f>AD17/'a8'!AS17*100</f>
        <v>-8576.5959526493189</v>
      </c>
      <c r="AF17" s="7">
        <f>AE17*1000000/'a1'!AV17</f>
        <v>-8291.0921929839169</v>
      </c>
      <c r="AG17" s="121">
        <f>AG19</f>
        <v>4.1418212256875213</v>
      </c>
      <c r="AH17" s="7">
        <f t="shared" si="17"/>
        <v>-4567.4761930514278</v>
      </c>
      <c r="AI17" s="7">
        <f>AH17/'a8'!AY17*100</f>
        <v>-7826.893110224496</v>
      </c>
      <c r="AJ17" s="7">
        <f>AI17*1000000/'a1'!BB17</f>
        <v>-8089.4106651292714</v>
      </c>
      <c r="AK17" s="121">
        <f>AK19</f>
        <v>15.042323464128513</v>
      </c>
      <c r="AL17" s="7">
        <f t="shared" si="18"/>
        <v>-16588.223046537001</v>
      </c>
      <c r="AM17" s="7">
        <f>AL17/'a8'!BE17*100</f>
        <v>-28025.65675014411</v>
      </c>
      <c r="AN17" s="7">
        <f>AM17*1000000/'a1'!BH17</f>
        <v>-12791.093477148914</v>
      </c>
      <c r="AO17" s="121">
        <f>AO19</f>
        <v>11.21759903690606</v>
      </c>
      <c r="AP17" s="7">
        <f t="shared" si="19"/>
        <v>-12370.431689928897</v>
      </c>
      <c r="AQ17" s="7">
        <f>AP17/'a8'!BK17*100</f>
        <v>-25837.394033723667</v>
      </c>
      <c r="AR17" s="7">
        <f>AQ17*1000000/'a1'!BN17</f>
        <v>-9409.5782829952677</v>
      </c>
    </row>
    <row r="18" spans="1:44" hidden="1">
      <c r="B18" s="7"/>
      <c r="C18" s="7"/>
      <c r="D18" s="7"/>
      <c r="E18" s="121"/>
      <c r="F18" s="7"/>
      <c r="G18" s="7"/>
      <c r="H18" s="7"/>
      <c r="I18" s="121"/>
      <c r="J18" s="7"/>
      <c r="K18" s="7"/>
      <c r="L18" s="7"/>
      <c r="M18" s="121"/>
      <c r="N18" s="7"/>
      <c r="O18" s="7"/>
      <c r="P18" s="7"/>
      <c r="Q18" s="121"/>
      <c r="R18" s="7"/>
      <c r="S18" s="7"/>
      <c r="T18" s="7"/>
      <c r="U18" s="121"/>
      <c r="V18" s="7"/>
      <c r="W18" s="7"/>
      <c r="X18" s="7"/>
      <c r="Y18" s="121"/>
      <c r="Z18" s="7"/>
      <c r="AA18" s="7"/>
      <c r="AB18" s="7"/>
      <c r="AC18" s="121"/>
      <c r="AD18" s="7"/>
      <c r="AE18" s="7"/>
      <c r="AF18" s="7"/>
      <c r="AG18" s="121"/>
      <c r="AH18" s="7"/>
      <c r="AI18" s="7"/>
      <c r="AJ18" s="7"/>
      <c r="AK18" s="121"/>
      <c r="AL18" s="7"/>
      <c r="AM18" s="7"/>
      <c r="AN18" s="7"/>
      <c r="AO18" s="121"/>
      <c r="AP18" s="7"/>
      <c r="AQ18" s="7"/>
      <c r="AR18" s="7"/>
    </row>
    <row r="19" spans="1:44" ht="17.25" customHeight="1">
      <c r="A19" s="1">
        <v>1981</v>
      </c>
      <c r="B19" s="7">
        <v>-135738</v>
      </c>
      <c r="C19" s="7">
        <f>B19/'a8'!C19*100</f>
        <v>-243694.7935368043</v>
      </c>
      <c r="D19" s="7">
        <f>C19*1000000/'a1'!F19</f>
        <v>-9818.5184573276856</v>
      </c>
      <c r="E19" s="121">
        <f t="shared" si="0"/>
        <v>1.4086189383394154</v>
      </c>
      <c r="F19" s="7">
        <f t="shared" si="10"/>
        <v>-1912.0311745231556</v>
      </c>
      <c r="G19" s="7">
        <f>F19/'a8'!I19*100</f>
        <v>-3476.420317314828</v>
      </c>
      <c r="H19" s="7">
        <f>G19*1000000/'a1'!L19</f>
        <v>-6042.7746076231751</v>
      </c>
      <c r="I19" s="121">
        <f t="shared" si="1"/>
        <v>0.32857115985102142</v>
      </c>
      <c r="J19" s="7">
        <f t="shared" si="11"/>
        <v>-445.99592095857946</v>
      </c>
      <c r="K19" s="7">
        <f>J19/'a8'!O19*100</f>
        <v>-883.1602395219395</v>
      </c>
      <c r="L19" s="7">
        <f>K19*1000000/'a1'!R19</f>
        <v>-7148.1431920578507</v>
      </c>
      <c r="M19" s="121">
        <f t="shared" si="2"/>
        <v>2.601482261765923</v>
      </c>
      <c r="N19" s="7">
        <f t="shared" si="12"/>
        <v>-3531.1999924758284</v>
      </c>
      <c r="O19" s="7">
        <f>N19/'a8'!U19*100</f>
        <v>-7076.5530911339256</v>
      </c>
      <c r="P19" s="7">
        <f>O19*1000000/'a1'!X19</f>
        <v>-8277.9192312453288</v>
      </c>
      <c r="Q19" s="121">
        <f t="shared" si="3"/>
        <v>1.9679235167977125</v>
      </c>
      <c r="R19" s="7">
        <f t="shared" si="13"/>
        <v>-2671.2200232308792</v>
      </c>
      <c r="S19" s="7">
        <f>R19/'a8'!AA19*100</f>
        <v>-5097.7481359367921</v>
      </c>
      <c r="T19" s="7">
        <f>S19*1000000/'a1'!AD19</f>
        <v>-7216.129562589771</v>
      </c>
      <c r="U19" s="121">
        <f t="shared" si="4"/>
        <v>21.652848839396562</v>
      </c>
      <c r="V19" s="7">
        <f t="shared" si="14"/>
        <v>-29391.143957620108</v>
      </c>
      <c r="W19" s="7">
        <f>V19/'a8'!AG19*100</f>
        <v>-56630.335178458779</v>
      </c>
      <c r="X19" s="7">
        <f>W19*1000000/'a1'!AJ19</f>
        <v>-8649.5409689137341</v>
      </c>
      <c r="Y19" s="121">
        <f t="shared" si="5"/>
        <v>37.148738760768971</v>
      </c>
      <c r="Z19" s="7">
        <f t="shared" si="15"/>
        <v>-50424.955019092587</v>
      </c>
      <c r="AA19" s="7">
        <f>Z19/'a8'!AM19*100</f>
        <v>-96784.942455072145</v>
      </c>
      <c r="AB19" s="7">
        <f>AA19*1000000/'a1'!AP19</f>
        <v>-10982.95521219717</v>
      </c>
      <c r="AC19" s="121">
        <f t="shared" si="6"/>
        <v>3.8943465257138556</v>
      </c>
      <c r="AD19" s="7">
        <f t="shared" si="16"/>
        <v>-5286.1080870734731</v>
      </c>
      <c r="AE19" s="7">
        <f>AD19/'a8'!AS19*100</f>
        <v>-9558.965799409536</v>
      </c>
      <c r="AF19" s="7">
        <f>AE19*1000000/'a1'!AV19</f>
        <v>-9230.8550564287762</v>
      </c>
      <c r="AG19" s="121">
        <f t="shared" si="7"/>
        <v>4.1418212256875213</v>
      </c>
      <c r="AH19" s="7">
        <f t="shared" si="17"/>
        <v>-5622.0252953237277</v>
      </c>
      <c r="AI19" s="7">
        <f>AH19/'a8'!AY19*100</f>
        <v>-8895.6096444995692</v>
      </c>
      <c r="AJ19" s="7">
        <f>AI19*1000000/'a1'!BB19</f>
        <v>-9116.605272920433</v>
      </c>
      <c r="AK19" s="121">
        <f t="shared" si="8"/>
        <v>15.042323464128513</v>
      </c>
      <c r="AL19" s="7">
        <f t="shared" si="18"/>
        <v>-20418.149023738759</v>
      </c>
      <c r="AM19" s="7">
        <f>AL19/'a8'!BE19*100</f>
        <v>-31364.284214652474</v>
      </c>
      <c r="AN19" s="7">
        <f>AM19*1000000/'a1'!BH19</f>
        <v>-13689.59428059681</v>
      </c>
      <c r="AO19" s="121">
        <f t="shared" si="9"/>
        <v>11.21759903690606</v>
      </c>
      <c r="AP19" s="7">
        <f t="shared" si="19"/>
        <v>-15226.544580715548</v>
      </c>
      <c r="AQ19" s="7">
        <f>AP19/'a8'!BK19*100</f>
        <v>-28675.225199087661</v>
      </c>
      <c r="AR19" s="7">
        <f>AQ19*1000000/'a1'!BN19</f>
        <v>-10144.927222115259</v>
      </c>
    </row>
    <row r="20" spans="1:44" ht="17.25" customHeight="1">
      <c r="A20" s="1">
        <v>1982</v>
      </c>
      <c r="B20" s="7">
        <v>-136601</v>
      </c>
      <c r="C20" s="7">
        <f>B20/'a8'!C20*100</f>
        <v>-226160.59602649006</v>
      </c>
      <c r="D20" s="7">
        <f>C20*1000000/'a1'!F20</f>
        <v>-9004.3045855856999</v>
      </c>
      <c r="E20" s="121">
        <f t="shared" si="0"/>
        <v>1.4086189383394154</v>
      </c>
      <c r="F20" s="7">
        <f t="shared" si="10"/>
        <v>-1924.1875559610248</v>
      </c>
      <c r="G20" s="7">
        <f>F20/'a8'!I20*100</f>
        <v>-3244.8356761568716</v>
      </c>
      <c r="H20" s="7">
        <f>G20*1000000/'a1'!L20</f>
        <v>-5655.0434844445699</v>
      </c>
      <c r="I20" s="121">
        <f t="shared" si="1"/>
        <v>0.32857115985102142</v>
      </c>
      <c r="J20" s="7">
        <f t="shared" si="11"/>
        <v>-448.83149006809379</v>
      </c>
      <c r="K20" s="7">
        <f>J20/'a8'!O20*100</f>
        <v>-829.63306851773348</v>
      </c>
      <c r="L20" s="7">
        <f>K20*1000000/'a1'!R20</f>
        <v>-6712.8933918967332</v>
      </c>
      <c r="M20" s="121">
        <f t="shared" si="2"/>
        <v>2.601482261765923</v>
      </c>
      <c r="N20" s="7">
        <f t="shared" si="12"/>
        <v>-3553.6507843948684</v>
      </c>
      <c r="O20" s="7">
        <f>N20/'a8'!U20*100</f>
        <v>-6414.5321017957913</v>
      </c>
      <c r="P20" s="7">
        <f>O20*1000000/'a1'!X20</f>
        <v>-7467.1110030007885</v>
      </c>
      <c r="Q20" s="121">
        <f t="shared" si="3"/>
        <v>1.9679235167977125</v>
      </c>
      <c r="R20" s="7">
        <f t="shared" si="13"/>
        <v>-2688.203203180843</v>
      </c>
      <c r="S20" s="7">
        <f>R20/'a8'!AA20*100</f>
        <v>-4699.6559496168584</v>
      </c>
      <c r="T20" s="7">
        <f>S20*1000000/'a1'!AD20</f>
        <v>-6643.0269961522163</v>
      </c>
      <c r="U20" s="121">
        <f t="shared" si="4"/>
        <v>21.652848839396562</v>
      </c>
      <c r="V20" s="7">
        <f t="shared" si="14"/>
        <v>-29578.008043104099</v>
      </c>
      <c r="W20" s="7">
        <f>V20/'a8'!AG20*100</f>
        <v>-51891.242180884386</v>
      </c>
      <c r="X20" s="7">
        <f>W20*1000000/'a1'!AJ20</f>
        <v>-7885.4508300016187</v>
      </c>
      <c r="Y20" s="121">
        <f t="shared" si="5"/>
        <v>37.148738760768971</v>
      </c>
      <c r="Z20" s="7">
        <f t="shared" si="15"/>
        <v>-50745.548634598024</v>
      </c>
      <c r="AA20" s="7">
        <f>Z20/'a8'!AM20*100</f>
        <v>-89498.322106874824</v>
      </c>
      <c r="AB20" s="7">
        <f>AA20*1000000/'a1'!AP20</f>
        <v>-10033.120243076772</v>
      </c>
      <c r="AC20" s="121">
        <f t="shared" si="6"/>
        <v>3.8943465257138556</v>
      </c>
      <c r="AD20" s="7">
        <f t="shared" si="16"/>
        <v>-5319.7162975903839</v>
      </c>
      <c r="AE20" s="7">
        <f>AD20/'a8'!AS20*100</f>
        <v>-9078.0141597105521</v>
      </c>
      <c r="AF20" s="7">
        <f>AE20*1000000/'a1'!AV20</f>
        <v>-8685.2331746214713</v>
      </c>
      <c r="AG20" s="121">
        <f t="shared" si="7"/>
        <v>4.1418212256875213</v>
      </c>
      <c r="AH20" s="7">
        <f t="shared" si="17"/>
        <v>-5657.7692125014109</v>
      </c>
      <c r="AI20" s="7">
        <f>AH20/'a8'!AY20*100</f>
        <v>-8651.0232607055204</v>
      </c>
      <c r="AJ20" s="7">
        <f>AI20*1000000/'a1'!BB20</f>
        <v>-8768.6814281078714</v>
      </c>
      <c r="AK20" s="121">
        <f t="shared" si="8"/>
        <v>15.042323464128513</v>
      </c>
      <c r="AL20" s="7">
        <f t="shared" si="18"/>
        <v>-20547.96427523419</v>
      </c>
      <c r="AM20" s="7">
        <f>AL20/'a8'!BE20*100</f>
        <v>-28698.274127422053</v>
      </c>
      <c r="AN20" s="7">
        <f>AM20*1000000/'a1'!BH20</f>
        <v>-12109.860393784886</v>
      </c>
      <c r="AO20" s="121">
        <f t="shared" si="9"/>
        <v>11.21759903690606</v>
      </c>
      <c r="AP20" s="7">
        <f t="shared" si="19"/>
        <v>-15323.352460404049</v>
      </c>
      <c r="AQ20" s="7">
        <f>AP20/'a8'!BK20*100</f>
        <v>-26977.733204936711</v>
      </c>
      <c r="AR20" s="7">
        <f>AQ20*1000000/'a1'!BN20</f>
        <v>-9378.6237729280947</v>
      </c>
    </row>
    <row r="21" spans="1:44" ht="17.25" customHeight="1">
      <c r="A21" s="1">
        <v>1983</v>
      </c>
      <c r="B21" s="7">
        <v>-144317</v>
      </c>
      <c r="C21" s="7">
        <f>B21/'a8'!C21*100</f>
        <v>-226557.2998430141</v>
      </c>
      <c r="D21" s="7">
        <f>C21*1000000/'a1'!F21</f>
        <v>-8931.3755338897863</v>
      </c>
      <c r="E21" s="121">
        <f>E22</f>
        <v>1.4086189383394154</v>
      </c>
      <c r="F21" s="7">
        <f t="shared" si="10"/>
        <v>-2032.8765932432941</v>
      </c>
      <c r="G21" s="7">
        <f>F21/'a8'!I21*100</f>
        <v>-3310.8739303636712</v>
      </c>
      <c r="H21" s="7">
        <f>G21*1000000/'a1'!L21</f>
        <v>-5716.643179416661</v>
      </c>
      <c r="I21" s="121">
        <f>I22</f>
        <v>0.32857115985102142</v>
      </c>
      <c r="J21" s="7">
        <f t="shared" si="11"/>
        <v>-474.18404076219861</v>
      </c>
      <c r="K21" s="7">
        <f>J21/'a8'!O21*100</f>
        <v>-816.15153315352597</v>
      </c>
      <c r="L21" s="7">
        <f>K21*1000000/'a1'!R21</f>
        <v>-6523.8887719902632</v>
      </c>
      <c r="M21" s="121">
        <f>M22</f>
        <v>2.601482261765923</v>
      </c>
      <c r="N21" s="7">
        <f t="shared" si="12"/>
        <v>-3754.3811557127269</v>
      </c>
      <c r="O21" s="7">
        <f>N21/'a8'!U21*100</f>
        <v>-6154.7232060864371</v>
      </c>
      <c r="P21" s="7">
        <f>O21*1000000/'a1'!X21</f>
        <v>-7088.3348816885127</v>
      </c>
      <c r="Q21" s="121">
        <f>Q22</f>
        <v>1.9679235167977125</v>
      </c>
      <c r="R21" s="7">
        <f t="shared" si="13"/>
        <v>-2840.0481817369546</v>
      </c>
      <c r="S21" s="7">
        <f>R21/'a8'!AA21*100</f>
        <v>-4655.816691372057</v>
      </c>
      <c r="T21" s="7">
        <f>S21*1000000/'a1'!AD21</f>
        <v>-6513.0709882352421</v>
      </c>
      <c r="U21" s="121">
        <f>U22</f>
        <v>21.652848839396562</v>
      </c>
      <c r="V21" s="7">
        <f t="shared" si="14"/>
        <v>-31248.741859551938</v>
      </c>
      <c r="W21" s="7">
        <f>V21/'a8'!AG21*100</f>
        <v>-51822.125803568721</v>
      </c>
      <c r="X21" s="7">
        <f>W21*1000000/'a1'!AJ21</f>
        <v>-7848.2983738800076</v>
      </c>
      <c r="Y21" s="121">
        <f>Y22</f>
        <v>37.148738760768971</v>
      </c>
      <c r="Z21" s="7">
        <f t="shared" si="15"/>
        <v>-53611.945317378959</v>
      </c>
      <c r="AA21" s="7">
        <f>Z21/'a8'!AM21*100</f>
        <v>-88614.785648560253</v>
      </c>
      <c r="AB21" s="7">
        <f>AA21*1000000/'a1'!AP21</f>
        <v>-9802.9933355812573</v>
      </c>
      <c r="AC21" s="121">
        <f>AC22</f>
        <v>3.8943465257138556</v>
      </c>
      <c r="AD21" s="7">
        <f t="shared" si="16"/>
        <v>-5620.2040755144653</v>
      </c>
      <c r="AE21" s="7">
        <f>AD21/'a8'!AS21*100</f>
        <v>-8992.3265208231442</v>
      </c>
      <c r="AF21" s="7">
        <f>AE21*1000000/'a1'!AV21</f>
        <v>-8485.3121492794016</v>
      </c>
      <c r="AG21" s="121">
        <f>AG22</f>
        <v>4.1418212256875213</v>
      </c>
      <c r="AH21" s="7">
        <f t="shared" si="17"/>
        <v>-5977.3521382754598</v>
      </c>
      <c r="AI21" s="7">
        <f>AH21/'a8'!AY21*100</f>
        <v>-8842.2368909400302</v>
      </c>
      <c r="AJ21" s="7">
        <f>AI21*1000000/'a1'!BB21</f>
        <v>-8831.2067137545509</v>
      </c>
      <c r="AK21" s="121">
        <f>AK22</f>
        <v>15.042323464128513</v>
      </c>
      <c r="AL21" s="7">
        <f t="shared" si="18"/>
        <v>-21708.629953726344</v>
      </c>
      <c r="AM21" s="7">
        <f>AL21/'a8'!BE21*100</f>
        <v>-29178.266066836484</v>
      </c>
      <c r="AN21" s="7">
        <f>AM21*1000000/'a1'!BH21</f>
        <v>-12190.184048808957</v>
      </c>
      <c r="AO21" s="121">
        <f>AO22</f>
        <v>11.21759903690606</v>
      </c>
      <c r="AP21" s="7">
        <f t="shared" si="19"/>
        <v>-16188.902402091719</v>
      </c>
      <c r="AQ21" s="7">
        <f>AP21/'a8'!BK21*100</f>
        <v>-27208.239331246587</v>
      </c>
      <c r="AR21" s="7">
        <f>AQ21*1000000/'a1'!BN21</f>
        <v>-9357.9434618605883</v>
      </c>
    </row>
    <row r="22" spans="1:44" ht="17.25" customHeight="1">
      <c r="A22" s="1">
        <v>1984</v>
      </c>
      <c r="B22" s="7">
        <v>-154405</v>
      </c>
      <c r="C22" s="7">
        <f>B22/'a8'!C22*100</f>
        <v>-234658.05471124622</v>
      </c>
      <c r="D22" s="7">
        <f>C22*1000000/'a1'!F22</f>
        <v>-9163.805562133457</v>
      </c>
      <c r="E22" s="11">
        <f>E71/C71*100</f>
        <v>1.4086189383394154</v>
      </c>
      <c r="F22" s="7">
        <f t="shared" si="10"/>
        <v>-2174.9780717429744</v>
      </c>
      <c r="G22" s="7">
        <f>F22/'a8'!I22*100</f>
        <v>-3419.7768423631674</v>
      </c>
      <c r="H22" s="7">
        <f>G22*1000000/'a1'!L22</f>
        <v>-5895.5062663032031</v>
      </c>
      <c r="I22" s="11">
        <f>F71/C71*100</f>
        <v>0.32857115985102142</v>
      </c>
      <c r="J22" s="7">
        <f t="shared" si="11"/>
        <v>-507.33029936796964</v>
      </c>
      <c r="K22" s="7">
        <f>J22/'a8'!O22*100</f>
        <v>-871.70154530578975</v>
      </c>
      <c r="L22" s="7">
        <f>K22*1000000/'a1'!R22</f>
        <v>-6887.4911728213592</v>
      </c>
      <c r="M22" s="11">
        <f>G71/C71*100</f>
        <v>2.601482261765923</v>
      </c>
      <c r="N22" s="7">
        <f t="shared" si="12"/>
        <v>-4016.8186862796733</v>
      </c>
      <c r="O22" s="7">
        <f>N22/'a8'!U22*100</f>
        <v>-6335.6761613244062</v>
      </c>
      <c r="P22" s="7">
        <f>O22*1000000/'a1'!X22</f>
        <v>-7220.3823959132624</v>
      </c>
      <c r="Q22" s="11">
        <f>H71/C71*100</f>
        <v>1.9679235167977125</v>
      </c>
      <c r="R22" s="7">
        <f t="shared" si="13"/>
        <v>-3038.5723061115082</v>
      </c>
      <c r="S22" s="7">
        <f>R22/'a8'!AA22*100</f>
        <v>-4639.0416887198598</v>
      </c>
      <c r="T22" s="7">
        <f>S22*1000000/'a1'!AD22</f>
        <v>-6438.7494152850013</v>
      </c>
      <c r="U22" s="11">
        <f>I71/C71*100</f>
        <v>21.652848839396562</v>
      </c>
      <c r="V22" s="7">
        <f t="shared" si="14"/>
        <v>-33433.081250470263</v>
      </c>
      <c r="W22" s="7">
        <f>V22/'a8'!AG22*100</f>
        <v>-52984.280904073319</v>
      </c>
      <c r="X22" s="7">
        <f>W22*1000000/'a1'!AJ22</f>
        <v>-7990.1256336048746</v>
      </c>
      <c r="Y22" s="11">
        <f>J71/C71*100</f>
        <v>37.148738760768971</v>
      </c>
      <c r="Z22" s="7">
        <f t="shared" si="15"/>
        <v>-57359.510083565336</v>
      </c>
      <c r="AA22" s="7">
        <f>Z22/'a8'!AM22*100</f>
        <v>-91628.610357133119</v>
      </c>
      <c r="AB22" s="7">
        <f>AA22*1000000/'a1'!AP22</f>
        <v>-9994.9572158656738</v>
      </c>
      <c r="AC22" s="11">
        <f>K71/C71*100</f>
        <v>3.8943465257138556</v>
      </c>
      <c r="AD22" s="7">
        <f t="shared" si="16"/>
        <v>-6013.0657530284789</v>
      </c>
      <c r="AE22" s="7">
        <f>AD22/'a8'!AS22*100</f>
        <v>-9250.8703892745834</v>
      </c>
      <c r="AF22" s="7">
        <f>AE22*1000000/'a1'!AV22</f>
        <v>-8631.0730346559412</v>
      </c>
      <c r="AG22" s="11">
        <f>L71/C71*100</f>
        <v>4.1418212256875213</v>
      </c>
      <c r="AH22" s="7">
        <f t="shared" si="17"/>
        <v>-6395.1790635228172</v>
      </c>
      <c r="AI22" s="7">
        <f>AH22/'a8'!AY22*100</f>
        <v>-9045.5149413335457</v>
      </c>
      <c r="AJ22" s="7">
        <f>AI22*1000000/'a1'!BB22</f>
        <v>-8915.2190154231357</v>
      </c>
      <c r="AK22" s="11">
        <f>M71/C71*100</f>
        <v>15.042323464128513</v>
      </c>
      <c r="AL22" s="7">
        <f t="shared" si="18"/>
        <v>-23226.09954478763</v>
      </c>
      <c r="AM22" s="7">
        <f>AL22/'a8'!BE22*100</f>
        <v>-30480.445596834157</v>
      </c>
      <c r="AN22" s="7">
        <f>AM22*1000000/'a1'!BH22</f>
        <v>-12732.510325937539</v>
      </c>
      <c r="AO22" s="11">
        <f>N71/C71*100</f>
        <v>11.21759903690606</v>
      </c>
      <c r="AP22" s="7">
        <f t="shared" si="19"/>
        <v>-17320.533792934802</v>
      </c>
      <c r="AQ22" s="7">
        <f>AP22/'a8'!BK22*100</f>
        <v>-27936.344827314195</v>
      </c>
      <c r="AR22" s="7">
        <f>AQ22*1000000/'a1'!BN22</f>
        <v>-9479.0054724545917</v>
      </c>
    </row>
    <row r="23" spans="1:44" ht="17.25" customHeight="1">
      <c r="A23" s="1">
        <v>1985</v>
      </c>
      <c r="B23" s="7">
        <v>-177833</v>
      </c>
      <c r="C23" s="7">
        <f>B23/'a8'!C23*100</f>
        <v>-262290.56047197641</v>
      </c>
      <c r="D23" s="7">
        <f>C23*1000000/'a1'!F23</f>
        <v>-10149.732338945325</v>
      </c>
      <c r="E23" s="11">
        <f t="shared" ref="E23:E43" si="20">E72/C72*100</f>
        <v>1.3507812977132536</v>
      </c>
      <c r="F23" s="7">
        <f t="shared" si="10"/>
        <v>-2402.1349051624102</v>
      </c>
      <c r="G23" s="7">
        <f>F23/'a8'!I23*100</f>
        <v>-3672.9891516244797</v>
      </c>
      <c r="H23" s="7">
        <f>G23*1000000/'a1'!L23</f>
        <v>-6340.6657487799057</v>
      </c>
      <c r="I23" s="11">
        <f t="shared" ref="I23:I43" si="21">F72/C72*100</f>
        <v>0.32285786576162351</v>
      </c>
      <c r="J23" s="7">
        <f t="shared" si="11"/>
        <v>-574.14782841986789</v>
      </c>
      <c r="K23" s="7">
        <f>J23/'a8'!O23*100</f>
        <v>-944.32208621688801</v>
      </c>
      <c r="L23" s="7">
        <f>K23*1000000/'a1'!R23</f>
        <v>-7399.5414963045314</v>
      </c>
      <c r="M23" s="11">
        <f t="shared" ref="M23:M43" si="22">G72/C72*100</f>
        <v>2.5865927392969628</v>
      </c>
      <c r="N23" s="7">
        <f t="shared" si="12"/>
        <v>-4599.8154660739674</v>
      </c>
      <c r="O23" s="7">
        <f>N23/'a8'!U23*100</f>
        <v>-7022.6190321739959</v>
      </c>
      <c r="P23" s="7">
        <f>O23*1000000/'a1'!X23</f>
        <v>-7927.5666165911034</v>
      </c>
      <c r="Q23" s="11">
        <f t="shared" ref="Q23:Q43" si="23">H72/C72*100</f>
        <v>1.9337663697357288</v>
      </c>
      <c r="R23" s="7">
        <f t="shared" si="13"/>
        <v>-3438.8747482921385</v>
      </c>
      <c r="S23" s="7">
        <f>R23/'a8'!AA23*100</f>
        <v>-5094.6292567290939</v>
      </c>
      <c r="T23" s="7">
        <f>S23*1000000/'a1'!AD23</f>
        <v>-7043.717440973076</v>
      </c>
      <c r="U23" s="11">
        <f t="shared" ref="U23:U43" si="24">I72/C72*100</f>
        <v>21.538646099618731</v>
      </c>
      <c r="V23" s="7">
        <f t="shared" si="14"/>
        <v>-38302.820518334978</v>
      </c>
      <c r="W23" s="7">
        <f>V23/'a8'!AG23*100</f>
        <v>-58567.003850665096</v>
      </c>
      <c r="X23" s="7">
        <f>W23*1000000/'a1'!AJ23</f>
        <v>-8786.1901464617604</v>
      </c>
      <c r="Y23" s="11">
        <f t="shared" ref="Y23:Y43" si="25">J72/C72*100</f>
        <v>37.564999083905533</v>
      </c>
      <c r="Z23" s="7">
        <f t="shared" si="15"/>
        <v>-66802.964820881723</v>
      </c>
      <c r="AA23" s="7">
        <f>Z23/'a8'!AM23*100</f>
        <v>-101524.26264571691</v>
      </c>
      <c r="AB23" s="7">
        <f>AA23*1000000/'a1'!AP23</f>
        <v>-10922.862742080413</v>
      </c>
      <c r="AC23" s="11">
        <f t="shared" ref="AC23:AC43" si="26">K72/C72*100</f>
        <v>3.9741268747218998</v>
      </c>
      <c r="AD23" s="7">
        <f t="shared" si="16"/>
        <v>-7067.309045124196</v>
      </c>
      <c r="AE23" s="7">
        <f>AD23/'a8'!AS23*100</f>
        <v>-10611.575142829124</v>
      </c>
      <c r="AF23" s="7">
        <f>AE23*1000000/'a1'!AV23</f>
        <v>-9802.8860575144681</v>
      </c>
      <c r="AG23" s="11">
        <f t="shared" ref="AG23:AG43" si="27">L72/C72*100</f>
        <v>4.1544666149000591</v>
      </c>
      <c r="AH23" s="7">
        <f t="shared" si="17"/>
        <v>-7388.0126152752218</v>
      </c>
      <c r="AI23" s="7">
        <f>AH23/'a8'!AY23*100</f>
        <v>-10190.362227965823</v>
      </c>
      <c r="AJ23" s="7">
        <f>AI23*1000000/'a1'!BB23</f>
        <v>-9942.5152088398627</v>
      </c>
      <c r="AK23" s="11">
        <f t="shared" ref="AK23:AK43" si="28">M72/C72*100</f>
        <v>14.838745561304167</v>
      </c>
      <c r="AL23" s="7">
        <f t="shared" si="18"/>
        <v>-26388.186394034041</v>
      </c>
      <c r="AM23" s="7">
        <f>AL23/'a8'!BE23*100</f>
        <v>-34905.008457716984</v>
      </c>
      <c r="AN23" s="7">
        <f>AM23*1000000/'a1'!BH23</f>
        <v>-14516.595393500069</v>
      </c>
      <c r="AO23" s="11">
        <f t="shared" ref="AO23:AO43" si="29">N72/C72*100</f>
        <v>11.119489255520561</v>
      </c>
      <c r="AP23" s="7">
        <f t="shared" si="19"/>
        <v>-19774.121327769877</v>
      </c>
      <c r="AQ23" s="7">
        <f>AP23/'a8'!BK23*100</f>
        <v>-31791.191845289188</v>
      </c>
      <c r="AR23" s="7">
        <f>AQ23*1000000/'a1'!BN23</f>
        <v>-10685.644378445584</v>
      </c>
    </row>
    <row r="24" spans="1:44" ht="17.25" customHeight="1">
      <c r="A24" s="1">
        <v>1986</v>
      </c>
      <c r="B24" s="7">
        <v>-196816</v>
      </c>
      <c r="C24" s="7">
        <f>B24/'a8'!C24*100</f>
        <v>-281567.95422031474</v>
      </c>
      <c r="D24" s="7">
        <f>C24*1000000/'a1'!F24</f>
        <v>-10787.929317086766</v>
      </c>
      <c r="E24" s="11">
        <f t="shared" si="20"/>
        <v>1.3838463671947498</v>
      </c>
      <c r="F24" s="7">
        <f t="shared" si="10"/>
        <v>-2723.6310660580189</v>
      </c>
      <c r="G24" s="7">
        <f>F24/'a8'!I24*100</f>
        <v>-3825.3245309803633</v>
      </c>
      <c r="H24" s="7">
        <f>G24*1000000/'a1'!L24</f>
        <v>-6637.6621638163815</v>
      </c>
      <c r="I24" s="11">
        <f t="shared" si="21"/>
        <v>0.3349717329151487</v>
      </c>
      <c r="J24" s="7">
        <f t="shared" si="11"/>
        <v>-659.27796585427916</v>
      </c>
      <c r="K24" s="7">
        <f>J24/'a8'!O24*100</f>
        <v>-1003.4672235224949</v>
      </c>
      <c r="L24" s="7">
        <f>K24*1000000/'a1'!R24</f>
        <v>-7812.9747385662504</v>
      </c>
      <c r="M24" s="11">
        <f t="shared" si="22"/>
        <v>2.7038180896830877</v>
      </c>
      <c r="N24" s="7">
        <f t="shared" si="12"/>
        <v>-5321.5466113906659</v>
      </c>
      <c r="O24" s="7">
        <f>N24/'a8'!U24*100</f>
        <v>-7667.9345985456275</v>
      </c>
      <c r="P24" s="7">
        <f>O24*1000000/'a1'!X24</f>
        <v>-8624.504236982013</v>
      </c>
      <c r="Q24" s="11">
        <f t="shared" si="23"/>
        <v>2.0264090271159647</v>
      </c>
      <c r="R24" s="7">
        <f t="shared" si="13"/>
        <v>-3988.2971908085574</v>
      </c>
      <c r="S24" s="7">
        <f>R24/'a8'!AA24*100</f>
        <v>-5657.1591358986634</v>
      </c>
      <c r="T24" s="7">
        <f>S24*1000000/'a1'!AD24</f>
        <v>-7802.7736319995247</v>
      </c>
      <c r="U24" s="11">
        <f t="shared" si="24"/>
        <v>21.948645870044398</v>
      </c>
      <c r="V24" s="7">
        <f t="shared" si="14"/>
        <v>-43198.446855586582</v>
      </c>
      <c r="W24" s="7">
        <f>V24/'a8'!AG24*100</f>
        <v>-61712.066936552263</v>
      </c>
      <c r="X24" s="7">
        <f>W24*1000000/'a1'!AJ24</f>
        <v>-9199.538314704645</v>
      </c>
      <c r="Y24" s="11">
        <f t="shared" si="25"/>
        <v>39.443124873574916</v>
      </c>
      <c r="Z24" s="7">
        <f t="shared" si="15"/>
        <v>-77630.380651175205</v>
      </c>
      <c r="AA24" s="7">
        <f>Z24/'a8'!AM24*100</f>
        <v>-111377.8775483145</v>
      </c>
      <c r="AB24" s="7">
        <f>AA24*1000000/'a1'!AP24</f>
        <v>-11801.805732760035</v>
      </c>
      <c r="AC24" s="11">
        <f t="shared" si="26"/>
        <v>3.9425232465753144</v>
      </c>
      <c r="AD24" s="7">
        <f t="shared" si="16"/>
        <v>-7759.5165529796705</v>
      </c>
      <c r="AE24" s="7">
        <f>AD24/'a8'!AS24*100</f>
        <v>-11245.676163738653</v>
      </c>
      <c r="AF24" s="7">
        <f>AE24*1000000/'a1'!AV24</f>
        <v>-10302.464897447537</v>
      </c>
      <c r="AG24" s="11">
        <f t="shared" si="27"/>
        <v>3.9955957149977168</v>
      </c>
      <c r="AH24" s="7">
        <f t="shared" si="17"/>
        <v>-7863.9716624299062</v>
      </c>
      <c r="AI24" s="7">
        <f>AH24/'a8'!AY24*100</f>
        <v>-11564.664209455745</v>
      </c>
      <c r="AJ24" s="7">
        <f>AI24*1000000/'a1'!BB24</f>
        <v>-11241.832505398223</v>
      </c>
      <c r="AK24" s="11">
        <f t="shared" si="28"/>
        <v>12.335251171452224</v>
      </c>
      <c r="AL24" s="7">
        <f t="shared" si="18"/>
        <v>-24277.74794560541</v>
      </c>
      <c r="AM24" s="7">
        <f>AL24/'a8'!BE24*100</f>
        <v>-36181.442541885859</v>
      </c>
      <c r="AN24" s="7">
        <f>AM24*1000000/'a1'!BH24</f>
        <v>-14871.550986623477</v>
      </c>
      <c r="AO24" s="11">
        <f t="shared" si="29"/>
        <v>11.263958893339979</v>
      </c>
      <c r="AP24" s="7">
        <f t="shared" si="19"/>
        <v>-22169.273335516013</v>
      </c>
      <c r="AQ24" s="7">
        <f>AP24/'a8'!BK24*100</f>
        <v>-33794.623987067098</v>
      </c>
      <c r="AR24" s="7">
        <f>AQ24*1000000/'a1'!BN24</f>
        <v>-11251.294350075159</v>
      </c>
    </row>
    <row r="25" spans="1:44" ht="17.25" customHeight="1">
      <c r="A25" s="1">
        <v>1987</v>
      </c>
      <c r="B25" s="7">
        <v>-212572</v>
      </c>
      <c r="C25" s="7">
        <f>B25/'a8'!C25*100</f>
        <v>-290796.16963064298</v>
      </c>
      <c r="D25" s="7">
        <f>C25*1000000/'a1'!F25</f>
        <v>-10995.597113997484</v>
      </c>
      <c r="E25" s="11">
        <f t="shared" si="20"/>
        <v>1.3717875126944483</v>
      </c>
      <c r="F25" s="7">
        <f t="shared" si="10"/>
        <v>-2916.0361514848428</v>
      </c>
      <c r="G25" s="7">
        <f>F25/'a8'!I25*100</f>
        <v>-3951.2684979469414</v>
      </c>
      <c r="H25" s="7">
        <f>G25*1000000/'a1'!L25</f>
        <v>-6868.8803980706234</v>
      </c>
      <c r="I25" s="11">
        <f t="shared" si="21"/>
        <v>0.33152427447268845</v>
      </c>
      <c r="J25" s="7">
        <f t="shared" si="11"/>
        <v>-704.72778073208337</v>
      </c>
      <c r="K25" s="7">
        <f>J25/'a8'!O25*100</f>
        <v>-1021.3446097566425</v>
      </c>
      <c r="L25" s="7">
        <f>K25*1000000/'a1'!R25</f>
        <v>-7939.4952601164669</v>
      </c>
      <c r="M25" s="11">
        <f t="shared" si="22"/>
        <v>2.6249335281255219</v>
      </c>
      <c r="N25" s="7">
        <f t="shared" si="12"/>
        <v>-5579.8736994069841</v>
      </c>
      <c r="O25" s="7">
        <f>N25/'a8'!U25*100</f>
        <v>-7707.007872109094</v>
      </c>
      <c r="P25" s="7">
        <f>O25*1000000/'a1'!X25</f>
        <v>-8624.6151795188198</v>
      </c>
      <c r="Q25" s="11">
        <f t="shared" si="23"/>
        <v>2.0653411326999387</v>
      </c>
      <c r="R25" s="7">
        <f t="shared" si="13"/>
        <v>-4390.3369526029137</v>
      </c>
      <c r="S25" s="7">
        <f>R25/'a8'!AA25*100</f>
        <v>-5924.8811776017728</v>
      </c>
      <c r="T25" s="7">
        <f>S25*1000000/'a1'!AD25</f>
        <v>-8141.1674841457352</v>
      </c>
      <c r="U25" s="11">
        <f t="shared" si="24"/>
        <v>22.291931034350362</v>
      </c>
      <c r="V25" s="7">
        <f t="shared" si="14"/>
        <v>-47386.403638339252</v>
      </c>
      <c r="W25" s="7">
        <f>V25/'a8'!AG25*100</f>
        <v>-64383.700595569644</v>
      </c>
      <c r="X25" s="7">
        <f>W25*1000000/'a1'!AJ25</f>
        <v>-9493.3430387877124</v>
      </c>
      <c r="Y25" s="11">
        <f t="shared" si="25"/>
        <v>40.116318581216639</v>
      </c>
      <c r="Z25" s="7">
        <f t="shared" si="15"/>
        <v>-85276.060734463827</v>
      </c>
      <c r="AA25" s="7">
        <f>Z25/'a8'!AM25*100</f>
        <v>-116021.85133940657</v>
      </c>
      <c r="AB25" s="7">
        <f>AA25*1000000/'a1'!AP25</f>
        <v>-12038.027955067866</v>
      </c>
      <c r="AC25" s="11">
        <f t="shared" si="26"/>
        <v>3.8407593055824854</v>
      </c>
      <c r="AD25" s="7">
        <f t="shared" si="16"/>
        <v>-8164.3788710628014</v>
      </c>
      <c r="AE25" s="7">
        <f>AD25/'a8'!AS25*100</f>
        <v>-11339.415098698335</v>
      </c>
      <c r="AF25" s="7">
        <f>AE25*1000000/'a1'!AV25</f>
        <v>-10323.829062347979</v>
      </c>
      <c r="AG25" s="11">
        <f t="shared" si="27"/>
        <v>3.6553675678685038</v>
      </c>
      <c r="AH25" s="7">
        <f t="shared" si="17"/>
        <v>-7770.2879463694362</v>
      </c>
      <c r="AI25" s="7">
        <f>AH25/'a8'!AY25*100</f>
        <v>-11212.536719147816</v>
      </c>
      <c r="AJ25" s="7">
        <f>AI25*1000000/'a1'!BB25</f>
        <v>-10856.455824558134</v>
      </c>
      <c r="AK25" s="11">
        <f t="shared" si="28"/>
        <v>11.657928534815905</v>
      </c>
      <c r="AL25" s="7">
        <f t="shared" si="18"/>
        <v>-24781.491845028864</v>
      </c>
      <c r="AM25" s="7">
        <f>AL25/'a8'!BE25*100</f>
        <v>-36336.498306493937</v>
      </c>
      <c r="AN25" s="7">
        <f>AM25*1000000/'a1'!BH25</f>
        <v>-14886.656847720689</v>
      </c>
      <c r="AO25" s="11">
        <f t="shared" si="29"/>
        <v>11.394555929483181</v>
      </c>
      <c r="AP25" s="7">
        <f t="shared" si="19"/>
        <v>-24221.635430420985</v>
      </c>
      <c r="AQ25" s="7">
        <f>AP25/'a8'!BK25*100</f>
        <v>-35463.595066502174</v>
      </c>
      <c r="AR25" s="7">
        <f>AQ25*1000000/'a1'!BN25</f>
        <v>-11632.553239613906</v>
      </c>
    </row>
    <row r="26" spans="1:44" ht="17.25" customHeight="1">
      <c r="A26" s="1">
        <v>1988</v>
      </c>
      <c r="B26" s="7">
        <v>-215905</v>
      </c>
      <c r="C26" s="7">
        <f>B26/'a8'!C26*100</f>
        <v>-282598.16753926699</v>
      </c>
      <c r="D26" s="7">
        <f>C26*1000000/'a1'!F26</f>
        <v>-10547.95596342661</v>
      </c>
      <c r="E26" s="11">
        <f t="shared" si="20"/>
        <v>1.3839303763313275</v>
      </c>
      <c r="F26" s="7">
        <f t="shared" si="10"/>
        <v>-2987.9748790181529</v>
      </c>
      <c r="G26" s="7">
        <f>F26/'a8'!I26*100</f>
        <v>-3941.9193654593046</v>
      </c>
      <c r="H26" s="7">
        <f>G26*1000000/'a1'!L26</f>
        <v>-6855.7265539778718</v>
      </c>
      <c r="I26" s="11">
        <f t="shared" si="21"/>
        <v>0.33570814590595316</v>
      </c>
      <c r="J26" s="7">
        <f t="shared" si="11"/>
        <v>-724.81067241824815</v>
      </c>
      <c r="K26" s="7">
        <f>J26/'a8'!O26*100</f>
        <v>-986.13696927652813</v>
      </c>
      <c r="L26" s="7">
        <f>K26*1000000/'a1'!R26</f>
        <v>-7627.3849227430646</v>
      </c>
      <c r="M26" s="11">
        <f t="shared" si="22"/>
        <v>2.5443893075426232</v>
      </c>
      <c r="N26" s="7">
        <f t="shared" si="12"/>
        <v>-5493.4637344499006</v>
      </c>
      <c r="O26" s="7">
        <f>N26/'a8'!U26*100</f>
        <v>-7247.3136338389195</v>
      </c>
      <c r="P26" s="7">
        <f>O26*1000000/'a1'!X26</f>
        <v>-8077.5572814561037</v>
      </c>
      <c r="Q26" s="11">
        <f t="shared" si="23"/>
        <v>2.0324247170351932</v>
      </c>
      <c r="R26" s="7">
        <f t="shared" si="13"/>
        <v>-4388.1065853148339</v>
      </c>
      <c r="S26" s="7">
        <f>R26/'a8'!AA26*100</f>
        <v>-5547.5430914220406</v>
      </c>
      <c r="T26" s="7">
        <f>S26*1000000/'a1'!AD26</f>
        <v>-7595.7427085161216</v>
      </c>
      <c r="U26" s="11">
        <f t="shared" si="24"/>
        <v>22.321093644256241</v>
      </c>
      <c r="V26" s="7">
        <f t="shared" si="14"/>
        <v>-48192.357232631439</v>
      </c>
      <c r="W26" s="7">
        <f>V26/'a8'!AG26*100</f>
        <v>-62425.333202890462</v>
      </c>
      <c r="X26" s="7">
        <f>W26*1000000/'a1'!AJ26</f>
        <v>-9130.4124851731904</v>
      </c>
      <c r="Y26" s="11">
        <f t="shared" si="25"/>
        <v>40.973971983891353</v>
      </c>
      <c r="Z26" s="7">
        <f t="shared" si="15"/>
        <v>-88464.854211820624</v>
      </c>
      <c r="AA26" s="7">
        <f>Z26/'a8'!AM26*100</f>
        <v>-114148.19898299436</v>
      </c>
      <c r="AB26" s="7">
        <f>AA26*1000000/'a1'!AP26</f>
        <v>-11602.053843221343</v>
      </c>
      <c r="AC26" s="11">
        <f t="shared" si="26"/>
        <v>3.7454538423272115</v>
      </c>
      <c r="AD26" s="7">
        <f t="shared" si="16"/>
        <v>-8086.6221182765657</v>
      </c>
      <c r="AE26" s="7">
        <f>AD26/'a8'!AS26*100</f>
        <v>-10340.949000353665</v>
      </c>
      <c r="AF26" s="7">
        <f>AE26*1000000/'a1'!AV26</f>
        <v>-9382.5071318236187</v>
      </c>
      <c r="AG26" s="11">
        <f t="shared" si="27"/>
        <v>3.4129976603437937</v>
      </c>
      <c r="AH26" s="7">
        <f t="shared" si="17"/>
        <v>-7368.8325985652682</v>
      </c>
      <c r="AI26" s="7">
        <f>AH26/'a8'!AY26*100</f>
        <v>-9917.6750990111286</v>
      </c>
      <c r="AJ26" s="7">
        <f>AI26*1000000/'a1'!BB26</f>
        <v>-9645.4327593776943</v>
      </c>
      <c r="AK26" s="11">
        <f t="shared" si="28"/>
        <v>11.125583815415013</v>
      </c>
      <c r="AL26" s="7">
        <f t="shared" si="18"/>
        <v>-24020.691736671786</v>
      </c>
      <c r="AM26" s="7">
        <f>AL26/'a8'!BE26*100</f>
        <v>-35745.076989094916</v>
      </c>
      <c r="AN26" s="7">
        <f>AM26*1000000/'a1'!BH26</f>
        <v>-14550.546805112614</v>
      </c>
      <c r="AO26" s="11">
        <f t="shared" si="29"/>
        <v>11.460219692135697</v>
      </c>
      <c r="AP26" s="7">
        <f t="shared" si="19"/>
        <v>-24743.187326305575</v>
      </c>
      <c r="AQ26" s="7">
        <f>AP26/'a8'!BK26*100</f>
        <v>-34509.326814931061</v>
      </c>
      <c r="AR26" s="7">
        <f>AQ26*1000000/'a1'!BN26</f>
        <v>-11079.285638587056</v>
      </c>
    </row>
    <row r="27" spans="1:44" ht="17.25" customHeight="1">
      <c r="A27" s="1">
        <v>1989</v>
      </c>
      <c r="B27" s="7">
        <v>-232061</v>
      </c>
      <c r="C27" s="7">
        <f>B27/'a8'!C27*100</f>
        <v>-290803.25814536342</v>
      </c>
      <c r="D27" s="7">
        <f>C27*1000000/'a1'!F27</f>
        <v>-10661.201486545036</v>
      </c>
      <c r="E27" s="11">
        <f t="shared" si="20"/>
        <v>1.3608021445815253</v>
      </c>
      <c r="F27" s="7">
        <f t="shared" si="10"/>
        <v>-3157.8910647373332</v>
      </c>
      <c r="G27" s="7">
        <f>F27/'a8'!I27*100</f>
        <v>-4090.5324672763386</v>
      </c>
      <c r="H27" s="7">
        <f>G27*1000000/'a1'!L27</f>
        <v>-7094.8319702443296</v>
      </c>
      <c r="I27" s="11">
        <f t="shared" si="21"/>
        <v>0.3360700115687601</v>
      </c>
      <c r="J27" s="7">
        <f t="shared" si="11"/>
        <v>-779.88742954658039</v>
      </c>
      <c r="K27" s="7">
        <f>J27/'a8'!O27*100</f>
        <v>-1011.5271459748126</v>
      </c>
      <c r="L27" s="7">
        <f>K27*1000000/'a1'!R27</f>
        <v>-7771.8311984726643</v>
      </c>
      <c r="M27" s="11">
        <f t="shared" si="22"/>
        <v>2.5081006004894095</v>
      </c>
      <c r="N27" s="7">
        <f t="shared" si="12"/>
        <v>-5820.3233345017288</v>
      </c>
      <c r="O27" s="7">
        <f>N27/'a8'!U27*100</f>
        <v>-7367.4978917743401</v>
      </c>
      <c r="P27" s="7">
        <f>O27*1000000/'a1'!X27</f>
        <v>-8151.3207431111659</v>
      </c>
      <c r="Q27" s="11">
        <f t="shared" si="23"/>
        <v>1.9928875987170691</v>
      </c>
      <c r="R27" s="7">
        <f t="shared" si="13"/>
        <v>-4624.7148904588175</v>
      </c>
      <c r="S27" s="7">
        <f>R27/'a8'!AA27*100</f>
        <v>-5585.404457075867</v>
      </c>
      <c r="T27" s="7">
        <f>S27*1000000/'a1'!AD27</f>
        <v>-7597.8562362195844</v>
      </c>
      <c r="U27" s="11">
        <f t="shared" si="24"/>
        <v>22.151904566780381</v>
      </c>
      <c r="V27" s="7">
        <f t="shared" si="14"/>
        <v>-51405.93125671622</v>
      </c>
      <c r="W27" s="7">
        <f>V27/'a8'!AG27*100</f>
        <v>-63621.202050391366</v>
      </c>
      <c r="X27" s="7">
        <f>W27*1000000/'a1'!AJ27</f>
        <v>-9187.007381003119</v>
      </c>
      <c r="Y27" s="11">
        <f t="shared" si="25"/>
        <v>41.510488405732708</v>
      </c>
      <c r="Z27" s="7">
        <f t="shared" si="15"/>
        <v>-96329.654499227385</v>
      </c>
      <c r="AA27" s="7">
        <f>Z27/'a8'!AM27*100</f>
        <v>-118195.89509107654</v>
      </c>
      <c r="AB27" s="7">
        <f>AA27*1000000/'a1'!AP27</f>
        <v>-11698.735719754728</v>
      </c>
      <c r="AC27" s="11">
        <f t="shared" si="26"/>
        <v>3.6888711161138183</v>
      </c>
      <c r="AD27" s="7">
        <f t="shared" si="16"/>
        <v>-8560.4312007648878</v>
      </c>
      <c r="AE27" s="7">
        <f>AD27/'a8'!AS27*100</f>
        <v>-10594.593070253575</v>
      </c>
      <c r="AF27" s="7">
        <f>AE27*1000000/'a1'!AV27</f>
        <v>-9598.360080752147</v>
      </c>
      <c r="AG27" s="11">
        <f t="shared" si="27"/>
        <v>3.3039753419202165</v>
      </c>
      <c r="AH27" s="7">
        <f t="shared" si="17"/>
        <v>-7667.2382182134734</v>
      </c>
      <c r="AI27" s="7">
        <f>AH27/'a8'!AY27*100</f>
        <v>-9970.4008039186901</v>
      </c>
      <c r="AJ27" s="7">
        <f>AI27*1000000/'a1'!BB27</f>
        <v>-9780.2819039870847</v>
      </c>
      <c r="AK27" s="11">
        <f t="shared" si="28"/>
        <v>10.854656549349896</v>
      </c>
      <c r="AL27" s="7">
        <f t="shared" si="18"/>
        <v>-25189.424534986862</v>
      </c>
      <c r="AM27" s="7">
        <f>AL27/'a8'!BE27*100</f>
        <v>-36088.000766456818</v>
      </c>
      <c r="AN27" s="7">
        <f>AM27*1000000/'a1'!BH27</f>
        <v>-14444.87837509404</v>
      </c>
      <c r="AO27" s="11">
        <f t="shared" si="29"/>
        <v>11.61534777864996</v>
      </c>
      <c r="AP27" s="7">
        <f t="shared" si="19"/>
        <v>-26954.692208612883</v>
      </c>
      <c r="AQ27" s="7">
        <f>AP27/'a8'!BK27*100</f>
        <v>-35654.354773297469</v>
      </c>
      <c r="AR27" s="7">
        <f>AQ27*1000000/'a1'!BN27</f>
        <v>-11153.400675158942</v>
      </c>
    </row>
    <row r="28" spans="1:44" ht="17.25" customHeight="1">
      <c r="A28" s="1">
        <v>1990</v>
      </c>
      <c r="B28" s="7">
        <v>-252506</v>
      </c>
      <c r="C28" s="7">
        <f>B28/'a8'!C28*100</f>
        <v>-306439.32038834953</v>
      </c>
      <c r="D28" s="7">
        <f>C28*1000000/'a1'!F28</f>
        <v>-11066.3317769154</v>
      </c>
      <c r="E28" s="11">
        <f t="shared" si="20"/>
        <v>1.3618920464174114</v>
      </c>
      <c r="F28" s="7">
        <f t="shared" si="10"/>
        <v>-3438.8591307267488</v>
      </c>
      <c r="G28" s="7">
        <f>F28/'a8'!I28*100</f>
        <v>-4347.483098263906</v>
      </c>
      <c r="H28" s="7">
        <f>G28*1000000/'a1'!L28</f>
        <v>-7529.8303651465021</v>
      </c>
      <c r="I28" s="11">
        <f t="shared" si="21"/>
        <v>0.33725002019318945</v>
      </c>
      <c r="J28" s="7">
        <f t="shared" si="11"/>
        <v>-851.57653598901493</v>
      </c>
      <c r="K28" s="7">
        <f>J28/'a8'!O28*100</f>
        <v>-1055.23734323298</v>
      </c>
      <c r="L28" s="7">
        <f>K28*1000000/'a1'!R28</f>
        <v>-8092.0626915813937</v>
      </c>
      <c r="M28" s="11">
        <f t="shared" si="22"/>
        <v>2.548063750294979</v>
      </c>
      <c r="N28" s="7">
        <f t="shared" si="12"/>
        <v>-6434.0138533198397</v>
      </c>
      <c r="O28" s="7">
        <f>N28/'a8'!U28*100</f>
        <v>-7789.3630185470211</v>
      </c>
      <c r="P28" s="7">
        <f>O28*1000000/'a1'!X28</f>
        <v>-8555.4994376929899</v>
      </c>
      <c r="Q28" s="11">
        <f t="shared" si="23"/>
        <v>1.9817516918725182</v>
      </c>
      <c r="R28" s="7">
        <f t="shared" si="13"/>
        <v>-5004.041927079621</v>
      </c>
      <c r="S28" s="7">
        <f>R28/'a8'!AA28*100</f>
        <v>-5866.403197045277</v>
      </c>
      <c r="T28" s="7">
        <f>S28*1000000/'a1'!AD28</f>
        <v>-7925.9010222781098</v>
      </c>
      <c r="U28" s="11">
        <f t="shared" si="24"/>
        <v>22.192679454102858</v>
      </c>
      <c r="V28" s="7">
        <f t="shared" si="14"/>
        <v>-56037.847182376965</v>
      </c>
      <c r="W28" s="7">
        <f>V28/'a8'!AG28*100</f>
        <v>-67353.18170958769</v>
      </c>
      <c r="X28" s="7">
        <f>W28*1000000/'a1'!AJ28</f>
        <v>-9626.0277939083626</v>
      </c>
      <c r="Y28" s="11">
        <f t="shared" si="25"/>
        <v>40.597750082752484</v>
      </c>
      <c r="Z28" s="7">
        <f t="shared" si="15"/>
        <v>-102511.75482395498</v>
      </c>
      <c r="AA28" s="7">
        <f>Z28/'a8'!AM28*100</f>
        <v>-121892.69301302613</v>
      </c>
      <c r="AB28" s="7">
        <f>AA28*1000000/'a1'!AP28</f>
        <v>-11839.032825421602</v>
      </c>
      <c r="AC28" s="11">
        <f t="shared" si="26"/>
        <v>3.694149993427315</v>
      </c>
      <c r="AD28" s="7">
        <f t="shared" si="16"/>
        <v>-9327.9503824035746</v>
      </c>
      <c r="AE28" s="7">
        <f>AD28/'a8'!AS28*100</f>
        <v>-11417.319929502539</v>
      </c>
      <c r="AF28" s="7">
        <f>AE28*1000000/'a1'!AV28</f>
        <v>-10328.481121222176</v>
      </c>
      <c r="AG28" s="11">
        <f t="shared" si="27"/>
        <v>3.4033522278235222</v>
      </c>
      <c r="AH28" s="7">
        <f t="shared" si="17"/>
        <v>-8593.6685763880632</v>
      </c>
      <c r="AI28" s="7">
        <f>AH28/'a8'!AY28*100</f>
        <v>-11248.257298937255</v>
      </c>
      <c r="AJ28" s="7">
        <f>AI28*1000000/'a1'!BB28</f>
        <v>-11162.008459570156</v>
      </c>
      <c r="AK28" s="11">
        <f t="shared" si="28"/>
        <v>11.458645139934843</v>
      </c>
      <c r="AL28" s="7">
        <f t="shared" si="18"/>
        <v>-28933.766497043875</v>
      </c>
      <c r="AM28" s="7">
        <f>AL28/'a8'!BE28*100</f>
        <v>-38994.294470409535</v>
      </c>
      <c r="AN28" s="7">
        <f>AM28*1000000/'a1'!BH28</f>
        <v>-15305.156657622039</v>
      </c>
      <c r="AO28" s="11">
        <f t="shared" si="29"/>
        <v>11.741033036057908</v>
      </c>
      <c r="AP28" s="7">
        <f t="shared" si="19"/>
        <v>-29646.812878028384</v>
      </c>
      <c r="AQ28" s="7">
        <f>AP28/'a8'!BK28*100</f>
        <v>-37911.525419473634</v>
      </c>
      <c r="AR28" s="7">
        <f>AQ28*1000000/'a1'!BN28</f>
        <v>-11515.870947083386</v>
      </c>
    </row>
    <row r="29" spans="1:44" ht="17.25" customHeight="1">
      <c r="A29" s="1">
        <v>1991</v>
      </c>
      <c r="B29" s="7">
        <v>-267408</v>
      </c>
      <c r="C29" s="7">
        <f>B29/'a8'!C29*100</f>
        <v>-315339.62264150946</v>
      </c>
      <c r="D29" s="7">
        <f>C29*1000000/'a1'!F29</f>
        <v>-11247.098436357892</v>
      </c>
      <c r="E29" s="11">
        <f t="shared" si="20"/>
        <v>1.3727318175958447</v>
      </c>
      <c r="F29" s="7">
        <f t="shared" si="10"/>
        <v>-3670.7946987966966</v>
      </c>
      <c r="G29" s="7">
        <f>F29/'a8'!I29*100</f>
        <v>-4487.5240816585529</v>
      </c>
      <c r="H29" s="7">
        <f>G29*1000000/'a1'!L29</f>
        <v>-7741.8623873594015</v>
      </c>
      <c r="I29" s="11">
        <f t="shared" si="21"/>
        <v>0.34651192770743394</v>
      </c>
      <c r="J29" s="7">
        <f t="shared" si="11"/>
        <v>-926.60061564389503</v>
      </c>
      <c r="K29" s="7">
        <f>J29/'a8'!O29*100</f>
        <v>-1101.7843230010642</v>
      </c>
      <c r="L29" s="7">
        <f>K29*1000000/'a1'!R29</f>
        <v>-8451.2754029030239</v>
      </c>
      <c r="M29" s="11">
        <f t="shared" si="22"/>
        <v>2.6002779515848586</v>
      </c>
      <c r="N29" s="7">
        <f t="shared" si="12"/>
        <v>-6953.351264774039</v>
      </c>
      <c r="O29" s="7">
        <f>N29/'a8'!U29*100</f>
        <v>-8038.5563754613177</v>
      </c>
      <c r="P29" s="7">
        <f>O29*1000000/'a1'!X29</f>
        <v>-8785.6051685481343</v>
      </c>
      <c r="Q29" s="11">
        <f t="shared" si="23"/>
        <v>1.9899635581575961</v>
      </c>
      <c r="R29" s="7">
        <f t="shared" si="13"/>
        <v>-5321.3217515980641</v>
      </c>
      <c r="S29" s="7">
        <f>R29/'a8'!AA29*100</f>
        <v>-6151.8170538705945</v>
      </c>
      <c r="T29" s="7">
        <f>S29*1000000/'a1'!AD29</f>
        <v>-8251.1927886703597</v>
      </c>
      <c r="U29" s="11">
        <f t="shared" si="24"/>
        <v>22.213881229149703</v>
      </c>
      <c r="V29" s="7">
        <f t="shared" si="14"/>
        <v>-59401.695517244632</v>
      </c>
      <c r="W29" s="7">
        <f>V29/'a8'!AG29*100</f>
        <v>-68672.480366756805</v>
      </c>
      <c r="X29" s="7">
        <f>W29*1000000/'a1'!AJ29</f>
        <v>-9716.8009782891477</v>
      </c>
      <c r="Y29" s="11">
        <f t="shared" si="25"/>
        <v>40.547712401860139</v>
      </c>
      <c r="Z29" s="7">
        <f t="shared" si="15"/>
        <v>-108427.82677956615</v>
      </c>
      <c r="AA29" s="7">
        <f>Z29/'a8'!AM29*100</f>
        <v>-123776.05796754129</v>
      </c>
      <c r="AB29" s="7">
        <f>AA29*1000000/'a1'!AP29</f>
        <v>-11865.814243144518</v>
      </c>
      <c r="AC29" s="11">
        <f t="shared" si="26"/>
        <v>3.5770859731921361</v>
      </c>
      <c r="AD29" s="7">
        <f t="shared" si="16"/>
        <v>-9565.4140591936266</v>
      </c>
      <c r="AE29" s="7">
        <f>AD29/'a8'!AS29*100</f>
        <v>-11400.970273174762</v>
      </c>
      <c r="AF29" s="7">
        <f>AE29*1000000/'a1'!AV29</f>
        <v>-10274.809998138762</v>
      </c>
      <c r="AG29" s="11">
        <f t="shared" si="27"/>
        <v>3.2813064982187825</v>
      </c>
      <c r="AH29" s="7">
        <f t="shared" si="17"/>
        <v>-8774.4760807568819</v>
      </c>
      <c r="AI29" s="7">
        <f>AH29/'a8'!AY29*100</f>
        <v>-11530.191958944655</v>
      </c>
      <c r="AJ29" s="7">
        <f>AI29*1000000/'a1'!BB29</f>
        <v>-11498.995185007729</v>
      </c>
      <c r="AK29" s="11">
        <f t="shared" si="28"/>
        <v>11.266566260324927</v>
      </c>
      <c r="AL29" s="7">
        <f t="shared" si="18"/>
        <v>-30127.699505409681</v>
      </c>
      <c r="AM29" s="7">
        <f>AL29/'a8'!BE29*100</f>
        <v>-40990.067354298881</v>
      </c>
      <c r="AN29" s="7">
        <f>AM29*1000000/'a1'!BH29</f>
        <v>-15812.202476983381</v>
      </c>
      <c r="AO29" s="11">
        <f t="shared" si="29"/>
        <v>12.166465958791477</v>
      </c>
      <c r="AP29" s="7">
        <f t="shared" si="19"/>
        <v>-32534.103291085114</v>
      </c>
      <c r="AQ29" s="7">
        <f>AP29/'a8'!BK29*100</f>
        <v>-40364.892420701137</v>
      </c>
      <c r="AR29" s="7">
        <f>AQ29*1000000/'a1'!BN29</f>
        <v>-11964.268171257147</v>
      </c>
    </row>
    <row r="30" spans="1:44" ht="17.25" customHeight="1">
      <c r="A30" s="1">
        <v>1992</v>
      </c>
      <c r="B30" s="7">
        <v>-298114</v>
      </c>
      <c r="C30" s="7">
        <f>B30/'a8'!C30*100</f>
        <v>-347047.72991850984</v>
      </c>
      <c r="D30" s="7">
        <f>C30*1000000/'a1'!F30</f>
        <v>-12232.367578635545</v>
      </c>
      <c r="E30" s="11">
        <f t="shared" si="20"/>
        <v>1.335052642282059</v>
      </c>
      <c r="F30" s="7">
        <f t="shared" si="10"/>
        <v>-3979.9788340127375</v>
      </c>
      <c r="G30" s="7">
        <f>F30/'a8'!I30*100</f>
        <v>-4812.5499806683638</v>
      </c>
      <c r="H30" s="7">
        <f>G30*1000000/'a1'!L30</f>
        <v>-8295.9409019138875</v>
      </c>
      <c r="I30" s="11">
        <f t="shared" si="21"/>
        <v>0.34987012746919571</v>
      </c>
      <c r="J30" s="7">
        <f t="shared" si="11"/>
        <v>-1043.0118318035181</v>
      </c>
      <c r="K30" s="7">
        <f>J30/'a8'!O30*100</f>
        <v>-1224.1922908491997</v>
      </c>
      <c r="L30" s="7">
        <f>K30*1000000/'a1'!R30</f>
        <v>-9357.3367183318405</v>
      </c>
      <c r="M30" s="11">
        <f t="shared" si="22"/>
        <v>2.586681826164924</v>
      </c>
      <c r="N30" s="7">
        <f t="shared" si="12"/>
        <v>-7711.260659253302</v>
      </c>
      <c r="O30" s="7">
        <f>N30/'a8'!U30*100</f>
        <v>-8812.8693248609161</v>
      </c>
      <c r="P30" s="7">
        <f>O30*1000000/'a1'!X30</f>
        <v>-9584.9254879932869</v>
      </c>
      <c r="Q30" s="11">
        <f t="shared" si="23"/>
        <v>1.9821968331438395</v>
      </c>
      <c r="R30" s="7">
        <f t="shared" si="13"/>
        <v>-5909.2062671584263</v>
      </c>
      <c r="S30" s="7">
        <f>R30/'a8'!AA30*100</f>
        <v>-6745.669254747062</v>
      </c>
      <c r="T30" s="7">
        <f>S30*1000000/'a1'!AD30</f>
        <v>-9016.8158021858253</v>
      </c>
      <c r="U30" s="11">
        <f t="shared" si="24"/>
        <v>22.061183365223744</v>
      </c>
      <c r="V30" s="7">
        <f t="shared" si="14"/>
        <v>-65767.476177403107</v>
      </c>
      <c r="W30" s="7">
        <f>V30/'a8'!AG30*100</f>
        <v>-74820.792010697507</v>
      </c>
      <c r="X30" s="7">
        <f>W30*1000000/'a1'!AJ30</f>
        <v>-10523.30334425655</v>
      </c>
      <c r="Y30" s="11">
        <f t="shared" si="25"/>
        <v>40.58898656289189</v>
      </c>
      <c r="Z30" s="7">
        <f t="shared" si="15"/>
        <v>-121001.45140209953</v>
      </c>
      <c r="AA30" s="7">
        <f>Z30/'a8'!AM30*100</f>
        <v>-137658.07895574463</v>
      </c>
      <c r="AB30" s="7">
        <f>AA30*1000000/'a1'!AP30</f>
        <v>-13020.753849905921</v>
      </c>
      <c r="AC30" s="11">
        <f t="shared" si="26"/>
        <v>3.5623588425784702</v>
      </c>
      <c r="AD30" s="7">
        <f t="shared" si="16"/>
        <v>-10619.890439964382</v>
      </c>
      <c r="AE30" s="7">
        <f>AD30/'a8'!AS30*100</f>
        <v>-12567.917680431221</v>
      </c>
      <c r="AF30" s="7">
        <f>AE30*1000000/'a1'!AV30</f>
        <v>-11295.085761098762</v>
      </c>
      <c r="AG30" s="11">
        <f t="shared" si="27"/>
        <v>3.1832019202031123</v>
      </c>
      <c r="AH30" s="7">
        <f t="shared" si="17"/>
        <v>-9489.5705723943065</v>
      </c>
      <c r="AI30" s="7">
        <f>AH30/'a8'!AY30*100</f>
        <v>-12088.624932986377</v>
      </c>
      <c r="AJ30" s="7">
        <f>AI30*1000000/'a1'!BB30</f>
        <v>-12040.523043427882</v>
      </c>
      <c r="AK30" s="11">
        <f t="shared" si="28"/>
        <v>11.164646940831739</v>
      </c>
      <c r="AL30" s="7">
        <f t="shared" si="18"/>
        <v>-33283.375581191132</v>
      </c>
      <c r="AM30" s="7">
        <f>AL30/'a8'!BE30*100</f>
        <v>-44437.083552992161</v>
      </c>
      <c r="AN30" s="7">
        <f>AM30*1000000/'a1'!BH30</f>
        <v>-16879.080855113039</v>
      </c>
      <c r="AO30" s="11">
        <f t="shared" si="29"/>
        <v>12.548505772626015</v>
      </c>
      <c r="AP30" s="7">
        <f t="shared" si="19"/>
        <v>-37408.852499006316</v>
      </c>
      <c r="AQ30" s="7">
        <f>AP30/'a8'!BK30*100</f>
        <v>-44693.969532862982</v>
      </c>
      <c r="AR30" s="7">
        <f>AQ30*1000000/'a1'!BN30</f>
        <v>-12884.554821192731</v>
      </c>
    </row>
    <row r="31" spans="1:44" ht="17.25" customHeight="1">
      <c r="A31" s="1">
        <v>1993</v>
      </c>
      <c r="B31" s="7">
        <v>-323739</v>
      </c>
      <c r="C31" s="7">
        <f>B31/'a8'!C31*100</f>
        <v>-371260.32110091741</v>
      </c>
      <c r="D31" s="7">
        <f>C31*1000000/'a1'!F31</f>
        <v>-12942.770632553136</v>
      </c>
      <c r="E31" s="11">
        <f t="shared" si="20"/>
        <v>1.3112834163400644</v>
      </c>
      <c r="F31" s="7">
        <f t="shared" si="10"/>
        <v>-4245.135819225161</v>
      </c>
      <c r="G31" s="7">
        <f>F31/'a8'!I31*100</f>
        <v>-5053.7331181251911</v>
      </c>
      <c r="H31" s="7">
        <f>G31*1000000/'a1'!L31</f>
        <v>-8713.678504708274</v>
      </c>
      <c r="I31" s="11">
        <f t="shared" si="21"/>
        <v>0.33878933530706545</v>
      </c>
      <c r="J31" s="7">
        <f t="shared" si="11"/>
        <v>-1096.7932062297407</v>
      </c>
      <c r="K31" s="7">
        <f>J31/'a8'!O31*100</f>
        <v>-1236.5199619275543</v>
      </c>
      <c r="L31" s="7">
        <f>K31*1000000/'a1'!R31</f>
        <v>-9355.0312227358336</v>
      </c>
      <c r="M31" s="11">
        <f t="shared" si="22"/>
        <v>2.5218886595118879</v>
      </c>
      <c r="N31" s="7">
        <f t="shared" si="12"/>
        <v>-8164.3371274171914</v>
      </c>
      <c r="O31" s="7">
        <f>N31/'a8'!U31*100</f>
        <v>-9298.7894389717439</v>
      </c>
      <c r="P31" s="7">
        <f>O31*1000000/'a1'!X31</f>
        <v>-10064.441852933674</v>
      </c>
      <c r="Q31" s="11">
        <f t="shared" si="23"/>
        <v>1.9439329287776981</v>
      </c>
      <c r="R31" s="7">
        <f t="shared" si="13"/>
        <v>-6293.2690242956323</v>
      </c>
      <c r="S31" s="7">
        <f>R31/'a8'!AA31*100</f>
        <v>-7063.1526647537967</v>
      </c>
      <c r="T31" s="7">
        <f>S31*1000000/'a1'!AD31</f>
        <v>-9432.4779313817035</v>
      </c>
      <c r="U31" s="11">
        <f t="shared" si="24"/>
        <v>22.022347165806874</v>
      </c>
      <c r="V31" s="7">
        <f t="shared" si="14"/>
        <v>-71294.926491111517</v>
      </c>
      <c r="W31" s="7">
        <f>V31/'a8'!AG31*100</f>
        <v>-80741.706105449048</v>
      </c>
      <c r="X31" s="7">
        <f>W31*1000000/'a1'!AJ31</f>
        <v>-11282.231350924205</v>
      </c>
      <c r="Y31" s="11">
        <f t="shared" si="25"/>
        <v>40.06160481661977</v>
      </c>
      <c r="Z31" s="7">
        <f t="shared" si="15"/>
        <v>-129695.03881727668</v>
      </c>
      <c r="AA31" s="7">
        <f>Z31/'a8'!AM31*100</f>
        <v>-145398.02557990659</v>
      </c>
      <c r="AB31" s="7">
        <f>AA31*1000000/'a1'!AP31</f>
        <v>-13601.263679315882</v>
      </c>
      <c r="AC31" s="11">
        <f t="shared" si="26"/>
        <v>3.4589358195224102</v>
      </c>
      <c r="AD31" s="7">
        <f t="shared" si="16"/>
        <v>-11197.924232763655</v>
      </c>
      <c r="AE31" s="7">
        <f>AD31/'a8'!AS31*100</f>
        <v>-13220.689767135365</v>
      </c>
      <c r="AF31" s="7">
        <f>AE31*1000000/'a1'!AV31</f>
        <v>-11829.345775690232</v>
      </c>
      <c r="AG31" s="11">
        <f t="shared" si="27"/>
        <v>3.185050762666144</v>
      </c>
      <c r="AH31" s="7">
        <f t="shared" si="17"/>
        <v>-10311.251488547747</v>
      </c>
      <c r="AI31" s="7">
        <f>AH31/'a8'!AY31*100</f>
        <v>-12953.833528326317</v>
      </c>
      <c r="AJ31" s="7">
        <f>AI31*1000000/'a1'!BB31</f>
        <v>-12865.064582705649</v>
      </c>
      <c r="AK31" s="11">
        <f t="shared" si="28"/>
        <v>11.620333007845881</v>
      </c>
      <c r="AL31" s="7">
        <f t="shared" si="18"/>
        <v>-37619.549876270175</v>
      </c>
      <c r="AM31" s="7">
        <f>AL31/'a8'!BE31*100</f>
        <v>-49695.57447327632</v>
      </c>
      <c r="AN31" s="7">
        <f>AM31*1000000/'a1'!BH31</f>
        <v>-18631.471347447645</v>
      </c>
      <c r="AO31" s="11">
        <f t="shared" si="29"/>
        <v>13.026661732336361</v>
      </c>
      <c r="AP31" s="7">
        <f t="shared" si="19"/>
        <v>-42172.384425648415</v>
      </c>
      <c r="AQ31" s="7">
        <f>AP31/'a8'!BK31*100</f>
        <v>-48810.630122278257</v>
      </c>
      <c r="AR31" s="7">
        <f>AQ31*1000000/'a1'!BN31</f>
        <v>-13680.983572458739</v>
      </c>
    </row>
    <row r="32" spans="1:44" ht="17.25" customHeight="1">
      <c r="A32" s="1">
        <v>1994</v>
      </c>
      <c r="B32" s="7">
        <v>-333081</v>
      </c>
      <c r="C32" s="7">
        <f>B32/'a8'!C32*100</f>
        <v>-377642.8571428571</v>
      </c>
      <c r="D32" s="7">
        <f>C32*1000000/'a1'!F32</f>
        <v>-13021.86978079974</v>
      </c>
      <c r="E32" s="11">
        <f t="shared" si="20"/>
        <v>1.3038297276482531</v>
      </c>
      <c r="F32" s="7">
        <f t="shared" si="10"/>
        <v>-4342.8090951480781</v>
      </c>
      <c r="G32" s="7">
        <f>F32/'a8'!I32*100</f>
        <v>-5133.3440840993835</v>
      </c>
      <c r="H32" s="7">
        <f>G32*1000000/'a1'!L32</f>
        <v>-8935.8536172713157</v>
      </c>
      <c r="I32" s="11">
        <f t="shared" si="21"/>
        <v>0.34226703073583986</v>
      </c>
      <c r="J32" s="7">
        <f t="shared" si="11"/>
        <v>-1140.0264486452429</v>
      </c>
      <c r="K32" s="7">
        <f>J32/'a8'!O32*100</f>
        <v>-1321.0039961126802</v>
      </c>
      <c r="L32" s="7">
        <f>K32*1000000/'a1'!R32</f>
        <v>-9899.8328508036011</v>
      </c>
      <c r="M32" s="11">
        <f t="shared" si="22"/>
        <v>2.4213120492893649</v>
      </c>
      <c r="N32" s="7">
        <f t="shared" si="12"/>
        <v>-8064.9303868935103</v>
      </c>
      <c r="O32" s="7">
        <f>N32/'a8'!U32*100</f>
        <v>-9061.7195358354056</v>
      </c>
      <c r="P32" s="7">
        <f>O32*1000000/'a1'!X32</f>
        <v>-9776.6782387575022</v>
      </c>
      <c r="Q32" s="11">
        <f t="shared" si="23"/>
        <v>1.9655954631379962</v>
      </c>
      <c r="R32" s="7">
        <f t="shared" si="13"/>
        <v>-6547.0250245746693</v>
      </c>
      <c r="S32" s="7">
        <f>R32/'a8'!AA32*100</f>
        <v>-7210.3799830117514</v>
      </c>
      <c r="T32" s="7">
        <f>S32*1000000/'a1'!AD32</f>
        <v>-9611.4691482924227</v>
      </c>
      <c r="U32" s="11">
        <f t="shared" si="24"/>
        <v>21.819393684800115</v>
      </c>
      <c r="V32" s="7">
        <f t="shared" si="14"/>
        <v>-72676.25467926907</v>
      </c>
      <c r="W32" s="7">
        <f>V32/'a8'!AG32*100</f>
        <v>-81750.567693216042</v>
      </c>
      <c r="X32" s="7">
        <f>W32*1000000/'a1'!AJ32</f>
        <v>-11366.23847318011</v>
      </c>
      <c r="Y32" s="11">
        <f>J81/C81*100</f>
        <v>39.808037527130153</v>
      </c>
      <c r="Z32" s="7">
        <f t="shared" si="15"/>
        <v>-132593.00947574037</v>
      </c>
      <c r="AA32" s="7">
        <f>Z32/'a8'!AM32*100</f>
        <v>-148480.41374662975</v>
      </c>
      <c r="AB32" s="7">
        <f>AA32*1000000/'a1'!AP32</f>
        <v>-13723.857109112841</v>
      </c>
      <c r="AC32" s="11">
        <f t="shared" si="26"/>
        <v>3.3957992018483512</v>
      </c>
      <c r="AD32" s="7">
        <f t="shared" si="16"/>
        <v>-11310.761939508508</v>
      </c>
      <c r="AE32" s="7">
        <f>AD32/'a8'!AS32*100</f>
        <v>-13152.048766870357</v>
      </c>
      <c r="AF32" s="7">
        <f>AE32*1000000/'a1'!AV32</f>
        <v>-11709.132383278898</v>
      </c>
      <c r="AG32" s="11">
        <f t="shared" si="27"/>
        <v>3.2661065602464472</v>
      </c>
      <c r="AH32" s="7">
        <f t="shared" si="17"/>
        <v>-10878.780391934468</v>
      </c>
      <c r="AI32" s="7">
        <f>AH32/'a8'!AY32*100</f>
        <v>-13348.196799919591</v>
      </c>
      <c r="AJ32" s="7">
        <f>AI32*1000000/'a1'!BB32</f>
        <v>-13221.599980110039</v>
      </c>
      <c r="AK32" s="11">
        <f t="shared" si="28"/>
        <v>11.923657494924036</v>
      </c>
      <c r="AL32" s="7">
        <f t="shared" si="18"/>
        <v>-39715.43762066793</v>
      </c>
      <c r="AM32" s="7">
        <f>AL32/'a8'!BE32*100</f>
        <v>-51378.315162571707</v>
      </c>
      <c r="AN32" s="7">
        <f>AM32*1000000/'a1'!BH32</f>
        <v>-19024.735619550465</v>
      </c>
      <c r="AO32" s="11">
        <f t="shared" si="29"/>
        <v>13.260603514667787</v>
      </c>
      <c r="AP32" s="7">
        <f t="shared" si="19"/>
        <v>-44168.550792690614</v>
      </c>
      <c r="AQ32" s="7">
        <f>AP32/'a8'!BK32*100</f>
        <v>-49185.468588742333</v>
      </c>
      <c r="AR32" s="7">
        <f>AQ32*1000000/'a1'!BN32</f>
        <v>-13379.887131993317</v>
      </c>
    </row>
    <row r="33" spans="1:44" ht="17.25" customHeight="1">
      <c r="A33" s="1">
        <v>1995</v>
      </c>
      <c r="B33" s="7">
        <v>-324189</v>
      </c>
      <c r="C33" s="7">
        <f>B33/'a8'!C33*100</f>
        <v>-359411.3082039911</v>
      </c>
      <c r="D33" s="7">
        <f>C33*1000000/'a1'!F33</f>
        <v>-12265.63011374738</v>
      </c>
      <c r="E33" s="11">
        <f t="shared" si="20"/>
        <v>1.2847142200582151</v>
      </c>
      <c r="F33" s="7">
        <f t="shared" si="10"/>
        <v>-4164.9021828645264</v>
      </c>
      <c r="G33" s="7">
        <f>F33/'a8'!I33*100</f>
        <v>-4854.1983483269541</v>
      </c>
      <c r="H33" s="7">
        <f>G33*1000000/'a1'!L33</f>
        <v>-8555.2062283144842</v>
      </c>
      <c r="I33" s="11">
        <f t="shared" si="21"/>
        <v>0.35612423651029423</v>
      </c>
      <c r="J33" s="7">
        <f t="shared" si="11"/>
        <v>-1154.5156011003578</v>
      </c>
      <c r="K33" s="7">
        <f>J33/'a8'!O33*100</f>
        <v>-1348.7331788555582</v>
      </c>
      <c r="L33" s="7">
        <f>K33*1000000/'a1'!R33</f>
        <v>-10034.097227657316</v>
      </c>
      <c r="M33" s="11">
        <f t="shared" si="22"/>
        <v>2.3934111754244571</v>
      </c>
      <c r="N33" s="7">
        <f t="shared" si="12"/>
        <v>-7759.1757554967935</v>
      </c>
      <c r="O33" s="7">
        <f>N33/'a8'!U33*100</f>
        <v>-8573.674867952257</v>
      </c>
      <c r="P33" s="7">
        <f>O33*1000000/'a1'!X33</f>
        <v>-9237.6792526314021</v>
      </c>
      <c r="Q33" s="11">
        <f t="shared" si="23"/>
        <v>2.0086856320728952</v>
      </c>
      <c r="R33" s="7">
        <f t="shared" si="13"/>
        <v>-6511.9378637607979</v>
      </c>
      <c r="S33" s="7">
        <f>R33/'a8'!AA33*100</f>
        <v>-6912.8852056908681</v>
      </c>
      <c r="T33" s="7">
        <f>S33*1000000/'a1'!AD33</f>
        <v>-9205.6057592798225</v>
      </c>
      <c r="U33" s="11">
        <f t="shared" si="24"/>
        <v>21.576495507316849</v>
      </c>
      <c r="V33" s="7">
        <f t="shared" si="14"/>
        <v>-69948.625020215419</v>
      </c>
      <c r="W33" s="7">
        <f>V33/'a8'!AG33*100</f>
        <v>-76951.182640501007</v>
      </c>
      <c r="X33" s="7">
        <f>W33*1000000/'a1'!AJ33</f>
        <v>-10659.211562982229</v>
      </c>
      <c r="Y33" s="11">
        <f t="shared" si="25"/>
        <v>40.195173612730045</v>
      </c>
      <c r="Z33" s="7">
        <f t="shared" si="15"/>
        <v>-130308.3313833734</v>
      </c>
      <c r="AA33" s="7">
        <f>Z33/'a8'!AM33*100</f>
        <v>-142725.44510774742</v>
      </c>
      <c r="AB33" s="7">
        <f>AA33*1000000/'a1'!AP33</f>
        <v>-13034.145574833245</v>
      </c>
      <c r="AC33" s="11">
        <f t="shared" si="26"/>
        <v>3.354971924893261</v>
      </c>
      <c r="AD33" s="7">
        <f t="shared" si="16"/>
        <v>-10876.449933592214</v>
      </c>
      <c r="AE33" s="7">
        <f>AD33/'a8'!AS33*100</f>
        <v>-12207.014515816178</v>
      </c>
      <c r="AF33" s="7">
        <f>AE33*1000000/'a1'!AV33</f>
        <v>-10810.799730608136</v>
      </c>
      <c r="AG33" s="11">
        <f t="shared" si="27"/>
        <v>3.3142480334103759</v>
      </c>
      <c r="AH33" s="7">
        <f t="shared" si="17"/>
        <v>-10744.427557032765</v>
      </c>
      <c r="AI33" s="7">
        <f>AH33/'a8'!AY33*100</f>
        <v>-12349.916732221569</v>
      </c>
      <c r="AJ33" s="7">
        <f>AI33*1000000/'a1'!BB33</f>
        <v>-12177.159372208054</v>
      </c>
      <c r="AK33" s="11">
        <f t="shared" si="28"/>
        <v>11.824848634211</v>
      </c>
      <c r="AL33" s="7">
        <f t="shared" si="18"/>
        <v>-38334.858538762295</v>
      </c>
      <c r="AM33" s="7">
        <f>AL33/'a8'!BE33*100</f>
        <v>-48958.950879645337</v>
      </c>
      <c r="AN33" s="7">
        <f>AM33*1000000/'a1'!BH33</f>
        <v>-17904.044872112918</v>
      </c>
      <c r="AO33" s="11">
        <f t="shared" si="29"/>
        <v>13.186521284461111</v>
      </c>
      <c r="AP33" s="7">
        <f t="shared" si="19"/>
        <v>-42749.251486881629</v>
      </c>
      <c r="AQ33" s="7">
        <f>AP33/'a8'!BK33*100</f>
        <v>-46365.782523732785</v>
      </c>
      <c r="AR33" s="7">
        <f>AQ33*1000000/'a1'!BN33</f>
        <v>-12274.555320931328</v>
      </c>
    </row>
    <row r="34" spans="1:44" ht="17.25" customHeight="1">
      <c r="A34" s="1">
        <v>1996</v>
      </c>
      <c r="B34" s="7">
        <v>-311370</v>
      </c>
      <c r="C34" s="7">
        <f>B34/'a8'!C34*100</f>
        <v>-339923.58078602626</v>
      </c>
      <c r="D34" s="7">
        <f>C34*1000000/'a1'!F34</f>
        <v>-11479.941849331412</v>
      </c>
      <c r="E34" s="11">
        <f t="shared" si="20"/>
        <v>1.2229059467708838</v>
      </c>
      <c r="F34" s="7">
        <f t="shared" si="10"/>
        <v>-3807.7622464605006</v>
      </c>
      <c r="G34" s="7">
        <f>F34/'a8'!I34*100</f>
        <v>-4327.0025527960233</v>
      </c>
      <c r="H34" s="7">
        <f>G34*1000000/'a1'!L34</f>
        <v>-7730.9594688493144</v>
      </c>
      <c r="I34" s="11">
        <f t="shared" si="21"/>
        <v>0.34530094764738029</v>
      </c>
      <c r="J34" s="7">
        <f t="shared" si="11"/>
        <v>-1075.163560689648</v>
      </c>
      <c r="K34" s="7">
        <f>J34/'a8'!O34*100</f>
        <v>-1219.0063046367891</v>
      </c>
      <c r="L34" s="7">
        <f>K34*1000000/'a1'!R34</f>
        <v>-8980.6486413932016</v>
      </c>
      <c r="M34" s="11">
        <f t="shared" si="22"/>
        <v>2.3195448405291978</v>
      </c>
      <c r="N34" s="7">
        <f t="shared" si="12"/>
        <v>-7222.3667699557627</v>
      </c>
      <c r="O34" s="7">
        <f>N34/'a8'!U34*100</f>
        <v>-7945.3979867500138</v>
      </c>
      <c r="P34" s="7">
        <f>O34*1000000/'a1'!X34</f>
        <v>-8531.2655885097447</v>
      </c>
      <c r="Q34" s="11">
        <f t="shared" si="23"/>
        <v>1.9722846654361341</v>
      </c>
      <c r="R34" s="7">
        <f t="shared" si="13"/>
        <v>-6141.1027627684907</v>
      </c>
      <c r="S34" s="7">
        <f>R34/'a8'!AA34*100</f>
        <v>-6464.3186976510433</v>
      </c>
      <c r="T34" s="7">
        <f>S34*1000000/'a1'!AD34</f>
        <v>-8593.1060441904247</v>
      </c>
      <c r="U34" s="11">
        <f t="shared" si="24"/>
        <v>21.223047732967608</v>
      </c>
      <c r="V34" s="7">
        <f t="shared" si="14"/>
        <v>-66082.203726141233</v>
      </c>
      <c r="W34" s="7">
        <f>V34/'a8'!AG34*100</f>
        <v>-72063.471893283786</v>
      </c>
      <c r="X34" s="7">
        <f>W34*1000000/'a1'!AJ34</f>
        <v>-9944.0452780388332</v>
      </c>
      <c r="Y34" s="11">
        <f t="shared" si="25"/>
        <v>40.076538766924116</v>
      </c>
      <c r="Z34" s="7">
        <f t="shared" si="15"/>
        <v>-124786.31875857164</v>
      </c>
      <c r="AA34" s="7">
        <f>Z34/'a8'!AM34*100</f>
        <v>-134613.07309446778</v>
      </c>
      <c r="AB34" s="7">
        <f>AA34*1000000/'a1'!AP34</f>
        <v>-12146.012023606791</v>
      </c>
      <c r="AC34" s="11">
        <f t="shared" si="26"/>
        <v>3.3966043494849294</v>
      </c>
      <c r="AD34" s="7">
        <f t="shared" si="16"/>
        <v>-10576.006962991225</v>
      </c>
      <c r="AE34" s="7">
        <f>AD34/'a8'!AS34*100</f>
        <v>-11596.498862928975</v>
      </c>
      <c r="AF34" s="7">
        <f>AE34*1000000/'a1'!AV34</f>
        <v>-10224.422289382941</v>
      </c>
      <c r="AG34" s="11">
        <f t="shared" si="27"/>
        <v>3.5036529280138589</v>
      </c>
      <c r="AH34" s="7">
        <f t="shared" si="17"/>
        <v>-10909.324121956754</v>
      </c>
      <c r="AI34" s="7">
        <f>AH34/'a8'!AY34*100</f>
        <v>-11781.127561508374</v>
      </c>
      <c r="AJ34" s="7">
        <f>AI34*1000000/'a1'!BB34</f>
        <v>-11562.083882357118</v>
      </c>
      <c r="AK34" s="11">
        <f t="shared" si="28"/>
        <v>12.311282572156284</v>
      </c>
      <c r="AL34" s="7">
        <f t="shared" si="18"/>
        <v>-38333.640544923022</v>
      </c>
      <c r="AM34" s="7">
        <f>AL34/'a8'!BE34*100</f>
        <v>-46577.935048509142</v>
      </c>
      <c r="AN34" s="7">
        <f>AM34*1000000/'a1'!BH34</f>
        <v>-16784.037034804867</v>
      </c>
      <c r="AO34" s="11">
        <f t="shared" si="29"/>
        <v>13.117698010868557</v>
      </c>
      <c r="AP34" s="7">
        <f t="shared" si="19"/>
        <v>-40844.576296441424</v>
      </c>
      <c r="AQ34" s="7">
        <f>AP34/'a8'!BK34*100</f>
        <v>-44061.031603496682</v>
      </c>
      <c r="AR34" s="7">
        <f>AQ34*1000000/'a1'!BN34</f>
        <v>-11372.593312188104</v>
      </c>
    </row>
    <row r="35" spans="1:44" ht="17.25" customHeight="1">
      <c r="A35" s="1">
        <v>1997</v>
      </c>
      <c r="B35" s="7">
        <v>-290224</v>
      </c>
      <c r="C35" s="7">
        <f>B35/'a8'!C35*100</f>
        <v>-313078.74865156418</v>
      </c>
      <c r="D35" s="7">
        <f>C35*1000000/'a1'!F35</f>
        <v>-10468.778607237738</v>
      </c>
      <c r="E35" s="11">
        <f t="shared" si="20"/>
        <v>1.1517148328264499</v>
      </c>
      <c r="F35" s="7">
        <f t="shared" si="10"/>
        <v>-3342.5528564222359</v>
      </c>
      <c r="G35" s="7">
        <f>F35/'a8'!I35*100</f>
        <v>-3802.6767422323501</v>
      </c>
      <c r="H35" s="7">
        <f>G35*1000000/'a1'!L35</f>
        <v>-6902.5246223661352</v>
      </c>
      <c r="I35" s="11">
        <f t="shared" si="21"/>
        <v>0.30861113967941467</v>
      </c>
      <c r="J35" s="7">
        <f t="shared" si="11"/>
        <v>-895.66359402318449</v>
      </c>
      <c r="K35" s="7">
        <f>J35/'a8'!O35*100</f>
        <v>-1028.3164110484324</v>
      </c>
      <c r="L35" s="7">
        <f>K35*1000000/'a1'!R35</f>
        <v>-7555.8720823574158</v>
      </c>
      <c r="M35" s="11">
        <f t="shared" si="22"/>
        <v>2.2503538388453834</v>
      </c>
      <c r="N35" s="7">
        <f t="shared" si="12"/>
        <v>-6531.0669252506259</v>
      </c>
      <c r="O35" s="7">
        <f>N35/'a8'!U35*100</f>
        <v>-7176.9966211545334</v>
      </c>
      <c r="P35" s="7">
        <f>O35*1000000/'a1'!X35</f>
        <v>-7697.3200627567649</v>
      </c>
      <c r="Q35" s="11">
        <f t="shared" si="23"/>
        <v>1.8696036515189358</v>
      </c>
      <c r="R35" s="7">
        <f t="shared" si="13"/>
        <v>-5426.0385015843167</v>
      </c>
      <c r="S35" s="7">
        <f>R35/'a8'!AA35*100</f>
        <v>-5705.6135663347186</v>
      </c>
      <c r="T35" s="7">
        <f>S35*1000000/'a1'!AD35</f>
        <v>-7582.099884698986</v>
      </c>
      <c r="U35" s="11">
        <f t="shared" si="24"/>
        <v>21.440638330174497</v>
      </c>
      <c r="V35" s="7">
        <f t="shared" si="14"/>
        <v>-62225.878187365633</v>
      </c>
      <c r="W35" s="7">
        <f>V35/'a8'!AG35*100</f>
        <v>-67126.082187017935</v>
      </c>
      <c r="X35" s="7">
        <f>W35*1000000/'a1'!AJ35</f>
        <v>-9227.4462767862005</v>
      </c>
      <c r="Y35" s="11">
        <f t="shared" si="25"/>
        <v>40.567660353887817</v>
      </c>
      <c r="Z35" s="7">
        <f t="shared" si="15"/>
        <v>-117737.08658546739</v>
      </c>
      <c r="AA35" s="7">
        <f>Z35/'a8'!AM35*100</f>
        <v>-124853.75035574484</v>
      </c>
      <c r="AB35" s="7">
        <f>AA35*1000000/'a1'!AP35</f>
        <v>-11120.20228948556</v>
      </c>
      <c r="AC35" s="11">
        <f t="shared" si="26"/>
        <v>3.3643585109873699</v>
      </c>
      <c r="AD35" s="7">
        <f t="shared" si="16"/>
        <v>-9764.1758449279841</v>
      </c>
      <c r="AE35" s="7">
        <f>AD35/'a8'!AS35*100</f>
        <v>-10613.234614052157</v>
      </c>
      <c r="AF35" s="7">
        <f>AE35*1000000/'a1'!AV35</f>
        <v>-9341.5835311269129</v>
      </c>
      <c r="AG35" s="11">
        <f t="shared" si="27"/>
        <v>3.2944233038998183</v>
      </c>
      <c r="AH35" s="7">
        <f t="shared" si="17"/>
        <v>-9561.2070895102079</v>
      </c>
      <c r="AI35" s="7">
        <f>AH35/'a8'!AY35*100</f>
        <v>-10647.223930412258</v>
      </c>
      <c r="AJ35" s="7">
        <f>AI35*1000000/'a1'!BB35</f>
        <v>-10459.969555430933</v>
      </c>
      <c r="AK35" s="11">
        <f t="shared" si="28"/>
        <v>12.480593959517899</v>
      </c>
      <c r="AL35" s="7">
        <f t="shared" si="18"/>
        <v>-36221.679013071225</v>
      </c>
      <c r="AM35" s="7">
        <f>AL35/'a8'!BE35*100</f>
        <v>-43327.367240515821</v>
      </c>
      <c r="AN35" s="7">
        <f>AM35*1000000/'a1'!BH35</f>
        <v>-15310.846109231246</v>
      </c>
      <c r="AO35" s="11">
        <f t="shared" si="29"/>
        <v>12.801142568894505</v>
      </c>
      <c r="AP35" s="7">
        <f t="shared" si="19"/>
        <v>-37151.988009148386</v>
      </c>
      <c r="AQ35" s="7">
        <f>AP35/'a8'!BK35*100</f>
        <v>-39355.919501216507</v>
      </c>
      <c r="AR35" s="7">
        <f>AQ35*1000000/'a1'!BN35</f>
        <v>-9967.0994635838997</v>
      </c>
    </row>
    <row r="36" spans="1:44" ht="17.25" customHeight="1">
      <c r="A36" s="1">
        <v>1998</v>
      </c>
      <c r="B36" s="7">
        <v>-299661</v>
      </c>
      <c r="C36" s="7">
        <f>B36/'a8'!C36*100</f>
        <v>-324659.80498374865</v>
      </c>
      <c r="D36" s="7">
        <f>C36*1000000/'a1'!F36</f>
        <v>-10766.305502002879</v>
      </c>
      <c r="E36" s="11">
        <f t="shared" si="20"/>
        <v>1.1796809106308783</v>
      </c>
      <c r="F36" s="7">
        <f t="shared" si="10"/>
        <v>-3535.0436136055964</v>
      </c>
      <c r="G36" s="7">
        <f>F36/'a8'!I36*100</f>
        <v>-3994.399563396154</v>
      </c>
      <c r="H36" s="7">
        <f>G36*1000000/'a1'!L36</f>
        <v>-7399.1874737583967</v>
      </c>
      <c r="I36" s="11">
        <f t="shared" si="21"/>
        <v>0.3182270292746659</v>
      </c>
      <c r="J36" s="7">
        <f t="shared" si="11"/>
        <v>-953.6022981947566</v>
      </c>
      <c r="K36" s="7">
        <f>J36/'a8'!O36*100</f>
        <v>-1075.0871456536152</v>
      </c>
      <c r="L36" s="7">
        <f>K36*1000000/'a1'!R36</f>
        <v>-7916.4615597008578</v>
      </c>
      <c r="M36" s="11">
        <f t="shared" si="22"/>
        <v>2.2893823520378391</v>
      </c>
      <c r="N36" s="7">
        <f t="shared" si="12"/>
        <v>-6860.3860499401089</v>
      </c>
      <c r="O36" s="7">
        <f>N36/'a8'!U36*100</f>
        <v>-7440.7657808461054</v>
      </c>
      <c r="P36" s="7">
        <f>O36*1000000/'a1'!X36</f>
        <v>-7985.0593675776699</v>
      </c>
      <c r="Q36" s="11">
        <f t="shared" si="23"/>
        <v>1.8952103518582835</v>
      </c>
      <c r="R36" s="7">
        <f t="shared" si="13"/>
        <v>-5679.2062924820511</v>
      </c>
      <c r="S36" s="7">
        <f>R36/'a8'!AA36*100</f>
        <v>-5915.8398880021368</v>
      </c>
      <c r="T36" s="7">
        <f>S36*1000000/'a1'!AD36</f>
        <v>-7882.2164177343175</v>
      </c>
      <c r="U36" s="11">
        <f t="shared" si="24"/>
        <v>21.529200244762762</v>
      </c>
      <c r="V36" s="7">
        <f t="shared" si="14"/>
        <v>-64514.616745458537</v>
      </c>
      <c r="W36" s="7">
        <f>V36/'a8'!AG36*100</f>
        <v>-68925.872591301857</v>
      </c>
      <c r="X36" s="7">
        <f>W36*1000000/'a1'!AJ36</f>
        <v>-9447.1610001051085</v>
      </c>
      <c r="Y36" s="11">
        <f t="shared" si="25"/>
        <v>41.139611639934131</v>
      </c>
      <c r="Z36" s="7">
        <f t="shared" si="15"/>
        <v>-123279.37163634301</v>
      </c>
      <c r="AA36" s="7">
        <f>Z36/'a8'!AM36*100</f>
        <v>-130316.46050353386</v>
      </c>
      <c r="AB36" s="7">
        <f>AA36*1000000/'a1'!AP36</f>
        <v>-11465.563575077229</v>
      </c>
      <c r="AC36" s="11">
        <f t="shared" si="26"/>
        <v>3.3804785159249366</v>
      </c>
      <c r="AD36" s="7">
        <f t="shared" si="16"/>
        <v>-10129.975725605826</v>
      </c>
      <c r="AE36" s="7">
        <f>AD36/'a8'!AS36*100</f>
        <v>-11022.824510996546</v>
      </c>
      <c r="AF36" s="7">
        <f>AE36*1000000/'a1'!AV36</f>
        <v>-9690.4888847246402</v>
      </c>
      <c r="AG36" s="11">
        <f t="shared" si="27"/>
        <v>3.2377789905662384</v>
      </c>
      <c r="AH36" s="7">
        <f t="shared" si="17"/>
        <v>-9702.3609009206957</v>
      </c>
      <c r="AI36" s="7">
        <f>AH36/'a8'!AY36*100</f>
        <v>-11113.81546497216</v>
      </c>
      <c r="AJ36" s="7">
        <f>AI36*1000000/'a1'!BB36</f>
        <v>-10924.472507472645</v>
      </c>
      <c r="AK36" s="11">
        <f t="shared" si="28"/>
        <v>12.065504752319459</v>
      </c>
      <c r="AL36" s="7">
        <f t="shared" si="18"/>
        <v>-36155.612195848014</v>
      </c>
      <c r="AM36" s="7">
        <f>AL36/'a8'!BE36*100</f>
        <v>-45364.632617124233</v>
      </c>
      <c r="AN36" s="7">
        <f>AM36*1000000/'a1'!BH36</f>
        <v>-15648.016505013762</v>
      </c>
      <c r="AO36" s="11">
        <f t="shared" si="29"/>
        <v>12.510661119340746</v>
      </c>
      <c r="AP36" s="7">
        <f t="shared" si="19"/>
        <v>-37489.572216827677</v>
      </c>
      <c r="AQ36" s="7">
        <f>AP36/'a8'!BK36*100</f>
        <v>-39797.847363935958</v>
      </c>
      <c r="AR36" s="7">
        <f>AQ36*1000000/'a1'!BN36</f>
        <v>-9991.6440643125006</v>
      </c>
    </row>
    <row r="37" spans="1:44" ht="17.25" customHeight="1">
      <c r="A37" s="1">
        <v>1999</v>
      </c>
      <c r="B37" s="7">
        <v>-243677</v>
      </c>
      <c r="C37" s="7">
        <f>B37/'a8'!C37*100</f>
        <v>-259506.92225772096</v>
      </c>
      <c r="D37" s="7">
        <f>C37*1000000/'a1'!F37</f>
        <v>-8536.0508189594657</v>
      </c>
      <c r="E37" s="11">
        <f t="shared" si="20"/>
        <v>1.1971388181080671</v>
      </c>
      <c r="F37" s="7">
        <f t="shared" si="10"/>
        <v>-2917.1519578011944</v>
      </c>
      <c r="G37" s="7">
        <f>F37/'a8'!I37*100</f>
        <v>-3188.1442161761688</v>
      </c>
      <c r="H37" s="7">
        <f>G37*1000000/'a1'!L37</f>
        <v>-5977.8189751094897</v>
      </c>
      <c r="I37" s="11">
        <f t="shared" si="21"/>
        <v>0.31318223490536379</v>
      </c>
      <c r="J37" s="7">
        <f t="shared" si="11"/>
        <v>-763.15307455034326</v>
      </c>
      <c r="K37" s="7">
        <f>J37/'a8'!O37*100</f>
        <v>-846.06771014450464</v>
      </c>
      <c r="L37" s="7">
        <f>K37*1000000/'a1'!R37</f>
        <v>-6208.2587458596918</v>
      </c>
      <c r="M37" s="11">
        <f t="shared" si="22"/>
        <v>2.3021037843494621</v>
      </c>
      <c r="N37" s="7">
        <f t="shared" si="12"/>
        <v>-5609.6974385892381</v>
      </c>
      <c r="O37" s="7">
        <f>N37/'a8'!U37*100</f>
        <v>-5955.0928222815692</v>
      </c>
      <c r="P37" s="7">
        <f>O37*1000000/'a1'!X37</f>
        <v>-6377.3772331519594</v>
      </c>
      <c r="Q37" s="11">
        <f t="shared" si="23"/>
        <v>1.9079382737491948</v>
      </c>
      <c r="R37" s="7">
        <f t="shared" si="13"/>
        <v>-4649.2067473238258</v>
      </c>
      <c r="S37" s="7">
        <f>R37/'a8'!AA37*100</f>
        <v>-4763.5315034055593</v>
      </c>
      <c r="T37" s="7">
        <f>S37*1000000/'a1'!AD37</f>
        <v>-6346.2898442788637</v>
      </c>
      <c r="U37" s="11">
        <f t="shared" si="24"/>
        <v>21.519895701191828</v>
      </c>
      <c r="V37" s="7">
        <f t="shared" si="14"/>
        <v>-52439.036247793207</v>
      </c>
      <c r="W37" s="7">
        <f>V37/'a8'!AG37*100</f>
        <v>-55373.85031445956</v>
      </c>
      <c r="X37" s="7">
        <f>W37*1000000/'a1'!AJ37</f>
        <v>-7561.3764809967643</v>
      </c>
      <c r="Y37" s="11">
        <f t="shared" si="25"/>
        <v>41.42897501797308</v>
      </c>
      <c r="Z37" s="7">
        <f t="shared" si="15"/>
        <v>-100952.88345454626</v>
      </c>
      <c r="AA37" s="7">
        <f>Z37/'a8'!AM37*100</f>
        <v>-106042.94480519566</v>
      </c>
      <c r="AB37" s="7">
        <f>AA37*1000000/'a1'!AP37</f>
        <v>-9217.3112713787104</v>
      </c>
      <c r="AC37" s="11">
        <f t="shared" si="26"/>
        <v>3.2639107216272722</v>
      </c>
      <c r="AD37" s="7">
        <f t="shared" si="16"/>
        <v>-7953.3997291396881</v>
      </c>
      <c r="AE37" s="7">
        <f>AD37/'a8'!AS37*100</f>
        <v>-8524.5441898603312</v>
      </c>
      <c r="AF37" s="7">
        <f>AE37*1000000/'a1'!AV37</f>
        <v>-7461.6474359098456</v>
      </c>
      <c r="AG37" s="11">
        <f t="shared" si="27"/>
        <v>3.1600406290466907</v>
      </c>
      <c r="AH37" s="7">
        <f t="shared" si="17"/>
        <v>-7700.2922036421041</v>
      </c>
      <c r="AI37" s="7">
        <f>AH37/'a8'!AY37*100</f>
        <v>-8489.8480745778434</v>
      </c>
      <c r="AJ37" s="7">
        <f>AI37*1000000/'a1'!BB37</f>
        <v>-8368.3067868062699</v>
      </c>
      <c r="AK37" s="11">
        <f t="shared" si="28"/>
        <v>12.257517362981398</v>
      </c>
      <c r="AL37" s="7">
        <f t="shared" si="18"/>
        <v>-29868.750584592181</v>
      </c>
      <c r="AM37" s="7">
        <f>AL37/'a8'!BE37*100</f>
        <v>-34852.684462768004</v>
      </c>
      <c r="AN37" s="7">
        <f>AM37*1000000/'a1'!BH37</f>
        <v>-11803.697934890602</v>
      </c>
      <c r="AO37" s="11">
        <f t="shared" si="29"/>
        <v>12.18061238174595</v>
      </c>
      <c r="AP37" s="7">
        <f t="shared" si="19"/>
        <v>-29681.350833467081</v>
      </c>
      <c r="AQ37" s="7">
        <f>AP37/'a8'!BK37*100</f>
        <v>-31112.527079105952</v>
      </c>
      <c r="AR37" s="7">
        <f>AQ37*1000000/'a1'!BN37</f>
        <v>-7756.0754302716532</v>
      </c>
    </row>
    <row r="38" spans="1:44" ht="17.25" customHeight="1">
      <c r="A38" s="1">
        <v>2000</v>
      </c>
      <c r="B38" s="7">
        <v>-208837</v>
      </c>
      <c r="C38" s="7">
        <f>B38/'a8'!C38*100</f>
        <v>-213534.76482617587</v>
      </c>
      <c r="D38" s="7">
        <f>C38*1000000/'a1'!F38</f>
        <v>-6958.7643776496725</v>
      </c>
      <c r="E38" s="11">
        <f t="shared" si="20"/>
        <v>1.2575980318622304</v>
      </c>
      <c r="F38" s="7">
        <f t="shared" si="10"/>
        <v>-2626.330001800126</v>
      </c>
      <c r="G38" s="7">
        <f>F38/'a8'!I38*100</f>
        <v>-2642.1831004025412</v>
      </c>
      <c r="H38" s="7">
        <f>G38*1000000/'a1'!L38</f>
        <v>-5004.4569165486819</v>
      </c>
      <c r="I38" s="11">
        <f t="shared" si="21"/>
        <v>0.3035612492874501</v>
      </c>
      <c r="J38" s="7">
        <f t="shared" si="11"/>
        <v>-633.94820617443213</v>
      </c>
      <c r="K38" s="7">
        <f>J38/'a8'!O38*100</f>
        <v>-672.26745087426525</v>
      </c>
      <c r="L38" s="7">
        <f>K38*1000000/'a1'!R38</f>
        <v>-4926.1189336430361</v>
      </c>
      <c r="M38" s="11">
        <f t="shared" si="22"/>
        <v>2.2483473843169026</v>
      </c>
      <c r="N38" s="7">
        <f t="shared" si="12"/>
        <v>-4695.38122698589</v>
      </c>
      <c r="O38" s="7">
        <f>N38/'a8'!U38*100</f>
        <v>-4805.9173254717398</v>
      </c>
      <c r="P38" s="7">
        <f>O38*1000000/'a1'!X38</f>
        <v>-5146.5080839601378</v>
      </c>
      <c r="Q38" s="11">
        <f t="shared" si="23"/>
        <v>1.8307481523706661</v>
      </c>
      <c r="R38" s="7">
        <f t="shared" si="13"/>
        <v>-3823.2795189663279</v>
      </c>
      <c r="S38" s="7">
        <f>R38/'a8'!AA38*100</f>
        <v>-3792.9360307205634</v>
      </c>
      <c r="T38" s="7">
        <f>S38*1000000/'a1'!AD38</f>
        <v>-5053.7643127611545</v>
      </c>
      <c r="U38" s="11">
        <f t="shared" si="24"/>
        <v>20.931525206764473</v>
      </c>
      <c r="V38" s="7">
        <f t="shared" si="14"/>
        <v>-43712.769296050719</v>
      </c>
      <c r="W38" s="7">
        <f>V38/'a8'!AG38*100</f>
        <v>-45157.81952071355</v>
      </c>
      <c r="X38" s="7">
        <f>W38*1000000/'a1'!AJ38</f>
        <v>-6138.1161191251031</v>
      </c>
      <c r="Y38" s="11">
        <f t="shared" si="25"/>
        <v>40.626763873471141</v>
      </c>
      <c r="Z38" s="7">
        <f t="shared" si="15"/>
        <v>-84843.714870440919</v>
      </c>
      <c r="AA38" s="7">
        <f>Z38/'a8'!AM38*100</f>
        <v>-87648.465775248886</v>
      </c>
      <c r="AB38" s="7">
        <f>AA38*1000000/'a1'!AP38</f>
        <v>-7502.0363078592491</v>
      </c>
      <c r="AC38" s="11">
        <f t="shared" si="26"/>
        <v>3.1576910383726862</v>
      </c>
      <c r="AD38" s="7">
        <f t="shared" si="16"/>
        <v>-6594.4272338063665</v>
      </c>
      <c r="AE38" s="7">
        <f>AD38/'a8'!AS38*100</f>
        <v>-6912.3975197131731</v>
      </c>
      <c r="AF38" s="7">
        <f>AE38*1000000/'a1'!AV38</f>
        <v>-6024.8576628288647</v>
      </c>
      <c r="AG38" s="11">
        <f t="shared" si="27"/>
        <v>3.1942835998519894</v>
      </c>
      <c r="AH38" s="7">
        <f t="shared" si="17"/>
        <v>-6670.8460414228994</v>
      </c>
      <c r="AI38" s="7">
        <f>AH38/'a8'!AY38*100</f>
        <v>-6863.0103306819947</v>
      </c>
      <c r="AJ38" s="7">
        <f>AI38*1000000/'a1'!BB38</f>
        <v>-6811.4814733362064</v>
      </c>
      <c r="AK38" s="11">
        <f t="shared" si="28"/>
        <v>13.905473383136819</v>
      </c>
      <c r="AL38" s="7">
        <f t="shared" si="18"/>
        <v>-29039.773449141438</v>
      </c>
      <c r="AM38" s="7">
        <f>AL38/'a8'!BE38*100</f>
        <v>-29068.842291432866</v>
      </c>
      <c r="AN38" s="7">
        <f>AM38*1000000/'a1'!BH38</f>
        <v>-9676.0740441984399</v>
      </c>
      <c r="AO38" s="11">
        <f t="shared" si="29"/>
        <v>12.076475353274729</v>
      </c>
      <c r="AP38" s="7">
        <f t="shared" si="19"/>
        <v>-25220.148833518346</v>
      </c>
      <c r="AQ38" s="7">
        <f>AP38/'a8'!BK38*100</f>
        <v>-25449.191557536175</v>
      </c>
      <c r="AR38" s="7">
        <f>AQ38*1000000/'a1'!BN38</f>
        <v>-6300.5056799281483</v>
      </c>
    </row>
    <row r="39" spans="1:44" ht="17.25" customHeight="1">
      <c r="A39" s="1">
        <v>2001</v>
      </c>
      <c r="B39" s="7">
        <v>-203438</v>
      </c>
      <c r="C39" s="7">
        <f>B39/'a8'!C39*100</f>
        <v>-205700.70778564204</v>
      </c>
      <c r="D39" s="7">
        <f>C39*1000000/'a1'!F39</f>
        <v>-6631.4379946768795</v>
      </c>
      <c r="E39" s="11">
        <f t="shared" si="20"/>
        <v>1.2391151862286518</v>
      </c>
      <c r="F39" s="7">
        <f t="shared" si="10"/>
        <v>-2520.8311525598447</v>
      </c>
      <c r="G39" s="7">
        <f>F39/'a8'!I39*100</f>
        <v>-2530.9549724496437</v>
      </c>
      <c r="H39" s="7">
        <f>G39*1000000/'a1'!L39</f>
        <v>-4848.2662445662318</v>
      </c>
      <c r="I39" s="11">
        <f t="shared" si="21"/>
        <v>0.3035056172808408</v>
      </c>
      <c r="J39" s="7">
        <f t="shared" si="11"/>
        <v>-617.44575768379696</v>
      </c>
      <c r="K39" s="7">
        <f>J39/'a8'!O39*100</f>
        <v>-635.88646517383825</v>
      </c>
      <c r="L39" s="7">
        <f>K39*1000000/'a1'!R39</f>
        <v>-4652.9526292693581</v>
      </c>
      <c r="M39" s="11">
        <f t="shared" si="22"/>
        <v>2.2857236972132551</v>
      </c>
      <c r="N39" s="7">
        <f t="shared" si="12"/>
        <v>-4650.0305751367023</v>
      </c>
      <c r="O39" s="7">
        <f>N39/'a8'!U39*100</f>
        <v>-4673.3975629514598</v>
      </c>
      <c r="P39" s="7">
        <f>O39*1000000/'a1'!X39</f>
        <v>-5011.9336320627717</v>
      </c>
      <c r="Q39" s="11">
        <f t="shared" si="23"/>
        <v>1.822671027696934</v>
      </c>
      <c r="R39" s="7">
        <f t="shared" si="13"/>
        <v>-3708.0054853260885</v>
      </c>
      <c r="S39" s="7">
        <f>R39/'a8'!AA39*100</f>
        <v>-3628.1854063856053</v>
      </c>
      <c r="T39" s="7">
        <f>S39*1000000/'a1'!AD39</f>
        <v>-4838.8644538825711</v>
      </c>
      <c r="U39" s="11">
        <f t="shared" si="24"/>
        <v>20.898774622834175</v>
      </c>
      <c r="V39" s="7">
        <f t="shared" si="14"/>
        <v>-42516.049117201386</v>
      </c>
      <c r="W39" s="7">
        <f>V39/'a8'!AG39*100</f>
        <v>-43295.365699797745</v>
      </c>
      <c r="X39" s="7">
        <f>W39*1000000/'a1'!AJ39</f>
        <v>-5853.6273863078522</v>
      </c>
      <c r="Y39" s="11">
        <f t="shared" si="25"/>
        <v>40.488649178625266</v>
      </c>
      <c r="Z39" s="7">
        <f t="shared" si="15"/>
        <v>-82369.298116011676</v>
      </c>
      <c r="AA39" s="7">
        <f>Z39/'a8'!AM39*100</f>
        <v>-84136.157421870957</v>
      </c>
      <c r="AB39" s="7">
        <f>AA39*1000000/'a1'!AP39</f>
        <v>-7072.2485306905774</v>
      </c>
      <c r="AC39" s="11">
        <f t="shared" si="26"/>
        <v>3.1514127490379509</v>
      </c>
      <c r="AD39" s="7">
        <f t="shared" si="16"/>
        <v>-6411.1710683878273</v>
      </c>
      <c r="AE39" s="7">
        <f>AD39/'a8'!AS39*100</f>
        <v>-6562.0993535187581</v>
      </c>
      <c r="AF39" s="7">
        <f>AE39*1000000/'a1'!AV39</f>
        <v>-5699.0421147092966</v>
      </c>
      <c r="AG39" s="11">
        <f t="shared" si="27"/>
        <v>3.0303379669279926</v>
      </c>
      <c r="AH39" s="7">
        <f t="shared" si="17"/>
        <v>-6164.8589531589696</v>
      </c>
      <c r="AI39" s="7">
        <f>AH39/'a8'!AY39*100</f>
        <v>-6415.0457368979914</v>
      </c>
      <c r="AJ39" s="7">
        <f>AI39*1000000/'a1'!BB39</f>
        <v>-6413.6283250381575</v>
      </c>
      <c r="AK39" s="11">
        <f t="shared" si="28"/>
        <v>14.376799603166912</v>
      </c>
      <c r="AL39" s="7">
        <f t="shared" si="18"/>
        <v>-29247.873576690701</v>
      </c>
      <c r="AM39" s="7">
        <f>AL39/'a8'!BE39*100</f>
        <v>-28506.699392486065</v>
      </c>
      <c r="AN39" s="7">
        <f>AM39*1000000/'a1'!BH39</f>
        <v>-9321.9558270886209</v>
      </c>
      <c r="AO39" s="11">
        <f t="shared" si="29"/>
        <v>11.894577647911394</v>
      </c>
      <c r="AP39" s="7">
        <f t="shared" si="19"/>
        <v>-24198.090875357979</v>
      </c>
      <c r="AQ39" s="7">
        <f>AP39/'a8'!BK39*100</f>
        <v>-24173.916958399583</v>
      </c>
      <c r="AR39" s="7">
        <f>AQ39*1000000/'a1'!BN39</f>
        <v>-5930.410041744004</v>
      </c>
    </row>
    <row r="40" spans="1:44" ht="17.25" customHeight="1">
      <c r="A40" s="1">
        <v>2002</v>
      </c>
      <c r="B40" s="7">
        <v>-208692</v>
      </c>
      <c r="C40" s="7">
        <f>B40/'a8'!C40*100</f>
        <v>-208692</v>
      </c>
      <c r="D40" s="7">
        <f>C40*1000000/'a1'!F40</f>
        <v>-6656.0658827155594</v>
      </c>
      <c r="E40" s="11">
        <f t="shared" si="20"/>
        <v>1.4012528479132458</v>
      </c>
      <c r="F40" s="7">
        <f t="shared" ref="F40:F45" si="30">E40/100*B40</f>
        <v>-2924.3025933671106</v>
      </c>
      <c r="G40" s="7">
        <f>F40/'a8'!I40*100</f>
        <v>-2924.3025933671106</v>
      </c>
      <c r="H40" s="7">
        <f>G40*1000000/'a1'!L40</f>
        <v>-5628.735519857546</v>
      </c>
      <c r="I40" s="11">
        <f t="shared" si="21"/>
        <v>0.31244473761771763</v>
      </c>
      <c r="J40" s="7">
        <f t="shared" ref="J40:J46" si="31">I40/100*B40</f>
        <v>-652.04717182916727</v>
      </c>
      <c r="K40" s="7">
        <f>J40/'a8'!O40*100</f>
        <v>-652.04717182916727</v>
      </c>
      <c r="L40" s="7">
        <f>K40*1000000/'a1'!R40</f>
        <v>-4763.7801501298054</v>
      </c>
      <c r="M40" s="11">
        <f t="shared" si="22"/>
        <v>2.293226293899969</v>
      </c>
      <c r="N40" s="7">
        <f t="shared" ref="N40:N46" si="32">M40/100*B40</f>
        <v>-4785.7798172657231</v>
      </c>
      <c r="O40" s="7">
        <f>N40/'a8'!U40*100</f>
        <v>-4785.7798172657231</v>
      </c>
      <c r="P40" s="7">
        <f>O40*1000000/'a1'!X40</f>
        <v>-5118.3989746321968</v>
      </c>
      <c r="Q40" s="11">
        <f t="shared" si="23"/>
        <v>1.7885503361356334</v>
      </c>
      <c r="R40" s="7">
        <f t="shared" ref="R40:R46" si="33">Q40/100*B40</f>
        <v>-3732.5614674881763</v>
      </c>
      <c r="S40" s="7">
        <f>R40/'a8'!AA40*100</f>
        <v>-3732.5614674881763</v>
      </c>
      <c r="T40" s="7">
        <f>S40*1000000/'a1'!AD40</f>
        <v>-4981.1918464445971</v>
      </c>
      <c r="U40" s="11">
        <f t="shared" si="24"/>
        <v>20.944688495600062</v>
      </c>
      <c r="V40" s="7">
        <f t="shared" ref="V40:V46" si="34">U40/100*B40</f>
        <v>-43709.889315237677</v>
      </c>
      <c r="W40" s="7">
        <f>V40/'a8'!AG40*100</f>
        <v>-43709.889315237677</v>
      </c>
      <c r="X40" s="7">
        <f>W40*1000000/'a1'!AJ40</f>
        <v>-5874.1355840523165</v>
      </c>
      <c r="Y40" s="11">
        <f t="shared" si="25"/>
        <v>41.189672191735319</v>
      </c>
      <c r="Z40" s="7">
        <f t="shared" ref="Z40:Z43" si="35">Y40/100*B40</f>
        <v>-85959.550690376273</v>
      </c>
      <c r="AA40" s="7">
        <f>Z40/'a8'!AM40*100</f>
        <v>-85959.550690376273</v>
      </c>
      <c r="AB40" s="7">
        <f>AA40*1000000/'a1'!AP40</f>
        <v>-7109.3660175967043</v>
      </c>
      <c r="AC40" s="11">
        <f t="shared" si="26"/>
        <v>3.1451628749070188</v>
      </c>
      <c r="AD40" s="7">
        <f t="shared" ref="AD40:AD43" si="36">AC40/100*B40</f>
        <v>-6563.7033069009558</v>
      </c>
      <c r="AE40" s="7">
        <f>AD40/'a8'!AS40*100</f>
        <v>-6563.7033069009558</v>
      </c>
      <c r="AF40" s="7">
        <f>AE40*1000000/'a1'!AV40</f>
        <v>-5674.9347507774473</v>
      </c>
      <c r="AG40" s="11">
        <f t="shared" si="27"/>
        <v>3.0625815778024168</v>
      </c>
      <c r="AH40" s="7">
        <f t="shared" ref="AH40:AH43" si="37">AG40/100*B40</f>
        <v>-6391.3627463474195</v>
      </c>
      <c r="AI40" s="7">
        <f>AH40/'a8'!AY40*100</f>
        <v>-6391.3627463474195</v>
      </c>
      <c r="AJ40" s="7">
        <f>AI40*1000000/'a1'!BB40</f>
        <v>-6411.8743323365643</v>
      </c>
      <c r="AK40" s="11">
        <f t="shared" si="28"/>
        <v>13.498402361604283</v>
      </c>
      <c r="AL40" s="7">
        <f t="shared" ref="AL40:AL43" si="38">AK40/100*B40</f>
        <v>-28170.085856479211</v>
      </c>
      <c r="AM40" s="7">
        <f>AL40/'a8'!BE40*100</f>
        <v>-28170.085856479211</v>
      </c>
      <c r="AN40" s="7">
        <f>AM40*1000000/'a1'!BH40</f>
        <v>-9004.7340579546399</v>
      </c>
      <c r="AO40" s="11">
        <f t="shared" si="29"/>
        <v>11.860483829466721</v>
      </c>
      <c r="AP40" s="7">
        <f t="shared" ref="AP40:AP43" si="39">AO40/100*B40</f>
        <v>-24751.880913390691</v>
      </c>
      <c r="AQ40" s="7">
        <f>AP40/'a8'!BK40*100</f>
        <v>-24751.880913390691</v>
      </c>
      <c r="AR40" s="7">
        <f>AQ40*1000000/'a1'!BN40</f>
        <v>-6039.7281214702462</v>
      </c>
    </row>
    <row r="41" spans="1:44" ht="17.25" customHeight="1">
      <c r="A41" s="1">
        <v>2003</v>
      </c>
      <c r="B41" s="7">
        <v>-216699</v>
      </c>
      <c r="C41" s="7">
        <f>B41/'a8'!C41*100</f>
        <v>-209776.37947725074</v>
      </c>
      <c r="D41" s="7">
        <f>C41*1000000/'a1'!F41</f>
        <v>-6630.169640746908</v>
      </c>
      <c r="E41" s="11">
        <f t="shared" si="20"/>
        <v>1.4655615363626378</v>
      </c>
      <c r="F41" s="7">
        <f t="shared" si="30"/>
        <v>-3175.8571936824724</v>
      </c>
      <c r="G41" s="7">
        <f>F41/'a8'!I41*100</f>
        <v>-3053.7088400793004</v>
      </c>
      <c r="H41" s="7">
        <f>G41*1000000/'a1'!L41</f>
        <v>-5889.2787936420973</v>
      </c>
      <c r="I41" s="11">
        <f t="shared" si="21"/>
        <v>0.30308399391918467</v>
      </c>
      <c r="J41" s="7">
        <f t="shared" si="31"/>
        <v>-656.77998398293403</v>
      </c>
      <c r="K41" s="7">
        <f>J41/'a8'!O41*100</f>
        <v>-653.51242187356627</v>
      </c>
      <c r="L41" s="7">
        <f>K41*1000000/'a1'!R41</f>
        <v>-4762.4811207728135</v>
      </c>
      <c r="M41" s="11">
        <f t="shared" si="22"/>
        <v>2.3149178416649248</v>
      </c>
      <c r="N41" s="7">
        <f t="shared" si="32"/>
        <v>-5016.4038137094758</v>
      </c>
      <c r="O41" s="7">
        <f>N41/'a8'!U41*100</f>
        <v>-4772.9817447283313</v>
      </c>
      <c r="P41" s="7">
        <f>O41*1000000/'a1'!X41</f>
        <v>-5091.2294035124942</v>
      </c>
      <c r="Q41" s="11">
        <f t="shared" si="23"/>
        <v>1.7865849985294069</v>
      </c>
      <c r="R41" s="7">
        <f t="shared" si="33"/>
        <v>-3871.5118259632391</v>
      </c>
      <c r="S41" s="7">
        <f>R41/'a8'!AA41*100</f>
        <v>-3766.0620875128784</v>
      </c>
      <c r="T41" s="7">
        <f>S41*1000000/'a1'!AD41</f>
        <v>-5025.5102323531282</v>
      </c>
      <c r="U41" s="11">
        <f t="shared" si="24"/>
        <v>20.639681572223857</v>
      </c>
      <c r="V41" s="7">
        <f t="shared" si="34"/>
        <v>-44725.98357019337</v>
      </c>
      <c r="W41" s="7">
        <f>V41/'a8'!AG41*100</f>
        <v>-43592.576579135843</v>
      </c>
      <c r="X41" s="7">
        <f>W41*1000000/'a1'!AJ41</f>
        <v>-5823.3395618681361</v>
      </c>
      <c r="Y41" s="11">
        <f t="shared" si="25"/>
        <v>40.487900382354297</v>
      </c>
      <c r="Z41" s="7">
        <f t="shared" si="35"/>
        <v>-87736.875249557939</v>
      </c>
      <c r="AA41" s="7">
        <f>Z41/'a8'!AM41*100</f>
        <v>-86185.535608603081</v>
      </c>
      <c r="AB41" s="7">
        <f>AA41*1000000/'a1'!AP41</f>
        <v>-7039.9945834080872</v>
      </c>
      <c r="AC41" s="11">
        <f t="shared" si="26"/>
        <v>3.0619084404976626</v>
      </c>
      <c r="AD41" s="7">
        <f t="shared" si="36"/>
        <v>-6635.1249714740297</v>
      </c>
      <c r="AE41" s="7">
        <f>AD41/'a8'!AS41*100</f>
        <v>-6562.9327116459253</v>
      </c>
      <c r="AF41" s="7">
        <f>AE41*1000000/'a1'!AV41</f>
        <v>-5639.1352191757696</v>
      </c>
      <c r="AG41" s="11">
        <f t="shared" si="27"/>
        <v>3.0971583882295826</v>
      </c>
      <c r="AH41" s="7">
        <f t="shared" si="37"/>
        <v>-6711.5112557096236</v>
      </c>
      <c r="AI41" s="7">
        <f>AH41/'a8'!AY41*100</f>
        <v>-6579.9129957937485</v>
      </c>
      <c r="AJ41" s="7">
        <f>AI41*1000000/'a1'!BB41</f>
        <v>-6603.1362259002399</v>
      </c>
      <c r="AK41" s="11">
        <f t="shared" si="28"/>
        <v>14.500069100173993</v>
      </c>
      <c r="AL41" s="7">
        <f t="shared" si="38"/>
        <v>-31421.50473938604</v>
      </c>
      <c r="AM41" s="7">
        <f>AL41/'a8'!BE41*100</f>
        <v>-28695.438118160768</v>
      </c>
      <c r="AN41" s="7">
        <f>AM41*1000000/'a1'!BH41</f>
        <v>-9014.096304123259</v>
      </c>
      <c r="AO41" s="11">
        <f t="shared" si="29"/>
        <v>11.801308650987425</v>
      </c>
      <c r="AP41" s="7">
        <f t="shared" si="39"/>
        <v>-25573.31783360324</v>
      </c>
      <c r="AQ41" s="7">
        <f>AP41/'a8'!BK41*100</f>
        <v>-24828.46391611965</v>
      </c>
      <c r="AR41" s="7">
        <f>AQ41*1000000/'a1'!BN41</f>
        <v>-6022.8235997026131</v>
      </c>
    </row>
    <row r="42" spans="1:44" ht="17.25" customHeight="1">
      <c r="A42" s="1">
        <v>2004</v>
      </c>
      <c r="B42" s="7">
        <v>-190425</v>
      </c>
      <c r="C42" s="7">
        <f>B42/'a8'!C42*100</f>
        <v>-178635.08442776735</v>
      </c>
      <c r="D42" s="7">
        <f>C42*1000000/'a1'!F42</f>
        <v>-5592.7145821136455</v>
      </c>
      <c r="E42" s="11">
        <f t="shared" si="20"/>
        <v>1.4810797581964961</v>
      </c>
      <c r="F42" s="7">
        <f t="shared" si="30"/>
        <v>-2820.3461295456777</v>
      </c>
      <c r="G42" s="7">
        <f>F42/'a8'!I42*100</f>
        <v>-2500.3068524341115</v>
      </c>
      <c r="H42" s="7">
        <f>G42*1000000/'a1'!L42</f>
        <v>-4832.005698040788</v>
      </c>
      <c r="I42" s="11">
        <f t="shared" si="21"/>
        <v>0.30029817548567972</v>
      </c>
      <c r="J42" s="7">
        <f t="shared" si="31"/>
        <v>-571.84280066860561</v>
      </c>
      <c r="K42" s="7">
        <f>J42/'a8'!O42*100</f>
        <v>-556.808958781505</v>
      </c>
      <c r="L42" s="7">
        <f>K42*1000000/'a1'!R42</f>
        <v>-4044.4016937221622</v>
      </c>
      <c r="M42" s="11">
        <f t="shared" si="22"/>
        <v>2.2527815560731401</v>
      </c>
      <c r="N42" s="7">
        <f t="shared" si="32"/>
        <v>-4289.8592781522775</v>
      </c>
      <c r="O42" s="7">
        <f>N42/'a8'!U42*100</f>
        <v>-3983.1562471237489</v>
      </c>
      <c r="P42" s="7">
        <f>O42*1000000/'a1'!X42</f>
        <v>-4240.2150439480556</v>
      </c>
      <c r="Q42" s="11">
        <f t="shared" si="23"/>
        <v>1.7878708672061907</v>
      </c>
      <c r="R42" s="7">
        <f t="shared" si="33"/>
        <v>-3404.5530988773885</v>
      </c>
      <c r="S42" s="7">
        <f>R42/'a8'!AA42*100</f>
        <v>-3217.9140821147344</v>
      </c>
      <c r="T42" s="7">
        <f>S42*1000000/'a1'!AD42</f>
        <v>-4294.1649335837674</v>
      </c>
      <c r="U42" s="11">
        <f t="shared" si="24"/>
        <v>20.310278979710418</v>
      </c>
      <c r="V42" s="7">
        <f t="shared" si="34"/>
        <v>-38675.84874711356</v>
      </c>
      <c r="W42" s="7">
        <f>V42/'a8'!AG42*100</f>
        <v>-36939.683617109418</v>
      </c>
      <c r="X42" s="7">
        <f>W42*1000000/'a1'!AJ42</f>
        <v>-4901.8088701617835</v>
      </c>
      <c r="Y42" s="11">
        <f t="shared" si="25"/>
        <v>39.723151303664508</v>
      </c>
      <c r="Z42" s="7">
        <f t="shared" si="35"/>
        <v>-75642.81087000313</v>
      </c>
      <c r="AA42" s="7">
        <f>Z42/'a8'!AM42*100</f>
        <v>-72803.475332053058</v>
      </c>
      <c r="AB42" s="7">
        <f>AA42*1000000/'a1'!AP42</f>
        <v>-5875.7026461798223</v>
      </c>
      <c r="AC42" s="11">
        <f t="shared" si="26"/>
        <v>3.0679277386444417</v>
      </c>
      <c r="AD42" s="7">
        <f t="shared" si="36"/>
        <v>-5842.1013963136775</v>
      </c>
      <c r="AE42" s="7">
        <f>AD42/'a8'!AS42*100</f>
        <v>-5563.9060917273118</v>
      </c>
      <c r="AF42" s="7">
        <f>AE42*1000000/'a1'!AV42</f>
        <v>-4741.0252953198305</v>
      </c>
      <c r="AG42" s="11">
        <f t="shared" si="27"/>
        <v>3.2399155585670929</v>
      </c>
      <c r="AH42" s="7">
        <f t="shared" si="37"/>
        <v>-6169.609202401386</v>
      </c>
      <c r="AI42" s="7">
        <f>AH42/'a8'!AY42*100</f>
        <v>-5707.3165609633552</v>
      </c>
      <c r="AJ42" s="7">
        <f>AI42*1000000/'a1'!BB42</f>
        <v>-5721.9246345553747</v>
      </c>
      <c r="AK42" s="11">
        <f t="shared" si="28"/>
        <v>15.234203441920711</v>
      </c>
      <c r="AL42" s="7">
        <f t="shared" si="38"/>
        <v>-29009.731904277513</v>
      </c>
      <c r="AM42" s="7">
        <f>AL42/'a8'!BE42*100</f>
        <v>-25008.389572653028</v>
      </c>
      <c r="AN42" s="7">
        <f>AM42*1000000/'a1'!BH42</f>
        <v>-7719.8991973235834</v>
      </c>
      <c r="AO42" s="11">
        <f t="shared" si="29"/>
        <v>12.025320775888908</v>
      </c>
      <c r="AP42" s="7">
        <f t="shared" si="39"/>
        <v>-22899.217087486453</v>
      </c>
      <c r="AQ42" s="7">
        <f>AP42/'a8'!BK42*100</f>
        <v>-21281.800267180719</v>
      </c>
      <c r="AR42" s="7">
        <f>AQ42*1000000/'a1'!BN42</f>
        <v>-5121.7640354499854</v>
      </c>
    </row>
    <row r="43" spans="1:44" ht="17.25" customHeight="1">
      <c r="A43" s="1">
        <v>2005</v>
      </c>
      <c r="B43" s="7">
        <v>-164925</v>
      </c>
      <c r="C43" s="7">
        <f>B43/'a8'!C43*100</f>
        <v>-149795.6403269755</v>
      </c>
      <c r="D43" s="7">
        <f>C43*1000000/'a1'!F43</f>
        <v>-4645.5161858921583</v>
      </c>
      <c r="E43" s="11">
        <f t="shared" si="20"/>
        <v>1.5855452735152864</v>
      </c>
      <c r="F43" s="7">
        <f t="shared" si="30"/>
        <v>-2614.9605423450862</v>
      </c>
      <c r="G43" s="7">
        <f>F43/'a8'!I43*100</f>
        <v>-2095.320947391896</v>
      </c>
      <c r="H43" s="7">
        <f>G43*1000000/'a1'!L43</f>
        <v>-4073.623000472227</v>
      </c>
      <c r="I43" s="11">
        <f t="shared" si="21"/>
        <v>0.28819647807582677</v>
      </c>
      <c r="J43" s="7">
        <f t="shared" si="31"/>
        <v>-475.30804146655731</v>
      </c>
      <c r="K43" s="7">
        <f>J43/'a8'!O43*100</f>
        <v>-454.84023106847593</v>
      </c>
      <c r="L43" s="7">
        <f>K43*1000000/'a1'!R43</f>
        <v>-3294.6306259713583</v>
      </c>
      <c r="M43" s="11">
        <f t="shared" si="22"/>
        <v>2.215688571317012</v>
      </c>
      <c r="N43" s="7">
        <f t="shared" si="32"/>
        <v>-3654.2243762445823</v>
      </c>
      <c r="O43" s="7">
        <f>N43/'a8'!U43*100</f>
        <v>-3280.2732282267343</v>
      </c>
      <c r="P43" s="7">
        <f>O43*1000000/'a1'!X43</f>
        <v>-3497.3129740855065</v>
      </c>
      <c r="Q43" s="11">
        <f t="shared" si="23"/>
        <v>1.7581820311584866</v>
      </c>
      <c r="R43" s="7">
        <f t="shared" si="33"/>
        <v>-2899.6817148881341</v>
      </c>
      <c r="S43" s="7">
        <f>R43/'a8'!AA43*100</f>
        <v>-2655.3861857949946</v>
      </c>
      <c r="T43" s="7">
        <f>S43*1000000/'a1'!AD43</f>
        <v>-3550.1713805484183</v>
      </c>
      <c r="U43" s="11">
        <f t="shared" si="24"/>
        <v>19.734457850142519</v>
      </c>
      <c r="V43" s="7">
        <f t="shared" si="34"/>
        <v>-32547.05460934755</v>
      </c>
      <c r="W43" s="7">
        <f>V43/'a8'!AG43*100</f>
        <v>-30560.614656664366</v>
      </c>
      <c r="X43" s="7">
        <f>W43*1000000/'a1'!AJ43</f>
        <v>-4030.7271684756474</v>
      </c>
      <c r="Y43" s="11">
        <f t="shared" si="25"/>
        <v>38.85369567763852</v>
      </c>
      <c r="Z43" s="7">
        <f t="shared" si="35"/>
        <v>-64079.457596345332</v>
      </c>
      <c r="AA43" s="7">
        <f>Z43/'a8'!AM43*100</f>
        <v>-60854.185751515033</v>
      </c>
      <c r="AB43" s="7">
        <f>AA43*1000000/'a1'!AP43</f>
        <v>-4857.2680605719952</v>
      </c>
      <c r="AC43" s="11">
        <f t="shared" si="26"/>
        <v>3.02986216859943</v>
      </c>
      <c r="AD43" s="7">
        <f t="shared" si="36"/>
        <v>-4997.0001815626101</v>
      </c>
      <c r="AE43" s="7">
        <f>AD43/'a8'!AS43*100</f>
        <v>-4657.0365159017801</v>
      </c>
      <c r="AF43" s="7">
        <f>AE43*1000000/'a1'!AV43</f>
        <v>-3952.33180308069</v>
      </c>
      <c r="AG43" s="11">
        <f t="shared" si="27"/>
        <v>3.2672913982273246</v>
      </c>
      <c r="AH43" s="7">
        <f t="shared" si="37"/>
        <v>-5388.5803385264153</v>
      </c>
      <c r="AI43" s="7">
        <f>AH43/'a8'!AY43*100</f>
        <v>-4764.438849271809</v>
      </c>
      <c r="AJ43" s="7">
        <f>AI43*1000000/'a1'!BB43</f>
        <v>-4795.229014775683</v>
      </c>
      <c r="AK43" s="11">
        <f t="shared" si="28"/>
        <v>16.570005075943932</v>
      </c>
      <c r="AL43" s="7">
        <f t="shared" si="38"/>
        <v>-27328.080871500533</v>
      </c>
      <c r="AM43" s="7">
        <f>AL43/'a8'!BE43*100</f>
        <v>-21250.451688569625</v>
      </c>
      <c r="AN43" s="7">
        <f>AM43*1000000/'a1'!BH43</f>
        <v>-6396.499815956181</v>
      </c>
      <c r="AO43" s="11">
        <f t="shared" si="29"/>
        <v>12.145867010269026</v>
      </c>
      <c r="AP43" s="7">
        <f t="shared" si="39"/>
        <v>-20031.57116668619</v>
      </c>
      <c r="AQ43" s="7">
        <f>AP43/'a8'!BK43*100</f>
        <v>-18128.118702883428</v>
      </c>
      <c r="AR43" s="7">
        <f>AQ43*1000000/'a1'!BN43</f>
        <v>-4319.5221447648601</v>
      </c>
    </row>
    <row r="44" spans="1:44" ht="17.25" customHeight="1">
      <c r="A44" s="1">
        <v>2006</v>
      </c>
      <c r="B44" s="7">
        <v>-90884</v>
      </c>
      <c r="C44" s="7">
        <f>B44/'a8'!C44*100</f>
        <v>-80428.318584070788</v>
      </c>
      <c r="D44" s="7">
        <f>C44*1000000/'a1'!F44</f>
        <v>-2468.938355925603</v>
      </c>
      <c r="E44" s="11">
        <f t="shared" ref="E44:E45" si="40">E93/C93*100</f>
        <v>1.8026245742431997</v>
      </c>
      <c r="F44" s="7">
        <f t="shared" ref="F44" si="41">E44/100*B44</f>
        <v>-1638.2973180551896</v>
      </c>
      <c r="G44" s="7">
        <f>F44/'a8'!I44*100</f>
        <v>-1139.2888164500623</v>
      </c>
      <c r="H44" s="7">
        <f>G44*1000000/'a1'!L44</f>
        <v>-2232.5294798487639</v>
      </c>
      <c r="I44" s="11">
        <f t="shared" ref="I44:I45" si="42">F93/C93*100</f>
        <v>0.28767979987492182</v>
      </c>
      <c r="J44" s="7">
        <f t="shared" ref="J44" si="43">I44/100*B44</f>
        <v>-261.45490931832393</v>
      </c>
      <c r="K44" s="7">
        <f>J44/'a8'!O44*100</f>
        <v>-247.12184245588276</v>
      </c>
      <c r="L44" s="7">
        <f>K44*1000000/'a1'!R44</f>
        <v>-1791.7766999411454</v>
      </c>
      <c r="M44" s="11">
        <f t="shared" ref="M44:M45" si="44">G93/C93*100</f>
        <v>2.126808889558335</v>
      </c>
      <c r="N44" s="7">
        <f t="shared" ref="N44" si="45">M44/100*B44</f>
        <v>-1932.9289911861972</v>
      </c>
      <c r="O44" s="7">
        <f>N44/'a8'!U44*100</f>
        <v>-1721.2190482512888</v>
      </c>
      <c r="P44" s="7">
        <f>O44*1000000/'a1'!X44</f>
        <v>-1834.968761794958</v>
      </c>
      <c r="Q44" s="11">
        <f t="shared" ref="Q44:Q45" si="46">H93/C93*100</f>
        <v>1.7462212584163805</v>
      </c>
      <c r="R44" s="7">
        <f t="shared" ref="R44" si="47">Q44/100*B44</f>
        <v>-1587.0357284991433</v>
      </c>
      <c r="S44" s="7">
        <f>R44/'a8'!AA44*100</f>
        <v>-1423.3504291472136</v>
      </c>
      <c r="T44" s="7">
        <f>S44*1000000/'a1'!AD44</f>
        <v>-1908.8105916891479</v>
      </c>
      <c r="U44" s="11">
        <f t="shared" ref="U44:U45" si="48">I93/C93*100</f>
        <v>19.469990467773172</v>
      </c>
      <c r="V44" s="7">
        <f t="shared" ref="V44" si="49">U44/100*B44</f>
        <v>-17695.10613673097</v>
      </c>
      <c r="W44" s="7">
        <f>V44/'a8'!AG44*100</f>
        <v>-16293.836221667561</v>
      </c>
      <c r="X44" s="7">
        <f>W44*1000000/'a1'!AJ44</f>
        <v>-2135.0619404372219</v>
      </c>
      <c r="Y44" s="11">
        <f t="shared" ref="Y44:Y45" si="50">J93/C93*100</f>
        <v>38.359836763384436</v>
      </c>
      <c r="Z44" s="7">
        <f t="shared" ref="Z44" si="51">Y44/100*B44</f>
        <v>-34862.954044034312</v>
      </c>
      <c r="AA44" s="7">
        <f>Z44/'a8'!AM44*100</f>
        <v>-32521.412354509619</v>
      </c>
      <c r="AB44" s="7">
        <f>AA44*1000000/'a1'!AP44</f>
        <v>-2567.7476442025049</v>
      </c>
      <c r="AC44" s="11">
        <f t="shared" ref="AC44:AC45" si="52">K93/C93*100</f>
        <v>3.1013111057456952</v>
      </c>
      <c r="AD44" s="7">
        <f t="shared" ref="AD44" si="53">AC44/100*B44</f>
        <v>-2818.5955853459177</v>
      </c>
      <c r="AE44" s="7">
        <f>AD44/'a8'!AS44*100</f>
        <v>-2507.6473179234144</v>
      </c>
      <c r="AF44" s="7">
        <f>AE44*1000000/'a1'!AV44</f>
        <v>-2117.8899183580615</v>
      </c>
      <c r="AG44" s="11">
        <f t="shared" ref="AG44:AG45" si="54">L93/C93*100</f>
        <v>3.191989089993525</v>
      </c>
      <c r="AH44" s="7">
        <f t="shared" ref="AH44" si="55">AG44/100*B44</f>
        <v>-2901.0073645497155</v>
      </c>
      <c r="AI44" s="7">
        <f>AH44/'a8'!AY44*100</f>
        <v>-2433.7310105282845</v>
      </c>
      <c r="AJ44" s="7">
        <f>AI44*1000000/'a1'!BB44</f>
        <v>-2453.0561871708164</v>
      </c>
      <c r="AK44" s="11">
        <f t="shared" ref="AK44:AK45" si="56">M93/C93*100</f>
        <v>17.016885553470921</v>
      </c>
      <c r="AL44" s="7">
        <f t="shared" ref="AL44" si="57">AK44/100*B44</f>
        <v>-15465.626266416511</v>
      </c>
      <c r="AM44" s="7">
        <f>AL44/'a8'!BE44*100</f>
        <v>-11707.514206219917</v>
      </c>
      <c r="AN44" s="7">
        <f>AM44*1000000/'a1'!BH44</f>
        <v>-3421.9960366041087</v>
      </c>
      <c r="AO44" s="11">
        <f t="shared" ref="AO44:AO45" si="58">N93/C93*100</f>
        <v>12.358388101181895</v>
      </c>
      <c r="AP44" s="7">
        <f t="shared" ref="AP44" si="59">AO44/100*B44</f>
        <v>-11231.797441878152</v>
      </c>
      <c r="AQ44" s="7">
        <f>AP44/'a8'!BK44*100</f>
        <v>-9843.818967465515</v>
      </c>
      <c r="AR44" s="7">
        <f>AQ44*1000000/'a1'!BN44</f>
        <v>-2319.6968049301568</v>
      </c>
    </row>
    <row r="45" spans="1:44" ht="17.25" customHeight="1">
      <c r="A45" s="1">
        <v>2007</v>
      </c>
      <c r="B45" s="7">
        <v>-129798</v>
      </c>
      <c r="C45" s="7">
        <f>B45/'a8'!C45*100</f>
        <v>-111223.65038560411</v>
      </c>
      <c r="D45" s="7">
        <f>C45*1000000/'a1'!F45</f>
        <v>-3377.6055938748154</v>
      </c>
      <c r="E45" s="11">
        <f t="shared" si="40"/>
        <v>1.9254946637125465</v>
      </c>
      <c r="F45" s="7">
        <f t="shared" si="30"/>
        <v>-2499.2535636056114</v>
      </c>
      <c r="G45" s="7">
        <f>F45/'a8'!I45*100</f>
        <v>-1690.969934780522</v>
      </c>
      <c r="H45" s="7">
        <f>G45*1000000/'a1'!L45</f>
        <v>-3339.3366130517297</v>
      </c>
      <c r="I45" s="11">
        <f t="shared" si="42"/>
        <v>0.28864876954367225</v>
      </c>
      <c r="J45" s="7">
        <f t="shared" si="31"/>
        <v>-374.66032989229575</v>
      </c>
      <c r="K45" s="7">
        <f>J45/'a8'!O45*100</f>
        <v>-342.15555241305549</v>
      </c>
      <c r="L45" s="7">
        <f>K45*1000000/'a1'!R45</f>
        <v>-2476.4988123497619</v>
      </c>
      <c r="M45" s="11">
        <f t="shared" si="44"/>
        <v>2.1121843482879847</v>
      </c>
      <c r="N45" s="7">
        <f t="shared" si="32"/>
        <v>-2741.5730403908387</v>
      </c>
      <c r="O45" s="7">
        <f>N45/'a8'!U45*100</f>
        <v>-2375.7132065778496</v>
      </c>
      <c r="P45" s="7">
        <f>O45*1000000/'a1'!X45</f>
        <v>-2538.713869268076</v>
      </c>
      <c r="Q45" s="11">
        <f t="shared" si="46"/>
        <v>1.7310608972790873</v>
      </c>
      <c r="R45" s="7">
        <f t="shared" si="33"/>
        <v>-2246.8824234503099</v>
      </c>
      <c r="S45" s="7">
        <f>R45/'a8'!AA45*100</f>
        <v>-1947.0384951909095</v>
      </c>
      <c r="T45" s="7">
        <f>S45*1000000/'a1'!AD45</f>
        <v>-2611.6691081881781</v>
      </c>
      <c r="U45" s="11">
        <f t="shared" si="48"/>
        <v>19.356094969841415</v>
      </c>
      <c r="V45" s="7">
        <f t="shared" si="34"/>
        <v>-25123.824148954758</v>
      </c>
      <c r="W45" s="7">
        <f>V45/'a8'!AG45*100</f>
        <v>-22552.804442508757</v>
      </c>
      <c r="X45" s="7">
        <f>W45*1000000/'a1'!AJ45</f>
        <v>-2933.727523841053</v>
      </c>
      <c r="Y45" s="11">
        <f t="shared" si="50"/>
        <v>37.942758095291346</v>
      </c>
      <c r="Z45" s="7">
        <f t="shared" ref="Z45:Z46" si="60">Y45/100*B45</f>
        <v>-49248.941152526262</v>
      </c>
      <c r="AA45" s="7">
        <f>Z45/'a8'!AM45*100</f>
        <v>-44976.201965777407</v>
      </c>
      <c r="AB45" s="7">
        <f>AA45*1000000/'a1'!AP45</f>
        <v>-3515.7057340138081</v>
      </c>
      <c r="AC45" s="11">
        <f t="shared" si="52"/>
        <v>3.1748429167511203</v>
      </c>
      <c r="AD45" s="7">
        <f t="shared" ref="AD45:AD46" si="61">AC45/100*B45</f>
        <v>-4120.8826090846187</v>
      </c>
      <c r="AE45" s="7">
        <f>AD45/'a8'!AS45*100</f>
        <v>-3474.6059098521237</v>
      </c>
      <c r="AF45" s="7">
        <f>AE45*1000000/'a1'!AV45</f>
        <v>-2911.1328564276923</v>
      </c>
      <c r="AG45" s="11">
        <f t="shared" si="54"/>
        <v>3.3617842140945084</v>
      </c>
      <c r="AH45" s="7">
        <f t="shared" ref="AH45:AH46" si="62">AG45/100*B45</f>
        <v>-4363.5286742103899</v>
      </c>
      <c r="AI45" s="7">
        <f>AH45/'a8'!AY45*100</f>
        <v>-3398.3868179208644</v>
      </c>
      <c r="AJ45" s="7">
        <f>AI45*1000000/'a1'!BB45</f>
        <v>-3397.5136569110387</v>
      </c>
      <c r="AK45" s="11">
        <f t="shared" si="56"/>
        <v>17.233217078915551</v>
      </c>
      <c r="AL45" s="7">
        <f t="shared" ref="AL45:AL46" si="63">AK45/100*B45</f>
        <v>-22368.371104090809</v>
      </c>
      <c r="AM45" s="7">
        <f>AL45/'a8'!BE45*100</f>
        <v>-16092.353312295547</v>
      </c>
      <c r="AN45" s="7">
        <f>AM45*1000000/'a1'!BH45</f>
        <v>-4581.203787152228</v>
      </c>
      <c r="AO45" s="11">
        <f t="shared" si="58"/>
        <v>12.321798751721101</v>
      </c>
      <c r="AP45" s="7">
        <f t="shared" ref="AP45:AP46" si="64">AO45/100*B45</f>
        <v>-15993.448343758955</v>
      </c>
      <c r="AQ45" s="7">
        <f>AP45/'a8'!BK45*100</f>
        <v>-13693.020842259381</v>
      </c>
      <c r="AR45" s="7">
        <f>AQ45*1000000/'a1'!BN45</f>
        <v>-3177.3062856084648</v>
      </c>
    </row>
    <row r="46" spans="1:44" ht="17.25" customHeight="1">
      <c r="A46" s="1">
        <v>2008</v>
      </c>
      <c r="B46" s="7">
        <v>-30787</v>
      </c>
      <c r="C46" s="7">
        <f>B46/'a8'!C46*100</f>
        <v>-25359.967051070838</v>
      </c>
      <c r="D46" s="7">
        <f>C46*1000000/'a1'!F46</f>
        <v>-761.19538119101901</v>
      </c>
      <c r="E46" s="121">
        <f>E45</f>
        <v>1.9254946637125465</v>
      </c>
      <c r="F46" s="7">
        <f>E46/100*B46</f>
        <v>-592.80204211718171</v>
      </c>
      <c r="G46" s="7">
        <f>F46/'a8'!I46*100</f>
        <v>-377.82156922701193</v>
      </c>
      <c r="H46" s="7">
        <f>G46*1000000/'a1'!L46</f>
        <v>-746.39824973283294</v>
      </c>
      <c r="I46" s="121">
        <f>I45</f>
        <v>0.28864876954367225</v>
      </c>
      <c r="J46" s="7">
        <f t="shared" si="31"/>
        <v>-88.866296679410382</v>
      </c>
      <c r="K46" s="7">
        <f>J46/'a8'!O46*100</f>
        <v>-79.629298099830095</v>
      </c>
      <c r="L46" s="7">
        <f>K46*1000000/'a1'!R46</f>
        <v>-570.63526532537958</v>
      </c>
      <c r="M46" s="121">
        <f>M45</f>
        <v>2.1121843482879847</v>
      </c>
      <c r="N46" s="7">
        <f t="shared" si="32"/>
        <v>-650.27819530742192</v>
      </c>
      <c r="O46" s="7">
        <f>N46/'a8'!U46*100</f>
        <v>-553.42825132546545</v>
      </c>
      <c r="P46" s="7">
        <f>O46*1000000/'a1'!X46</f>
        <v>-590.80430401005344</v>
      </c>
      <c r="Q46" s="121">
        <f>Q45</f>
        <v>1.7310608972790873</v>
      </c>
      <c r="R46" s="7">
        <f t="shared" si="33"/>
        <v>-532.94171844531263</v>
      </c>
      <c r="S46" s="7">
        <f>R46/'a8'!AA46*100</f>
        <v>-455.50574226095097</v>
      </c>
      <c r="T46" s="7">
        <f>S46*1000000/'a1'!AD46</f>
        <v>-609.86011854426818</v>
      </c>
      <c r="U46" s="121">
        <f>U45</f>
        <v>19.356094969841415</v>
      </c>
      <c r="V46" s="7">
        <f t="shared" si="34"/>
        <v>-5959.1609583650761</v>
      </c>
      <c r="W46" s="7">
        <f>V46/'a8'!AG46*100</f>
        <v>-5282.944112025777</v>
      </c>
      <c r="X46" s="7">
        <f>W46*1000000/'a1'!AJ46</f>
        <v>-681.55306881782087</v>
      </c>
      <c r="Y46" s="121">
        <f>Y45</f>
        <v>37.942758095291346</v>
      </c>
      <c r="Z46" s="7">
        <f t="shared" si="60"/>
        <v>-11681.436934797346</v>
      </c>
      <c r="AA46" s="7">
        <f>Z46/'a8'!AM46*100</f>
        <v>-10561.877879563604</v>
      </c>
      <c r="AB46" s="7">
        <f>AA46*1000000/'a1'!AP46</f>
        <v>-816.70548391856482</v>
      </c>
      <c r="AC46" s="121">
        <f>AC45</f>
        <v>3.1748429167511203</v>
      </c>
      <c r="AD46" s="7">
        <f t="shared" si="61"/>
        <v>-977.4388887801673</v>
      </c>
      <c r="AE46" s="7">
        <f>AD46/'a8'!AS46*100</f>
        <v>-805.13911761134034</v>
      </c>
      <c r="AF46" s="7">
        <f>AE46*1000000/'a1'!AV46</f>
        <v>-667.87869238786368</v>
      </c>
      <c r="AG46" s="121">
        <f>AG45</f>
        <v>3.3617842140945084</v>
      </c>
      <c r="AH46" s="7">
        <f t="shared" si="62"/>
        <v>-1034.9925059932764</v>
      </c>
      <c r="AI46" s="7">
        <f>AH46/'a8'!AY46*100</f>
        <v>-655.47340468225229</v>
      </c>
      <c r="AJ46" s="7">
        <f>AI46*1000000/'a1'!BB46</f>
        <v>-646.55610291090511</v>
      </c>
      <c r="AK46" s="121">
        <f t="shared" ref="AK46:AK48" si="65">AK45</f>
        <v>17.233217078915551</v>
      </c>
      <c r="AL46" s="7">
        <f t="shared" si="63"/>
        <v>-5305.5905420857316</v>
      </c>
      <c r="AM46" s="7">
        <f>AL46/'a8'!BE46*100</f>
        <v>-3394.4917095878</v>
      </c>
      <c r="AN46" s="7">
        <f>AM46*1000000/'a1'!BH46</f>
        <v>-945.17464391590886</v>
      </c>
      <c r="AO46" s="121">
        <f t="shared" ref="AO46:AO48" si="66">AO45</f>
        <v>12.321798751721101</v>
      </c>
      <c r="AP46" s="7">
        <f t="shared" si="64"/>
        <v>-3793.5121816923752</v>
      </c>
      <c r="AQ46" s="7">
        <f>AP46/'a8'!BK46*100</f>
        <v>-3163.8967320203296</v>
      </c>
      <c r="AR46" s="7">
        <f>AQ46*1000000/'a1'!BN46</f>
        <v>-721.71482027718253</v>
      </c>
    </row>
    <row r="47" spans="1:44" ht="17.25" customHeight="1">
      <c r="A47" s="1">
        <v>2009</v>
      </c>
      <c r="B47" s="7">
        <v>-153243</v>
      </c>
      <c r="C47" s="7">
        <f>B47/'a8'!C47*100</f>
        <v>-128992.42424242425</v>
      </c>
      <c r="D47" s="7">
        <f>C47*1000000/'a1'!F47</f>
        <v>-3825.3772352613573</v>
      </c>
      <c r="E47" s="121">
        <f>E46</f>
        <v>1.9254946637125465</v>
      </c>
      <c r="F47" s="7">
        <f t="shared" ref="F47" si="67">E47/100*B47</f>
        <v>-2950.6857875130177</v>
      </c>
      <c r="G47" s="7">
        <f>F47/'a8'!I47*100</f>
        <v>-2141.2814132895628</v>
      </c>
      <c r="H47" s="7">
        <f>G47*1000000/'a1'!L47</f>
        <v>-4213.934686278395</v>
      </c>
      <c r="I47" s="121">
        <f>I46</f>
        <v>0.28864876954367225</v>
      </c>
      <c r="J47" s="7">
        <f t="shared" ref="J47" si="68">I47/100*B47</f>
        <v>-442.33403391180968</v>
      </c>
      <c r="K47" s="7">
        <f>J47/'a8'!O47*100</f>
        <v>-387.67224707432928</v>
      </c>
      <c r="L47" s="7">
        <f>K47*1000000/'a1'!R47</f>
        <v>-2747.5583965238757</v>
      </c>
      <c r="M47" s="121">
        <f>M46</f>
        <v>2.1121843482879847</v>
      </c>
      <c r="N47" s="7">
        <f t="shared" ref="N47" si="69">M47/100*B47</f>
        <v>-3236.7746608469565</v>
      </c>
      <c r="O47" s="7">
        <f>N47/'a8'!U47*100</f>
        <v>-2731.4554099974316</v>
      </c>
      <c r="P47" s="7">
        <f>O47*1000000/'a1'!X47</f>
        <v>-2908.5141152791662</v>
      </c>
      <c r="Q47" s="121">
        <f>Q46</f>
        <v>1.7310608972790873</v>
      </c>
      <c r="R47" s="7">
        <f t="shared" ref="R47" si="70">Q47/100*B47</f>
        <v>-2652.7296508173918</v>
      </c>
      <c r="S47" s="7">
        <f>R47/'a8'!AA47*100</f>
        <v>-2249.9827403031313</v>
      </c>
      <c r="T47" s="7">
        <f>S47*1000000/'a1'!AD47</f>
        <v>-3002.6834057138581</v>
      </c>
      <c r="U47" s="121">
        <f>U46</f>
        <v>19.356094969841415</v>
      </c>
      <c r="V47" s="7">
        <f t="shared" ref="V47" si="71">U47/100*B47</f>
        <v>-29661.860614634079</v>
      </c>
      <c r="W47" s="7">
        <f>V47/'a8'!AG47*100</f>
        <v>-26110.792794572255</v>
      </c>
      <c r="X47" s="7">
        <f>W47*1000000/'a1'!AJ47</f>
        <v>-3335.4116061099735</v>
      </c>
      <c r="Y47" s="121">
        <f>Y46</f>
        <v>37.942758095291346</v>
      </c>
      <c r="Z47" s="7">
        <f t="shared" ref="Z47" si="72">Y47/100*B47</f>
        <v>-58144.620787967317</v>
      </c>
      <c r="AA47" s="7">
        <f>Z47/'a8'!AM47*100</f>
        <v>-51228.740782350054</v>
      </c>
      <c r="AB47" s="7">
        <f>AA47*1000000/'a1'!AP47</f>
        <v>-3921.0970449333749</v>
      </c>
      <c r="AC47" s="121">
        <f>AC46</f>
        <v>3.1748429167511203</v>
      </c>
      <c r="AD47" s="7">
        <f t="shared" ref="AD47" si="73">AC47/100*B47</f>
        <v>-4865.2245309169193</v>
      </c>
      <c r="AE47" s="7">
        <f>AD47/'a8'!AS47*100</f>
        <v>-4017.5264499726836</v>
      </c>
      <c r="AF47" s="7">
        <f>AE47*1000000/'a1'!AV47</f>
        <v>-3294.237152332299</v>
      </c>
      <c r="AG47" s="121">
        <f>AG46</f>
        <v>3.3617842140945084</v>
      </c>
      <c r="AH47" s="7">
        <f t="shared" ref="AH47" si="74">AG47/100*B47</f>
        <v>-5151.6989832048475</v>
      </c>
      <c r="AI47" s="7">
        <f>AH47/'a8'!AY47*100</f>
        <v>-3625.4039290674514</v>
      </c>
      <c r="AJ47" s="7">
        <f>AI47*1000000/'a1'!BB47</f>
        <v>-3522.8057348458024</v>
      </c>
      <c r="AK47" s="121">
        <f t="shared" si="65"/>
        <v>17.233217078915551</v>
      </c>
      <c r="AL47" s="7">
        <f t="shared" ref="AL47" si="75">AK47/100*B47</f>
        <v>-26408.698848242559</v>
      </c>
      <c r="AM47" s="7">
        <f>AL47/'a8'!BE47*100</f>
        <v>-19040.157785322681</v>
      </c>
      <c r="AN47" s="7">
        <f>AM47*1000000/'a1'!BH47</f>
        <v>-5187.0051845982862</v>
      </c>
      <c r="AO47" s="121">
        <f t="shared" si="66"/>
        <v>12.321798751721101</v>
      </c>
      <c r="AP47" s="7">
        <f t="shared" ref="AP47" si="76">AO47/100*B47</f>
        <v>-18882.294061099969</v>
      </c>
      <c r="AQ47" s="7">
        <f>AP47/'a8'!BK47*100</f>
        <v>-16001.944119576245</v>
      </c>
      <c r="AR47" s="7">
        <f>AQ47*1000000/'a1'!BN47</f>
        <v>-3587.6449612662677</v>
      </c>
    </row>
    <row r="48" spans="1:44" ht="17.25" customHeight="1">
      <c r="A48" s="1">
        <v>2010</v>
      </c>
      <c r="B48" s="117">
        <f>B47</f>
        <v>-153243</v>
      </c>
      <c r="C48" s="7">
        <f>B48/'a8'!C48*100</f>
        <v>-126227.02820589748</v>
      </c>
      <c r="D48" s="7">
        <f>C48*1000000/'a1'!F48</f>
        <v>-3700.7225654546814</v>
      </c>
      <c r="E48" s="121">
        <f>E47</f>
        <v>1.9254946637125465</v>
      </c>
      <c r="F48" s="7">
        <f t="shared" ref="F48" si="77">E48/100*B48</f>
        <v>-2950.6857875130177</v>
      </c>
      <c r="G48" s="7">
        <f>F48/'a8'!I48*100</f>
        <v>-2057.2436177616864</v>
      </c>
      <c r="H48" s="7">
        <f>G48*1000000/'a1'!L48</f>
        <v>-4035.8764343353878</v>
      </c>
      <c r="I48" s="121">
        <f>I47</f>
        <v>0.28864876954367225</v>
      </c>
      <c r="J48" s="7">
        <f t="shared" ref="J48" si="78">I48/100*B48</f>
        <v>-442.33403391180968</v>
      </c>
      <c r="K48" s="7">
        <f>J48/'a8'!O48*100</f>
        <v>-379.59603847148128</v>
      </c>
      <c r="L48" s="7">
        <f>K48*1000000/'a1'!R48</f>
        <v>-2668.2133360850889</v>
      </c>
      <c r="M48" s="121">
        <f>M47</f>
        <v>2.1121843482879847</v>
      </c>
      <c r="N48" s="7">
        <f t="shared" ref="N48" si="79">M48/100*B48</f>
        <v>-3236.7746608469565</v>
      </c>
      <c r="O48" s="7">
        <f>N48/'a8'!U48*100</f>
        <v>-2679.7457190585465</v>
      </c>
      <c r="P48" s="7">
        <f>O48*1000000/'a1'!X48</f>
        <v>-2843.2134321251501</v>
      </c>
      <c r="Q48" s="121">
        <f>Q47</f>
        <v>1.7310608972790873</v>
      </c>
      <c r="R48" s="7">
        <f t="shared" ref="R48" si="80">Q48/100*B48</f>
        <v>-2652.7296508173918</v>
      </c>
      <c r="S48" s="7">
        <f>R48/'a8'!AA48*100</f>
        <v>-2201.7781581037807</v>
      </c>
      <c r="T48" s="7">
        <f>S48*1000000/'a1'!AD48</f>
        <v>-2928.8507001666512</v>
      </c>
      <c r="U48" s="121">
        <f>U47</f>
        <v>19.356094969841415</v>
      </c>
      <c r="V48" s="7">
        <f t="shared" ref="V48" si="81">U48/100*B48</f>
        <v>-29661.860614634079</v>
      </c>
      <c r="W48" s="7">
        <f>V48/'a8'!AG48*100</f>
        <v>-25688.203229313018</v>
      </c>
      <c r="X48" s="7">
        <f>W48*1000000/'a1'!AJ48</f>
        <v>-3248.6385468392505</v>
      </c>
      <c r="Y48" s="121">
        <f>Y47</f>
        <v>37.942758095291346</v>
      </c>
      <c r="Z48" s="7">
        <f t="shared" ref="Z48" si="82">Y48/100*B48</f>
        <v>-58144.620787967317</v>
      </c>
      <c r="AA48" s="7">
        <f>Z48/'a8'!AM48*100</f>
        <v>-50331.238606591243</v>
      </c>
      <c r="AB48" s="7">
        <f>AA48*1000000/'a1'!AP48</f>
        <v>-3809.8938234224843</v>
      </c>
      <c r="AC48" s="121">
        <f>AC47</f>
        <v>3.1748429167511203</v>
      </c>
      <c r="AD48" s="7">
        <f t="shared" ref="AD48" si="83">AC48/100*B48</f>
        <v>-4865.2245309169193</v>
      </c>
      <c r="AE48" s="7">
        <f>AD48/'a8'!AS48*100</f>
        <v>-3904.5211159698438</v>
      </c>
      <c r="AF48" s="7">
        <f>AE48*1000000/'a1'!AV48</f>
        <v>-3160.5012060509725</v>
      </c>
      <c r="AG48" s="121">
        <f>AG47</f>
        <v>3.3617842140945084</v>
      </c>
      <c r="AH48" s="7">
        <f t="shared" ref="AH48" si="84">AG48/100*B48</f>
        <v>-5151.6989832048475</v>
      </c>
      <c r="AI48" s="7">
        <f>AH48/'a8'!AY48*100</f>
        <v>-3432.4381814225767</v>
      </c>
      <c r="AJ48" s="7">
        <f>AI48*1000000/'a1'!BB48</f>
        <v>-3282.6759397015144</v>
      </c>
      <c r="AK48" s="121">
        <f t="shared" si="65"/>
        <v>17.233217078915551</v>
      </c>
      <c r="AL48" s="7">
        <f t="shared" ref="AL48" si="85">AK48/100*B48</f>
        <v>-26408.698848242559</v>
      </c>
      <c r="AM48" s="7">
        <f>AL48/'a8'!BE48*100</f>
        <v>-18371.594399710084</v>
      </c>
      <c r="AN48" s="7">
        <f>AM48*1000000/'a1'!BH48</f>
        <v>-4937.3450729223387</v>
      </c>
      <c r="AO48" s="121">
        <f t="shared" si="66"/>
        <v>12.321798751721101</v>
      </c>
      <c r="AP48" s="7">
        <f t="shared" ref="AP48" si="86">AO48/100*B48</f>
        <v>-18882.294061099969</v>
      </c>
      <c r="AQ48" s="7">
        <f>AP48/'a8'!BK48*100</f>
        <v>-15709.371215383639</v>
      </c>
      <c r="AR48" s="7">
        <f>AQ48*1000000/'a1'!BN48</f>
        <v>-3467.1176120256277</v>
      </c>
    </row>
    <row r="49" spans="1:138" ht="17.25" customHeight="1">
      <c r="B49" s="172" t="s">
        <v>435</v>
      </c>
      <c r="C49" s="7"/>
      <c r="D49" s="7"/>
      <c r="E49" s="121"/>
      <c r="F49" s="7"/>
      <c r="G49" s="7"/>
      <c r="H49" s="7"/>
      <c r="I49" s="121"/>
      <c r="J49" s="7"/>
      <c r="K49" s="7"/>
      <c r="L49" s="7"/>
      <c r="M49" s="121"/>
      <c r="N49" s="7"/>
      <c r="O49" s="7"/>
      <c r="P49" s="7"/>
      <c r="Q49" s="172" t="s">
        <v>435</v>
      </c>
      <c r="R49" s="7"/>
      <c r="S49" s="7"/>
      <c r="T49" s="7"/>
      <c r="U49" s="121"/>
      <c r="V49" s="7"/>
      <c r="W49" s="7"/>
      <c r="X49" s="7"/>
      <c r="Y49" s="121"/>
      <c r="Z49" s="7"/>
      <c r="AA49" s="7"/>
      <c r="AB49" s="7"/>
      <c r="AC49" s="121"/>
      <c r="AD49" s="7"/>
      <c r="AE49" s="7"/>
      <c r="AF49" s="7"/>
      <c r="AG49" s="172" t="s">
        <v>435</v>
      </c>
      <c r="AH49" s="7"/>
      <c r="AI49" s="7"/>
      <c r="AJ49" s="7"/>
      <c r="AK49" s="121"/>
      <c r="AL49" s="7"/>
      <c r="AM49" s="7"/>
      <c r="AN49" s="7"/>
      <c r="AO49" s="121"/>
      <c r="AP49" s="7"/>
      <c r="AQ49" s="7"/>
      <c r="AR49" s="7"/>
    </row>
    <row r="50" spans="1:138" s="252" customFormat="1" ht="17.25" customHeight="1">
      <c r="A50" s="252" t="s">
        <v>988</v>
      </c>
      <c r="B50" s="271">
        <f t="shared" ref="B50:AR50" si="87">(POWER(B48/B19, 1/29)-1)*100</f>
        <v>0.4191461071701319</v>
      </c>
      <c r="C50" s="271">
        <f t="shared" si="87"/>
        <v>-2.2428601898898948</v>
      </c>
      <c r="D50" s="271">
        <f t="shared" si="87"/>
        <v>-3.3086540299143263</v>
      </c>
      <c r="E50" s="271">
        <f t="shared" si="87"/>
        <v>1.0836680695543555</v>
      </c>
      <c r="F50" s="271">
        <f t="shared" si="87"/>
        <v>1.5073563292526737</v>
      </c>
      <c r="G50" s="271">
        <f t="shared" si="87"/>
        <v>-1.7928241437298764</v>
      </c>
      <c r="H50" s="271">
        <f t="shared" si="87"/>
        <v>-1.3822197475435449</v>
      </c>
      <c r="I50" s="271">
        <f t="shared" si="87"/>
        <v>-0.44570314890408635</v>
      </c>
      <c r="J50" s="271">
        <f t="shared" si="87"/>
        <v>-2.8425189132119666E-2</v>
      </c>
      <c r="K50" s="271">
        <f t="shared" si="87"/>
        <v>-2.8697386415396098</v>
      </c>
      <c r="L50" s="271">
        <f t="shared" si="87"/>
        <v>-3.3409948465644046</v>
      </c>
      <c r="M50" s="271">
        <f t="shared" si="87"/>
        <v>-0.71590351123573814</v>
      </c>
      <c r="N50" s="271">
        <f t="shared" si="87"/>
        <v>-0.29975808576404583</v>
      </c>
      <c r="O50" s="271">
        <f t="shared" si="87"/>
        <v>-3.2930583788104317</v>
      </c>
      <c r="P50" s="271">
        <f t="shared" si="87"/>
        <v>-3.6179526179117572</v>
      </c>
      <c r="Q50" s="271">
        <f t="shared" si="87"/>
        <v>-0.44124597636019391</v>
      </c>
      <c r="R50" s="271">
        <f t="shared" si="87"/>
        <v>-2.3949334523021282E-2</v>
      </c>
      <c r="S50" s="271">
        <f t="shared" si="87"/>
        <v>-2.8534414539661657</v>
      </c>
      <c r="T50" s="271">
        <f t="shared" si="87"/>
        <v>-3.0614973182392591</v>
      </c>
      <c r="U50" s="271">
        <f t="shared" si="87"/>
        <v>-0.38590751261440293</v>
      </c>
      <c r="V50" s="271">
        <f t="shared" si="87"/>
        <v>3.1621078239330025E-2</v>
      </c>
      <c r="W50" s="271">
        <f t="shared" si="87"/>
        <v>-2.6890891176801768</v>
      </c>
      <c r="X50" s="271">
        <f t="shared" si="87"/>
        <v>-3.3204166499518739</v>
      </c>
      <c r="Y50" s="271">
        <f t="shared" si="87"/>
        <v>7.2953623833593717E-2</v>
      </c>
      <c r="Z50" s="271">
        <f t="shared" si="87"/>
        <v>0.49240551327807136</v>
      </c>
      <c r="AA50" s="271">
        <f t="shared" si="87"/>
        <v>-2.2294800280715177</v>
      </c>
      <c r="AB50" s="271">
        <f t="shared" si="87"/>
        <v>-3.584999249678078</v>
      </c>
      <c r="AC50" s="271">
        <f t="shared" si="87"/>
        <v>-0.70189662349932069</v>
      </c>
      <c r="AD50" s="271">
        <f t="shared" si="87"/>
        <v>-0.28569248870293773</v>
      </c>
      <c r="AE50" s="271">
        <f t="shared" si="87"/>
        <v>-3.0402211777806776</v>
      </c>
      <c r="AF50" s="271">
        <f t="shared" si="87"/>
        <v>-3.6284687379996683</v>
      </c>
      <c r="AG50" s="271">
        <f t="shared" si="87"/>
        <v>-0.71694775687433099</v>
      </c>
      <c r="AH50" s="271">
        <f t="shared" si="87"/>
        <v>-0.30080670831758027</v>
      </c>
      <c r="AI50" s="271">
        <f t="shared" si="87"/>
        <v>-3.2304186200347695</v>
      </c>
      <c r="AJ50" s="271">
        <f t="shared" si="87"/>
        <v>-3.460894368951184</v>
      </c>
      <c r="AK50" s="271">
        <f t="shared" si="87"/>
        <v>0.46996625450419494</v>
      </c>
      <c r="AL50" s="271">
        <f t="shared" si="87"/>
        <v>0.89108220693510098</v>
      </c>
      <c r="AM50" s="271">
        <f t="shared" si="87"/>
        <v>-1.8274547871540037</v>
      </c>
      <c r="AN50" s="271">
        <f t="shared" si="87"/>
        <v>-3.4554669532813054</v>
      </c>
      <c r="AO50" s="271">
        <f t="shared" si="87"/>
        <v>0.32426966304059945</v>
      </c>
      <c r="AP50" s="271">
        <f t="shared" si="87"/>
        <v>0.74477493388009908</v>
      </c>
      <c r="AQ50" s="271">
        <f t="shared" si="87"/>
        <v>-2.0537081248627187</v>
      </c>
      <c r="AR50" s="271">
        <f t="shared" si="87"/>
        <v>-3.6345471026970944</v>
      </c>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269"/>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c r="B51" s="28" t="s">
        <v>1040</v>
      </c>
      <c r="C51" s="7"/>
      <c r="D51" s="7"/>
      <c r="E51" s="7"/>
      <c r="F51" s="7"/>
      <c r="G51" s="7"/>
      <c r="H51" s="7"/>
      <c r="I51" s="7"/>
      <c r="J51" s="7"/>
      <c r="K51" s="7"/>
      <c r="L51" s="7"/>
      <c r="M51" s="7"/>
      <c r="N51" s="7"/>
      <c r="O51" s="7"/>
      <c r="P51" s="7"/>
      <c r="Q51" s="28" t="s">
        <v>380</v>
      </c>
      <c r="R51" s="7"/>
      <c r="S51" s="7"/>
      <c r="T51" s="7"/>
      <c r="U51" s="7"/>
      <c r="V51" s="7"/>
      <c r="W51" s="7"/>
      <c r="X51" s="7"/>
      <c r="Y51" s="7"/>
      <c r="Z51" s="7"/>
      <c r="AA51" s="7"/>
      <c r="AB51" s="7"/>
      <c r="AC51" s="7"/>
      <c r="AD51" s="7"/>
      <c r="AE51" s="7"/>
      <c r="AF51" s="7"/>
      <c r="AG51" s="28" t="s">
        <v>380</v>
      </c>
      <c r="AH51" s="7"/>
      <c r="AI51" s="7"/>
      <c r="AJ51" s="7"/>
      <c r="AK51" s="7"/>
      <c r="AL51" s="7"/>
      <c r="AM51" s="7"/>
      <c r="AN51" s="7"/>
      <c r="AO51" s="7"/>
      <c r="AP51" s="7"/>
      <c r="AQ51" s="7"/>
      <c r="AR51" s="7"/>
    </row>
    <row r="52" spans="1:138">
      <c r="B52" s="28" t="s">
        <v>972</v>
      </c>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row>
    <row r="53" spans="1:138">
      <c r="B53" s="28" t="s">
        <v>1039</v>
      </c>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row>
    <row r="54" spans="1:138">
      <c r="B54" s="1" t="s">
        <v>1031</v>
      </c>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row>
    <row r="55" spans="1:138">
      <c r="B55" s="7"/>
      <c r="C55" s="1" t="s">
        <v>585</v>
      </c>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row>
    <row r="56" spans="1:138">
      <c r="C56" s="1" t="s">
        <v>596</v>
      </c>
    </row>
    <row r="57" spans="1:138">
      <c r="C57" s="1" t="s">
        <v>321</v>
      </c>
    </row>
    <row r="58" spans="1:138">
      <c r="B58" s="1">
        <v>1971</v>
      </c>
      <c r="C58" s="7">
        <v>90792</v>
      </c>
    </row>
    <row r="59" spans="1:138">
      <c r="B59" s="1">
        <v>1972</v>
      </c>
      <c r="C59" s="7">
        <v>101092</v>
      </c>
    </row>
    <row r="60" spans="1:138">
      <c r="B60" s="1">
        <v>1973</v>
      </c>
      <c r="C60" s="7">
        <v>118843</v>
      </c>
    </row>
    <row r="61" spans="1:138">
      <c r="B61" s="1">
        <v>1974</v>
      </c>
      <c r="C61" s="7">
        <v>142090</v>
      </c>
    </row>
    <row r="62" spans="1:138">
      <c r="B62" s="1">
        <v>1975</v>
      </c>
      <c r="C62" s="7">
        <v>163439</v>
      </c>
    </row>
    <row r="63" spans="1:138">
      <c r="B63" s="1">
        <v>1976</v>
      </c>
      <c r="C63" s="7">
        <v>187347</v>
      </c>
    </row>
    <row r="64" spans="1:138">
      <c r="B64" s="1">
        <v>1977</v>
      </c>
      <c r="C64" s="7">
        <v>207193</v>
      </c>
    </row>
    <row r="65" spans="2:14">
      <c r="B65" s="1">
        <v>1978</v>
      </c>
      <c r="C65" s="7">
        <v>230555</v>
      </c>
    </row>
    <row r="66" spans="2:14">
      <c r="B66" s="1">
        <v>1979</v>
      </c>
      <c r="C66" s="7">
        <v>264550</v>
      </c>
    </row>
    <row r="67" spans="2:14">
      <c r="B67" s="1">
        <v>1980</v>
      </c>
      <c r="C67" s="7">
        <v>299782</v>
      </c>
    </row>
    <row r="68" spans="2:14">
      <c r="B68" s="1">
        <v>1981</v>
      </c>
      <c r="C68" s="7">
        <v>338521</v>
      </c>
    </row>
    <row r="69" spans="2:14">
      <c r="B69" s="1">
        <v>1982</v>
      </c>
      <c r="C69" s="7">
        <v>357273</v>
      </c>
      <c r="D69" s="1" t="s">
        <v>597</v>
      </c>
      <c r="E69" s="1" t="s">
        <v>79</v>
      </c>
      <c r="F69" s="1" t="s">
        <v>450</v>
      </c>
      <c r="G69" s="1" t="s">
        <v>598</v>
      </c>
      <c r="H69" s="1" t="s">
        <v>599</v>
      </c>
      <c r="I69" s="1" t="s">
        <v>80</v>
      </c>
      <c r="J69" s="1" t="s">
        <v>454</v>
      </c>
      <c r="K69" s="1" t="s">
        <v>600</v>
      </c>
      <c r="L69" s="1" t="s">
        <v>82</v>
      </c>
      <c r="M69" s="1" t="s">
        <v>601</v>
      </c>
      <c r="N69" s="1" t="s">
        <v>458</v>
      </c>
    </row>
    <row r="70" spans="2:14">
      <c r="B70" s="1">
        <v>1983</v>
      </c>
      <c r="C70" s="7">
        <v>388967</v>
      </c>
      <c r="D70" s="1" t="s">
        <v>76</v>
      </c>
      <c r="E70" s="7" t="s">
        <v>586</v>
      </c>
      <c r="F70" s="1" t="s">
        <v>587</v>
      </c>
      <c r="G70" s="1" t="s">
        <v>588</v>
      </c>
      <c r="H70" s="1" t="s">
        <v>589</v>
      </c>
      <c r="I70" s="1" t="s">
        <v>590</v>
      </c>
      <c r="J70" s="1" t="s">
        <v>591</v>
      </c>
      <c r="K70" s="1" t="s">
        <v>592</v>
      </c>
      <c r="L70" s="1" t="s">
        <v>593</v>
      </c>
      <c r="M70" s="1" t="s">
        <v>594</v>
      </c>
      <c r="N70" s="1" t="s">
        <v>595</v>
      </c>
    </row>
    <row r="71" spans="2:14">
      <c r="B71" s="1">
        <v>1984</v>
      </c>
      <c r="C71" s="7">
        <v>425296</v>
      </c>
      <c r="D71" s="1">
        <v>1984</v>
      </c>
      <c r="E71" s="7">
        <v>5990.8</v>
      </c>
      <c r="F71" s="7">
        <v>1397.4</v>
      </c>
      <c r="G71" s="7">
        <v>11064</v>
      </c>
      <c r="H71" s="7">
        <v>8369.5</v>
      </c>
      <c r="I71" s="7">
        <v>92088.7</v>
      </c>
      <c r="J71" s="7">
        <v>157992.1</v>
      </c>
      <c r="K71" s="7">
        <v>16562.5</v>
      </c>
      <c r="L71" s="7">
        <v>17615</v>
      </c>
      <c r="M71" s="7">
        <v>63974.400000000001</v>
      </c>
      <c r="N71" s="7">
        <v>47708</v>
      </c>
    </row>
    <row r="72" spans="2:14">
      <c r="B72" s="1">
        <v>1985</v>
      </c>
      <c r="C72" s="7">
        <v>458468</v>
      </c>
      <c r="D72" s="1">
        <v>1985</v>
      </c>
      <c r="E72" s="7">
        <v>6192.9</v>
      </c>
      <c r="F72" s="7">
        <v>1480.2</v>
      </c>
      <c r="G72" s="7">
        <v>11858.7</v>
      </c>
      <c r="H72" s="7">
        <v>8865.7000000000007</v>
      </c>
      <c r="I72" s="7">
        <v>98747.8</v>
      </c>
      <c r="J72" s="7">
        <v>172223.5</v>
      </c>
      <c r="K72" s="7">
        <v>18220.099999999999</v>
      </c>
      <c r="L72" s="7">
        <v>19046.900000000001</v>
      </c>
      <c r="M72" s="7">
        <v>68030.899999999994</v>
      </c>
      <c r="N72" s="7">
        <v>50979.3</v>
      </c>
    </row>
    <row r="73" spans="2:14">
      <c r="B73" s="1">
        <v>1986</v>
      </c>
      <c r="C73" s="7">
        <v>479533</v>
      </c>
      <c r="D73" s="1">
        <v>1986</v>
      </c>
      <c r="E73" s="7">
        <v>6636</v>
      </c>
      <c r="F73" s="7">
        <v>1606.3</v>
      </c>
      <c r="G73" s="7">
        <v>12965.7</v>
      </c>
      <c r="H73" s="7">
        <v>9717.2999999999993</v>
      </c>
      <c r="I73" s="7">
        <v>105251</v>
      </c>
      <c r="J73" s="7">
        <v>189142.8</v>
      </c>
      <c r="K73" s="7">
        <v>18905.7</v>
      </c>
      <c r="L73" s="7">
        <v>19160.2</v>
      </c>
      <c r="M73" s="7">
        <v>59151.6</v>
      </c>
      <c r="N73" s="7">
        <v>54014.400000000001</v>
      </c>
    </row>
    <row r="74" spans="2:14">
      <c r="B74" s="1">
        <v>1987</v>
      </c>
      <c r="C74" s="7">
        <v>520897</v>
      </c>
      <c r="D74" s="1">
        <v>1987</v>
      </c>
      <c r="E74" s="7">
        <v>7145.6</v>
      </c>
      <c r="F74" s="7">
        <v>1726.9</v>
      </c>
      <c r="G74" s="7">
        <v>13673.2</v>
      </c>
      <c r="H74" s="7">
        <v>10758.3</v>
      </c>
      <c r="I74" s="7">
        <v>116118</v>
      </c>
      <c r="J74" s="7">
        <v>208964.7</v>
      </c>
      <c r="K74" s="7">
        <v>20006.400000000001</v>
      </c>
      <c r="L74" s="7">
        <v>19040.7</v>
      </c>
      <c r="M74" s="7">
        <v>60725.8</v>
      </c>
      <c r="N74" s="7">
        <v>59353.9</v>
      </c>
    </row>
    <row r="75" spans="2:14">
      <c r="B75" s="1">
        <v>1988</v>
      </c>
      <c r="C75" s="7">
        <v>568887</v>
      </c>
      <c r="D75" s="1">
        <v>1988</v>
      </c>
      <c r="E75" s="7">
        <v>7873</v>
      </c>
      <c r="F75" s="7">
        <v>1909.8</v>
      </c>
      <c r="G75" s="7">
        <v>14474.7</v>
      </c>
      <c r="H75" s="7">
        <v>11562.2</v>
      </c>
      <c r="I75" s="7">
        <v>126981.8</v>
      </c>
      <c r="J75" s="7">
        <v>233095.6</v>
      </c>
      <c r="K75" s="7">
        <v>21307.4</v>
      </c>
      <c r="L75" s="7">
        <v>19416.099999999999</v>
      </c>
      <c r="M75" s="7">
        <v>63292</v>
      </c>
      <c r="N75" s="7">
        <v>65195.7</v>
      </c>
    </row>
    <row r="76" spans="2:14">
      <c r="B76" s="1">
        <v>1989</v>
      </c>
      <c r="C76" s="7">
        <v>607671</v>
      </c>
      <c r="D76" s="1">
        <v>1989</v>
      </c>
      <c r="E76" s="7">
        <v>8269.2000000000007</v>
      </c>
      <c r="F76" s="7">
        <v>2042.2</v>
      </c>
      <c r="G76" s="7">
        <v>15241</v>
      </c>
      <c r="H76" s="7">
        <v>12110.2</v>
      </c>
      <c r="I76" s="7">
        <v>134610.70000000001</v>
      </c>
      <c r="J76" s="7">
        <v>252247.2</v>
      </c>
      <c r="K76" s="7">
        <v>22416.2</v>
      </c>
      <c r="L76" s="7">
        <v>20077.3</v>
      </c>
      <c r="M76" s="7">
        <v>65960.600000000006</v>
      </c>
      <c r="N76" s="7">
        <v>70583.100000000006</v>
      </c>
    </row>
    <row r="77" spans="2:14">
      <c r="B77" s="1">
        <v>1990</v>
      </c>
      <c r="C77" s="7">
        <v>631401</v>
      </c>
      <c r="D77" s="1">
        <v>1990</v>
      </c>
      <c r="E77" s="7">
        <v>8599</v>
      </c>
      <c r="F77" s="7">
        <v>2129.4</v>
      </c>
      <c r="G77" s="7">
        <v>16088.5</v>
      </c>
      <c r="H77" s="7">
        <v>12512.8</v>
      </c>
      <c r="I77" s="7">
        <v>140124.79999999999</v>
      </c>
      <c r="J77" s="7">
        <v>256334.6</v>
      </c>
      <c r="K77" s="7">
        <v>23324.9</v>
      </c>
      <c r="L77" s="7">
        <v>21488.799999999999</v>
      </c>
      <c r="M77" s="7">
        <v>72350</v>
      </c>
      <c r="N77" s="7">
        <v>74133</v>
      </c>
    </row>
    <row r="78" spans="2:14">
      <c r="B78" s="1">
        <v>1991</v>
      </c>
      <c r="C78" s="7">
        <v>636082</v>
      </c>
      <c r="D78" s="1">
        <v>1991</v>
      </c>
      <c r="E78" s="7">
        <v>8731.7000000000007</v>
      </c>
      <c r="F78" s="7">
        <v>2204.1</v>
      </c>
      <c r="G78" s="7">
        <v>16539.900000000001</v>
      </c>
      <c r="H78" s="7">
        <v>12657.8</v>
      </c>
      <c r="I78" s="7">
        <v>141298.5</v>
      </c>
      <c r="J78" s="7">
        <v>257916.7</v>
      </c>
      <c r="K78" s="7">
        <v>22753.200000000001</v>
      </c>
      <c r="L78" s="7">
        <v>20871.8</v>
      </c>
      <c r="M78" s="7">
        <v>71664.600000000006</v>
      </c>
      <c r="N78" s="7">
        <v>77388.7</v>
      </c>
    </row>
    <row r="79" spans="2:14">
      <c r="B79" s="1">
        <v>1992</v>
      </c>
      <c r="C79" s="7">
        <v>649098</v>
      </c>
      <c r="D79" s="1">
        <v>1992</v>
      </c>
      <c r="E79" s="7">
        <v>8665.7999999999993</v>
      </c>
      <c r="F79" s="7">
        <v>2271</v>
      </c>
      <c r="G79" s="7">
        <v>16790.099999999999</v>
      </c>
      <c r="H79" s="7">
        <v>12866.4</v>
      </c>
      <c r="I79" s="7">
        <v>143198.70000000001</v>
      </c>
      <c r="J79" s="7">
        <v>263462.3</v>
      </c>
      <c r="K79" s="7">
        <v>23123.200000000001</v>
      </c>
      <c r="L79" s="7">
        <v>20662.099999999999</v>
      </c>
      <c r="M79" s="7">
        <v>72469.5</v>
      </c>
      <c r="N79" s="7">
        <v>81452.100000000006</v>
      </c>
    </row>
    <row r="80" spans="2:14">
      <c r="B80" s="1">
        <v>1993</v>
      </c>
      <c r="C80" s="7">
        <v>672837</v>
      </c>
      <c r="D80" s="1">
        <v>1993</v>
      </c>
      <c r="E80" s="7">
        <v>8822.7999999999993</v>
      </c>
      <c r="F80" s="7">
        <v>2279.5</v>
      </c>
      <c r="G80" s="7">
        <v>16968.2</v>
      </c>
      <c r="H80" s="7">
        <v>13079.5</v>
      </c>
      <c r="I80" s="7">
        <v>148174.5</v>
      </c>
      <c r="J80" s="7">
        <v>269549.3</v>
      </c>
      <c r="K80" s="7">
        <v>23273</v>
      </c>
      <c r="L80" s="7">
        <v>21430.2</v>
      </c>
      <c r="M80" s="7">
        <v>78185.899999999994</v>
      </c>
      <c r="N80" s="7">
        <v>87648.2</v>
      </c>
    </row>
    <row r="81" spans="2:14">
      <c r="B81" s="1">
        <v>1994</v>
      </c>
      <c r="C81" s="7">
        <v>714150</v>
      </c>
      <c r="D81" s="1">
        <v>1994</v>
      </c>
      <c r="E81" s="7">
        <v>9311.2999999999993</v>
      </c>
      <c r="F81" s="7">
        <v>2444.3000000000002</v>
      </c>
      <c r="G81" s="7">
        <v>17291.8</v>
      </c>
      <c r="H81" s="7">
        <v>14037.3</v>
      </c>
      <c r="I81" s="7">
        <v>155823.20000000001</v>
      </c>
      <c r="J81" s="7">
        <v>284289.09999999998</v>
      </c>
      <c r="K81" s="7">
        <v>24251.1</v>
      </c>
      <c r="L81" s="7">
        <v>23324.9</v>
      </c>
      <c r="M81" s="7">
        <v>85152.8</v>
      </c>
      <c r="N81" s="7">
        <v>94700.6</v>
      </c>
    </row>
    <row r="82" spans="2:14">
      <c r="B82" s="1">
        <v>1995</v>
      </c>
      <c r="C82" s="7">
        <v>750665</v>
      </c>
      <c r="D82" s="1">
        <v>1995</v>
      </c>
      <c r="E82" s="7">
        <v>9643.9</v>
      </c>
      <c r="F82" s="7">
        <v>2673.3</v>
      </c>
      <c r="G82" s="7">
        <v>17966.5</v>
      </c>
      <c r="H82" s="7">
        <v>15078.5</v>
      </c>
      <c r="I82" s="7">
        <v>161967.20000000001</v>
      </c>
      <c r="J82" s="7">
        <v>301731.09999999998</v>
      </c>
      <c r="K82" s="7">
        <v>25184.6</v>
      </c>
      <c r="L82" s="7">
        <v>24878.9</v>
      </c>
      <c r="M82" s="7">
        <v>88765</v>
      </c>
      <c r="N82" s="7">
        <v>98986.6</v>
      </c>
    </row>
    <row r="83" spans="2:14">
      <c r="B83" s="1">
        <v>1996</v>
      </c>
      <c r="C83" s="7">
        <v>775816</v>
      </c>
      <c r="D83" s="1">
        <v>1996</v>
      </c>
      <c r="E83" s="7">
        <v>9487.5</v>
      </c>
      <c r="F83" s="7">
        <v>2678.9</v>
      </c>
      <c r="G83" s="7">
        <v>17995.400000000001</v>
      </c>
      <c r="H83" s="7">
        <v>15301.3</v>
      </c>
      <c r="I83" s="7">
        <v>164651.79999999999</v>
      </c>
      <c r="J83" s="7">
        <v>310920.2</v>
      </c>
      <c r="K83" s="7">
        <v>26351.4</v>
      </c>
      <c r="L83" s="7">
        <v>27181.9</v>
      </c>
      <c r="M83" s="7">
        <v>95512.9</v>
      </c>
      <c r="N83" s="7">
        <v>101769.2</v>
      </c>
    </row>
    <row r="84" spans="2:14">
      <c r="B84" s="1">
        <v>1997</v>
      </c>
      <c r="C84" s="7">
        <v>816756</v>
      </c>
      <c r="D84" s="1">
        <v>1997</v>
      </c>
      <c r="E84" s="7">
        <v>9406.7000000000007</v>
      </c>
      <c r="F84" s="7">
        <v>2520.6</v>
      </c>
      <c r="G84" s="7">
        <v>18379.900000000001</v>
      </c>
      <c r="H84" s="7">
        <v>15270.1</v>
      </c>
      <c r="I84" s="7">
        <v>175117.7</v>
      </c>
      <c r="J84" s="7">
        <v>331338.8</v>
      </c>
      <c r="K84" s="7">
        <v>27478.6</v>
      </c>
      <c r="L84" s="7">
        <v>26907.4</v>
      </c>
      <c r="M84" s="7">
        <v>101936</v>
      </c>
      <c r="N84" s="7">
        <v>104554.1</v>
      </c>
    </row>
    <row r="85" spans="2:14">
      <c r="B85" s="1">
        <v>1998</v>
      </c>
      <c r="C85" s="7">
        <v>846534</v>
      </c>
      <c r="D85" s="1">
        <v>1998</v>
      </c>
      <c r="E85" s="7">
        <v>9986.4</v>
      </c>
      <c r="F85" s="7">
        <v>2693.9</v>
      </c>
      <c r="G85" s="7">
        <v>19380.400000000001</v>
      </c>
      <c r="H85" s="7">
        <v>16043.6</v>
      </c>
      <c r="I85" s="7">
        <v>182252</v>
      </c>
      <c r="J85" s="7">
        <v>348260.8</v>
      </c>
      <c r="K85" s="7">
        <v>28616.9</v>
      </c>
      <c r="L85" s="7">
        <v>27408.9</v>
      </c>
      <c r="M85" s="7">
        <v>102138.6</v>
      </c>
      <c r="N85" s="7">
        <v>105907</v>
      </c>
    </row>
    <row r="86" spans="2:14">
      <c r="B86" s="1">
        <v>1999</v>
      </c>
      <c r="C86" s="7">
        <v>909694</v>
      </c>
      <c r="D86" s="1">
        <v>1999</v>
      </c>
      <c r="E86" s="7">
        <v>10890.3</v>
      </c>
      <c r="F86" s="7">
        <v>2849</v>
      </c>
      <c r="G86" s="7">
        <v>20942.099999999999</v>
      </c>
      <c r="H86" s="7">
        <v>17356.400000000001</v>
      </c>
      <c r="I86" s="7">
        <v>195765.2</v>
      </c>
      <c r="J86" s="7">
        <v>376876.9</v>
      </c>
      <c r="K86" s="7">
        <v>29691.599999999999</v>
      </c>
      <c r="L86" s="7">
        <v>28746.7</v>
      </c>
      <c r="M86" s="7">
        <v>111505.9</v>
      </c>
      <c r="N86" s="7">
        <v>110806.3</v>
      </c>
    </row>
    <row r="87" spans="2:14">
      <c r="B87" s="1">
        <v>2000</v>
      </c>
      <c r="C87" s="7">
        <v>999930</v>
      </c>
      <c r="D87" s="1">
        <v>2000</v>
      </c>
      <c r="E87" s="7">
        <v>12575.1</v>
      </c>
      <c r="F87" s="7">
        <v>3035.4</v>
      </c>
      <c r="G87" s="7">
        <v>22481.9</v>
      </c>
      <c r="H87" s="7">
        <v>18306.2</v>
      </c>
      <c r="I87" s="7">
        <v>209300.6</v>
      </c>
      <c r="J87" s="7">
        <v>406239.2</v>
      </c>
      <c r="K87" s="7">
        <v>31574.7</v>
      </c>
      <c r="L87" s="7">
        <v>31940.6</v>
      </c>
      <c r="M87" s="7">
        <v>139045</v>
      </c>
      <c r="N87" s="7">
        <v>120756.3</v>
      </c>
    </row>
    <row r="88" spans="2:14">
      <c r="B88" s="1">
        <v>2001</v>
      </c>
      <c r="C88" s="7">
        <v>1032172</v>
      </c>
      <c r="D88" s="1">
        <v>2001</v>
      </c>
      <c r="E88" s="7">
        <v>12789.8</v>
      </c>
      <c r="F88" s="7">
        <v>3132.7</v>
      </c>
      <c r="G88" s="7">
        <v>23592.6</v>
      </c>
      <c r="H88" s="7">
        <v>18813.099999999999</v>
      </c>
      <c r="I88" s="7">
        <v>215711.3</v>
      </c>
      <c r="J88" s="7">
        <v>417912.5</v>
      </c>
      <c r="K88" s="7">
        <v>32528</v>
      </c>
      <c r="L88" s="7">
        <v>31278.3</v>
      </c>
      <c r="M88" s="7">
        <v>148393.29999999999</v>
      </c>
      <c r="N88" s="7">
        <v>122772.5</v>
      </c>
    </row>
    <row r="89" spans="2:14">
      <c r="B89" s="1">
        <v>2002</v>
      </c>
      <c r="C89" s="7">
        <v>1068765</v>
      </c>
      <c r="D89" s="1">
        <v>2002</v>
      </c>
      <c r="E89" s="7">
        <v>14976.1</v>
      </c>
      <c r="F89" s="7">
        <v>3339.3</v>
      </c>
      <c r="G89" s="7">
        <v>24509.200000000001</v>
      </c>
      <c r="H89" s="7">
        <v>19115.400000000001</v>
      </c>
      <c r="I89" s="7">
        <v>223849.5</v>
      </c>
      <c r="J89" s="7">
        <v>440220.8</v>
      </c>
      <c r="K89" s="7">
        <v>33614.400000000001</v>
      </c>
      <c r="L89" s="7">
        <v>32731.8</v>
      </c>
      <c r="M89" s="7">
        <v>144266.20000000001</v>
      </c>
      <c r="N89" s="7">
        <v>126760.7</v>
      </c>
    </row>
    <row r="90" spans="2:14">
      <c r="B90" s="1">
        <v>2003</v>
      </c>
      <c r="C90" s="7">
        <v>1128796</v>
      </c>
      <c r="D90" s="1">
        <v>2003</v>
      </c>
      <c r="E90" s="7">
        <v>16543.2</v>
      </c>
      <c r="F90" s="7">
        <v>3421.2</v>
      </c>
      <c r="G90" s="7">
        <v>26130.7</v>
      </c>
      <c r="H90" s="7">
        <v>20166.900000000001</v>
      </c>
      <c r="I90" s="7">
        <v>232979.9</v>
      </c>
      <c r="J90" s="7">
        <v>457025.8</v>
      </c>
      <c r="K90" s="7">
        <v>34562.699999999997</v>
      </c>
      <c r="L90" s="7">
        <v>34960.6</v>
      </c>
      <c r="M90" s="7">
        <v>163676.20000000001</v>
      </c>
      <c r="N90" s="7">
        <v>133212.70000000001</v>
      </c>
    </row>
    <row r="91" spans="2:14">
      <c r="B91" s="1">
        <v>2004</v>
      </c>
      <c r="C91" s="7">
        <v>1201306</v>
      </c>
      <c r="D91" s="123">
        <v>2004</v>
      </c>
      <c r="E91" s="7">
        <v>17792.3</v>
      </c>
      <c r="F91" s="7">
        <v>3607.5</v>
      </c>
      <c r="G91" s="7">
        <v>27062.799999999999</v>
      </c>
      <c r="H91" s="7">
        <v>21477.8</v>
      </c>
      <c r="I91" s="7">
        <v>243988.6</v>
      </c>
      <c r="J91" s="7">
        <v>477196.6</v>
      </c>
      <c r="K91" s="7">
        <v>36855.199999999997</v>
      </c>
      <c r="L91" s="7">
        <v>38921.300000000003</v>
      </c>
      <c r="M91" s="7">
        <v>183009.4</v>
      </c>
      <c r="N91" s="7">
        <v>144460.9</v>
      </c>
    </row>
    <row r="92" spans="2:14">
      <c r="B92" s="1">
        <v>2005</v>
      </c>
      <c r="C92" s="7">
        <v>1280550</v>
      </c>
      <c r="D92" s="123">
        <v>2005</v>
      </c>
      <c r="E92" s="7">
        <v>20303.7</v>
      </c>
      <c r="F92" s="7">
        <v>3690.5</v>
      </c>
      <c r="G92" s="7">
        <v>28373</v>
      </c>
      <c r="H92" s="7">
        <v>22514.400000000001</v>
      </c>
      <c r="I92" s="7">
        <v>252709.6</v>
      </c>
      <c r="J92" s="7">
        <v>497541</v>
      </c>
      <c r="K92" s="7">
        <v>38798.9</v>
      </c>
      <c r="L92" s="7">
        <v>41839.300000000003</v>
      </c>
      <c r="M92" s="7">
        <v>212187.2</v>
      </c>
      <c r="N92" s="7">
        <v>155533.9</v>
      </c>
    </row>
    <row r="93" spans="2:14">
      <c r="B93" s="1">
        <v>2006</v>
      </c>
      <c r="C93" s="7">
        <v>1354353</v>
      </c>
      <c r="D93" s="123">
        <v>2006</v>
      </c>
      <c r="E93" s="7">
        <v>24413.9</v>
      </c>
      <c r="F93" s="7">
        <v>3896.2</v>
      </c>
      <c r="G93" s="7">
        <v>28804.5</v>
      </c>
      <c r="H93" s="7">
        <v>23650</v>
      </c>
      <c r="I93" s="7">
        <v>263692.40000000002</v>
      </c>
      <c r="J93" s="7">
        <v>519527.6</v>
      </c>
      <c r="K93" s="7">
        <v>42002.7</v>
      </c>
      <c r="L93" s="7">
        <v>43230.8</v>
      </c>
      <c r="M93" s="7">
        <v>230468.7</v>
      </c>
      <c r="N93" s="7">
        <v>167376.20000000001</v>
      </c>
    </row>
    <row r="94" spans="2:14">
      <c r="B94" s="1">
        <v>2007</v>
      </c>
      <c r="C94" s="7">
        <v>1430770</v>
      </c>
      <c r="D94" s="1">
        <v>2007</v>
      </c>
      <c r="E94" s="7">
        <v>27549.4</v>
      </c>
      <c r="F94" s="7">
        <v>4129.8999999999996</v>
      </c>
      <c r="G94" s="7">
        <v>30220.5</v>
      </c>
      <c r="H94" s="7">
        <v>24767.5</v>
      </c>
      <c r="I94" s="7">
        <v>276941.2</v>
      </c>
      <c r="J94" s="7">
        <v>542873.59999999998</v>
      </c>
      <c r="K94" s="7">
        <v>45424.7</v>
      </c>
      <c r="L94" s="7">
        <v>48099.4</v>
      </c>
      <c r="M94" s="7">
        <v>246567.7</v>
      </c>
      <c r="N94" s="7">
        <v>176296.6</v>
      </c>
    </row>
    <row r="95" spans="2:14" ht="15">
      <c r="D95" s="302"/>
      <c r="E95" s="1" t="s">
        <v>1038</v>
      </c>
    </row>
  </sheetData>
  <phoneticPr fontId="0" type="noConversion"/>
  <pageMargins left="0.35433070866141736" right="0.35433070866141736" top="0.59055118110236227" bottom="0.59055118110236227" header="0.51181102362204722" footer="0.51181102362204722"/>
  <pageSetup scale="75" orientation="landscape" r:id="rId1"/>
  <headerFooter alignWithMargins="0"/>
  <rowBreaks count="1" manualBreakCount="1">
    <brk id="54" max="16383" man="1"/>
  </rowBreaks>
  <colBreaks count="2" manualBreakCount="2">
    <brk id="16" max="1048575" man="1"/>
    <brk id="32" max="1048575" man="1"/>
  </colBreaks>
</worksheet>
</file>

<file path=xl/worksheets/sheet45.xml><?xml version="1.0" encoding="utf-8"?>
<worksheet xmlns="http://schemas.openxmlformats.org/spreadsheetml/2006/main" xmlns:r="http://schemas.openxmlformats.org/officeDocument/2006/relationships">
  <dimension ref="A1:EH91"/>
  <sheetViews>
    <sheetView view="pageBreakPreview" zoomScaleSheetLayoutView="100" workbookViewId="0">
      <pane xSplit="1" ySplit="4" topLeftCell="B17" activePane="bottomRight" state="frozen"/>
      <selection activeCell="E9" sqref="E9"/>
      <selection pane="topRight" activeCell="E9" sqref="E9"/>
      <selection pane="bottomLeft" activeCell="E9" sqref="E9"/>
      <selection pane="bottomRight" activeCell="E9" sqref="E9"/>
    </sheetView>
  </sheetViews>
  <sheetFormatPr defaultRowHeight="12.75"/>
  <cols>
    <col min="1" max="3" width="9.125" style="30" customWidth="1"/>
    <col min="4" max="5" width="8.875" style="30" customWidth="1"/>
    <col min="6" max="6" width="8.875" style="143" customWidth="1"/>
    <col min="7" max="7" width="9.875" style="143" customWidth="1"/>
    <col min="8" max="16384" width="9" style="143"/>
  </cols>
  <sheetData>
    <row r="1" spans="1:23" s="29" customFormat="1" ht="15.75">
      <c r="A1" s="110"/>
      <c r="B1" s="40" t="s">
        <v>911</v>
      </c>
      <c r="C1" s="40"/>
      <c r="D1" s="110"/>
      <c r="E1" s="110"/>
      <c r="F1" s="110"/>
      <c r="G1" s="110"/>
      <c r="H1" s="110"/>
      <c r="I1" s="110"/>
      <c r="J1" s="110"/>
      <c r="K1" s="110"/>
      <c r="L1" s="110"/>
      <c r="M1" s="110"/>
      <c r="N1" s="40" t="s">
        <v>1046</v>
      </c>
      <c r="O1" s="110"/>
      <c r="P1" s="113"/>
      <c r="Q1" s="113"/>
      <c r="R1" s="110"/>
      <c r="S1" s="110"/>
      <c r="T1" s="110"/>
      <c r="U1" s="110"/>
      <c r="V1" s="110"/>
      <c r="W1" s="110"/>
    </row>
    <row r="2" spans="1:23">
      <c r="A2" s="35"/>
      <c r="B2" s="35"/>
      <c r="C2" s="35"/>
      <c r="D2" s="35"/>
      <c r="E2" s="35"/>
      <c r="F2" s="77"/>
      <c r="G2" s="77"/>
      <c r="H2" s="77"/>
      <c r="I2" s="77"/>
      <c r="J2" s="77"/>
      <c r="K2" s="77"/>
      <c r="L2" s="77"/>
      <c r="M2" s="77"/>
      <c r="N2" s="77"/>
      <c r="O2" s="77"/>
      <c r="P2" s="77"/>
      <c r="Q2" s="77"/>
      <c r="R2" s="77"/>
      <c r="S2" s="77"/>
      <c r="T2" s="77"/>
      <c r="U2" s="77"/>
      <c r="V2" s="77"/>
      <c r="W2" s="35"/>
    </row>
    <row r="3" spans="1:23" s="144" customFormat="1">
      <c r="A3" s="32"/>
      <c r="B3" s="107" t="s">
        <v>321</v>
      </c>
      <c r="C3" s="107"/>
      <c r="D3" s="107" t="s">
        <v>449</v>
      </c>
      <c r="E3" s="107"/>
      <c r="F3" s="108" t="s">
        <v>450</v>
      </c>
      <c r="G3" s="108"/>
      <c r="H3" s="108" t="s">
        <v>451</v>
      </c>
      <c r="I3" s="108"/>
      <c r="J3" s="108" t="s">
        <v>452</v>
      </c>
      <c r="K3" s="108"/>
      <c r="L3" s="108" t="s">
        <v>453</v>
      </c>
      <c r="M3" s="108"/>
      <c r="N3" s="108" t="s">
        <v>454</v>
      </c>
      <c r="O3" s="108"/>
      <c r="P3" s="108" t="s">
        <v>615</v>
      </c>
      <c r="Q3" s="108"/>
      <c r="R3" s="108" t="s">
        <v>456</v>
      </c>
      <c r="S3" s="108"/>
      <c r="T3" s="108" t="s">
        <v>457</v>
      </c>
      <c r="U3" s="108"/>
      <c r="V3" s="108" t="s">
        <v>458</v>
      </c>
      <c r="W3" s="32"/>
    </row>
    <row r="4" spans="1:23" s="243" customFormat="1" ht="51">
      <c r="A4" s="109"/>
      <c r="B4" s="41" t="s">
        <v>203</v>
      </c>
      <c r="C4" s="41" t="s">
        <v>204</v>
      </c>
      <c r="D4" s="41" t="s">
        <v>203</v>
      </c>
      <c r="E4" s="41" t="s">
        <v>204</v>
      </c>
      <c r="F4" s="41" t="s">
        <v>203</v>
      </c>
      <c r="G4" s="41" t="s">
        <v>204</v>
      </c>
      <c r="H4" s="41" t="s">
        <v>203</v>
      </c>
      <c r="I4" s="41" t="s">
        <v>204</v>
      </c>
      <c r="J4" s="41" t="s">
        <v>203</v>
      </c>
      <c r="K4" s="41" t="s">
        <v>204</v>
      </c>
      <c r="L4" s="41" t="s">
        <v>203</v>
      </c>
      <c r="M4" s="41" t="s">
        <v>204</v>
      </c>
      <c r="N4" s="41" t="s">
        <v>203</v>
      </c>
      <c r="O4" s="41" t="s">
        <v>204</v>
      </c>
      <c r="P4" s="41" t="s">
        <v>203</v>
      </c>
      <c r="Q4" s="41" t="s">
        <v>204</v>
      </c>
      <c r="R4" s="41" t="s">
        <v>203</v>
      </c>
      <c r="S4" s="41" t="s">
        <v>204</v>
      </c>
      <c r="T4" s="41" t="s">
        <v>203</v>
      </c>
      <c r="U4" s="41" t="s">
        <v>204</v>
      </c>
      <c r="V4" s="41" t="s">
        <v>203</v>
      </c>
      <c r="W4" s="41" t="s">
        <v>204</v>
      </c>
    </row>
    <row r="5" spans="1:23" hidden="1">
      <c r="A5" s="35"/>
      <c r="B5" s="96"/>
      <c r="C5" s="96"/>
      <c r="D5" s="96"/>
      <c r="E5" s="96"/>
      <c r="F5" s="110"/>
      <c r="G5" s="110"/>
      <c r="H5" s="110"/>
      <c r="I5" s="110"/>
      <c r="J5" s="110"/>
      <c r="K5" s="110"/>
      <c r="L5" s="110"/>
      <c r="M5" s="110"/>
      <c r="N5" s="110"/>
      <c r="O5" s="110"/>
      <c r="P5" s="110"/>
      <c r="Q5" s="110"/>
      <c r="R5" s="110"/>
      <c r="S5" s="110"/>
      <c r="T5" s="110"/>
      <c r="U5" s="110"/>
      <c r="V5" s="110"/>
      <c r="W5" s="35"/>
    </row>
    <row r="6" spans="1:23" hidden="1">
      <c r="A6" s="35">
        <v>1971</v>
      </c>
      <c r="B6" s="43">
        <v>0.30329046160214751</v>
      </c>
      <c r="C6" s="43">
        <f t="shared" ref="C6:C15" si="0">(D$57-B6)/D$59</f>
        <v>1.0215908458588936</v>
      </c>
      <c r="D6" s="43">
        <v>0.31989769011363145</v>
      </c>
      <c r="E6" s="43">
        <f t="shared" ref="E6:E15" si="1">(D$57-D6)/D$59</f>
        <v>0.8727805545373527</v>
      </c>
      <c r="F6" s="111">
        <v>0.28966771827281085</v>
      </c>
      <c r="G6" s="111">
        <f t="shared" ref="G6:G15" si="2">(D$57-F6)/D$59</f>
        <v>1.1436584384156738</v>
      </c>
      <c r="H6" s="111">
        <v>0.30221095870629244</v>
      </c>
      <c r="I6" s="111">
        <f t="shared" ref="I6:I15" si="3">(D$57-H6)/D$59</f>
        <v>1.0312638108755161</v>
      </c>
      <c r="J6" s="111">
        <v>0.28965608812828825</v>
      </c>
      <c r="K6" s="111">
        <f t="shared" ref="K6:K15" si="4">(D$57-J6)/D$59</f>
        <v>1.1437626511802133</v>
      </c>
      <c r="L6" s="111">
        <v>0.30447798882836424</v>
      </c>
      <c r="M6" s="111">
        <f t="shared" ref="M6:M15" si="5">(D$57-L6)/D$59</f>
        <v>1.0109499208927937</v>
      </c>
      <c r="N6" s="111">
        <v>0.29577005104997234</v>
      </c>
      <c r="O6" s="111">
        <f t="shared" ref="O6:O15" si="6">(D$57-N6)/D$59</f>
        <v>1.088978037186628</v>
      </c>
      <c r="P6" s="111">
        <v>0.30708616845656861</v>
      </c>
      <c r="Q6" s="111">
        <f t="shared" ref="Q6:Q15" si="7">(D$57-P6)/D$59</f>
        <v>0.98757913569382993</v>
      </c>
      <c r="R6" s="111">
        <v>0.33718333180544185</v>
      </c>
      <c r="S6" s="111">
        <f t="shared" ref="S6:S15" si="8">(D$57-R6)/D$59</f>
        <v>0.71789129206593327</v>
      </c>
      <c r="T6" s="111">
        <v>0.33229293266535548</v>
      </c>
      <c r="U6" s="111">
        <f t="shared" ref="U6:U15" si="9">(D$57-T6)/D$59</f>
        <v>0.76171207289108001</v>
      </c>
      <c r="V6" s="111">
        <v>0.29164524039653833</v>
      </c>
      <c r="W6" s="43">
        <f t="shared" ref="W6:W15" si="10">(D$57-V6)/D$59</f>
        <v>1.1259387061242088</v>
      </c>
    </row>
    <row r="7" spans="1:23" hidden="1">
      <c r="A7" s="35">
        <v>1972</v>
      </c>
      <c r="B7" s="43">
        <v>0.30329046160214751</v>
      </c>
      <c r="C7" s="43">
        <f t="shared" si="0"/>
        <v>1.0215908458588936</v>
      </c>
      <c r="D7" s="43">
        <v>0.31989769011363145</v>
      </c>
      <c r="E7" s="43">
        <f t="shared" si="1"/>
        <v>0.8727805545373527</v>
      </c>
      <c r="F7" s="111">
        <v>0.28966771827281085</v>
      </c>
      <c r="G7" s="111">
        <f t="shared" si="2"/>
        <v>1.1436584384156738</v>
      </c>
      <c r="H7" s="111">
        <v>0.30221095870629244</v>
      </c>
      <c r="I7" s="111">
        <f t="shared" si="3"/>
        <v>1.0312638108755161</v>
      </c>
      <c r="J7" s="111">
        <v>0.28965608812828825</v>
      </c>
      <c r="K7" s="111">
        <f t="shared" si="4"/>
        <v>1.1437626511802133</v>
      </c>
      <c r="L7" s="111">
        <v>0.30447798882836424</v>
      </c>
      <c r="M7" s="111">
        <f t="shared" si="5"/>
        <v>1.0109499208927937</v>
      </c>
      <c r="N7" s="111">
        <v>0.29577005104997234</v>
      </c>
      <c r="O7" s="111">
        <f t="shared" si="6"/>
        <v>1.088978037186628</v>
      </c>
      <c r="P7" s="111">
        <v>0.30708616845656861</v>
      </c>
      <c r="Q7" s="111">
        <f t="shared" si="7"/>
        <v>0.98757913569382993</v>
      </c>
      <c r="R7" s="111">
        <v>0.33718333180544185</v>
      </c>
      <c r="S7" s="111">
        <f t="shared" si="8"/>
        <v>0.71789129206593327</v>
      </c>
      <c r="T7" s="111">
        <v>0.33229293266535548</v>
      </c>
      <c r="U7" s="111">
        <f t="shared" si="9"/>
        <v>0.76171207289108001</v>
      </c>
      <c r="V7" s="111">
        <v>0.29164524039653833</v>
      </c>
      <c r="W7" s="43">
        <f t="shared" si="10"/>
        <v>1.1259387061242088</v>
      </c>
    </row>
    <row r="8" spans="1:23" hidden="1">
      <c r="A8" s="35">
        <v>1973</v>
      </c>
      <c r="B8" s="43">
        <v>0.30329046160214751</v>
      </c>
      <c r="C8" s="43">
        <f t="shared" si="0"/>
        <v>1.0215908458588936</v>
      </c>
      <c r="D8" s="43">
        <v>0.31989769011363145</v>
      </c>
      <c r="E8" s="43">
        <f t="shared" si="1"/>
        <v>0.8727805545373527</v>
      </c>
      <c r="F8" s="111">
        <v>0.28966771827281085</v>
      </c>
      <c r="G8" s="111">
        <f t="shared" si="2"/>
        <v>1.1436584384156738</v>
      </c>
      <c r="H8" s="111">
        <v>0.30221095870629244</v>
      </c>
      <c r="I8" s="111">
        <f t="shared" si="3"/>
        <v>1.0312638108755161</v>
      </c>
      <c r="J8" s="111">
        <v>0.28965608812828825</v>
      </c>
      <c r="K8" s="111">
        <f t="shared" si="4"/>
        <v>1.1437626511802133</v>
      </c>
      <c r="L8" s="111">
        <v>0.30447798882836424</v>
      </c>
      <c r="M8" s="111">
        <f t="shared" si="5"/>
        <v>1.0109499208927937</v>
      </c>
      <c r="N8" s="111">
        <v>0.29577005104997228</v>
      </c>
      <c r="O8" s="111">
        <f t="shared" si="6"/>
        <v>1.0889780371866287</v>
      </c>
      <c r="P8" s="111">
        <v>0.30708616845656861</v>
      </c>
      <c r="Q8" s="111">
        <f t="shared" si="7"/>
        <v>0.98757913569382993</v>
      </c>
      <c r="R8" s="111">
        <v>0.33718333180544185</v>
      </c>
      <c r="S8" s="111">
        <f t="shared" si="8"/>
        <v>0.71789129206593327</v>
      </c>
      <c r="T8" s="111">
        <v>0.33229293266535548</v>
      </c>
      <c r="U8" s="111">
        <f t="shared" si="9"/>
        <v>0.76171207289108001</v>
      </c>
      <c r="V8" s="111">
        <v>0.29164524039653833</v>
      </c>
      <c r="W8" s="43">
        <f t="shared" si="10"/>
        <v>1.1259387061242088</v>
      </c>
    </row>
    <row r="9" spans="1:23" hidden="1">
      <c r="A9" s="35">
        <v>1974</v>
      </c>
      <c r="B9" s="43">
        <v>0.30245278727353803</v>
      </c>
      <c r="C9" s="43">
        <f t="shared" si="0"/>
        <v>1.0290968882299463</v>
      </c>
      <c r="D9" s="111">
        <v>0.31862357803511454</v>
      </c>
      <c r="E9" s="43">
        <f t="shared" si="1"/>
        <v>0.88419732943445772</v>
      </c>
      <c r="F9" s="111">
        <v>0.28449561586083899</v>
      </c>
      <c r="G9" s="111">
        <f t="shared" si="2"/>
        <v>1.1900034421071779</v>
      </c>
      <c r="H9" s="111">
        <v>0.2997944529084734</v>
      </c>
      <c r="I9" s="111">
        <f t="shared" si="3"/>
        <v>1.0529170886337511</v>
      </c>
      <c r="J9" s="111">
        <v>0.29129690491891891</v>
      </c>
      <c r="K9" s="111">
        <f t="shared" si="4"/>
        <v>1.1290599917659598</v>
      </c>
      <c r="L9" s="111">
        <v>0.2993633232835517</v>
      </c>
      <c r="M9" s="111">
        <f t="shared" si="5"/>
        <v>1.0567802573158454</v>
      </c>
      <c r="N9" s="111">
        <v>0.29459653126384655</v>
      </c>
      <c r="O9" s="111">
        <f t="shared" si="6"/>
        <v>1.0994934474565725</v>
      </c>
      <c r="P9" s="111">
        <v>0.30316885063354643</v>
      </c>
      <c r="Q9" s="111">
        <f t="shared" si="7"/>
        <v>1.0226805498786165</v>
      </c>
      <c r="R9" s="111">
        <v>0.34564603933459354</v>
      </c>
      <c r="S9" s="111">
        <f t="shared" si="8"/>
        <v>0.64206057943912598</v>
      </c>
      <c r="T9" s="111">
        <v>0.34200655678777209</v>
      </c>
      <c r="U9" s="111">
        <f t="shared" si="9"/>
        <v>0.674672430217096</v>
      </c>
      <c r="V9" s="111">
        <v>0.29975370459795458</v>
      </c>
      <c r="W9" s="43">
        <f t="shared" si="10"/>
        <v>1.0532822168642064</v>
      </c>
    </row>
    <row r="10" spans="1:23" hidden="1">
      <c r="A10" s="35">
        <v>1975</v>
      </c>
      <c r="B10" s="43">
        <v>0.3016151129449286</v>
      </c>
      <c r="C10" s="43">
        <f t="shared" si="0"/>
        <v>1.0366029306009985</v>
      </c>
      <c r="D10" s="43">
        <v>0.31734946595659763</v>
      </c>
      <c r="E10" s="43">
        <f t="shared" si="1"/>
        <v>0.89561410433156263</v>
      </c>
      <c r="F10" s="111">
        <v>0.27932351344886719</v>
      </c>
      <c r="G10" s="111">
        <f t="shared" si="2"/>
        <v>1.2363484457986815</v>
      </c>
      <c r="H10" s="111">
        <v>0.29737794711065429</v>
      </c>
      <c r="I10" s="111">
        <f t="shared" si="3"/>
        <v>1.074570366391987</v>
      </c>
      <c r="J10" s="111">
        <v>0.29293772170954946</v>
      </c>
      <c r="K10" s="111">
        <f t="shared" si="4"/>
        <v>1.1143573323517078</v>
      </c>
      <c r="L10" s="111">
        <v>0.29424865773873921</v>
      </c>
      <c r="M10" s="111">
        <f t="shared" si="5"/>
        <v>1.1026105937388964</v>
      </c>
      <c r="N10" s="111">
        <v>0.29342301147772076</v>
      </c>
      <c r="O10" s="111">
        <f t="shared" si="6"/>
        <v>1.1100088577265168</v>
      </c>
      <c r="P10" s="111">
        <v>0.29925153281052419</v>
      </c>
      <c r="Q10" s="111">
        <f t="shared" si="7"/>
        <v>1.0577819640634036</v>
      </c>
      <c r="R10" s="111">
        <v>0.35410874686374522</v>
      </c>
      <c r="S10" s="111">
        <f t="shared" si="8"/>
        <v>0.56622986681231879</v>
      </c>
      <c r="T10" s="111">
        <v>0.3517201809101887</v>
      </c>
      <c r="U10" s="111">
        <f t="shared" si="9"/>
        <v>0.58763278754311199</v>
      </c>
      <c r="V10" s="111">
        <v>0.30786216879937078</v>
      </c>
      <c r="W10" s="43">
        <f t="shared" si="10"/>
        <v>0.98062572760420463</v>
      </c>
    </row>
    <row r="11" spans="1:23" hidden="1">
      <c r="A11" s="35">
        <v>1976</v>
      </c>
      <c r="B11" s="43">
        <v>0.30035860145201448</v>
      </c>
      <c r="C11" s="43">
        <f t="shared" si="0"/>
        <v>1.0478619941575766</v>
      </c>
      <c r="D11" s="111">
        <v>0.30622222047088338</v>
      </c>
      <c r="E11" s="43">
        <f t="shared" si="1"/>
        <v>0.99532060509961151</v>
      </c>
      <c r="F11" s="111">
        <v>0.28059280234996942</v>
      </c>
      <c r="G11" s="111">
        <f t="shared" si="2"/>
        <v>1.2249748893371921</v>
      </c>
      <c r="H11" s="111">
        <v>0.2993354223311584</v>
      </c>
      <c r="I11" s="111">
        <f t="shared" si="3"/>
        <v>1.0570302658498354</v>
      </c>
      <c r="J11" s="111">
        <v>0.29798998353639633</v>
      </c>
      <c r="K11" s="111">
        <f t="shared" si="4"/>
        <v>1.069086169028707</v>
      </c>
      <c r="L11" s="111">
        <v>0.29563398939505814</v>
      </c>
      <c r="M11" s="111">
        <f t="shared" si="5"/>
        <v>1.0901972276428484</v>
      </c>
      <c r="N11" s="111">
        <v>0.29514560932891454</v>
      </c>
      <c r="O11" s="111">
        <f t="shared" si="6"/>
        <v>1.0945733931100852</v>
      </c>
      <c r="P11" s="111">
        <v>0.30659716099678203</v>
      </c>
      <c r="Q11" s="111">
        <f t="shared" si="7"/>
        <v>0.99196092296790328</v>
      </c>
      <c r="R11" s="111">
        <v>0.33979587219796409</v>
      </c>
      <c r="S11" s="111">
        <f t="shared" si="8"/>
        <v>0.69448143191788458</v>
      </c>
      <c r="T11" s="111">
        <v>0.33663674046751546</v>
      </c>
      <c r="U11" s="111">
        <f t="shared" si="9"/>
        <v>0.72278906391115183</v>
      </c>
      <c r="V11" s="111">
        <v>0.30236463007081055</v>
      </c>
      <c r="W11" s="43">
        <f t="shared" si="10"/>
        <v>1.0298868273224864</v>
      </c>
    </row>
    <row r="12" spans="1:23" hidden="1">
      <c r="A12" s="35">
        <v>1977</v>
      </c>
      <c r="B12" s="43">
        <v>0.29910208995910037</v>
      </c>
      <c r="C12" s="43">
        <f t="shared" si="0"/>
        <v>1.0591210577141548</v>
      </c>
      <c r="D12" s="43">
        <v>0.29509497498516912</v>
      </c>
      <c r="E12" s="43">
        <f t="shared" si="1"/>
        <v>1.0950271058676606</v>
      </c>
      <c r="F12" s="111">
        <v>0.28186209125107164</v>
      </c>
      <c r="G12" s="111">
        <f t="shared" si="2"/>
        <v>1.2136013328757025</v>
      </c>
      <c r="H12" s="111">
        <v>0.30129289755166255</v>
      </c>
      <c r="I12" s="111">
        <f t="shared" si="3"/>
        <v>1.0394901653076836</v>
      </c>
      <c r="J12" s="111">
        <v>0.3030422453632432</v>
      </c>
      <c r="K12" s="111">
        <f t="shared" si="4"/>
        <v>1.0238150057057063</v>
      </c>
      <c r="L12" s="111">
        <v>0.29701932105137713</v>
      </c>
      <c r="M12" s="111">
        <f t="shared" si="5"/>
        <v>1.0777838615468003</v>
      </c>
      <c r="N12" s="111">
        <v>0.29686820718010831</v>
      </c>
      <c r="O12" s="111">
        <f t="shared" si="6"/>
        <v>1.0791379284936533</v>
      </c>
      <c r="P12" s="111">
        <v>0.31394278918303981</v>
      </c>
      <c r="Q12" s="111">
        <f t="shared" si="7"/>
        <v>0.92613988187240337</v>
      </c>
      <c r="R12" s="111">
        <v>0.3254829975321829</v>
      </c>
      <c r="S12" s="111">
        <f t="shared" si="8"/>
        <v>0.82273299702345082</v>
      </c>
      <c r="T12" s="111">
        <v>0.32155330002484223</v>
      </c>
      <c r="U12" s="111">
        <f t="shared" si="9"/>
        <v>0.85794534027919167</v>
      </c>
      <c r="V12" s="111">
        <v>0.29686709134225037</v>
      </c>
      <c r="W12" s="43">
        <f t="shared" si="10"/>
        <v>1.0791479270407676</v>
      </c>
    </row>
    <row r="13" spans="1:23" hidden="1">
      <c r="A13" s="35">
        <v>1978</v>
      </c>
      <c r="B13" s="43">
        <v>0.30010729915343171</v>
      </c>
      <c r="C13" s="43">
        <f t="shared" si="0"/>
        <v>1.0501138068688918</v>
      </c>
      <c r="D13" s="111">
        <v>0.29889607601941121</v>
      </c>
      <c r="E13" s="43">
        <f t="shared" si="1"/>
        <v>1.0609670607579644</v>
      </c>
      <c r="F13" s="111">
        <v>0.28377102180312314</v>
      </c>
      <c r="G13" s="111">
        <f t="shared" si="2"/>
        <v>1.1964962204021228</v>
      </c>
      <c r="H13" s="111">
        <v>0.3017097184207187</v>
      </c>
      <c r="I13" s="111">
        <f t="shared" si="3"/>
        <v>1.0357552112838828</v>
      </c>
      <c r="J13" s="111">
        <v>0.30158316460954954</v>
      </c>
      <c r="K13" s="111">
        <f t="shared" si="4"/>
        <v>1.0368892060076209</v>
      </c>
      <c r="L13" s="111">
        <v>0.29746705181482619</v>
      </c>
      <c r="M13" s="111">
        <f t="shared" si="5"/>
        <v>1.0737719371431349</v>
      </c>
      <c r="N13" s="111">
        <v>0.29839701277304281</v>
      </c>
      <c r="O13" s="111">
        <f t="shared" si="6"/>
        <v>1.06543895364657</v>
      </c>
      <c r="P13" s="111">
        <v>0.31101926071377761</v>
      </c>
      <c r="Q13" s="111">
        <f t="shared" si="7"/>
        <v>0.95233637353245892</v>
      </c>
      <c r="R13" s="111">
        <v>0.32755059084896421</v>
      </c>
      <c r="S13" s="111">
        <f t="shared" si="8"/>
        <v>0.80420617518849291</v>
      </c>
      <c r="T13" s="111">
        <v>0.32299194240347795</v>
      </c>
      <c r="U13" s="111">
        <f t="shared" si="9"/>
        <v>0.84505427953872814</v>
      </c>
      <c r="V13" s="111">
        <v>0.29722386376711263</v>
      </c>
      <c r="W13" s="43">
        <f t="shared" si="10"/>
        <v>1.075951041513328</v>
      </c>
    </row>
    <row r="14" spans="1:23" hidden="1">
      <c r="A14" s="35">
        <v>1979</v>
      </c>
      <c r="B14" s="43">
        <v>0.30111250834776299</v>
      </c>
      <c r="C14" s="43">
        <f t="shared" si="0"/>
        <v>1.0411065560236294</v>
      </c>
      <c r="D14" s="43">
        <v>0.30269717705365334</v>
      </c>
      <c r="E14" s="43">
        <f t="shared" si="1"/>
        <v>1.0269070156482678</v>
      </c>
      <c r="F14" s="111">
        <v>0.28567995235517457</v>
      </c>
      <c r="G14" s="111">
        <f t="shared" si="2"/>
        <v>1.1793911079285437</v>
      </c>
      <c r="H14" s="111">
        <v>0.3021265392897749</v>
      </c>
      <c r="I14" s="111">
        <f t="shared" si="3"/>
        <v>1.0320202572600818</v>
      </c>
      <c r="J14" s="111">
        <v>0.30012408385585582</v>
      </c>
      <c r="K14" s="111">
        <f t="shared" si="4"/>
        <v>1.049963406309536</v>
      </c>
      <c r="L14" s="111">
        <v>0.29791478257827519</v>
      </c>
      <c r="M14" s="111">
        <f t="shared" si="5"/>
        <v>1.06976001273947</v>
      </c>
      <c r="N14" s="111">
        <v>0.29992581836597731</v>
      </c>
      <c r="O14" s="111">
        <f t="shared" si="6"/>
        <v>1.0517399787994868</v>
      </c>
      <c r="P14" s="111">
        <v>0.30809573224451536</v>
      </c>
      <c r="Q14" s="111">
        <f t="shared" si="7"/>
        <v>0.97853286519251492</v>
      </c>
      <c r="R14" s="111">
        <v>0.32961818416574556</v>
      </c>
      <c r="S14" s="111">
        <f t="shared" si="8"/>
        <v>0.78567935335353445</v>
      </c>
      <c r="T14" s="111">
        <v>0.32443058478211378</v>
      </c>
      <c r="U14" s="111">
        <f t="shared" si="9"/>
        <v>0.83216321879826372</v>
      </c>
      <c r="V14" s="111">
        <v>0.29758063619197489</v>
      </c>
      <c r="W14" s="43">
        <f t="shared" si="10"/>
        <v>1.0727541559858884</v>
      </c>
    </row>
    <row r="15" spans="1:23" hidden="1">
      <c r="A15" s="35">
        <v>1980</v>
      </c>
      <c r="B15" s="43">
        <v>0.35299999999999998</v>
      </c>
      <c r="C15" s="43">
        <f t="shared" si="0"/>
        <v>0.57616487455197141</v>
      </c>
      <c r="D15" s="111">
        <v>0.35099999999999998</v>
      </c>
      <c r="E15" s="43">
        <f t="shared" si="1"/>
        <v>0.59408602150537648</v>
      </c>
      <c r="F15" s="111">
        <v>0.35599999999999998</v>
      </c>
      <c r="G15" s="111">
        <f t="shared" si="2"/>
        <v>0.5492831541218639</v>
      </c>
      <c r="H15" s="111">
        <v>0.34100000000000003</v>
      </c>
      <c r="I15" s="111">
        <f t="shared" si="3"/>
        <v>0.6836917562724012</v>
      </c>
      <c r="J15" s="111">
        <v>0.33200000000000002</v>
      </c>
      <c r="K15" s="111">
        <f t="shared" si="4"/>
        <v>0.76433691756272393</v>
      </c>
      <c r="L15" s="111">
        <v>0.34399999999999997</v>
      </c>
      <c r="M15" s="111">
        <f t="shared" si="5"/>
        <v>0.65681003584229414</v>
      </c>
      <c r="N15" s="111">
        <v>0.34200000000000003</v>
      </c>
      <c r="O15" s="111">
        <f t="shared" si="6"/>
        <v>0.67473118279569866</v>
      </c>
      <c r="P15" s="111">
        <v>0.36199999999999999</v>
      </c>
      <c r="Q15" s="111">
        <f t="shared" si="7"/>
        <v>0.49551971326164873</v>
      </c>
      <c r="R15" s="111">
        <v>0.36</v>
      </c>
      <c r="S15" s="111">
        <f t="shared" si="8"/>
        <v>0.51344086021505375</v>
      </c>
      <c r="T15" s="111">
        <v>0.373</v>
      </c>
      <c r="U15" s="111">
        <f t="shared" si="9"/>
        <v>0.39695340501792098</v>
      </c>
      <c r="V15" s="111">
        <v>0.36499999999999999</v>
      </c>
      <c r="W15" s="43">
        <f t="shared" si="10"/>
        <v>0.46863799283154117</v>
      </c>
    </row>
    <row r="16" spans="1:23" hidden="1">
      <c r="A16" s="35"/>
      <c r="B16" s="43"/>
      <c r="C16" s="43"/>
      <c r="D16" s="111"/>
      <c r="E16" s="43"/>
      <c r="F16" s="111"/>
      <c r="G16" s="111"/>
      <c r="H16" s="111"/>
      <c r="I16" s="111"/>
      <c r="J16" s="111"/>
      <c r="K16" s="111"/>
      <c r="L16" s="111"/>
      <c r="M16" s="111"/>
      <c r="N16" s="111"/>
      <c r="O16" s="111"/>
      <c r="P16" s="111"/>
      <c r="Q16" s="111"/>
      <c r="R16" s="111"/>
      <c r="S16" s="111"/>
      <c r="T16" s="111"/>
      <c r="U16" s="111"/>
      <c r="V16" s="111"/>
      <c r="W16" s="43"/>
    </row>
    <row r="17" spans="1:23" ht="16.5" customHeight="1">
      <c r="A17" s="35">
        <v>1981</v>
      </c>
      <c r="B17" s="43">
        <v>0.34799999999999998</v>
      </c>
      <c r="C17" s="43">
        <f t="shared" ref="C17:C46" si="11">(D$57-B17)/D$59</f>
        <v>0.6209677419354841</v>
      </c>
      <c r="D17" s="43">
        <v>0.32700000000000001</v>
      </c>
      <c r="E17" s="43">
        <f t="shared" ref="E17:E46" si="12">(D$57-D17)/D$59</f>
        <v>0.80913978494623651</v>
      </c>
      <c r="F17" s="111">
        <v>0.33900000000000002</v>
      </c>
      <c r="G17" s="111">
        <f t="shared" ref="G17:G46" si="13">(D$57-F17)/D$59</f>
        <v>0.70161290322580627</v>
      </c>
      <c r="H17" s="111">
        <v>0.34200000000000003</v>
      </c>
      <c r="I17" s="111">
        <f t="shared" ref="I17:I46" si="14">(D$57-H17)/D$59</f>
        <v>0.67473118279569866</v>
      </c>
      <c r="J17" s="111">
        <v>0.35199999999999998</v>
      </c>
      <c r="K17" s="111">
        <f t="shared" ref="K17:K46" si="15">(D$57-J17)/D$59</f>
        <v>0.58512544802867394</v>
      </c>
      <c r="L17" s="111">
        <v>0.34499999999999997</v>
      </c>
      <c r="M17" s="111">
        <f t="shared" ref="M17:M46" si="16">(D$57-L17)/D$59</f>
        <v>0.6478494623655916</v>
      </c>
      <c r="N17" s="111">
        <v>0.33800000000000002</v>
      </c>
      <c r="O17" s="111">
        <f t="shared" ref="O17:O46" si="17">(D$57-N17)/D$59</f>
        <v>0.71057347670250881</v>
      </c>
      <c r="P17" s="111">
        <v>0.35799999999999998</v>
      </c>
      <c r="Q17" s="111">
        <f t="shared" ref="Q17:Q46" si="18">(D$57-P17)/D$59</f>
        <v>0.53136200716845883</v>
      </c>
      <c r="R17" s="111">
        <v>0.376</v>
      </c>
      <c r="S17" s="111">
        <f t="shared" ref="S17:S46" si="19">(D$57-R17)/D$59</f>
        <v>0.37007168458781342</v>
      </c>
      <c r="T17" s="111">
        <v>0.34599999999999997</v>
      </c>
      <c r="U17" s="111">
        <f t="shared" ref="U17:U46" si="20">(D$57-T17)/D$59</f>
        <v>0.63888888888888906</v>
      </c>
      <c r="V17" s="111">
        <v>0.35399999999999998</v>
      </c>
      <c r="W17" s="43">
        <f t="shared" ref="W17:W46" si="21">(D$57-V17)/D$59</f>
        <v>0.56720430107526898</v>
      </c>
    </row>
    <row r="18" spans="1:23" ht="16.5" customHeight="1">
      <c r="A18" s="35">
        <v>1982</v>
      </c>
      <c r="B18" s="43">
        <v>0.35099999999999998</v>
      </c>
      <c r="C18" s="43">
        <f t="shared" si="11"/>
        <v>0.59408602150537648</v>
      </c>
      <c r="D18" s="43">
        <v>0.32500000000000001</v>
      </c>
      <c r="E18" s="43">
        <f t="shared" si="12"/>
        <v>0.82706093189964158</v>
      </c>
      <c r="F18" s="111">
        <v>0.33500000000000002</v>
      </c>
      <c r="G18" s="111">
        <f t="shared" si="13"/>
        <v>0.73745519713261631</v>
      </c>
      <c r="H18" s="111">
        <v>0.34699999999999998</v>
      </c>
      <c r="I18" s="111">
        <f t="shared" si="14"/>
        <v>0.62992831541218663</v>
      </c>
      <c r="J18" s="111">
        <v>0.35099999999999998</v>
      </c>
      <c r="K18" s="111">
        <f t="shared" si="15"/>
        <v>0.59408602150537648</v>
      </c>
      <c r="L18" s="111">
        <v>0.34399999999999997</v>
      </c>
      <c r="M18" s="111">
        <f t="shared" si="16"/>
        <v>0.65681003584229414</v>
      </c>
      <c r="N18" s="111">
        <v>0.34300000000000003</v>
      </c>
      <c r="O18" s="111">
        <f t="shared" si="17"/>
        <v>0.66577060931899623</v>
      </c>
      <c r="P18" s="111">
        <v>0.35899999999999999</v>
      </c>
      <c r="Q18" s="111">
        <f t="shared" si="18"/>
        <v>0.52240143369175629</v>
      </c>
      <c r="R18" s="111">
        <v>0.36299999999999999</v>
      </c>
      <c r="S18" s="111">
        <f t="shared" si="19"/>
        <v>0.48655913978494619</v>
      </c>
      <c r="T18" s="111">
        <v>0.35799999999999998</v>
      </c>
      <c r="U18" s="111">
        <f t="shared" si="20"/>
        <v>0.53136200716845883</v>
      </c>
      <c r="V18" s="111">
        <v>0.35799999999999998</v>
      </c>
      <c r="W18" s="43">
        <f t="shared" si="21"/>
        <v>0.53136200716845883</v>
      </c>
    </row>
    <row r="19" spans="1:23" ht="16.5" customHeight="1">
      <c r="A19" s="35">
        <v>1983</v>
      </c>
      <c r="B19" s="43">
        <v>0.36099999999999999</v>
      </c>
      <c r="C19" s="43">
        <f t="shared" si="11"/>
        <v>0.50448028673835121</v>
      </c>
      <c r="D19" s="111">
        <v>0.33700000000000002</v>
      </c>
      <c r="E19" s="43">
        <f t="shared" si="12"/>
        <v>0.71953405017921135</v>
      </c>
      <c r="F19" s="111">
        <v>0.35599999999999998</v>
      </c>
      <c r="G19" s="111">
        <f t="shared" si="13"/>
        <v>0.5492831541218639</v>
      </c>
      <c r="H19" s="111">
        <v>0.35899999999999999</v>
      </c>
      <c r="I19" s="111">
        <f t="shared" si="14"/>
        <v>0.52240143369175629</v>
      </c>
      <c r="J19" s="111">
        <v>0.36699999999999999</v>
      </c>
      <c r="K19" s="111">
        <f t="shared" si="15"/>
        <v>0.4507168458781361</v>
      </c>
      <c r="L19" s="111">
        <v>0.34599999999999997</v>
      </c>
      <c r="M19" s="111">
        <f t="shared" si="16"/>
        <v>0.63888888888888906</v>
      </c>
      <c r="N19" s="111">
        <v>0.36399999999999999</v>
      </c>
      <c r="O19" s="111">
        <f t="shared" si="17"/>
        <v>0.47759856630824371</v>
      </c>
      <c r="P19" s="111">
        <v>0.35699999999999998</v>
      </c>
      <c r="Q19" s="111">
        <f t="shared" si="18"/>
        <v>0.54032258064516137</v>
      </c>
      <c r="R19" s="111">
        <v>0.378</v>
      </c>
      <c r="S19" s="111">
        <f t="shared" si="19"/>
        <v>0.35215053763440834</v>
      </c>
      <c r="T19" s="111">
        <v>0.36299999999999999</v>
      </c>
      <c r="U19" s="111">
        <f t="shared" si="20"/>
        <v>0.48655913978494619</v>
      </c>
      <c r="V19" s="111">
        <v>0.35799999999999998</v>
      </c>
      <c r="W19" s="43">
        <f t="shared" si="21"/>
        <v>0.53136200716845883</v>
      </c>
    </row>
    <row r="20" spans="1:23" ht="16.5" customHeight="1">
      <c r="A20" s="35">
        <v>1984</v>
      </c>
      <c r="B20" s="43">
        <v>0.35699999999999998</v>
      </c>
      <c r="C20" s="43">
        <f t="shared" si="11"/>
        <v>0.54032258064516137</v>
      </c>
      <c r="D20" s="43">
        <v>0.33</v>
      </c>
      <c r="E20" s="43">
        <f t="shared" si="12"/>
        <v>0.782258064516129</v>
      </c>
      <c r="F20" s="111">
        <v>0.34799999999999998</v>
      </c>
      <c r="G20" s="111">
        <f t="shared" si="13"/>
        <v>0.6209677419354841</v>
      </c>
      <c r="H20" s="111">
        <v>0.35199999999999998</v>
      </c>
      <c r="I20" s="111">
        <f t="shared" si="14"/>
        <v>0.58512544802867394</v>
      </c>
      <c r="J20" s="111">
        <v>0.35</v>
      </c>
      <c r="K20" s="111">
        <f t="shared" si="15"/>
        <v>0.60304659498207902</v>
      </c>
      <c r="L20" s="111">
        <v>0.35599999999999998</v>
      </c>
      <c r="M20" s="111">
        <f t="shared" si="16"/>
        <v>0.5492831541218639</v>
      </c>
      <c r="N20" s="111">
        <v>0.35299999999999998</v>
      </c>
      <c r="O20" s="111">
        <f t="shared" si="17"/>
        <v>0.57616487455197141</v>
      </c>
      <c r="P20" s="111">
        <v>0.35099999999999998</v>
      </c>
      <c r="Q20" s="111">
        <f t="shared" si="18"/>
        <v>0.59408602150537648</v>
      </c>
      <c r="R20" s="111">
        <v>0.36499999999999999</v>
      </c>
      <c r="S20" s="111">
        <f t="shared" si="19"/>
        <v>0.46863799283154117</v>
      </c>
      <c r="T20" s="111">
        <v>0.35699999999999998</v>
      </c>
      <c r="U20" s="111">
        <f t="shared" si="20"/>
        <v>0.54032258064516137</v>
      </c>
      <c r="V20" s="111">
        <v>0.36299999999999999</v>
      </c>
      <c r="W20" s="43">
        <f t="shared" si="21"/>
        <v>0.48655913978494619</v>
      </c>
    </row>
    <row r="21" spans="1:23" ht="16.5" customHeight="1">
      <c r="A21" s="35">
        <v>1985</v>
      </c>
      <c r="B21" s="43">
        <v>0.35699999999999998</v>
      </c>
      <c r="C21" s="43">
        <f t="shared" si="11"/>
        <v>0.54032258064516137</v>
      </c>
      <c r="D21" s="43">
        <v>0.34599999999999997</v>
      </c>
      <c r="E21" s="43">
        <f t="shared" si="12"/>
        <v>0.63888888888888906</v>
      </c>
      <c r="F21" s="111">
        <v>0.34100000000000003</v>
      </c>
      <c r="G21" s="111">
        <f t="shared" si="13"/>
        <v>0.6836917562724012</v>
      </c>
      <c r="H21" s="111">
        <v>0.36699999999999999</v>
      </c>
      <c r="I21" s="111">
        <f t="shared" si="14"/>
        <v>0.4507168458781361</v>
      </c>
      <c r="J21" s="111">
        <v>0.34200000000000003</v>
      </c>
      <c r="K21" s="111">
        <f t="shared" si="15"/>
        <v>0.67473118279569866</v>
      </c>
      <c r="L21" s="111">
        <v>0.34699999999999998</v>
      </c>
      <c r="M21" s="111">
        <f t="shared" si="16"/>
        <v>0.62992831541218663</v>
      </c>
      <c r="N21" s="111">
        <v>0.35099999999999998</v>
      </c>
      <c r="O21" s="111">
        <f t="shared" si="17"/>
        <v>0.59408602150537648</v>
      </c>
      <c r="P21" s="111">
        <v>0.35</v>
      </c>
      <c r="Q21" s="111">
        <f t="shared" si="18"/>
        <v>0.60304659498207902</v>
      </c>
      <c r="R21" s="111">
        <v>0.372</v>
      </c>
      <c r="S21" s="111">
        <f t="shared" si="19"/>
        <v>0.40591397849462352</v>
      </c>
      <c r="T21" s="111">
        <v>0.35199999999999998</v>
      </c>
      <c r="U21" s="111">
        <f t="shared" si="20"/>
        <v>0.58512544802867394</v>
      </c>
      <c r="V21" s="111">
        <v>0.375</v>
      </c>
      <c r="W21" s="43">
        <f t="shared" si="21"/>
        <v>0.37903225806451596</v>
      </c>
    </row>
    <row r="22" spans="1:23" ht="16.5" customHeight="1">
      <c r="A22" s="35">
        <v>1986</v>
      </c>
      <c r="B22" s="43">
        <v>0.35799999999999998</v>
      </c>
      <c r="C22" s="43">
        <f t="shared" si="11"/>
        <v>0.53136200716845883</v>
      </c>
      <c r="D22" s="43">
        <v>0.32900000000000001</v>
      </c>
      <c r="E22" s="43">
        <f t="shared" si="12"/>
        <v>0.79121863799283154</v>
      </c>
      <c r="F22" s="111">
        <v>0.33100000000000002</v>
      </c>
      <c r="G22" s="111">
        <f t="shared" si="13"/>
        <v>0.77329749103942647</v>
      </c>
      <c r="H22" s="111">
        <v>0.35299999999999998</v>
      </c>
      <c r="I22" s="111">
        <f t="shared" si="14"/>
        <v>0.57616487455197141</v>
      </c>
      <c r="J22" s="111">
        <v>0.33</v>
      </c>
      <c r="K22" s="111">
        <f t="shared" si="15"/>
        <v>0.782258064516129</v>
      </c>
      <c r="L22" s="111">
        <v>0.35499999999999998</v>
      </c>
      <c r="M22" s="111">
        <f t="shared" si="16"/>
        <v>0.55824372759856644</v>
      </c>
      <c r="N22" s="111">
        <v>0.35199999999999998</v>
      </c>
      <c r="O22" s="111">
        <f t="shared" si="17"/>
        <v>0.58512544802867394</v>
      </c>
      <c r="P22" s="111">
        <v>0.34399999999999997</v>
      </c>
      <c r="Q22" s="111">
        <f t="shared" si="18"/>
        <v>0.65681003584229414</v>
      </c>
      <c r="R22" s="111">
        <v>0.374</v>
      </c>
      <c r="S22" s="111">
        <f t="shared" si="19"/>
        <v>0.38799283154121844</v>
      </c>
      <c r="T22" s="111">
        <v>0.36</v>
      </c>
      <c r="U22" s="111">
        <f t="shared" si="20"/>
        <v>0.51344086021505375</v>
      </c>
      <c r="V22" s="111">
        <v>0.36099999999999999</v>
      </c>
      <c r="W22" s="43">
        <f t="shared" si="21"/>
        <v>0.50448028673835121</v>
      </c>
    </row>
    <row r="23" spans="1:23" ht="16.5" customHeight="1">
      <c r="A23" s="35">
        <v>1987</v>
      </c>
      <c r="B23" s="43">
        <v>0.35499999999999998</v>
      </c>
      <c r="C23" s="43">
        <f t="shared" si="11"/>
        <v>0.55824372759856644</v>
      </c>
      <c r="D23" s="43">
        <v>0.33200000000000002</v>
      </c>
      <c r="E23" s="43">
        <f t="shared" si="12"/>
        <v>0.76433691756272393</v>
      </c>
      <c r="F23" s="111">
        <v>0.33700000000000002</v>
      </c>
      <c r="G23" s="111">
        <f t="shared" si="13"/>
        <v>0.71953405017921135</v>
      </c>
      <c r="H23" s="111">
        <v>0.34300000000000003</v>
      </c>
      <c r="I23" s="111">
        <f t="shared" si="14"/>
        <v>0.66577060931899623</v>
      </c>
      <c r="J23" s="111">
        <v>0.34399999999999997</v>
      </c>
      <c r="K23" s="111">
        <f t="shared" si="15"/>
        <v>0.65681003584229414</v>
      </c>
      <c r="L23" s="111">
        <v>0.35199999999999998</v>
      </c>
      <c r="M23" s="111">
        <f t="shared" si="16"/>
        <v>0.58512544802867394</v>
      </c>
      <c r="N23" s="111">
        <v>0.34899999999999998</v>
      </c>
      <c r="O23" s="111">
        <f t="shared" si="17"/>
        <v>0.61200716845878156</v>
      </c>
      <c r="P23" s="111">
        <v>0.34899999999999998</v>
      </c>
      <c r="Q23" s="111">
        <f t="shared" si="18"/>
        <v>0.61200716845878156</v>
      </c>
      <c r="R23" s="111">
        <v>0.35499999999999998</v>
      </c>
      <c r="S23" s="111">
        <f t="shared" si="19"/>
        <v>0.55824372759856644</v>
      </c>
      <c r="T23" s="111">
        <v>0.35799999999999998</v>
      </c>
      <c r="U23" s="111">
        <f t="shared" si="20"/>
        <v>0.53136200716845883</v>
      </c>
      <c r="V23" s="111">
        <v>0.36299999999999999</v>
      </c>
      <c r="W23" s="43">
        <f t="shared" si="21"/>
        <v>0.48655913978494619</v>
      </c>
    </row>
    <row r="24" spans="1:23" ht="16.5" customHeight="1">
      <c r="A24" s="35">
        <v>1988</v>
      </c>
      <c r="B24" s="43">
        <v>0.35399999999999998</v>
      </c>
      <c r="C24" s="43">
        <f t="shared" si="11"/>
        <v>0.56720430107526898</v>
      </c>
      <c r="D24" s="43">
        <v>0.316</v>
      </c>
      <c r="E24" s="43">
        <f t="shared" si="12"/>
        <v>0.90770609318996431</v>
      </c>
      <c r="F24" s="111">
        <v>0.32800000000000001</v>
      </c>
      <c r="G24" s="111">
        <f t="shared" si="13"/>
        <v>0.80017921146953408</v>
      </c>
      <c r="H24" s="111">
        <v>0.34300000000000003</v>
      </c>
      <c r="I24" s="111">
        <f t="shared" si="14"/>
        <v>0.66577060931899623</v>
      </c>
      <c r="J24" s="111">
        <v>0.33</v>
      </c>
      <c r="K24" s="111">
        <f t="shared" si="15"/>
        <v>0.782258064516129</v>
      </c>
      <c r="L24" s="111">
        <v>0.34899999999999998</v>
      </c>
      <c r="M24" s="111">
        <f t="shared" si="16"/>
        <v>0.61200716845878156</v>
      </c>
      <c r="N24" s="111">
        <v>0.35099999999999998</v>
      </c>
      <c r="O24" s="111">
        <f t="shared" si="17"/>
        <v>0.59408602150537648</v>
      </c>
      <c r="P24" s="111">
        <v>0.35</v>
      </c>
      <c r="Q24" s="111">
        <f t="shared" si="18"/>
        <v>0.60304659498207902</v>
      </c>
      <c r="R24" s="111">
        <v>0.35399999999999998</v>
      </c>
      <c r="S24" s="111">
        <f t="shared" si="19"/>
        <v>0.56720430107526898</v>
      </c>
      <c r="T24" s="111">
        <v>0.35099999999999998</v>
      </c>
      <c r="U24" s="111">
        <f t="shared" si="20"/>
        <v>0.59408602150537648</v>
      </c>
      <c r="V24" s="111">
        <v>0.34699999999999998</v>
      </c>
      <c r="W24" s="43">
        <f t="shared" si="21"/>
        <v>0.62992831541218663</v>
      </c>
    </row>
    <row r="25" spans="1:23" ht="16.5" customHeight="1">
      <c r="A25" s="35">
        <v>1989</v>
      </c>
      <c r="B25" s="43">
        <v>0.35099999999999998</v>
      </c>
      <c r="C25" s="43">
        <f t="shared" si="11"/>
        <v>0.59408602150537648</v>
      </c>
      <c r="D25" s="43">
        <v>0.315</v>
      </c>
      <c r="E25" s="43">
        <f t="shared" si="12"/>
        <v>0.91666666666666685</v>
      </c>
      <c r="F25" s="111">
        <v>0.34599999999999997</v>
      </c>
      <c r="G25" s="111">
        <f t="shared" si="13"/>
        <v>0.63888888888888906</v>
      </c>
      <c r="H25" s="111">
        <v>0.35</v>
      </c>
      <c r="I25" s="111">
        <f t="shared" si="14"/>
        <v>0.60304659498207902</v>
      </c>
      <c r="J25" s="111">
        <v>0.33500000000000002</v>
      </c>
      <c r="K25" s="111">
        <f t="shared" si="15"/>
        <v>0.73745519713261631</v>
      </c>
      <c r="L25" s="111">
        <v>0.34200000000000003</v>
      </c>
      <c r="M25" s="111">
        <f t="shared" si="16"/>
        <v>0.67473118279569866</v>
      </c>
      <c r="N25" s="111">
        <v>0.35099999999999998</v>
      </c>
      <c r="O25" s="111">
        <f t="shared" si="17"/>
        <v>0.59408602150537648</v>
      </c>
      <c r="P25" s="111">
        <v>0.34300000000000003</v>
      </c>
      <c r="Q25" s="111">
        <f t="shared" si="18"/>
        <v>0.66577060931899623</v>
      </c>
      <c r="R25" s="111">
        <v>0.35099999999999998</v>
      </c>
      <c r="S25" s="111">
        <f t="shared" si="19"/>
        <v>0.59408602150537648</v>
      </c>
      <c r="T25" s="111">
        <v>0.35199999999999998</v>
      </c>
      <c r="U25" s="111">
        <f t="shared" si="20"/>
        <v>0.58512544802867394</v>
      </c>
      <c r="V25" s="111">
        <v>0.34100000000000003</v>
      </c>
      <c r="W25" s="43">
        <f t="shared" si="21"/>
        <v>0.6836917562724012</v>
      </c>
    </row>
    <row r="26" spans="1:23" ht="16.5" customHeight="1">
      <c r="A26" s="35">
        <v>1990</v>
      </c>
      <c r="B26" s="43">
        <v>0.35699999999999998</v>
      </c>
      <c r="C26" s="43">
        <f t="shared" si="11"/>
        <v>0.54032258064516137</v>
      </c>
      <c r="D26" s="43">
        <v>0.33</v>
      </c>
      <c r="E26" s="43">
        <f t="shared" si="12"/>
        <v>0.782258064516129</v>
      </c>
      <c r="F26" s="111">
        <v>0.33</v>
      </c>
      <c r="G26" s="111">
        <f t="shared" si="13"/>
        <v>0.782258064516129</v>
      </c>
      <c r="H26" s="111">
        <v>0.33800000000000002</v>
      </c>
      <c r="I26" s="111">
        <f t="shared" si="14"/>
        <v>0.71057347670250881</v>
      </c>
      <c r="J26" s="111">
        <v>0.33400000000000002</v>
      </c>
      <c r="K26" s="111">
        <f t="shared" si="15"/>
        <v>0.74641577060931885</v>
      </c>
      <c r="L26" s="111">
        <v>0.35199999999999998</v>
      </c>
      <c r="M26" s="111">
        <f t="shared" si="16"/>
        <v>0.58512544802867394</v>
      </c>
      <c r="N26" s="111">
        <v>0.35199999999999998</v>
      </c>
      <c r="O26" s="111">
        <f t="shared" si="17"/>
        <v>0.58512544802867394</v>
      </c>
      <c r="P26" s="111">
        <v>0.34200000000000003</v>
      </c>
      <c r="Q26" s="111">
        <f t="shared" si="18"/>
        <v>0.67473118279569866</v>
      </c>
      <c r="R26" s="111">
        <v>0.36199999999999999</v>
      </c>
      <c r="S26" s="111">
        <f t="shared" si="19"/>
        <v>0.49551971326164873</v>
      </c>
      <c r="T26" s="111">
        <v>0.35599999999999998</v>
      </c>
      <c r="U26" s="111">
        <f t="shared" si="20"/>
        <v>0.5492831541218639</v>
      </c>
      <c r="V26" s="111">
        <v>0.36699999999999999</v>
      </c>
      <c r="W26" s="43">
        <f t="shared" si="21"/>
        <v>0.4507168458781361</v>
      </c>
    </row>
    <row r="27" spans="1:23" ht="16.5" customHeight="1">
      <c r="A27" s="35">
        <v>1991</v>
      </c>
      <c r="B27" s="43">
        <v>0.36399999999999999</v>
      </c>
      <c r="C27" s="43">
        <f t="shared" si="11"/>
        <v>0.47759856630824371</v>
      </c>
      <c r="D27" s="43">
        <v>0.34599999999999997</v>
      </c>
      <c r="E27" s="43">
        <f t="shared" si="12"/>
        <v>0.63888888888888906</v>
      </c>
      <c r="F27" s="111">
        <v>0.34399999999999997</v>
      </c>
      <c r="G27" s="111">
        <f t="shared" si="13"/>
        <v>0.65681003584229414</v>
      </c>
      <c r="H27" s="111">
        <v>0.33600000000000002</v>
      </c>
      <c r="I27" s="111">
        <f t="shared" si="14"/>
        <v>0.72849462365591389</v>
      </c>
      <c r="J27" s="111">
        <v>0.34200000000000003</v>
      </c>
      <c r="K27" s="111">
        <f t="shared" si="15"/>
        <v>0.67473118279569866</v>
      </c>
      <c r="L27" s="111">
        <v>0.35699999999999998</v>
      </c>
      <c r="M27" s="111">
        <f t="shared" si="16"/>
        <v>0.54032258064516137</v>
      </c>
      <c r="N27" s="111">
        <v>0.36199999999999999</v>
      </c>
      <c r="O27" s="111">
        <f t="shared" si="17"/>
        <v>0.49551971326164873</v>
      </c>
      <c r="P27" s="111">
        <v>0.34399999999999997</v>
      </c>
      <c r="Q27" s="111">
        <f t="shared" si="18"/>
        <v>0.65681003584229414</v>
      </c>
      <c r="R27" s="111">
        <v>0.35699999999999998</v>
      </c>
      <c r="S27" s="111">
        <f t="shared" si="19"/>
        <v>0.54032258064516137</v>
      </c>
      <c r="T27" s="111">
        <v>0.36599999999999999</v>
      </c>
      <c r="U27" s="111">
        <f t="shared" si="20"/>
        <v>0.45967741935483863</v>
      </c>
      <c r="V27" s="111">
        <v>0.36699999999999999</v>
      </c>
      <c r="W27" s="43">
        <f t="shared" si="21"/>
        <v>0.4507168458781361</v>
      </c>
    </row>
    <row r="28" spans="1:23" ht="16.5" customHeight="1">
      <c r="A28" s="35">
        <v>1992</v>
      </c>
      <c r="B28" s="43">
        <v>0.36399999999999999</v>
      </c>
      <c r="C28" s="43">
        <f t="shared" si="11"/>
        <v>0.47759856630824371</v>
      </c>
      <c r="D28" s="43">
        <v>0.34300000000000003</v>
      </c>
      <c r="E28" s="43">
        <f t="shared" si="12"/>
        <v>0.66577060931899623</v>
      </c>
      <c r="F28" s="111">
        <v>0.32700000000000001</v>
      </c>
      <c r="G28" s="111">
        <f t="shared" si="13"/>
        <v>0.80913978494623651</v>
      </c>
      <c r="H28" s="111">
        <v>0.35199999999999998</v>
      </c>
      <c r="I28" s="111">
        <f t="shared" si="14"/>
        <v>0.58512544802867394</v>
      </c>
      <c r="J28" s="111">
        <v>0.34799999999999998</v>
      </c>
      <c r="K28" s="111">
        <f t="shared" si="15"/>
        <v>0.6209677419354841</v>
      </c>
      <c r="L28" s="111">
        <v>0.35299999999999998</v>
      </c>
      <c r="M28" s="111">
        <f t="shared" si="16"/>
        <v>0.57616487455197141</v>
      </c>
      <c r="N28" s="111">
        <v>0.35699999999999998</v>
      </c>
      <c r="O28" s="111">
        <f t="shared" si="17"/>
        <v>0.54032258064516137</v>
      </c>
      <c r="P28" s="111">
        <v>0.36099999999999999</v>
      </c>
      <c r="Q28" s="111">
        <f t="shared" si="18"/>
        <v>0.50448028673835121</v>
      </c>
      <c r="R28" s="111">
        <v>0.373</v>
      </c>
      <c r="S28" s="111">
        <f t="shared" si="19"/>
        <v>0.39695340501792098</v>
      </c>
      <c r="T28" s="111">
        <v>0.378</v>
      </c>
      <c r="U28" s="111">
        <f t="shared" si="20"/>
        <v>0.35215053763440834</v>
      </c>
      <c r="V28" s="111">
        <v>0.374</v>
      </c>
      <c r="W28" s="43">
        <f t="shared" si="21"/>
        <v>0.38799283154121844</v>
      </c>
    </row>
    <row r="29" spans="1:23" ht="16.5" customHeight="1">
      <c r="A29" s="35">
        <v>1993</v>
      </c>
      <c r="B29" s="43">
        <v>0.36699999999999999</v>
      </c>
      <c r="C29" s="43">
        <f t="shared" si="11"/>
        <v>0.4507168458781361</v>
      </c>
      <c r="D29" s="43">
        <v>0.34799999999999998</v>
      </c>
      <c r="E29" s="43">
        <f t="shared" si="12"/>
        <v>0.6209677419354841</v>
      </c>
      <c r="F29" s="111">
        <v>0.32700000000000001</v>
      </c>
      <c r="G29" s="111">
        <f t="shared" si="13"/>
        <v>0.80913978494623651</v>
      </c>
      <c r="H29" s="111">
        <v>0.34</v>
      </c>
      <c r="I29" s="111">
        <f t="shared" si="14"/>
        <v>0.69265232974910373</v>
      </c>
      <c r="J29" s="111">
        <v>0.34599999999999997</v>
      </c>
      <c r="K29" s="111">
        <f t="shared" si="15"/>
        <v>0.63888888888888906</v>
      </c>
      <c r="L29" s="111">
        <v>0.35099999999999998</v>
      </c>
      <c r="M29" s="111">
        <f t="shared" si="16"/>
        <v>0.59408602150537648</v>
      </c>
      <c r="N29" s="111">
        <v>0.36399999999999999</v>
      </c>
      <c r="O29" s="111">
        <f t="shared" si="17"/>
        <v>0.47759856630824371</v>
      </c>
      <c r="P29" s="111">
        <v>0.36099999999999999</v>
      </c>
      <c r="Q29" s="111">
        <f t="shared" si="18"/>
        <v>0.50448028673835121</v>
      </c>
      <c r="R29" s="111">
        <v>0.35799999999999998</v>
      </c>
      <c r="S29" s="111">
        <f t="shared" si="19"/>
        <v>0.53136200716845883</v>
      </c>
      <c r="T29" s="111">
        <v>0.38700000000000001</v>
      </c>
      <c r="U29" s="111">
        <f t="shared" si="20"/>
        <v>0.27150537634408567</v>
      </c>
      <c r="V29" s="111">
        <v>0.374</v>
      </c>
      <c r="W29" s="43">
        <f t="shared" si="21"/>
        <v>0.38799283154121844</v>
      </c>
    </row>
    <row r="30" spans="1:23" ht="16.5" customHeight="1">
      <c r="A30" s="35">
        <v>1994</v>
      </c>
      <c r="B30" s="43">
        <v>0.36199999999999999</v>
      </c>
      <c r="C30" s="43">
        <f t="shared" si="11"/>
        <v>0.49551971326164873</v>
      </c>
      <c r="D30" s="43">
        <v>0.34499999999999997</v>
      </c>
      <c r="E30" s="43">
        <f t="shared" si="12"/>
        <v>0.6478494623655916</v>
      </c>
      <c r="F30" s="111">
        <v>0.32300000000000001</v>
      </c>
      <c r="G30" s="111">
        <f t="shared" si="13"/>
        <v>0.84498207885304666</v>
      </c>
      <c r="H30" s="111">
        <v>0.36</v>
      </c>
      <c r="I30" s="111">
        <f t="shared" si="14"/>
        <v>0.51344086021505375</v>
      </c>
      <c r="J30" s="111">
        <v>0.34799999999999998</v>
      </c>
      <c r="K30" s="111">
        <f t="shared" si="15"/>
        <v>0.6209677419354841</v>
      </c>
      <c r="L30" s="111">
        <v>0.35499999999999998</v>
      </c>
      <c r="M30" s="111">
        <f t="shared" si="16"/>
        <v>0.55824372759856644</v>
      </c>
      <c r="N30" s="111">
        <v>0.35899999999999999</v>
      </c>
      <c r="O30" s="111">
        <f t="shared" si="17"/>
        <v>0.52240143369175629</v>
      </c>
      <c r="P30" s="111">
        <v>0.35399999999999998</v>
      </c>
      <c r="Q30" s="111">
        <f t="shared" si="18"/>
        <v>0.56720430107526898</v>
      </c>
      <c r="R30" s="111">
        <v>0.35499999999999998</v>
      </c>
      <c r="S30" s="111">
        <f t="shared" si="19"/>
        <v>0.55824372759856644</v>
      </c>
      <c r="T30" s="111">
        <v>0.35899999999999999</v>
      </c>
      <c r="U30" s="111">
        <f t="shared" si="20"/>
        <v>0.52240143369175629</v>
      </c>
      <c r="V30" s="111">
        <v>0.37</v>
      </c>
      <c r="W30" s="43">
        <f t="shared" si="21"/>
        <v>0.42383512544802854</v>
      </c>
    </row>
    <row r="31" spans="1:23" ht="16.5" customHeight="1">
      <c r="A31" s="35">
        <v>1995</v>
      </c>
      <c r="B31" s="43">
        <v>0.36599999999999999</v>
      </c>
      <c r="C31" s="43">
        <f t="shared" si="11"/>
        <v>0.45967741935483863</v>
      </c>
      <c r="D31" s="43">
        <v>0.34899999999999998</v>
      </c>
      <c r="E31" s="43">
        <f t="shared" si="12"/>
        <v>0.61200716845878156</v>
      </c>
      <c r="F31" s="111">
        <v>0.33300000000000002</v>
      </c>
      <c r="G31" s="111">
        <f t="shared" si="13"/>
        <v>0.75537634408602139</v>
      </c>
      <c r="H31" s="111">
        <v>0.35399999999999998</v>
      </c>
      <c r="I31" s="111">
        <f t="shared" si="14"/>
        <v>0.56720430107526898</v>
      </c>
      <c r="J31" s="111">
        <v>0.34899999999999998</v>
      </c>
      <c r="K31" s="111">
        <f t="shared" si="15"/>
        <v>0.61200716845878156</v>
      </c>
      <c r="L31" s="111">
        <v>0.36</v>
      </c>
      <c r="M31" s="111">
        <f t="shared" si="16"/>
        <v>0.51344086021505375</v>
      </c>
      <c r="N31" s="111">
        <v>0.36399999999999999</v>
      </c>
      <c r="O31" s="111">
        <f t="shared" si="17"/>
        <v>0.47759856630824371</v>
      </c>
      <c r="P31" s="111">
        <v>0.35399999999999998</v>
      </c>
      <c r="Q31" s="111">
        <f t="shared" si="18"/>
        <v>0.56720430107526898</v>
      </c>
      <c r="R31" s="111">
        <v>0.36499999999999999</v>
      </c>
      <c r="S31" s="111">
        <f t="shared" si="19"/>
        <v>0.46863799283154117</v>
      </c>
      <c r="T31" s="111">
        <v>0.35799999999999998</v>
      </c>
      <c r="U31" s="111">
        <f t="shared" si="20"/>
        <v>0.53136200716845883</v>
      </c>
      <c r="V31" s="111">
        <v>0.373</v>
      </c>
      <c r="W31" s="43">
        <f t="shared" si="21"/>
        <v>0.39695340501792098</v>
      </c>
    </row>
    <row r="32" spans="1:23" ht="16.5" customHeight="1">
      <c r="A32" s="35">
        <v>1996</v>
      </c>
      <c r="B32" s="43">
        <v>0.377</v>
      </c>
      <c r="C32" s="43">
        <f t="shared" si="11"/>
        <v>0.36111111111111088</v>
      </c>
      <c r="D32" s="43">
        <v>0.35</v>
      </c>
      <c r="E32" s="43">
        <f t="shared" si="12"/>
        <v>0.60304659498207902</v>
      </c>
      <c r="F32" s="111">
        <v>0.34399999999999997</v>
      </c>
      <c r="G32" s="111">
        <f t="shared" si="13"/>
        <v>0.65681003584229414</v>
      </c>
      <c r="H32" s="111">
        <v>0.36399999999999999</v>
      </c>
      <c r="I32" s="111">
        <f t="shared" si="14"/>
        <v>0.47759856630824371</v>
      </c>
      <c r="J32" s="111">
        <v>0.35599999999999998</v>
      </c>
      <c r="K32" s="111">
        <f t="shared" si="15"/>
        <v>0.5492831541218639</v>
      </c>
      <c r="L32" s="111">
        <v>0.36299999999999999</v>
      </c>
      <c r="M32" s="111">
        <f t="shared" si="16"/>
        <v>0.48655913978494619</v>
      </c>
      <c r="N32" s="111">
        <v>0.377</v>
      </c>
      <c r="O32" s="111">
        <f t="shared" si="17"/>
        <v>0.36111111111111088</v>
      </c>
      <c r="P32" s="111">
        <v>0.36099999999999999</v>
      </c>
      <c r="Q32" s="111">
        <f t="shared" si="18"/>
        <v>0.50448028673835121</v>
      </c>
      <c r="R32" s="111">
        <v>0.36599999999999999</v>
      </c>
      <c r="S32" s="111">
        <f t="shared" si="19"/>
        <v>0.45967741935483863</v>
      </c>
      <c r="T32" s="111">
        <v>0.38400000000000001</v>
      </c>
      <c r="U32" s="111">
        <f t="shared" si="20"/>
        <v>0.29838709677419323</v>
      </c>
      <c r="V32" s="111">
        <v>0.38600000000000001</v>
      </c>
      <c r="W32" s="43">
        <f t="shared" si="21"/>
        <v>0.28046594982078821</v>
      </c>
    </row>
    <row r="33" spans="1:138" ht="16.5" customHeight="1">
      <c r="A33" s="35">
        <v>1997</v>
      </c>
      <c r="B33" s="43">
        <v>0.38500000000000001</v>
      </c>
      <c r="C33" s="43">
        <f t="shared" si="11"/>
        <v>0.28942652329749069</v>
      </c>
      <c r="D33" s="43">
        <v>0.35</v>
      </c>
      <c r="E33" s="43">
        <f t="shared" si="12"/>
        <v>0.60304659498207902</v>
      </c>
      <c r="F33" s="111">
        <v>0.35499999999999998</v>
      </c>
      <c r="G33" s="111">
        <f t="shared" si="13"/>
        <v>0.55824372759856644</v>
      </c>
      <c r="H33" s="111">
        <v>0.36799999999999999</v>
      </c>
      <c r="I33" s="111">
        <f t="shared" si="14"/>
        <v>0.44175627240143361</v>
      </c>
      <c r="J33" s="111">
        <v>0.36199999999999999</v>
      </c>
      <c r="K33" s="111">
        <f t="shared" si="15"/>
        <v>0.49551971326164873</v>
      </c>
      <c r="L33" s="111">
        <v>0.376</v>
      </c>
      <c r="M33" s="111">
        <f t="shared" si="16"/>
        <v>0.37007168458781342</v>
      </c>
      <c r="N33" s="111">
        <v>0.38200000000000001</v>
      </c>
      <c r="O33" s="111">
        <f t="shared" si="17"/>
        <v>0.31630824372759825</v>
      </c>
      <c r="P33" s="111">
        <v>0.36199999999999999</v>
      </c>
      <c r="Q33" s="111">
        <f t="shared" si="18"/>
        <v>0.49551971326164873</v>
      </c>
      <c r="R33" s="111">
        <v>0.36399999999999999</v>
      </c>
      <c r="S33" s="111">
        <f t="shared" si="19"/>
        <v>0.47759856630824371</v>
      </c>
      <c r="T33" s="111">
        <v>0.39600000000000002</v>
      </c>
      <c r="U33" s="111">
        <f t="shared" si="20"/>
        <v>0.19086021505376294</v>
      </c>
      <c r="V33" s="111">
        <v>0.39200000000000002</v>
      </c>
      <c r="W33" s="43">
        <f t="shared" si="21"/>
        <v>0.22670250896057303</v>
      </c>
    </row>
    <row r="34" spans="1:138" ht="16.5" customHeight="1">
      <c r="A34" s="35">
        <v>1998</v>
      </c>
      <c r="B34" s="43">
        <v>0.38600000000000001</v>
      </c>
      <c r="C34" s="43">
        <f t="shared" si="11"/>
        <v>0.28046594982078821</v>
      </c>
      <c r="D34" s="43">
        <v>0.35799999999999998</v>
      </c>
      <c r="E34" s="43">
        <f t="shared" si="12"/>
        <v>0.53136200716845883</v>
      </c>
      <c r="F34" s="111">
        <v>0.35</v>
      </c>
      <c r="G34" s="111">
        <f t="shared" si="13"/>
        <v>0.60304659498207902</v>
      </c>
      <c r="H34" s="111">
        <v>0.37</v>
      </c>
      <c r="I34" s="111">
        <f t="shared" si="14"/>
        <v>0.42383512544802854</v>
      </c>
      <c r="J34" s="111">
        <v>0.36099999999999999</v>
      </c>
      <c r="K34" s="111">
        <f t="shared" si="15"/>
        <v>0.50448028673835121</v>
      </c>
      <c r="L34" s="111">
        <v>0.372</v>
      </c>
      <c r="M34" s="111">
        <f t="shared" si="16"/>
        <v>0.40591397849462352</v>
      </c>
      <c r="N34" s="111">
        <v>0.38400000000000001</v>
      </c>
      <c r="O34" s="111">
        <f t="shared" si="17"/>
        <v>0.29838709677419323</v>
      </c>
      <c r="P34" s="111">
        <v>0.36699999999999999</v>
      </c>
      <c r="Q34" s="111">
        <f t="shared" si="18"/>
        <v>0.4507168458781361</v>
      </c>
      <c r="R34" s="111">
        <v>0.36899999999999999</v>
      </c>
      <c r="S34" s="111">
        <f t="shared" si="19"/>
        <v>0.43279569892473108</v>
      </c>
      <c r="T34" s="111">
        <v>0.39600000000000002</v>
      </c>
      <c r="U34" s="111">
        <f t="shared" si="20"/>
        <v>0.19086021505376294</v>
      </c>
      <c r="V34" s="111">
        <v>0.39</v>
      </c>
      <c r="W34" s="43">
        <f t="shared" si="21"/>
        <v>0.24462365591397808</v>
      </c>
    </row>
    <row r="35" spans="1:138" ht="16.5" customHeight="1">
      <c r="A35" s="35">
        <v>1999</v>
      </c>
      <c r="B35" s="43">
        <v>0.38600000000000001</v>
      </c>
      <c r="C35" s="43">
        <f t="shared" si="11"/>
        <v>0.28046594982078821</v>
      </c>
      <c r="D35" s="43">
        <v>0.36099999999999999</v>
      </c>
      <c r="E35" s="43">
        <f t="shared" si="12"/>
        <v>0.50448028673835121</v>
      </c>
      <c r="F35" s="111">
        <v>0.36599999999999999</v>
      </c>
      <c r="G35" s="111">
        <f t="shared" si="13"/>
        <v>0.45967741935483863</v>
      </c>
      <c r="H35" s="111">
        <v>0.371</v>
      </c>
      <c r="I35" s="111">
        <f t="shared" si="14"/>
        <v>0.41487455197132606</v>
      </c>
      <c r="J35" s="111">
        <v>0.35199999999999998</v>
      </c>
      <c r="K35" s="111">
        <f t="shared" si="15"/>
        <v>0.58512544802867394</v>
      </c>
      <c r="L35" s="111">
        <v>0.36399999999999999</v>
      </c>
      <c r="M35" s="111">
        <f t="shared" si="16"/>
        <v>0.47759856630824371</v>
      </c>
      <c r="N35" s="111">
        <v>0.39100000000000001</v>
      </c>
      <c r="O35" s="111">
        <f t="shared" si="17"/>
        <v>0.23566308243727557</v>
      </c>
      <c r="P35" s="111">
        <v>0.35799999999999998</v>
      </c>
      <c r="Q35" s="111">
        <f t="shared" si="18"/>
        <v>0.53136200716845883</v>
      </c>
      <c r="R35" s="111">
        <v>0.36</v>
      </c>
      <c r="S35" s="111">
        <f t="shared" si="19"/>
        <v>0.51344086021505375</v>
      </c>
      <c r="T35" s="111">
        <v>0.379</v>
      </c>
      <c r="U35" s="111">
        <f t="shared" si="20"/>
        <v>0.34318996415770586</v>
      </c>
      <c r="V35" s="111">
        <v>0.39100000000000001</v>
      </c>
      <c r="W35" s="43">
        <f t="shared" si="21"/>
        <v>0.23566308243727557</v>
      </c>
    </row>
    <row r="36" spans="1:138" ht="16.5" customHeight="1">
      <c r="A36" s="35">
        <v>2000</v>
      </c>
      <c r="B36" s="9">
        <v>0.39200000000000002</v>
      </c>
      <c r="C36" s="43">
        <f t="shared" si="11"/>
        <v>0.22670250896057303</v>
      </c>
      <c r="D36" s="9">
        <v>0.36799999999999999</v>
      </c>
      <c r="E36" s="43">
        <f t="shared" si="12"/>
        <v>0.44175627240143361</v>
      </c>
      <c r="F36" s="9">
        <v>0.36199999999999999</v>
      </c>
      <c r="G36" s="111">
        <f t="shared" si="13"/>
        <v>0.49551971326164873</v>
      </c>
      <c r="H36" s="9">
        <v>0.372</v>
      </c>
      <c r="I36" s="111">
        <f t="shared" si="14"/>
        <v>0.40591397849462352</v>
      </c>
      <c r="J36" s="9">
        <v>0.36499999999999999</v>
      </c>
      <c r="K36" s="111">
        <f t="shared" si="15"/>
        <v>0.46863799283154117</v>
      </c>
      <c r="L36" s="9">
        <v>0.376</v>
      </c>
      <c r="M36" s="111">
        <f t="shared" si="16"/>
        <v>0.37007168458781342</v>
      </c>
      <c r="N36" s="9">
        <v>0.39600000000000002</v>
      </c>
      <c r="O36" s="111">
        <f t="shared" si="17"/>
        <v>0.19086021505376294</v>
      </c>
      <c r="P36" s="9">
        <v>0.36399999999999999</v>
      </c>
      <c r="Q36" s="111">
        <f t="shared" si="18"/>
        <v>0.47759856630824371</v>
      </c>
      <c r="R36" s="9">
        <v>0.36899999999999999</v>
      </c>
      <c r="S36" s="111">
        <f t="shared" si="19"/>
        <v>0.43279569892473108</v>
      </c>
      <c r="T36" s="9">
        <v>0.38500000000000001</v>
      </c>
      <c r="U36" s="111">
        <f t="shared" si="20"/>
        <v>0.28942652329749069</v>
      </c>
      <c r="V36" s="9">
        <v>0.39</v>
      </c>
      <c r="W36" s="43">
        <f t="shared" si="21"/>
        <v>0.24462365591397808</v>
      </c>
    </row>
    <row r="37" spans="1:138" ht="16.5" customHeight="1">
      <c r="A37" s="35">
        <v>2001</v>
      </c>
      <c r="B37" s="9">
        <v>0.39200000000000002</v>
      </c>
      <c r="C37" s="43">
        <f t="shared" si="11"/>
        <v>0.22670250896057303</v>
      </c>
      <c r="D37" s="9">
        <v>0.36</v>
      </c>
      <c r="E37" s="43">
        <f t="shared" si="12"/>
        <v>0.51344086021505375</v>
      </c>
      <c r="F37" s="9">
        <v>0.35799999999999998</v>
      </c>
      <c r="G37" s="111">
        <f t="shared" si="13"/>
        <v>0.53136200716845883</v>
      </c>
      <c r="H37" s="9">
        <v>0.376</v>
      </c>
      <c r="I37" s="111">
        <f t="shared" si="14"/>
        <v>0.37007168458781342</v>
      </c>
      <c r="J37" s="9">
        <v>0.37</v>
      </c>
      <c r="K37" s="111">
        <f t="shared" si="15"/>
        <v>0.42383512544802854</v>
      </c>
      <c r="L37" s="9">
        <v>0.378</v>
      </c>
      <c r="M37" s="111">
        <f t="shared" si="16"/>
        <v>0.35215053763440834</v>
      </c>
      <c r="N37" s="9">
        <v>0.39200000000000002</v>
      </c>
      <c r="O37" s="111">
        <f t="shared" si="17"/>
        <v>0.22670250896057303</v>
      </c>
      <c r="P37" s="9">
        <v>0.36199999999999999</v>
      </c>
      <c r="Q37" s="111">
        <f t="shared" si="18"/>
        <v>0.49551971326164873</v>
      </c>
      <c r="R37" s="9">
        <v>0.36599999999999999</v>
      </c>
      <c r="S37" s="111">
        <f t="shared" si="19"/>
        <v>0.45967741935483863</v>
      </c>
      <c r="T37" s="9">
        <v>0.38400000000000001</v>
      </c>
      <c r="U37" s="111">
        <f t="shared" si="20"/>
        <v>0.29838709677419323</v>
      </c>
      <c r="V37" s="9">
        <v>0.4</v>
      </c>
      <c r="W37" s="43">
        <f t="shared" si="21"/>
        <v>0.15501792114695287</v>
      </c>
    </row>
    <row r="38" spans="1:138" ht="16.5" customHeight="1">
      <c r="A38" s="35">
        <v>2002</v>
      </c>
      <c r="B38" s="9">
        <v>0.39100000000000001</v>
      </c>
      <c r="C38" s="43">
        <f t="shared" si="11"/>
        <v>0.23566308243727557</v>
      </c>
      <c r="D38" s="9">
        <v>0.36499999999999999</v>
      </c>
      <c r="E38" s="43">
        <f t="shared" si="12"/>
        <v>0.46863799283154117</v>
      </c>
      <c r="F38" s="9">
        <v>0.35899999999999999</v>
      </c>
      <c r="G38" s="111">
        <f t="shared" si="13"/>
        <v>0.52240143369175629</v>
      </c>
      <c r="H38" s="9">
        <v>0.376</v>
      </c>
      <c r="I38" s="111">
        <f t="shared" si="14"/>
        <v>0.37007168458781342</v>
      </c>
      <c r="J38" s="9">
        <v>0.37</v>
      </c>
      <c r="K38" s="111">
        <f t="shared" si="15"/>
        <v>0.42383512544802854</v>
      </c>
      <c r="L38" s="9">
        <v>0.374</v>
      </c>
      <c r="M38" s="111">
        <f t="shared" si="16"/>
        <v>0.38799283154121844</v>
      </c>
      <c r="N38" s="9">
        <v>0.39200000000000002</v>
      </c>
      <c r="O38" s="111">
        <f t="shared" si="17"/>
        <v>0.22670250896057303</v>
      </c>
      <c r="P38" s="9">
        <v>0.37</v>
      </c>
      <c r="Q38" s="111">
        <f t="shared" si="18"/>
        <v>0.42383512544802854</v>
      </c>
      <c r="R38" s="9">
        <v>0.36699999999999999</v>
      </c>
      <c r="S38" s="111">
        <f t="shared" si="19"/>
        <v>0.4507168458781361</v>
      </c>
      <c r="T38" s="9">
        <v>0.377</v>
      </c>
      <c r="U38" s="111">
        <f t="shared" si="20"/>
        <v>0.36111111111111088</v>
      </c>
      <c r="V38" s="9">
        <v>0.40799999999999997</v>
      </c>
      <c r="W38" s="43">
        <f t="shared" si="21"/>
        <v>8.3333333333333162E-2</v>
      </c>
    </row>
    <row r="39" spans="1:138" ht="16.5" customHeight="1">
      <c r="A39" s="35">
        <v>2003</v>
      </c>
      <c r="B39" s="9">
        <v>0.38900000000000001</v>
      </c>
      <c r="C39" s="43">
        <f t="shared" si="11"/>
        <v>0.25358422939068059</v>
      </c>
      <c r="D39" s="9">
        <v>0.36399999999999999</v>
      </c>
      <c r="E39" s="43">
        <f t="shared" si="12"/>
        <v>0.47759856630824371</v>
      </c>
      <c r="F39" s="9">
        <v>0.34699999999999998</v>
      </c>
      <c r="G39" s="111">
        <f t="shared" si="13"/>
        <v>0.62992831541218663</v>
      </c>
      <c r="H39" s="9">
        <v>0.37</v>
      </c>
      <c r="I39" s="111">
        <f t="shared" si="14"/>
        <v>0.42383512544802854</v>
      </c>
      <c r="J39" s="9">
        <v>0.371</v>
      </c>
      <c r="K39" s="111">
        <f t="shared" si="15"/>
        <v>0.41487455197132606</v>
      </c>
      <c r="L39" s="9">
        <v>0.37</v>
      </c>
      <c r="M39" s="111">
        <f t="shared" si="16"/>
        <v>0.42383512544802854</v>
      </c>
      <c r="N39" s="9">
        <v>0.39</v>
      </c>
      <c r="O39" s="111">
        <f t="shared" si="17"/>
        <v>0.24462365591397808</v>
      </c>
      <c r="P39" s="9">
        <v>0.35699999999999998</v>
      </c>
      <c r="Q39" s="111">
        <f t="shared" si="18"/>
        <v>0.54032258064516137</v>
      </c>
      <c r="R39" s="9">
        <v>0.374</v>
      </c>
      <c r="S39" s="111">
        <f t="shared" si="19"/>
        <v>0.38799283154121844</v>
      </c>
      <c r="T39" s="9">
        <v>0.39400000000000002</v>
      </c>
      <c r="U39" s="111">
        <f t="shared" si="20"/>
        <v>0.20878136200716799</v>
      </c>
      <c r="V39" s="9">
        <v>0.39500000000000002</v>
      </c>
      <c r="W39" s="43">
        <f t="shared" si="21"/>
        <v>0.19982078853046548</v>
      </c>
    </row>
    <row r="40" spans="1:138" ht="16.5" customHeight="1">
      <c r="A40" s="35">
        <v>2004</v>
      </c>
      <c r="B40" s="9">
        <v>0.39400000000000002</v>
      </c>
      <c r="C40" s="43">
        <f t="shared" si="11"/>
        <v>0.20878136200716799</v>
      </c>
      <c r="D40" s="9">
        <v>0.36499999999999999</v>
      </c>
      <c r="E40" s="43">
        <f t="shared" si="12"/>
        <v>0.46863799283154117</v>
      </c>
      <c r="F40" s="9">
        <v>0.34200000000000003</v>
      </c>
      <c r="G40" s="111">
        <f t="shared" si="13"/>
        <v>0.67473118279569866</v>
      </c>
      <c r="H40" s="9">
        <v>0.372</v>
      </c>
      <c r="I40" s="111">
        <f t="shared" si="14"/>
        <v>0.40591397849462352</v>
      </c>
      <c r="J40" s="9">
        <v>0.371</v>
      </c>
      <c r="K40" s="111">
        <f t="shared" si="15"/>
        <v>0.41487455197132606</v>
      </c>
      <c r="L40" s="9">
        <v>0.374</v>
      </c>
      <c r="M40" s="111">
        <f t="shared" si="16"/>
        <v>0.38799283154121844</v>
      </c>
      <c r="N40" s="9">
        <v>0.4</v>
      </c>
      <c r="O40" s="111">
        <f t="shared" si="17"/>
        <v>0.15501792114695287</v>
      </c>
      <c r="P40" s="9">
        <v>0.36899999999999999</v>
      </c>
      <c r="Q40" s="111">
        <f t="shared" si="18"/>
        <v>0.43279569892473108</v>
      </c>
      <c r="R40" s="9">
        <v>0.38100000000000001</v>
      </c>
      <c r="S40" s="111">
        <f t="shared" si="19"/>
        <v>0.32526881720430079</v>
      </c>
      <c r="T40" s="9">
        <v>0.39</v>
      </c>
      <c r="U40" s="111">
        <f t="shared" si="20"/>
        <v>0.24462365591397808</v>
      </c>
      <c r="V40" s="9">
        <v>0.39500000000000002</v>
      </c>
      <c r="W40" s="43">
        <f t="shared" si="21"/>
        <v>0.19982078853046548</v>
      </c>
    </row>
    <row r="41" spans="1:138" ht="16.5" customHeight="1">
      <c r="A41" s="35">
        <v>2005</v>
      </c>
      <c r="B41" s="9">
        <v>0.39300000000000002</v>
      </c>
      <c r="C41" s="43">
        <f t="shared" si="11"/>
        <v>0.21774193548387052</v>
      </c>
      <c r="D41" s="9">
        <v>0.36499999999999999</v>
      </c>
      <c r="E41" s="43">
        <f t="shared" si="12"/>
        <v>0.46863799283154117</v>
      </c>
      <c r="F41" s="9">
        <v>0.33600000000000002</v>
      </c>
      <c r="G41" s="111">
        <f t="shared" si="13"/>
        <v>0.72849462365591389</v>
      </c>
      <c r="H41" s="9">
        <v>0.375</v>
      </c>
      <c r="I41" s="111">
        <f t="shared" si="14"/>
        <v>0.37903225806451596</v>
      </c>
      <c r="J41" s="9">
        <v>0.36899999999999999</v>
      </c>
      <c r="K41" s="111">
        <f t="shared" si="15"/>
        <v>0.43279569892473108</v>
      </c>
      <c r="L41" s="9">
        <v>0.38</v>
      </c>
      <c r="M41" s="111">
        <f t="shared" si="16"/>
        <v>0.33422939068100332</v>
      </c>
      <c r="N41" s="9">
        <v>0.39400000000000002</v>
      </c>
      <c r="O41" s="111">
        <f t="shared" si="17"/>
        <v>0.20878136200716799</v>
      </c>
      <c r="P41" s="9">
        <v>0.373</v>
      </c>
      <c r="Q41" s="111">
        <f t="shared" si="18"/>
        <v>0.39695340501792098</v>
      </c>
      <c r="R41" s="9">
        <v>0.39600000000000002</v>
      </c>
      <c r="S41" s="111">
        <f t="shared" si="19"/>
        <v>0.19086021505376294</v>
      </c>
      <c r="T41" s="9">
        <v>0.38300000000000001</v>
      </c>
      <c r="U41" s="111">
        <f t="shared" si="20"/>
        <v>0.30734767025089577</v>
      </c>
      <c r="V41" s="9">
        <v>0.39800000000000002</v>
      </c>
      <c r="W41" s="43">
        <f t="shared" si="21"/>
        <v>0.17293906810035789</v>
      </c>
    </row>
    <row r="42" spans="1:138" ht="16.5" customHeight="1">
      <c r="A42" s="35">
        <v>2006</v>
      </c>
      <c r="B42" s="9">
        <v>0.39200000000000002</v>
      </c>
      <c r="C42" s="43">
        <f t="shared" si="11"/>
        <v>0.22670250896057303</v>
      </c>
      <c r="D42" s="9">
        <v>0.36399999999999999</v>
      </c>
      <c r="E42" s="43">
        <f t="shared" si="12"/>
        <v>0.47759856630824371</v>
      </c>
      <c r="F42" s="9">
        <v>0.34300000000000003</v>
      </c>
      <c r="G42" s="111">
        <f t="shared" si="13"/>
        <v>0.66577060931899623</v>
      </c>
      <c r="H42" s="9">
        <v>0.374</v>
      </c>
      <c r="I42" s="111">
        <f t="shared" si="14"/>
        <v>0.38799283154121844</v>
      </c>
      <c r="J42" s="9">
        <v>0.36699999999999999</v>
      </c>
      <c r="K42" s="111">
        <f t="shared" si="15"/>
        <v>0.4507168458781361</v>
      </c>
      <c r="L42" s="9">
        <v>0.375</v>
      </c>
      <c r="M42" s="111">
        <f t="shared" si="16"/>
        <v>0.37903225806451596</v>
      </c>
      <c r="N42" s="9">
        <v>0.39100000000000001</v>
      </c>
      <c r="O42" s="111">
        <f t="shared" si="17"/>
        <v>0.23566308243727557</v>
      </c>
      <c r="P42" s="9">
        <v>0.376</v>
      </c>
      <c r="Q42" s="111">
        <f t="shared" si="18"/>
        <v>0.37007168458781342</v>
      </c>
      <c r="R42" s="9">
        <v>0.39500000000000002</v>
      </c>
      <c r="S42" s="111">
        <f t="shared" si="19"/>
        <v>0.19982078853046548</v>
      </c>
      <c r="T42" s="9">
        <v>0.38900000000000001</v>
      </c>
      <c r="U42" s="111">
        <f t="shared" si="20"/>
        <v>0.25358422939068059</v>
      </c>
      <c r="V42" s="9">
        <v>0.4</v>
      </c>
      <c r="W42" s="43">
        <f t="shared" si="21"/>
        <v>0.15501792114695287</v>
      </c>
    </row>
    <row r="43" spans="1:138" ht="16.5" customHeight="1">
      <c r="A43" s="35">
        <v>2007</v>
      </c>
      <c r="B43" s="9">
        <v>0.39400000000000002</v>
      </c>
      <c r="C43" s="43">
        <f t="shared" si="11"/>
        <v>0.20878136200716799</v>
      </c>
      <c r="D43" s="9">
        <v>0.371</v>
      </c>
      <c r="E43" s="43">
        <f t="shared" si="12"/>
        <v>0.41487455197132606</v>
      </c>
      <c r="F43" s="9">
        <v>0.32900000000000001</v>
      </c>
      <c r="G43" s="111">
        <f t="shared" si="13"/>
        <v>0.79121863799283154</v>
      </c>
      <c r="H43" s="9">
        <v>0.372</v>
      </c>
      <c r="I43" s="111">
        <f t="shared" si="14"/>
        <v>0.40591397849462352</v>
      </c>
      <c r="J43" s="9">
        <v>0.36599999999999999</v>
      </c>
      <c r="K43" s="111">
        <f t="shared" si="15"/>
        <v>0.45967741935483863</v>
      </c>
      <c r="L43" s="9">
        <v>0.376</v>
      </c>
      <c r="M43" s="111">
        <f t="shared" si="16"/>
        <v>0.37007168458781342</v>
      </c>
      <c r="N43" s="9">
        <v>0.39200000000000002</v>
      </c>
      <c r="O43" s="111">
        <f t="shared" si="17"/>
        <v>0.22670250896057303</v>
      </c>
      <c r="P43" s="9">
        <v>0.38</v>
      </c>
      <c r="Q43" s="111">
        <f t="shared" si="18"/>
        <v>0.33422939068100332</v>
      </c>
      <c r="R43" s="9">
        <v>0.38500000000000001</v>
      </c>
      <c r="S43" s="111">
        <f t="shared" si="19"/>
        <v>0.28942652329749069</v>
      </c>
      <c r="T43" s="9">
        <v>0.39400000000000002</v>
      </c>
      <c r="U43" s="111">
        <f t="shared" si="20"/>
        <v>0.20878136200716799</v>
      </c>
      <c r="V43" s="9">
        <v>0.40100000000000002</v>
      </c>
      <c r="W43" s="43">
        <f t="shared" si="21"/>
        <v>0.14605734767025033</v>
      </c>
    </row>
    <row r="44" spans="1:138" ht="16.5" customHeight="1">
      <c r="A44" s="35">
        <v>2008</v>
      </c>
      <c r="B44" s="9">
        <v>0.39600000000000002</v>
      </c>
      <c r="C44" s="43">
        <f t="shared" si="11"/>
        <v>0.19086021505376294</v>
      </c>
      <c r="D44" s="9">
        <v>0.38200000000000001</v>
      </c>
      <c r="E44" s="43">
        <f t="shared" si="12"/>
        <v>0.31630824372759825</v>
      </c>
      <c r="F44" s="9">
        <v>0.34300000000000003</v>
      </c>
      <c r="G44" s="111">
        <f t="shared" si="13"/>
        <v>0.66577060931899623</v>
      </c>
      <c r="H44" s="9">
        <v>0.379</v>
      </c>
      <c r="I44" s="111">
        <f t="shared" si="14"/>
        <v>0.34318996415770586</v>
      </c>
      <c r="J44" s="9">
        <v>0.35899999999999999</v>
      </c>
      <c r="K44" s="111">
        <f t="shared" si="15"/>
        <v>0.52240143369175629</v>
      </c>
      <c r="L44" s="9">
        <v>0.38</v>
      </c>
      <c r="M44" s="111">
        <f t="shared" si="16"/>
        <v>0.33422939068100332</v>
      </c>
      <c r="N44" s="9">
        <v>0.39600000000000002</v>
      </c>
      <c r="O44" s="111">
        <f t="shared" si="17"/>
        <v>0.19086021505376294</v>
      </c>
      <c r="P44" s="9">
        <v>0.36899999999999999</v>
      </c>
      <c r="Q44" s="111">
        <f t="shared" si="18"/>
        <v>0.43279569892473108</v>
      </c>
      <c r="R44" s="9">
        <v>0.38400000000000001</v>
      </c>
      <c r="S44" s="111">
        <f t="shared" si="19"/>
        <v>0.29838709677419323</v>
      </c>
      <c r="T44" s="9">
        <v>0.38300000000000001</v>
      </c>
      <c r="U44" s="111">
        <f t="shared" si="20"/>
        <v>0.30734767025089577</v>
      </c>
      <c r="V44" s="9">
        <v>0.40699999999999997</v>
      </c>
      <c r="W44" s="43">
        <f t="shared" si="21"/>
        <v>9.2293906810035686E-2</v>
      </c>
    </row>
    <row r="45" spans="1:138" ht="16.5" customHeight="1">
      <c r="A45" s="35">
        <v>2009</v>
      </c>
      <c r="B45" s="43">
        <v>0.39400000000000002</v>
      </c>
      <c r="C45" s="43">
        <f t="shared" si="11"/>
        <v>0.20878136200716799</v>
      </c>
      <c r="D45" s="43">
        <v>0.36699999999999999</v>
      </c>
      <c r="E45" s="43">
        <f t="shared" si="12"/>
        <v>0.4507168458781361</v>
      </c>
      <c r="F45" s="43">
        <v>0.33300000000000002</v>
      </c>
      <c r="G45" s="111">
        <f t="shared" si="13"/>
        <v>0.75537634408602139</v>
      </c>
      <c r="H45" s="43">
        <v>0.38500000000000001</v>
      </c>
      <c r="I45" s="111">
        <f t="shared" si="14"/>
        <v>0.28942652329749069</v>
      </c>
      <c r="J45" s="43">
        <v>0.36399999999999999</v>
      </c>
      <c r="K45" s="111">
        <f t="shared" si="15"/>
        <v>0.47759856630824371</v>
      </c>
      <c r="L45" s="43">
        <v>0.376</v>
      </c>
      <c r="M45" s="111">
        <f t="shared" si="16"/>
        <v>0.37007168458781342</v>
      </c>
      <c r="N45" s="43">
        <v>0.39600000000000002</v>
      </c>
      <c r="O45" s="111">
        <f t="shared" si="17"/>
        <v>0.19086021505376294</v>
      </c>
      <c r="P45" s="43">
        <v>0.36299999999999999</v>
      </c>
      <c r="Q45" s="111">
        <f t="shared" si="18"/>
        <v>0.48655913978494619</v>
      </c>
      <c r="R45" s="43">
        <v>0.38500000000000001</v>
      </c>
      <c r="S45" s="111">
        <f t="shared" si="19"/>
        <v>0.28942652329749069</v>
      </c>
      <c r="T45" s="43">
        <v>0.39500000000000002</v>
      </c>
      <c r="U45" s="111">
        <f t="shared" si="20"/>
        <v>0.19982078853046548</v>
      </c>
      <c r="V45" s="43">
        <v>0.40500000000000003</v>
      </c>
      <c r="W45" s="43">
        <f t="shared" si="21"/>
        <v>0.11021505376344023</v>
      </c>
    </row>
    <row r="46" spans="1:138" ht="16.5" customHeight="1">
      <c r="A46" s="35">
        <v>2010</v>
      </c>
      <c r="B46" s="244">
        <f>B45</f>
        <v>0.39400000000000002</v>
      </c>
      <c r="C46" s="43">
        <f t="shared" si="11"/>
        <v>0.20878136200716799</v>
      </c>
      <c r="D46" s="244">
        <f>D45</f>
        <v>0.36699999999999999</v>
      </c>
      <c r="E46" s="43">
        <f t="shared" si="12"/>
        <v>0.4507168458781361</v>
      </c>
      <c r="F46" s="244">
        <f>F45</f>
        <v>0.33300000000000002</v>
      </c>
      <c r="G46" s="111">
        <f t="shared" si="13"/>
        <v>0.75537634408602139</v>
      </c>
      <c r="H46" s="43">
        <f>H45</f>
        <v>0.38500000000000001</v>
      </c>
      <c r="I46" s="111">
        <f t="shared" si="14"/>
        <v>0.28942652329749069</v>
      </c>
      <c r="J46" s="244">
        <f>J45</f>
        <v>0.36399999999999999</v>
      </c>
      <c r="K46" s="111">
        <f t="shared" si="15"/>
        <v>0.47759856630824371</v>
      </c>
      <c r="L46" s="244">
        <f>L45</f>
        <v>0.376</v>
      </c>
      <c r="M46" s="111">
        <f t="shared" si="16"/>
        <v>0.37007168458781342</v>
      </c>
      <c r="N46" s="244">
        <f>N45</f>
        <v>0.39600000000000002</v>
      </c>
      <c r="O46" s="111">
        <f t="shared" si="17"/>
        <v>0.19086021505376294</v>
      </c>
      <c r="P46" s="244">
        <f>P45</f>
        <v>0.36299999999999999</v>
      </c>
      <c r="Q46" s="111">
        <f t="shared" si="18"/>
        <v>0.48655913978494619</v>
      </c>
      <c r="R46" s="244">
        <f>R45</f>
        <v>0.38500000000000001</v>
      </c>
      <c r="S46" s="111">
        <f t="shared" si="19"/>
        <v>0.28942652329749069</v>
      </c>
      <c r="T46" s="244">
        <f>T45</f>
        <v>0.39500000000000002</v>
      </c>
      <c r="U46" s="111">
        <f t="shared" si="20"/>
        <v>0.19982078853046548</v>
      </c>
      <c r="V46" s="244">
        <f>V45</f>
        <v>0.40500000000000003</v>
      </c>
      <c r="W46" s="43">
        <f t="shared" si="21"/>
        <v>0.11021505376344023</v>
      </c>
    </row>
    <row r="47" spans="1:138" ht="16.5" customHeight="1">
      <c r="A47" s="35"/>
      <c r="B47" s="172" t="s">
        <v>435</v>
      </c>
      <c r="C47" s="43"/>
      <c r="D47" s="244"/>
      <c r="E47" s="43"/>
      <c r="F47" s="244"/>
      <c r="G47" s="111"/>
      <c r="H47" s="43"/>
      <c r="I47" s="111"/>
      <c r="J47" s="244"/>
      <c r="K47" s="111"/>
      <c r="L47" s="244"/>
      <c r="M47" s="111"/>
      <c r="N47" s="172" t="s">
        <v>435</v>
      </c>
      <c r="O47" s="111"/>
      <c r="P47" s="244"/>
      <c r="Q47" s="111"/>
      <c r="R47" s="244"/>
      <c r="S47" s="111"/>
      <c r="T47" s="244"/>
      <c r="U47" s="111"/>
      <c r="V47" s="244"/>
      <c r="W47" s="43"/>
    </row>
    <row r="48" spans="1:138" s="252" customFormat="1" ht="16.5" customHeight="1">
      <c r="A48" s="252" t="s">
        <v>988</v>
      </c>
      <c r="B48" s="271">
        <f>(POWER(B46/B17, 1/29)-1)*100</f>
        <v>0.4290156814794166</v>
      </c>
      <c r="C48" s="271">
        <f t="shared" ref="C48:W48" si="22">(POWER(C46/C17, 1/29)-1)*100</f>
        <v>-3.6888331925660878</v>
      </c>
      <c r="D48" s="271">
        <f t="shared" si="22"/>
        <v>0.39872963763045721</v>
      </c>
      <c r="E48" s="271">
        <f t="shared" si="22"/>
        <v>-1.9974785664843675</v>
      </c>
      <c r="F48" s="271">
        <f t="shared" si="22"/>
        <v>-6.1559035680580632E-2</v>
      </c>
      <c r="G48" s="271">
        <f t="shared" si="22"/>
        <v>0.25492528682256044</v>
      </c>
      <c r="H48" s="271">
        <f t="shared" si="22"/>
        <v>0.40922330752379832</v>
      </c>
      <c r="I48" s="271">
        <f t="shared" si="22"/>
        <v>-2.8764835324168181</v>
      </c>
      <c r="J48" s="271">
        <f t="shared" si="22"/>
        <v>0.1156623271258983</v>
      </c>
      <c r="K48" s="271">
        <f t="shared" si="22"/>
        <v>-0.69774645317056683</v>
      </c>
      <c r="L48" s="271">
        <f t="shared" si="22"/>
        <v>0.29714656073513979</v>
      </c>
      <c r="M48" s="271">
        <f t="shared" si="22"/>
        <v>-1.9123796624512801</v>
      </c>
      <c r="N48" s="271">
        <f t="shared" si="22"/>
        <v>0.54759147177756429</v>
      </c>
      <c r="O48" s="271">
        <f t="shared" si="22"/>
        <v>-4.4316661902112475</v>
      </c>
      <c r="P48" s="271">
        <f t="shared" si="22"/>
        <v>4.7838500563202047E-2</v>
      </c>
      <c r="Q48" s="271">
        <f t="shared" si="22"/>
        <v>-0.30328082368233922</v>
      </c>
      <c r="R48" s="271">
        <f t="shared" si="22"/>
        <v>8.159944976113831E-2</v>
      </c>
      <c r="S48" s="271">
        <f t="shared" si="22"/>
        <v>-0.84398814842321368</v>
      </c>
      <c r="T48" s="271">
        <f t="shared" si="22"/>
        <v>0.45775828492533588</v>
      </c>
      <c r="U48" s="271">
        <f t="shared" si="22"/>
        <v>-3.9287078018650945</v>
      </c>
      <c r="V48" s="271">
        <f t="shared" si="22"/>
        <v>0.4651826097442191</v>
      </c>
      <c r="W48" s="271">
        <f t="shared" si="22"/>
        <v>-5.4926543716243836</v>
      </c>
      <c r="X48" s="271"/>
      <c r="Y48" s="271"/>
      <c r="Z48" s="271"/>
      <c r="AA48" s="271"/>
      <c r="AB48" s="271"/>
      <c r="AC48" s="271"/>
      <c r="AD48" s="271"/>
      <c r="AE48" s="271"/>
      <c r="AF48" s="271"/>
      <c r="AG48" s="271"/>
      <c r="AH48" s="271"/>
      <c r="AI48" s="271"/>
      <c r="AJ48" s="271"/>
      <c r="AK48" s="271"/>
      <c r="AL48" s="271"/>
      <c r="AM48" s="271"/>
      <c r="AN48" s="271"/>
      <c r="AO48" s="271"/>
      <c r="AP48" s="271"/>
      <c r="AQ48" s="271"/>
      <c r="AR48" s="271"/>
      <c r="AS48" s="271"/>
      <c r="AT48" s="271"/>
      <c r="AU48" s="271"/>
      <c r="AV48" s="271"/>
      <c r="AW48" s="271"/>
      <c r="AX48" s="271"/>
      <c r="AY48" s="271"/>
      <c r="AZ48" s="271"/>
      <c r="BA48" s="271"/>
      <c r="BB48" s="271"/>
      <c r="BC48" s="271"/>
      <c r="BD48" s="271"/>
      <c r="BE48" s="271"/>
      <c r="BF48" s="271"/>
      <c r="BG48" s="271"/>
      <c r="BH48" s="271"/>
      <c r="BI48" s="271"/>
      <c r="BJ48" s="271"/>
      <c r="BK48" s="271"/>
      <c r="BL48" s="271"/>
      <c r="BM48" s="271"/>
      <c r="BN48" s="271"/>
      <c r="BO48" s="271"/>
      <c r="BP48" s="269"/>
      <c r="BQ48" s="269"/>
      <c r="BR48" s="269"/>
      <c r="BS48" s="269"/>
      <c r="BT48" s="269"/>
      <c r="BU48" s="269"/>
      <c r="BV48" s="269"/>
      <c r="BW48" s="269"/>
      <c r="BX48" s="269"/>
      <c r="BY48" s="269"/>
      <c r="BZ48" s="269"/>
      <c r="CA48" s="269"/>
      <c r="CB48" s="269"/>
      <c r="CC48" s="269"/>
      <c r="CD48" s="269"/>
      <c r="CE48" s="269"/>
      <c r="CF48" s="269"/>
      <c r="CG48" s="269"/>
      <c r="CH48" s="269"/>
      <c r="CI48" s="269"/>
      <c r="CJ48" s="269"/>
      <c r="CK48" s="269"/>
      <c r="CL48" s="269"/>
      <c r="CM48" s="269"/>
      <c r="CN48" s="269"/>
      <c r="CO48" s="269"/>
      <c r="CP48" s="269"/>
      <c r="CQ48" s="269"/>
      <c r="CR48" s="269"/>
      <c r="CS48" s="269"/>
      <c r="CT48" s="269"/>
      <c r="CU48" s="269"/>
      <c r="CV48" s="269"/>
      <c r="CW48" s="269"/>
      <c r="CX48" s="269"/>
      <c r="CY48" s="269"/>
      <c r="CZ48" s="269"/>
      <c r="DA48" s="269"/>
      <c r="DB48" s="269"/>
      <c r="DC48" s="269"/>
      <c r="DD48" s="269"/>
      <c r="DE48" s="269"/>
      <c r="DF48" s="269"/>
      <c r="DG48" s="269"/>
      <c r="DH48" s="269"/>
      <c r="DI48" s="269"/>
      <c r="DJ48" s="269"/>
      <c r="DK48" s="269"/>
      <c r="DL48" s="269"/>
      <c r="DM48" s="269"/>
      <c r="DN48" s="269"/>
      <c r="DO48" s="269"/>
      <c r="DP48" s="269"/>
      <c r="DQ48" s="269"/>
      <c r="DR48" s="269"/>
      <c r="DS48" s="269"/>
      <c r="DT48" s="269"/>
      <c r="DU48" s="269"/>
      <c r="DV48" s="269"/>
      <c r="DW48" s="269"/>
      <c r="DX48" s="269"/>
      <c r="DY48" s="269"/>
      <c r="DZ48" s="269"/>
      <c r="EA48" s="269"/>
      <c r="EB48" s="269"/>
      <c r="EC48" s="269"/>
      <c r="ED48" s="269"/>
      <c r="EE48" s="269"/>
      <c r="EF48" s="269"/>
      <c r="EG48" s="269"/>
      <c r="EH48" s="269"/>
    </row>
    <row r="49" spans="1:23" ht="26.25" customHeight="1">
      <c r="A49" s="112"/>
      <c r="B49" s="657" t="s">
        <v>1134</v>
      </c>
      <c r="C49" s="657"/>
      <c r="D49" s="657"/>
      <c r="E49" s="657"/>
      <c r="F49" s="657"/>
      <c r="G49" s="657"/>
      <c r="H49" s="657"/>
      <c r="I49" s="657"/>
      <c r="J49" s="657"/>
      <c r="K49" s="657"/>
      <c r="L49" s="77"/>
      <c r="M49" s="77"/>
      <c r="P49" s="112"/>
      <c r="Q49" s="112"/>
      <c r="R49" s="77"/>
      <c r="S49" s="77"/>
      <c r="T49" s="77"/>
      <c r="U49" s="77"/>
      <c r="V49" s="77"/>
      <c r="W49" s="77"/>
    </row>
    <row r="50" spans="1:23">
      <c r="A50" s="35"/>
      <c r="B50" s="78" t="s">
        <v>1133</v>
      </c>
      <c r="C50" s="35"/>
      <c r="D50" s="35"/>
      <c r="E50" s="35"/>
      <c r="F50" s="77"/>
      <c r="G50" s="77"/>
      <c r="H50" s="77"/>
      <c r="I50" s="77"/>
      <c r="J50" s="77"/>
      <c r="K50" s="77"/>
      <c r="L50" s="77"/>
      <c r="M50" s="77"/>
      <c r="P50" s="77"/>
      <c r="Q50" s="77"/>
      <c r="R50" s="77"/>
      <c r="S50" s="77"/>
      <c r="T50" s="77"/>
      <c r="U50" s="77"/>
      <c r="V50" s="77"/>
      <c r="W50" s="77"/>
    </row>
    <row r="51" spans="1:23">
      <c r="A51" s="35"/>
      <c r="B51" s="1" t="s">
        <v>1159</v>
      </c>
      <c r="C51" s="35"/>
      <c r="D51" s="35"/>
      <c r="E51" s="35"/>
      <c r="F51" s="77"/>
      <c r="G51" s="77"/>
      <c r="H51" s="77"/>
      <c r="I51" s="77"/>
      <c r="J51" s="77"/>
      <c r="K51" s="77"/>
      <c r="L51" s="77"/>
      <c r="M51" s="77"/>
      <c r="P51" s="77"/>
      <c r="Q51" s="77"/>
      <c r="R51" s="77"/>
      <c r="S51" s="77"/>
      <c r="T51" s="77"/>
      <c r="U51" s="77"/>
      <c r="V51" s="77"/>
      <c r="W51" s="77"/>
    </row>
    <row r="52" spans="1:23">
      <c r="B52" s="35">
        <f>(B46-B17)/B17</f>
        <v>0.13218390804597713</v>
      </c>
    </row>
    <row r="53" spans="1:23">
      <c r="C53" s="43" t="s">
        <v>572</v>
      </c>
      <c r="D53" s="43">
        <f>MAX(B17:B46,D17:D46,F17:F46,H17:H46,J17:J46,L17:L46,N17:N46,P17:P46,R17:R46,T17:T46,V17:V46)</f>
        <v>0.40799999999999997</v>
      </c>
    </row>
    <row r="54" spans="1:23">
      <c r="C54" s="43" t="s">
        <v>573</v>
      </c>
      <c r="D54" s="43">
        <f>MIN(B17:B46,D17:D46,F17:F46,H17:H46,J17:J46,L17:L46,N17:N46,P17:P46,R17:R46,T17:T46,V17:V46)</f>
        <v>0.315</v>
      </c>
      <c r="I54" s="43"/>
      <c r="J54" s="43"/>
      <c r="K54" s="43"/>
      <c r="L54" s="43"/>
      <c r="M54" s="43"/>
      <c r="N54" s="43"/>
      <c r="O54" s="43"/>
      <c r="P54" s="43"/>
      <c r="Q54" s="43"/>
      <c r="R54" s="43"/>
    </row>
    <row r="55" spans="1:23">
      <c r="C55" s="77" t="s">
        <v>430</v>
      </c>
      <c r="D55" s="115">
        <f>D53-D54</f>
        <v>9.2999999999999972E-2</v>
      </c>
    </row>
    <row r="56" spans="1:23">
      <c r="C56" s="77" t="s">
        <v>431</v>
      </c>
      <c r="D56" s="77">
        <f>D55/10</f>
        <v>9.2999999999999975E-3</v>
      </c>
    </row>
    <row r="57" spans="1:23">
      <c r="C57" s="77" t="s">
        <v>576</v>
      </c>
      <c r="D57" s="115">
        <f>D53+D56</f>
        <v>0.41729999999999995</v>
      </c>
    </row>
    <row r="58" spans="1:23">
      <c r="C58" s="77" t="s">
        <v>577</v>
      </c>
      <c r="D58" s="115">
        <f>D54-D56</f>
        <v>0.30570000000000003</v>
      </c>
    </row>
    <row r="59" spans="1:23">
      <c r="C59" s="77" t="s">
        <v>432</v>
      </c>
      <c r="D59" s="115">
        <f>D57-D58</f>
        <v>0.11159999999999992</v>
      </c>
    </row>
    <row r="60" spans="1:23">
      <c r="B60" s="30">
        <f>(POWER(B25/B17, 1/8)-1)*100</f>
        <v>0.10735437974798145</v>
      </c>
      <c r="D60" s="30">
        <f>(POWER(D25/D17, 1/8)-1)*100</f>
        <v>-0.4662537973475267</v>
      </c>
      <c r="F60" s="30">
        <f>(POWER(F25/F17, 1/8)-1)*100</f>
        <v>0.25580998277456857</v>
      </c>
      <c r="H60" s="30">
        <f>(POWER(H25/H17, 1/8)-1)*100</f>
        <v>0.28944831280452998</v>
      </c>
      <c r="J60" s="30">
        <f>(POWER(J25/J17, 1/8)-1)*100</f>
        <v>-0.61684768176895055</v>
      </c>
      <c r="L60" s="30">
        <f>(POWER(L25/L17, 1/8)-1)*100</f>
        <v>-0.10911142975329469</v>
      </c>
      <c r="N60" s="30">
        <f>(POWER(N25/N17, 1/8)-1)*100</f>
        <v>0.47286861133433167</v>
      </c>
      <c r="P60" s="30">
        <f>(POWER(P25/P17, 1/8)-1)*100</f>
        <v>-0.53360299483463658</v>
      </c>
      <c r="R60" s="30">
        <f>(POWER(R25/R17, 1/8)-1)*100</f>
        <v>-0.85634876467827192</v>
      </c>
      <c r="T60" s="30">
        <f>(POWER(T25/T17, 1/8)-1)*100</f>
        <v>0.21513609307333148</v>
      </c>
      <c r="V60" s="30">
        <f>(POWER(V25/V17, 1/8)-1)*100</f>
        <v>-0.46658852601902945</v>
      </c>
    </row>
    <row r="61" spans="1:23">
      <c r="B61" s="35">
        <f>(POWER(B36/B25, 1/11)-1)*100</f>
        <v>1.0093840423616163</v>
      </c>
      <c r="D61" s="35">
        <f>(POWER(D36/D25, 1/11)-1)*100</f>
        <v>1.4237704155323883</v>
      </c>
      <c r="F61" s="35">
        <f>(POWER(F36/F25, 1/11)-1)*100</f>
        <v>0.41180410853074445</v>
      </c>
      <c r="G61" s="77"/>
      <c r="H61" s="35">
        <f>(POWER(H36/H25, 1/11)-1)*100</f>
        <v>0.55572664328105148</v>
      </c>
      <c r="I61" s="77"/>
      <c r="J61" s="35">
        <f>(POWER(J36/J25, 1/11)-1)*100</f>
        <v>0.78274594288021415</v>
      </c>
      <c r="L61" s="35">
        <f>(POWER(L36/L25, 1/11)-1)*100</f>
        <v>0.86534452101361126</v>
      </c>
      <c r="N61" s="35">
        <f>(POWER(N36/N25, 1/11)-1)*100</f>
        <v>1.1026529665165041</v>
      </c>
      <c r="P61" s="35">
        <f>(POWER(P36/P25, 1/11)-1)*100</f>
        <v>0.54167469438763938</v>
      </c>
      <c r="R61" s="35">
        <f>(POWER(R36/R25, 1/11)-1)*100</f>
        <v>0.45567524354055422</v>
      </c>
      <c r="T61" s="35">
        <f>(POWER(T36/T25, 1/11)-1)*100</f>
        <v>0.81798333933409406</v>
      </c>
      <c r="V61" s="35">
        <f>(POWER(V36/V25, 1/11)-1)*100</f>
        <v>1.2280637278147433</v>
      </c>
    </row>
    <row r="62" spans="1:23">
      <c r="B62" s="30">
        <f>(POWER(B44/B36, 1/8)-1)*100</f>
        <v>0.12698520131635416</v>
      </c>
      <c r="D62" s="30">
        <f>(POWER(D44/D36, 1/8)-1)*100</f>
        <v>0.4678117187683517</v>
      </c>
      <c r="F62" s="30">
        <f>(POWER(F44/F36, 1/8)-1)*100</f>
        <v>-0.67165629622544243</v>
      </c>
      <c r="G62" s="77"/>
      <c r="H62" s="30">
        <f>(POWER(H44/H36, 1/8)-1)*100</f>
        <v>0.23330110961261585</v>
      </c>
      <c r="I62" s="152"/>
      <c r="J62" s="30">
        <f>(POWER(J44/J36, 1/8)-1)*100</f>
        <v>-0.20697257943431691</v>
      </c>
      <c r="L62" s="30">
        <f>(POWER(L44/L36, 1/8)-1)*100</f>
        <v>0.13236389040438556</v>
      </c>
      <c r="N62" s="30">
        <f>(POWER(N44/N36, 1/8)-1)*100</f>
        <v>0</v>
      </c>
      <c r="P62" s="30">
        <f>(POWER(P44/P36, 1/8)-1)*100</f>
        <v>0.17068019816912638</v>
      </c>
      <c r="R62" s="30">
        <f>(POWER(R44/R36, 1/8)-1)*100</f>
        <v>0.4993163065903472</v>
      </c>
      <c r="T62" s="30">
        <f>(POWER(T44/T36, 1/8)-1)*100</f>
        <v>-6.5083125579235013E-2</v>
      </c>
      <c r="V62" s="30">
        <f>(POWER(V44/V36, 1/8)-1)*100</f>
        <v>0.53475531824931366</v>
      </c>
    </row>
    <row r="64" spans="1:23" ht="15">
      <c r="C64" s="245">
        <v>0.35299999999999998</v>
      </c>
      <c r="D64" s="245"/>
      <c r="E64" s="245">
        <v>0.35099999999999998</v>
      </c>
      <c r="F64" s="245"/>
      <c r="G64" s="245">
        <v>0.35599999999999998</v>
      </c>
      <c r="H64" s="245"/>
      <c r="I64" s="245">
        <v>0.34100000000000003</v>
      </c>
      <c r="J64" s="245"/>
      <c r="K64" s="245">
        <v>0.33200000000000002</v>
      </c>
      <c r="L64" s="245"/>
      <c r="M64" s="245">
        <v>0.34399999999999997</v>
      </c>
      <c r="N64" s="245"/>
      <c r="O64" s="245">
        <v>0.34200000000000003</v>
      </c>
      <c r="P64" s="245"/>
      <c r="Q64" s="245">
        <v>0.36199999999999999</v>
      </c>
      <c r="R64" s="245"/>
      <c r="S64" s="245">
        <v>0.36</v>
      </c>
      <c r="T64" s="245"/>
      <c r="U64" s="245">
        <v>0.373</v>
      </c>
      <c r="V64" s="245"/>
      <c r="W64" s="245">
        <v>0.36499999999999999</v>
      </c>
    </row>
    <row r="65" spans="3:23" ht="15">
      <c r="C65" s="245"/>
      <c r="D65" s="245"/>
      <c r="E65" s="245"/>
      <c r="F65" s="245"/>
      <c r="G65" s="245"/>
      <c r="H65" s="245"/>
      <c r="I65" s="245"/>
      <c r="J65" s="245"/>
      <c r="K65" s="245"/>
      <c r="L65" s="245"/>
      <c r="M65" s="245"/>
      <c r="N65" s="245"/>
      <c r="O65" s="245"/>
      <c r="P65" s="245"/>
      <c r="Q65" s="245"/>
      <c r="R65" s="245"/>
      <c r="S65" s="245"/>
      <c r="T65" s="245"/>
      <c r="U65" s="245"/>
      <c r="V65" s="245"/>
      <c r="W65" s="245"/>
    </row>
    <row r="66" spans="3:23" ht="15">
      <c r="C66" s="245">
        <v>0.34799999999999998</v>
      </c>
      <c r="D66" s="245"/>
      <c r="E66" s="245">
        <v>0.32700000000000001</v>
      </c>
      <c r="F66" s="245"/>
      <c r="G66" s="245">
        <v>0.33900000000000002</v>
      </c>
      <c r="H66" s="245"/>
      <c r="I66" s="245">
        <v>0.34200000000000003</v>
      </c>
      <c r="J66" s="245"/>
      <c r="K66" s="245">
        <v>0.35199999999999998</v>
      </c>
      <c r="L66" s="245"/>
      <c r="M66" s="245">
        <v>0.34499999999999997</v>
      </c>
      <c r="N66" s="245"/>
      <c r="O66" s="245">
        <v>0.33800000000000002</v>
      </c>
      <c r="P66" s="245"/>
      <c r="Q66" s="245">
        <v>0.35799999999999998</v>
      </c>
      <c r="R66" s="245"/>
      <c r="S66" s="245">
        <v>0.376</v>
      </c>
      <c r="T66" s="245"/>
      <c r="U66" s="245">
        <v>0.34599999999999997</v>
      </c>
      <c r="V66" s="245"/>
      <c r="W66" s="245">
        <v>0.35399999999999998</v>
      </c>
    </row>
    <row r="67" spans="3:23" ht="15">
      <c r="C67" s="245">
        <v>0.35099999999999998</v>
      </c>
      <c r="D67" s="245"/>
      <c r="E67" s="245">
        <v>0.32500000000000001</v>
      </c>
      <c r="F67" s="245"/>
      <c r="G67" s="245">
        <v>0.33500000000000002</v>
      </c>
      <c r="H67" s="245"/>
      <c r="I67" s="245">
        <v>0.34699999999999998</v>
      </c>
      <c r="J67" s="245"/>
      <c r="K67" s="245">
        <v>0.35099999999999998</v>
      </c>
      <c r="L67" s="245"/>
      <c r="M67" s="245">
        <v>0.34399999999999997</v>
      </c>
      <c r="N67" s="245"/>
      <c r="O67" s="245">
        <v>0.34300000000000003</v>
      </c>
      <c r="P67" s="245"/>
      <c r="Q67" s="245">
        <v>0.35899999999999999</v>
      </c>
      <c r="R67" s="245"/>
      <c r="S67" s="245">
        <v>0.36299999999999999</v>
      </c>
      <c r="T67" s="245"/>
      <c r="U67" s="245">
        <v>0.35799999999999998</v>
      </c>
      <c r="V67" s="245"/>
      <c r="W67" s="245">
        <v>0.35799999999999998</v>
      </c>
    </row>
    <row r="68" spans="3:23" ht="15">
      <c r="C68" s="245">
        <v>0.36099999999999999</v>
      </c>
      <c r="D68" s="245"/>
      <c r="E68" s="245">
        <v>0.33700000000000002</v>
      </c>
      <c r="F68" s="245"/>
      <c r="G68" s="245">
        <v>0.35599999999999998</v>
      </c>
      <c r="H68" s="245"/>
      <c r="I68" s="245">
        <v>0.35899999999999999</v>
      </c>
      <c r="J68" s="245"/>
      <c r="K68" s="245">
        <v>0.36699999999999999</v>
      </c>
      <c r="L68" s="245"/>
      <c r="M68" s="245">
        <v>0.34599999999999997</v>
      </c>
      <c r="N68" s="245"/>
      <c r="O68" s="245">
        <v>0.36399999999999999</v>
      </c>
      <c r="P68" s="245"/>
      <c r="Q68" s="245">
        <v>0.35699999999999998</v>
      </c>
      <c r="R68" s="245"/>
      <c r="S68" s="245">
        <v>0.378</v>
      </c>
      <c r="T68" s="245"/>
      <c r="U68" s="245">
        <v>0.36299999999999999</v>
      </c>
      <c r="V68" s="245"/>
      <c r="W68" s="245">
        <v>0.35799999999999998</v>
      </c>
    </row>
    <row r="69" spans="3:23" ht="15">
      <c r="C69" s="245">
        <v>0.35699999999999998</v>
      </c>
      <c r="D69" s="245"/>
      <c r="E69" s="245">
        <v>0.33</v>
      </c>
      <c r="F69" s="245"/>
      <c r="G69" s="245">
        <v>0.34799999999999998</v>
      </c>
      <c r="H69" s="245"/>
      <c r="I69" s="245">
        <v>0.35199999999999998</v>
      </c>
      <c r="J69" s="245"/>
      <c r="K69" s="245">
        <v>0.35</v>
      </c>
      <c r="L69" s="245"/>
      <c r="M69" s="245">
        <v>0.35599999999999998</v>
      </c>
      <c r="N69" s="245"/>
      <c r="O69" s="245">
        <v>0.35299999999999998</v>
      </c>
      <c r="P69" s="245"/>
      <c r="Q69" s="245">
        <v>0.35099999999999998</v>
      </c>
      <c r="R69" s="245"/>
      <c r="S69" s="245">
        <v>0.36499999999999999</v>
      </c>
      <c r="T69" s="245"/>
      <c r="U69" s="245">
        <v>0.35699999999999998</v>
      </c>
      <c r="V69" s="245"/>
      <c r="W69" s="245">
        <v>0.36299999999999999</v>
      </c>
    </row>
    <row r="70" spans="3:23" ht="15">
      <c r="C70" s="245">
        <v>0.35699999999999998</v>
      </c>
      <c r="D70" s="245"/>
      <c r="E70" s="245">
        <v>0.34599999999999997</v>
      </c>
      <c r="F70" s="245"/>
      <c r="G70" s="245">
        <v>0.34100000000000003</v>
      </c>
      <c r="H70" s="245"/>
      <c r="I70" s="245">
        <v>0.36699999999999999</v>
      </c>
      <c r="J70" s="245"/>
      <c r="K70" s="245">
        <v>0.34200000000000003</v>
      </c>
      <c r="L70" s="245"/>
      <c r="M70" s="245">
        <v>0.34699999999999998</v>
      </c>
      <c r="N70" s="245"/>
      <c r="O70" s="245">
        <v>0.35099999999999998</v>
      </c>
      <c r="P70" s="245"/>
      <c r="Q70" s="245">
        <v>0.35</v>
      </c>
      <c r="R70" s="245"/>
      <c r="S70" s="245">
        <v>0.372</v>
      </c>
      <c r="T70" s="245"/>
      <c r="U70" s="245">
        <v>0.35199999999999998</v>
      </c>
      <c r="V70" s="245"/>
      <c r="W70" s="245">
        <v>0.375</v>
      </c>
    </row>
    <row r="71" spans="3:23" ht="15">
      <c r="C71" s="245">
        <v>0.35799999999999998</v>
      </c>
      <c r="D71" s="245"/>
      <c r="E71" s="245">
        <v>0.32900000000000001</v>
      </c>
      <c r="F71" s="245"/>
      <c r="G71" s="245">
        <v>0.33100000000000002</v>
      </c>
      <c r="H71" s="245"/>
      <c r="I71" s="245">
        <v>0.35299999999999998</v>
      </c>
      <c r="J71" s="245"/>
      <c r="K71" s="245">
        <v>0.33</v>
      </c>
      <c r="L71" s="245"/>
      <c r="M71" s="245">
        <v>0.35499999999999998</v>
      </c>
      <c r="N71" s="245"/>
      <c r="O71" s="245">
        <v>0.35199999999999998</v>
      </c>
      <c r="P71" s="245"/>
      <c r="Q71" s="245">
        <v>0.34399999999999997</v>
      </c>
      <c r="R71" s="245"/>
      <c r="S71" s="245">
        <v>0.374</v>
      </c>
      <c r="T71" s="245"/>
      <c r="U71" s="245">
        <v>0.36</v>
      </c>
      <c r="V71" s="245"/>
      <c r="W71" s="245">
        <v>0.36099999999999999</v>
      </c>
    </row>
    <row r="72" spans="3:23" ht="15">
      <c r="C72" s="245">
        <v>0.35499999999999998</v>
      </c>
      <c r="D72" s="245"/>
      <c r="E72" s="245">
        <v>0.33200000000000002</v>
      </c>
      <c r="F72" s="245"/>
      <c r="G72" s="245">
        <v>0.33700000000000002</v>
      </c>
      <c r="H72" s="245"/>
      <c r="I72" s="245">
        <v>0.34300000000000003</v>
      </c>
      <c r="J72" s="245"/>
      <c r="K72" s="245">
        <v>0.34399999999999997</v>
      </c>
      <c r="L72" s="245"/>
      <c r="M72" s="245">
        <v>0.35199999999999998</v>
      </c>
      <c r="N72" s="245"/>
      <c r="O72" s="245">
        <v>0.34899999999999998</v>
      </c>
      <c r="P72" s="245"/>
      <c r="Q72" s="245">
        <v>0.34899999999999998</v>
      </c>
      <c r="R72" s="245"/>
      <c r="S72" s="245">
        <v>0.35499999999999998</v>
      </c>
      <c r="T72" s="245"/>
      <c r="U72" s="245">
        <v>0.35799999999999998</v>
      </c>
      <c r="V72" s="245"/>
      <c r="W72" s="245">
        <v>0.36299999999999999</v>
      </c>
    </row>
    <row r="73" spans="3:23" ht="15">
      <c r="C73" s="245">
        <v>0.35399999999999998</v>
      </c>
      <c r="D73" s="245"/>
      <c r="E73" s="245">
        <v>0.316</v>
      </c>
      <c r="F73" s="245"/>
      <c r="G73" s="245">
        <v>0.32800000000000001</v>
      </c>
      <c r="H73" s="245"/>
      <c r="I73" s="245">
        <v>0.34300000000000003</v>
      </c>
      <c r="J73" s="245"/>
      <c r="K73" s="245">
        <v>0.33</v>
      </c>
      <c r="L73" s="245"/>
      <c r="M73" s="245">
        <v>0.34899999999999998</v>
      </c>
      <c r="N73" s="245"/>
      <c r="O73" s="245">
        <v>0.35099999999999998</v>
      </c>
      <c r="P73" s="245"/>
      <c r="Q73" s="245">
        <v>0.35</v>
      </c>
      <c r="R73" s="245"/>
      <c r="S73" s="245">
        <v>0.35399999999999998</v>
      </c>
      <c r="T73" s="245"/>
      <c r="U73" s="245">
        <v>0.35099999999999998</v>
      </c>
      <c r="V73" s="245"/>
      <c r="W73" s="245">
        <v>0.34699999999999998</v>
      </c>
    </row>
    <row r="74" spans="3:23" ht="15">
      <c r="C74" s="245">
        <v>0.35099999999999998</v>
      </c>
      <c r="D74" s="245"/>
      <c r="E74" s="245">
        <v>0.315</v>
      </c>
      <c r="F74" s="245"/>
      <c r="G74" s="245">
        <v>0.34599999999999997</v>
      </c>
      <c r="H74" s="245"/>
      <c r="I74" s="245">
        <v>0.35</v>
      </c>
      <c r="J74" s="245"/>
      <c r="K74" s="245">
        <v>0.33500000000000002</v>
      </c>
      <c r="L74" s="245"/>
      <c r="M74" s="245">
        <v>0.34200000000000003</v>
      </c>
      <c r="N74" s="245"/>
      <c r="O74" s="245">
        <v>0.35099999999999998</v>
      </c>
      <c r="P74" s="245"/>
      <c r="Q74" s="245">
        <v>0.34300000000000003</v>
      </c>
      <c r="R74" s="245"/>
      <c r="S74" s="245">
        <v>0.35099999999999998</v>
      </c>
      <c r="T74" s="245"/>
      <c r="U74" s="245">
        <v>0.35199999999999998</v>
      </c>
      <c r="V74" s="245"/>
      <c r="W74" s="245">
        <v>0.34100000000000003</v>
      </c>
    </row>
    <row r="75" spans="3:23" ht="15">
      <c r="C75" s="245">
        <v>0.35699999999999998</v>
      </c>
      <c r="D75" s="245"/>
      <c r="E75" s="245">
        <v>0.33</v>
      </c>
      <c r="F75" s="245"/>
      <c r="G75" s="245">
        <v>0.33</v>
      </c>
      <c r="H75" s="245"/>
      <c r="I75" s="245">
        <v>0.33800000000000002</v>
      </c>
      <c r="J75" s="245"/>
      <c r="K75" s="245">
        <v>0.33400000000000002</v>
      </c>
      <c r="L75" s="245"/>
      <c r="M75" s="245">
        <v>0.35199999999999998</v>
      </c>
      <c r="N75" s="245"/>
      <c r="O75" s="245">
        <v>0.35199999999999998</v>
      </c>
      <c r="P75" s="245"/>
      <c r="Q75" s="245">
        <v>0.34200000000000003</v>
      </c>
      <c r="R75" s="245"/>
      <c r="S75" s="245">
        <v>0.36199999999999999</v>
      </c>
      <c r="T75" s="245"/>
      <c r="U75" s="245">
        <v>0.35599999999999998</v>
      </c>
      <c r="V75" s="245"/>
      <c r="W75" s="245">
        <v>0.36699999999999999</v>
      </c>
    </row>
    <row r="76" spans="3:23" ht="15">
      <c r="C76" s="245">
        <v>0.36399999999999999</v>
      </c>
      <c r="D76" s="245"/>
      <c r="E76" s="245">
        <v>0.34599999999999997</v>
      </c>
      <c r="F76" s="245"/>
      <c r="G76" s="245">
        <v>0.34399999999999997</v>
      </c>
      <c r="H76" s="245"/>
      <c r="I76" s="245">
        <v>0.33600000000000002</v>
      </c>
      <c r="J76" s="245"/>
      <c r="K76" s="245">
        <v>0.34200000000000003</v>
      </c>
      <c r="L76" s="245"/>
      <c r="M76" s="245">
        <v>0.35699999999999998</v>
      </c>
      <c r="N76" s="245"/>
      <c r="O76" s="245">
        <v>0.36199999999999999</v>
      </c>
      <c r="P76" s="245"/>
      <c r="Q76" s="245">
        <v>0.34399999999999997</v>
      </c>
      <c r="R76" s="245"/>
      <c r="S76" s="245">
        <v>0.35699999999999998</v>
      </c>
      <c r="T76" s="245"/>
      <c r="U76" s="245">
        <v>0.36599999999999999</v>
      </c>
      <c r="V76" s="245"/>
      <c r="W76" s="245">
        <v>0.36699999999999999</v>
      </c>
    </row>
    <row r="77" spans="3:23" ht="15">
      <c r="C77" s="245">
        <v>0.36399999999999999</v>
      </c>
      <c r="D77" s="245"/>
      <c r="E77" s="245">
        <v>0.34300000000000003</v>
      </c>
      <c r="F77" s="245"/>
      <c r="G77" s="245">
        <v>0.32700000000000001</v>
      </c>
      <c r="H77" s="245"/>
      <c r="I77" s="245">
        <v>0.35199999999999998</v>
      </c>
      <c r="J77" s="245"/>
      <c r="K77" s="245">
        <v>0.34799999999999998</v>
      </c>
      <c r="L77" s="245"/>
      <c r="M77" s="245">
        <v>0.35299999999999998</v>
      </c>
      <c r="N77" s="245"/>
      <c r="O77" s="245">
        <v>0.35699999999999998</v>
      </c>
      <c r="P77" s="245"/>
      <c r="Q77" s="245">
        <v>0.36099999999999999</v>
      </c>
      <c r="R77" s="245"/>
      <c r="S77" s="245">
        <v>0.373</v>
      </c>
      <c r="T77" s="245"/>
      <c r="U77" s="245">
        <v>0.378</v>
      </c>
      <c r="V77" s="245"/>
      <c r="W77" s="245">
        <v>0.374</v>
      </c>
    </row>
    <row r="78" spans="3:23" ht="15">
      <c r="C78" s="245">
        <v>0.36699999999999999</v>
      </c>
      <c r="D78" s="245"/>
      <c r="E78" s="245">
        <v>0.34799999999999998</v>
      </c>
      <c r="F78" s="245"/>
      <c r="G78" s="245">
        <v>0.32700000000000001</v>
      </c>
      <c r="H78" s="245"/>
      <c r="I78" s="245">
        <v>0.34</v>
      </c>
      <c r="J78" s="245"/>
      <c r="K78" s="245">
        <v>0.34599999999999997</v>
      </c>
      <c r="L78" s="245"/>
      <c r="M78" s="245">
        <v>0.35099999999999998</v>
      </c>
      <c r="N78" s="245"/>
      <c r="O78" s="245">
        <v>0.36399999999999999</v>
      </c>
      <c r="P78" s="245"/>
      <c r="Q78" s="245">
        <v>0.36099999999999999</v>
      </c>
      <c r="R78" s="245"/>
      <c r="S78" s="245">
        <v>0.35799999999999998</v>
      </c>
      <c r="T78" s="245"/>
      <c r="U78" s="245">
        <v>0.38700000000000001</v>
      </c>
      <c r="V78" s="245"/>
      <c r="W78" s="245">
        <v>0.374</v>
      </c>
    </row>
    <row r="79" spans="3:23" ht="15">
      <c r="C79" s="245">
        <v>0.36199999999999999</v>
      </c>
      <c r="D79" s="245"/>
      <c r="E79" s="245">
        <v>0.34499999999999997</v>
      </c>
      <c r="F79" s="245"/>
      <c r="G79" s="245">
        <v>0.32300000000000001</v>
      </c>
      <c r="H79" s="245"/>
      <c r="I79" s="245">
        <v>0.36</v>
      </c>
      <c r="J79" s="245"/>
      <c r="K79" s="245">
        <v>0.34799999999999998</v>
      </c>
      <c r="L79" s="245"/>
      <c r="M79" s="245">
        <v>0.35499999999999998</v>
      </c>
      <c r="N79" s="245"/>
      <c r="O79" s="245">
        <v>0.35899999999999999</v>
      </c>
      <c r="P79" s="245"/>
      <c r="Q79" s="245">
        <v>0.35399999999999998</v>
      </c>
      <c r="R79" s="245"/>
      <c r="S79" s="245">
        <v>0.35499999999999998</v>
      </c>
      <c r="T79" s="245"/>
      <c r="U79" s="245">
        <v>0.35899999999999999</v>
      </c>
      <c r="V79" s="245"/>
      <c r="W79" s="245">
        <v>0.37</v>
      </c>
    </row>
    <row r="80" spans="3:23" ht="15">
      <c r="C80" s="245">
        <v>0.36599999999999999</v>
      </c>
      <c r="D80" s="245"/>
      <c r="E80" s="245">
        <v>0.34899999999999998</v>
      </c>
      <c r="F80" s="245"/>
      <c r="G80" s="245">
        <v>0.33300000000000002</v>
      </c>
      <c r="H80" s="245"/>
      <c r="I80" s="245">
        <v>0.35399999999999998</v>
      </c>
      <c r="J80" s="245"/>
      <c r="K80" s="245">
        <v>0.34899999999999998</v>
      </c>
      <c r="L80" s="245"/>
      <c r="M80" s="245">
        <v>0.36</v>
      </c>
      <c r="N80" s="245"/>
      <c r="O80" s="245">
        <v>0.36399999999999999</v>
      </c>
      <c r="P80" s="245"/>
      <c r="Q80" s="245">
        <v>0.35399999999999998</v>
      </c>
      <c r="R80" s="245"/>
      <c r="S80" s="245">
        <v>0.36499999999999999</v>
      </c>
      <c r="T80" s="245"/>
      <c r="U80" s="245">
        <v>0.35799999999999998</v>
      </c>
      <c r="V80" s="245"/>
      <c r="W80" s="245">
        <v>0.373</v>
      </c>
    </row>
    <row r="81" spans="2:23" ht="15">
      <c r="C81" s="245">
        <v>0.377</v>
      </c>
      <c r="D81" s="245"/>
      <c r="E81" s="245">
        <v>0.35</v>
      </c>
      <c r="F81" s="245"/>
      <c r="G81" s="245">
        <v>0.34399999999999997</v>
      </c>
      <c r="H81" s="245"/>
      <c r="I81" s="245">
        <v>0.36399999999999999</v>
      </c>
      <c r="J81" s="245"/>
      <c r="K81" s="245">
        <v>0.35599999999999998</v>
      </c>
      <c r="L81" s="245"/>
      <c r="M81" s="245">
        <v>0.36299999999999999</v>
      </c>
      <c r="N81" s="245"/>
      <c r="O81" s="245">
        <v>0.377</v>
      </c>
      <c r="P81" s="245"/>
      <c r="Q81" s="245">
        <v>0.36099999999999999</v>
      </c>
      <c r="R81" s="245"/>
      <c r="S81" s="245">
        <v>0.36599999999999999</v>
      </c>
      <c r="T81" s="245"/>
      <c r="U81" s="245">
        <v>0.38400000000000001</v>
      </c>
      <c r="V81" s="245"/>
      <c r="W81" s="245">
        <v>0.38600000000000001</v>
      </c>
    </row>
    <row r="82" spans="2:23" ht="15">
      <c r="C82" s="245">
        <v>0.38500000000000001</v>
      </c>
      <c r="D82" s="245"/>
      <c r="E82" s="245">
        <v>0.35</v>
      </c>
      <c r="F82" s="245"/>
      <c r="G82" s="245">
        <v>0.35499999999999998</v>
      </c>
      <c r="H82" s="245"/>
      <c r="I82" s="245">
        <v>0.36799999999999999</v>
      </c>
      <c r="J82" s="245"/>
      <c r="K82" s="245">
        <v>0.36199999999999999</v>
      </c>
      <c r="L82" s="245"/>
      <c r="M82" s="245">
        <v>0.376</v>
      </c>
      <c r="N82" s="245"/>
      <c r="O82" s="245">
        <v>0.38200000000000001</v>
      </c>
      <c r="P82" s="245"/>
      <c r="Q82" s="245">
        <v>0.36199999999999999</v>
      </c>
      <c r="R82" s="245"/>
      <c r="S82" s="245">
        <v>0.36399999999999999</v>
      </c>
      <c r="T82" s="245"/>
      <c r="U82" s="245">
        <v>0.39600000000000002</v>
      </c>
      <c r="V82" s="245"/>
      <c r="W82" s="245">
        <v>0.39200000000000002</v>
      </c>
    </row>
    <row r="83" spans="2:23" ht="15">
      <c r="C83" s="245">
        <v>0.38600000000000001</v>
      </c>
      <c r="D83" s="245"/>
      <c r="E83" s="245">
        <v>0.35799999999999998</v>
      </c>
      <c r="F83" s="245"/>
      <c r="G83" s="245">
        <v>0.35</v>
      </c>
      <c r="H83" s="245"/>
      <c r="I83" s="245">
        <v>0.37</v>
      </c>
      <c r="J83" s="245"/>
      <c r="K83" s="245">
        <v>0.36099999999999999</v>
      </c>
      <c r="L83" s="245"/>
      <c r="M83" s="245">
        <v>0.372</v>
      </c>
      <c r="N83" s="245"/>
      <c r="O83" s="245">
        <v>0.38400000000000001</v>
      </c>
      <c r="P83" s="245"/>
      <c r="Q83" s="245">
        <v>0.36699999999999999</v>
      </c>
      <c r="R83" s="245"/>
      <c r="S83" s="245">
        <v>0.36899999999999999</v>
      </c>
      <c r="T83" s="245"/>
      <c r="U83" s="245">
        <v>0.39600000000000002</v>
      </c>
      <c r="V83" s="245"/>
      <c r="W83" s="245">
        <v>0.39</v>
      </c>
    </row>
    <row r="84" spans="2:23" ht="15">
      <c r="C84" s="245">
        <v>0.38600000000000001</v>
      </c>
      <c r="D84" s="245"/>
      <c r="E84" s="245">
        <v>0.36099999999999999</v>
      </c>
      <c r="F84" s="245"/>
      <c r="G84" s="245">
        <v>0.36599999999999999</v>
      </c>
      <c r="H84" s="245"/>
      <c r="I84" s="245">
        <v>0.371</v>
      </c>
      <c r="J84" s="245"/>
      <c r="K84" s="245">
        <v>0.35199999999999998</v>
      </c>
      <c r="L84" s="245"/>
      <c r="M84" s="245">
        <v>0.36399999999999999</v>
      </c>
      <c r="N84" s="245"/>
      <c r="O84" s="245">
        <v>0.39100000000000001</v>
      </c>
      <c r="P84" s="245"/>
      <c r="Q84" s="245">
        <v>0.35799999999999998</v>
      </c>
      <c r="R84" s="245"/>
      <c r="S84" s="245">
        <v>0.36</v>
      </c>
      <c r="T84" s="245"/>
      <c r="U84" s="245">
        <v>0.379</v>
      </c>
      <c r="V84" s="245"/>
      <c r="W84" s="245">
        <v>0.39100000000000001</v>
      </c>
    </row>
    <row r="85" spans="2:23" ht="15">
      <c r="C85" s="245">
        <v>0.39200000000000002</v>
      </c>
      <c r="D85" s="245"/>
      <c r="E85" s="245">
        <v>0.36799999999999999</v>
      </c>
      <c r="F85" s="245"/>
      <c r="G85" s="245">
        <v>0.36199999999999999</v>
      </c>
      <c r="H85" s="245"/>
      <c r="I85" s="245">
        <v>0.372</v>
      </c>
      <c r="J85" s="245"/>
      <c r="K85" s="245">
        <v>0.36499999999999999</v>
      </c>
      <c r="L85" s="245"/>
      <c r="M85" s="245">
        <v>0.376</v>
      </c>
      <c r="N85" s="245"/>
      <c r="O85" s="245">
        <v>0.39600000000000002</v>
      </c>
      <c r="P85" s="245"/>
      <c r="Q85" s="245">
        <v>0.36399999999999999</v>
      </c>
      <c r="R85" s="245"/>
      <c r="S85" s="245">
        <v>0.36899999999999999</v>
      </c>
      <c r="T85" s="245"/>
      <c r="U85" s="245">
        <v>0.38500000000000001</v>
      </c>
      <c r="V85" s="245"/>
      <c r="W85" s="245">
        <v>0.39</v>
      </c>
    </row>
    <row r="86" spans="2:23" ht="15">
      <c r="C86" s="245">
        <v>0.39200000000000002</v>
      </c>
      <c r="D86" s="245"/>
      <c r="E86" s="245">
        <v>0.36</v>
      </c>
      <c r="F86" s="245"/>
      <c r="G86" s="245">
        <v>0.35799999999999998</v>
      </c>
      <c r="H86" s="245"/>
      <c r="I86" s="245">
        <v>0.376</v>
      </c>
      <c r="J86" s="245"/>
      <c r="K86" s="245">
        <v>0.37</v>
      </c>
      <c r="L86" s="245"/>
      <c r="M86" s="245">
        <v>0.378</v>
      </c>
      <c r="N86" s="245"/>
      <c r="O86" s="245">
        <v>0.39200000000000002</v>
      </c>
      <c r="P86" s="245"/>
      <c r="Q86" s="245">
        <v>0.36199999999999999</v>
      </c>
      <c r="R86" s="245"/>
      <c r="S86" s="245">
        <v>0.36599999999999999</v>
      </c>
      <c r="T86" s="245"/>
      <c r="U86" s="245">
        <v>0.38400000000000001</v>
      </c>
      <c r="V86" s="245"/>
      <c r="W86" s="245">
        <v>0.4</v>
      </c>
    </row>
    <row r="87" spans="2:23" ht="15">
      <c r="C87" s="245">
        <v>0.39100000000000001</v>
      </c>
      <c r="D87" s="245"/>
      <c r="E87" s="245">
        <v>0.36499999999999999</v>
      </c>
      <c r="F87" s="245"/>
      <c r="G87" s="245">
        <v>0.35899999999999999</v>
      </c>
      <c r="H87" s="245"/>
      <c r="I87" s="245">
        <v>0.376</v>
      </c>
      <c r="J87" s="245"/>
      <c r="K87" s="245">
        <v>0.37</v>
      </c>
      <c r="L87" s="245"/>
      <c r="M87" s="245">
        <v>0.374</v>
      </c>
      <c r="N87" s="245"/>
      <c r="O87" s="245">
        <v>0.39200000000000002</v>
      </c>
      <c r="P87" s="245"/>
      <c r="Q87" s="245">
        <v>0.37</v>
      </c>
      <c r="R87" s="245"/>
      <c r="S87" s="245">
        <v>0.36699999999999999</v>
      </c>
      <c r="T87" s="245"/>
      <c r="U87" s="245">
        <v>0.377</v>
      </c>
      <c r="V87" s="245"/>
      <c r="W87" s="245">
        <v>0.40799999999999997</v>
      </c>
    </row>
    <row r="88" spans="2:23" ht="15">
      <c r="C88" s="245">
        <v>0.38900000000000001</v>
      </c>
      <c r="D88" s="245"/>
      <c r="E88" s="245">
        <v>0.36399999999999999</v>
      </c>
      <c r="F88" s="245"/>
      <c r="G88" s="245">
        <v>0.34699999999999998</v>
      </c>
      <c r="H88" s="245"/>
      <c r="I88" s="245">
        <v>0.37</v>
      </c>
      <c r="J88" s="245"/>
      <c r="K88" s="245">
        <v>0.371</v>
      </c>
      <c r="L88" s="245"/>
      <c r="M88" s="245">
        <v>0.37</v>
      </c>
      <c r="N88" s="245"/>
      <c r="O88" s="245">
        <v>0.39</v>
      </c>
      <c r="P88" s="245"/>
      <c r="Q88" s="245">
        <v>0.35699999999999998</v>
      </c>
      <c r="R88" s="245"/>
      <c r="S88" s="245">
        <v>0.374</v>
      </c>
      <c r="T88" s="245"/>
      <c r="U88" s="245">
        <v>0.39400000000000002</v>
      </c>
      <c r="V88" s="245"/>
      <c r="W88" s="245">
        <v>0.39500000000000002</v>
      </c>
    </row>
    <row r="89" spans="2:23" ht="15">
      <c r="C89" s="245">
        <v>0.39400000000000002</v>
      </c>
      <c r="D89" s="245"/>
      <c r="E89" s="245">
        <v>0.36499999999999999</v>
      </c>
      <c r="F89" s="245"/>
      <c r="G89" s="245">
        <v>0.34200000000000003</v>
      </c>
      <c r="H89" s="245"/>
      <c r="I89" s="245">
        <v>0.372</v>
      </c>
      <c r="J89" s="245"/>
      <c r="K89" s="245">
        <v>0.371</v>
      </c>
      <c r="L89" s="245"/>
      <c r="M89" s="245">
        <v>0.374</v>
      </c>
      <c r="N89" s="245"/>
      <c r="O89" s="245">
        <v>0.4</v>
      </c>
      <c r="P89" s="245"/>
      <c r="Q89" s="245">
        <v>0.36899999999999999</v>
      </c>
      <c r="R89" s="245"/>
      <c r="S89" s="245">
        <v>0.38100000000000001</v>
      </c>
      <c r="T89" s="245"/>
      <c r="U89" s="245">
        <v>0.39</v>
      </c>
      <c r="V89" s="245"/>
      <c r="W89" s="245">
        <v>0.39500000000000002</v>
      </c>
    </row>
    <row r="90" spans="2:23" ht="15">
      <c r="C90" s="245">
        <v>0.39300000000000002</v>
      </c>
      <c r="D90" s="245"/>
      <c r="E90" s="245">
        <v>0.36499999999999999</v>
      </c>
      <c r="F90" s="245"/>
      <c r="G90" s="245">
        <v>0.33600000000000002</v>
      </c>
      <c r="H90" s="245"/>
      <c r="I90" s="245">
        <v>0.375</v>
      </c>
      <c r="J90" s="245"/>
      <c r="K90" s="245">
        <v>0.36899999999999999</v>
      </c>
      <c r="L90" s="245"/>
      <c r="M90" s="245">
        <v>0.38</v>
      </c>
      <c r="N90" s="245"/>
      <c r="O90" s="245">
        <v>0.39400000000000002</v>
      </c>
      <c r="P90" s="245"/>
      <c r="Q90" s="245">
        <v>0.373</v>
      </c>
      <c r="R90" s="245"/>
      <c r="S90" s="245">
        <v>0.39600000000000002</v>
      </c>
      <c r="T90" s="245"/>
      <c r="U90" s="245">
        <v>0.38300000000000001</v>
      </c>
      <c r="V90" s="245"/>
      <c r="W90" s="245">
        <v>0.39800000000000002</v>
      </c>
    </row>
    <row r="91" spans="2:23">
      <c r="B91" s="30">
        <v>2006</v>
      </c>
      <c r="C91" s="30">
        <v>0.39200000000000002</v>
      </c>
      <c r="E91" s="30">
        <v>0.36399999999999999</v>
      </c>
      <c r="F91" s="30"/>
      <c r="G91" s="30">
        <v>0.34300000000000003</v>
      </c>
      <c r="H91" s="30"/>
      <c r="I91" s="143">
        <v>0.374</v>
      </c>
      <c r="K91" s="143">
        <v>0.36699999999999999</v>
      </c>
      <c r="M91" s="143">
        <v>0.375</v>
      </c>
      <c r="O91" s="143">
        <v>0.39100000000000001</v>
      </c>
      <c r="Q91" s="143">
        <v>0.376</v>
      </c>
      <c r="S91" s="143">
        <v>0.39500000000000002</v>
      </c>
      <c r="U91" s="143">
        <v>0.38900000000000001</v>
      </c>
      <c r="W91" s="143">
        <v>0.4</v>
      </c>
    </row>
  </sheetData>
  <mergeCells count="1">
    <mergeCell ref="B49:K49"/>
  </mergeCells>
  <phoneticPr fontId="0" type="noConversion"/>
  <pageMargins left="0.15748031496062992" right="0.15748031496062992" top="0.59055118110236227" bottom="0.59055118110236227" header="0.51181102362204722" footer="0.51181102362204722"/>
  <pageSetup scale="83" orientation="landscape" r:id="rId1"/>
  <headerFooter alignWithMargins="0"/>
  <rowBreaks count="1" manualBreakCount="1">
    <brk id="54" max="16383" man="1"/>
  </rowBreaks>
  <colBreaks count="1" manualBreakCount="1">
    <brk id="13" max="1048575" man="1"/>
  </colBreaks>
</worksheet>
</file>

<file path=xl/worksheets/sheet46.xml><?xml version="1.0" encoding="utf-8"?>
<worksheet xmlns="http://schemas.openxmlformats.org/spreadsheetml/2006/main" xmlns:r="http://schemas.openxmlformats.org/officeDocument/2006/relationships">
  <dimension ref="A1:EH223"/>
  <sheetViews>
    <sheetView view="pageBreakPreview" zoomScaleSheetLayoutView="100" workbookViewId="0">
      <pane xSplit="1" ySplit="16" topLeftCell="B17" activePane="bottomRight" state="frozen"/>
      <selection activeCell="E9" sqref="E9"/>
      <selection pane="topRight" activeCell="E9" sqref="E9"/>
      <selection pane="bottomLeft" activeCell="E9" sqref="E9"/>
      <selection pane="bottomRight" activeCell="B45" sqref="B45"/>
    </sheetView>
  </sheetViews>
  <sheetFormatPr defaultColWidth="8.875" defaultRowHeight="12.75"/>
  <cols>
    <col min="1" max="1" width="8" style="143" customWidth="1"/>
    <col min="2" max="3" width="8.875" style="143" customWidth="1"/>
    <col min="4" max="4" width="10.125" style="143" customWidth="1"/>
    <col min="5" max="5" width="12.375" style="143" customWidth="1"/>
    <col min="6" max="6" width="8.875" style="143" customWidth="1"/>
    <col min="7" max="7" width="9.875" style="143" customWidth="1"/>
    <col min="8" max="8" width="8.875" style="143" customWidth="1"/>
    <col min="9" max="9" width="12.375" style="143" customWidth="1"/>
    <col min="10" max="12" width="8.875" style="143" customWidth="1"/>
    <col min="13" max="13" width="13.5" style="143" customWidth="1"/>
    <col min="14" max="16" width="8.875" style="143" customWidth="1"/>
    <col min="17" max="17" width="12.375" style="143" customWidth="1"/>
    <col min="18" max="20" width="8.875" style="143" customWidth="1"/>
    <col min="21" max="21" width="12" style="143" customWidth="1"/>
    <col min="22" max="24" width="8.875" style="143" customWidth="1"/>
    <col min="25" max="25" width="12.125" style="143" customWidth="1"/>
    <col min="26" max="28" width="8.875" style="143" customWidth="1"/>
    <col min="29" max="29" width="13.25" style="143" customWidth="1"/>
    <col min="30" max="32" width="8.875" style="143" customWidth="1"/>
    <col min="33" max="33" width="12.875" style="143" customWidth="1"/>
    <col min="34" max="36" width="8.875" style="143" customWidth="1"/>
    <col min="37" max="37" width="13.625" style="143" customWidth="1"/>
    <col min="38" max="40" width="8.875" style="143" customWidth="1"/>
    <col min="41" max="41" width="12.375" style="143" customWidth="1"/>
    <col min="42" max="44" width="8.875" style="143" customWidth="1"/>
    <col min="45" max="45" width="12.375" style="143" customWidth="1"/>
    <col min="46" max="16384" width="8.875" style="143"/>
  </cols>
  <sheetData>
    <row r="1" spans="1:90" s="29" customFormat="1" ht="15.75">
      <c r="A1" s="89"/>
      <c r="B1" s="91" t="s">
        <v>1126</v>
      </c>
      <c r="C1" s="92"/>
      <c r="D1" s="92"/>
      <c r="E1" s="92"/>
      <c r="F1" s="92"/>
      <c r="G1" s="93"/>
      <c r="H1" s="93"/>
      <c r="I1" s="93"/>
      <c r="J1" s="92"/>
      <c r="K1" s="93"/>
      <c r="L1" s="93"/>
      <c r="M1" s="93"/>
      <c r="N1" s="92"/>
      <c r="O1" s="93"/>
      <c r="P1" s="93"/>
      <c r="Q1" s="93"/>
      <c r="R1" s="91" t="s">
        <v>1127</v>
      </c>
      <c r="S1" s="93"/>
      <c r="T1" s="93"/>
      <c r="U1" s="93"/>
      <c r="V1" s="92"/>
      <c r="W1" s="93"/>
      <c r="X1" s="93"/>
      <c r="Y1" s="93"/>
      <c r="Z1" s="92"/>
      <c r="AA1" s="93"/>
      <c r="AB1" s="93"/>
      <c r="AC1" s="93"/>
      <c r="AD1" s="93"/>
      <c r="AE1" s="93"/>
      <c r="AF1" s="93"/>
      <c r="AG1" s="93"/>
      <c r="AH1" s="91" t="s">
        <v>1128</v>
      </c>
      <c r="AI1" s="93"/>
      <c r="AJ1" s="93"/>
      <c r="AK1" s="93"/>
      <c r="AL1" s="92"/>
      <c r="AM1" s="93"/>
      <c r="AN1" s="93"/>
      <c r="AO1" s="93"/>
      <c r="AP1" s="92"/>
      <c r="AQ1" s="93"/>
      <c r="AR1" s="93"/>
      <c r="AS1" s="92"/>
      <c r="AT1" s="92"/>
      <c r="AU1" s="91" t="s">
        <v>1108</v>
      </c>
      <c r="AV1" s="92"/>
      <c r="AW1" s="92"/>
      <c r="AX1" s="92"/>
      <c r="AY1" s="92"/>
      <c r="AZ1" s="93"/>
      <c r="BA1" s="93"/>
      <c r="BB1" s="93"/>
      <c r="BC1" s="92"/>
      <c r="BD1" s="93"/>
      <c r="BE1" s="93"/>
      <c r="BF1" s="93"/>
      <c r="BG1" s="92"/>
      <c r="BH1" s="93"/>
      <c r="BI1" s="93"/>
      <c r="BJ1" s="93"/>
      <c r="BK1" s="91" t="s">
        <v>1129</v>
      </c>
      <c r="BL1" s="93"/>
      <c r="BM1" s="93"/>
      <c r="BN1" s="93"/>
      <c r="BO1" s="92"/>
      <c r="BP1" s="93"/>
      <c r="BQ1" s="93"/>
      <c r="BR1" s="93"/>
      <c r="BS1" s="92"/>
      <c r="BT1" s="93"/>
      <c r="BU1" s="93"/>
      <c r="BV1" s="93"/>
      <c r="BW1" s="93"/>
      <c r="BX1" s="93"/>
      <c r="BY1" s="93"/>
      <c r="BZ1" s="93"/>
      <c r="CA1" s="91" t="s">
        <v>1130</v>
      </c>
      <c r="CB1" s="93"/>
      <c r="CC1" s="93"/>
      <c r="CD1" s="93"/>
      <c r="CE1" s="92"/>
      <c r="CF1" s="93"/>
      <c r="CG1" s="93"/>
      <c r="CH1" s="93"/>
      <c r="CI1" s="92"/>
      <c r="CJ1" s="93"/>
      <c r="CK1" s="93"/>
      <c r="CL1" s="92"/>
    </row>
    <row r="2" spans="1:90" s="246" customFormat="1" ht="15.75">
      <c r="A2" s="78"/>
      <c r="B2" s="91" t="s">
        <v>321</v>
      </c>
      <c r="C2" s="91"/>
      <c r="D2" s="91"/>
      <c r="E2" s="91"/>
      <c r="F2" s="91" t="s">
        <v>370</v>
      </c>
      <c r="G2" s="91"/>
      <c r="H2" s="91"/>
      <c r="I2" s="91"/>
      <c r="J2" s="91" t="s">
        <v>371</v>
      </c>
      <c r="K2" s="91"/>
      <c r="L2" s="91"/>
      <c r="M2" s="91"/>
      <c r="N2" s="91" t="s">
        <v>372</v>
      </c>
      <c r="O2" s="91"/>
      <c r="P2" s="91"/>
      <c r="Q2" s="91"/>
      <c r="R2" s="91" t="s">
        <v>373</v>
      </c>
      <c r="S2" s="91"/>
      <c r="T2" s="91"/>
      <c r="U2" s="91"/>
      <c r="V2" s="40" t="s">
        <v>374</v>
      </c>
      <c r="W2" s="91"/>
      <c r="X2" s="91"/>
      <c r="Y2" s="91"/>
      <c r="Z2" s="91" t="s">
        <v>375</v>
      </c>
      <c r="AA2" s="91"/>
      <c r="AB2" s="91"/>
      <c r="AC2" s="91"/>
      <c r="AD2" s="91" t="s">
        <v>376</v>
      </c>
      <c r="AE2" s="91"/>
      <c r="AF2" s="91"/>
      <c r="AG2" s="91"/>
      <c r="AH2" s="91" t="s">
        <v>377</v>
      </c>
      <c r="AI2" s="91"/>
      <c r="AJ2" s="91"/>
      <c r="AK2" s="91"/>
      <c r="AL2" s="91" t="s">
        <v>378</v>
      </c>
      <c r="AM2" s="91"/>
      <c r="AN2" s="91"/>
      <c r="AO2" s="91"/>
      <c r="AP2" s="91" t="s">
        <v>379</v>
      </c>
      <c r="AQ2" s="91"/>
      <c r="AR2" s="91"/>
      <c r="AS2" s="91"/>
      <c r="AT2" s="91"/>
      <c r="AU2" s="91" t="s">
        <v>321</v>
      </c>
      <c r="AV2" s="91"/>
      <c r="AW2" s="91"/>
      <c r="AX2" s="91"/>
      <c r="AY2" s="91" t="s">
        <v>370</v>
      </c>
      <c r="AZ2" s="91"/>
      <c r="BA2" s="91"/>
      <c r="BB2" s="91"/>
      <c r="BC2" s="91" t="s">
        <v>371</v>
      </c>
      <c r="BD2" s="91"/>
      <c r="BE2" s="91"/>
      <c r="BF2" s="91"/>
      <c r="BG2" s="91" t="s">
        <v>372</v>
      </c>
      <c r="BH2" s="91"/>
      <c r="BI2" s="91"/>
      <c r="BJ2" s="91"/>
      <c r="BK2" s="91" t="s">
        <v>373</v>
      </c>
      <c r="BL2" s="91"/>
      <c r="BM2" s="91"/>
      <c r="BN2" s="91"/>
      <c r="BO2" s="40" t="s">
        <v>374</v>
      </c>
      <c r="BP2" s="91"/>
      <c r="BQ2" s="91"/>
      <c r="BR2" s="91"/>
      <c r="BS2" s="91" t="s">
        <v>375</v>
      </c>
      <c r="BT2" s="91"/>
      <c r="BU2" s="91"/>
      <c r="BV2" s="91"/>
      <c r="BW2" s="91" t="s">
        <v>376</v>
      </c>
      <c r="BX2" s="91"/>
      <c r="BY2" s="91"/>
      <c r="BZ2" s="91"/>
      <c r="CA2" s="91" t="s">
        <v>377</v>
      </c>
      <c r="CB2" s="91"/>
      <c r="CC2" s="91"/>
      <c r="CD2" s="91"/>
      <c r="CE2" s="91" t="s">
        <v>378</v>
      </c>
      <c r="CF2" s="91"/>
      <c r="CG2" s="91"/>
      <c r="CH2" s="91"/>
      <c r="CI2" s="91" t="s">
        <v>379</v>
      </c>
      <c r="CJ2" s="91"/>
      <c r="CK2" s="91"/>
      <c r="CL2" s="91"/>
    </row>
    <row r="3" spans="1:90" s="144" customFormat="1">
      <c r="A3" s="86"/>
      <c r="B3" s="86" t="s">
        <v>616</v>
      </c>
      <c r="C3" s="86" t="s">
        <v>616</v>
      </c>
      <c r="D3" s="86" t="s">
        <v>617</v>
      </c>
      <c r="E3" s="86" t="s">
        <v>491</v>
      </c>
      <c r="F3" s="86" t="s">
        <v>616</v>
      </c>
      <c r="G3" s="86" t="s">
        <v>616</v>
      </c>
      <c r="H3" s="86" t="s">
        <v>617</v>
      </c>
      <c r="I3" s="86" t="s">
        <v>491</v>
      </c>
      <c r="J3" s="86" t="s">
        <v>616</v>
      </c>
      <c r="K3" s="86" t="s">
        <v>616</v>
      </c>
      <c r="L3" s="86" t="s">
        <v>617</v>
      </c>
      <c r="M3" s="86" t="s">
        <v>491</v>
      </c>
      <c r="N3" s="86" t="s">
        <v>616</v>
      </c>
      <c r="O3" s="86" t="s">
        <v>616</v>
      </c>
      <c r="P3" s="86" t="s">
        <v>617</v>
      </c>
      <c r="Q3" s="86" t="s">
        <v>491</v>
      </c>
      <c r="R3" s="86" t="s">
        <v>616</v>
      </c>
      <c r="S3" s="86" t="s">
        <v>616</v>
      </c>
      <c r="T3" s="86" t="s">
        <v>617</v>
      </c>
      <c r="U3" s="86" t="s">
        <v>491</v>
      </c>
      <c r="V3" s="86" t="s">
        <v>616</v>
      </c>
      <c r="W3" s="86" t="s">
        <v>616</v>
      </c>
      <c r="X3" s="86" t="s">
        <v>617</v>
      </c>
      <c r="Y3" s="86" t="s">
        <v>491</v>
      </c>
      <c r="Z3" s="86" t="s">
        <v>616</v>
      </c>
      <c r="AA3" s="86" t="s">
        <v>616</v>
      </c>
      <c r="AB3" s="86" t="s">
        <v>617</v>
      </c>
      <c r="AC3" s="86" t="s">
        <v>491</v>
      </c>
      <c r="AD3" s="86" t="s">
        <v>616</v>
      </c>
      <c r="AE3" s="86" t="s">
        <v>616</v>
      </c>
      <c r="AF3" s="86" t="s">
        <v>617</v>
      </c>
      <c r="AG3" s="86" t="s">
        <v>491</v>
      </c>
      <c r="AH3" s="86" t="s">
        <v>616</v>
      </c>
      <c r="AI3" s="86" t="s">
        <v>616</v>
      </c>
      <c r="AJ3" s="86" t="s">
        <v>617</v>
      </c>
      <c r="AK3" s="86" t="s">
        <v>491</v>
      </c>
      <c r="AL3" s="86" t="s">
        <v>616</v>
      </c>
      <c r="AM3" s="86" t="s">
        <v>616</v>
      </c>
      <c r="AN3" s="86" t="s">
        <v>617</v>
      </c>
      <c r="AO3" s="86" t="s">
        <v>491</v>
      </c>
      <c r="AP3" s="86" t="s">
        <v>616</v>
      </c>
      <c r="AQ3" s="86" t="s">
        <v>616</v>
      </c>
      <c r="AR3" s="86" t="s">
        <v>617</v>
      </c>
      <c r="AS3" s="86" t="s">
        <v>491</v>
      </c>
      <c r="AT3" s="86"/>
      <c r="AU3" s="86" t="s">
        <v>616</v>
      </c>
      <c r="AV3" s="86" t="s">
        <v>616</v>
      </c>
      <c r="AW3" s="86" t="s">
        <v>617</v>
      </c>
      <c r="AX3" s="86" t="s">
        <v>491</v>
      </c>
      <c r="AY3" s="86" t="s">
        <v>616</v>
      </c>
      <c r="AZ3" s="86" t="s">
        <v>616</v>
      </c>
      <c r="BA3" s="86" t="s">
        <v>617</v>
      </c>
      <c r="BB3" s="86" t="s">
        <v>491</v>
      </c>
      <c r="BC3" s="86" t="s">
        <v>616</v>
      </c>
      <c r="BD3" s="86" t="s">
        <v>616</v>
      </c>
      <c r="BE3" s="86" t="s">
        <v>617</v>
      </c>
      <c r="BF3" s="86" t="s">
        <v>491</v>
      </c>
      <c r="BG3" s="86" t="s">
        <v>616</v>
      </c>
      <c r="BH3" s="86" t="s">
        <v>616</v>
      </c>
      <c r="BI3" s="86" t="s">
        <v>617</v>
      </c>
      <c r="BJ3" s="86" t="s">
        <v>491</v>
      </c>
      <c r="BK3" s="86" t="s">
        <v>616</v>
      </c>
      <c r="BL3" s="86" t="s">
        <v>616</v>
      </c>
      <c r="BM3" s="86" t="s">
        <v>617</v>
      </c>
      <c r="BN3" s="86" t="s">
        <v>491</v>
      </c>
      <c r="BO3" s="86" t="s">
        <v>616</v>
      </c>
      <c r="BP3" s="86" t="s">
        <v>616</v>
      </c>
      <c r="BQ3" s="86" t="s">
        <v>617</v>
      </c>
      <c r="BR3" s="86" t="s">
        <v>491</v>
      </c>
      <c r="BS3" s="86" t="s">
        <v>616</v>
      </c>
      <c r="BT3" s="86" t="s">
        <v>616</v>
      </c>
      <c r="BU3" s="86" t="s">
        <v>617</v>
      </c>
      <c r="BV3" s="86" t="s">
        <v>491</v>
      </c>
      <c r="BW3" s="86" t="s">
        <v>616</v>
      </c>
      <c r="BX3" s="86" t="s">
        <v>616</v>
      </c>
      <c r="BY3" s="86" t="s">
        <v>617</v>
      </c>
      <c r="BZ3" s="86" t="s">
        <v>491</v>
      </c>
      <c r="CA3" s="86" t="s">
        <v>616</v>
      </c>
      <c r="CB3" s="86" t="s">
        <v>616</v>
      </c>
      <c r="CC3" s="86" t="s">
        <v>617</v>
      </c>
      <c r="CD3" s="86" t="s">
        <v>491</v>
      </c>
      <c r="CE3" s="86" t="s">
        <v>616</v>
      </c>
      <c r="CF3" s="86" t="s">
        <v>616</v>
      </c>
      <c r="CG3" s="86" t="s">
        <v>617</v>
      </c>
      <c r="CH3" s="86" t="s">
        <v>491</v>
      </c>
      <c r="CI3" s="86" t="s">
        <v>616</v>
      </c>
      <c r="CJ3" s="86" t="s">
        <v>616</v>
      </c>
      <c r="CK3" s="86" t="s">
        <v>617</v>
      </c>
      <c r="CL3" s="86" t="s">
        <v>491</v>
      </c>
    </row>
    <row r="4" spans="1:90" s="144" customFormat="1">
      <c r="A4" s="86"/>
      <c r="B4" s="86" t="s">
        <v>103</v>
      </c>
      <c r="C4" s="86" t="s">
        <v>618</v>
      </c>
      <c r="D4" s="86" t="s">
        <v>619</v>
      </c>
      <c r="E4" s="86" t="s">
        <v>619</v>
      </c>
      <c r="F4" s="86" t="s">
        <v>103</v>
      </c>
      <c r="G4" s="86" t="s">
        <v>618</v>
      </c>
      <c r="H4" s="86" t="s">
        <v>619</v>
      </c>
      <c r="I4" s="86" t="s">
        <v>619</v>
      </c>
      <c r="J4" s="86" t="s">
        <v>103</v>
      </c>
      <c r="K4" s="86" t="s">
        <v>618</v>
      </c>
      <c r="L4" s="86" t="s">
        <v>619</v>
      </c>
      <c r="M4" s="86" t="s">
        <v>619</v>
      </c>
      <c r="N4" s="86" t="s">
        <v>103</v>
      </c>
      <c r="O4" s="86" t="s">
        <v>618</v>
      </c>
      <c r="P4" s="86" t="s">
        <v>619</v>
      </c>
      <c r="Q4" s="86" t="s">
        <v>619</v>
      </c>
      <c r="R4" s="86" t="s">
        <v>103</v>
      </c>
      <c r="S4" s="86" t="s">
        <v>618</v>
      </c>
      <c r="T4" s="86" t="s">
        <v>619</v>
      </c>
      <c r="U4" s="86" t="s">
        <v>619</v>
      </c>
      <c r="V4" s="86" t="s">
        <v>103</v>
      </c>
      <c r="W4" s="86" t="s">
        <v>618</v>
      </c>
      <c r="X4" s="86" t="s">
        <v>619</v>
      </c>
      <c r="Y4" s="86" t="s">
        <v>619</v>
      </c>
      <c r="Z4" s="86" t="s">
        <v>103</v>
      </c>
      <c r="AA4" s="86" t="s">
        <v>618</v>
      </c>
      <c r="AB4" s="86" t="s">
        <v>619</v>
      </c>
      <c r="AC4" s="86" t="s">
        <v>619</v>
      </c>
      <c r="AD4" s="86" t="s">
        <v>103</v>
      </c>
      <c r="AE4" s="86" t="s">
        <v>618</v>
      </c>
      <c r="AF4" s="86" t="s">
        <v>619</v>
      </c>
      <c r="AG4" s="86" t="s">
        <v>619</v>
      </c>
      <c r="AH4" s="86" t="s">
        <v>103</v>
      </c>
      <c r="AI4" s="86" t="s">
        <v>618</v>
      </c>
      <c r="AJ4" s="86" t="s">
        <v>619</v>
      </c>
      <c r="AK4" s="86" t="s">
        <v>619</v>
      </c>
      <c r="AL4" s="86" t="s">
        <v>103</v>
      </c>
      <c r="AM4" s="86" t="s">
        <v>618</v>
      </c>
      <c r="AN4" s="86" t="s">
        <v>619</v>
      </c>
      <c r="AO4" s="86" t="s">
        <v>619</v>
      </c>
      <c r="AP4" s="86" t="s">
        <v>103</v>
      </c>
      <c r="AQ4" s="86" t="s">
        <v>618</v>
      </c>
      <c r="AR4" s="86" t="s">
        <v>619</v>
      </c>
      <c r="AS4" s="86" t="s">
        <v>619</v>
      </c>
      <c r="AT4" s="86"/>
      <c r="AU4" s="86" t="s">
        <v>103</v>
      </c>
      <c r="AV4" s="86" t="s">
        <v>618</v>
      </c>
      <c r="AW4" s="86" t="s">
        <v>619</v>
      </c>
      <c r="AX4" s="86" t="s">
        <v>619</v>
      </c>
      <c r="AY4" s="86" t="s">
        <v>103</v>
      </c>
      <c r="AZ4" s="86" t="s">
        <v>618</v>
      </c>
      <c r="BA4" s="86" t="s">
        <v>619</v>
      </c>
      <c r="BB4" s="86" t="s">
        <v>619</v>
      </c>
      <c r="BC4" s="86" t="s">
        <v>103</v>
      </c>
      <c r="BD4" s="86" t="s">
        <v>618</v>
      </c>
      <c r="BE4" s="86" t="s">
        <v>619</v>
      </c>
      <c r="BF4" s="86" t="s">
        <v>619</v>
      </c>
      <c r="BG4" s="86" t="s">
        <v>103</v>
      </c>
      <c r="BH4" s="86" t="s">
        <v>618</v>
      </c>
      <c r="BI4" s="86" t="s">
        <v>619</v>
      </c>
      <c r="BJ4" s="86" t="s">
        <v>619</v>
      </c>
      <c r="BK4" s="86" t="s">
        <v>103</v>
      </c>
      <c r="BL4" s="86" t="s">
        <v>618</v>
      </c>
      <c r="BM4" s="86" t="s">
        <v>619</v>
      </c>
      <c r="BN4" s="86" t="s">
        <v>619</v>
      </c>
      <c r="BO4" s="86" t="s">
        <v>103</v>
      </c>
      <c r="BP4" s="86" t="s">
        <v>618</v>
      </c>
      <c r="BQ4" s="86" t="s">
        <v>619</v>
      </c>
      <c r="BR4" s="86" t="s">
        <v>619</v>
      </c>
      <c r="BS4" s="86" t="s">
        <v>103</v>
      </c>
      <c r="BT4" s="86" t="s">
        <v>618</v>
      </c>
      <c r="BU4" s="86" t="s">
        <v>619</v>
      </c>
      <c r="BV4" s="86" t="s">
        <v>619</v>
      </c>
      <c r="BW4" s="86" t="s">
        <v>103</v>
      </c>
      <c r="BX4" s="86" t="s">
        <v>618</v>
      </c>
      <c r="BY4" s="86" t="s">
        <v>619</v>
      </c>
      <c r="BZ4" s="86" t="s">
        <v>619</v>
      </c>
      <c r="CA4" s="86" t="s">
        <v>103</v>
      </c>
      <c r="CB4" s="86" t="s">
        <v>618</v>
      </c>
      <c r="CC4" s="86" t="s">
        <v>619</v>
      </c>
      <c r="CD4" s="86" t="s">
        <v>619</v>
      </c>
      <c r="CE4" s="86" t="s">
        <v>103</v>
      </c>
      <c r="CF4" s="86" t="s">
        <v>618</v>
      </c>
      <c r="CG4" s="86" t="s">
        <v>619</v>
      </c>
      <c r="CH4" s="86" t="s">
        <v>619</v>
      </c>
      <c r="CI4" s="86" t="s">
        <v>103</v>
      </c>
      <c r="CJ4" s="86" t="s">
        <v>618</v>
      </c>
      <c r="CK4" s="86" t="s">
        <v>619</v>
      </c>
      <c r="CL4" s="86" t="s">
        <v>619</v>
      </c>
    </row>
    <row r="5" spans="1:90" s="144" customFormat="1" ht="25.5">
      <c r="A5" s="86"/>
      <c r="B5" s="106" t="s">
        <v>105</v>
      </c>
      <c r="C5" s="106" t="s">
        <v>106</v>
      </c>
      <c r="D5" s="106" t="s">
        <v>206</v>
      </c>
      <c r="E5" s="106"/>
      <c r="F5" s="106" t="s">
        <v>108</v>
      </c>
      <c r="G5" s="106" t="s">
        <v>109</v>
      </c>
      <c r="H5" s="106" t="s">
        <v>207</v>
      </c>
      <c r="I5" s="106"/>
      <c r="J5" s="106" t="s">
        <v>111</v>
      </c>
      <c r="K5" s="106" t="s">
        <v>112</v>
      </c>
      <c r="L5" s="106" t="s">
        <v>208</v>
      </c>
      <c r="M5" s="106"/>
      <c r="N5" s="106" t="s">
        <v>113</v>
      </c>
      <c r="O5" s="106" t="s">
        <v>114</v>
      </c>
      <c r="P5" s="106" t="s">
        <v>209</v>
      </c>
      <c r="Q5" s="106"/>
      <c r="R5" s="106" t="s">
        <v>105</v>
      </c>
      <c r="S5" s="106" t="s">
        <v>106</v>
      </c>
      <c r="T5" s="106" t="s">
        <v>206</v>
      </c>
      <c r="U5" s="106"/>
      <c r="V5" s="106" t="s">
        <v>108</v>
      </c>
      <c r="W5" s="106" t="s">
        <v>109</v>
      </c>
      <c r="X5" s="106" t="s">
        <v>207</v>
      </c>
      <c r="Y5" s="106"/>
      <c r="Z5" s="106" t="s">
        <v>111</v>
      </c>
      <c r="AA5" s="106" t="s">
        <v>112</v>
      </c>
      <c r="AB5" s="106" t="s">
        <v>208</v>
      </c>
      <c r="AC5" s="106"/>
      <c r="AD5" s="106" t="s">
        <v>113</v>
      </c>
      <c r="AE5" s="106" t="s">
        <v>114</v>
      </c>
      <c r="AF5" s="106" t="s">
        <v>209</v>
      </c>
      <c r="AG5" s="106"/>
      <c r="AH5" s="106" t="s">
        <v>105</v>
      </c>
      <c r="AI5" s="106" t="s">
        <v>106</v>
      </c>
      <c r="AJ5" s="106" t="s">
        <v>206</v>
      </c>
      <c r="AK5" s="106"/>
      <c r="AL5" s="106" t="s">
        <v>108</v>
      </c>
      <c r="AM5" s="106" t="s">
        <v>109</v>
      </c>
      <c r="AN5" s="106" t="s">
        <v>207</v>
      </c>
      <c r="AO5" s="106"/>
      <c r="AP5" s="106" t="s">
        <v>111</v>
      </c>
      <c r="AQ5" s="106" t="s">
        <v>112</v>
      </c>
      <c r="AR5" s="106" t="s">
        <v>208</v>
      </c>
      <c r="AS5" s="106"/>
      <c r="AT5" s="106"/>
      <c r="AU5" s="106" t="s">
        <v>105</v>
      </c>
      <c r="AV5" s="106" t="s">
        <v>106</v>
      </c>
      <c r="AW5" s="106" t="s">
        <v>206</v>
      </c>
      <c r="AX5" s="106"/>
      <c r="AY5" s="106" t="s">
        <v>108</v>
      </c>
      <c r="AZ5" s="106" t="s">
        <v>109</v>
      </c>
      <c r="BA5" s="106" t="s">
        <v>207</v>
      </c>
      <c r="BB5" s="106"/>
      <c r="BC5" s="106" t="s">
        <v>111</v>
      </c>
      <c r="BD5" s="106" t="s">
        <v>112</v>
      </c>
      <c r="BE5" s="106" t="s">
        <v>208</v>
      </c>
      <c r="BF5" s="106"/>
      <c r="BG5" s="106" t="s">
        <v>113</v>
      </c>
      <c r="BH5" s="106" t="s">
        <v>114</v>
      </c>
      <c r="BI5" s="106" t="s">
        <v>209</v>
      </c>
      <c r="BJ5" s="106"/>
      <c r="BK5" s="106" t="s">
        <v>105</v>
      </c>
      <c r="BL5" s="106" t="s">
        <v>106</v>
      </c>
      <c r="BM5" s="106" t="s">
        <v>206</v>
      </c>
      <c r="BN5" s="106"/>
      <c r="BO5" s="106" t="s">
        <v>108</v>
      </c>
      <c r="BP5" s="106" t="s">
        <v>109</v>
      </c>
      <c r="BQ5" s="106" t="s">
        <v>207</v>
      </c>
      <c r="BR5" s="106"/>
      <c r="BS5" s="106" t="s">
        <v>111</v>
      </c>
      <c r="BT5" s="106" t="s">
        <v>112</v>
      </c>
      <c r="BU5" s="106" t="s">
        <v>208</v>
      </c>
      <c r="BV5" s="106"/>
      <c r="BW5" s="106" t="s">
        <v>113</v>
      </c>
      <c r="BX5" s="106" t="s">
        <v>114</v>
      </c>
      <c r="BY5" s="106" t="s">
        <v>209</v>
      </c>
      <c r="BZ5" s="106"/>
      <c r="CA5" s="106" t="s">
        <v>105</v>
      </c>
      <c r="CB5" s="106" t="s">
        <v>106</v>
      </c>
      <c r="CC5" s="106" t="s">
        <v>206</v>
      </c>
      <c r="CD5" s="106"/>
      <c r="CE5" s="106" t="s">
        <v>108</v>
      </c>
      <c r="CF5" s="106" t="s">
        <v>109</v>
      </c>
      <c r="CG5" s="106" t="s">
        <v>207</v>
      </c>
      <c r="CH5" s="106"/>
      <c r="CI5" s="106" t="s">
        <v>111</v>
      </c>
      <c r="CJ5" s="106" t="s">
        <v>112</v>
      </c>
      <c r="CK5" s="106" t="s">
        <v>208</v>
      </c>
      <c r="CL5" s="106"/>
    </row>
    <row r="6" spans="1:90" hidden="1">
      <c r="A6" s="77"/>
      <c r="B6" s="77"/>
      <c r="C6" s="77"/>
      <c r="D6" s="77"/>
      <c r="E6" s="77"/>
      <c r="F6" s="77"/>
      <c r="G6" s="77"/>
      <c r="H6" s="77"/>
      <c r="I6" s="77"/>
      <c r="J6" s="77"/>
      <c r="K6" s="77"/>
      <c r="L6" s="77"/>
      <c r="M6" s="77"/>
      <c r="N6" s="77"/>
      <c r="O6" s="77"/>
      <c r="P6" s="77"/>
      <c r="Q6" s="77"/>
      <c r="R6" s="77"/>
      <c r="S6" s="77"/>
      <c r="T6" s="77"/>
      <c r="U6" s="77"/>
      <c r="V6" s="35"/>
      <c r="W6" s="77"/>
      <c r="X6" s="77"/>
      <c r="Y6" s="77"/>
      <c r="Z6" s="77"/>
      <c r="AA6" s="77"/>
      <c r="AB6" s="77"/>
      <c r="AC6" s="77"/>
      <c r="AD6" s="77"/>
      <c r="AE6" s="77"/>
      <c r="AF6" s="77"/>
      <c r="AG6" s="77"/>
      <c r="AH6" s="77"/>
      <c r="AI6" s="77"/>
      <c r="AJ6" s="77"/>
      <c r="AK6" s="77"/>
      <c r="AL6" s="77"/>
      <c r="AM6" s="77"/>
      <c r="AN6" s="77"/>
      <c r="AO6" s="77"/>
      <c r="AP6" s="77"/>
      <c r="AQ6" s="90"/>
      <c r="AR6" s="90"/>
      <c r="AS6" s="77"/>
      <c r="AT6" s="77"/>
      <c r="AU6" s="77"/>
      <c r="AV6" s="77"/>
      <c r="AW6" s="77"/>
      <c r="AX6" s="77"/>
      <c r="AY6" s="77"/>
      <c r="AZ6" s="77"/>
      <c r="BA6" s="77"/>
      <c r="BB6" s="77"/>
      <c r="BC6" s="77"/>
      <c r="BD6" s="77"/>
      <c r="BE6" s="77"/>
      <c r="BF6" s="77"/>
      <c r="BG6" s="77"/>
      <c r="BH6" s="77"/>
      <c r="BI6" s="77"/>
      <c r="BJ6" s="77"/>
      <c r="BK6" s="77"/>
      <c r="BL6" s="77"/>
      <c r="BM6" s="77"/>
      <c r="BN6" s="77"/>
      <c r="BO6" s="35"/>
      <c r="BP6" s="77"/>
      <c r="BQ6" s="77"/>
      <c r="BR6" s="77"/>
      <c r="BS6" s="77"/>
      <c r="BT6" s="77"/>
      <c r="BU6" s="77"/>
      <c r="BV6" s="77"/>
      <c r="BW6" s="77"/>
      <c r="BX6" s="77"/>
      <c r="BY6" s="77"/>
      <c r="BZ6" s="77"/>
      <c r="CA6" s="77"/>
      <c r="CB6" s="77"/>
      <c r="CC6" s="77"/>
      <c r="CD6" s="77"/>
      <c r="CE6" s="77"/>
      <c r="CF6" s="77"/>
      <c r="CG6" s="77"/>
      <c r="CH6" s="77"/>
      <c r="CI6" s="77"/>
      <c r="CJ6" s="90"/>
      <c r="CK6" s="90"/>
      <c r="CL6" s="77"/>
    </row>
    <row r="7" spans="1:90" ht="12" hidden="1" customHeight="1">
      <c r="A7" s="77">
        <v>1971</v>
      </c>
      <c r="B7" s="122">
        <f t="shared" ref="B7:C10" si="0">B8</f>
        <v>13</v>
      </c>
      <c r="C7" s="122">
        <f t="shared" si="0"/>
        <v>31.56</v>
      </c>
      <c r="D7" s="244">
        <f>C7*B7*$F$59/100</f>
        <v>7.7542919999999995</v>
      </c>
      <c r="E7" s="244">
        <f t="shared" ref="E7:E39" si="1">(D$60-D7)/D$62</f>
        <v>-62.286583078097522</v>
      </c>
      <c r="F7" s="122">
        <f t="shared" ref="F7:F10" si="2">F8</f>
        <v>28</v>
      </c>
      <c r="G7" s="122">
        <f t="shared" ref="G7:G10" si="3">G8</f>
        <v>27.25</v>
      </c>
      <c r="H7" s="244">
        <f t="shared" ref="H7:H46" si="4">G7*F7*$F$59/100</f>
        <v>14.4207</v>
      </c>
      <c r="I7" s="372">
        <f t="shared" ref="I7:I39" si="5">(D$60-H7)/D$62</f>
        <v>-116.88135404071268</v>
      </c>
      <c r="J7" s="122">
        <f t="shared" ref="J7:J10" si="6">J8</f>
        <v>23.4</v>
      </c>
      <c r="K7" s="122">
        <f t="shared" ref="K7:K10" si="7">K8</f>
        <v>27.63</v>
      </c>
      <c r="L7" s="244">
        <f t="shared" ref="L7:L46" si="8">K7*J7*$F$59/100</f>
        <v>12.219643799999998</v>
      </c>
      <c r="M7" s="371">
        <f t="shared" ref="M7:M39" si="9">(D$60-L7)/D$62</f>
        <v>-98.855730779303514</v>
      </c>
      <c r="N7" s="122">
        <f t="shared" ref="N7:N10" si="10">N8</f>
        <v>18.5</v>
      </c>
      <c r="O7" s="122">
        <f t="shared" ref="O7:O10" si="11">O8</f>
        <v>24.4</v>
      </c>
      <c r="P7" s="244">
        <f t="shared" ref="P7:P46" si="12">O7*N7*$F$59/100</f>
        <v>8.5314599999999992</v>
      </c>
      <c r="Q7" s="372">
        <f>($D$60-P7)/$D$62</f>
        <v>-68.651226370178307</v>
      </c>
      <c r="R7" s="122">
        <f t="shared" ref="R7:R10" si="13">R8</f>
        <v>20.3</v>
      </c>
      <c r="S7" s="122">
        <f t="shared" ref="S7:S10" si="14">S8</f>
        <v>26.41</v>
      </c>
      <c r="T7" s="244">
        <f t="shared" ref="T7:T46" si="15">S7*R7*$F$59/100</f>
        <v>10.132724700000001</v>
      </c>
      <c r="U7" s="372">
        <f t="shared" ref="U7:U46" si="16">($D$60-T7)/$D$62</f>
        <v>-81.764837110328131</v>
      </c>
      <c r="V7" s="122">
        <f t="shared" ref="V7:V10" si="17">V8</f>
        <v>13.3</v>
      </c>
      <c r="W7" s="122">
        <f t="shared" ref="W7:W10" si="18">W8</f>
        <v>27.5</v>
      </c>
      <c r="X7" s="244">
        <f t="shared" ref="X7:X46" si="19">W7*V7*$F$59/100</f>
        <v>6.9126749999999992</v>
      </c>
      <c r="Y7" s="372">
        <f t="shared" ref="Y7:Y46" si="20">($D$60-X7)/$D$62</f>
        <v>-55.394132548030463</v>
      </c>
      <c r="Z7" s="122">
        <f t="shared" ref="Z7:Z10" si="21">Z8</f>
        <v>10.5</v>
      </c>
      <c r="AA7" s="122">
        <f t="shared" ref="AA7:AA10" si="22">AA8</f>
        <v>34.83</v>
      </c>
      <c r="AB7" s="244">
        <f t="shared" ref="AB7:AB46" si="23">AA7*Z7*$F$59/100</f>
        <v>6.9120134999999996</v>
      </c>
      <c r="AC7" s="372">
        <f t="shared" ref="AC7:AC46" si="24">($D$60-AB7)/$D$62</f>
        <v>-55.388715171687494</v>
      </c>
      <c r="AD7" s="122">
        <f t="shared" ref="AD7:AD10" si="25">AD8</f>
        <v>16.8</v>
      </c>
      <c r="AE7" s="122">
        <f t="shared" ref="AE7:AE10" si="26">AE8</f>
        <v>31.99</v>
      </c>
      <c r="AF7" s="244">
        <f t="shared" ref="AF7:AF46" si="27">AE7*AD7*$F$59/100</f>
        <v>10.1574648</v>
      </c>
      <c r="AG7" s="372">
        <f t="shared" ref="AG7:AG46" si="28">($D$60-AF7)/$D$62</f>
        <v>-81.967446985555114</v>
      </c>
      <c r="AH7" s="122">
        <f t="shared" ref="AH7:AH10" si="29">AH8</f>
        <v>18.399999999999999</v>
      </c>
      <c r="AI7" s="122">
        <f t="shared" ref="AI7:AI10" si="30">AI8</f>
        <v>29.62</v>
      </c>
      <c r="AJ7" s="244">
        <f t="shared" ref="AJ7:AJ46" si="31">AI7*AH7*$F$59/100</f>
        <v>10.300651199999997</v>
      </c>
      <c r="AK7" s="372">
        <f t="shared" ref="AK7:AK46" si="32">($D$60-AJ7)/$D$62</f>
        <v>-83.140076790535744</v>
      </c>
      <c r="AL7" s="122">
        <f t="shared" ref="AL7:AL10" si="33">AL8</f>
        <v>11.1</v>
      </c>
      <c r="AM7" s="122">
        <f t="shared" ref="AM7:AM10" si="34">AM8</f>
        <v>41.24</v>
      </c>
      <c r="AN7" s="244">
        <f t="shared" ref="AN7:AN38" si="35">AM7*AL7*$F$59/100</f>
        <v>8.6517395999999991</v>
      </c>
      <c r="AO7" s="372">
        <f t="shared" ref="AO7:AO46" si="36">($D$60-AN7)/$D$62</f>
        <v>-69.63626017151104</v>
      </c>
      <c r="AP7" s="122">
        <f t="shared" ref="AP7:AP10" si="37">AP8</f>
        <v>11.2</v>
      </c>
      <c r="AQ7" s="122">
        <f t="shared" ref="AQ7:AQ10" si="38">AQ8</f>
        <v>36.549999999999997</v>
      </c>
      <c r="AR7" s="244">
        <f t="shared" ref="AR7:AR46" si="39">AQ7*AP7*$F$59/100</f>
        <v>7.7369039999999982</v>
      </c>
      <c r="AS7" s="372">
        <f t="shared" ref="AS7:AS46" si="40">($D$60-AR7)/$D$62</f>
        <v>-62.144183471368073</v>
      </c>
      <c r="AT7" s="86"/>
      <c r="AU7" s="13">
        <v>13</v>
      </c>
      <c r="AV7" s="9">
        <v>0.33490000000000003</v>
      </c>
      <c r="AW7" s="43">
        <f>AV7*AU7*$F$59/100</f>
        <v>8.2284930000000006E-2</v>
      </c>
      <c r="AX7" s="43">
        <f t="shared" ref="AX7:AX16" si="41">(AW$60-AW7)/AW$62</f>
        <v>0.35235478404719817</v>
      </c>
      <c r="AY7" s="13">
        <v>19</v>
      </c>
      <c r="AZ7" s="9">
        <v>0.30370000000000003</v>
      </c>
      <c r="BA7" s="43">
        <f t="shared" ref="BA7:BA16" si="42">AZ7*AY7*$F$59/100</f>
        <v>0.10905867000000001</v>
      </c>
      <c r="BB7" s="82">
        <f t="shared" ref="BB7:BB16" si="43">(AW$60-BA7)/AW$62</f>
        <v>9.3123584073549467E-2</v>
      </c>
      <c r="BC7" s="13">
        <v>15.2</v>
      </c>
      <c r="BD7" s="9">
        <v>0.31090000000000001</v>
      </c>
      <c r="BE7" s="43">
        <f t="shared" ref="BE7:BE16" si="44">BD7*BC7*$F$59/100</f>
        <v>8.9315351999999987E-2</v>
      </c>
      <c r="BF7" s="83">
        <f t="shared" ref="BF7:BF16" si="45">(AW$60-BE7)/AW$62</f>
        <v>0.2842841771248506</v>
      </c>
      <c r="BG7" s="13">
        <v>14</v>
      </c>
      <c r="BH7" s="9">
        <v>0.2732</v>
      </c>
      <c r="BI7" s="43">
        <f t="shared" ref="BI7:BI16" si="46">BH7*BG7*$F$59/100</f>
        <v>7.2288719999999987E-2</v>
      </c>
      <c r="BJ7" s="82">
        <f>($D$60-BI7)/$D$62</f>
        <v>0.62543934922141475</v>
      </c>
      <c r="BK7" s="13">
        <v>15.5</v>
      </c>
      <c r="BL7" s="9">
        <v>0.29410000000000003</v>
      </c>
      <c r="BM7" s="43">
        <f t="shared" ref="BM7:BM16" si="47">BL7*BK7*$F$59/100</f>
        <v>8.6156595000000002E-2</v>
      </c>
      <c r="BN7" s="82">
        <f t="shared" ref="BN7:BN16" si="48">($D$60-BM7)/$D$62</f>
        <v>0.51186792374562962</v>
      </c>
      <c r="BO7" s="13">
        <v>14.5</v>
      </c>
      <c r="BP7" s="9">
        <v>0.29260000000000003</v>
      </c>
      <c r="BQ7" s="43">
        <f t="shared" ref="BQ7:BQ16" si="49">BP7*BO7*$F$59/100</f>
        <v>8.0187030000000006E-2</v>
      </c>
      <c r="BR7" s="82">
        <f t="shared" ref="BR7:BR16" si="50">($D$60-BQ7)/$D$62</f>
        <v>0.56075587568638152</v>
      </c>
      <c r="BS7" s="13">
        <v>11.2</v>
      </c>
      <c r="BT7" s="9">
        <v>0.36310000000000003</v>
      </c>
      <c r="BU7" s="43">
        <f t="shared" ref="BU7:BU16" si="51">BT7*BS7*$F$59/100</f>
        <v>7.6861008000000008E-2</v>
      </c>
      <c r="BV7" s="82">
        <f t="shared" ref="BV7:BV16" si="52">($D$60-BU7)/$D$62</f>
        <v>0.5879944439388225</v>
      </c>
      <c r="BW7" s="13">
        <v>17.7</v>
      </c>
      <c r="BX7" s="9">
        <v>0.32659999999999995</v>
      </c>
      <c r="BY7" s="43">
        <f t="shared" ref="BY7:BY16" si="53">BX7*BW7*$F$59/100</f>
        <v>0.10925749799999997</v>
      </c>
      <c r="BZ7" s="82">
        <f t="shared" ref="BZ7:BZ16" si="54">($D$60-BY7)/$D$62</f>
        <v>0.32268230709651557</v>
      </c>
      <c r="CA7" s="13">
        <v>14</v>
      </c>
      <c r="CB7" s="9">
        <v>0.30210000000000004</v>
      </c>
      <c r="CC7" s="43">
        <f t="shared" ref="CC7:CC16" si="55">CB7*CA7*$F$59/100</f>
        <v>7.9935659999999992E-2</v>
      </c>
      <c r="CD7" s="82">
        <f t="shared" ref="CD7:CD16" si="56">($D$60-CC7)/$D$62</f>
        <v>0.56281447869670931</v>
      </c>
      <c r="CE7" s="13">
        <v>11.1</v>
      </c>
      <c r="CF7" s="9">
        <v>0.40619999999999995</v>
      </c>
      <c r="CG7" s="43">
        <f t="shared" ref="CG7:CG16" si="57">CF7*CE7*$F$59/100</f>
        <v>8.521669799999998E-2</v>
      </c>
      <c r="CH7" s="82">
        <f t="shared" ref="CH7:CH16" si="58">($D$60-CG7)/$D$62</f>
        <v>0.51956524161808071</v>
      </c>
      <c r="CI7" s="13">
        <v>11.8</v>
      </c>
      <c r="CJ7" s="9">
        <v>0.3972</v>
      </c>
      <c r="CK7" s="43">
        <f t="shared" ref="CK7:CK16" si="59">CJ7*CI7*$F$59/100</f>
        <v>8.8583544E-2</v>
      </c>
      <c r="CL7" s="82">
        <f t="shared" ref="CL7:CL16" si="60">($D$60-CK7)/$D$62</f>
        <v>0.49199234385418772</v>
      </c>
    </row>
    <row r="8" spans="1:90" hidden="1">
      <c r="A8" s="77">
        <f t="shared" ref="A8:A33" si="61">A7+1</f>
        <v>1972</v>
      </c>
      <c r="B8" s="122">
        <f t="shared" si="0"/>
        <v>13</v>
      </c>
      <c r="C8" s="122">
        <f t="shared" si="0"/>
        <v>31.56</v>
      </c>
      <c r="D8" s="244">
        <f t="shared" ref="D8:D16" si="62">C8*B8*$F$59/100</f>
        <v>7.7542919999999995</v>
      </c>
      <c r="E8" s="244">
        <f t="shared" si="1"/>
        <v>-62.286583078097522</v>
      </c>
      <c r="F8" s="122">
        <f t="shared" si="2"/>
        <v>28</v>
      </c>
      <c r="G8" s="122">
        <f t="shared" si="3"/>
        <v>27.25</v>
      </c>
      <c r="H8" s="244">
        <f t="shared" si="4"/>
        <v>14.4207</v>
      </c>
      <c r="I8" s="372">
        <f t="shared" si="5"/>
        <v>-116.88135404071268</v>
      </c>
      <c r="J8" s="122">
        <f t="shared" si="6"/>
        <v>23.4</v>
      </c>
      <c r="K8" s="122">
        <f t="shared" si="7"/>
        <v>27.63</v>
      </c>
      <c r="L8" s="244">
        <f t="shared" si="8"/>
        <v>12.219643799999998</v>
      </c>
      <c r="M8" s="371">
        <f t="shared" si="9"/>
        <v>-98.855730779303514</v>
      </c>
      <c r="N8" s="122">
        <f t="shared" si="10"/>
        <v>18.5</v>
      </c>
      <c r="O8" s="122">
        <f t="shared" si="11"/>
        <v>24.4</v>
      </c>
      <c r="P8" s="244">
        <f t="shared" si="12"/>
        <v>8.5314599999999992</v>
      </c>
      <c r="Q8" s="372">
        <f t="shared" ref="Q8:Q39" si="63">(D$60-P8)/D$62</f>
        <v>-68.651226370178307</v>
      </c>
      <c r="R8" s="122">
        <f t="shared" si="13"/>
        <v>20.3</v>
      </c>
      <c r="S8" s="122">
        <f t="shared" si="14"/>
        <v>26.41</v>
      </c>
      <c r="T8" s="244">
        <f t="shared" si="15"/>
        <v>10.132724700000001</v>
      </c>
      <c r="U8" s="372">
        <f t="shared" si="16"/>
        <v>-81.764837110328131</v>
      </c>
      <c r="V8" s="122">
        <f t="shared" si="17"/>
        <v>13.3</v>
      </c>
      <c r="W8" s="122">
        <f t="shared" si="18"/>
        <v>27.5</v>
      </c>
      <c r="X8" s="244">
        <f t="shared" si="19"/>
        <v>6.9126749999999992</v>
      </c>
      <c r="Y8" s="372">
        <f t="shared" si="20"/>
        <v>-55.394132548030463</v>
      </c>
      <c r="Z8" s="122">
        <f t="shared" si="21"/>
        <v>10.5</v>
      </c>
      <c r="AA8" s="122">
        <f t="shared" si="22"/>
        <v>34.83</v>
      </c>
      <c r="AB8" s="244">
        <f t="shared" si="23"/>
        <v>6.9120134999999996</v>
      </c>
      <c r="AC8" s="372">
        <f t="shared" si="24"/>
        <v>-55.388715171687494</v>
      </c>
      <c r="AD8" s="122">
        <f t="shared" si="25"/>
        <v>16.8</v>
      </c>
      <c r="AE8" s="122">
        <f t="shared" si="26"/>
        <v>31.99</v>
      </c>
      <c r="AF8" s="244">
        <f t="shared" si="27"/>
        <v>10.1574648</v>
      </c>
      <c r="AG8" s="372">
        <f t="shared" si="28"/>
        <v>-81.967446985555114</v>
      </c>
      <c r="AH8" s="122">
        <f t="shared" si="29"/>
        <v>18.399999999999999</v>
      </c>
      <c r="AI8" s="122">
        <f t="shared" si="30"/>
        <v>29.62</v>
      </c>
      <c r="AJ8" s="244">
        <f t="shared" si="31"/>
        <v>10.300651199999997</v>
      </c>
      <c r="AK8" s="372">
        <f t="shared" si="32"/>
        <v>-83.140076790535744</v>
      </c>
      <c r="AL8" s="122">
        <f t="shared" si="33"/>
        <v>11.1</v>
      </c>
      <c r="AM8" s="122">
        <f t="shared" si="34"/>
        <v>41.24</v>
      </c>
      <c r="AN8" s="244">
        <f t="shared" si="35"/>
        <v>8.6517395999999991</v>
      </c>
      <c r="AO8" s="372">
        <f t="shared" si="36"/>
        <v>-69.63626017151104</v>
      </c>
      <c r="AP8" s="122">
        <f t="shared" si="37"/>
        <v>11.2</v>
      </c>
      <c r="AQ8" s="122">
        <f t="shared" si="38"/>
        <v>36.549999999999997</v>
      </c>
      <c r="AR8" s="244">
        <f t="shared" si="39"/>
        <v>7.7369039999999982</v>
      </c>
      <c r="AS8" s="372">
        <f t="shared" si="40"/>
        <v>-62.144183471368073</v>
      </c>
      <c r="AT8" s="86"/>
      <c r="AU8" s="13">
        <v>13</v>
      </c>
      <c r="AV8" s="9">
        <v>0.33490000000000003</v>
      </c>
      <c r="AW8" s="43">
        <f t="shared" ref="AW8:AW16" si="64">AV8*AU8*$F$59/100</f>
        <v>8.2284930000000006E-2</v>
      </c>
      <c r="AX8" s="43">
        <f t="shared" si="41"/>
        <v>0.35235478404719817</v>
      </c>
      <c r="AY8" s="13">
        <v>19</v>
      </c>
      <c r="AZ8" s="9">
        <v>0.30370000000000003</v>
      </c>
      <c r="BA8" s="43">
        <f t="shared" si="42"/>
        <v>0.10905867000000001</v>
      </c>
      <c r="BB8" s="82">
        <f t="shared" si="43"/>
        <v>9.3123584073549467E-2</v>
      </c>
      <c r="BC8" s="13">
        <v>15.2</v>
      </c>
      <c r="BD8" s="9">
        <v>0.31090000000000001</v>
      </c>
      <c r="BE8" s="43">
        <f t="shared" si="44"/>
        <v>8.9315351999999987E-2</v>
      </c>
      <c r="BF8" s="83">
        <f t="shared" si="45"/>
        <v>0.2842841771248506</v>
      </c>
      <c r="BG8" s="13">
        <v>14</v>
      </c>
      <c r="BH8" s="9">
        <v>0.2732</v>
      </c>
      <c r="BI8" s="43">
        <f t="shared" si="46"/>
        <v>7.2288719999999987E-2</v>
      </c>
      <c r="BJ8" s="82">
        <f t="shared" ref="BJ8:BJ16" si="65">(AW$60-BI8)/AW$62</f>
        <v>0.44914101986963428</v>
      </c>
      <c r="BK8" s="13">
        <v>15.5</v>
      </c>
      <c r="BL8" s="9">
        <v>0.29410000000000003</v>
      </c>
      <c r="BM8" s="43">
        <f t="shared" si="47"/>
        <v>8.6156595000000002E-2</v>
      </c>
      <c r="BN8" s="82">
        <f t="shared" si="48"/>
        <v>0.51186792374562962</v>
      </c>
      <c r="BO8" s="13">
        <v>14.5</v>
      </c>
      <c r="BP8" s="9">
        <v>0.29260000000000003</v>
      </c>
      <c r="BQ8" s="43">
        <f t="shared" si="49"/>
        <v>8.0187030000000006E-2</v>
      </c>
      <c r="BR8" s="82">
        <f t="shared" si="50"/>
        <v>0.56075587568638152</v>
      </c>
      <c r="BS8" s="13">
        <v>11.2</v>
      </c>
      <c r="BT8" s="9">
        <v>0.36310000000000003</v>
      </c>
      <c r="BU8" s="43">
        <f t="shared" si="51"/>
        <v>7.6861008000000008E-2</v>
      </c>
      <c r="BV8" s="82">
        <f t="shared" si="52"/>
        <v>0.5879944439388225</v>
      </c>
      <c r="BW8" s="13">
        <v>17.7</v>
      </c>
      <c r="BX8" s="9">
        <v>0.32659999999999995</v>
      </c>
      <c r="BY8" s="43">
        <f t="shared" si="53"/>
        <v>0.10925749799999997</v>
      </c>
      <c r="BZ8" s="82">
        <f t="shared" si="54"/>
        <v>0.32268230709651557</v>
      </c>
      <c r="CA8" s="13">
        <v>14</v>
      </c>
      <c r="CB8" s="9">
        <v>0.30210000000000004</v>
      </c>
      <c r="CC8" s="43">
        <f t="shared" si="55"/>
        <v>7.9935659999999992E-2</v>
      </c>
      <c r="CD8" s="82">
        <f t="shared" si="56"/>
        <v>0.56281447869670931</v>
      </c>
      <c r="CE8" s="13">
        <v>11.1</v>
      </c>
      <c r="CF8" s="9">
        <v>0.40619999999999995</v>
      </c>
      <c r="CG8" s="43">
        <f t="shared" si="57"/>
        <v>8.521669799999998E-2</v>
      </c>
      <c r="CH8" s="82">
        <f t="shared" si="58"/>
        <v>0.51956524161808071</v>
      </c>
      <c r="CI8" s="13">
        <v>11.8</v>
      </c>
      <c r="CJ8" s="9">
        <v>0.3972</v>
      </c>
      <c r="CK8" s="43">
        <f t="shared" si="59"/>
        <v>8.8583544E-2</v>
      </c>
      <c r="CL8" s="82">
        <f t="shared" si="60"/>
        <v>0.49199234385418772</v>
      </c>
    </row>
    <row r="9" spans="1:90" hidden="1">
      <c r="A9" s="77">
        <f t="shared" si="61"/>
        <v>1973</v>
      </c>
      <c r="B9" s="122">
        <f t="shared" si="0"/>
        <v>13</v>
      </c>
      <c r="C9" s="122">
        <f t="shared" si="0"/>
        <v>31.56</v>
      </c>
      <c r="D9" s="244">
        <f t="shared" si="62"/>
        <v>7.7542919999999995</v>
      </c>
      <c r="E9" s="244">
        <f t="shared" si="1"/>
        <v>-62.286583078097522</v>
      </c>
      <c r="F9" s="122">
        <f t="shared" si="2"/>
        <v>28</v>
      </c>
      <c r="G9" s="122">
        <f t="shared" si="3"/>
        <v>27.25</v>
      </c>
      <c r="H9" s="244">
        <f t="shared" si="4"/>
        <v>14.4207</v>
      </c>
      <c r="I9" s="372">
        <f t="shared" si="5"/>
        <v>-116.88135404071268</v>
      </c>
      <c r="J9" s="122">
        <f t="shared" si="6"/>
        <v>23.4</v>
      </c>
      <c r="K9" s="122">
        <f t="shared" si="7"/>
        <v>27.63</v>
      </c>
      <c r="L9" s="244">
        <f t="shared" si="8"/>
        <v>12.219643799999998</v>
      </c>
      <c r="M9" s="371">
        <f t="shared" si="9"/>
        <v>-98.855730779303514</v>
      </c>
      <c r="N9" s="122">
        <f t="shared" si="10"/>
        <v>18.5</v>
      </c>
      <c r="O9" s="122">
        <f t="shared" si="11"/>
        <v>24.4</v>
      </c>
      <c r="P9" s="244">
        <f t="shared" si="12"/>
        <v>8.5314599999999992</v>
      </c>
      <c r="Q9" s="372">
        <f t="shared" si="63"/>
        <v>-68.651226370178307</v>
      </c>
      <c r="R9" s="122">
        <f t="shared" si="13"/>
        <v>20.3</v>
      </c>
      <c r="S9" s="122">
        <f t="shared" si="14"/>
        <v>26.41</v>
      </c>
      <c r="T9" s="244">
        <f t="shared" si="15"/>
        <v>10.132724700000001</v>
      </c>
      <c r="U9" s="372">
        <f t="shared" si="16"/>
        <v>-81.764837110328131</v>
      </c>
      <c r="V9" s="122">
        <f t="shared" si="17"/>
        <v>13.3</v>
      </c>
      <c r="W9" s="122">
        <f t="shared" si="18"/>
        <v>27.5</v>
      </c>
      <c r="X9" s="244">
        <f t="shared" si="19"/>
        <v>6.9126749999999992</v>
      </c>
      <c r="Y9" s="372">
        <f t="shared" si="20"/>
        <v>-55.394132548030463</v>
      </c>
      <c r="Z9" s="122">
        <f t="shared" si="21"/>
        <v>10.5</v>
      </c>
      <c r="AA9" s="122">
        <f t="shared" si="22"/>
        <v>34.83</v>
      </c>
      <c r="AB9" s="244">
        <f t="shared" si="23"/>
        <v>6.9120134999999996</v>
      </c>
      <c r="AC9" s="372">
        <f t="shared" si="24"/>
        <v>-55.388715171687494</v>
      </c>
      <c r="AD9" s="122">
        <f t="shared" si="25"/>
        <v>16.8</v>
      </c>
      <c r="AE9" s="122">
        <f t="shared" si="26"/>
        <v>31.99</v>
      </c>
      <c r="AF9" s="244">
        <f t="shared" si="27"/>
        <v>10.1574648</v>
      </c>
      <c r="AG9" s="372">
        <f t="shared" si="28"/>
        <v>-81.967446985555114</v>
      </c>
      <c r="AH9" s="122">
        <f t="shared" si="29"/>
        <v>18.399999999999999</v>
      </c>
      <c r="AI9" s="122">
        <f t="shared" si="30"/>
        <v>29.62</v>
      </c>
      <c r="AJ9" s="244">
        <f t="shared" si="31"/>
        <v>10.300651199999997</v>
      </c>
      <c r="AK9" s="372">
        <f t="shared" si="32"/>
        <v>-83.140076790535744</v>
      </c>
      <c r="AL9" s="122">
        <f t="shared" si="33"/>
        <v>11.1</v>
      </c>
      <c r="AM9" s="122">
        <f t="shared" si="34"/>
        <v>41.24</v>
      </c>
      <c r="AN9" s="244">
        <f t="shared" si="35"/>
        <v>8.6517395999999991</v>
      </c>
      <c r="AO9" s="372">
        <f t="shared" si="36"/>
        <v>-69.63626017151104</v>
      </c>
      <c r="AP9" s="122">
        <f t="shared" si="37"/>
        <v>11.2</v>
      </c>
      <c r="AQ9" s="122">
        <f t="shared" si="38"/>
        <v>36.549999999999997</v>
      </c>
      <c r="AR9" s="244">
        <f t="shared" si="39"/>
        <v>7.7369039999999982</v>
      </c>
      <c r="AS9" s="372">
        <f t="shared" si="40"/>
        <v>-62.144183471368073</v>
      </c>
      <c r="AT9" s="86"/>
      <c r="AU9" s="13">
        <v>13</v>
      </c>
      <c r="AV9" s="9">
        <v>0.33490000000000003</v>
      </c>
      <c r="AW9" s="43">
        <f t="shared" si="64"/>
        <v>8.2284930000000006E-2</v>
      </c>
      <c r="AX9" s="43">
        <f t="shared" si="41"/>
        <v>0.35235478404719817</v>
      </c>
      <c r="AY9" s="13">
        <v>19</v>
      </c>
      <c r="AZ9" s="9">
        <v>0.30370000000000003</v>
      </c>
      <c r="BA9" s="43">
        <f t="shared" si="42"/>
        <v>0.10905867000000001</v>
      </c>
      <c r="BB9" s="82">
        <f t="shared" si="43"/>
        <v>9.3123584073549467E-2</v>
      </c>
      <c r="BC9" s="13">
        <v>15.2</v>
      </c>
      <c r="BD9" s="9">
        <v>0.31090000000000001</v>
      </c>
      <c r="BE9" s="43">
        <f t="shared" si="44"/>
        <v>8.9315351999999987E-2</v>
      </c>
      <c r="BF9" s="83">
        <f t="shared" si="45"/>
        <v>0.2842841771248506</v>
      </c>
      <c r="BG9" s="13">
        <v>14</v>
      </c>
      <c r="BH9" s="9">
        <v>0.2732</v>
      </c>
      <c r="BI9" s="43">
        <f t="shared" si="46"/>
        <v>7.2288719999999987E-2</v>
      </c>
      <c r="BJ9" s="82">
        <f t="shared" si="65"/>
        <v>0.44914101986963428</v>
      </c>
      <c r="BK9" s="13">
        <v>15.5</v>
      </c>
      <c r="BL9" s="9">
        <v>0.29410000000000003</v>
      </c>
      <c r="BM9" s="43">
        <f t="shared" si="47"/>
        <v>8.6156595000000002E-2</v>
      </c>
      <c r="BN9" s="82">
        <f t="shared" si="48"/>
        <v>0.51186792374562962</v>
      </c>
      <c r="BO9" s="13">
        <v>14.5</v>
      </c>
      <c r="BP9" s="9">
        <v>0.29260000000000003</v>
      </c>
      <c r="BQ9" s="43">
        <f t="shared" si="49"/>
        <v>8.0187030000000006E-2</v>
      </c>
      <c r="BR9" s="82">
        <f t="shared" si="50"/>
        <v>0.56075587568638152</v>
      </c>
      <c r="BS9" s="13">
        <v>11.2</v>
      </c>
      <c r="BT9" s="9">
        <v>0.36310000000000003</v>
      </c>
      <c r="BU9" s="43">
        <f t="shared" si="51"/>
        <v>7.6861008000000008E-2</v>
      </c>
      <c r="BV9" s="82">
        <f t="shared" si="52"/>
        <v>0.5879944439388225</v>
      </c>
      <c r="BW9" s="13">
        <v>17.7</v>
      </c>
      <c r="BX9" s="9">
        <v>0.32659999999999995</v>
      </c>
      <c r="BY9" s="43">
        <f t="shared" si="53"/>
        <v>0.10925749799999997</v>
      </c>
      <c r="BZ9" s="82">
        <f t="shared" si="54"/>
        <v>0.32268230709651557</v>
      </c>
      <c r="CA9" s="13">
        <v>14</v>
      </c>
      <c r="CB9" s="9">
        <v>0.30210000000000004</v>
      </c>
      <c r="CC9" s="43">
        <f t="shared" si="55"/>
        <v>7.9935659999999992E-2</v>
      </c>
      <c r="CD9" s="82">
        <f t="shared" si="56"/>
        <v>0.56281447869670931</v>
      </c>
      <c r="CE9" s="13">
        <v>11.1</v>
      </c>
      <c r="CF9" s="9">
        <v>0.40619999999999995</v>
      </c>
      <c r="CG9" s="43">
        <f t="shared" si="57"/>
        <v>8.521669799999998E-2</v>
      </c>
      <c r="CH9" s="82">
        <f t="shared" si="58"/>
        <v>0.51956524161808071</v>
      </c>
      <c r="CI9" s="13">
        <v>11.8</v>
      </c>
      <c r="CJ9" s="9">
        <v>0.3972</v>
      </c>
      <c r="CK9" s="43">
        <f t="shared" si="59"/>
        <v>8.8583544E-2</v>
      </c>
      <c r="CL9" s="82">
        <f t="shared" si="60"/>
        <v>0.49199234385418772</v>
      </c>
    </row>
    <row r="10" spans="1:90" hidden="1">
      <c r="A10" s="77">
        <f t="shared" si="61"/>
        <v>1974</v>
      </c>
      <c r="B10" s="122">
        <f t="shared" si="0"/>
        <v>13</v>
      </c>
      <c r="C10" s="122">
        <f t="shared" si="0"/>
        <v>31.56</v>
      </c>
      <c r="D10" s="244">
        <f t="shared" si="62"/>
        <v>7.7542919999999995</v>
      </c>
      <c r="E10" s="244">
        <f t="shared" si="1"/>
        <v>-62.286583078097522</v>
      </c>
      <c r="F10" s="122">
        <f t="shared" si="2"/>
        <v>28</v>
      </c>
      <c r="G10" s="122">
        <f t="shared" si="3"/>
        <v>27.25</v>
      </c>
      <c r="H10" s="244">
        <f t="shared" si="4"/>
        <v>14.4207</v>
      </c>
      <c r="I10" s="372">
        <f t="shared" si="5"/>
        <v>-116.88135404071268</v>
      </c>
      <c r="J10" s="122">
        <f t="shared" si="6"/>
        <v>23.4</v>
      </c>
      <c r="K10" s="122">
        <f t="shared" si="7"/>
        <v>27.63</v>
      </c>
      <c r="L10" s="244">
        <f t="shared" si="8"/>
        <v>12.219643799999998</v>
      </c>
      <c r="M10" s="371">
        <f t="shared" si="9"/>
        <v>-98.855730779303514</v>
      </c>
      <c r="N10" s="122">
        <f t="shared" si="10"/>
        <v>18.5</v>
      </c>
      <c r="O10" s="122">
        <f t="shared" si="11"/>
        <v>24.4</v>
      </c>
      <c r="P10" s="244">
        <f t="shared" si="12"/>
        <v>8.5314599999999992</v>
      </c>
      <c r="Q10" s="372">
        <f t="shared" si="63"/>
        <v>-68.651226370178307</v>
      </c>
      <c r="R10" s="122">
        <f t="shared" si="13"/>
        <v>20.3</v>
      </c>
      <c r="S10" s="122">
        <f t="shared" si="14"/>
        <v>26.41</v>
      </c>
      <c r="T10" s="244">
        <f t="shared" si="15"/>
        <v>10.132724700000001</v>
      </c>
      <c r="U10" s="372">
        <f t="shared" si="16"/>
        <v>-81.764837110328131</v>
      </c>
      <c r="V10" s="122">
        <f t="shared" si="17"/>
        <v>13.3</v>
      </c>
      <c r="W10" s="122">
        <f t="shared" si="18"/>
        <v>27.5</v>
      </c>
      <c r="X10" s="244">
        <f t="shared" si="19"/>
        <v>6.9126749999999992</v>
      </c>
      <c r="Y10" s="372">
        <f t="shared" si="20"/>
        <v>-55.394132548030463</v>
      </c>
      <c r="Z10" s="122">
        <f t="shared" si="21"/>
        <v>10.5</v>
      </c>
      <c r="AA10" s="122">
        <f t="shared" si="22"/>
        <v>34.83</v>
      </c>
      <c r="AB10" s="244">
        <f t="shared" si="23"/>
        <v>6.9120134999999996</v>
      </c>
      <c r="AC10" s="372">
        <f t="shared" si="24"/>
        <v>-55.388715171687494</v>
      </c>
      <c r="AD10" s="122">
        <f t="shared" si="25"/>
        <v>16.8</v>
      </c>
      <c r="AE10" s="122">
        <f t="shared" si="26"/>
        <v>31.99</v>
      </c>
      <c r="AF10" s="244">
        <f t="shared" si="27"/>
        <v>10.1574648</v>
      </c>
      <c r="AG10" s="372">
        <f t="shared" si="28"/>
        <v>-81.967446985555114</v>
      </c>
      <c r="AH10" s="122">
        <f t="shared" si="29"/>
        <v>18.399999999999999</v>
      </c>
      <c r="AI10" s="122">
        <f t="shared" si="30"/>
        <v>29.62</v>
      </c>
      <c r="AJ10" s="244">
        <f t="shared" si="31"/>
        <v>10.300651199999997</v>
      </c>
      <c r="AK10" s="372">
        <f t="shared" si="32"/>
        <v>-83.140076790535744</v>
      </c>
      <c r="AL10" s="122">
        <f t="shared" si="33"/>
        <v>11.1</v>
      </c>
      <c r="AM10" s="122">
        <f t="shared" si="34"/>
        <v>41.24</v>
      </c>
      <c r="AN10" s="244">
        <f t="shared" si="35"/>
        <v>8.6517395999999991</v>
      </c>
      <c r="AO10" s="372">
        <f t="shared" si="36"/>
        <v>-69.63626017151104</v>
      </c>
      <c r="AP10" s="122">
        <f t="shared" si="37"/>
        <v>11.2</v>
      </c>
      <c r="AQ10" s="122">
        <f t="shared" si="38"/>
        <v>36.549999999999997</v>
      </c>
      <c r="AR10" s="244">
        <f t="shared" si="39"/>
        <v>7.7369039999999982</v>
      </c>
      <c r="AS10" s="372">
        <f t="shared" si="40"/>
        <v>-62.144183471368073</v>
      </c>
      <c r="AT10" s="86"/>
      <c r="AU10" s="13">
        <v>13</v>
      </c>
      <c r="AV10" s="9">
        <v>0.33490000000000003</v>
      </c>
      <c r="AW10" s="43">
        <f t="shared" si="64"/>
        <v>8.2284930000000006E-2</v>
      </c>
      <c r="AX10" s="43">
        <f t="shared" si="41"/>
        <v>0.35235478404719817</v>
      </c>
      <c r="AY10" s="13">
        <v>19</v>
      </c>
      <c r="AZ10" s="9">
        <v>0.30370000000000003</v>
      </c>
      <c r="BA10" s="43">
        <f t="shared" si="42"/>
        <v>0.10905867000000001</v>
      </c>
      <c r="BB10" s="82">
        <f t="shared" si="43"/>
        <v>9.3123584073549467E-2</v>
      </c>
      <c r="BC10" s="13">
        <v>15.2</v>
      </c>
      <c r="BD10" s="9">
        <v>0.31090000000000001</v>
      </c>
      <c r="BE10" s="43">
        <f t="shared" si="44"/>
        <v>8.9315351999999987E-2</v>
      </c>
      <c r="BF10" s="83">
        <f t="shared" si="45"/>
        <v>0.2842841771248506</v>
      </c>
      <c r="BG10" s="13">
        <v>14</v>
      </c>
      <c r="BH10" s="9">
        <v>0.2732</v>
      </c>
      <c r="BI10" s="43">
        <f t="shared" si="46"/>
        <v>7.2288719999999987E-2</v>
      </c>
      <c r="BJ10" s="82">
        <f t="shared" si="65"/>
        <v>0.44914101986963428</v>
      </c>
      <c r="BK10" s="13">
        <v>15.5</v>
      </c>
      <c r="BL10" s="9">
        <v>0.29410000000000003</v>
      </c>
      <c r="BM10" s="43">
        <f t="shared" si="47"/>
        <v>8.6156595000000002E-2</v>
      </c>
      <c r="BN10" s="82">
        <f t="shared" si="48"/>
        <v>0.51186792374562962</v>
      </c>
      <c r="BO10" s="13">
        <v>14.5</v>
      </c>
      <c r="BP10" s="9">
        <v>0.29260000000000003</v>
      </c>
      <c r="BQ10" s="43">
        <f t="shared" si="49"/>
        <v>8.0187030000000006E-2</v>
      </c>
      <c r="BR10" s="82">
        <f t="shared" si="50"/>
        <v>0.56075587568638152</v>
      </c>
      <c r="BS10" s="13">
        <v>11.2</v>
      </c>
      <c r="BT10" s="9">
        <v>0.36310000000000003</v>
      </c>
      <c r="BU10" s="43">
        <f t="shared" si="51"/>
        <v>7.6861008000000008E-2</v>
      </c>
      <c r="BV10" s="82">
        <f t="shared" si="52"/>
        <v>0.5879944439388225</v>
      </c>
      <c r="BW10" s="13">
        <v>17.7</v>
      </c>
      <c r="BX10" s="9">
        <v>0.32659999999999995</v>
      </c>
      <c r="BY10" s="43">
        <f t="shared" si="53"/>
        <v>0.10925749799999997</v>
      </c>
      <c r="BZ10" s="82">
        <f t="shared" si="54"/>
        <v>0.32268230709651557</v>
      </c>
      <c r="CA10" s="13">
        <v>14</v>
      </c>
      <c r="CB10" s="9">
        <v>0.30210000000000004</v>
      </c>
      <c r="CC10" s="43">
        <f t="shared" si="55"/>
        <v>7.9935659999999992E-2</v>
      </c>
      <c r="CD10" s="82">
        <f t="shared" si="56"/>
        <v>0.56281447869670931</v>
      </c>
      <c r="CE10" s="13">
        <v>11.1</v>
      </c>
      <c r="CF10" s="9">
        <v>0.40619999999999995</v>
      </c>
      <c r="CG10" s="43">
        <f t="shared" si="57"/>
        <v>8.521669799999998E-2</v>
      </c>
      <c r="CH10" s="82">
        <f t="shared" si="58"/>
        <v>0.51956524161808071</v>
      </c>
      <c r="CI10" s="13">
        <v>11.8</v>
      </c>
      <c r="CJ10" s="9">
        <v>0.3972</v>
      </c>
      <c r="CK10" s="43">
        <f t="shared" si="59"/>
        <v>8.8583544E-2</v>
      </c>
      <c r="CL10" s="82">
        <f t="shared" si="60"/>
        <v>0.49199234385418772</v>
      </c>
    </row>
    <row r="11" spans="1:90" hidden="1">
      <c r="A11" s="77">
        <f t="shared" si="61"/>
        <v>1975</v>
      </c>
      <c r="B11" s="122">
        <f>B12</f>
        <v>13</v>
      </c>
      <c r="C11" s="122">
        <f>C12</f>
        <v>31.56</v>
      </c>
      <c r="D11" s="244">
        <f t="shared" si="62"/>
        <v>7.7542919999999995</v>
      </c>
      <c r="E11" s="244">
        <f t="shared" si="1"/>
        <v>-62.286583078097522</v>
      </c>
      <c r="F11" s="122">
        <f>F12</f>
        <v>28</v>
      </c>
      <c r="G11" s="122">
        <f>G12</f>
        <v>27.25</v>
      </c>
      <c r="H11" s="244">
        <f t="shared" si="4"/>
        <v>14.4207</v>
      </c>
      <c r="I11" s="372">
        <f t="shared" si="5"/>
        <v>-116.88135404071268</v>
      </c>
      <c r="J11" s="122">
        <f>J12</f>
        <v>23.4</v>
      </c>
      <c r="K11" s="122">
        <f>K12</f>
        <v>27.63</v>
      </c>
      <c r="L11" s="244">
        <f t="shared" si="8"/>
        <v>12.219643799999998</v>
      </c>
      <c r="M11" s="371">
        <f t="shared" si="9"/>
        <v>-98.855730779303514</v>
      </c>
      <c r="N11" s="122">
        <f>N12</f>
        <v>18.5</v>
      </c>
      <c r="O11" s="122">
        <f>O12</f>
        <v>24.4</v>
      </c>
      <c r="P11" s="244">
        <f t="shared" si="12"/>
        <v>8.5314599999999992</v>
      </c>
      <c r="Q11" s="372">
        <f t="shared" si="63"/>
        <v>-68.651226370178307</v>
      </c>
      <c r="R11" s="122">
        <f>R12</f>
        <v>20.3</v>
      </c>
      <c r="S11" s="122">
        <f>S12</f>
        <v>26.41</v>
      </c>
      <c r="T11" s="244">
        <f t="shared" si="15"/>
        <v>10.132724700000001</v>
      </c>
      <c r="U11" s="372">
        <f t="shared" si="16"/>
        <v>-81.764837110328131</v>
      </c>
      <c r="V11" s="122">
        <f>V12</f>
        <v>13.3</v>
      </c>
      <c r="W11" s="122">
        <f>W12</f>
        <v>27.5</v>
      </c>
      <c r="X11" s="244">
        <f t="shared" si="19"/>
        <v>6.9126749999999992</v>
      </c>
      <c r="Y11" s="372">
        <f t="shared" si="20"/>
        <v>-55.394132548030463</v>
      </c>
      <c r="Z11" s="122">
        <f>Z12</f>
        <v>10.5</v>
      </c>
      <c r="AA11" s="122">
        <f>AA12</f>
        <v>34.83</v>
      </c>
      <c r="AB11" s="244">
        <f t="shared" si="23"/>
        <v>6.9120134999999996</v>
      </c>
      <c r="AC11" s="372">
        <f t="shared" si="24"/>
        <v>-55.388715171687494</v>
      </c>
      <c r="AD11" s="122">
        <f>AD12</f>
        <v>16.8</v>
      </c>
      <c r="AE11" s="122">
        <f>AE12</f>
        <v>31.99</v>
      </c>
      <c r="AF11" s="244">
        <f t="shared" si="27"/>
        <v>10.1574648</v>
      </c>
      <c r="AG11" s="372">
        <f t="shared" si="28"/>
        <v>-81.967446985555114</v>
      </c>
      <c r="AH11" s="122">
        <f>AH12</f>
        <v>18.399999999999999</v>
      </c>
      <c r="AI11" s="122">
        <f>AI12</f>
        <v>29.62</v>
      </c>
      <c r="AJ11" s="244">
        <f t="shared" si="31"/>
        <v>10.300651199999997</v>
      </c>
      <c r="AK11" s="372">
        <f t="shared" si="32"/>
        <v>-83.140076790535744</v>
      </c>
      <c r="AL11" s="122">
        <f>AL12</f>
        <v>11.1</v>
      </c>
      <c r="AM11" s="122">
        <f>AM12</f>
        <v>41.24</v>
      </c>
      <c r="AN11" s="244">
        <f t="shared" si="35"/>
        <v>8.6517395999999991</v>
      </c>
      <c r="AO11" s="372">
        <f t="shared" si="36"/>
        <v>-69.63626017151104</v>
      </c>
      <c r="AP11" s="122">
        <f>AP12</f>
        <v>11.2</v>
      </c>
      <c r="AQ11" s="122">
        <f>AQ12</f>
        <v>36.549999999999997</v>
      </c>
      <c r="AR11" s="244">
        <f t="shared" si="39"/>
        <v>7.7369039999999982</v>
      </c>
      <c r="AS11" s="372">
        <f t="shared" si="40"/>
        <v>-62.144183471368073</v>
      </c>
      <c r="AT11" s="86"/>
      <c r="AU11" s="13">
        <v>13</v>
      </c>
      <c r="AV11" s="9">
        <v>0.33490000000000003</v>
      </c>
      <c r="AW11" s="43">
        <f t="shared" si="64"/>
        <v>8.2284930000000006E-2</v>
      </c>
      <c r="AX11" s="43">
        <f t="shared" si="41"/>
        <v>0.35235478404719817</v>
      </c>
      <c r="AY11" s="13">
        <v>19</v>
      </c>
      <c r="AZ11" s="9">
        <v>0.30370000000000003</v>
      </c>
      <c r="BA11" s="43">
        <f t="shared" si="42"/>
        <v>0.10905867000000001</v>
      </c>
      <c r="BB11" s="82">
        <f t="shared" si="43"/>
        <v>9.3123584073549467E-2</v>
      </c>
      <c r="BC11" s="13">
        <v>15.2</v>
      </c>
      <c r="BD11" s="9">
        <v>0.31090000000000001</v>
      </c>
      <c r="BE11" s="43">
        <f t="shared" si="44"/>
        <v>8.9315351999999987E-2</v>
      </c>
      <c r="BF11" s="83">
        <f t="shared" si="45"/>
        <v>0.2842841771248506</v>
      </c>
      <c r="BG11" s="13">
        <v>14</v>
      </c>
      <c r="BH11" s="9">
        <v>0.2732</v>
      </c>
      <c r="BI11" s="43">
        <f t="shared" si="46"/>
        <v>7.2288719999999987E-2</v>
      </c>
      <c r="BJ11" s="82">
        <f t="shared" si="65"/>
        <v>0.44914101986963428</v>
      </c>
      <c r="BK11" s="13">
        <v>15.5</v>
      </c>
      <c r="BL11" s="9">
        <v>0.29410000000000003</v>
      </c>
      <c r="BM11" s="43">
        <f t="shared" si="47"/>
        <v>8.6156595000000002E-2</v>
      </c>
      <c r="BN11" s="82">
        <f t="shared" si="48"/>
        <v>0.51186792374562962</v>
      </c>
      <c r="BO11" s="13">
        <v>14.5</v>
      </c>
      <c r="BP11" s="9">
        <v>0.29260000000000003</v>
      </c>
      <c r="BQ11" s="43">
        <f t="shared" si="49"/>
        <v>8.0187030000000006E-2</v>
      </c>
      <c r="BR11" s="82">
        <f t="shared" si="50"/>
        <v>0.56075587568638152</v>
      </c>
      <c r="BS11" s="13">
        <v>11.2</v>
      </c>
      <c r="BT11" s="9">
        <v>0.36310000000000003</v>
      </c>
      <c r="BU11" s="43">
        <f t="shared" si="51"/>
        <v>7.6861008000000008E-2</v>
      </c>
      <c r="BV11" s="82">
        <f t="shared" si="52"/>
        <v>0.5879944439388225</v>
      </c>
      <c r="BW11" s="13">
        <v>17.7</v>
      </c>
      <c r="BX11" s="9">
        <v>0.32659999999999995</v>
      </c>
      <c r="BY11" s="43">
        <f t="shared" si="53"/>
        <v>0.10925749799999997</v>
      </c>
      <c r="BZ11" s="82">
        <f t="shared" si="54"/>
        <v>0.32268230709651557</v>
      </c>
      <c r="CA11" s="13">
        <v>14</v>
      </c>
      <c r="CB11" s="9">
        <v>0.30210000000000004</v>
      </c>
      <c r="CC11" s="43">
        <f t="shared" si="55"/>
        <v>7.9935659999999992E-2</v>
      </c>
      <c r="CD11" s="82">
        <f t="shared" si="56"/>
        <v>0.56281447869670931</v>
      </c>
      <c r="CE11" s="13">
        <v>11.1</v>
      </c>
      <c r="CF11" s="9">
        <v>0.40619999999999995</v>
      </c>
      <c r="CG11" s="43">
        <f t="shared" si="57"/>
        <v>8.521669799999998E-2</v>
      </c>
      <c r="CH11" s="82">
        <f t="shared" si="58"/>
        <v>0.51956524161808071</v>
      </c>
      <c r="CI11" s="13">
        <v>11.8</v>
      </c>
      <c r="CJ11" s="9">
        <v>0.3972</v>
      </c>
      <c r="CK11" s="43">
        <f t="shared" si="59"/>
        <v>8.8583544E-2</v>
      </c>
      <c r="CL11" s="82">
        <f t="shared" si="60"/>
        <v>0.49199234385418772</v>
      </c>
    </row>
    <row r="12" spans="1:90" hidden="1">
      <c r="A12" s="77">
        <f t="shared" si="61"/>
        <v>1976</v>
      </c>
      <c r="B12" s="13">
        <v>13</v>
      </c>
      <c r="C12" s="13">
        <v>31.56</v>
      </c>
      <c r="D12" s="43">
        <f t="shared" si="62"/>
        <v>7.7542919999999995</v>
      </c>
      <c r="E12" s="43">
        <f t="shared" si="1"/>
        <v>-62.286583078097522</v>
      </c>
      <c r="F12" s="13">
        <v>28</v>
      </c>
      <c r="G12" s="13">
        <v>27.25</v>
      </c>
      <c r="H12" s="43">
        <f t="shared" si="4"/>
        <v>14.4207</v>
      </c>
      <c r="I12" s="259">
        <f t="shared" si="5"/>
        <v>-116.88135404071268</v>
      </c>
      <c r="J12" s="13">
        <v>23.4</v>
      </c>
      <c r="K12" s="13">
        <v>27.63</v>
      </c>
      <c r="L12" s="43">
        <f t="shared" si="8"/>
        <v>12.219643799999998</v>
      </c>
      <c r="M12" s="367">
        <f t="shared" si="9"/>
        <v>-98.855730779303514</v>
      </c>
      <c r="N12" s="13">
        <v>18.5</v>
      </c>
      <c r="O12" s="13">
        <v>24.4</v>
      </c>
      <c r="P12" s="43">
        <f t="shared" si="12"/>
        <v>8.5314599999999992</v>
      </c>
      <c r="Q12" s="259">
        <f t="shared" si="63"/>
        <v>-68.651226370178307</v>
      </c>
      <c r="R12" s="13">
        <v>20.3</v>
      </c>
      <c r="S12" s="13">
        <v>26.41</v>
      </c>
      <c r="T12" s="43">
        <f t="shared" si="15"/>
        <v>10.132724700000001</v>
      </c>
      <c r="U12" s="259">
        <f t="shared" si="16"/>
        <v>-81.764837110328131</v>
      </c>
      <c r="V12" s="13">
        <v>13.3</v>
      </c>
      <c r="W12" s="13">
        <v>27.5</v>
      </c>
      <c r="X12" s="43">
        <f t="shared" si="19"/>
        <v>6.9126749999999992</v>
      </c>
      <c r="Y12" s="259">
        <f t="shared" si="20"/>
        <v>-55.394132548030463</v>
      </c>
      <c r="Z12" s="13">
        <v>10.5</v>
      </c>
      <c r="AA12" s="13">
        <v>34.83</v>
      </c>
      <c r="AB12" s="43">
        <f t="shared" si="23"/>
        <v>6.9120134999999996</v>
      </c>
      <c r="AC12" s="259">
        <f t="shared" si="24"/>
        <v>-55.388715171687494</v>
      </c>
      <c r="AD12" s="13">
        <v>16.8</v>
      </c>
      <c r="AE12" s="13">
        <v>31.99</v>
      </c>
      <c r="AF12" s="43">
        <f t="shared" si="27"/>
        <v>10.1574648</v>
      </c>
      <c r="AG12" s="259">
        <f t="shared" si="28"/>
        <v>-81.967446985555114</v>
      </c>
      <c r="AH12" s="13">
        <v>18.399999999999999</v>
      </c>
      <c r="AI12" s="13">
        <v>29.62</v>
      </c>
      <c r="AJ12" s="43">
        <f t="shared" si="31"/>
        <v>10.300651199999997</v>
      </c>
      <c r="AK12" s="259">
        <f t="shared" si="32"/>
        <v>-83.140076790535744</v>
      </c>
      <c r="AL12" s="13">
        <v>11.1</v>
      </c>
      <c r="AM12" s="13">
        <v>41.24</v>
      </c>
      <c r="AN12" s="43">
        <f t="shared" si="35"/>
        <v>8.6517395999999991</v>
      </c>
      <c r="AO12" s="259">
        <f t="shared" si="36"/>
        <v>-69.63626017151104</v>
      </c>
      <c r="AP12" s="13">
        <v>11.2</v>
      </c>
      <c r="AQ12" s="13">
        <v>36.549999999999997</v>
      </c>
      <c r="AR12" s="43">
        <f t="shared" si="39"/>
        <v>7.7369039999999982</v>
      </c>
      <c r="AS12" s="82">
        <f t="shared" si="40"/>
        <v>-62.144183471368073</v>
      </c>
      <c r="AT12" s="86"/>
      <c r="AU12" s="13">
        <v>13</v>
      </c>
      <c r="AV12" s="9">
        <v>0.33490000000000003</v>
      </c>
      <c r="AW12" s="43">
        <f t="shared" si="64"/>
        <v>8.2284930000000006E-2</v>
      </c>
      <c r="AX12" s="43">
        <f t="shared" si="41"/>
        <v>0.35235478404719817</v>
      </c>
      <c r="AY12" s="13">
        <v>19</v>
      </c>
      <c r="AZ12" s="9">
        <v>0.30370000000000003</v>
      </c>
      <c r="BA12" s="43">
        <f t="shared" si="42"/>
        <v>0.10905867000000001</v>
      </c>
      <c r="BB12" s="259">
        <f t="shared" si="43"/>
        <v>9.3123584073549467E-2</v>
      </c>
      <c r="BC12" s="13">
        <v>15.2</v>
      </c>
      <c r="BD12" s="9">
        <v>0.31090000000000001</v>
      </c>
      <c r="BE12" s="43">
        <f t="shared" si="44"/>
        <v>8.9315351999999987E-2</v>
      </c>
      <c r="BF12" s="367">
        <f t="shared" si="45"/>
        <v>0.2842841771248506</v>
      </c>
      <c r="BG12" s="13">
        <v>14</v>
      </c>
      <c r="BH12" s="9">
        <v>0.2732</v>
      </c>
      <c r="BI12" s="43">
        <f t="shared" si="46"/>
        <v>7.2288719999999987E-2</v>
      </c>
      <c r="BJ12" s="259">
        <f t="shared" si="65"/>
        <v>0.44914101986963428</v>
      </c>
      <c r="BK12" s="13">
        <v>15.5</v>
      </c>
      <c r="BL12" s="9">
        <v>0.29410000000000003</v>
      </c>
      <c r="BM12" s="43">
        <f t="shared" si="47"/>
        <v>8.6156595000000002E-2</v>
      </c>
      <c r="BN12" s="259">
        <f t="shared" si="48"/>
        <v>0.51186792374562962</v>
      </c>
      <c r="BO12" s="13">
        <v>14.5</v>
      </c>
      <c r="BP12" s="9">
        <v>0.29260000000000003</v>
      </c>
      <c r="BQ12" s="43">
        <f t="shared" si="49"/>
        <v>8.0187030000000006E-2</v>
      </c>
      <c r="BR12" s="259">
        <f t="shared" si="50"/>
        <v>0.56075587568638152</v>
      </c>
      <c r="BS12" s="13">
        <v>11.2</v>
      </c>
      <c r="BT12" s="9">
        <v>0.36310000000000003</v>
      </c>
      <c r="BU12" s="43">
        <f t="shared" si="51"/>
        <v>7.6861008000000008E-2</v>
      </c>
      <c r="BV12" s="259">
        <f t="shared" si="52"/>
        <v>0.5879944439388225</v>
      </c>
      <c r="BW12" s="13">
        <v>17.7</v>
      </c>
      <c r="BX12" s="9">
        <v>0.32659999999999995</v>
      </c>
      <c r="BY12" s="43">
        <f t="shared" si="53"/>
        <v>0.10925749799999997</v>
      </c>
      <c r="BZ12" s="259">
        <f t="shared" si="54"/>
        <v>0.32268230709651557</v>
      </c>
      <c r="CA12" s="13">
        <v>14</v>
      </c>
      <c r="CB12" s="9">
        <v>0.30210000000000004</v>
      </c>
      <c r="CC12" s="43">
        <f t="shared" si="55"/>
        <v>7.9935659999999992E-2</v>
      </c>
      <c r="CD12" s="259">
        <f t="shared" si="56"/>
        <v>0.56281447869670931</v>
      </c>
      <c r="CE12" s="13">
        <v>11.1</v>
      </c>
      <c r="CF12" s="9">
        <v>0.40619999999999995</v>
      </c>
      <c r="CG12" s="43">
        <f t="shared" si="57"/>
        <v>8.521669799999998E-2</v>
      </c>
      <c r="CH12" s="259">
        <f t="shared" si="58"/>
        <v>0.51956524161808071</v>
      </c>
      <c r="CI12" s="13">
        <v>11.8</v>
      </c>
      <c r="CJ12" s="9">
        <v>0.3972</v>
      </c>
      <c r="CK12" s="43">
        <f t="shared" si="59"/>
        <v>8.8583544E-2</v>
      </c>
      <c r="CL12" s="82">
        <f t="shared" si="60"/>
        <v>0.49199234385418772</v>
      </c>
    </row>
    <row r="13" spans="1:90" hidden="1">
      <c r="A13" s="77">
        <f t="shared" si="61"/>
        <v>1977</v>
      </c>
      <c r="B13" s="13">
        <v>13.6</v>
      </c>
      <c r="C13" s="13">
        <v>34.31</v>
      </c>
      <c r="D13" s="43">
        <f t="shared" si="62"/>
        <v>8.8190424000000007</v>
      </c>
      <c r="E13" s="43">
        <f t="shared" si="1"/>
        <v>-71.006392039738174</v>
      </c>
      <c r="F13" s="13">
        <v>21.2</v>
      </c>
      <c r="G13" s="13">
        <v>29.45</v>
      </c>
      <c r="H13" s="43">
        <f t="shared" si="4"/>
        <v>11.800025999999997</v>
      </c>
      <c r="I13" s="259">
        <f t="shared" si="5"/>
        <v>-95.419256791687317</v>
      </c>
      <c r="J13" s="13">
        <v>20.6</v>
      </c>
      <c r="K13" s="13">
        <v>29.65</v>
      </c>
      <c r="L13" s="43">
        <f t="shared" si="8"/>
        <v>11.543930999999997</v>
      </c>
      <c r="M13" s="367">
        <f t="shared" si="9"/>
        <v>-93.321958236052723</v>
      </c>
      <c r="N13" s="13">
        <v>17.8</v>
      </c>
      <c r="O13" s="13">
        <v>29.22</v>
      </c>
      <c r="P13" s="43">
        <f t="shared" si="12"/>
        <v>9.8301923999999996</v>
      </c>
      <c r="Q13" s="259">
        <f t="shared" si="63"/>
        <v>-79.287238735417205</v>
      </c>
      <c r="R13" s="13">
        <v>18.600000000000001</v>
      </c>
      <c r="S13" s="13">
        <v>32.39</v>
      </c>
      <c r="T13" s="43">
        <f t="shared" si="15"/>
        <v>11.386380600000001</v>
      </c>
      <c r="U13" s="259">
        <f t="shared" si="16"/>
        <v>-92.031693973339088</v>
      </c>
      <c r="V13" s="13">
        <v>15.3</v>
      </c>
      <c r="W13" s="13">
        <v>32.25</v>
      </c>
      <c r="X13" s="43">
        <f t="shared" si="19"/>
        <v>9.3257325000000009</v>
      </c>
      <c r="Y13" s="259">
        <f t="shared" si="20"/>
        <v>-75.155947536270119</v>
      </c>
      <c r="Z13" s="13">
        <v>11.1</v>
      </c>
      <c r="AA13" s="13">
        <v>35.06</v>
      </c>
      <c r="AB13" s="43">
        <f t="shared" si="23"/>
        <v>7.3552374</v>
      </c>
      <c r="AC13" s="259">
        <f t="shared" si="24"/>
        <v>-59.018512103657017</v>
      </c>
      <c r="AD13" s="13">
        <v>17.600000000000001</v>
      </c>
      <c r="AE13" s="13">
        <v>38.35</v>
      </c>
      <c r="AF13" s="43">
        <f t="shared" si="27"/>
        <v>12.756744000000001</v>
      </c>
      <c r="AG13" s="259">
        <f t="shared" si="28"/>
        <v>-103.25433080543077</v>
      </c>
      <c r="AH13" s="13">
        <v>17.5</v>
      </c>
      <c r="AI13" s="13">
        <v>35.9</v>
      </c>
      <c r="AJ13" s="43">
        <f t="shared" si="31"/>
        <v>11.873925</v>
      </c>
      <c r="AK13" s="259">
        <f t="shared" si="32"/>
        <v>-96.024455120287428</v>
      </c>
      <c r="AL13" s="13">
        <v>11.4</v>
      </c>
      <c r="AM13" s="13">
        <v>38.47</v>
      </c>
      <c r="AN13" s="43">
        <f t="shared" si="35"/>
        <v>8.2887461999999985</v>
      </c>
      <c r="AO13" s="259">
        <f t="shared" si="36"/>
        <v>-66.663513598852873</v>
      </c>
      <c r="AP13" s="13">
        <v>11.5</v>
      </c>
      <c r="AQ13" s="13">
        <v>38.090000000000003</v>
      </c>
      <c r="AR13" s="43">
        <f t="shared" si="39"/>
        <v>8.2788614999999997</v>
      </c>
      <c r="AS13" s="82">
        <f t="shared" si="40"/>
        <v>-66.58256251807083</v>
      </c>
      <c r="AT13" s="86"/>
      <c r="AU13" s="13">
        <v>13</v>
      </c>
      <c r="AV13" s="9">
        <v>0.36799999999999999</v>
      </c>
      <c r="AW13" s="43">
        <f t="shared" si="64"/>
        <v>9.0417600000000001E-2</v>
      </c>
      <c r="AX13" s="43">
        <f t="shared" si="41"/>
        <v>0.27361188884131016</v>
      </c>
      <c r="AY13" s="13">
        <v>15.9</v>
      </c>
      <c r="AZ13" s="9">
        <v>0.29309999999999997</v>
      </c>
      <c r="BA13" s="43">
        <f t="shared" si="42"/>
        <v>8.8079480999999987E-2</v>
      </c>
      <c r="BB13" s="259">
        <f t="shared" si="43"/>
        <v>0.29625024246882692</v>
      </c>
      <c r="BC13" s="13">
        <v>12.2</v>
      </c>
      <c r="BD13" s="9">
        <v>0.32950000000000002</v>
      </c>
      <c r="BE13" s="43">
        <f t="shared" si="44"/>
        <v>7.5976109999999999E-2</v>
      </c>
      <c r="BF13" s="367">
        <f t="shared" si="45"/>
        <v>0.41343862885250948</v>
      </c>
      <c r="BG13" s="13">
        <v>13.4</v>
      </c>
      <c r="BH13" s="9">
        <v>0.32049999999999995</v>
      </c>
      <c r="BI13" s="43">
        <f t="shared" si="46"/>
        <v>8.1169829999999998E-2</v>
      </c>
      <c r="BJ13" s="259">
        <f t="shared" si="65"/>
        <v>0.36315150916257677</v>
      </c>
      <c r="BK13" s="13">
        <v>14</v>
      </c>
      <c r="BL13" s="9">
        <v>0.3453</v>
      </c>
      <c r="BM13" s="43">
        <f t="shared" si="47"/>
        <v>9.1366379999999997E-2</v>
      </c>
      <c r="BN13" s="259">
        <f t="shared" si="48"/>
        <v>0.46920221549022922</v>
      </c>
      <c r="BO13" s="13">
        <v>15</v>
      </c>
      <c r="BP13" s="9">
        <v>0.34759999999999996</v>
      </c>
      <c r="BQ13" s="43">
        <f t="shared" si="49"/>
        <v>9.8544599999999982E-2</v>
      </c>
      <c r="BR13" s="259">
        <f t="shared" si="50"/>
        <v>0.41041594305996953</v>
      </c>
      <c r="BS13" s="13">
        <v>11.6</v>
      </c>
      <c r="BT13" s="9">
        <v>0.37180000000000002</v>
      </c>
      <c r="BU13" s="43">
        <f t="shared" si="51"/>
        <v>8.1513431999999997E-2</v>
      </c>
      <c r="BV13" s="259">
        <f t="shared" si="52"/>
        <v>0.54989326220782542</v>
      </c>
      <c r="BW13" s="13">
        <v>17.3</v>
      </c>
      <c r="BX13" s="9">
        <v>0.39600000000000002</v>
      </c>
      <c r="BY13" s="43">
        <f t="shared" si="53"/>
        <v>0.12948012</v>
      </c>
      <c r="BZ13" s="259">
        <f t="shared" si="54"/>
        <v>0.15706846882655903</v>
      </c>
      <c r="CA13" s="13">
        <v>13.3</v>
      </c>
      <c r="CB13" s="9">
        <v>0.37990000000000002</v>
      </c>
      <c r="CC13" s="43">
        <f t="shared" si="55"/>
        <v>9.5495463000000017E-2</v>
      </c>
      <c r="CD13" s="259">
        <f t="shared" si="56"/>
        <v>0.43538695235742531</v>
      </c>
      <c r="CE13" s="13">
        <v>10.4</v>
      </c>
      <c r="CF13" s="9">
        <v>0.41759999999999997</v>
      </c>
      <c r="CG13" s="43">
        <f t="shared" si="57"/>
        <v>8.2083455999999999E-2</v>
      </c>
      <c r="CH13" s="259">
        <f t="shared" si="58"/>
        <v>0.54522503162199965</v>
      </c>
      <c r="CI13" s="13">
        <v>11.8</v>
      </c>
      <c r="CJ13" s="9">
        <v>0.4143</v>
      </c>
      <c r="CK13" s="43">
        <f t="shared" si="59"/>
        <v>9.2397185999999992E-2</v>
      </c>
      <c r="CL13" s="82">
        <f t="shared" si="60"/>
        <v>0.46076039532607344</v>
      </c>
    </row>
    <row r="14" spans="1:90" hidden="1">
      <c r="A14" s="77">
        <f t="shared" si="61"/>
        <v>1978</v>
      </c>
      <c r="B14" s="13">
        <v>12.9</v>
      </c>
      <c r="C14" s="13">
        <v>32.4</v>
      </c>
      <c r="D14" s="43">
        <f t="shared" si="62"/>
        <v>7.8994439999999999</v>
      </c>
      <c r="E14" s="43">
        <f t="shared" si="1"/>
        <v>-63.475310229925839</v>
      </c>
      <c r="F14" s="13">
        <v>25.2</v>
      </c>
      <c r="G14" s="13">
        <v>30.2</v>
      </c>
      <c r="H14" s="43">
        <f t="shared" si="4"/>
        <v>14.383655999999998</v>
      </c>
      <c r="I14" s="259">
        <f t="shared" si="5"/>
        <v>-116.57798096550648</v>
      </c>
      <c r="J14" s="13">
        <v>20.9</v>
      </c>
      <c r="K14" s="13">
        <v>30.82</v>
      </c>
      <c r="L14" s="43">
        <f t="shared" si="8"/>
        <v>12.174208199999999</v>
      </c>
      <c r="M14" s="367">
        <f t="shared" si="9"/>
        <v>-98.483634415632253</v>
      </c>
      <c r="N14" s="13">
        <v>16.899999999999999</v>
      </c>
      <c r="O14" s="13">
        <v>30.22</v>
      </c>
      <c r="P14" s="43">
        <f t="shared" si="12"/>
        <v>9.6525701999999995</v>
      </c>
      <c r="Q14" s="259">
        <f t="shared" si="63"/>
        <v>-77.832595796239787</v>
      </c>
      <c r="R14" s="13">
        <v>21.3</v>
      </c>
      <c r="S14" s="13">
        <v>31.61</v>
      </c>
      <c r="T14" s="43">
        <f t="shared" si="15"/>
        <v>12.725237700000001</v>
      </c>
      <c r="U14" s="259">
        <f t="shared" si="16"/>
        <v>-102.99630890932428</v>
      </c>
      <c r="V14" s="13">
        <v>13.7</v>
      </c>
      <c r="W14" s="13">
        <v>29.15</v>
      </c>
      <c r="X14" s="43">
        <f t="shared" si="19"/>
        <v>7.5478094999999987</v>
      </c>
      <c r="Y14" s="259">
        <f t="shared" si="20"/>
        <v>-60.595587748185487</v>
      </c>
      <c r="Z14" s="13">
        <v>10.8</v>
      </c>
      <c r="AA14" s="13">
        <v>32.58</v>
      </c>
      <c r="AB14" s="43">
        <f t="shared" si="23"/>
        <v>6.6502296000000003</v>
      </c>
      <c r="AC14" s="259">
        <f t="shared" si="24"/>
        <v>-53.244827179503382</v>
      </c>
      <c r="AD14" s="13">
        <v>18.7</v>
      </c>
      <c r="AE14" s="13">
        <v>39.92</v>
      </c>
      <c r="AF14" s="43">
        <f t="shared" si="27"/>
        <v>14.108925599999999</v>
      </c>
      <c r="AG14" s="259">
        <f t="shared" si="28"/>
        <v>-114.32806717918143</v>
      </c>
      <c r="AH14" s="13">
        <v>15.3</v>
      </c>
      <c r="AI14" s="13">
        <v>32.46</v>
      </c>
      <c r="AJ14" s="43">
        <f t="shared" si="31"/>
        <v>9.3864581999999999</v>
      </c>
      <c r="AK14" s="259">
        <f t="shared" si="32"/>
        <v>-75.653262684554548</v>
      </c>
      <c r="AL14" s="13">
        <v>10.7</v>
      </c>
      <c r="AM14" s="13">
        <v>32.69</v>
      </c>
      <c r="AN14" s="43">
        <f t="shared" si="35"/>
        <v>6.610898699999999</v>
      </c>
      <c r="AO14" s="259">
        <f t="shared" si="36"/>
        <v>-52.922725460368639</v>
      </c>
      <c r="AP14" s="13">
        <v>9.8000000000000007</v>
      </c>
      <c r="AQ14" s="13">
        <v>40.21</v>
      </c>
      <c r="AR14" s="43">
        <f t="shared" si="39"/>
        <v>7.4476962000000002</v>
      </c>
      <c r="AS14" s="82">
        <f t="shared" si="40"/>
        <v>-59.775706534222657</v>
      </c>
      <c r="AT14" s="86"/>
      <c r="AU14" s="13">
        <v>12.2</v>
      </c>
      <c r="AV14" s="9">
        <v>0.34909999999999997</v>
      </c>
      <c r="AW14" s="43">
        <f t="shared" si="64"/>
        <v>8.0495477999999995E-2</v>
      </c>
      <c r="AX14" s="43">
        <f t="shared" si="41"/>
        <v>0.36968078292726675</v>
      </c>
      <c r="AY14" s="13">
        <v>16.5</v>
      </c>
      <c r="AZ14" s="9">
        <v>0.30940000000000001</v>
      </c>
      <c r="BA14" s="43">
        <f t="shared" si="42"/>
        <v>9.6486389999999991E-2</v>
      </c>
      <c r="BB14" s="259">
        <f t="shared" si="43"/>
        <v>0.21485208486591947</v>
      </c>
      <c r="BC14" s="13">
        <v>16</v>
      </c>
      <c r="BD14" s="9">
        <v>0.39229999999999998</v>
      </c>
      <c r="BE14" s="43">
        <f t="shared" si="44"/>
        <v>0.11863151999999999</v>
      </c>
      <c r="BF14" s="367">
        <f t="shared" si="45"/>
        <v>4.3644388813878816E-4</v>
      </c>
      <c r="BG14" s="13">
        <v>13.1</v>
      </c>
      <c r="BH14" s="9">
        <v>0.31489999999999996</v>
      </c>
      <c r="BI14" s="43">
        <f t="shared" si="46"/>
        <v>7.7966090999999973E-2</v>
      </c>
      <c r="BJ14" s="259">
        <f t="shared" si="65"/>
        <v>0.39417104940508246</v>
      </c>
      <c r="BK14" s="13">
        <v>15.8</v>
      </c>
      <c r="BL14" s="9">
        <v>0.3448</v>
      </c>
      <c r="BM14" s="43">
        <f t="shared" si="47"/>
        <v>0.102964176</v>
      </c>
      <c r="BN14" s="259">
        <f t="shared" si="48"/>
        <v>0.37422167780169668</v>
      </c>
      <c r="BO14" s="13">
        <v>13.6</v>
      </c>
      <c r="BP14" s="9">
        <v>0.31170000000000003</v>
      </c>
      <c r="BQ14" s="43">
        <f t="shared" si="49"/>
        <v>8.011936800000001E-2</v>
      </c>
      <c r="BR14" s="259">
        <f t="shared" si="50"/>
        <v>0.56130999589517638</v>
      </c>
      <c r="BS14" s="13">
        <v>10.9</v>
      </c>
      <c r="BT14" s="9">
        <v>0.35139999999999999</v>
      </c>
      <c r="BU14" s="43">
        <f t="shared" si="51"/>
        <v>7.2391913999999988E-2</v>
      </c>
      <c r="BV14" s="259">
        <f t="shared" si="52"/>
        <v>0.62459423851191176</v>
      </c>
      <c r="BW14" s="13">
        <v>17.899999999999999</v>
      </c>
      <c r="BX14" s="9">
        <v>0.4446</v>
      </c>
      <c r="BY14" s="43">
        <f t="shared" si="53"/>
        <v>0.15041262599999997</v>
      </c>
      <c r="BZ14" s="259">
        <f t="shared" si="54"/>
        <v>-1.4358988170307256E-2</v>
      </c>
      <c r="CA14" s="13">
        <v>10.6</v>
      </c>
      <c r="CB14" s="9">
        <v>0.38069999999999998</v>
      </c>
      <c r="CC14" s="43">
        <f t="shared" si="55"/>
        <v>7.6269437999999981E-2</v>
      </c>
      <c r="CD14" s="259">
        <f t="shared" si="56"/>
        <v>0.59283912621124812</v>
      </c>
      <c r="CE14" s="13">
        <v>9.3000000000000007</v>
      </c>
      <c r="CF14" s="9">
        <v>0.34560000000000002</v>
      </c>
      <c r="CG14" s="43">
        <f t="shared" si="57"/>
        <v>6.0746112000000005E-2</v>
      </c>
      <c r="CH14" s="259">
        <f t="shared" si="58"/>
        <v>0.71996792294076228</v>
      </c>
      <c r="CI14" s="13">
        <v>11.1</v>
      </c>
      <c r="CJ14" s="9">
        <v>0.41139999999999999</v>
      </c>
      <c r="CK14" s="43">
        <f t="shared" si="59"/>
        <v>8.6307605999999981E-2</v>
      </c>
      <c r="CL14" s="82">
        <f t="shared" si="60"/>
        <v>0.51063121411762091</v>
      </c>
    </row>
    <row r="15" spans="1:90" hidden="1">
      <c r="A15" s="77">
        <f t="shared" si="61"/>
        <v>1979</v>
      </c>
      <c r="B15" s="13">
        <v>13.1</v>
      </c>
      <c r="C15" s="13">
        <v>32.93</v>
      </c>
      <c r="D15" s="43">
        <f t="shared" si="62"/>
        <v>8.1531386999999995</v>
      </c>
      <c r="E15" s="43">
        <f t="shared" si="1"/>
        <v>-65.552951448544519</v>
      </c>
      <c r="F15" s="13">
        <v>24.8</v>
      </c>
      <c r="G15" s="13">
        <v>27.44</v>
      </c>
      <c r="H15" s="43">
        <f t="shared" si="4"/>
        <v>12.8616768</v>
      </c>
      <c r="I15" s="259">
        <f t="shared" si="5"/>
        <v>-104.11368147560664</v>
      </c>
      <c r="J15" s="13">
        <v>21.9</v>
      </c>
      <c r="K15" s="13">
        <v>27.08</v>
      </c>
      <c r="L15" s="43">
        <f t="shared" si="8"/>
        <v>11.208682799999997</v>
      </c>
      <c r="M15" s="367">
        <f t="shared" si="9"/>
        <v>-90.576431905436735</v>
      </c>
      <c r="N15" s="13">
        <v>16.8</v>
      </c>
      <c r="O15" s="13">
        <v>29.44</v>
      </c>
      <c r="P15" s="43">
        <f t="shared" si="12"/>
        <v>9.3477888</v>
      </c>
      <c r="Q15" s="259">
        <f t="shared" si="63"/>
        <v>-75.336578341762774</v>
      </c>
      <c r="R15" s="13">
        <v>19.8</v>
      </c>
      <c r="S15" s="13">
        <v>30.55</v>
      </c>
      <c r="T15" s="43">
        <f t="shared" si="15"/>
        <v>11.432421</v>
      </c>
      <c r="U15" s="259">
        <f t="shared" si="16"/>
        <v>-92.408743366809631</v>
      </c>
      <c r="V15" s="13">
        <v>14.1</v>
      </c>
      <c r="W15" s="13">
        <v>31.07</v>
      </c>
      <c r="X15" s="43">
        <f t="shared" si="19"/>
        <v>8.2798443000000006</v>
      </c>
      <c r="Y15" s="259">
        <f t="shared" si="20"/>
        <v>-66.590611191494673</v>
      </c>
      <c r="Z15" s="13">
        <v>11.2</v>
      </c>
      <c r="AA15" s="13">
        <v>33.56</v>
      </c>
      <c r="AB15" s="43">
        <f t="shared" si="23"/>
        <v>7.1039807999999995</v>
      </c>
      <c r="AC15" s="259">
        <f t="shared" si="24"/>
        <v>-56.96083778641669</v>
      </c>
      <c r="AD15" s="13">
        <v>17.399999999999999</v>
      </c>
      <c r="AE15" s="13">
        <v>34.18</v>
      </c>
      <c r="AF15" s="43">
        <f t="shared" si="27"/>
        <v>11.240434799999997</v>
      </c>
      <c r="AG15" s="259">
        <f t="shared" si="28"/>
        <v>-90.836465969899194</v>
      </c>
      <c r="AH15" s="13">
        <v>16.899999999999999</v>
      </c>
      <c r="AI15" s="13">
        <v>34.68</v>
      </c>
      <c r="AJ15" s="43">
        <f t="shared" si="31"/>
        <v>11.0771388</v>
      </c>
      <c r="AK15" s="259">
        <f t="shared" si="32"/>
        <v>-89.499147924092355</v>
      </c>
      <c r="AL15" s="13">
        <v>11.3</v>
      </c>
      <c r="AM15" s="13">
        <v>35.21</v>
      </c>
      <c r="AN15" s="43">
        <f t="shared" si="35"/>
        <v>7.519799700000001</v>
      </c>
      <c r="AO15" s="259">
        <f t="shared" si="36"/>
        <v>-60.366200555606135</v>
      </c>
      <c r="AP15" s="13">
        <v>10</v>
      </c>
      <c r="AQ15" s="13">
        <v>39.590000000000003</v>
      </c>
      <c r="AR15" s="43">
        <f t="shared" si="39"/>
        <v>7.4825099999999996</v>
      </c>
      <c r="AS15" s="82">
        <f t="shared" si="40"/>
        <v>-60.060815312043978</v>
      </c>
      <c r="AT15" s="86"/>
      <c r="AU15" s="13">
        <v>12.6</v>
      </c>
      <c r="AV15" s="9">
        <v>0.34659999999999996</v>
      </c>
      <c r="AW15" s="43">
        <f t="shared" si="64"/>
        <v>8.2539323999999983E-2</v>
      </c>
      <c r="AX15" s="43">
        <f t="shared" si="41"/>
        <v>0.34989166675816452</v>
      </c>
      <c r="AY15" s="13">
        <v>15.2</v>
      </c>
      <c r="AZ15" s="9">
        <v>0.30790000000000001</v>
      </c>
      <c r="BA15" s="43">
        <f t="shared" si="42"/>
        <v>8.8453511999999998E-2</v>
      </c>
      <c r="BB15" s="259">
        <f t="shared" si="43"/>
        <v>0.29262876467165155</v>
      </c>
      <c r="BC15" s="13">
        <v>12.1</v>
      </c>
      <c r="BD15" s="9">
        <v>0.30780000000000002</v>
      </c>
      <c r="BE15" s="43">
        <f t="shared" si="44"/>
        <v>7.0390781999999999E-2</v>
      </c>
      <c r="BF15" s="367">
        <f t="shared" si="45"/>
        <v>0.46751741200669034</v>
      </c>
      <c r="BG15" s="13">
        <v>12.3</v>
      </c>
      <c r="BH15" s="9">
        <v>0.30409999999999998</v>
      </c>
      <c r="BI15" s="43">
        <f t="shared" si="46"/>
        <v>7.0694126999999995E-2</v>
      </c>
      <c r="BJ15" s="259">
        <f t="shared" si="65"/>
        <v>0.46458033678462557</v>
      </c>
      <c r="BK15" s="13">
        <v>13.8</v>
      </c>
      <c r="BL15" s="9">
        <v>0.32319999999999999</v>
      </c>
      <c r="BM15" s="43">
        <f t="shared" si="47"/>
        <v>8.4297023999999998E-2</v>
      </c>
      <c r="BN15" s="259">
        <f t="shared" si="48"/>
        <v>0.52709694255661776</v>
      </c>
      <c r="BO15" s="13">
        <v>14.8</v>
      </c>
      <c r="BP15" s="9">
        <v>0.3115</v>
      </c>
      <c r="BQ15" s="43">
        <f t="shared" si="49"/>
        <v>8.7132779999999993E-2</v>
      </c>
      <c r="BR15" s="259">
        <f t="shared" si="50"/>
        <v>0.50387342408522184</v>
      </c>
      <c r="BS15" s="13">
        <v>10.9</v>
      </c>
      <c r="BT15" s="9">
        <v>0.36530000000000001</v>
      </c>
      <c r="BU15" s="43">
        <f t="shared" si="51"/>
        <v>7.5255453E-2</v>
      </c>
      <c r="BV15" s="259">
        <f t="shared" si="52"/>
        <v>0.60114319023411111</v>
      </c>
      <c r="BW15" s="13">
        <v>16.100000000000001</v>
      </c>
      <c r="BX15" s="9">
        <v>0.3705</v>
      </c>
      <c r="BY15" s="43">
        <f t="shared" si="53"/>
        <v>0.11273944500000001</v>
      </c>
      <c r="BZ15" s="259">
        <f t="shared" si="54"/>
        <v>0.29416678584894607</v>
      </c>
      <c r="CA15" s="13">
        <v>13.3</v>
      </c>
      <c r="CB15" s="9">
        <v>0.34770000000000001</v>
      </c>
      <c r="CC15" s="43">
        <f t="shared" si="55"/>
        <v>8.7401348999999989E-2</v>
      </c>
      <c r="CD15" s="259">
        <f t="shared" si="56"/>
        <v>0.50167396928997698</v>
      </c>
      <c r="CE15" s="13">
        <v>10</v>
      </c>
      <c r="CF15" s="9">
        <v>0.39229999999999998</v>
      </c>
      <c r="CG15" s="43">
        <f t="shared" si="57"/>
        <v>7.4144699999999994E-2</v>
      </c>
      <c r="CH15" s="259">
        <f t="shared" si="58"/>
        <v>0.61023973902485984</v>
      </c>
      <c r="CI15" s="13">
        <v>12</v>
      </c>
      <c r="CJ15" s="9">
        <v>0.38590000000000002</v>
      </c>
      <c r="CK15" s="43">
        <f t="shared" si="59"/>
        <v>8.7522119999999995E-2</v>
      </c>
      <c r="CL15" s="82">
        <f t="shared" si="60"/>
        <v>0.50068491115193237</v>
      </c>
    </row>
    <row r="16" spans="1:90" hidden="1">
      <c r="A16" s="77">
        <f t="shared" si="61"/>
        <v>1980</v>
      </c>
      <c r="B16" s="13">
        <v>12.7</v>
      </c>
      <c r="C16" s="13">
        <v>31.47</v>
      </c>
      <c r="D16" s="43">
        <f t="shared" si="62"/>
        <v>7.5537440999999994</v>
      </c>
      <c r="E16" s="43">
        <f t="shared" si="1"/>
        <v>-60.644189353090972</v>
      </c>
      <c r="F16" s="13">
        <v>26.8</v>
      </c>
      <c r="G16" s="13">
        <v>30.73</v>
      </c>
      <c r="H16" s="43">
        <f t="shared" si="4"/>
        <v>15.565359600000001</v>
      </c>
      <c r="I16" s="259">
        <f t="shared" si="5"/>
        <v>-126.25558206458382</v>
      </c>
      <c r="J16" s="13">
        <v>20.8</v>
      </c>
      <c r="K16" s="13">
        <v>23.21</v>
      </c>
      <c r="L16" s="43">
        <f t="shared" si="8"/>
        <v>9.1243151999999998</v>
      </c>
      <c r="M16" s="367">
        <f t="shared" si="9"/>
        <v>-73.506433830927094</v>
      </c>
      <c r="N16" s="13">
        <v>15.8</v>
      </c>
      <c r="O16" s="13">
        <v>27.41</v>
      </c>
      <c r="P16" s="43">
        <f t="shared" si="12"/>
        <v>8.1851742000000005</v>
      </c>
      <c r="Q16" s="259">
        <f t="shared" si="63"/>
        <v>-65.815307245725393</v>
      </c>
      <c r="R16" s="13">
        <v>18.3</v>
      </c>
      <c r="S16" s="13">
        <v>28.79</v>
      </c>
      <c r="T16" s="43">
        <f t="shared" si="15"/>
        <v>9.957597299999998</v>
      </c>
      <c r="U16" s="259">
        <f t="shared" si="16"/>
        <v>-80.330625419072746</v>
      </c>
      <c r="V16" s="13">
        <v>15.2</v>
      </c>
      <c r="W16" s="13">
        <v>28.5</v>
      </c>
      <c r="X16" s="43">
        <f t="shared" si="19"/>
        <v>8.187479999999999</v>
      </c>
      <c r="Y16" s="259">
        <f t="shared" si="20"/>
        <v>-65.834190671835159</v>
      </c>
      <c r="Z16" s="13">
        <v>10.5</v>
      </c>
      <c r="AA16" s="13">
        <v>31.66</v>
      </c>
      <c r="AB16" s="43">
        <f t="shared" si="23"/>
        <v>6.2829269999999999</v>
      </c>
      <c r="AC16" s="259">
        <f t="shared" si="24"/>
        <v>-50.236790269525315</v>
      </c>
      <c r="AD16" s="13">
        <v>13.6</v>
      </c>
      <c r="AE16" s="13">
        <v>37.51</v>
      </c>
      <c r="AF16" s="43">
        <f t="shared" si="27"/>
        <v>9.6415703999999991</v>
      </c>
      <c r="AG16" s="259">
        <f t="shared" si="28"/>
        <v>-77.742512566765299</v>
      </c>
      <c r="AH16" s="13">
        <v>13.3</v>
      </c>
      <c r="AI16" s="13">
        <v>30.92</v>
      </c>
      <c r="AJ16" s="43">
        <f t="shared" si="31"/>
        <v>7.7723604000000002</v>
      </c>
      <c r="AK16" s="259">
        <f t="shared" si="32"/>
        <v>-62.434554843351158</v>
      </c>
      <c r="AL16" s="13">
        <v>10.5</v>
      </c>
      <c r="AM16" s="13">
        <v>35.94</v>
      </c>
      <c r="AN16" s="43">
        <f t="shared" si="35"/>
        <v>7.1322929999999998</v>
      </c>
      <c r="AO16" s="259">
        <f t="shared" si="36"/>
        <v>-57.192701493895704</v>
      </c>
      <c r="AP16" s="13">
        <v>9.3000000000000007</v>
      </c>
      <c r="AQ16" s="13">
        <v>40.01</v>
      </c>
      <c r="AR16" s="43">
        <f t="shared" si="39"/>
        <v>7.0325576999999999</v>
      </c>
      <c r="AS16" s="82">
        <f t="shared" si="40"/>
        <v>-56.375915923557422</v>
      </c>
      <c r="AT16" s="86"/>
      <c r="AU16" s="13">
        <v>11.6</v>
      </c>
      <c r="AV16" s="9">
        <v>0.33960000000000001</v>
      </c>
      <c r="AW16" s="43">
        <f t="shared" si="64"/>
        <v>7.4453904000000001E-2</v>
      </c>
      <c r="AX16" s="43">
        <f t="shared" si="41"/>
        <v>0.42817707361170587</v>
      </c>
      <c r="AY16" s="13">
        <v>18.5</v>
      </c>
      <c r="AZ16" s="9">
        <v>0.29510000000000003</v>
      </c>
      <c r="BA16" s="43">
        <f t="shared" si="42"/>
        <v>0.10318171500000001</v>
      </c>
      <c r="BB16" s="259">
        <f t="shared" si="43"/>
        <v>0.1500259853384133</v>
      </c>
      <c r="BC16" s="13">
        <v>10.7</v>
      </c>
      <c r="BD16" s="9">
        <v>0.30299999999999999</v>
      </c>
      <c r="BE16" s="43">
        <f t="shared" si="44"/>
        <v>6.1275689999999994E-2</v>
      </c>
      <c r="BF16" s="367">
        <f t="shared" si="45"/>
        <v>0.55577240503456793</v>
      </c>
      <c r="BG16" s="13">
        <v>11.7</v>
      </c>
      <c r="BH16" s="9">
        <v>0.29520000000000002</v>
      </c>
      <c r="BI16" s="43">
        <f t="shared" si="46"/>
        <v>6.527757599999999E-2</v>
      </c>
      <c r="BJ16" s="259">
        <f t="shared" si="65"/>
        <v>0.51702497154422467</v>
      </c>
      <c r="BK16" s="13">
        <v>12.5</v>
      </c>
      <c r="BL16" s="9">
        <v>0.2823</v>
      </c>
      <c r="BM16" s="43">
        <f t="shared" si="47"/>
        <v>6.6693374999999999E-2</v>
      </c>
      <c r="BN16" s="259">
        <f t="shared" si="48"/>
        <v>0.67126261397385911</v>
      </c>
      <c r="BO16" s="13">
        <v>14.6</v>
      </c>
      <c r="BP16" s="9">
        <v>0.2964</v>
      </c>
      <c r="BQ16" s="43">
        <f t="shared" si="49"/>
        <v>8.1788615999999995E-2</v>
      </c>
      <c r="BR16" s="259">
        <f t="shared" si="50"/>
        <v>0.54763963364915091</v>
      </c>
      <c r="BS16" s="13">
        <v>10</v>
      </c>
      <c r="BT16" s="9">
        <v>0.35899999999999999</v>
      </c>
      <c r="BU16" s="43">
        <f t="shared" si="51"/>
        <v>6.7850999999999995E-2</v>
      </c>
      <c r="BV16" s="259">
        <f t="shared" si="52"/>
        <v>0.66178220537366583</v>
      </c>
      <c r="BW16" s="13">
        <v>13.6</v>
      </c>
      <c r="BX16" s="9">
        <v>0.36320000000000002</v>
      </c>
      <c r="BY16" s="43">
        <f t="shared" si="53"/>
        <v>9.3356927999999992E-2</v>
      </c>
      <c r="BZ16" s="259">
        <f t="shared" si="54"/>
        <v>0.45290055616333363</v>
      </c>
      <c r="CA16" s="13">
        <v>10.1</v>
      </c>
      <c r="CB16" s="9">
        <v>0.32030000000000003</v>
      </c>
      <c r="CC16" s="43">
        <f t="shared" si="55"/>
        <v>6.1142066999999994E-2</v>
      </c>
      <c r="CD16" s="259">
        <f t="shared" si="56"/>
        <v>0.71672523624404327</v>
      </c>
      <c r="CE16" s="13">
        <v>9.4</v>
      </c>
      <c r="CF16" s="9">
        <v>0.41299999999999998</v>
      </c>
      <c r="CG16" s="43">
        <f t="shared" si="57"/>
        <v>7.3373579999999994E-2</v>
      </c>
      <c r="CH16" s="259">
        <f t="shared" si="58"/>
        <v>0.61655485201894789</v>
      </c>
      <c r="CI16" s="13">
        <v>9.5</v>
      </c>
      <c r="CJ16" s="9">
        <v>0.42229999999999995</v>
      </c>
      <c r="CK16" s="43">
        <f t="shared" si="59"/>
        <v>7.5823964999999993E-2</v>
      </c>
      <c r="CL16" s="82">
        <f t="shared" si="60"/>
        <v>0.59648734222278355</v>
      </c>
    </row>
    <row r="17" spans="1:90" ht="18" customHeight="1">
      <c r="A17" s="77">
        <f>A16+1</f>
        <v>1981</v>
      </c>
      <c r="B17" s="13">
        <v>12</v>
      </c>
      <c r="C17" s="13">
        <v>0.30640000000000001</v>
      </c>
      <c r="D17" s="43">
        <f t="shared" ref="D17:D45" si="66">C17*B17*$F$59/100</f>
        <v>6.9491520000000001E-2</v>
      </c>
      <c r="E17" s="43">
        <f t="shared" si="1"/>
        <v>0.64834711204310613</v>
      </c>
      <c r="F17" s="13">
        <v>19.899999999999999</v>
      </c>
      <c r="G17" s="13">
        <v>0.29089999999999999</v>
      </c>
      <c r="H17" s="43">
        <f t="shared" si="4"/>
        <v>0.10941039899999998</v>
      </c>
      <c r="I17" s="259">
        <f t="shared" si="5"/>
        <v>0.32143011925038384</v>
      </c>
      <c r="J17" s="13">
        <v>21</v>
      </c>
      <c r="K17" s="13">
        <v>0.26519999999999999</v>
      </c>
      <c r="L17" s="43">
        <f t="shared" si="8"/>
        <v>0.10525787999999998</v>
      </c>
      <c r="M17" s="367">
        <f t="shared" si="9"/>
        <v>0.35543731228790981</v>
      </c>
      <c r="N17" s="13">
        <v>16.2</v>
      </c>
      <c r="O17" s="13">
        <v>0.29630000000000001</v>
      </c>
      <c r="P17" s="43">
        <f t="shared" si="12"/>
        <v>9.0721133999999995E-2</v>
      </c>
      <c r="Q17" s="259">
        <f t="shared" si="63"/>
        <v>0.47448647915734105</v>
      </c>
      <c r="R17" s="13">
        <v>20.5</v>
      </c>
      <c r="S17" s="13">
        <v>0.2979</v>
      </c>
      <c r="T17" s="43">
        <f t="shared" si="15"/>
        <v>0.115421355</v>
      </c>
      <c r="U17" s="259">
        <f t="shared" si="16"/>
        <v>0.2722031943327432</v>
      </c>
      <c r="V17" s="13">
        <v>14.2</v>
      </c>
      <c r="W17" s="13">
        <v>0.28970000000000001</v>
      </c>
      <c r="X17" s="43">
        <f t="shared" si="19"/>
        <v>7.7749685999999998E-2</v>
      </c>
      <c r="Y17" s="259">
        <f t="shared" si="20"/>
        <v>0.58071658577749874</v>
      </c>
      <c r="Z17" s="13">
        <v>9.4</v>
      </c>
      <c r="AA17" s="13">
        <v>0.30059999999999998</v>
      </c>
      <c r="AB17" s="43">
        <f t="shared" si="23"/>
        <v>5.3404595999999999E-2</v>
      </c>
      <c r="AC17" s="259">
        <f t="shared" si="24"/>
        <v>0.78009151341682903</v>
      </c>
      <c r="AD17" s="13">
        <v>14.5</v>
      </c>
      <c r="AE17" s="13">
        <v>0.33409999999999995</v>
      </c>
      <c r="AF17" s="43">
        <f t="shared" si="27"/>
        <v>9.1560104999999989E-2</v>
      </c>
      <c r="AG17" s="259">
        <f t="shared" si="28"/>
        <v>0.46761569813264592</v>
      </c>
      <c r="AH17" s="13">
        <v>16.3</v>
      </c>
      <c r="AI17" s="13">
        <v>0.33270000000000005</v>
      </c>
      <c r="AJ17" s="43">
        <f t="shared" si="31"/>
        <v>0.10249488900000003</v>
      </c>
      <c r="AK17" s="259">
        <f t="shared" si="32"/>
        <v>0.37806491936157888</v>
      </c>
      <c r="AL17" s="13">
        <v>8.6999999999999993</v>
      </c>
      <c r="AM17" s="13">
        <v>0.35509999999999997</v>
      </c>
      <c r="AN17" s="43">
        <f t="shared" si="35"/>
        <v>5.8389092999999982E-2</v>
      </c>
      <c r="AO17" s="259">
        <f t="shared" si="36"/>
        <v>0.73927080876166229</v>
      </c>
      <c r="AP17" s="13">
        <v>10.199999999999999</v>
      </c>
      <c r="AQ17" s="13">
        <v>0.33310000000000001</v>
      </c>
      <c r="AR17" s="43">
        <f t="shared" si="39"/>
        <v>6.4215017999999999E-2</v>
      </c>
      <c r="AS17" s="82">
        <f t="shared" si="40"/>
        <v>0.69155920139824034</v>
      </c>
      <c r="AT17" s="86"/>
      <c r="AU17" s="13">
        <v>11.6</v>
      </c>
      <c r="AV17" s="9">
        <v>0.32789999999999997</v>
      </c>
      <c r="AW17" s="43">
        <f t="shared" ref="AW17:AW46" si="67">AV17*AU17*$F$59/100</f>
        <v>7.1888795999999991E-2</v>
      </c>
      <c r="AX17" s="43">
        <f t="shared" ref="AX17:AX39" si="68">(AW$60-AW17)/AW$62</f>
        <v>0.45301320128389544</v>
      </c>
      <c r="AY17" s="13">
        <v>13.3</v>
      </c>
      <c r="AZ17" s="9">
        <v>0.2878</v>
      </c>
      <c r="BA17" s="43">
        <f t="shared" ref="BA17:BA41" si="69">AZ17*AY17*$F$59/100</f>
        <v>7.2344286000000008E-2</v>
      </c>
      <c r="BB17" s="259">
        <f t="shared" ref="BB17:BB39" si="70">(AW$60-BA17)/AW$62</f>
        <v>0.44860301356727456</v>
      </c>
      <c r="BC17" s="13">
        <v>12</v>
      </c>
      <c r="BD17" s="9">
        <v>0.27310000000000001</v>
      </c>
      <c r="BE17" s="43">
        <f t="shared" ref="BE17:BE42" si="71">BD17*BC17*$F$59/100</f>
        <v>6.1939079999999994E-2</v>
      </c>
      <c r="BF17" s="367">
        <f t="shared" ref="BF17:BF39" si="72">(AW$60-BE17)/AW$62</f>
        <v>0.54934926856762234</v>
      </c>
      <c r="BG17" s="13">
        <v>12.1</v>
      </c>
      <c r="BH17" s="9">
        <v>0.28449999999999998</v>
      </c>
      <c r="BI17" s="43">
        <f t="shared" ref="BI17:BI42" si="73">BH17*BG17*$F$59/100</f>
        <v>6.5062304999999987E-2</v>
      </c>
      <c r="BJ17" s="259">
        <f t="shared" ref="BJ17:BJ39" si="74">(AW$60-BI17)/AW$62</f>
        <v>0.51910928847751547</v>
      </c>
      <c r="BK17" s="13">
        <v>15</v>
      </c>
      <c r="BL17" s="9">
        <v>0.28760000000000002</v>
      </c>
      <c r="BM17" s="43">
        <f t="shared" ref="BM17:BM42" si="75">BL17*BK17*$F$59/100</f>
        <v>8.1534599999999985E-2</v>
      </c>
      <c r="BN17" s="259">
        <f t="shared" ref="BN17:BN42" si="76">($D$60-BM17)/$D$62</f>
        <v>0.54971990616485056</v>
      </c>
      <c r="BO17" s="13">
        <v>14.3</v>
      </c>
      <c r="BP17" s="9">
        <v>0.30930000000000002</v>
      </c>
      <c r="BQ17" s="43">
        <f t="shared" ref="BQ17:BQ42" si="77">BP17*BO17*$F$59/100</f>
        <v>8.359451100000001E-2</v>
      </c>
      <c r="BR17" s="259">
        <f t="shared" ref="BR17:BR42" si="78">($D$60-BQ17)/$D$62</f>
        <v>0.53285019623284924</v>
      </c>
      <c r="BS17" s="13">
        <v>10</v>
      </c>
      <c r="BT17" s="9">
        <v>0.32369999999999999</v>
      </c>
      <c r="BU17" s="43">
        <f t="shared" ref="BU17:BU42" si="79">BT17*BS17*$F$59/100</f>
        <v>6.1179300000000006E-2</v>
      </c>
      <c r="BV17" s="259">
        <f t="shared" ref="BV17:BV42" si="80">($D$60-BU17)/$D$62</f>
        <v>0.71642031534702466</v>
      </c>
      <c r="BW17" s="13">
        <v>14.2</v>
      </c>
      <c r="BX17" s="9">
        <v>0.3649</v>
      </c>
      <c r="BY17" s="43">
        <f t="shared" ref="BY17:BY42" si="81">BX17*BW17*$F$59/100</f>
        <v>9.7931861999999995E-2</v>
      </c>
      <c r="BZ17" s="259">
        <f t="shared" ref="BZ17:BZ42" si="82">($D$60-BY17)/$D$62</f>
        <v>0.41543398137536969</v>
      </c>
      <c r="CA17" s="13">
        <v>12.2</v>
      </c>
      <c r="CB17" s="9">
        <v>0.3513</v>
      </c>
      <c r="CC17" s="43">
        <f t="shared" ref="CC17:CC42" si="83">CB17*CA17*$F$59/100</f>
        <v>8.1002753999999996E-2</v>
      </c>
      <c r="CD17" s="259">
        <f t="shared" ref="CD17:CD42" si="84">($D$60-CC17)/$D$62</f>
        <v>0.55407547674459634</v>
      </c>
      <c r="CE17" s="13">
        <v>8</v>
      </c>
      <c r="CF17" s="9">
        <v>0.41070000000000001</v>
      </c>
      <c r="CG17" s="43">
        <f t="shared" ref="CG17:CG46" si="85">CF17*CE17*$F$59/100</f>
        <v>6.2097840000000001E-2</v>
      </c>
      <c r="CH17" s="259">
        <f t="shared" ref="CH17:CH42" si="86">($D$60-CG17)/$D$62</f>
        <v>0.70889790133936115</v>
      </c>
      <c r="CI17" s="13">
        <v>10.9</v>
      </c>
      <c r="CJ17" s="9">
        <v>0.3614</v>
      </c>
      <c r="CK17" s="43">
        <f t="shared" ref="CK17:CK42" si="87">CJ17*CI17*$F$59/100</f>
        <v>7.4452013999999997E-2</v>
      </c>
      <c r="CL17" s="82">
        <f t="shared" ref="CL17:CL42" si="88">($D$60-CK17)/$D$62</f>
        <v>0.60772298075809839</v>
      </c>
    </row>
    <row r="18" spans="1:90" ht="18" customHeight="1">
      <c r="A18" s="77">
        <f t="shared" si="61"/>
        <v>1982</v>
      </c>
      <c r="B18" s="13">
        <v>12.2</v>
      </c>
      <c r="C18" s="13">
        <v>0.3024</v>
      </c>
      <c r="D18" s="43">
        <f t="shared" si="66"/>
        <v>6.9727391999999985E-2</v>
      </c>
      <c r="E18" s="43">
        <f t="shared" si="1"/>
        <v>0.64641543042138527</v>
      </c>
      <c r="F18" s="13">
        <v>21.2</v>
      </c>
      <c r="G18" s="13">
        <v>0.28889999999999999</v>
      </c>
      <c r="H18" s="43">
        <f t="shared" si="4"/>
        <v>0.11575645199999998</v>
      </c>
      <c r="I18" s="259">
        <f t="shared" si="5"/>
        <v>0.26945890625957725</v>
      </c>
      <c r="J18" s="13">
        <v>18.3</v>
      </c>
      <c r="K18" s="13">
        <v>0.24559999999999998</v>
      </c>
      <c r="L18" s="43">
        <f t="shared" si="8"/>
        <v>8.4945672E-2</v>
      </c>
      <c r="M18" s="367">
        <f t="shared" si="9"/>
        <v>0.52178481809688493</v>
      </c>
      <c r="N18" s="13">
        <v>16.7</v>
      </c>
      <c r="O18" s="13">
        <v>0.28460000000000002</v>
      </c>
      <c r="P18" s="43">
        <f t="shared" si="12"/>
        <v>8.9828297999999987E-2</v>
      </c>
      <c r="Q18" s="259">
        <f t="shared" si="63"/>
        <v>0.48179838939853509</v>
      </c>
      <c r="R18" s="13">
        <v>20.399999999999999</v>
      </c>
      <c r="S18" s="13">
        <v>0.29630000000000001</v>
      </c>
      <c r="T18" s="43">
        <f t="shared" si="15"/>
        <v>0.11424142799999998</v>
      </c>
      <c r="U18" s="259">
        <f t="shared" si="16"/>
        <v>0.28186624590678533</v>
      </c>
      <c r="V18" s="13">
        <v>14</v>
      </c>
      <c r="W18" s="13">
        <v>0.2838</v>
      </c>
      <c r="X18" s="43">
        <f t="shared" si="19"/>
        <v>7.509347999999999E-2</v>
      </c>
      <c r="Y18" s="259">
        <f t="shared" si="20"/>
        <v>0.60246967352723213</v>
      </c>
      <c r="Z18" s="13">
        <v>9.9</v>
      </c>
      <c r="AA18" s="13">
        <v>0.29710000000000003</v>
      </c>
      <c r="AB18" s="43">
        <f t="shared" si="23"/>
        <v>5.5590381000000001E-2</v>
      </c>
      <c r="AC18" s="259">
        <f t="shared" si="24"/>
        <v>0.76219095415785187</v>
      </c>
      <c r="AD18" s="13">
        <v>14.5</v>
      </c>
      <c r="AE18" s="13">
        <v>0.31430000000000002</v>
      </c>
      <c r="AF18" s="43">
        <f t="shared" si="27"/>
        <v>8.6133915000000005E-2</v>
      </c>
      <c r="AG18" s="259">
        <f t="shared" si="28"/>
        <v>0.51205366236310279</v>
      </c>
      <c r="AH18" s="13">
        <v>13.3</v>
      </c>
      <c r="AI18" s="13">
        <v>0.33450000000000002</v>
      </c>
      <c r="AJ18" s="43">
        <f t="shared" si="31"/>
        <v>8.408326499999999E-2</v>
      </c>
      <c r="AK18" s="259">
        <f t="shared" si="32"/>
        <v>0.5288475290263025</v>
      </c>
      <c r="AL18" s="13">
        <v>8.6999999999999993</v>
      </c>
      <c r="AM18" s="13">
        <v>0.33049999999999996</v>
      </c>
      <c r="AN18" s="43">
        <f t="shared" si="35"/>
        <v>5.4344114999999985E-2</v>
      </c>
      <c r="AO18" s="259">
        <f t="shared" si="36"/>
        <v>0.77239729118800282</v>
      </c>
      <c r="AP18" s="13">
        <v>11.6</v>
      </c>
      <c r="AQ18" s="13">
        <v>0.3528</v>
      </c>
      <c r="AR18" s="43">
        <f t="shared" si="39"/>
        <v>7.7347871999999998E-2</v>
      </c>
      <c r="AS18" s="82">
        <f t="shared" si="40"/>
        <v>0.58400725495039851</v>
      </c>
      <c r="AT18" s="86"/>
      <c r="AU18" s="13">
        <v>12.4</v>
      </c>
      <c r="AV18" s="9">
        <v>0.32539999999999997</v>
      </c>
      <c r="AW18" s="43">
        <f t="shared" si="67"/>
        <v>7.6260743999999991E-2</v>
      </c>
      <c r="AX18" s="43">
        <f t="shared" si="68"/>
        <v>0.41068271901797393</v>
      </c>
      <c r="AY18" s="13">
        <v>14.9</v>
      </c>
      <c r="AZ18" s="9">
        <v>0.27910000000000001</v>
      </c>
      <c r="BA18" s="43">
        <f t="shared" si="69"/>
        <v>7.8597350999999996E-2</v>
      </c>
      <c r="BB18" s="259">
        <f t="shared" si="70"/>
        <v>0.38805900501773233</v>
      </c>
      <c r="BC18" s="13">
        <v>10.7</v>
      </c>
      <c r="BD18" s="9">
        <v>0.24979999999999999</v>
      </c>
      <c r="BE18" s="43">
        <f t="shared" si="71"/>
        <v>5.0517053999999985E-2</v>
      </c>
      <c r="BF18" s="367">
        <f t="shared" si="72"/>
        <v>0.65994067291046798</v>
      </c>
      <c r="BG18" s="13">
        <v>12.5</v>
      </c>
      <c r="BH18" s="9">
        <v>0.31340000000000001</v>
      </c>
      <c r="BI18" s="43">
        <f t="shared" si="73"/>
        <v>7.4040750000000002E-2</v>
      </c>
      <c r="BJ18" s="259">
        <f t="shared" si="74"/>
        <v>0.43217735176462407</v>
      </c>
      <c r="BK18" s="13">
        <v>15.1</v>
      </c>
      <c r="BL18" s="9">
        <v>0.29960000000000003</v>
      </c>
      <c r="BM18" s="43">
        <f t="shared" si="75"/>
        <v>8.5502844000000008E-2</v>
      </c>
      <c r="BN18" s="259">
        <f t="shared" si="76"/>
        <v>0.51722183939429389</v>
      </c>
      <c r="BO18" s="13">
        <v>15</v>
      </c>
      <c r="BP18" s="9">
        <v>0.30109999999999998</v>
      </c>
      <c r="BQ18" s="43">
        <f t="shared" si="77"/>
        <v>8.5361850000000003E-2</v>
      </c>
      <c r="BR18" s="259">
        <f t="shared" si="78"/>
        <v>0.5183765144662521</v>
      </c>
      <c r="BS18" s="13">
        <v>10.9</v>
      </c>
      <c r="BT18" s="9">
        <v>0.32750000000000001</v>
      </c>
      <c r="BU18" s="43">
        <f t="shared" si="79"/>
        <v>6.7468275000000008E-2</v>
      </c>
      <c r="BV18" s="259">
        <f t="shared" si="80"/>
        <v>0.66491654454352556</v>
      </c>
      <c r="BW18" s="13">
        <v>15.5</v>
      </c>
      <c r="BX18" s="9">
        <v>0.33399999999999996</v>
      </c>
      <c r="BY18" s="43">
        <f t="shared" si="81"/>
        <v>9.7845299999999982E-2</v>
      </c>
      <c r="BZ18" s="259">
        <f t="shared" si="82"/>
        <v>0.41614288376539244</v>
      </c>
      <c r="CA18" s="13">
        <v>11</v>
      </c>
      <c r="CB18" s="9">
        <v>0.35220000000000001</v>
      </c>
      <c r="CC18" s="43">
        <f t="shared" si="83"/>
        <v>7.322237999999999E-2</v>
      </c>
      <c r="CD18" s="259">
        <f t="shared" si="84"/>
        <v>0.61779310946876909</v>
      </c>
      <c r="CE18" s="13">
        <v>9.1</v>
      </c>
      <c r="CF18" s="9">
        <v>0.35470000000000002</v>
      </c>
      <c r="CG18" s="43">
        <f t="shared" si="85"/>
        <v>6.1004852999999998E-2</v>
      </c>
      <c r="CH18" s="259">
        <f t="shared" si="86"/>
        <v>0.71784895487975586</v>
      </c>
      <c r="CI18" s="13">
        <v>12.1</v>
      </c>
      <c r="CJ18" s="9">
        <v>0.38429999999999997</v>
      </c>
      <c r="CK18" s="43">
        <f t="shared" si="87"/>
        <v>8.788556699999997E-2</v>
      </c>
      <c r="CL18" s="82">
        <f t="shared" si="88"/>
        <v>0.49770844980692491</v>
      </c>
    </row>
    <row r="19" spans="1:90" ht="18" customHeight="1">
      <c r="A19" s="77">
        <f t="shared" si="61"/>
        <v>1983</v>
      </c>
      <c r="B19" s="13">
        <v>12.9</v>
      </c>
      <c r="C19" s="13">
        <v>0.29320000000000002</v>
      </c>
      <c r="D19" s="43">
        <f t="shared" si="66"/>
        <v>7.1485092E-2</v>
      </c>
      <c r="E19" s="43">
        <f t="shared" si="1"/>
        <v>0.63202068756721408</v>
      </c>
      <c r="F19" s="13">
        <v>26.3</v>
      </c>
      <c r="G19" s="13">
        <v>0.27860000000000001</v>
      </c>
      <c r="H19" s="43">
        <f t="shared" si="4"/>
        <v>0.13848370199999999</v>
      </c>
      <c r="I19" s="259">
        <f t="shared" si="5"/>
        <v>8.333333333333337E-2</v>
      </c>
      <c r="J19" s="13">
        <v>14.3</v>
      </c>
      <c r="K19" s="13">
        <v>0.2452</v>
      </c>
      <c r="L19" s="43">
        <f t="shared" si="8"/>
        <v>6.6270203999999999E-2</v>
      </c>
      <c r="M19" s="367">
        <f t="shared" si="9"/>
        <v>0.67472818701154613</v>
      </c>
      <c r="N19" s="13">
        <v>16</v>
      </c>
      <c r="O19" s="13">
        <v>0.27250000000000002</v>
      </c>
      <c r="P19" s="43">
        <f t="shared" si="12"/>
        <v>8.2404000000000005E-2</v>
      </c>
      <c r="Q19" s="259">
        <f t="shared" si="63"/>
        <v>0.54259992582837868</v>
      </c>
      <c r="R19" s="13">
        <v>20.9</v>
      </c>
      <c r="S19" s="13">
        <v>0.31090000000000001</v>
      </c>
      <c r="T19" s="43">
        <f t="shared" si="15"/>
        <v>0.12280860899999999</v>
      </c>
      <c r="U19" s="259">
        <f t="shared" si="16"/>
        <v>0.21170503097810581</v>
      </c>
      <c r="V19" s="13">
        <v>14.1</v>
      </c>
      <c r="W19" s="13">
        <v>0.27910000000000001</v>
      </c>
      <c r="X19" s="43">
        <f t="shared" si="19"/>
        <v>7.4377359000000004E-2</v>
      </c>
      <c r="Y19" s="259">
        <f t="shared" si="20"/>
        <v>0.60833437037394744</v>
      </c>
      <c r="Z19" s="13">
        <v>10.4</v>
      </c>
      <c r="AA19" s="13">
        <v>0.30049999999999999</v>
      </c>
      <c r="AB19" s="43">
        <f t="shared" si="23"/>
        <v>5.9066279999999999E-2</v>
      </c>
      <c r="AC19" s="259">
        <f t="shared" si="24"/>
        <v>0.73372496320827552</v>
      </c>
      <c r="AD19" s="13">
        <v>13.6</v>
      </c>
      <c r="AE19" s="13">
        <v>0.30590000000000001</v>
      </c>
      <c r="AF19" s="43">
        <f t="shared" si="27"/>
        <v>7.8628535999999999E-2</v>
      </c>
      <c r="AG19" s="259">
        <f t="shared" si="28"/>
        <v>0.5735192143504132</v>
      </c>
      <c r="AH19" s="13">
        <v>16.8</v>
      </c>
      <c r="AI19" s="13">
        <v>0.25739999999999996</v>
      </c>
      <c r="AJ19" s="43">
        <f t="shared" si="31"/>
        <v>8.1729647999999988E-2</v>
      </c>
      <c r="AK19" s="259">
        <f t="shared" si="32"/>
        <v>0.54812255405458121</v>
      </c>
      <c r="AL19" s="13">
        <v>11.4</v>
      </c>
      <c r="AM19" s="13">
        <v>0.34450000000000003</v>
      </c>
      <c r="AN19" s="43">
        <f t="shared" si="35"/>
        <v>7.4225970000000002E-2</v>
      </c>
      <c r="AO19" s="259">
        <f t="shared" si="36"/>
        <v>0.60957417564558092</v>
      </c>
      <c r="AP19" s="13">
        <v>12.4</v>
      </c>
      <c r="AQ19" s="13">
        <v>0.29220000000000002</v>
      </c>
      <c r="AR19" s="43">
        <f t="shared" si="39"/>
        <v>6.8479992000000003E-2</v>
      </c>
      <c r="AS19" s="82">
        <f t="shared" si="40"/>
        <v>0.65663105438240976</v>
      </c>
      <c r="AT19" s="86"/>
      <c r="AU19" s="13">
        <v>14</v>
      </c>
      <c r="AV19" s="9">
        <v>0.32679999999999998</v>
      </c>
      <c r="AW19" s="43">
        <f t="shared" si="67"/>
        <v>8.6471279999999984E-2</v>
      </c>
      <c r="AX19" s="43">
        <f t="shared" si="68"/>
        <v>0.31182131602929408</v>
      </c>
      <c r="AY19" s="13">
        <v>20.2</v>
      </c>
      <c r="AZ19" s="9">
        <v>0.26350000000000001</v>
      </c>
      <c r="BA19" s="43">
        <f t="shared" si="69"/>
        <v>0.10059903000000001</v>
      </c>
      <c r="BB19" s="259">
        <f t="shared" si="70"/>
        <v>0.17503229867767567</v>
      </c>
      <c r="BC19" s="13">
        <v>9.1999999999999993</v>
      </c>
      <c r="BD19" s="9">
        <v>0.31850000000000001</v>
      </c>
      <c r="BE19" s="43">
        <f t="shared" si="71"/>
        <v>5.5380779999999991E-2</v>
      </c>
      <c r="BF19" s="367">
        <f t="shared" si="72"/>
        <v>0.61284865187332338</v>
      </c>
      <c r="BG19" s="13">
        <v>12.2</v>
      </c>
      <c r="BH19" s="9">
        <v>0.31679999999999997</v>
      </c>
      <c r="BI19" s="43">
        <f t="shared" si="73"/>
        <v>7.3047743999999984E-2</v>
      </c>
      <c r="BJ19" s="259">
        <f t="shared" si="74"/>
        <v>0.44179192697753933</v>
      </c>
      <c r="BK19" s="13">
        <v>18.2</v>
      </c>
      <c r="BL19" s="9">
        <v>0.31559999999999999</v>
      </c>
      <c r="BM19" s="43">
        <f t="shared" si="75"/>
        <v>0.10856008799999999</v>
      </c>
      <c r="BN19" s="259">
        <f t="shared" si="76"/>
        <v>0.32839376958381555</v>
      </c>
      <c r="BO19" s="13">
        <v>15.9</v>
      </c>
      <c r="BP19" s="9">
        <v>0.32159999999999994</v>
      </c>
      <c r="BQ19" s="43">
        <f t="shared" si="77"/>
        <v>9.6644015999999985E-2</v>
      </c>
      <c r="BR19" s="259">
        <f t="shared" si="78"/>
        <v>0.42598083920422153</v>
      </c>
      <c r="BS19" s="13">
        <v>12.8</v>
      </c>
      <c r="BT19" s="9">
        <v>0.32140000000000002</v>
      </c>
      <c r="BU19" s="43">
        <f t="shared" si="79"/>
        <v>7.7753087999999998E-2</v>
      </c>
      <c r="BV19" s="259">
        <f t="shared" si="80"/>
        <v>0.58068872498487778</v>
      </c>
      <c r="BW19" s="13">
        <v>13.7</v>
      </c>
      <c r="BX19" s="9">
        <v>0.36849999999999999</v>
      </c>
      <c r="BY19" s="43">
        <f t="shared" si="81"/>
        <v>9.541570499999999E-2</v>
      </c>
      <c r="BZ19" s="259">
        <f t="shared" si="82"/>
        <v>0.43604013316220619</v>
      </c>
      <c r="CA19" s="13">
        <v>12</v>
      </c>
      <c r="CB19" s="9">
        <v>0.31109999999999999</v>
      </c>
      <c r="CC19" s="43">
        <f t="shared" si="83"/>
        <v>7.0557479999999992E-2</v>
      </c>
      <c r="CD19" s="259">
        <f t="shared" si="84"/>
        <v>0.63961739702186704</v>
      </c>
      <c r="CE19" s="13">
        <v>13.1</v>
      </c>
      <c r="CF19" s="9">
        <v>0.37130000000000002</v>
      </c>
      <c r="CG19" s="43">
        <f t="shared" si="85"/>
        <v>9.1930167000000007E-2</v>
      </c>
      <c r="CH19" s="259">
        <f t="shared" si="86"/>
        <v>0.46458506302420843</v>
      </c>
      <c r="CI19" s="13">
        <v>13.5</v>
      </c>
      <c r="CJ19" s="9">
        <v>0.3372</v>
      </c>
      <c r="CK19" s="43">
        <f t="shared" si="87"/>
        <v>8.6036579999999988E-2</v>
      </c>
      <c r="CL19" s="82">
        <f t="shared" si="88"/>
        <v>0.51285079059642535</v>
      </c>
    </row>
    <row r="20" spans="1:90" ht="18" customHeight="1">
      <c r="A20" s="77">
        <f t="shared" si="61"/>
        <v>1984</v>
      </c>
      <c r="B20" s="13">
        <v>13</v>
      </c>
      <c r="C20" s="13">
        <v>0.31090000000000001</v>
      </c>
      <c r="D20" s="43">
        <f t="shared" si="66"/>
        <v>7.6388130000000012E-2</v>
      </c>
      <c r="E20" s="43">
        <f t="shared" si="1"/>
        <v>0.5918670941131382</v>
      </c>
      <c r="F20" s="13">
        <v>23.2</v>
      </c>
      <c r="G20" s="13">
        <v>0.29139999999999999</v>
      </c>
      <c r="H20" s="43">
        <f t="shared" si="4"/>
        <v>0.12777307199999999</v>
      </c>
      <c r="I20" s="259">
        <f t="shared" si="5"/>
        <v>0.17104839543504011</v>
      </c>
      <c r="J20" s="13">
        <v>15.3</v>
      </c>
      <c r="K20" s="13">
        <v>0.2792</v>
      </c>
      <c r="L20" s="43">
        <f t="shared" si="8"/>
        <v>8.0736264000000002E-2</v>
      </c>
      <c r="M20" s="367">
        <f t="shared" si="9"/>
        <v>0.55625790549990617</v>
      </c>
      <c r="N20" s="13">
        <v>15</v>
      </c>
      <c r="O20" s="13">
        <v>0.29780000000000001</v>
      </c>
      <c r="P20" s="43">
        <f t="shared" si="12"/>
        <v>8.442630000000001E-2</v>
      </c>
      <c r="Q20" s="259">
        <f t="shared" si="63"/>
        <v>0.52603823243702053</v>
      </c>
      <c r="R20" s="13">
        <v>20</v>
      </c>
      <c r="S20" s="13">
        <v>0.28989999999999999</v>
      </c>
      <c r="T20" s="43">
        <f t="shared" si="15"/>
        <v>0.10958219999999999</v>
      </c>
      <c r="U20" s="259">
        <f t="shared" si="16"/>
        <v>0.32002314922302444</v>
      </c>
      <c r="V20" s="13">
        <v>15.2</v>
      </c>
      <c r="W20" s="13">
        <v>0.28639999999999999</v>
      </c>
      <c r="X20" s="43">
        <f t="shared" si="19"/>
        <v>8.2276991999999993E-2</v>
      </c>
      <c r="Y20" s="259">
        <f t="shared" si="20"/>
        <v>0.5436400620862285</v>
      </c>
      <c r="Z20" s="13">
        <v>9.6</v>
      </c>
      <c r="AA20" s="13">
        <v>0.3246</v>
      </c>
      <c r="AB20" s="43">
        <f t="shared" si="23"/>
        <v>5.8895423999999988E-2</v>
      </c>
      <c r="AC20" s="259">
        <f t="shared" si="24"/>
        <v>0.73512419412657348</v>
      </c>
      <c r="AD20" s="13">
        <v>13.3</v>
      </c>
      <c r="AE20" s="13">
        <v>0.34320000000000001</v>
      </c>
      <c r="AF20" s="43">
        <f t="shared" si="27"/>
        <v>8.6270184000000014E-2</v>
      </c>
      <c r="AG20" s="259">
        <f t="shared" si="28"/>
        <v>0.51093768283645147</v>
      </c>
      <c r="AH20" s="13">
        <v>17.600000000000001</v>
      </c>
      <c r="AI20" s="13">
        <v>0.31739999999999996</v>
      </c>
      <c r="AJ20" s="43">
        <f t="shared" si="31"/>
        <v>0.105579936</v>
      </c>
      <c r="AK20" s="259">
        <f t="shared" si="32"/>
        <v>0.35279982391979059</v>
      </c>
      <c r="AL20" s="13">
        <v>12.6</v>
      </c>
      <c r="AM20" s="13">
        <v>0.35820000000000002</v>
      </c>
      <c r="AN20" s="43">
        <f t="shared" si="35"/>
        <v>8.5301747999999997E-2</v>
      </c>
      <c r="AO20" s="259">
        <f t="shared" si="36"/>
        <v>0.51886872180255617</v>
      </c>
      <c r="AP20" s="13">
        <v>13.2</v>
      </c>
      <c r="AQ20" s="13">
        <v>0.313</v>
      </c>
      <c r="AR20" s="43">
        <f t="shared" si="39"/>
        <v>7.8087239999999988E-2</v>
      </c>
      <c r="AS20" s="82">
        <f t="shared" si="40"/>
        <v>0.57795217602077309</v>
      </c>
      <c r="AT20" s="86"/>
      <c r="AU20" s="13">
        <v>13.7</v>
      </c>
      <c r="AV20" s="9">
        <v>0.33380000000000004</v>
      </c>
      <c r="AW20" s="43">
        <f t="shared" si="67"/>
        <v>8.6430833999999998E-2</v>
      </c>
      <c r="AX20" s="43">
        <f t="shared" si="68"/>
        <v>0.31221292605890261</v>
      </c>
      <c r="AY20" s="13">
        <v>16.5</v>
      </c>
      <c r="AZ20" s="9">
        <v>0.29199999999999998</v>
      </c>
      <c r="BA20" s="43">
        <f t="shared" si="69"/>
        <v>9.1060199999999994E-2</v>
      </c>
      <c r="BB20" s="259">
        <f t="shared" si="70"/>
        <v>0.26739004724939713</v>
      </c>
      <c r="BC20" s="13">
        <v>8.6</v>
      </c>
      <c r="BD20" s="9">
        <v>0.3478</v>
      </c>
      <c r="BE20" s="43">
        <f t="shared" si="71"/>
        <v>5.6531411999999996E-2</v>
      </c>
      <c r="BF20" s="367">
        <f t="shared" si="72"/>
        <v>0.60170789551698023</v>
      </c>
      <c r="BG20" s="13">
        <v>12.2</v>
      </c>
      <c r="BH20" s="9">
        <v>0.32</v>
      </c>
      <c r="BI20" s="43">
        <f t="shared" si="73"/>
        <v>7.3785599999999993E-2</v>
      </c>
      <c r="BJ20" s="259">
        <f t="shared" si="74"/>
        <v>0.43464778886729555</v>
      </c>
      <c r="BK20" s="13">
        <v>15.5</v>
      </c>
      <c r="BL20" s="9">
        <v>0.29980000000000001</v>
      </c>
      <c r="BM20" s="43">
        <f t="shared" si="75"/>
        <v>8.7826409999999994E-2</v>
      </c>
      <c r="BN20" s="259">
        <f t="shared" si="76"/>
        <v>0.49819291803416726</v>
      </c>
      <c r="BO20" s="13">
        <v>16.399999999999999</v>
      </c>
      <c r="BP20" s="9">
        <v>0.314</v>
      </c>
      <c r="BQ20" s="43">
        <f t="shared" si="77"/>
        <v>9.7327439999999987E-2</v>
      </c>
      <c r="BR20" s="259">
        <f t="shared" si="78"/>
        <v>0.42038391553102988</v>
      </c>
      <c r="BS20" s="13">
        <v>11.2</v>
      </c>
      <c r="BT20" s="9">
        <v>0.34250000000000003</v>
      </c>
      <c r="BU20" s="43">
        <f t="shared" si="79"/>
        <v>7.2500399999999993E-2</v>
      </c>
      <c r="BV20" s="259">
        <f t="shared" si="80"/>
        <v>0.62370578879166505</v>
      </c>
      <c r="BW20" s="13">
        <v>14.2</v>
      </c>
      <c r="BX20" s="9">
        <v>0.35570000000000002</v>
      </c>
      <c r="BY20" s="43">
        <f t="shared" si="81"/>
        <v>9.5462765999999991E-2</v>
      </c>
      <c r="BZ20" s="259">
        <f t="shared" si="82"/>
        <v>0.43565472553094936</v>
      </c>
      <c r="CA20" s="13">
        <v>13.8</v>
      </c>
      <c r="CB20" s="9">
        <v>0.33179999999999998</v>
      </c>
      <c r="CC20" s="43">
        <f t="shared" si="83"/>
        <v>8.654007599999998E-2</v>
      </c>
      <c r="CD20" s="259">
        <f t="shared" si="84"/>
        <v>0.5087273932885209</v>
      </c>
      <c r="CE20" s="13">
        <v>14.9</v>
      </c>
      <c r="CF20" s="9">
        <v>0.38009999999999999</v>
      </c>
      <c r="CG20" s="43">
        <f t="shared" si="85"/>
        <v>0.10703996099999999</v>
      </c>
      <c r="CH20" s="259">
        <f t="shared" si="86"/>
        <v>0.34084290041995507</v>
      </c>
      <c r="CI20" s="13">
        <v>14.2</v>
      </c>
      <c r="CJ20" s="9">
        <v>0.33929999999999999</v>
      </c>
      <c r="CK20" s="43">
        <f t="shared" si="87"/>
        <v>9.1061333999999994E-2</v>
      </c>
      <c r="CL20" s="82">
        <f t="shared" si="88"/>
        <v>0.47170039989524343</v>
      </c>
    </row>
    <row r="21" spans="1:90" ht="18" customHeight="1">
      <c r="A21" s="77">
        <f t="shared" si="61"/>
        <v>1985</v>
      </c>
      <c r="B21" s="13">
        <v>12.1</v>
      </c>
      <c r="C21" s="13">
        <v>0.30260000000000004</v>
      </c>
      <c r="D21" s="43">
        <f t="shared" si="66"/>
        <v>6.9201594000000005E-2</v>
      </c>
      <c r="E21" s="43">
        <f t="shared" si="1"/>
        <v>0.65072147070313824</v>
      </c>
      <c r="F21" s="13">
        <v>23.8</v>
      </c>
      <c r="G21" s="13">
        <v>0.2883</v>
      </c>
      <c r="H21" s="43">
        <f t="shared" si="4"/>
        <v>0.12968310599999999</v>
      </c>
      <c r="I21" s="259">
        <f t="shared" si="5"/>
        <v>0.15540610820017423</v>
      </c>
      <c r="J21" s="13">
        <v>16.2</v>
      </c>
      <c r="K21" s="13">
        <v>0.23039999999999999</v>
      </c>
      <c r="L21" s="43">
        <f t="shared" si="8"/>
        <v>7.0543871999999994E-2</v>
      </c>
      <c r="M21" s="367">
        <f t="shared" si="9"/>
        <v>0.63972884019235088</v>
      </c>
      <c r="N21" s="13">
        <v>15</v>
      </c>
      <c r="O21" s="13">
        <v>0.27940000000000004</v>
      </c>
      <c r="P21" s="43">
        <f t="shared" si="12"/>
        <v>7.92099E-2</v>
      </c>
      <c r="Q21" s="259">
        <f t="shared" si="63"/>
        <v>0.56875811445585078</v>
      </c>
      <c r="R21" s="13">
        <v>16.100000000000001</v>
      </c>
      <c r="S21" s="13">
        <v>0.29600000000000004</v>
      </c>
      <c r="T21" s="43">
        <f t="shared" si="15"/>
        <v>9.0069840000000012E-2</v>
      </c>
      <c r="U21" s="259">
        <f t="shared" si="16"/>
        <v>0.47982027312244557</v>
      </c>
      <c r="V21" s="13">
        <v>14.1</v>
      </c>
      <c r="W21" s="13">
        <v>0.28149999999999997</v>
      </c>
      <c r="X21" s="43">
        <f t="shared" si="19"/>
        <v>7.5016934999999993E-2</v>
      </c>
      <c r="Y21" s="259">
        <f t="shared" si="20"/>
        <v>0.60309654136120405</v>
      </c>
      <c r="Z21" s="13">
        <v>8.8000000000000007</v>
      </c>
      <c r="AA21" s="13">
        <v>0.31079999999999997</v>
      </c>
      <c r="AB21" s="43">
        <f t="shared" si="23"/>
        <v>5.1692255999999992E-2</v>
      </c>
      <c r="AC21" s="259">
        <f t="shared" si="24"/>
        <v>0.79411477903605376</v>
      </c>
      <c r="AD21" s="13">
        <v>13.1</v>
      </c>
      <c r="AE21" s="13">
        <v>0.30870000000000003</v>
      </c>
      <c r="AF21" s="43">
        <f t="shared" si="27"/>
        <v>7.6431032999999995E-2</v>
      </c>
      <c r="AG21" s="259">
        <f t="shared" si="28"/>
        <v>0.59151573856175155</v>
      </c>
      <c r="AH21" s="13">
        <v>16.600000000000001</v>
      </c>
      <c r="AI21" s="13">
        <v>0.36890000000000001</v>
      </c>
      <c r="AJ21" s="43">
        <f t="shared" si="31"/>
        <v>0.11573868600000001</v>
      </c>
      <c r="AK21" s="259">
        <f t="shared" si="32"/>
        <v>0.26960440150993104</v>
      </c>
      <c r="AL21" s="13">
        <v>10</v>
      </c>
      <c r="AM21" s="13">
        <v>0.33039999999999997</v>
      </c>
      <c r="AN21" s="43">
        <f t="shared" si="35"/>
        <v>6.244559999999999E-2</v>
      </c>
      <c r="AO21" s="259">
        <f t="shared" si="36"/>
        <v>0.70604990920477251</v>
      </c>
      <c r="AP21" s="13">
        <v>13.8</v>
      </c>
      <c r="AQ21" s="13">
        <v>0.30670000000000003</v>
      </c>
      <c r="AR21" s="43">
        <f t="shared" si="39"/>
        <v>7.9993494000000012E-2</v>
      </c>
      <c r="AS21" s="82">
        <f t="shared" si="40"/>
        <v>0.56234084522215255</v>
      </c>
      <c r="AT21" s="86"/>
      <c r="AU21" s="13">
        <v>13</v>
      </c>
      <c r="AV21" s="9">
        <v>0.31719999999999998</v>
      </c>
      <c r="AW21" s="43">
        <f t="shared" si="67"/>
        <v>7.7936039999999998E-2</v>
      </c>
      <c r="AX21" s="43">
        <f t="shared" si="68"/>
        <v>0.39446201199717462</v>
      </c>
      <c r="AY21" s="13">
        <v>16.8</v>
      </c>
      <c r="AZ21" s="9">
        <v>0.30430000000000001</v>
      </c>
      <c r="BA21" s="43">
        <f t="shared" si="69"/>
        <v>9.6621336000000002E-2</v>
      </c>
      <c r="BB21" s="259">
        <f t="shared" si="70"/>
        <v>0.21354549813161761</v>
      </c>
      <c r="BC21" s="13">
        <v>8.5</v>
      </c>
      <c r="BD21" s="9">
        <v>0.26960000000000001</v>
      </c>
      <c r="BE21" s="43">
        <f t="shared" si="71"/>
        <v>4.3311239999999994E-2</v>
      </c>
      <c r="BF21" s="367">
        <f t="shared" si="72"/>
        <v>0.7297094765967258</v>
      </c>
      <c r="BG21" s="13">
        <v>11.7</v>
      </c>
      <c r="BH21" s="9">
        <v>0.30530000000000002</v>
      </c>
      <c r="BI21" s="43">
        <f t="shared" si="73"/>
        <v>6.7510988999999993E-2</v>
      </c>
      <c r="BJ21" s="259">
        <f t="shared" si="74"/>
        <v>0.49540041210550789</v>
      </c>
      <c r="BK21" s="13">
        <v>12.1</v>
      </c>
      <c r="BL21" s="9">
        <v>0.30020000000000002</v>
      </c>
      <c r="BM21" s="43">
        <f t="shared" si="75"/>
        <v>6.8652737999999991E-2</v>
      </c>
      <c r="BN21" s="259">
        <f t="shared" si="76"/>
        <v>0.65521634524598915</v>
      </c>
      <c r="BO21" s="13">
        <v>15.7</v>
      </c>
      <c r="BP21" s="9">
        <v>0.29020000000000001</v>
      </c>
      <c r="BQ21" s="43">
        <f t="shared" si="77"/>
        <v>8.6111045999999997E-2</v>
      </c>
      <c r="BR21" s="259">
        <f t="shared" si="78"/>
        <v>0.51224094880238835</v>
      </c>
      <c r="BS21" s="13">
        <v>10.4</v>
      </c>
      <c r="BT21" s="9">
        <v>0.32299999999999995</v>
      </c>
      <c r="BU21" s="43">
        <f t="shared" si="79"/>
        <v>6.3488879999999984E-2</v>
      </c>
      <c r="BV21" s="259">
        <f t="shared" si="80"/>
        <v>0.69750593280100659</v>
      </c>
      <c r="BW21" s="13">
        <v>13.8</v>
      </c>
      <c r="BX21" s="9">
        <v>0.33450000000000002</v>
      </c>
      <c r="BY21" s="43">
        <f t="shared" si="81"/>
        <v>8.7244290000000002E-2</v>
      </c>
      <c r="BZ21" s="259">
        <f t="shared" si="82"/>
        <v>0.50296020921597862</v>
      </c>
      <c r="CA21" s="13">
        <v>13.3</v>
      </c>
      <c r="CB21" s="9">
        <v>0.40549999999999997</v>
      </c>
      <c r="CC21" s="43">
        <f t="shared" si="83"/>
        <v>0.10193053499999999</v>
      </c>
      <c r="CD21" s="259">
        <f t="shared" si="84"/>
        <v>0.38268671529303677</v>
      </c>
      <c r="CE21" s="13">
        <v>12.5</v>
      </c>
      <c r="CF21" s="9">
        <v>0.33020000000000005</v>
      </c>
      <c r="CG21" s="43">
        <f t="shared" si="85"/>
        <v>7.8009750000000003E-2</v>
      </c>
      <c r="CH21" s="259">
        <f t="shared" si="86"/>
        <v>0.57858678296380628</v>
      </c>
      <c r="CI21" s="13">
        <v>15.1</v>
      </c>
      <c r="CJ21" s="9">
        <v>0.33759999999999996</v>
      </c>
      <c r="CK21" s="43">
        <f t="shared" si="87"/>
        <v>9.6347663999999986E-2</v>
      </c>
      <c r="CL21" s="82">
        <f t="shared" si="88"/>
        <v>0.428407823805871</v>
      </c>
    </row>
    <row r="22" spans="1:90" ht="18" customHeight="1">
      <c r="A22" s="77">
        <f t="shared" si="61"/>
        <v>1986</v>
      </c>
      <c r="B22" s="13">
        <v>11.6</v>
      </c>
      <c r="C22" s="13">
        <v>0.29719999999999996</v>
      </c>
      <c r="D22" s="43">
        <f t="shared" si="66"/>
        <v>6.5158127999999996E-2</v>
      </c>
      <c r="E22" s="43">
        <f t="shared" si="1"/>
        <v>0.68383557055498079</v>
      </c>
      <c r="F22" s="13">
        <v>23.3</v>
      </c>
      <c r="G22" s="13">
        <v>0.27610000000000001</v>
      </c>
      <c r="H22" s="43">
        <f t="shared" si="4"/>
        <v>0.121586157</v>
      </c>
      <c r="I22" s="259">
        <f t="shared" si="5"/>
        <v>0.22171634245990979</v>
      </c>
      <c r="J22" s="13">
        <v>14.4</v>
      </c>
      <c r="K22" s="13">
        <v>0.23050000000000001</v>
      </c>
      <c r="L22" s="43">
        <f t="shared" si="8"/>
        <v>6.2732880000000005E-2</v>
      </c>
      <c r="M22" s="367">
        <f t="shared" si="9"/>
        <v>0.70369722005011226</v>
      </c>
      <c r="N22" s="13">
        <v>15.8</v>
      </c>
      <c r="O22" s="13">
        <v>0.27649999999999997</v>
      </c>
      <c r="P22" s="43">
        <f t="shared" si="12"/>
        <v>8.2568429999999984E-2</v>
      </c>
      <c r="Q22" s="259">
        <f t="shared" si="63"/>
        <v>0.54125332085169831</v>
      </c>
      <c r="R22" s="13">
        <v>15.8</v>
      </c>
      <c r="S22" s="13">
        <v>0.28570000000000001</v>
      </c>
      <c r="T22" s="43">
        <f t="shared" si="15"/>
        <v>8.5315734000000004E-2</v>
      </c>
      <c r="U22" s="259">
        <f t="shared" si="16"/>
        <v>0.51875418298844755</v>
      </c>
      <c r="V22" s="13">
        <v>13.6</v>
      </c>
      <c r="W22" s="13">
        <v>0.2878</v>
      </c>
      <c r="X22" s="43">
        <f t="shared" si="19"/>
        <v>7.3976111999999997E-2</v>
      </c>
      <c r="Y22" s="259">
        <f t="shared" si="20"/>
        <v>0.6116203960814105</v>
      </c>
      <c r="Z22" s="13">
        <v>8.1999999999999993</v>
      </c>
      <c r="AA22" s="13">
        <v>0.29969999999999997</v>
      </c>
      <c r="AB22" s="43">
        <f t="shared" si="23"/>
        <v>4.6447505999999986E-2</v>
      </c>
      <c r="AC22" s="259">
        <f t="shared" si="24"/>
        <v>0.83706683432672546</v>
      </c>
      <c r="AD22" s="13">
        <v>13.9</v>
      </c>
      <c r="AE22" s="13">
        <v>0.29649999999999999</v>
      </c>
      <c r="AF22" s="43">
        <f t="shared" si="27"/>
        <v>7.7893514999999983E-2</v>
      </c>
      <c r="AG22" s="259">
        <f t="shared" si="28"/>
        <v>0.57953869337835651</v>
      </c>
      <c r="AH22" s="13">
        <v>18.100000000000001</v>
      </c>
      <c r="AI22" s="13">
        <v>0.3543</v>
      </c>
      <c r="AJ22" s="43">
        <f t="shared" si="31"/>
        <v>0.121202487</v>
      </c>
      <c r="AK22" s="259">
        <f t="shared" si="32"/>
        <v>0.22485842073883103</v>
      </c>
      <c r="AL22" s="13">
        <v>10</v>
      </c>
      <c r="AM22" s="13">
        <v>0.32390000000000002</v>
      </c>
      <c r="AN22" s="43">
        <f t="shared" si="35"/>
        <v>6.1217100000000003E-2</v>
      </c>
      <c r="AO22" s="259">
        <f t="shared" si="36"/>
        <v>0.71611075098456944</v>
      </c>
      <c r="AP22" s="13">
        <v>12</v>
      </c>
      <c r="AQ22" s="13">
        <v>0.29249999999999998</v>
      </c>
      <c r="AR22" s="43">
        <f t="shared" si="39"/>
        <v>6.6338999999999995E-2</v>
      </c>
      <c r="AS22" s="82">
        <f t="shared" si="40"/>
        <v>0.67416477987187751</v>
      </c>
      <c r="AT22" s="86"/>
      <c r="AU22" s="13">
        <v>12.1</v>
      </c>
      <c r="AV22" s="9">
        <v>0.31390000000000001</v>
      </c>
      <c r="AW22" s="43">
        <f t="shared" si="67"/>
        <v>7.1785790999999988E-2</v>
      </c>
      <c r="AX22" s="43">
        <f t="shared" si="68"/>
        <v>0.45401052589201096</v>
      </c>
      <c r="AY22" s="13">
        <v>14.9</v>
      </c>
      <c r="AZ22" s="9">
        <v>0.29649999999999999</v>
      </c>
      <c r="BA22" s="43">
        <f t="shared" si="69"/>
        <v>8.349736499999999E-2</v>
      </c>
      <c r="BB22" s="259">
        <f t="shared" si="70"/>
        <v>0.34061563292598585</v>
      </c>
      <c r="BC22" s="13">
        <v>7</v>
      </c>
      <c r="BD22" s="9">
        <v>0.26179999999999998</v>
      </c>
      <c r="BE22" s="43">
        <f t="shared" si="71"/>
        <v>3.4636139999999996E-2</v>
      </c>
      <c r="BF22" s="367">
        <f t="shared" si="72"/>
        <v>0.81370433808755238</v>
      </c>
      <c r="BG22" s="13">
        <v>10.8</v>
      </c>
      <c r="BH22" s="9">
        <v>0.31019999999999998</v>
      </c>
      <c r="BI22" s="43">
        <f t="shared" si="73"/>
        <v>6.3318023999999987E-2</v>
      </c>
      <c r="BJ22" s="259">
        <f t="shared" si="74"/>
        <v>0.53599792849274075</v>
      </c>
      <c r="BK22" s="13">
        <v>11.8</v>
      </c>
      <c r="BL22" s="9">
        <v>0.29930000000000001</v>
      </c>
      <c r="BM22" s="43">
        <f t="shared" si="75"/>
        <v>6.6749886000000008E-2</v>
      </c>
      <c r="BN22" s="259">
        <f t="shared" si="76"/>
        <v>0.6707998152519884</v>
      </c>
      <c r="BO22" s="13">
        <v>15.3</v>
      </c>
      <c r="BP22" s="9">
        <v>0.29350000000000004</v>
      </c>
      <c r="BQ22" s="43">
        <f t="shared" si="77"/>
        <v>8.4871395000000016E-2</v>
      </c>
      <c r="BR22" s="259">
        <f t="shared" si="78"/>
        <v>0.52239311206910943</v>
      </c>
      <c r="BS22" s="13">
        <v>9.1</v>
      </c>
      <c r="BT22" s="9">
        <v>0.3286</v>
      </c>
      <c r="BU22" s="43">
        <f t="shared" si="79"/>
        <v>5.6515913999999993E-2</v>
      </c>
      <c r="BV22" s="259">
        <f t="shared" si="80"/>
        <v>0.75461127074313394</v>
      </c>
      <c r="BW22" s="13">
        <v>13.9</v>
      </c>
      <c r="BX22" s="9">
        <v>0.32850000000000001</v>
      </c>
      <c r="BY22" s="43">
        <f t="shared" si="81"/>
        <v>8.6300235000000003E-2</v>
      </c>
      <c r="BZ22" s="259">
        <f t="shared" si="82"/>
        <v>0.51069157916829955</v>
      </c>
      <c r="CA22" s="13">
        <v>15.3</v>
      </c>
      <c r="CB22" s="9">
        <v>0.34850000000000003</v>
      </c>
      <c r="CC22" s="43">
        <f t="shared" si="83"/>
        <v>0.10077574500000001</v>
      </c>
      <c r="CD22" s="259">
        <f t="shared" si="84"/>
        <v>0.3921439065660457</v>
      </c>
      <c r="CE22" s="13">
        <v>11.4</v>
      </c>
      <c r="CF22" s="9">
        <v>0.33310000000000001</v>
      </c>
      <c r="CG22" s="43">
        <f t="shared" si="85"/>
        <v>7.1769726000000006E-2</v>
      </c>
      <c r="CH22" s="259">
        <f t="shared" si="86"/>
        <v>0.62968966791792569</v>
      </c>
      <c r="CI22" s="13">
        <v>13.3</v>
      </c>
      <c r="CJ22" s="9">
        <v>0.31140000000000001</v>
      </c>
      <c r="CK22" s="43">
        <f t="shared" si="87"/>
        <v>7.8276618000000006E-2</v>
      </c>
      <c r="CL22" s="82">
        <f t="shared" si="88"/>
        <v>0.5764012585648719</v>
      </c>
    </row>
    <row r="23" spans="1:90" ht="18" customHeight="1">
      <c r="A23" s="77">
        <f t="shared" si="61"/>
        <v>1987</v>
      </c>
      <c r="B23" s="13">
        <v>11.5</v>
      </c>
      <c r="C23" s="13">
        <v>0.28899999999999998</v>
      </c>
      <c r="D23" s="43">
        <f t="shared" si="66"/>
        <v>6.2814149999999985E-2</v>
      </c>
      <c r="E23" s="43">
        <f t="shared" si="1"/>
        <v>0.70303165667083345</v>
      </c>
      <c r="F23" s="13">
        <v>22</v>
      </c>
      <c r="G23" s="13">
        <v>0.28639999999999999</v>
      </c>
      <c r="H23" s="43">
        <f t="shared" si="4"/>
        <v>0.11908511999999999</v>
      </c>
      <c r="I23" s="259">
        <f t="shared" si="5"/>
        <v>0.24219866850176425</v>
      </c>
      <c r="J23" s="13">
        <v>14</v>
      </c>
      <c r="K23" s="13">
        <v>0.255</v>
      </c>
      <c r="L23" s="43">
        <f t="shared" si="8"/>
        <v>6.7473000000000005E-2</v>
      </c>
      <c r="M23" s="367">
        <f t="shared" si="9"/>
        <v>0.66487784899821867</v>
      </c>
      <c r="N23" s="13">
        <v>13.8</v>
      </c>
      <c r="O23" s="13">
        <v>0.29780000000000001</v>
      </c>
      <c r="P23" s="43">
        <f t="shared" si="12"/>
        <v>7.7672196000000013E-2</v>
      </c>
      <c r="Q23" s="259">
        <f t="shared" si="63"/>
        <v>0.58135119272053193</v>
      </c>
      <c r="R23" s="13">
        <v>16.8</v>
      </c>
      <c r="S23" s="13">
        <v>0.2878</v>
      </c>
      <c r="T23" s="43">
        <f t="shared" si="15"/>
        <v>9.1382255999999995E-2</v>
      </c>
      <c r="U23" s="259">
        <f t="shared" si="16"/>
        <v>0.46907219845799797</v>
      </c>
      <c r="V23" s="13">
        <v>14.1</v>
      </c>
      <c r="W23" s="13">
        <v>0.28149999999999997</v>
      </c>
      <c r="X23" s="43">
        <f t="shared" si="19"/>
        <v>7.5016934999999993E-2</v>
      </c>
      <c r="Y23" s="259">
        <f t="shared" si="20"/>
        <v>0.60309654136120405</v>
      </c>
      <c r="Z23" s="13">
        <v>7.4</v>
      </c>
      <c r="AA23" s="13">
        <v>0.2843</v>
      </c>
      <c r="AB23" s="43">
        <f t="shared" si="23"/>
        <v>3.9762198000000006E-2</v>
      </c>
      <c r="AC23" s="259">
        <f t="shared" si="24"/>
        <v>0.89181638747056813</v>
      </c>
      <c r="AD23" s="13">
        <v>13.3</v>
      </c>
      <c r="AE23" s="13">
        <v>0.28449999999999998</v>
      </c>
      <c r="AF23" s="43">
        <f t="shared" si="27"/>
        <v>7.1514764999999994E-2</v>
      </c>
      <c r="AG23" s="259">
        <f t="shared" si="28"/>
        <v>0.63177767954268682</v>
      </c>
      <c r="AH23" s="13">
        <v>15.8</v>
      </c>
      <c r="AI23" s="13">
        <v>0.3009</v>
      </c>
      <c r="AJ23" s="43">
        <f t="shared" si="31"/>
        <v>8.9854757999999993E-2</v>
      </c>
      <c r="AK23" s="259">
        <f t="shared" si="32"/>
        <v>0.48158169434481635</v>
      </c>
      <c r="AL23" s="13">
        <v>12.5</v>
      </c>
      <c r="AM23" s="13">
        <v>0.30870000000000003</v>
      </c>
      <c r="AN23" s="43">
        <f t="shared" si="35"/>
        <v>7.2930375000000006E-2</v>
      </c>
      <c r="AO23" s="259">
        <f t="shared" si="36"/>
        <v>0.620184494168736</v>
      </c>
      <c r="AP23" s="13">
        <v>11.8</v>
      </c>
      <c r="AQ23" s="13">
        <v>0.29820000000000002</v>
      </c>
      <c r="AR23" s="43">
        <f t="shared" si="39"/>
        <v>6.6504564000000002E-2</v>
      </c>
      <c r="AS23" s="82">
        <f t="shared" si="40"/>
        <v>0.67280888796432325</v>
      </c>
      <c r="AT23" s="86"/>
      <c r="AU23" s="13">
        <v>11.9</v>
      </c>
      <c r="AV23" s="9">
        <v>0.31530000000000002</v>
      </c>
      <c r="AW23" s="43">
        <f t="shared" si="67"/>
        <v>7.0914122999999996E-2</v>
      </c>
      <c r="AX23" s="43">
        <f t="shared" si="68"/>
        <v>0.46245027101610003</v>
      </c>
      <c r="AY23" s="13">
        <v>15</v>
      </c>
      <c r="AZ23" s="9">
        <v>0.30459999999999998</v>
      </c>
      <c r="BA23" s="43">
        <f t="shared" si="69"/>
        <v>8.6354100000000003E-2</v>
      </c>
      <c r="BB23" s="259">
        <f t="shared" si="70"/>
        <v>0.31295588714311334</v>
      </c>
      <c r="BC23" s="13">
        <v>7.8</v>
      </c>
      <c r="BD23" s="9">
        <v>0.28770000000000001</v>
      </c>
      <c r="BE23" s="43">
        <f t="shared" si="71"/>
        <v>4.2412734000000001E-2</v>
      </c>
      <c r="BF23" s="367">
        <f t="shared" si="72"/>
        <v>0.7384090751049478</v>
      </c>
      <c r="BG23" s="13">
        <v>10.6</v>
      </c>
      <c r="BH23" s="9">
        <v>0.31809999999999999</v>
      </c>
      <c r="BI23" s="43">
        <f t="shared" si="73"/>
        <v>6.3728153999999995E-2</v>
      </c>
      <c r="BJ23" s="259">
        <f t="shared" si="74"/>
        <v>0.53202692959437259</v>
      </c>
      <c r="BK23" s="13">
        <v>12.7</v>
      </c>
      <c r="BL23" s="9">
        <v>0.28789999999999999</v>
      </c>
      <c r="BM23" s="43">
        <f t="shared" si="75"/>
        <v>6.9104636999999997E-2</v>
      </c>
      <c r="BN23" s="259">
        <f t="shared" si="76"/>
        <v>0.65151550329283614</v>
      </c>
      <c r="BO23" s="13">
        <v>15.1</v>
      </c>
      <c r="BP23" s="9">
        <v>0.29699999999999999</v>
      </c>
      <c r="BQ23" s="43">
        <f t="shared" si="77"/>
        <v>8.4760829999999995E-2</v>
      </c>
      <c r="BR23" s="259">
        <f t="shared" si="78"/>
        <v>0.5232985878292914</v>
      </c>
      <c r="BS23" s="13">
        <v>8.5</v>
      </c>
      <c r="BT23" s="9">
        <v>0.32179999999999997</v>
      </c>
      <c r="BU23" s="43">
        <f t="shared" si="79"/>
        <v>5.1697169999999994E-2</v>
      </c>
      <c r="BV23" s="259">
        <f t="shared" si="80"/>
        <v>0.7940745356689346</v>
      </c>
      <c r="BW23" s="13">
        <v>13.6</v>
      </c>
      <c r="BX23" s="9">
        <v>0.31879999999999997</v>
      </c>
      <c r="BY23" s="43">
        <f t="shared" si="81"/>
        <v>8.194435199999997E-2</v>
      </c>
      <c r="BZ23" s="259">
        <f t="shared" si="82"/>
        <v>0.54636422847583532</v>
      </c>
      <c r="CA23" s="13">
        <v>11.6</v>
      </c>
      <c r="CB23" s="9">
        <v>0.32899999999999996</v>
      </c>
      <c r="CC23" s="43">
        <f t="shared" si="83"/>
        <v>7.2129959999999993E-2</v>
      </c>
      <c r="CD23" s="259">
        <f t="shared" si="84"/>
        <v>0.62673951954372698</v>
      </c>
      <c r="CE23" s="13">
        <v>13.5</v>
      </c>
      <c r="CF23" s="9">
        <v>0.34340000000000004</v>
      </c>
      <c r="CG23" s="43">
        <f t="shared" si="85"/>
        <v>8.7618509999999997E-2</v>
      </c>
      <c r="CH23" s="259">
        <f t="shared" si="86"/>
        <v>0.49989552202767135</v>
      </c>
      <c r="CI23" s="13">
        <v>13.4</v>
      </c>
      <c r="CJ23" s="9">
        <v>0.32890000000000003</v>
      </c>
      <c r="CK23" s="43">
        <f t="shared" si="87"/>
        <v>8.3297214000000008E-2</v>
      </c>
      <c r="CL23" s="82">
        <f t="shared" si="88"/>
        <v>0.53528491994356009</v>
      </c>
    </row>
    <row r="24" spans="1:90" ht="18" customHeight="1">
      <c r="A24" s="77">
        <f t="shared" si="61"/>
        <v>1988</v>
      </c>
      <c r="B24" s="13">
        <v>11.1</v>
      </c>
      <c r="C24" s="13">
        <v>0.28220000000000001</v>
      </c>
      <c r="D24" s="43">
        <f t="shared" si="66"/>
        <v>5.9202737999999998E-2</v>
      </c>
      <c r="E24" s="43">
        <f t="shared" si="1"/>
        <v>0.73260743585981181</v>
      </c>
      <c r="F24" s="13">
        <v>18.899999999999999</v>
      </c>
      <c r="G24" s="13">
        <v>0.2843</v>
      </c>
      <c r="H24" s="43">
        <f t="shared" si="4"/>
        <v>0.10155480299999999</v>
      </c>
      <c r="I24" s="259">
        <f t="shared" si="5"/>
        <v>0.38576378505584241</v>
      </c>
      <c r="J24" s="13">
        <v>15.4</v>
      </c>
      <c r="K24" s="13">
        <v>0.22239999999999999</v>
      </c>
      <c r="L24" s="43">
        <f t="shared" si="8"/>
        <v>6.4731743999999994E-2</v>
      </c>
      <c r="M24" s="367">
        <f t="shared" si="9"/>
        <v>0.68732745656347649</v>
      </c>
      <c r="N24" s="13">
        <v>14.5</v>
      </c>
      <c r="O24" s="13">
        <v>0.255</v>
      </c>
      <c r="P24" s="43">
        <f t="shared" si="12"/>
        <v>6.9882749999999993E-2</v>
      </c>
      <c r="Q24" s="259">
        <f t="shared" si="63"/>
        <v>0.64514312089169401</v>
      </c>
      <c r="R24" s="13">
        <v>15.7</v>
      </c>
      <c r="S24" s="13">
        <v>0.2767</v>
      </c>
      <c r="T24" s="43">
        <f t="shared" si="15"/>
        <v>8.2105191000000008E-2</v>
      </c>
      <c r="U24" s="259">
        <f t="shared" si="16"/>
        <v>0.54504703211358774</v>
      </c>
      <c r="V24" s="13">
        <v>13.7</v>
      </c>
      <c r="W24" s="13">
        <v>0.26769999999999999</v>
      </c>
      <c r="X24" s="43">
        <f t="shared" si="19"/>
        <v>6.9315560999999998E-2</v>
      </c>
      <c r="Y24" s="259">
        <f t="shared" si="20"/>
        <v>0.64978813415033554</v>
      </c>
      <c r="Z24" s="13">
        <v>7.5</v>
      </c>
      <c r="AA24" s="13">
        <v>0.29139999999999999</v>
      </c>
      <c r="AB24" s="43">
        <f t="shared" si="23"/>
        <v>4.1305949999999994E-2</v>
      </c>
      <c r="AC24" s="259">
        <f t="shared" si="24"/>
        <v>0.87917377890789417</v>
      </c>
      <c r="AD24" s="13">
        <v>13.3</v>
      </c>
      <c r="AE24" s="13">
        <v>0.28289999999999998</v>
      </c>
      <c r="AF24" s="43">
        <f t="shared" si="27"/>
        <v>7.1112572999999998E-2</v>
      </c>
      <c r="AG24" s="259">
        <f t="shared" si="28"/>
        <v>0.63507144435921103</v>
      </c>
      <c r="AH24" s="13">
        <v>17.600000000000001</v>
      </c>
      <c r="AI24" s="13">
        <v>0.30820000000000003</v>
      </c>
      <c r="AJ24" s="43">
        <f t="shared" si="31"/>
        <v>0.10251964800000002</v>
      </c>
      <c r="AK24" s="259">
        <f t="shared" si="32"/>
        <v>0.37786215470417078</v>
      </c>
      <c r="AL24" s="13">
        <v>11.1</v>
      </c>
      <c r="AM24" s="13">
        <v>0.2913</v>
      </c>
      <c r="AN24" s="43">
        <f t="shared" si="35"/>
        <v>6.1111826999999994E-2</v>
      </c>
      <c r="AO24" s="259">
        <f t="shared" si="36"/>
        <v>0.71697288773400747</v>
      </c>
      <c r="AP24" s="13">
        <v>9.6999999999999993</v>
      </c>
      <c r="AQ24" s="13">
        <v>0.29749999999999999</v>
      </c>
      <c r="AR24" s="43">
        <f t="shared" si="39"/>
        <v>5.454067499999999E-2</v>
      </c>
      <c r="AS24" s="82">
        <f t="shared" si="40"/>
        <v>0.77078755650323538</v>
      </c>
      <c r="AT24" s="86"/>
      <c r="AU24" s="13">
        <v>10.8</v>
      </c>
      <c r="AV24" s="9">
        <v>0.30570000000000003</v>
      </c>
      <c r="AW24" s="43">
        <f t="shared" si="67"/>
        <v>6.2399484000000012E-2</v>
      </c>
      <c r="AX24" s="43">
        <f t="shared" si="68"/>
        <v>0.54489150206235737</v>
      </c>
      <c r="AY24" s="13">
        <v>11.7</v>
      </c>
      <c r="AZ24" s="9">
        <v>0.28749999999999998</v>
      </c>
      <c r="BA24" s="43">
        <f t="shared" si="69"/>
        <v>6.3574874999999989E-2</v>
      </c>
      <c r="BB24" s="259">
        <f t="shared" si="70"/>
        <v>0.53351102180938492</v>
      </c>
      <c r="BC24" s="13">
        <v>7</v>
      </c>
      <c r="BD24" s="9">
        <v>0.24670000000000003</v>
      </c>
      <c r="BE24" s="43">
        <f t="shared" si="71"/>
        <v>3.263841E-2</v>
      </c>
      <c r="BF24" s="367">
        <f t="shared" si="72"/>
        <v>0.83304694562476433</v>
      </c>
      <c r="BG24" s="13">
        <v>9.1999999999999993</v>
      </c>
      <c r="BH24" s="9">
        <v>0.29880000000000001</v>
      </c>
      <c r="BI24" s="43">
        <f t="shared" si="73"/>
        <v>5.1955343999999994E-2</v>
      </c>
      <c r="BJ24" s="259">
        <f t="shared" si="74"/>
        <v>0.64601472746503885</v>
      </c>
      <c r="BK24" s="13">
        <v>11.1</v>
      </c>
      <c r="BL24" s="9">
        <v>0.25659999999999999</v>
      </c>
      <c r="BM24" s="43">
        <f t="shared" si="75"/>
        <v>5.3832113999999993E-2</v>
      </c>
      <c r="BN24" s="259">
        <f t="shared" si="76"/>
        <v>0.77659034047745978</v>
      </c>
      <c r="BO24" s="13">
        <v>14.2</v>
      </c>
      <c r="BP24" s="9">
        <v>0.28510000000000002</v>
      </c>
      <c r="BQ24" s="43">
        <f t="shared" si="77"/>
        <v>7.6515137999999996E-2</v>
      </c>
      <c r="BR24" s="259">
        <f t="shared" si="78"/>
        <v>0.5908269578552886</v>
      </c>
      <c r="BS24" s="13">
        <v>7.9</v>
      </c>
      <c r="BT24" s="9">
        <v>0.32490000000000002</v>
      </c>
      <c r="BU24" s="43">
        <f t="shared" si="79"/>
        <v>4.8510819000000004E-2</v>
      </c>
      <c r="BV24" s="259">
        <f t="shared" si="80"/>
        <v>0.82016926360210318</v>
      </c>
      <c r="BW24" s="13">
        <v>13.1</v>
      </c>
      <c r="BX24" s="9">
        <v>0.316</v>
      </c>
      <c r="BY24" s="43">
        <f t="shared" si="81"/>
        <v>7.8238439999999992E-2</v>
      </c>
      <c r="BZ24" s="259">
        <f t="shared" si="82"/>
        <v>0.57671391857095189</v>
      </c>
      <c r="CA24" s="13">
        <v>12</v>
      </c>
      <c r="CB24" s="9">
        <v>0.34020000000000006</v>
      </c>
      <c r="CC24" s="43">
        <f t="shared" si="83"/>
        <v>7.7157360000000008E-2</v>
      </c>
      <c r="CD24" s="259">
        <f t="shared" si="84"/>
        <v>0.58556745933717302</v>
      </c>
      <c r="CE24" s="13">
        <v>11.9</v>
      </c>
      <c r="CF24" s="9">
        <v>0.32189999999999996</v>
      </c>
      <c r="CG24" s="43">
        <f t="shared" si="85"/>
        <v>7.2398528999999989E-2</v>
      </c>
      <c r="CH24" s="259">
        <f t="shared" si="86"/>
        <v>0.62454006474848212</v>
      </c>
      <c r="CI24" s="13">
        <v>11</v>
      </c>
      <c r="CJ24" s="9">
        <v>0.30840000000000001</v>
      </c>
      <c r="CK24" s="43">
        <f t="shared" si="87"/>
        <v>6.4116360000000011E-2</v>
      </c>
      <c r="CL24" s="82">
        <f t="shared" si="88"/>
        <v>0.6923671643842485</v>
      </c>
    </row>
    <row r="25" spans="1:90" ht="18" customHeight="1">
      <c r="A25" s="77">
        <f t="shared" si="61"/>
        <v>1989</v>
      </c>
      <c r="B25" s="13">
        <v>10.5</v>
      </c>
      <c r="C25" s="13">
        <v>0.2878</v>
      </c>
      <c r="D25" s="43">
        <f t="shared" si="66"/>
        <v>5.7113909999999997E-2</v>
      </c>
      <c r="E25" s="43">
        <f t="shared" si="1"/>
        <v>0.74971396252909139</v>
      </c>
      <c r="F25" s="13">
        <v>16.7</v>
      </c>
      <c r="G25" s="13">
        <v>0.28470000000000001</v>
      </c>
      <c r="H25" s="43">
        <f t="shared" si="4"/>
        <v>8.9859860999999985E-2</v>
      </c>
      <c r="I25" s="259">
        <f t="shared" si="5"/>
        <v>0.48153990315588491</v>
      </c>
      <c r="J25" s="13">
        <v>15</v>
      </c>
      <c r="K25" s="13">
        <v>0.22510000000000002</v>
      </c>
      <c r="L25" s="43">
        <f t="shared" si="8"/>
        <v>6.3815850000000007E-2</v>
      </c>
      <c r="M25" s="367">
        <f t="shared" si="9"/>
        <v>0.69482820106576815</v>
      </c>
      <c r="N25" s="13">
        <v>14.7</v>
      </c>
      <c r="O25" s="13">
        <v>0.25340000000000001</v>
      </c>
      <c r="P25" s="43">
        <f t="shared" si="12"/>
        <v>7.0402121999999998E-2</v>
      </c>
      <c r="Q25" s="259">
        <f t="shared" si="63"/>
        <v>0.64088970655155819</v>
      </c>
      <c r="R25" s="13">
        <v>14.4</v>
      </c>
      <c r="S25" s="13">
        <v>0.2928</v>
      </c>
      <c r="T25" s="43">
        <f t="shared" si="15"/>
        <v>7.9688448000000009E-2</v>
      </c>
      <c r="U25" s="259">
        <f t="shared" si="16"/>
        <v>0.56483902962716681</v>
      </c>
      <c r="V25" s="13">
        <v>12.1</v>
      </c>
      <c r="W25" s="13">
        <v>0.2873</v>
      </c>
      <c r="X25" s="43">
        <f t="shared" si="19"/>
        <v>6.5702636999999994E-2</v>
      </c>
      <c r="Y25" s="259">
        <f t="shared" si="20"/>
        <v>0.67937629591381232</v>
      </c>
      <c r="Z25" s="13">
        <v>7.1</v>
      </c>
      <c r="AA25" s="13">
        <v>0.2737</v>
      </c>
      <c r="AB25" s="43">
        <f t="shared" si="23"/>
        <v>3.6727802999999996E-2</v>
      </c>
      <c r="AC25" s="259">
        <f t="shared" si="24"/>
        <v>0.91666666666666663</v>
      </c>
      <c r="AD25" s="13">
        <v>14</v>
      </c>
      <c r="AE25" s="13">
        <v>0.2641</v>
      </c>
      <c r="AF25" s="43">
        <f t="shared" si="27"/>
        <v>6.9880860000000003E-2</v>
      </c>
      <c r="AG25" s="259">
        <f t="shared" si="28"/>
        <v>0.64515859910981666</v>
      </c>
      <c r="AH25" s="13">
        <v>17.5</v>
      </c>
      <c r="AI25" s="13">
        <v>0.30920000000000003</v>
      </c>
      <c r="AJ25" s="43">
        <f t="shared" si="31"/>
        <v>0.10226790000000001</v>
      </c>
      <c r="AK25" s="259">
        <f t="shared" si="32"/>
        <v>0.37992385335812312</v>
      </c>
      <c r="AL25" s="13">
        <v>12</v>
      </c>
      <c r="AM25" s="13">
        <v>0.32950000000000002</v>
      </c>
      <c r="AN25" s="43">
        <f t="shared" si="35"/>
        <v>7.4730600000000008E-2</v>
      </c>
      <c r="AO25" s="259">
        <f t="shared" si="36"/>
        <v>0.60544149140680281</v>
      </c>
      <c r="AP25" s="13">
        <v>10.199999999999999</v>
      </c>
      <c r="AQ25" s="13">
        <v>0.29809999999999998</v>
      </c>
      <c r="AR25" s="43">
        <f t="shared" si="39"/>
        <v>5.7467717999999994E-2</v>
      </c>
      <c r="AS25" s="82">
        <f t="shared" si="40"/>
        <v>0.74681644009650971</v>
      </c>
      <c r="AT25" s="86"/>
      <c r="AU25" s="13">
        <v>10.199999999999999</v>
      </c>
      <c r="AV25" s="9">
        <v>0.30170000000000002</v>
      </c>
      <c r="AW25" s="43">
        <f t="shared" si="67"/>
        <v>5.8161725999999997E-2</v>
      </c>
      <c r="AX25" s="43">
        <f t="shared" si="68"/>
        <v>0.58592271740761481</v>
      </c>
      <c r="AY25" s="13">
        <v>10.3</v>
      </c>
      <c r="AZ25" s="9">
        <v>0.29909999999999998</v>
      </c>
      <c r="BA25" s="43">
        <f t="shared" si="69"/>
        <v>5.8225796999999996E-2</v>
      </c>
      <c r="BB25" s="259">
        <f t="shared" si="70"/>
        <v>0.58530236320183293</v>
      </c>
      <c r="BC25" s="13">
        <v>6.6</v>
      </c>
      <c r="BD25" s="9">
        <v>0.2913</v>
      </c>
      <c r="BE25" s="43">
        <f t="shared" si="71"/>
        <v>3.6336761999999995E-2</v>
      </c>
      <c r="BF25" s="367">
        <f t="shared" si="72"/>
        <v>0.79723841730989531</v>
      </c>
      <c r="BG25" s="13">
        <v>9.9</v>
      </c>
      <c r="BH25" s="9">
        <v>0.25569999999999998</v>
      </c>
      <c r="BI25" s="43">
        <f t="shared" si="73"/>
        <v>4.784402699999999E-2</v>
      </c>
      <c r="BJ25" s="259">
        <f t="shared" si="74"/>
        <v>0.68582170397941689</v>
      </c>
      <c r="BK25" s="13">
        <v>10.3</v>
      </c>
      <c r="BL25" s="9">
        <v>0.27739999999999998</v>
      </c>
      <c r="BM25" s="43">
        <f t="shared" si="75"/>
        <v>5.4001457999999995E-2</v>
      </c>
      <c r="BN25" s="259">
        <f t="shared" si="76"/>
        <v>0.77520349213365991</v>
      </c>
      <c r="BO25" s="13">
        <v>12.3</v>
      </c>
      <c r="BP25" s="9">
        <v>0.2843</v>
      </c>
      <c r="BQ25" s="43">
        <f t="shared" si="77"/>
        <v>6.6091220999999992E-2</v>
      </c>
      <c r="BR25" s="259">
        <f t="shared" si="78"/>
        <v>0.67619397426777195</v>
      </c>
      <c r="BS25" s="13">
        <v>7.8</v>
      </c>
      <c r="BT25" s="9">
        <v>0.29270000000000002</v>
      </c>
      <c r="BU25" s="43">
        <f t="shared" si="79"/>
        <v>4.3149833999999991E-2</v>
      </c>
      <c r="BV25" s="259">
        <f t="shared" si="80"/>
        <v>0.864073229307325</v>
      </c>
      <c r="BW25" s="13">
        <v>12.4</v>
      </c>
      <c r="BX25" s="9">
        <v>0.30920000000000003</v>
      </c>
      <c r="BY25" s="43">
        <f t="shared" si="81"/>
        <v>7.2464112000000011E-2</v>
      </c>
      <c r="BZ25" s="259">
        <f t="shared" si="82"/>
        <v>0.62400297057962195</v>
      </c>
      <c r="CA25" s="13">
        <v>11.8</v>
      </c>
      <c r="CB25" s="9">
        <v>0.34509999999999996</v>
      </c>
      <c r="CC25" s="43">
        <f t="shared" si="83"/>
        <v>7.6964201999999982E-2</v>
      </c>
      <c r="CD25" s="259">
        <f t="shared" si="84"/>
        <v>0.58714933322931984</v>
      </c>
      <c r="CE25" s="13">
        <v>12.4</v>
      </c>
      <c r="CF25" s="9">
        <v>0.36520000000000002</v>
      </c>
      <c r="CG25" s="43">
        <f t="shared" si="85"/>
        <v>8.5588271999999993E-2</v>
      </c>
      <c r="CH25" s="259">
        <f t="shared" si="86"/>
        <v>0.51652222393514502</v>
      </c>
      <c r="CI25" s="13">
        <v>10.4</v>
      </c>
      <c r="CJ25" s="9">
        <v>0.30930000000000002</v>
      </c>
      <c r="CK25" s="43">
        <f t="shared" si="87"/>
        <v>6.0796008000000006E-2</v>
      </c>
      <c r="CL25" s="82">
        <f t="shared" si="88"/>
        <v>0.71955929798232132</v>
      </c>
    </row>
    <row r="26" spans="1:90" ht="18" customHeight="1">
      <c r="A26" s="77">
        <f t="shared" si="61"/>
        <v>1990</v>
      </c>
      <c r="B26" s="13">
        <v>11.7</v>
      </c>
      <c r="C26" s="13">
        <v>0.29649999999999999</v>
      </c>
      <c r="D26" s="43">
        <f t="shared" si="66"/>
        <v>6.5565044999999988E-2</v>
      </c>
      <c r="E26" s="43">
        <f t="shared" si="1"/>
        <v>0.68050311019314969</v>
      </c>
      <c r="F26" s="13">
        <v>18.600000000000001</v>
      </c>
      <c r="G26" s="13">
        <v>0.2999</v>
      </c>
      <c r="H26" s="43">
        <f t="shared" si="4"/>
        <v>0.10542684599999999</v>
      </c>
      <c r="I26" s="259">
        <f t="shared" si="5"/>
        <v>0.3540535595877346</v>
      </c>
      <c r="J26" s="13">
        <v>13.7</v>
      </c>
      <c r="K26" s="13">
        <v>0.22450000000000001</v>
      </c>
      <c r="L26" s="43">
        <f t="shared" si="8"/>
        <v>5.8129784999999996E-2</v>
      </c>
      <c r="M26" s="367">
        <f t="shared" si="9"/>
        <v>0.74139442028810543</v>
      </c>
      <c r="N26" s="13">
        <v>13.6</v>
      </c>
      <c r="O26" s="13">
        <v>0.26739999999999997</v>
      </c>
      <c r="P26" s="43">
        <f t="shared" si="12"/>
        <v>6.873249599999999E-2</v>
      </c>
      <c r="Q26" s="259">
        <f t="shared" si="63"/>
        <v>0.65456316444120854</v>
      </c>
      <c r="R26" s="13">
        <v>15.7</v>
      </c>
      <c r="S26" s="13">
        <v>0.2727</v>
      </c>
      <c r="T26" s="43">
        <f t="shared" si="15"/>
        <v>8.0918271E-2</v>
      </c>
      <c r="U26" s="259">
        <f t="shared" si="16"/>
        <v>0.55476735309468395</v>
      </c>
      <c r="V26" s="13">
        <v>13.9</v>
      </c>
      <c r="W26" s="13">
        <v>0.27</v>
      </c>
      <c r="X26" s="43">
        <f t="shared" si="19"/>
        <v>7.09317E-2</v>
      </c>
      <c r="Y26" s="259">
        <f t="shared" si="20"/>
        <v>0.6365527098335596</v>
      </c>
      <c r="Z26" s="13">
        <v>8.3000000000000007</v>
      </c>
      <c r="AA26" s="13">
        <v>0.30280000000000001</v>
      </c>
      <c r="AB26" s="43">
        <f t="shared" si="23"/>
        <v>4.7500236000000001E-2</v>
      </c>
      <c r="AC26" s="259">
        <f t="shared" si="24"/>
        <v>0.82844546683234543</v>
      </c>
      <c r="AD26" s="13">
        <v>14</v>
      </c>
      <c r="AE26" s="13">
        <v>0.31309999999999999</v>
      </c>
      <c r="AF26" s="43">
        <f t="shared" si="27"/>
        <v>8.2846259999999991E-2</v>
      </c>
      <c r="AG26" s="259">
        <f t="shared" si="28"/>
        <v>0.53897802278765183</v>
      </c>
      <c r="AH26" s="13">
        <v>18.100000000000001</v>
      </c>
      <c r="AI26" s="13">
        <v>0.35450000000000004</v>
      </c>
      <c r="AJ26" s="43">
        <f t="shared" si="31"/>
        <v>0.12127090500000001</v>
      </c>
      <c r="AK26" s="259">
        <f t="shared" si="32"/>
        <v>0.22429810924278684</v>
      </c>
      <c r="AL26" s="13">
        <v>11.8</v>
      </c>
      <c r="AM26" s="13">
        <v>0.29170000000000001</v>
      </c>
      <c r="AN26" s="43">
        <f t="shared" si="35"/>
        <v>6.5054934000000009E-2</v>
      </c>
      <c r="AO26" s="259">
        <f t="shared" si="36"/>
        <v>0.68468068126448367</v>
      </c>
      <c r="AP26" s="13">
        <v>12</v>
      </c>
      <c r="AQ26" s="13">
        <v>0.33789999999999998</v>
      </c>
      <c r="AR26" s="43">
        <f t="shared" si="39"/>
        <v>7.6635720000000004E-2</v>
      </c>
      <c r="AS26" s="82">
        <f t="shared" si="40"/>
        <v>0.58983944753905615</v>
      </c>
      <c r="AT26" s="86"/>
      <c r="AU26" s="13">
        <v>11.8</v>
      </c>
      <c r="AV26" s="9">
        <v>0.31869999999999998</v>
      </c>
      <c r="AW26" s="43">
        <f t="shared" si="67"/>
        <v>7.1076474000000001E-2</v>
      </c>
      <c r="AX26" s="43">
        <f t="shared" si="68"/>
        <v>0.46087834103743724</v>
      </c>
      <c r="AY26" s="13">
        <v>13.1</v>
      </c>
      <c r="AZ26" s="9">
        <v>0.29059999999999997</v>
      </c>
      <c r="BA26" s="43">
        <f t="shared" si="69"/>
        <v>7.1949653999999988E-2</v>
      </c>
      <c r="BB26" s="259">
        <f t="shared" si="70"/>
        <v>0.45242395628607313</v>
      </c>
      <c r="BC26" s="13">
        <v>6.1</v>
      </c>
      <c r="BD26" s="9">
        <v>0.28610000000000002</v>
      </c>
      <c r="BE26" s="43">
        <f t="shared" si="71"/>
        <v>3.2984468999999995E-2</v>
      </c>
      <c r="BF26" s="367">
        <f t="shared" si="72"/>
        <v>0.82969630093217839</v>
      </c>
      <c r="BG26" s="13">
        <v>9.1</v>
      </c>
      <c r="BH26" s="9">
        <v>0.29649999999999999</v>
      </c>
      <c r="BI26" s="43">
        <f t="shared" si="73"/>
        <v>5.0995034999999994E-2</v>
      </c>
      <c r="BJ26" s="259">
        <f t="shared" si="74"/>
        <v>0.65531272073813007</v>
      </c>
      <c r="BK26" s="13">
        <v>10.6</v>
      </c>
      <c r="BL26" s="9">
        <v>0.28420000000000001</v>
      </c>
      <c r="BM26" s="43">
        <f t="shared" si="75"/>
        <v>5.6936627999999996E-2</v>
      </c>
      <c r="BN26" s="259">
        <f t="shared" si="76"/>
        <v>0.75116581938900673</v>
      </c>
      <c r="BO26" s="13">
        <v>14.9</v>
      </c>
      <c r="BP26" s="9">
        <v>0.2843</v>
      </c>
      <c r="BQ26" s="43">
        <f t="shared" si="77"/>
        <v>8.0061722999999987E-2</v>
      </c>
      <c r="BR26" s="259">
        <f t="shared" si="78"/>
        <v>0.56178208154792098</v>
      </c>
      <c r="BS26" s="13">
        <v>9.1999999999999993</v>
      </c>
      <c r="BT26" s="9">
        <v>0.32979999999999998</v>
      </c>
      <c r="BU26" s="43">
        <f t="shared" si="79"/>
        <v>5.7345623999999991E-2</v>
      </c>
      <c r="BV26" s="259">
        <f t="shared" si="80"/>
        <v>0.74781633298724048</v>
      </c>
      <c r="BW26" s="13">
        <v>14.6</v>
      </c>
      <c r="BX26" s="9">
        <v>0.316</v>
      </c>
      <c r="BY26" s="43">
        <f t="shared" si="81"/>
        <v>8.7197040000000003E-2</v>
      </c>
      <c r="BZ26" s="259">
        <f t="shared" si="82"/>
        <v>0.50334716466904772</v>
      </c>
      <c r="CA26" s="13">
        <v>13.2</v>
      </c>
      <c r="CB26" s="9">
        <v>0.3785</v>
      </c>
      <c r="CC26" s="43">
        <f t="shared" si="83"/>
        <v>9.4428179999999987E-2</v>
      </c>
      <c r="CD26" s="259">
        <f t="shared" si="84"/>
        <v>0.44412750213135072</v>
      </c>
      <c r="CE26" s="13">
        <v>12.6</v>
      </c>
      <c r="CF26" s="9">
        <v>0.32719999999999999</v>
      </c>
      <c r="CG26" s="43">
        <f t="shared" si="85"/>
        <v>7.7919407999999996E-2</v>
      </c>
      <c r="CH26" s="259">
        <f t="shared" si="86"/>
        <v>0.57932664179007454</v>
      </c>
      <c r="CI26" s="13">
        <v>12.5</v>
      </c>
      <c r="CJ26" s="9">
        <v>0.37209999999999999</v>
      </c>
      <c r="CK26" s="43">
        <f t="shared" si="87"/>
        <v>8.790862499999999E-2</v>
      </c>
      <c r="CL26" s="82">
        <f t="shared" si="88"/>
        <v>0.49751961554582702</v>
      </c>
    </row>
    <row r="27" spans="1:90" ht="18" customHeight="1">
      <c r="A27" s="77">
        <f t="shared" si="61"/>
        <v>1991</v>
      </c>
      <c r="B27" s="13">
        <v>11.5</v>
      </c>
      <c r="C27" s="13">
        <v>0.29609999999999997</v>
      </c>
      <c r="D27" s="43">
        <f t="shared" si="66"/>
        <v>6.4357335000000002E-2</v>
      </c>
      <c r="E27" s="43">
        <f t="shared" si="1"/>
        <v>0.69039369157359609</v>
      </c>
      <c r="F27" s="13">
        <v>17.399999999999999</v>
      </c>
      <c r="G27" s="13">
        <v>0.31609999999999999</v>
      </c>
      <c r="H27" s="43">
        <f t="shared" si="4"/>
        <v>0.10395264599999997</v>
      </c>
      <c r="I27" s="259">
        <f t="shared" si="5"/>
        <v>0.36612656972349111</v>
      </c>
      <c r="J27" s="13">
        <v>14.1</v>
      </c>
      <c r="K27" s="13">
        <v>0.24579999999999999</v>
      </c>
      <c r="L27" s="43">
        <f t="shared" si="8"/>
        <v>6.5503241999999989E-2</v>
      </c>
      <c r="M27" s="367">
        <f t="shared" si="9"/>
        <v>0.68100924792576401</v>
      </c>
      <c r="N27" s="13">
        <v>13.8</v>
      </c>
      <c r="O27" s="13">
        <v>0.27940000000000004</v>
      </c>
      <c r="P27" s="43">
        <f t="shared" si="12"/>
        <v>7.2873108000000006E-2</v>
      </c>
      <c r="Q27" s="259">
        <f t="shared" si="63"/>
        <v>0.62065348417785582</v>
      </c>
      <c r="R27" s="13">
        <v>15.2</v>
      </c>
      <c r="S27" s="13">
        <v>0.28050000000000003</v>
      </c>
      <c r="T27" s="43">
        <f t="shared" si="15"/>
        <v>8.0582039999999994E-2</v>
      </c>
      <c r="U27" s="259">
        <f t="shared" si="16"/>
        <v>0.55752092809872378</v>
      </c>
      <c r="V27" s="13">
        <v>13.9</v>
      </c>
      <c r="W27" s="13">
        <v>0.28350000000000003</v>
      </c>
      <c r="X27" s="43">
        <f t="shared" si="19"/>
        <v>7.4478285000000005E-2</v>
      </c>
      <c r="Y27" s="259">
        <f t="shared" si="20"/>
        <v>0.60750783352619186</v>
      </c>
      <c r="Z27" s="13">
        <v>8.6999999999999993</v>
      </c>
      <c r="AA27" s="13">
        <v>0.2994</v>
      </c>
      <c r="AB27" s="43">
        <f t="shared" si="23"/>
        <v>4.9230341999999989E-2</v>
      </c>
      <c r="AC27" s="259">
        <f t="shared" si="24"/>
        <v>0.81427670596276691</v>
      </c>
      <c r="AD27" s="13">
        <v>14.6</v>
      </c>
      <c r="AE27" s="13">
        <v>0.28889999999999999</v>
      </c>
      <c r="AF27" s="43">
        <f t="shared" si="27"/>
        <v>7.9719065999999991E-2</v>
      </c>
      <c r="AG27" s="259">
        <f t="shared" si="28"/>
        <v>0.56458828249357818</v>
      </c>
      <c r="AH27" s="13">
        <v>17.100000000000001</v>
      </c>
      <c r="AI27" s="13">
        <v>0.34539999999999998</v>
      </c>
      <c r="AJ27" s="43">
        <f t="shared" si="31"/>
        <v>0.11162982599999999</v>
      </c>
      <c r="AK27" s="259">
        <f t="shared" si="32"/>
        <v>0.30325404770882131</v>
      </c>
      <c r="AL27" s="13">
        <v>11</v>
      </c>
      <c r="AM27" s="13">
        <v>0.30609999999999998</v>
      </c>
      <c r="AN27" s="43">
        <f t="shared" si="35"/>
        <v>6.3638189999999997E-2</v>
      </c>
      <c r="AO27" s="259">
        <f t="shared" si="36"/>
        <v>0.69628315356930803</v>
      </c>
      <c r="AP27" s="13">
        <v>10.1</v>
      </c>
      <c r="AQ27" s="13">
        <v>0.3029</v>
      </c>
      <c r="AR27" s="43">
        <f t="shared" si="39"/>
        <v>5.7820580999999996E-2</v>
      </c>
      <c r="AS27" s="82">
        <f t="shared" si="40"/>
        <v>0.74392665677298964</v>
      </c>
      <c r="AT27" s="86"/>
      <c r="AU27" s="13">
        <v>13.2</v>
      </c>
      <c r="AV27" s="9">
        <v>0.32119999999999999</v>
      </c>
      <c r="AW27" s="43">
        <f t="shared" si="67"/>
        <v>8.0132975999999981E-2</v>
      </c>
      <c r="AX27" s="43">
        <f t="shared" si="68"/>
        <v>0.37319063356646964</v>
      </c>
      <c r="AY27" s="13">
        <v>13.4</v>
      </c>
      <c r="AZ27" s="9">
        <v>0.3503</v>
      </c>
      <c r="BA27" s="43">
        <f t="shared" si="69"/>
        <v>8.8716978000000002E-2</v>
      </c>
      <c r="BB27" s="259">
        <f t="shared" si="70"/>
        <v>0.29007780961896712</v>
      </c>
      <c r="BC27" s="13">
        <v>9</v>
      </c>
      <c r="BD27" s="9">
        <v>0.30399999999999999</v>
      </c>
      <c r="BE27" s="43">
        <f t="shared" si="71"/>
        <v>5.1710399999999997E-2</v>
      </c>
      <c r="BF27" s="367">
        <f t="shared" si="72"/>
        <v>0.64838634708360332</v>
      </c>
      <c r="BG27" s="13">
        <v>11.1</v>
      </c>
      <c r="BH27" s="9">
        <v>0.28270000000000001</v>
      </c>
      <c r="BI27" s="43">
        <f t="shared" si="73"/>
        <v>5.9307632999999998E-2</v>
      </c>
      <c r="BJ27" s="259">
        <f t="shared" si="74"/>
        <v>0.57482770988650633</v>
      </c>
      <c r="BK27" s="13">
        <v>11.8</v>
      </c>
      <c r="BL27" s="9">
        <v>0.29210000000000003</v>
      </c>
      <c r="BM27" s="43">
        <f t="shared" si="75"/>
        <v>6.5144142000000002E-2</v>
      </c>
      <c r="BN27" s="259">
        <f t="shared" si="76"/>
        <v>0.68395010936908918</v>
      </c>
      <c r="BO27" s="13">
        <v>16.600000000000001</v>
      </c>
      <c r="BP27" s="9">
        <v>0.30420000000000003</v>
      </c>
      <c r="BQ27" s="43">
        <f t="shared" si="77"/>
        <v>9.5439707999999998E-2</v>
      </c>
      <c r="BR27" s="259">
        <f t="shared" si="78"/>
        <v>0.43584355979204703</v>
      </c>
      <c r="BS27" s="13">
        <v>10.8</v>
      </c>
      <c r="BT27" s="9">
        <v>0.32679999999999998</v>
      </c>
      <c r="BU27" s="43">
        <f t="shared" si="79"/>
        <v>6.6706415999999991E-2</v>
      </c>
      <c r="BV27" s="259">
        <f t="shared" si="80"/>
        <v>0.6711558142688121</v>
      </c>
      <c r="BW27" s="13">
        <v>17.399999999999999</v>
      </c>
      <c r="BX27" s="9">
        <v>0.30640000000000001</v>
      </c>
      <c r="BY27" s="43">
        <f t="shared" si="81"/>
        <v>0.10076270400000001</v>
      </c>
      <c r="BZ27" s="259">
        <f t="shared" si="82"/>
        <v>0.39225070627109282</v>
      </c>
      <c r="CA27" s="13">
        <v>14.4</v>
      </c>
      <c r="CB27" s="9">
        <v>0.3639</v>
      </c>
      <c r="CC27" s="43">
        <f t="shared" si="83"/>
        <v>9.9039024000000003E-2</v>
      </c>
      <c r="CD27" s="259">
        <f t="shared" si="84"/>
        <v>0.40636684119905414</v>
      </c>
      <c r="CE27" s="13">
        <v>13.3</v>
      </c>
      <c r="CF27" s="9">
        <v>0.34439999999999998</v>
      </c>
      <c r="CG27" s="43">
        <f t="shared" si="85"/>
        <v>8.657182799999999E-2</v>
      </c>
      <c r="CH27" s="259">
        <f t="shared" si="86"/>
        <v>0.50846735922405839</v>
      </c>
      <c r="CI27" s="13">
        <v>12.7</v>
      </c>
      <c r="CJ27" s="9">
        <v>0.33710000000000001</v>
      </c>
      <c r="CK27" s="43">
        <f t="shared" si="87"/>
        <v>8.0914112999999996E-2</v>
      </c>
      <c r="CL27" s="82">
        <f t="shared" si="88"/>
        <v>0.55480140517455401</v>
      </c>
    </row>
    <row r="28" spans="1:90" ht="18" customHeight="1">
      <c r="A28" s="77">
        <f t="shared" si="61"/>
        <v>1992</v>
      </c>
      <c r="B28" s="13">
        <v>11.8</v>
      </c>
      <c r="C28" s="13">
        <v>0.2959</v>
      </c>
      <c r="D28" s="43">
        <f t="shared" si="66"/>
        <v>6.5991618000000002E-2</v>
      </c>
      <c r="E28" s="43">
        <f t="shared" si="1"/>
        <v>0.67700967636284159</v>
      </c>
      <c r="F28" s="13">
        <v>20.6</v>
      </c>
      <c r="G28" s="13">
        <v>0.30680000000000002</v>
      </c>
      <c r="H28" s="43">
        <f t="shared" si="4"/>
        <v>0.11944951200000001</v>
      </c>
      <c r="I28" s="259">
        <f t="shared" si="5"/>
        <v>0.23921446804769508</v>
      </c>
      <c r="J28" s="13">
        <v>11.7</v>
      </c>
      <c r="K28" s="13">
        <v>0.27229999999999999</v>
      </c>
      <c r="L28" s="43">
        <f t="shared" si="8"/>
        <v>6.0213698999999989E-2</v>
      </c>
      <c r="M28" s="367">
        <f t="shared" si="9"/>
        <v>0.72432813698594534</v>
      </c>
      <c r="N28" s="13">
        <v>13.6</v>
      </c>
      <c r="O28" s="13">
        <v>0.26669999999999999</v>
      </c>
      <c r="P28" s="43">
        <f t="shared" si="12"/>
        <v>6.8552567999999994E-2</v>
      </c>
      <c r="Q28" s="259">
        <f t="shared" si="63"/>
        <v>0.65603669080649563</v>
      </c>
      <c r="R28" s="13">
        <v>14.5</v>
      </c>
      <c r="S28" s="13">
        <v>0.2828</v>
      </c>
      <c r="T28" s="43">
        <f t="shared" si="15"/>
        <v>7.7501340000000002E-2</v>
      </c>
      <c r="U28" s="259">
        <f t="shared" si="16"/>
        <v>0.58275042363883001</v>
      </c>
      <c r="V28" s="13">
        <v>13.4</v>
      </c>
      <c r="W28" s="13">
        <v>0.27110000000000001</v>
      </c>
      <c r="X28" s="43">
        <f t="shared" si="19"/>
        <v>6.8658785999999999E-2</v>
      </c>
      <c r="Y28" s="259">
        <f t="shared" si="20"/>
        <v>0.65516681494799622</v>
      </c>
      <c r="Z28" s="13">
        <v>9</v>
      </c>
      <c r="AA28" s="13">
        <v>0.31059999999999999</v>
      </c>
      <c r="AB28" s="43">
        <f t="shared" si="23"/>
        <v>5.2833059999999994E-2</v>
      </c>
      <c r="AC28" s="259">
        <f t="shared" si="24"/>
        <v>0.78477212657715312</v>
      </c>
      <c r="AD28" s="13">
        <v>14.7</v>
      </c>
      <c r="AE28" s="13">
        <v>0.29260000000000003</v>
      </c>
      <c r="AF28" s="43">
        <f t="shared" si="27"/>
        <v>8.1293057999999987E-2</v>
      </c>
      <c r="AG28" s="259">
        <f t="shared" si="28"/>
        <v>0.55169802244093979</v>
      </c>
      <c r="AH28" s="13">
        <v>17.2</v>
      </c>
      <c r="AI28" s="13">
        <v>0.32520000000000004</v>
      </c>
      <c r="AJ28" s="43">
        <f t="shared" si="31"/>
        <v>0.105716016</v>
      </c>
      <c r="AK28" s="259">
        <f t="shared" si="32"/>
        <v>0.35168539221495154</v>
      </c>
      <c r="AL28" s="13">
        <v>13.7</v>
      </c>
      <c r="AM28" s="13">
        <v>0.31180000000000002</v>
      </c>
      <c r="AN28" s="43">
        <f t="shared" si="35"/>
        <v>8.0734373999999998E-2</v>
      </c>
      <c r="AO28" s="259">
        <f t="shared" si="36"/>
        <v>0.55627338371802892</v>
      </c>
      <c r="AP28" s="13">
        <v>11.1</v>
      </c>
      <c r="AQ28" s="13">
        <v>0.30530000000000002</v>
      </c>
      <c r="AR28" s="43">
        <f t="shared" si="39"/>
        <v>6.4048886999999999E-2</v>
      </c>
      <c r="AS28" s="82">
        <f t="shared" si="40"/>
        <v>0.69291973677123131</v>
      </c>
      <c r="AT28" s="86"/>
      <c r="AU28" s="13">
        <v>13.3</v>
      </c>
      <c r="AV28" s="9">
        <v>0.31670000000000004</v>
      </c>
      <c r="AW28" s="43">
        <f t="shared" si="67"/>
        <v>7.9608879000000007E-2</v>
      </c>
      <c r="AX28" s="43">
        <f t="shared" si="68"/>
        <v>0.37826509437069727</v>
      </c>
      <c r="AY28" s="13">
        <v>15.8</v>
      </c>
      <c r="AZ28" s="9">
        <v>0.31370000000000003</v>
      </c>
      <c r="BA28" s="43">
        <f t="shared" si="69"/>
        <v>9.3677094000000002E-2</v>
      </c>
      <c r="BB28" s="259">
        <f t="shared" si="70"/>
        <v>0.24205251234303579</v>
      </c>
      <c r="BC28" s="13">
        <v>7.2</v>
      </c>
      <c r="BD28" s="9">
        <v>0.33549999999999996</v>
      </c>
      <c r="BE28" s="43">
        <f t="shared" si="71"/>
        <v>4.5654839999999995E-2</v>
      </c>
      <c r="BF28" s="367">
        <f t="shared" si="72"/>
        <v>0.70701805432033704</v>
      </c>
      <c r="BG28" s="13">
        <v>11</v>
      </c>
      <c r="BH28" s="9">
        <v>0.2747</v>
      </c>
      <c r="BI28" s="43">
        <f t="shared" si="73"/>
        <v>5.7110129999999995E-2</v>
      </c>
      <c r="BJ28" s="259">
        <f t="shared" si="74"/>
        <v>0.59610457817743967</v>
      </c>
      <c r="BK28" s="13">
        <v>11.8</v>
      </c>
      <c r="BL28" s="9">
        <v>0.28710000000000002</v>
      </c>
      <c r="BM28" s="43">
        <f t="shared" si="75"/>
        <v>6.4029042000000008E-2</v>
      </c>
      <c r="BN28" s="259">
        <f t="shared" si="76"/>
        <v>0.69308225806152024</v>
      </c>
      <c r="BO28" s="13">
        <v>14.8</v>
      </c>
      <c r="BP28" s="9">
        <v>0.3014</v>
      </c>
      <c r="BQ28" s="43">
        <f t="shared" si="77"/>
        <v>8.4307607999999992E-2</v>
      </c>
      <c r="BR28" s="259">
        <f t="shared" si="78"/>
        <v>0.52701026453513033</v>
      </c>
      <c r="BS28" s="13">
        <v>10.8</v>
      </c>
      <c r="BT28" s="9">
        <v>0.32179999999999997</v>
      </c>
      <c r="BU28" s="43">
        <f t="shared" si="79"/>
        <v>6.5685815999999994E-2</v>
      </c>
      <c r="BV28" s="259">
        <f t="shared" si="80"/>
        <v>0.67951405205510496</v>
      </c>
      <c r="BW28" s="13">
        <v>16.100000000000001</v>
      </c>
      <c r="BX28" s="9">
        <v>0.33260000000000001</v>
      </c>
      <c r="BY28" s="43">
        <f t="shared" si="81"/>
        <v>0.10120685400000001</v>
      </c>
      <c r="BZ28" s="259">
        <f t="shared" si="82"/>
        <v>0.3886133250122431</v>
      </c>
      <c r="CA28" s="13">
        <v>14.3</v>
      </c>
      <c r="CB28" s="9">
        <v>0.35520000000000002</v>
      </c>
      <c r="CC28" s="43">
        <f t="shared" si="83"/>
        <v>9.5999903999999997E-2</v>
      </c>
      <c r="CD28" s="259">
        <f t="shared" si="84"/>
        <v>0.43125581594045959</v>
      </c>
      <c r="CE28" s="13">
        <v>17.100000000000001</v>
      </c>
      <c r="CF28" s="9">
        <v>0.33429999999999999</v>
      </c>
      <c r="CG28" s="43">
        <f t="shared" si="85"/>
        <v>0.108042417</v>
      </c>
      <c r="CH28" s="259">
        <f t="shared" si="86"/>
        <v>0.33263325352764062</v>
      </c>
      <c r="CI28" s="13">
        <v>14.2</v>
      </c>
      <c r="CJ28" s="9">
        <v>0.31909999999999999</v>
      </c>
      <c r="CK28" s="43">
        <f t="shared" si="87"/>
        <v>8.5640057999999991E-2</v>
      </c>
      <c r="CL28" s="82">
        <f t="shared" si="88"/>
        <v>0.5160981207585813</v>
      </c>
    </row>
    <row r="29" spans="1:90" ht="18" customHeight="1">
      <c r="A29" s="77">
        <f t="shared" si="61"/>
        <v>1993</v>
      </c>
      <c r="B29" s="13">
        <v>11.9</v>
      </c>
      <c r="C29" s="13">
        <v>0.28270000000000001</v>
      </c>
      <c r="D29" s="43">
        <f t="shared" si="66"/>
        <v>6.3582056999999997E-2</v>
      </c>
      <c r="E29" s="43">
        <f t="shared" si="1"/>
        <v>0.6967428566475542</v>
      </c>
      <c r="F29" s="13">
        <v>17.8</v>
      </c>
      <c r="G29" s="13">
        <v>0.29909999999999998</v>
      </c>
      <c r="H29" s="43">
        <f t="shared" si="4"/>
        <v>0.10062322199999998</v>
      </c>
      <c r="I29" s="259">
        <f t="shared" si="5"/>
        <v>0.39339299876855305</v>
      </c>
      <c r="J29" s="13">
        <v>10.3</v>
      </c>
      <c r="K29" s="13">
        <v>0.2354</v>
      </c>
      <c r="L29" s="43">
        <f t="shared" si="8"/>
        <v>4.5825317999999997E-2</v>
      </c>
      <c r="M29" s="367">
        <f t="shared" si="9"/>
        <v>0.84216226373273939</v>
      </c>
      <c r="N29" s="13">
        <v>14.9</v>
      </c>
      <c r="O29" s="13">
        <v>0.26379999999999998</v>
      </c>
      <c r="P29" s="43">
        <f t="shared" si="12"/>
        <v>7.428871799999999E-2</v>
      </c>
      <c r="Q29" s="259">
        <f t="shared" si="63"/>
        <v>0.60906029880390522</v>
      </c>
      <c r="R29" s="13">
        <v>14.6</v>
      </c>
      <c r="S29" s="13">
        <v>0.29299999999999998</v>
      </c>
      <c r="T29" s="43">
        <f t="shared" si="15"/>
        <v>8.0850419999999992E-2</v>
      </c>
      <c r="U29" s="259">
        <f t="shared" si="16"/>
        <v>0.55532302112529119</v>
      </c>
      <c r="V29" s="13">
        <v>15.1</v>
      </c>
      <c r="W29" s="13">
        <v>0.2717</v>
      </c>
      <c r="X29" s="43">
        <f t="shared" si="19"/>
        <v>7.754046299999999E-2</v>
      </c>
      <c r="Y29" s="259">
        <f t="shared" si="20"/>
        <v>0.58243002452368886</v>
      </c>
      <c r="Z29" s="13">
        <v>9.1</v>
      </c>
      <c r="AA29" s="13">
        <v>0.27379999999999999</v>
      </c>
      <c r="AB29" s="43">
        <f t="shared" si="23"/>
        <v>4.7090861999999997E-2</v>
      </c>
      <c r="AC29" s="259">
        <f t="shared" si="24"/>
        <v>0.83179804887773634</v>
      </c>
      <c r="AD29" s="13">
        <v>14.1</v>
      </c>
      <c r="AE29" s="13">
        <v>0.30120000000000002</v>
      </c>
      <c r="AF29" s="43">
        <f t="shared" si="27"/>
        <v>8.0266788000000006E-2</v>
      </c>
      <c r="AG29" s="259">
        <f t="shared" si="28"/>
        <v>0.5601026948816008</v>
      </c>
      <c r="AH29" s="13">
        <v>15.9</v>
      </c>
      <c r="AI29" s="13">
        <v>0.31519999999999998</v>
      </c>
      <c r="AJ29" s="43">
        <f t="shared" si="31"/>
        <v>9.4720751999999991E-2</v>
      </c>
      <c r="AK29" s="259">
        <f t="shared" si="32"/>
        <v>0.4417314739659467</v>
      </c>
      <c r="AL29" s="13">
        <v>11.2</v>
      </c>
      <c r="AM29" s="13">
        <v>0.2944</v>
      </c>
      <c r="AN29" s="43">
        <f t="shared" si="35"/>
        <v>6.2318591999999985E-2</v>
      </c>
      <c r="AO29" s="259">
        <f t="shared" si="36"/>
        <v>0.70709004546262244</v>
      </c>
      <c r="AP29" s="13">
        <v>10.7</v>
      </c>
      <c r="AQ29" s="13">
        <v>0.3075</v>
      </c>
      <c r="AR29" s="43">
        <f t="shared" si="39"/>
        <v>6.2185724999999997E-2</v>
      </c>
      <c r="AS29" s="82">
        <f t="shared" si="40"/>
        <v>0.70817816419665258</v>
      </c>
      <c r="AT29" s="86"/>
      <c r="AU29" s="13">
        <v>14.1</v>
      </c>
      <c r="AV29" s="9">
        <v>0.31329999999999997</v>
      </c>
      <c r="AW29" s="43">
        <f t="shared" si="67"/>
        <v>8.3491316999999968E-2</v>
      </c>
      <c r="AX29" s="43">
        <f t="shared" si="68"/>
        <v>0.34067419143508643</v>
      </c>
      <c r="AY29" s="13">
        <v>13.9</v>
      </c>
      <c r="AZ29" s="9">
        <v>0.30210000000000004</v>
      </c>
      <c r="BA29" s="43">
        <f t="shared" si="69"/>
        <v>7.9364691000000015E-2</v>
      </c>
      <c r="BB29" s="259">
        <f t="shared" si="70"/>
        <v>0.38062939417562419</v>
      </c>
      <c r="BC29" s="13">
        <v>5.8</v>
      </c>
      <c r="BD29" s="9">
        <v>0.28220000000000001</v>
      </c>
      <c r="BE29" s="43">
        <f t="shared" si="71"/>
        <v>3.0934763999999997E-2</v>
      </c>
      <c r="BF29" s="367">
        <f t="shared" si="72"/>
        <v>0.8495421456569715</v>
      </c>
      <c r="BG29" s="13">
        <v>12.3</v>
      </c>
      <c r="BH29" s="9">
        <v>0.27729999999999999</v>
      </c>
      <c r="BI29" s="43">
        <f t="shared" si="73"/>
        <v>6.4463931000000002E-2</v>
      </c>
      <c r="BJ29" s="259">
        <f t="shared" si="74"/>
        <v>0.52490292097163205</v>
      </c>
      <c r="BK29" s="13">
        <v>12.4</v>
      </c>
      <c r="BL29" s="9">
        <v>0.30510000000000004</v>
      </c>
      <c r="BM29" s="43">
        <f t="shared" si="75"/>
        <v>7.1503236000000012E-2</v>
      </c>
      <c r="BN29" s="259">
        <f t="shared" si="76"/>
        <v>0.63187209667323552</v>
      </c>
      <c r="BO29" s="13">
        <v>17.399999999999999</v>
      </c>
      <c r="BP29" s="9">
        <v>0.30920000000000003</v>
      </c>
      <c r="BQ29" s="43">
        <f t="shared" si="77"/>
        <v>0.101683512</v>
      </c>
      <c r="BR29" s="259">
        <f t="shared" si="78"/>
        <v>0.38470971840168194</v>
      </c>
      <c r="BS29" s="13">
        <v>12</v>
      </c>
      <c r="BT29" s="9">
        <v>0.30280000000000001</v>
      </c>
      <c r="BU29" s="43">
        <f t="shared" si="79"/>
        <v>6.8675040000000007E-2</v>
      </c>
      <c r="BV29" s="259">
        <f t="shared" si="80"/>
        <v>0.65503370227214042</v>
      </c>
      <c r="BW29" s="13">
        <v>15.6</v>
      </c>
      <c r="BX29" s="9">
        <v>0.33149999999999996</v>
      </c>
      <c r="BY29" s="43">
        <f t="shared" si="81"/>
        <v>9.7739459999999986E-2</v>
      </c>
      <c r="BZ29" s="259">
        <f t="shared" si="82"/>
        <v>0.41700966398026718</v>
      </c>
      <c r="CA29" s="13">
        <v>14.8</v>
      </c>
      <c r="CB29" s="9">
        <v>0.3211</v>
      </c>
      <c r="CC29" s="43">
        <f t="shared" si="83"/>
        <v>8.9818091999999988E-2</v>
      </c>
      <c r="CD29" s="259">
        <f t="shared" si="84"/>
        <v>0.48188197177639802</v>
      </c>
      <c r="CE29" s="13">
        <v>14.7</v>
      </c>
      <c r="CF29" s="9">
        <v>0.32429999999999998</v>
      </c>
      <c r="CG29" s="43">
        <f t="shared" si="85"/>
        <v>9.0100268999999983E-2</v>
      </c>
      <c r="CH29" s="259">
        <f t="shared" si="86"/>
        <v>0.47957107381066927</v>
      </c>
      <c r="CI29" s="13">
        <v>13.8</v>
      </c>
      <c r="CJ29" s="9">
        <v>0.34590000000000004</v>
      </c>
      <c r="CK29" s="43">
        <f t="shared" si="87"/>
        <v>9.0217638000000003E-2</v>
      </c>
      <c r="CL29" s="82">
        <f t="shared" si="88"/>
        <v>0.47860987646524544</v>
      </c>
    </row>
    <row r="30" spans="1:90" ht="18" customHeight="1">
      <c r="A30" s="77">
        <f t="shared" si="61"/>
        <v>1994</v>
      </c>
      <c r="B30" s="13">
        <v>11.8</v>
      </c>
      <c r="C30" s="13">
        <v>0.29510000000000003</v>
      </c>
      <c r="D30" s="43">
        <f t="shared" si="66"/>
        <v>6.5813202000000001E-2</v>
      </c>
      <c r="E30" s="43">
        <f t="shared" si="1"/>
        <v>0.67847082015363058</v>
      </c>
      <c r="F30" s="13">
        <v>18</v>
      </c>
      <c r="G30" s="13">
        <v>0.29930000000000001</v>
      </c>
      <c r="H30" s="43">
        <f t="shared" si="4"/>
        <v>0.10182186</v>
      </c>
      <c r="I30" s="259">
        <f t="shared" si="5"/>
        <v>0.38357671283509565</v>
      </c>
      <c r="J30" s="13">
        <v>9.3000000000000007</v>
      </c>
      <c r="K30" s="13">
        <v>0.23260000000000003</v>
      </c>
      <c r="L30" s="43">
        <f t="shared" si="8"/>
        <v>4.0884102000000012E-2</v>
      </c>
      <c r="M30" s="367">
        <f t="shared" si="9"/>
        <v>0.88262851719289503</v>
      </c>
      <c r="N30" s="13">
        <v>15.2</v>
      </c>
      <c r="O30" s="13">
        <v>0.28110000000000002</v>
      </c>
      <c r="P30" s="43">
        <f t="shared" si="12"/>
        <v>8.0754407999999986E-2</v>
      </c>
      <c r="Q30" s="259">
        <f t="shared" si="63"/>
        <v>0.55610931460592772</v>
      </c>
      <c r="R30" s="13">
        <v>14.8</v>
      </c>
      <c r="S30" s="13">
        <v>0.32600000000000001</v>
      </c>
      <c r="T30" s="43">
        <f t="shared" si="15"/>
        <v>9.1188720000000015E-2</v>
      </c>
      <c r="U30" s="259">
        <f t="shared" si="16"/>
        <v>0.47065716799376894</v>
      </c>
      <c r="V30" s="13">
        <v>15</v>
      </c>
      <c r="W30" s="13">
        <v>0.27050000000000002</v>
      </c>
      <c r="X30" s="43">
        <f t="shared" si="19"/>
        <v>7.6686749999999998E-2</v>
      </c>
      <c r="Y30" s="259">
        <f t="shared" si="20"/>
        <v>0.58942153564974153</v>
      </c>
      <c r="Z30" s="13">
        <v>8.9</v>
      </c>
      <c r="AA30" s="13">
        <v>0.30659999999999998</v>
      </c>
      <c r="AB30" s="43">
        <f t="shared" si="23"/>
        <v>5.1573186E-2</v>
      </c>
      <c r="AC30" s="259">
        <f t="shared" si="24"/>
        <v>0.7950899067777879</v>
      </c>
      <c r="AD30" s="13">
        <v>13.5</v>
      </c>
      <c r="AE30" s="13">
        <v>0.30879999999999996</v>
      </c>
      <c r="AF30" s="43">
        <f t="shared" si="27"/>
        <v>7.8790319999999983E-2</v>
      </c>
      <c r="AG30" s="259">
        <f t="shared" si="28"/>
        <v>0.57219427887910468</v>
      </c>
      <c r="AH30" s="13">
        <v>15.6</v>
      </c>
      <c r="AI30" s="13">
        <v>0.31859999999999999</v>
      </c>
      <c r="AJ30" s="43">
        <f t="shared" si="31"/>
        <v>9.3936023999999993E-2</v>
      </c>
      <c r="AK30" s="259">
        <f t="shared" si="32"/>
        <v>0.44815803013051853</v>
      </c>
      <c r="AL30" s="13">
        <v>11.8</v>
      </c>
      <c r="AM30" s="13">
        <v>0.28949999999999998</v>
      </c>
      <c r="AN30" s="43">
        <f t="shared" si="35"/>
        <v>6.4564289999999996E-2</v>
      </c>
      <c r="AO30" s="259">
        <f t="shared" si="36"/>
        <v>0.68869882668915339</v>
      </c>
      <c r="AP30" s="13">
        <v>10.7</v>
      </c>
      <c r="AQ30" s="13">
        <v>0.32130000000000003</v>
      </c>
      <c r="AR30" s="43">
        <f t="shared" si="39"/>
        <v>6.4976498999999993E-2</v>
      </c>
      <c r="AS30" s="82">
        <f t="shared" si="40"/>
        <v>0.68532302731657846</v>
      </c>
      <c r="AT30" s="86"/>
      <c r="AU30" s="13">
        <v>14</v>
      </c>
      <c r="AV30" s="9">
        <v>0.31629999999999997</v>
      </c>
      <c r="AW30" s="43">
        <f t="shared" si="67"/>
        <v>8.3692979999999986E-2</v>
      </c>
      <c r="AX30" s="43">
        <f t="shared" si="68"/>
        <v>0.33872163114727116</v>
      </c>
      <c r="AY30" s="13">
        <v>14.9</v>
      </c>
      <c r="AZ30" s="9">
        <v>0.28220000000000001</v>
      </c>
      <c r="BA30" s="43">
        <f t="shared" si="69"/>
        <v>7.9470341999999999E-2</v>
      </c>
      <c r="BB30" s="259">
        <f t="shared" si="70"/>
        <v>0.37960645021977746</v>
      </c>
      <c r="BC30" s="13">
        <v>6.7</v>
      </c>
      <c r="BD30" s="9">
        <v>0.28089999999999998</v>
      </c>
      <c r="BE30" s="43">
        <f t="shared" si="71"/>
        <v>3.5570366999999992E-2</v>
      </c>
      <c r="BF30" s="367">
        <f t="shared" si="72"/>
        <v>0.80465887838495642</v>
      </c>
      <c r="BG30" s="13">
        <v>13</v>
      </c>
      <c r="BH30" s="9">
        <v>0.29359999999999997</v>
      </c>
      <c r="BI30" s="43">
        <f t="shared" si="73"/>
        <v>7.2137519999999997E-2</v>
      </c>
      <c r="BJ30" s="259">
        <f t="shared" si="74"/>
        <v>0.45060498259714316</v>
      </c>
      <c r="BK30" s="13">
        <v>12.9</v>
      </c>
      <c r="BL30" s="9">
        <v>0.3115</v>
      </c>
      <c r="BM30" s="43">
        <f t="shared" si="75"/>
        <v>7.5946814999999987E-2</v>
      </c>
      <c r="BN30" s="259">
        <f t="shared" si="76"/>
        <v>0.5954812580448039</v>
      </c>
      <c r="BO30" s="13">
        <v>17.2</v>
      </c>
      <c r="BP30" s="9">
        <v>0.30630000000000002</v>
      </c>
      <c r="BQ30" s="43">
        <f t="shared" si="77"/>
        <v>9.9572003999999992E-2</v>
      </c>
      <c r="BR30" s="259">
        <f t="shared" si="78"/>
        <v>0.40200198368843465</v>
      </c>
      <c r="BS30" s="13">
        <v>11.7</v>
      </c>
      <c r="BT30" s="9">
        <v>0.31780000000000003</v>
      </c>
      <c r="BU30" s="43">
        <f t="shared" si="79"/>
        <v>7.0275114E-2</v>
      </c>
      <c r="BV30" s="259">
        <f t="shared" si="80"/>
        <v>0.64192984280940801</v>
      </c>
      <c r="BW30" s="13">
        <v>15.3</v>
      </c>
      <c r="BX30" s="9">
        <v>0.33409999999999995</v>
      </c>
      <c r="BY30" s="43">
        <f t="shared" si="81"/>
        <v>9.6611696999999983E-2</v>
      </c>
      <c r="BZ30" s="259">
        <f t="shared" si="82"/>
        <v>0.42624551673412081</v>
      </c>
      <c r="CA30" s="13">
        <v>13.7</v>
      </c>
      <c r="CB30" s="9">
        <v>0.33020000000000005</v>
      </c>
      <c r="CC30" s="43">
        <f t="shared" si="83"/>
        <v>8.5498686000000004E-2</v>
      </c>
      <c r="CD30" s="259">
        <f t="shared" si="84"/>
        <v>0.51725589147416395</v>
      </c>
      <c r="CE30" s="13">
        <v>14.7</v>
      </c>
      <c r="CF30" s="9">
        <v>0.3236</v>
      </c>
      <c r="CG30" s="43">
        <f t="shared" si="85"/>
        <v>8.9905788E-2</v>
      </c>
      <c r="CH30" s="259">
        <f t="shared" si="86"/>
        <v>0.48116378245550162</v>
      </c>
      <c r="CI30" s="13">
        <v>14.7</v>
      </c>
      <c r="CJ30" s="9">
        <v>0.33310000000000001</v>
      </c>
      <c r="CK30" s="43">
        <f t="shared" si="87"/>
        <v>9.2545172999999981E-2</v>
      </c>
      <c r="CL30" s="82">
        <f t="shared" si="88"/>
        <v>0.45954845084706109</v>
      </c>
    </row>
    <row r="31" spans="1:90" ht="18" customHeight="1">
      <c r="A31" s="77">
        <f t="shared" si="61"/>
        <v>1995</v>
      </c>
      <c r="B31" s="13">
        <v>12.1</v>
      </c>
      <c r="C31" s="13">
        <v>0.29630000000000001</v>
      </c>
      <c r="D31" s="43">
        <f t="shared" si="66"/>
        <v>6.7760846999999999E-2</v>
      </c>
      <c r="E31" s="43">
        <f t="shared" si="1"/>
        <v>0.6625205163781217</v>
      </c>
      <c r="F31" s="13">
        <v>18.899999999999999</v>
      </c>
      <c r="G31" s="13">
        <v>0.312</v>
      </c>
      <c r="H31" s="43">
        <f t="shared" si="4"/>
        <v>0.11144952</v>
      </c>
      <c r="I31" s="259">
        <f t="shared" si="5"/>
        <v>0.30473066971773299</v>
      </c>
      <c r="J31" s="13">
        <v>10.8</v>
      </c>
      <c r="K31" s="13">
        <v>0.27289999999999998</v>
      </c>
      <c r="L31" s="43">
        <f t="shared" si="8"/>
        <v>5.5704347999999994E-2</v>
      </c>
      <c r="M31" s="367">
        <f t="shared" si="9"/>
        <v>0.76125761760504917</v>
      </c>
      <c r="N31" s="13">
        <v>14.8</v>
      </c>
      <c r="O31" s="13">
        <v>0.28439999999999999</v>
      </c>
      <c r="P31" s="43">
        <f t="shared" si="12"/>
        <v>7.9552368000000012E-2</v>
      </c>
      <c r="Q31" s="259">
        <f t="shared" si="63"/>
        <v>0.56595346133200575</v>
      </c>
      <c r="R31" s="13">
        <v>15</v>
      </c>
      <c r="S31" s="13">
        <v>0.29980000000000001</v>
      </c>
      <c r="T31" s="43">
        <f t="shared" si="15"/>
        <v>8.4993299999999994E-2</v>
      </c>
      <c r="U31" s="259">
        <f t="shared" si="16"/>
        <v>0.52139476700019127</v>
      </c>
      <c r="V31" s="13">
        <v>15.2</v>
      </c>
      <c r="W31" s="13">
        <v>0.29389999999999999</v>
      </c>
      <c r="X31" s="43">
        <f t="shared" si="19"/>
        <v>8.4431591999999986E-2</v>
      </c>
      <c r="Y31" s="259">
        <f t="shared" si="20"/>
        <v>0.52599489342627703</v>
      </c>
      <c r="Z31" s="13">
        <v>9.5</v>
      </c>
      <c r="AA31" s="13">
        <v>0.28239999999999998</v>
      </c>
      <c r="AB31" s="43">
        <f t="shared" si="23"/>
        <v>5.0704920000000001E-2</v>
      </c>
      <c r="AC31" s="259">
        <f t="shared" si="24"/>
        <v>0.8022006001833859</v>
      </c>
      <c r="AD31" s="13">
        <v>12.5</v>
      </c>
      <c r="AE31" s="13">
        <v>0.26600000000000001</v>
      </c>
      <c r="AF31" s="43">
        <f t="shared" si="27"/>
        <v>6.2842499999999996E-2</v>
      </c>
      <c r="AG31" s="259">
        <f t="shared" si="28"/>
        <v>0.7027994833989919</v>
      </c>
      <c r="AH31" s="13">
        <v>15.2</v>
      </c>
      <c r="AI31" s="13">
        <v>0.34700000000000003</v>
      </c>
      <c r="AJ31" s="43">
        <f t="shared" si="31"/>
        <v>9.9686159999999996E-2</v>
      </c>
      <c r="AK31" s="259">
        <f t="shared" si="32"/>
        <v>0.40106709931381962</v>
      </c>
      <c r="AL31" s="13">
        <v>11</v>
      </c>
      <c r="AM31" s="13">
        <v>0.31530000000000002</v>
      </c>
      <c r="AN31" s="43">
        <f t="shared" si="35"/>
        <v>6.5550869999999997E-2</v>
      </c>
      <c r="AO31" s="259">
        <f t="shared" si="36"/>
        <v>0.68061919682907035</v>
      </c>
      <c r="AP31" s="13">
        <v>11.2</v>
      </c>
      <c r="AQ31" s="13">
        <v>0.31420000000000003</v>
      </c>
      <c r="AR31" s="43">
        <f t="shared" si="39"/>
        <v>6.6509855999999992E-2</v>
      </c>
      <c r="AS31" s="82">
        <f t="shared" si="40"/>
        <v>0.67276554895357965</v>
      </c>
      <c r="AT31" s="86"/>
      <c r="AU31" s="13">
        <v>14.5</v>
      </c>
      <c r="AV31" s="9">
        <v>0.3175</v>
      </c>
      <c r="AW31" s="43">
        <f t="shared" si="67"/>
        <v>8.7010875000000001E-2</v>
      </c>
      <c r="AX31" s="43">
        <f t="shared" si="68"/>
        <v>0.30659679904549636</v>
      </c>
      <c r="AY31" s="13">
        <v>16.100000000000001</v>
      </c>
      <c r="AZ31" s="9">
        <v>0.27660000000000001</v>
      </c>
      <c r="BA31" s="43">
        <f t="shared" si="69"/>
        <v>8.4166614000000001E-2</v>
      </c>
      <c r="BB31" s="259">
        <f t="shared" si="70"/>
        <v>0.3341357679033492</v>
      </c>
      <c r="BC31" s="13">
        <v>8.1999999999999993</v>
      </c>
      <c r="BD31" s="9">
        <v>0.30329999999999996</v>
      </c>
      <c r="BE31" s="43">
        <f t="shared" si="71"/>
        <v>4.7005433999999992E-2</v>
      </c>
      <c r="BF31" s="367">
        <f t="shared" si="72"/>
        <v>0.69394120725686337</v>
      </c>
      <c r="BG31" s="13">
        <v>13.7</v>
      </c>
      <c r="BH31" s="9">
        <v>0.27410000000000001</v>
      </c>
      <c r="BI31" s="43">
        <f t="shared" si="73"/>
        <v>7.0972713000000007E-2</v>
      </c>
      <c r="BJ31" s="259">
        <f t="shared" si="74"/>
        <v>0.46188298545919021</v>
      </c>
      <c r="BK31" s="13">
        <v>12.7</v>
      </c>
      <c r="BL31" s="9">
        <v>0.29760000000000003</v>
      </c>
      <c r="BM31" s="43">
        <f t="shared" si="75"/>
        <v>7.1432928000000007E-2</v>
      </c>
      <c r="BN31" s="259">
        <f t="shared" si="76"/>
        <v>0.63244788638740235</v>
      </c>
      <c r="BO31" s="13">
        <v>17.600000000000001</v>
      </c>
      <c r="BP31" s="9">
        <v>0.32549999999999996</v>
      </c>
      <c r="BQ31" s="43">
        <f t="shared" si="77"/>
        <v>0.10827431999999998</v>
      </c>
      <c r="BR31" s="259">
        <f t="shared" si="78"/>
        <v>0.3307340761639776</v>
      </c>
      <c r="BS31" s="13">
        <v>12.4</v>
      </c>
      <c r="BT31" s="9">
        <v>0.30530000000000002</v>
      </c>
      <c r="BU31" s="43">
        <f t="shared" si="79"/>
        <v>7.1550108000000001E-2</v>
      </c>
      <c r="BV31" s="259">
        <f t="shared" si="80"/>
        <v>0.63148823686379107</v>
      </c>
      <c r="BW31" s="13">
        <v>15.3</v>
      </c>
      <c r="BX31" s="9">
        <v>0.29649999999999999</v>
      </c>
      <c r="BY31" s="43">
        <f t="shared" si="81"/>
        <v>8.5738905000000004E-2</v>
      </c>
      <c r="BZ31" s="259">
        <f t="shared" si="82"/>
        <v>0.51528860995076065</v>
      </c>
      <c r="CA31" s="13">
        <v>14.2</v>
      </c>
      <c r="CB31" s="9">
        <v>0.3569</v>
      </c>
      <c r="CC31" s="43">
        <f t="shared" si="83"/>
        <v>9.5784821999999978E-2</v>
      </c>
      <c r="CD31" s="259">
        <f t="shared" si="84"/>
        <v>0.43301723716283036</v>
      </c>
      <c r="CE31" s="13">
        <v>14.8</v>
      </c>
      <c r="CF31" s="9">
        <v>0.33450000000000002</v>
      </c>
      <c r="CG31" s="43">
        <f t="shared" si="85"/>
        <v>9.3566340000000012E-2</v>
      </c>
      <c r="CH31" s="259">
        <f t="shared" si="86"/>
        <v>0.45118556959533113</v>
      </c>
      <c r="CI31" s="13">
        <v>14.7</v>
      </c>
      <c r="CJ31" s="9">
        <v>0.33350000000000002</v>
      </c>
      <c r="CK31" s="43">
        <f t="shared" si="87"/>
        <v>9.2656305000000008E-2</v>
      </c>
      <c r="CL31" s="82">
        <f t="shared" si="88"/>
        <v>0.4586383316214423</v>
      </c>
    </row>
    <row r="32" spans="1:90" ht="18" customHeight="1">
      <c r="A32" s="77">
        <f t="shared" si="61"/>
        <v>1996</v>
      </c>
      <c r="B32" s="13">
        <v>12.7</v>
      </c>
      <c r="C32" s="13">
        <v>0.30449999999999999</v>
      </c>
      <c r="D32" s="43">
        <f t="shared" si="66"/>
        <v>7.3089134999999986E-2</v>
      </c>
      <c r="E32" s="43">
        <f t="shared" si="1"/>
        <v>0.618884323846424</v>
      </c>
      <c r="F32" s="13">
        <v>18.899999999999999</v>
      </c>
      <c r="G32" s="13">
        <v>0.31940000000000002</v>
      </c>
      <c r="H32" s="43">
        <f t="shared" si="4"/>
        <v>0.11409287399999998</v>
      </c>
      <c r="I32" s="259">
        <f t="shared" si="5"/>
        <v>0.28308283385123462</v>
      </c>
      <c r="J32" s="13">
        <v>11.8</v>
      </c>
      <c r="K32" s="13">
        <v>0.25459999999999999</v>
      </c>
      <c r="L32" s="43">
        <f t="shared" si="8"/>
        <v>5.6780891999999999E-2</v>
      </c>
      <c r="M32" s="367">
        <f t="shared" si="9"/>
        <v>0.75244122456232243</v>
      </c>
      <c r="N32" s="13">
        <v>15.7</v>
      </c>
      <c r="O32" s="13">
        <v>0.29370000000000002</v>
      </c>
      <c r="P32" s="43">
        <f t="shared" si="12"/>
        <v>8.7149600999999993E-2</v>
      </c>
      <c r="Q32" s="259">
        <f t="shared" si="63"/>
        <v>0.50373566794392921</v>
      </c>
      <c r="R32" s="13">
        <v>14.8</v>
      </c>
      <c r="S32" s="13">
        <v>0.2848</v>
      </c>
      <c r="T32" s="43">
        <f t="shared" si="15"/>
        <v>7.9664256000000003E-2</v>
      </c>
      <c r="U32" s="259">
        <f t="shared" si="16"/>
        <v>0.56503715081913819</v>
      </c>
      <c r="V32" s="13">
        <v>15</v>
      </c>
      <c r="W32" s="13">
        <v>0.27960000000000002</v>
      </c>
      <c r="X32" s="43">
        <f t="shared" si="19"/>
        <v>7.9266599999999993E-2</v>
      </c>
      <c r="Y32" s="259">
        <f t="shared" si="20"/>
        <v>0.5682937679121679</v>
      </c>
      <c r="Z32" s="13">
        <v>10.9</v>
      </c>
      <c r="AA32" s="13">
        <v>0.31069999999999998</v>
      </c>
      <c r="AB32" s="43">
        <f t="shared" si="23"/>
        <v>6.4007306999999999E-2</v>
      </c>
      <c r="AC32" s="259">
        <f t="shared" si="24"/>
        <v>0.69326025756993215</v>
      </c>
      <c r="AD32" s="13">
        <v>13.6</v>
      </c>
      <c r="AE32" s="13">
        <v>0.28300000000000003</v>
      </c>
      <c r="AF32" s="43">
        <f t="shared" si="27"/>
        <v>7.2742319999999999E-2</v>
      </c>
      <c r="AG32" s="259">
        <f t="shared" si="28"/>
        <v>0.62172457687195115</v>
      </c>
      <c r="AH32" s="13">
        <v>15.1</v>
      </c>
      <c r="AI32" s="13">
        <v>0.32270000000000004</v>
      </c>
      <c r="AJ32" s="43">
        <f t="shared" si="31"/>
        <v>9.2095353000000005E-2</v>
      </c>
      <c r="AK32" s="259">
        <f t="shared" si="32"/>
        <v>0.46323226676027884</v>
      </c>
      <c r="AL32" s="13">
        <v>11.4</v>
      </c>
      <c r="AM32" s="13">
        <v>0.31170000000000003</v>
      </c>
      <c r="AN32" s="43">
        <f t="shared" si="35"/>
        <v>6.7158882000000017E-2</v>
      </c>
      <c r="AO32" s="259">
        <f t="shared" si="36"/>
        <v>0.66745032885022204</v>
      </c>
      <c r="AP32" s="13">
        <v>11.5</v>
      </c>
      <c r="AQ32" s="13">
        <v>0.35149999999999998</v>
      </c>
      <c r="AR32" s="43">
        <f t="shared" si="39"/>
        <v>7.6398524999999995E-2</v>
      </c>
      <c r="AS32" s="82">
        <f t="shared" si="40"/>
        <v>0.59178196391346316</v>
      </c>
      <c r="AT32" s="86"/>
      <c r="AU32" s="13">
        <v>15.2</v>
      </c>
      <c r="AV32" s="9">
        <v>0.3246</v>
      </c>
      <c r="AW32" s="43">
        <f t="shared" si="67"/>
        <v>9.3251087999999982E-2</v>
      </c>
      <c r="AX32" s="43">
        <f t="shared" si="68"/>
        <v>0.24617722732779246</v>
      </c>
      <c r="AY32" s="13">
        <v>15.4</v>
      </c>
      <c r="AZ32" s="9">
        <v>0.28770000000000001</v>
      </c>
      <c r="BA32" s="43">
        <f t="shared" si="69"/>
        <v>8.3737961999999999E-2</v>
      </c>
      <c r="BB32" s="259">
        <f t="shared" si="70"/>
        <v>0.33828610223583716</v>
      </c>
      <c r="BC32" s="13">
        <v>8.6</v>
      </c>
      <c r="BD32" s="9">
        <v>0.29059999999999997</v>
      </c>
      <c r="BE32" s="43">
        <f t="shared" si="71"/>
        <v>4.7234123999999988E-2</v>
      </c>
      <c r="BF32" s="367">
        <f t="shared" si="72"/>
        <v>0.6917269636315061</v>
      </c>
      <c r="BG32" s="13">
        <v>13.4</v>
      </c>
      <c r="BH32" s="9">
        <v>0.30809999999999998</v>
      </c>
      <c r="BI32" s="43">
        <f t="shared" si="73"/>
        <v>7.8029405999999996E-2</v>
      </c>
      <c r="BJ32" s="259">
        <f t="shared" si="74"/>
        <v>0.39355801501293786</v>
      </c>
      <c r="BK32" s="13">
        <v>12</v>
      </c>
      <c r="BL32" s="9">
        <v>0.29909999999999998</v>
      </c>
      <c r="BM32" s="43">
        <f t="shared" si="75"/>
        <v>6.7835880000000001E-2</v>
      </c>
      <c r="BN32" s="259">
        <f t="shared" si="76"/>
        <v>0.66190603111864799</v>
      </c>
      <c r="BO32" s="13">
        <v>18</v>
      </c>
      <c r="BP32" s="9">
        <v>0.30730000000000002</v>
      </c>
      <c r="BQ32" s="43">
        <f t="shared" si="77"/>
        <v>0.10454346</v>
      </c>
      <c r="BR32" s="259">
        <f t="shared" si="78"/>
        <v>0.36128807873831464</v>
      </c>
      <c r="BS32" s="13">
        <v>14</v>
      </c>
      <c r="BT32" s="9">
        <v>0.32579999999999998</v>
      </c>
      <c r="BU32" s="43">
        <f t="shared" si="79"/>
        <v>8.620667999999998E-2</v>
      </c>
      <c r="BV32" s="259">
        <f t="shared" si="80"/>
        <v>0.5114577509653766</v>
      </c>
      <c r="BW32" s="13">
        <v>15.8</v>
      </c>
      <c r="BX32" s="9">
        <v>0.30320000000000003</v>
      </c>
      <c r="BY32" s="43">
        <f t="shared" si="81"/>
        <v>9.0541584000000022E-2</v>
      </c>
      <c r="BZ32" s="259">
        <f t="shared" si="82"/>
        <v>0.47595690987900346</v>
      </c>
      <c r="CA32" s="13">
        <v>13</v>
      </c>
      <c r="CB32" s="9">
        <v>0.33860000000000001</v>
      </c>
      <c r="CC32" s="43">
        <f t="shared" si="83"/>
        <v>8.319401999999998E-2</v>
      </c>
      <c r="CD32" s="259">
        <f t="shared" si="84"/>
        <v>0.53613003065306331</v>
      </c>
      <c r="CE32" s="13">
        <v>14.8</v>
      </c>
      <c r="CF32" s="9">
        <v>0.33460000000000001</v>
      </c>
      <c r="CG32" s="43">
        <f t="shared" si="85"/>
        <v>9.3594312000000013E-2</v>
      </c>
      <c r="CH32" s="259">
        <f t="shared" si="86"/>
        <v>0.45095649196711418</v>
      </c>
      <c r="CI32" s="13">
        <v>15.2</v>
      </c>
      <c r="CJ32" s="9">
        <v>0.36969999999999997</v>
      </c>
      <c r="CK32" s="43">
        <f t="shared" si="87"/>
        <v>0.10620741599999997</v>
      </c>
      <c r="CL32" s="82">
        <f t="shared" si="88"/>
        <v>0.347661055503033</v>
      </c>
    </row>
    <row r="33" spans="1:138" ht="18" customHeight="1">
      <c r="A33" s="77">
        <f t="shared" si="61"/>
        <v>1997</v>
      </c>
      <c r="B33" s="13">
        <v>12.7</v>
      </c>
      <c r="C33" s="13">
        <v>0.31440000000000001</v>
      </c>
      <c r="D33" s="43">
        <f t="shared" si="66"/>
        <v>7.5465431999999999E-2</v>
      </c>
      <c r="E33" s="43">
        <f t="shared" si="1"/>
        <v>0.599423560200672</v>
      </c>
      <c r="F33" s="13">
        <v>18.8</v>
      </c>
      <c r="G33" s="13">
        <v>0.29659999999999997</v>
      </c>
      <c r="H33" s="43">
        <f t="shared" si="4"/>
        <v>0.105387912</v>
      </c>
      <c r="I33" s="259">
        <f t="shared" si="5"/>
        <v>0.35437241088106347</v>
      </c>
      <c r="J33" s="13">
        <v>11.6</v>
      </c>
      <c r="K33" s="13">
        <v>0.26090000000000002</v>
      </c>
      <c r="L33" s="43">
        <f t="shared" si="8"/>
        <v>5.7199715999999998E-2</v>
      </c>
      <c r="M33" s="367">
        <f t="shared" si="9"/>
        <v>0.74901125142631775</v>
      </c>
      <c r="N33" s="13">
        <v>15.9</v>
      </c>
      <c r="O33" s="13">
        <v>0.30909999999999999</v>
      </c>
      <c r="P33" s="43">
        <f t="shared" si="12"/>
        <v>9.2887640999999993E-2</v>
      </c>
      <c r="Q33" s="259">
        <f t="shared" si="63"/>
        <v>0.45674379772321605</v>
      </c>
      <c r="R33" s="13">
        <v>15.8</v>
      </c>
      <c r="S33" s="13">
        <v>0.28999999999999998</v>
      </c>
      <c r="T33" s="43">
        <f t="shared" si="15"/>
        <v>8.6599799999999991E-2</v>
      </c>
      <c r="U33" s="259">
        <f t="shared" si="16"/>
        <v>0.5082382815958415</v>
      </c>
      <c r="V33" s="13">
        <v>15.8</v>
      </c>
      <c r="W33" s="13">
        <v>0.29049999999999998</v>
      </c>
      <c r="X33" s="43">
        <f t="shared" si="19"/>
        <v>8.6749110000000004E-2</v>
      </c>
      <c r="Y33" s="259">
        <f t="shared" si="20"/>
        <v>0.50701550236414294</v>
      </c>
      <c r="Z33" s="13">
        <v>10.5</v>
      </c>
      <c r="AA33" s="13">
        <v>0.32850000000000001</v>
      </c>
      <c r="AB33" s="43">
        <f t="shared" si="23"/>
        <v>6.5190824999999994E-2</v>
      </c>
      <c r="AC33" s="259">
        <f t="shared" si="24"/>
        <v>0.68356779738145701</v>
      </c>
      <c r="AD33" s="13">
        <v>13.8</v>
      </c>
      <c r="AE33" s="13">
        <v>0.29160000000000003</v>
      </c>
      <c r="AF33" s="43">
        <f t="shared" si="27"/>
        <v>7.6055112000000008E-2</v>
      </c>
      <c r="AG33" s="259">
        <f t="shared" si="28"/>
        <v>0.59459435614636935</v>
      </c>
      <c r="AH33" s="13">
        <v>13.5</v>
      </c>
      <c r="AI33" s="13">
        <v>0.2883</v>
      </c>
      <c r="AJ33" s="43">
        <f t="shared" si="31"/>
        <v>7.355974500000001E-2</v>
      </c>
      <c r="AK33" s="259">
        <f t="shared" si="32"/>
        <v>0.61503024753385538</v>
      </c>
      <c r="AL33" s="13">
        <v>10.199999999999999</v>
      </c>
      <c r="AM33" s="13">
        <v>0.34499999999999997</v>
      </c>
      <c r="AN33" s="43">
        <f t="shared" si="35"/>
        <v>6.6509099999999988E-2</v>
      </c>
      <c r="AO33" s="259">
        <f t="shared" si="36"/>
        <v>0.67277174024082875</v>
      </c>
      <c r="AP33" s="13">
        <v>12.4</v>
      </c>
      <c r="AQ33" s="13">
        <v>0.3448</v>
      </c>
      <c r="AR33" s="43">
        <f t="shared" si="39"/>
        <v>8.0807327999999998E-2</v>
      </c>
      <c r="AS33" s="82">
        <f t="shared" si="40"/>
        <v>0.55567592449849024</v>
      </c>
      <c r="AT33" s="86"/>
      <c r="AU33" s="13">
        <v>15</v>
      </c>
      <c r="AV33" s="9">
        <v>0.33189999999999997</v>
      </c>
      <c r="AW33" s="43">
        <f t="shared" si="67"/>
        <v>9.4093649999999987E-2</v>
      </c>
      <c r="AX33" s="43">
        <f t="shared" si="68"/>
        <v>0.23801929502874875</v>
      </c>
      <c r="AY33" s="13">
        <v>14.1</v>
      </c>
      <c r="AZ33" s="9">
        <v>0.30120000000000002</v>
      </c>
      <c r="BA33" s="43">
        <f t="shared" si="69"/>
        <v>8.0266788000000006E-2</v>
      </c>
      <c r="BB33" s="259">
        <f t="shared" si="70"/>
        <v>0.37189502655262396</v>
      </c>
      <c r="BC33" s="13">
        <v>8.1999999999999993</v>
      </c>
      <c r="BD33" s="9">
        <v>0.31430000000000002</v>
      </c>
      <c r="BE33" s="43">
        <f t="shared" si="71"/>
        <v>4.8710213999999995E-2</v>
      </c>
      <c r="BF33" s="367">
        <f t="shared" si="72"/>
        <v>0.6774350275041997</v>
      </c>
      <c r="BG33" s="13">
        <v>14</v>
      </c>
      <c r="BH33" s="9">
        <v>0.3085</v>
      </c>
      <c r="BI33" s="43">
        <f t="shared" si="73"/>
        <v>8.1629099999999996E-2</v>
      </c>
      <c r="BJ33" s="259">
        <f t="shared" si="74"/>
        <v>0.35870472237776835</v>
      </c>
      <c r="BK33" s="13">
        <v>13.5</v>
      </c>
      <c r="BL33" s="9">
        <v>0.2878</v>
      </c>
      <c r="BM33" s="43">
        <f t="shared" si="75"/>
        <v>7.3432169999999991E-2</v>
      </c>
      <c r="BN33" s="259">
        <f t="shared" si="76"/>
        <v>0.61607502725714214</v>
      </c>
      <c r="BO33" s="13">
        <v>18.5</v>
      </c>
      <c r="BP33" s="9">
        <v>0.31480000000000002</v>
      </c>
      <c r="BQ33" s="43">
        <f t="shared" si="77"/>
        <v>0.11006982000000001</v>
      </c>
      <c r="BR33" s="259">
        <f t="shared" si="78"/>
        <v>0.31602976894735096</v>
      </c>
      <c r="BS33" s="13">
        <v>13.5</v>
      </c>
      <c r="BT33" s="9">
        <v>0.33759999999999996</v>
      </c>
      <c r="BU33" s="43">
        <f t="shared" si="79"/>
        <v>8.6138639999999975E-2</v>
      </c>
      <c r="BV33" s="259">
        <f t="shared" si="80"/>
        <v>0.51201496681779612</v>
      </c>
      <c r="BW33" s="13">
        <v>16.5</v>
      </c>
      <c r="BX33" s="9">
        <v>0.30959999999999999</v>
      </c>
      <c r="BY33" s="43">
        <f t="shared" si="81"/>
        <v>9.6548759999999983E-2</v>
      </c>
      <c r="BZ33" s="259">
        <f t="shared" si="82"/>
        <v>0.4267609413976089</v>
      </c>
      <c r="CA33" s="13">
        <v>11.1</v>
      </c>
      <c r="CB33" s="9">
        <v>0.32299999999999995</v>
      </c>
      <c r="CC33" s="43">
        <f t="shared" si="83"/>
        <v>6.7762169999999983E-2</v>
      </c>
      <c r="CD33" s="259">
        <f t="shared" si="84"/>
        <v>0.66250968162543589</v>
      </c>
      <c r="CE33" s="13">
        <v>13.4</v>
      </c>
      <c r="CF33" s="9">
        <v>0.35969999999999996</v>
      </c>
      <c r="CG33" s="43">
        <f t="shared" si="85"/>
        <v>9.1097621999999989E-2</v>
      </c>
      <c r="CH33" s="259">
        <f t="shared" si="86"/>
        <v>0.47140321810728636</v>
      </c>
      <c r="CI33" s="13">
        <v>15.3</v>
      </c>
      <c r="CJ33" s="9">
        <v>0.3629</v>
      </c>
      <c r="CK33" s="43">
        <f t="shared" si="87"/>
        <v>0.10493979300000002</v>
      </c>
      <c r="CL33" s="82">
        <f t="shared" si="88"/>
        <v>0.35804229639797081</v>
      </c>
    </row>
    <row r="34" spans="1:138" ht="18" customHeight="1">
      <c r="A34" s="77">
        <v>1998</v>
      </c>
      <c r="B34" s="13">
        <v>12.9</v>
      </c>
      <c r="C34" s="13">
        <v>0.31340000000000001</v>
      </c>
      <c r="D34" s="43">
        <f t="shared" si="66"/>
        <v>7.6410054000000005E-2</v>
      </c>
      <c r="E34" s="43">
        <f t="shared" si="1"/>
        <v>0.59168754678291424</v>
      </c>
      <c r="F34" s="13">
        <v>19</v>
      </c>
      <c r="G34" s="13">
        <v>0.31230000000000002</v>
      </c>
      <c r="H34" s="43">
        <f t="shared" si="4"/>
        <v>0.11214692999999999</v>
      </c>
      <c r="I34" s="259">
        <f t="shared" si="5"/>
        <v>0.2990192072304329</v>
      </c>
      <c r="J34" s="13">
        <v>12.3</v>
      </c>
      <c r="K34" s="13">
        <v>0.2238</v>
      </c>
      <c r="L34" s="43">
        <f t="shared" si="8"/>
        <v>5.2026786000000005E-2</v>
      </c>
      <c r="M34" s="367">
        <f t="shared" si="9"/>
        <v>0.7913751344283243</v>
      </c>
      <c r="N34" s="13">
        <v>15.9</v>
      </c>
      <c r="O34" s="13">
        <v>0.3261</v>
      </c>
      <c r="P34" s="43">
        <f t="shared" si="12"/>
        <v>9.7996310999999989E-2</v>
      </c>
      <c r="Q34" s="259">
        <f t="shared" si="63"/>
        <v>0.41490617413738345</v>
      </c>
      <c r="R34" s="13">
        <v>14.6</v>
      </c>
      <c r="S34" s="13">
        <v>0.30570000000000003</v>
      </c>
      <c r="T34" s="43">
        <f t="shared" si="15"/>
        <v>8.4354858000000005E-2</v>
      </c>
      <c r="U34" s="259">
        <f t="shared" si="16"/>
        <v>0.52662330908206112</v>
      </c>
      <c r="V34" s="13">
        <v>15.3</v>
      </c>
      <c r="W34" s="13">
        <v>0.28179999999999999</v>
      </c>
      <c r="X34" s="43">
        <f t="shared" si="19"/>
        <v>8.1488105999999991E-2</v>
      </c>
      <c r="Y34" s="259">
        <f t="shared" si="20"/>
        <v>0.55010067033067045</v>
      </c>
      <c r="Z34" s="13">
        <v>10.6</v>
      </c>
      <c r="AA34" s="13">
        <v>0.31759999999999999</v>
      </c>
      <c r="AB34" s="43">
        <f t="shared" si="23"/>
        <v>6.3627983999999985E-2</v>
      </c>
      <c r="AC34" s="259">
        <f t="shared" si="24"/>
        <v>0.69636673594717113</v>
      </c>
      <c r="AD34" s="13">
        <v>13.2</v>
      </c>
      <c r="AE34" s="13">
        <v>0.33039999999999997</v>
      </c>
      <c r="AF34" s="43">
        <f t="shared" si="27"/>
        <v>8.2428191999999997E-2</v>
      </c>
      <c r="AG34" s="259">
        <f t="shared" si="28"/>
        <v>0.5424018046364073</v>
      </c>
      <c r="AH34" s="13">
        <v>15.1</v>
      </c>
      <c r="AI34" s="13">
        <v>0.30609999999999998</v>
      </c>
      <c r="AJ34" s="43">
        <f t="shared" si="31"/>
        <v>8.7357878999999986E-2</v>
      </c>
      <c r="AK34" s="259">
        <f t="shared" si="32"/>
        <v>0.50202996830680069</v>
      </c>
      <c r="AL34" s="13">
        <v>11.3</v>
      </c>
      <c r="AM34" s="13">
        <v>0.33659999999999995</v>
      </c>
      <c r="AN34" s="43">
        <f t="shared" si="35"/>
        <v>7.1887661999999991E-2</v>
      </c>
      <c r="AO34" s="259">
        <f t="shared" si="36"/>
        <v>0.62872382710706531</v>
      </c>
      <c r="AP34" s="13">
        <v>13.7</v>
      </c>
      <c r="AQ34" s="13">
        <v>0.35420000000000001</v>
      </c>
      <c r="AR34" s="43">
        <f t="shared" si="39"/>
        <v>9.1713006E-2</v>
      </c>
      <c r="AS34" s="82">
        <f t="shared" si="40"/>
        <v>0.46636351028651418</v>
      </c>
      <c r="AT34" s="86"/>
      <c r="AU34" s="13">
        <v>13.7</v>
      </c>
      <c r="AV34" s="9">
        <v>0.34079999999999999</v>
      </c>
      <c r="AW34" s="43">
        <f t="shared" si="67"/>
        <v>8.8243343999999974E-2</v>
      </c>
      <c r="AX34" s="43">
        <f t="shared" si="68"/>
        <v>0.29466367286288925</v>
      </c>
      <c r="AY34" s="13">
        <v>13.8</v>
      </c>
      <c r="AZ34" s="9">
        <v>0.3125</v>
      </c>
      <c r="BA34" s="43">
        <f t="shared" si="69"/>
        <v>8.1506250000000002E-2</v>
      </c>
      <c r="BB34" s="259">
        <f t="shared" si="70"/>
        <v>0.3598941920938693</v>
      </c>
      <c r="BC34" s="13">
        <v>8.5</v>
      </c>
      <c r="BD34" s="9">
        <v>0.2407</v>
      </c>
      <c r="BE34" s="43">
        <f t="shared" si="71"/>
        <v>3.8668454999999997E-2</v>
      </c>
      <c r="BF34" s="367">
        <f t="shared" si="72"/>
        <v>0.77466228209829791</v>
      </c>
      <c r="BG34" s="13">
        <v>14.1</v>
      </c>
      <c r="BH34" s="9">
        <v>0.31430000000000002</v>
      </c>
      <c r="BI34" s="43">
        <f t="shared" si="73"/>
        <v>8.3757807000000004E-2</v>
      </c>
      <c r="BJ34" s="259">
        <f t="shared" si="74"/>
        <v>0.33809395712785156</v>
      </c>
      <c r="BK34" s="13">
        <v>11.4</v>
      </c>
      <c r="BL34" s="9">
        <v>0.29350000000000004</v>
      </c>
      <c r="BM34" s="43">
        <f t="shared" si="75"/>
        <v>6.3237510000000011E-2</v>
      </c>
      <c r="BN34" s="259">
        <f t="shared" si="76"/>
        <v>0.69956453581133404</v>
      </c>
      <c r="BO34" s="13">
        <v>16.899999999999999</v>
      </c>
      <c r="BP34" s="9">
        <v>0.31690000000000002</v>
      </c>
      <c r="BQ34" s="43">
        <f t="shared" si="77"/>
        <v>0.10122102899999998</v>
      </c>
      <c r="BR34" s="259">
        <f t="shared" si="78"/>
        <v>0.38849723837632266</v>
      </c>
      <c r="BS34" s="13">
        <v>11.7</v>
      </c>
      <c r="BT34" s="9">
        <v>0.35189999999999999</v>
      </c>
      <c r="BU34" s="43">
        <f t="shared" si="79"/>
        <v>7.7815646999999974E-2</v>
      </c>
      <c r="BV34" s="259">
        <f t="shared" si="80"/>
        <v>0.58017639596501447</v>
      </c>
      <c r="BW34" s="13">
        <v>14</v>
      </c>
      <c r="BX34" s="9">
        <v>0.31900000000000001</v>
      </c>
      <c r="BY34" s="43">
        <f t="shared" si="81"/>
        <v>8.4407399999999994E-2</v>
      </c>
      <c r="BZ34" s="259">
        <f t="shared" si="82"/>
        <v>0.5261930146182483</v>
      </c>
      <c r="CA34" s="13">
        <v>11.1</v>
      </c>
      <c r="CB34" s="9">
        <v>0.35229999999999995</v>
      </c>
      <c r="CC34" s="43">
        <f t="shared" si="83"/>
        <v>7.390901699999998E-2</v>
      </c>
      <c r="CD34" s="259">
        <f t="shared" si="84"/>
        <v>0.61216987282476876</v>
      </c>
      <c r="CE34" s="13">
        <v>13.3</v>
      </c>
      <c r="CF34" s="9">
        <v>0.36030000000000001</v>
      </c>
      <c r="CG34" s="43">
        <f t="shared" si="85"/>
        <v>9.0568611000000007E-2</v>
      </c>
      <c r="CH34" s="259">
        <f t="shared" si="86"/>
        <v>0.47573557135984806</v>
      </c>
      <c r="CI34" s="13">
        <v>14.6</v>
      </c>
      <c r="CJ34" s="9">
        <v>0.37509999999999999</v>
      </c>
      <c r="CK34" s="43">
        <f t="shared" si="87"/>
        <v>0.10350509399999998</v>
      </c>
      <c r="CL34" s="82">
        <f t="shared" si="88"/>
        <v>0.36979181177496168</v>
      </c>
    </row>
    <row r="35" spans="1:138" ht="18" customHeight="1">
      <c r="A35" s="77">
        <v>1999</v>
      </c>
      <c r="B35" s="13">
        <v>12.4</v>
      </c>
      <c r="C35" s="13">
        <v>0.32979999999999998</v>
      </c>
      <c r="D35" s="43">
        <f t="shared" si="66"/>
        <v>7.7291927999999996E-2</v>
      </c>
      <c r="E35" s="43">
        <f t="shared" si="1"/>
        <v>0.58446541020683229</v>
      </c>
      <c r="F35" s="13">
        <v>21.4</v>
      </c>
      <c r="G35" s="13">
        <v>0.2999</v>
      </c>
      <c r="H35" s="43">
        <f t="shared" si="4"/>
        <v>0.12129755399999999</v>
      </c>
      <c r="I35" s="259">
        <f t="shared" si="5"/>
        <v>0.22407986636725605</v>
      </c>
      <c r="J35" s="13">
        <v>16.3</v>
      </c>
      <c r="K35" s="13">
        <v>0.2505</v>
      </c>
      <c r="L35" s="43">
        <f t="shared" si="8"/>
        <v>7.7171534999999999E-2</v>
      </c>
      <c r="M35" s="367">
        <f t="shared" si="9"/>
        <v>0.58545137270125236</v>
      </c>
      <c r="N35" s="13">
        <v>15.7</v>
      </c>
      <c r="O35" s="13">
        <v>0.30059999999999998</v>
      </c>
      <c r="P35" s="43">
        <f t="shared" si="12"/>
        <v>8.9197037999999992E-2</v>
      </c>
      <c r="Q35" s="259">
        <f t="shared" si="63"/>
        <v>0.48696811425153841</v>
      </c>
      <c r="R35" s="13">
        <v>16.5</v>
      </c>
      <c r="S35" s="13">
        <v>0.28510000000000002</v>
      </c>
      <c r="T35" s="43">
        <f t="shared" si="15"/>
        <v>8.8908435000000008E-2</v>
      </c>
      <c r="U35" s="259">
        <f t="shared" si="16"/>
        <v>0.48933163815888442</v>
      </c>
      <c r="V35" s="13">
        <v>13.6</v>
      </c>
      <c r="W35" s="13">
        <v>0.30709999999999998</v>
      </c>
      <c r="X35" s="43">
        <f t="shared" si="19"/>
        <v>7.8936983999999988E-2</v>
      </c>
      <c r="Y35" s="259">
        <f t="shared" si="20"/>
        <v>0.57099316915277809</v>
      </c>
      <c r="Z35" s="13">
        <v>10</v>
      </c>
      <c r="AA35" s="13">
        <v>0.35409999999999997</v>
      </c>
      <c r="AB35" s="43">
        <f t="shared" si="23"/>
        <v>6.6924899999999982E-2</v>
      </c>
      <c r="AC35" s="259">
        <f t="shared" si="24"/>
        <v>0.66936653225382059</v>
      </c>
      <c r="AD35" s="13">
        <v>15.2</v>
      </c>
      <c r="AE35" s="13">
        <v>0.32240000000000002</v>
      </c>
      <c r="AF35" s="43">
        <f t="shared" si="27"/>
        <v>9.2619071999999997E-2</v>
      </c>
      <c r="AG35" s="259">
        <f t="shared" si="28"/>
        <v>0.45894325251846085</v>
      </c>
      <c r="AH35" s="13">
        <v>14.7</v>
      </c>
      <c r="AI35" s="13">
        <v>0.2898</v>
      </c>
      <c r="AJ35" s="43">
        <f t="shared" si="31"/>
        <v>8.0515133999999988E-2</v>
      </c>
      <c r="AK35" s="259">
        <f t="shared" si="32"/>
        <v>0.55806885702026976</v>
      </c>
      <c r="AL35" s="13">
        <v>10.9</v>
      </c>
      <c r="AM35" s="13">
        <v>0.34450000000000003</v>
      </c>
      <c r="AN35" s="43">
        <f t="shared" si="35"/>
        <v>7.0970444999999993E-2</v>
      </c>
      <c r="AO35" s="259">
        <f t="shared" si="36"/>
        <v>0.63623540636204301</v>
      </c>
      <c r="AP35" s="13">
        <v>14.6</v>
      </c>
      <c r="AQ35" s="13">
        <v>0.34970000000000001</v>
      </c>
      <c r="AR35" s="43">
        <f t="shared" si="39"/>
        <v>9.6496218000000009E-2</v>
      </c>
      <c r="AS35" s="82">
        <f t="shared" si="40"/>
        <v>0.42719123586142155</v>
      </c>
      <c r="AT35" s="86"/>
      <c r="AU35" s="13">
        <v>13</v>
      </c>
      <c r="AV35" s="9">
        <v>0.33840000000000003</v>
      </c>
      <c r="AW35" s="43">
        <f t="shared" si="67"/>
        <v>8.3144880000000004E-2</v>
      </c>
      <c r="AX35" s="43">
        <f t="shared" si="68"/>
        <v>0.34402849603449098</v>
      </c>
      <c r="AY35" s="13">
        <v>14.3</v>
      </c>
      <c r="AZ35" s="9">
        <v>0.28309999999999996</v>
      </c>
      <c r="BA35" s="43">
        <f t="shared" si="69"/>
        <v>7.6513437000000004E-2</v>
      </c>
      <c r="BB35" s="259">
        <f t="shared" si="70"/>
        <v>0.40823607130962447</v>
      </c>
      <c r="BC35" s="13">
        <v>9.5</v>
      </c>
      <c r="BD35" s="9">
        <v>0.26890000000000003</v>
      </c>
      <c r="BE35" s="43">
        <f t="shared" si="71"/>
        <v>4.8280995000000007E-2</v>
      </c>
      <c r="BF35" s="367">
        <f t="shared" si="72"/>
        <v>0.68159085169691569</v>
      </c>
      <c r="BG35" s="13">
        <v>11.4</v>
      </c>
      <c r="BH35" s="9">
        <v>0.34159999999999996</v>
      </c>
      <c r="BI35" s="43">
        <f t="shared" si="73"/>
        <v>7.3601135999999984E-2</v>
      </c>
      <c r="BJ35" s="259">
        <f t="shared" si="74"/>
        <v>0.43643382339485659</v>
      </c>
      <c r="BK35" s="13">
        <v>10.3</v>
      </c>
      <c r="BL35" s="9">
        <v>0.29609999999999997</v>
      </c>
      <c r="BM35" s="43">
        <f t="shared" si="75"/>
        <v>5.7641786999999993E-2</v>
      </c>
      <c r="BN35" s="259">
        <f t="shared" si="76"/>
        <v>0.74539089620740318</v>
      </c>
      <c r="BO35" s="13">
        <v>14.8</v>
      </c>
      <c r="BP35" s="9">
        <v>0.31459999999999999</v>
      </c>
      <c r="BQ35" s="43">
        <f t="shared" si="77"/>
        <v>8.7999911999999986E-2</v>
      </c>
      <c r="BR35" s="259">
        <f t="shared" si="78"/>
        <v>0.49677201761049755</v>
      </c>
      <c r="BS35" s="13">
        <v>11.3</v>
      </c>
      <c r="BT35" s="9">
        <v>0.34869999999999995</v>
      </c>
      <c r="BU35" s="43">
        <f t="shared" si="79"/>
        <v>7.4471858999999987E-2</v>
      </c>
      <c r="BV35" s="259">
        <f t="shared" si="80"/>
        <v>0.60756045946780934</v>
      </c>
      <c r="BW35" s="13">
        <v>14.9</v>
      </c>
      <c r="BX35" s="9">
        <v>0.32679999999999998</v>
      </c>
      <c r="BY35" s="43">
        <f t="shared" si="81"/>
        <v>9.2030148000000006E-2</v>
      </c>
      <c r="BZ35" s="259">
        <f t="shared" si="82"/>
        <v>0.46376626528551423</v>
      </c>
      <c r="CA35" s="13">
        <v>10.199999999999999</v>
      </c>
      <c r="CB35" s="9">
        <v>0.33390000000000003</v>
      </c>
      <c r="CC35" s="43">
        <f t="shared" si="83"/>
        <v>6.4369241999999993E-2</v>
      </c>
      <c r="CD35" s="259">
        <f t="shared" si="84"/>
        <v>0.69029617879942273</v>
      </c>
      <c r="CE35" s="13">
        <v>11.8</v>
      </c>
      <c r="CF35" s="9">
        <v>0.37180000000000002</v>
      </c>
      <c r="CG35" s="43">
        <f t="shared" si="85"/>
        <v>8.2918835999999996E-2</v>
      </c>
      <c r="CH35" s="259">
        <f t="shared" si="86"/>
        <v>0.5383836592117377</v>
      </c>
      <c r="CI35" s="13">
        <v>16.399999999999999</v>
      </c>
      <c r="CJ35" s="9">
        <v>0.35509999999999997</v>
      </c>
      <c r="CK35" s="43">
        <f t="shared" si="87"/>
        <v>0.11006679599999998</v>
      </c>
      <c r="CL35" s="82">
        <f t="shared" si="88"/>
        <v>0.31605453409634765</v>
      </c>
    </row>
    <row r="36" spans="1:138" ht="18" customHeight="1">
      <c r="A36" s="77">
        <v>2000</v>
      </c>
      <c r="B36" s="13">
        <v>12.8</v>
      </c>
      <c r="C36" s="13">
        <v>0.31469999999999998</v>
      </c>
      <c r="D36" s="43">
        <f t="shared" si="66"/>
        <v>7.6132223999999984E-2</v>
      </c>
      <c r="E36" s="43">
        <f t="shared" si="1"/>
        <v>0.59396284484696071</v>
      </c>
      <c r="F36" s="13">
        <v>21.4</v>
      </c>
      <c r="G36" s="13">
        <v>0.28439999999999999</v>
      </c>
      <c r="H36" s="43">
        <f t="shared" si="4"/>
        <v>0.11502842399999999</v>
      </c>
      <c r="I36" s="259">
        <f t="shared" si="5"/>
        <v>0.27542111588046608</v>
      </c>
      <c r="J36" s="13">
        <v>15.7</v>
      </c>
      <c r="K36" s="13">
        <v>0.27339999999999998</v>
      </c>
      <c r="L36" s="43">
        <f t="shared" si="8"/>
        <v>8.1125981999999985E-2</v>
      </c>
      <c r="M36" s="367">
        <f t="shared" si="9"/>
        <v>0.55306629692299225</v>
      </c>
      <c r="N36" s="13">
        <v>15.9</v>
      </c>
      <c r="O36" s="13">
        <v>0.28820000000000001</v>
      </c>
      <c r="P36" s="43">
        <f t="shared" si="12"/>
        <v>8.6606981999999999E-2</v>
      </c>
      <c r="Q36" s="259">
        <f t="shared" si="63"/>
        <v>0.50817946436697492</v>
      </c>
      <c r="R36" s="13">
        <v>14.8</v>
      </c>
      <c r="S36" s="13">
        <v>0.2898</v>
      </c>
      <c r="T36" s="43">
        <f t="shared" si="15"/>
        <v>8.1062856000000003E-2</v>
      </c>
      <c r="U36" s="259">
        <f t="shared" si="16"/>
        <v>0.55358326940829239</v>
      </c>
      <c r="V36" s="13">
        <v>15</v>
      </c>
      <c r="W36" s="13">
        <v>0.29449999999999998</v>
      </c>
      <c r="X36" s="43">
        <f t="shared" si="19"/>
        <v>8.3490749999999989E-2</v>
      </c>
      <c r="Y36" s="259">
        <f t="shared" si="20"/>
        <v>0.53369995040778917</v>
      </c>
      <c r="Z36" s="13">
        <v>10.1</v>
      </c>
      <c r="AA36" s="13">
        <v>0.32020000000000004</v>
      </c>
      <c r="AB36" s="43">
        <f t="shared" si="23"/>
        <v>6.1122978000000001E-2</v>
      </c>
      <c r="AC36" s="259">
        <f t="shared" si="24"/>
        <v>0.7168815662470831</v>
      </c>
      <c r="AD36" s="13">
        <v>14.4</v>
      </c>
      <c r="AE36" s="13">
        <v>0.32590000000000002</v>
      </c>
      <c r="AF36" s="43">
        <f t="shared" si="27"/>
        <v>8.8696944E-2</v>
      </c>
      <c r="AG36" s="259">
        <f t="shared" si="28"/>
        <v>0.49106365076682185</v>
      </c>
      <c r="AH36" s="13">
        <v>16.8</v>
      </c>
      <c r="AI36" s="13">
        <v>0.30820000000000003</v>
      </c>
      <c r="AJ36" s="43">
        <f t="shared" si="31"/>
        <v>9.7859664000000013E-2</v>
      </c>
      <c r="AK36" s="259">
        <f t="shared" si="32"/>
        <v>0.41602524930765916</v>
      </c>
      <c r="AL36" s="13">
        <v>10.3</v>
      </c>
      <c r="AM36" s="13">
        <v>0.33840000000000003</v>
      </c>
      <c r="AN36" s="43">
        <f t="shared" si="35"/>
        <v>6.5876328000000012E-2</v>
      </c>
      <c r="AO36" s="259">
        <f t="shared" si="36"/>
        <v>0.67795384766833011</v>
      </c>
      <c r="AP36" s="13">
        <v>14.9</v>
      </c>
      <c r="AQ36" s="13">
        <v>0.3458</v>
      </c>
      <c r="AR36" s="43">
        <f t="shared" si="39"/>
        <v>9.7380738000000008E-2</v>
      </c>
      <c r="AS36" s="82">
        <f t="shared" si="40"/>
        <v>0.41994742977996774</v>
      </c>
      <c r="AT36" s="86"/>
      <c r="AU36" s="13">
        <v>12.5</v>
      </c>
      <c r="AV36" s="9">
        <v>0.33450000000000002</v>
      </c>
      <c r="AW36" s="43">
        <f t="shared" si="67"/>
        <v>7.9025625000000002E-2</v>
      </c>
      <c r="AX36" s="43">
        <f t="shared" si="68"/>
        <v>0.38391233059206314</v>
      </c>
      <c r="AY36" s="13">
        <v>13.2</v>
      </c>
      <c r="AZ36" s="9">
        <v>0.27899999999999997</v>
      </c>
      <c r="BA36" s="43">
        <f t="shared" si="69"/>
        <v>6.9604919999999987E-2</v>
      </c>
      <c r="BB36" s="259">
        <f t="shared" si="70"/>
        <v>0.47512635828291827</v>
      </c>
      <c r="BC36" s="13">
        <v>9.1</v>
      </c>
      <c r="BD36" s="9">
        <v>0.30579999999999996</v>
      </c>
      <c r="BE36" s="43">
        <f t="shared" si="71"/>
        <v>5.2594541999999987E-2</v>
      </c>
      <c r="BF36" s="367">
        <f t="shared" si="72"/>
        <v>0.6398258250344947</v>
      </c>
      <c r="BG36" s="13">
        <v>11.6</v>
      </c>
      <c r="BH36" s="9">
        <v>0.29620000000000002</v>
      </c>
      <c r="BI36" s="43">
        <f t="shared" si="73"/>
        <v>6.4938888E-2</v>
      </c>
      <c r="BJ36" s="259">
        <f t="shared" si="74"/>
        <v>0.52030424805384456</v>
      </c>
      <c r="BK36" s="13">
        <v>9.1999999999999993</v>
      </c>
      <c r="BL36" s="9">
        <v>0.3261</v>
      </c>
      <c r="BM36" s="43">
        <f t="shared" si="75"/>
        <v>5.6702267999999993E-2</v>
      </c>
      <c r="BN36" s="259">
        <f t="shared" si="76"/>
        <v>0.75308511843622938</v>
      </c>
      <c r="BO36" s="13">
        <v>14.8</v>
      </c>
      <c r="BP36" s="9">
        <v>0.32299999999999995</v>
      </c>
      <c r="BQ36" s="43">
        <f t="shared" si="77"/>
        <v>9.0349559999999982E-2</v>
      </c>
      <c r="BR36" s="259">
        <f t="shared" si="78"/>
        <v>0.47752949684027668</v>
      </c>
      <c r="BS36" s="13">
        <v>10.8</v>
      </c>
      <c r="BT36" s="9">
        <v>0.3271</v>
      </c>
      <c r="BU36" s="43">
        <f t="shared" si="79"/>
        <v>6.6767651999999997E-2</v>
      </c>
      <c r="BV36" s="259">
        <f t="shared" si="80"/>
        <v>0.6706543200016345</v>
      </c>
      <c r="BW36" s="13">
        <v>13.4</v>
      </c>
      <c r="BX36" s="9">
        <v>0.33189999999999997</v>
      </c>
      <c r="BY36" s="43">
        <f t="shared" si="81"/>
        <v>8.4056993999999982E-2</v>
      </c>
      <c r="BZ36" s="259">
        <f t="shared" si="82"/>
        <v>0.52906267625820902</v>
      </c>
      <c r="CA36" s="13">
        <v>10.9</v>
      </c>
      <c r="CB36" s="9">
        <v>0.36149999999999999</v>
      </c>
      <c r="CC36" s="43">
        <f t="shared" si="83"/>
        <v>7.4472614999999992E-2</v>
      </c>
      <c r="CD36" s="259">
        <f t="shared" si="84"/>
        <v>0.60755426818056024</v>
      </c>
      <c r="CE36" s="13">
        <v>11.1</v>
      </c>
      <c r="CF36" s="9">
        <v>0.35899999999999999</v>
      </c>
      <c r="CG36" s="43">
        <f t="shared" si="85"/>
        <v>7.531460999999999E-2</v>
      </c>
      <c r="CH36" s="259">
        <f t="shared" si="86"/>
        <v>0.60065872200686865</v>
      </c>
      <c r="CI36" s="13">
        <v>15.1</v>
      </c>
      <c r="CJ36" s="9">
        <v>0.36799999999999999</v>
      </c>
      <c r="CK36" s="43">
        <f t="shared" si="87"/>
        <v>0.10502352</v>
      </c>
      <c r="CL36" s="82">
        <f t="shared" si="88"/>
        <v>0.35735661133513252</v>
      </c>
    </row>
    <row r="37" spans="1:138" ht="18" customHeight="1">
      <c r="A37" s="77">
        <v>2001</v>
      </c>
      <c r="B37" s="13">
        <v>12.5</v>
      </c>
      <c r="C37" s="13">
        <v>0.31609999999999999</v>
      </c>
      <c r="D37" s="43">
        <f t="shared" si="66"/>
        <v>7.4678624999999998E-2</v>
      </c>
      <c r="E37" s="43">
        <f t="shared" si="1"/>
        <v>0.60586714240517892</v>
      </c>
      <c r="F37" s="13">
        <v>19.899999999999999</v>
      </c>
      <c r="G37" s="13">
        <v>0.27279999999999999</v>
      </c>
      <c r="H37" s="43">
        <f t="shared" si="4"/>
        <v>0.10260280799999999</v>
      </c>
      <c r="I37" s="259">
        <f t="shared" si="5"/>
        <v>0.37718111310676938</v>
      </c>
      <c r="J37" s="13">
        <v>16.3</v>
      </c>
      <c r="K37" s="13">
        <v>0.24789999999999998</v>
      </c>
      <c r="L37" s="43">
        <f t="shared" si="8"/>
        <v>7.6370553000000008E-2</v>
      </c>
      <c r="M37" s="367">
        <f t="shared" si="9"/>
        <v>0.59201104154167994</v>
      </c>
      <c r="N37" s="13">
        <v>16.8</v>
      </c>
      <c r="O37" s="13">
        <v>0.2762</v>
      </c>
      <c r="P37" s="43">
        <f t="shared" si="12"/>
        <v>8.7699024E-2</v>
      </c>
      <c r="Q37" s="259">
        <f t="shared" si="63"/>
        <v>0.49923614993564153</v>
      </c>
      <c r="R37" s="13">
        <v>15</v>
      </c>
      <c r="S37" s="13">
        <v>0.28360000000000002</v>
      </c>
      <c r="T37" s="43">
        <f t="shared" si="15"/>
        <v>8.0400600000000003E-2</v>
      </c>
      <c r="U37" s="259">
        <f t="shared" si="16"/>
        <v>0.55900683703850917</v>
      </c>
      <c r="V37" s="13">
        <v>14.4</v>
      </c>
      <c r="W37" s="13">
        <v>0.29089999999999999</v>
      </c>
      <c r="X37" s="43">
        <f t="shared" si="19"/>
        <v>7.9171343999999991E-2</v>
      </c>
      <c r="Y37" s="259">
        <f t="shared" si="20"/>
        <v>0.56907387010555532</v>
      </c>
      <c r="Z37" s="13">
        <v>9.9</v>
      </c>
      <c r="AA37" s="13">
        <v>0.3251</v>
      </c>
      <c r="AB37" s="43">
        <f t="shared" si="23"/>
        <v>6.0829461000000001E-2</v>
      </c>
      <c r="AC37" s="259">
        <f t="shared" si="24"/>
        <v>0.71928533352154844</v>
      </c>
      <c r="AD37" s="13">
        <v>13.9</v>
      </c>
      <c r="AE37" s="13">
        <v>0.3039</v>
      </c>
      <c r="AF37" s="43">
        <f t="shared" si="27"/>
        <v>7.9837568999999997E-2</v>
      </c>
      <c r="AG37" s="259">
        <f t="shared" si="28"/>
        <v>0.56361779821728075</v>
      </c>
      <c r="AH37" s="13">
        <v>15.4</v>
      </c>
      <c r="AI37" s="13">
        <v>0.28999999999999998</v>
      </c>
      <c r="AJ37" s="43">
        <f t="shared" si="31"/>
        <v>8.4407399999999994E-2</v>
      </c>
      <c r="AK37" s="259">
        <f t="shared" si="32"/>
        <v>0.5261930146182483</v>
      </c>
      <c r="AL37" s="13">
        <v>9.6</v>
      </c>
      <c r="AM37" s="13">
        <v>0.34899999999999998</v>
      </c>
      <c r="AN37" s="43">
        <f t="shared" si="35"/>
        <v>6.3322559999999986E-2</v>
      </c>
      <c r="AO37" s="259">
        <f t="shared" si="36"/>
        <v>0.69886801599580983</v>
      </c>
      <c r="AP37" s="13">
        <v>15.2</v>
      </c>
      <c r="AQ37" s="13">
        <v>0.36119999999999997</v>
      </c>
      <c r="AR37" s="43">
        <f t="shared" si="39"/>
        <v>0.10376553599999998</v>
      </c>
      <c r="AS37" s="82">
        <f t="shared" si="40"/>
        <v>0.36765891331764472</v>
      </c>
      <c r="AT37" s="86"/>
      <c r="AU37" s="13">
        <v>11.2</v>
      </c>
      <c r="AV37" s="9">
        <v>0.3362</v>
      </c>
      <c r="AW37" s="43">
        <f t="shared" si="67"/>
        <v>7.1166815999999994E-2</v>
      </c>
      <c r="AX37" s="43">
        <f t="shared" si="68"/>
        <v>0.46000362330775069</v>
      </c>
      <c r="AY37" s="13">
        <v>11.1</v>
      </c>
      <c r="AZ37" s="9">
        <v>0.26899999999999996</v>
      </c>
      <c r="BA37" s="43">
        <f t="shared" si="69"/>
        <v>5.6433509999999992E-2</v>
      </c>
      <c r="BB37" s="259">
        <f t="shared" si="70"/>
        <v>0.60265581138304225</v>
      </c>
      <c r="BC37" s="13">
        <v>7.5</v>
      </c>
      <c r="BD37" s="9">
        <v>0.2893</v>
      </c>
      <c r="BE37" s="43">
        <f t="shared" si="71"/>
        <v>4.1008275000000004E-2</v>
      </c>
      <c r="BF37" s="367">
        <f t="shared" si="72"/>
        <v>0.75200745889009657</v>
      </c>
      <c r="BG37" s="13">
        <v>10.6</v>
      </c>
      <c r="BH37" s="9">
        <v>0.32729999999999998</v>
      </c>
      <c r="BI37" s="43">
        <f t="shared" si="73"/>
        <v>6.5571281999999995E-2</v>
      </c>
      <c r="BJ37" s="259">
        <f t="shared" si="74"/>
        <v>0.51418122394603838</v>
      </c>
      <c r="BK37" s="13">
        <v>8.6999999999999993</v>
      </c>
      <c r="BL37" s="9">
        <v>0.31259999999999999</v>
      </c>
      <c r="BM37" s="43">
        <f t="shared" si="75"/>
        <v>5.1400817999999987E-2</v>
      </c>
      <c r="BN37" s="259">
        <f t="shared" si="76"/>
        <v>0.79650152027058407</v>
      </c>
      <c r="BO37" s="13">
        <v>13.8</v>
      </c>
      <c r="BP37" s="9">
        <v>0.29969999999999997</v>
      </c>
      <c r="BQ37" s="43">
        <f t="shared" si="77"/>
        <v>7.8167754000000006E-2</v>
      </c>
      <c r="BR37" s="259">
        <f t="shared" si="78"/>
        <v>0.57729280392874316</v>
      </c>
      <c r="BS37" s="13">
        <v>9.3000000000000007</v>
      </c>
      <c r="BT37" s="9">
        <v>0.35070000000000001</v>
      </c>
      <c r="BU37" s="43">
        <f t="shared" si="79"/>
        <v>6.1642539000000003E-2</v>
      </c>
      <c r="BV37" s="259">
        <f t="shared" si="80"/>
        <v>0.71262660408513512</v>
      </c>
      <c r="BW37" s="13">
        <v>11.5</v>
      </c>
      <c r="BX37" s="9">
        <v>0.30459999999999998</v>
      </c>
      <c r="BY37" s="43">
        <f t="shared" si="81"/>
        <v>6.6204810000000003E-2</v>
      </c>
      <c r="BZ37" s="259">
        <f t="shared" si="82"/>
        <v>0.67526373335859369</v>
      </c>
      <c r="CA37" s="13">
        <v>9.6999999999999993</v>
      </c>
      <c r="CB37" s="9">
        <v>0.32969999999999999</v>
      </c>
      <c r="CC37" s="43">
        <f t="shared" si="83"/>
        <v>6.0443900999999994E-2</v>
      </c>
      <c r="CD37" s="259">
        <f t="shared" si="84"/>
        <v>0.72244289001859241</v>
      </c>
      <c r="CE37" s="13">
        <v>10</v>
      </c>
      <c r="CF37" s="9">
        <v>0.36320000000000002</v>
      </c>
      <c r="CG37" s="43">
        <f t="shared" si="85"/>
        <v>6.8644799999999992E-2</v>
      </c>
      <c r="CH37" s="259">
        <f t="shared" si="86"/>
        <v>0.65528135376210472</v>
      </c>
      <c r="CI37" s="13">
        <v>14.1</v>
      </c>
      <c r="CJ37" s="9">
        <v>0.37799999999999995</v>
      </c>
      <c r="CK37" s="43">
        <f t="shared" si="87"/>
        <v>0.10073321999999997</v>
      </c>
      <c r="CL37" s="82">
        <f t="shared" si="88"/>
        <v>0.39249216647380825</v>
      </c>
    </row>
    <row r="38" spans="1:138" ht="18" customHeight="1">
      <c r="A38" s="77">
        <v>2002</v>
      </c>
      <c r="B38" s="13">
        <v>12.9</v>
      </c>
      <c r="C38" s="13">
        <v>0.31559999999999999</v>
      </c>
      <c r="D38" s="43">
        <f t="shared" si="66"/>
        <v>7.6946436000000007E-2</v>
      </c>
      <c r="E38" s="43">
        <f t="shared" si="1"/>
        <v>0.58729482847967363</v>
      </c>
      <c r="F38" s="13">
        <v>22</v>
      </c>
      <c r="G38" s="13">
        <v>0.27789999999999998</v>
      </c>
      <c r="H38" s="43">
        <f t="shared" si="4"/>
        <v>0.11555081999999998</v>
      </c>
      <c r="I38" s="259">
        <f t="shared" si="5"/>
        <v>0.27114293639133402</v>
      </c>
      <c r="J38" s="13">
        <v>14.8</v>
      </c>
      <c r="K38" s="13">
        <v>0.2402</v>
      </c>
      <c r="L38" s="43">
        <f t="shared" si="8"/>
        <v>6.7188744000000009E-2</v>
      </c>
      <c r="M38" s="367">
        <f t="shared" si="9"/>
        <v>0.66720577300388251</v>
      </c>
      <c r="N38" s="13">
        <v>16.7</v>
      </c>
      <c r="O38" s="13">
        <v>0.28170000000000001</v>
      </c>
      <c r="P38" s="43">
        <f t="shared" si="12"/>
        <v>8.8912970999999993E-2</v>
      </c>
      <c r="Q38" s="259">
        <f t="shared" si="63"/>
        <v>0.48929449043538992</v>
      </c>
      <c r="R38" s="13">
        <v>16.7</v>
      </c>
      <c r="S38" s="13">
        <v>0.29070000000000001</v>
      </c>
      <c r="T38" s="43">
        <f t="shared" si="15"/>
        <v>9.1753640999999997E-2</v>
      </c>
      <c r="U38" s="259">
        <f t="shared" si="16"/>
        <v>0.46603072859687472</v>
      </c>
      <c r="V38" s="13">
        <v>13.7</v>
      </c>
      <c r="W38" s="13">
        <v>0.30709999999999998</v>
      </c>
      <c r="X38" s="43">
        <f t="shared" si="19"/>
        <v>7.9517402999999987E-2</v>
      </c>
      <c r="Y38" s="259">
        <f t="shared" si="20"/>
        <v>0.56623980836727716</v>
      </c>
      <c r="Z38" s="13">
        <v>10.9</v>
      </c>
      <c r="AA38" s="13">
        <v>0.32189999999999996</v>
      </c>
      <c r="AB38" s="43">
        <f t="shared" si="23"/>
        <v>6.6314618999999991E-2</v>
      </c>
      <c r="AC38" s="259">
        <f t="shared" si="24"/>
        <v>0.67436444888566116</v>
      </c>
      <c r="AD38" s="13">
        <v>14.3</v>
      </c>
      <c r="AE38" s="13">
        <v>0.31709999999999999</v>
      </c>
      <c r="AF38" s="43">
        <f t="shared" si="27"/>
        <v>8.5702616999999995E-2</v>
      </c>
      <c r="AG38" s="259">
        <f t="shared" si="28"/>
        <v>0.51558579173871777</v>
      </c>
      <c r="AH38" s="13">
        <v>16.7</v>
      </c>
      <c r="AI38" s="13">
        <v>0.27100000000000002</v>
      </c>
      <c r="AJ38" s="43">
        <f t="shared" si="31"/>
        <v>8.5535730000000004E-2</v>
      </c>
      <c r="AK38" s="259">
        <f t="shared" si="32"/>
        <v>0.51695251839895784</v>
      </c>
      <c r="AL38" s="13">
        <v>8.3000000000000007</v>
      </c>
      <c r="AM38" s="13">
        <v>0.35539999999999999</v>
      </c>
      <c r="AN38" s="43">
        <f t="shared" si="35"/>
        <v>5.5751598000000006E-2</v>
      </c>
      <c r="AO38" s="259">
        <f t="shared" si="36"/>
        <v>0.76087066215197985</v>
      </c>
      <c r="AP38" s="13">
        <v>17</v>
      </c>
      <c r="AQ38" s="13">
        <v>0.33159999999999995</v>
      </c>
      <c r="AR38" s="43">
        <f t="shared" si="39"/>
        <v>0.10654307999999998</v>
      </c>
      <c r="AS38" s="82">
        <f t="shared" si="40"/>
        <v>0.34491212396442988</v>
      </c>
      <c r="AT38" s="86"/>
      <c r="AU38" s="13">
        <v>11.6</v>
      </c>
      <c r="AV38" s="9">
        <v>0.33</v>
      </c>
      <c r="AW38" s="43">
        <f t="shared" si="67"/>
        <v>7.2349199999999989E-2</v>
      </c>
      <c r="AX38" s="43">
        <f t="shared" si="68"/>
        <v>0.44855543477863069</v>
      </c>
      <c r="AY38" s="13">
        <v>11.4</v>
      </c>
      <c r="AZ38" s="9">
        <v>0.30070000000000002</v>
      </c>
      <c r="BA38" s="43">
        <f t="shared" si="69"/>
        <v>6.4788821999999996E-2</v>
      </c>
      <c r="BB38" s="259">
        <f t="shared" si="70"/>
        <v>0.52175723106089722</v>
      </c>
      <c r="BC38" s="13">
        <v>7.3</v>
      </c>
      <c r="BD38" s="9">
        <v>0.26030000000000003</v>
      </c>
      <c r="BE38" s="43">
        <f t="shared" si="71"/>
        <v>3.5913591000000002E-2</v>
      </c>
      <c r="BF38" s="367">
        <f t="shared" si="72"/>
        <v>0.80133568299351099</v>
      </c>
      <c r="BG38" s="13">
        <v>9.9</v>
      </c>
      <c r="BH38" s="9">
        <v>0.3281</v>
      </c>
      <c r="BI38" s="43">
        <f t="shared" si="73"/>
        <v>6.1390791E-2</v>
      </c>
      <c r="BJ38" s="259">
        <f t="shared" si="74"/>
        <v>0.55465796340825169</v>
      </c>
      <c r="BK38" s="13">
        <v>9.8000000000000007</v>
      </c>
      <c r="BL38" s="9">
        <v>0.29339999999999999</v>
      </c>
      <c r="BM38" s="43">
        <f t="shared" si="75"/>
        <v>5.4343548000000005E-2</v>
      </c>
      <c r="BN38" s="259">
        <f t="shared" si="76"/>
        <v>0.77240193465343954</v>
      </c>
      <c r="BO38" s="13">
        <v>12.3</v>
      </c>
      <c r="BP38" s="9">
        <v>0.3165</v>
      </c>
      <c r="BQ38" s="43">
        <f t="shared" si="77"/>
        <v>7.3576754999999994E-2</v>
      </c>
      <c r="BR38" s="259">
        <f t="shared" si="78"/>
        <v>0.61489094357075069</v>
      </c>
      <c r="BS38" s="13">
        <v>10.7</v>
      </c>
      <c r="BT38" s="9">
        <v>0.32990000000000003</v>
      </c>
      <c r="BU38" s="43">
        <f t="shared" si="79"/>
        <v>6.6715677000000001E-2</v>
      </c>
      <c r="BV38" s="259">
        <f t="shared" si="80"/>
        <v>0.67107997100001049</v>
      </c>
      <c r="BW38" s="13">
        <v>12.2</v>
      </c>
      <c r="BX38" s="9">
        <v>0.35289999999999999</v>
      </c>
      <c r="BY38" s="43">
        <f t="shared" si="81"/>
        <v>8.1371681999999973E-2</v>
      </c>
      <c r="BZ38" s="259">
        <f t="shared" si="82"/>
        <v>0.55105412856703295</v>
      </c>
      <c r="CA38" s="13">
        <v>8.6</v>
      </c>
      <c r="CB38" s="9">
        <v>0.33490000000000003</v>
      </c>
      <c r="CC38" s="43">
        <f t="shared" si="83"/>
        <v>5.4434646000000003E-2</v>
      </c>
      <c r="CD38" s="259">
        <f t="shared" si="84"/>
        <v>0.77165588453992229</v>
      </c>
      <c r="CE38" s="13">
        <v>9.4</v>
      </c>
      <c r="CF38" s="9">
        <v>0.3674</v>
      </c>
      <c r="CG38" s="43">
        <f t="shared" si="85"/>
        <v>6.5272284E-2</v>
      </c>
      <c r="CH38" s="259">
        <f t="shared" si="86"/>
        <v>0.68290068618036581</v>
      </c>
      <c r="CI38" s="13">
        <v>16</v>
      </c>
      <c r="CJ38" s="9">
        <v>0.33500000000000002</v>
      </c>
      <c r="CK38" s="43">
        <f t="shared" si="87"/>
        <v>0.10130400000000001</v>
      </c>
      <c r="CL38" s="82">
        <f t="shared" si="88"/>
        <v>0.38781774460073309</v>
      </c>
    </row>
    <row r="39" spans="1:138" ht="18" customHeight="1">
      <c r="A39" s="77">
        <v>2003</v>
      </c>
      <c r="B39" s="13">
        <v>13.2</v>
      </c>
      <c r="C39" s="13">
        <v>0.30890000000000001</v>
      </c>
      <c r="D39" s="43">
        <f t="shared" si="66"/>
        <v>7.7064371999999992E-2</v>
      </c>
      <c r="E39" s="43">
        <f t="shared" si="1"/>
        <v>0.58632898766881325</v>
      </c>
      <c r="F39" s="13">
        <v>19.7</v>
      </c>
      <c r="G39" s="13">
        <v>0.30370000000000003</v>
      </c>
      <c r="H39" s="43">
        <f t="shared" si="4"/>
        <v>0.113076621</v>
      </c>
      <c r="I39" s="259">
        <f t="shared" si="5"/>
        <v>0.29140547173584491</v>
      </c>
      <c r="J39" s="13">
        <v>12.7</v>
      </c>
      <c r="K39" s="13">
        <v>0.25869999999999999</v>
      </c>
      <c r="L39" s="43">
        <f t="shared" si="8"/>
        <v>6.2095760999999999E-2</v>
      </c>
      <c r="M39" s="367">
        <f t="shared" si="9"/>
        <v>0.70891492737929618</v>
      </c>
      <c r="N39" s="13">
        <v>17.399999999999999</v>
      </c>
      <c r="O39" s="13">
        <v>0.29510000000000003</v>
      </c>
      <c r="P39" s="43">
        <f t="shared" si="12"/>
        <v>9.704658599999999E-2</v>
      </c>
      <c r="Q39" s="259">
        <f t="shared" si="63"/>
        <v>0.42268397874407265</v>
      </c>
      <c r="R39" s="13">
        <v>17.2</v>
      </c>
      <c r="S39" s="13">
        <v>0.30309999999999998</v>
      </c>
      <c r="T39" s="43">
        <f t="shared" si="15"/>
        <v>9.8531747999999975E-2</v>
      </c>
      <c r="U39" s="259">
        <f t="shared" si="16"/>
        <v>0.41052119494320438</v>
      </c>
      <c r="V39" s="13">
        <v>14.3</v>
      </c>
      <c r="W39" s="13">
        <v>0.28539999999999999</v>
      </c>
      <c r="X39" s="43">
        <f t="shared" si="19"/>
        <v>7.7135058000000006E-2</v>
      </c>
      <c r="Y39" s="259">
        <f t="shared" si="20"/>
        <v>0.58575010231102176</v>
      </c>
      <c r="Z39" s="13">
        <v>10.9</v>
      </c>
      <c r="AA39" s="13">
        <v>0.30930000000000002</v>
      </c>
      <c r="AB39" s="43">
        <f t="shared" si="23"/>
        <v>6.3718892999999999E-2</v>
      </c>
      <c r="AC39" s="259">
        <f t="shared" si="24"/>
        <v>0.69562223365546594</v>
      </c>
      <c r="AD39" s="13">
        <v>14.9</v>
      </c>
      <c r="AE39" s="13">
        <v>0.30070000000000002</v>
      </c>
      <c r="AF39" s="43">
        <f t="shared" si="27"/>
        <v>8.4680126999999994E-2</v>
      </c>
      <c r="AG39" s="259">
        <f t="shared" si="28"/>
        <v>0.52395950774313338</v>
      </c>
      <c r="AH39" s="13">
        <v>16.2</v>
      </c>
      <c r="AI39" s="13">
        <v>0.27460000000000001</v>
      </c>
      <c r="AJ39" s="43">
        <f t="shared" si="31"/>
        <v>8.4077028000000012E-2</v>
      </c>
      <c r="AK39" s="259">
        <f t="shared" si="32"/>
        <v>0.52889860714610748</v>
      </c>
      <c r="AL39" s="13">
        <v>10.9</v>
      </c>
      <c r="AM39" s="13">
        <v>0.3372</v>
      </c>
      <c r="AN39" s="43">
        <f t="shared" ref="AN39:AN44" si="89">AM39*AL39*$F$59/100</f>
        <v>6.9466572000000004E-2</v>
      </c>
      <c r="AO39" s="259">
        <f t="shared" si="36"/>
        <v>0.64855142452232661</v>
      </c>
      <c r="AP39" s="13">
        <v>16.3</v>
      </c>
      <c r="AQ39" s="13">
        <v>0.34740000000000004</v>
      </c>
      <c r="AR39" s="43">
        <f t="shared" si="39"/>
        <v>0.10702351800000003</v>
      </c>
      <c r="AS39" s="82">
        <f t="shared" si="40"/>
        <v>0.34097756091762282</v>
      </c>
      <c r="AT39" s="86"/>
      <c r="AU39" s="13">
        <v>11.6</v>
      </c>
      <c r="AV39" s="9">
        <v>0.32799999999999996</v>
      </c>
      <c r="AW39" s="43">
        <f t="shared" si="67"/>
        <v>7.1910719999999984E-2</v>
      </c>
      <c r="AX39" s="43">
        <f t="shared" si="68"/>
        <v>0.45280092668840671</v>
      </c>
      <c r="AY39" s="13">
        <v>12.2</v>
      </c>
      <c r="AZ39" s="9">
        <v>0.29770000000000002</v>
      </c>
      <c r="BA39" s="43">
        <f t="shared" si="69"/>
        <v>6.8643666000000006E-2</v>
      </c>
      <c r="BB39" s="259">
        <f t="shared" si="70"/>
        <v>0.48443350132305629</v>
      </c>
      <c r="BC39" s="13">
        <v>6.5</v>
      </c>
      <c r="BD39" s="9">
        <v>0.25329999999999997</v>
      </c>
      <c r="BE39" s="43">
        <f t="shared" si="71"/>
        <v>3.1117904999999991E-2</v>
      </c>
      <c r="BF39" s="367">
        <f t="shared" si="72"/>
        <v>0.84776892080327648</v>
      </c>
      <c r="BG39" s="13">
        <v>11.2</v>
      </c>
      <c r="BH39" s="9">
        <v>0.3165</v>
      </c>
      <c r="BI39" s="43">
        <f t="shared" si="73"/>
        <v>6.6996719999999996E-2</v>
      </c>
      <c r="BJ39" s="259">
        <f t="shared" si="74"/>
        <v>0.50037971533244774</v>
      </c>
      <c r="BK39" s="13">
        <v>9.6999999999999993</v>
      </c>
      <c r="BL39" s="9">
        <v>0.33799999999999997</v>
      </c>
      <c r="BM39" s="43">
        <f t="shared" si="75"/>
        <v>6.1965539999999993E-2</v>
      </c>
      <c r="BN39" s="259">
        <f t="shared" si="76"/>
        <v>0.70998137660795479</v>
      </c>
      <c r="BO39" s="13">
        <v>12.3</v>
      </c>
      <c r="BP39" s="9">
        <v>0.312</v>
      </c>
      <c r="BQ39" s="43">
        <f t="shared" si="77"/>
        <v>7.2530640000000007E-2</v>
      </c>
      <c r="BR39" s="259">
        <f t="shared" si="78"/>
        <v>0.62345813730170074</v>
      </c>
      <c r="BS39" s="13">
        <v>10.4</v>
      </c>
      <c r="BT39" s="9">
        <v>0.31730000000000003</v>
      </c>
      <c r="BU39" s="43">
        <f t="shared" si="79"/>
        <v>6.2368488E-2</v>
      </c>
      <c r="BV39" s="259">
        <f t="shared" si="80"/>
        <v>0.70668142050418126</v>
      </c>
      <c r="BW39" s="13">
        <v>12.6</v>
      </c>
      <c r="BX39" s="9">
        <v>0.31879999999999997</v>
      </c>
      <c r="BY39" s="43">
        <f t="shared" si="81"/>
        <v>7.5919031999999997E-2</v>
      </c>
      <c r="BZ39" s="259">
        <f t="shared" si="82"/>
        <v>0.59570878785120851</v>
      </c>
      <c r="CA39" s="13">
        <v>9.8000000000000007</v>
      </c>
      <c r="CB39" s="9">
        <v>0.311</v>
      </c>
      <c r="CC39" s="43">
        <f t="shared" si="83"/>
        <v>5.7603419999999995E-2</v>
      </c>
      <c r="CD39" s="259">
        <f t="shared" si="84"/>
        <v>0.74570510403529533</v>
      </c>
      <c r="CE39" s="13">
        <v>10.7</v>
      </c>
      <c r="CF39" s="9">
        <v>0.37479999999999997</v>
      </c>
      <c r="CG39" s="43">
        <f t="shared" si="85"/>
        <v>7.5795803999999981E-2</v>
      </c>
      <c r="CH39" s="259">
        <f t="shared" si="86"/>
        <v>0.59671796767281293</v>
      </c>
      <c r="CI39" s="13">
        <v>15.4</v>
      </c>
      <c r="CJ39" s="9">
        <v>0.35729999999999995</v>
      </c>
      <c r="CK39" s="43">
        <f t="shared" si="87"/>
        <v>0.10399573799999998</v>
      </c>
      <c r="CL39" s="82">
        <f t="shared" si="88"/>
        <v>0.36577366635029201</v>
      </c>
    </row>
    <row r="40" spans="1:138" ht="18" customHeight="1">
      <c r="A40" s="77">
        <v>2004</v>
      </c>
      <c r="B40" s="13">
        <v>13.4</v>
      </c>
      <c r="C40" s="13">
        <v>0.31319999999999998</v>
      </c>
      <c r="D40" s="43">
        <f t="shared" si="66"/>
        <v>7.9321032E-2</v>
      </c>
      <c r="E40" s="43">
        <f t="shared" ref="E40:E45" si="90">($D$60-D40)/$D$62</f>
        <v>0.56784799523023222</v>
      </c>
      <c r="F40" s="13">
        <v>21.5</v>
      </c>
      <c r="G40" s="13">
        <v>0.28749999999999998</v>
      </c>
      <c r="H40" s="43">
        <f t="shared" si="4"/>
        <v>0.11682562499999997</v>
      </c>
      <c r="I40" s="43">
        <f>($D$60-H40)/$D$62</f>
        <v>0.26070287826752936</v>
      </c>
      <c r="J40" s="13">
        <v>12.9</v>
      </c>
      <c r="K40" s="13">
        <v>0.24390000000000001</v>
      </c>
      <c r="L40" s="43">
        <f t="shared" si="8"/>
        <v>5.9465258999999999E-2</v>
      </c>
      <c r="M40" s="43">
        <f t="shared" ref="M40:M45" si="91">($D$60-L40)/$D$62</f>
        <v>0.73045751136255999</v>
      </c>
      <c r="N40" s="13">
        <v>15.7</v>
      </c>
      <c r="O40" s="13">
        <v>0.31</v>
      </c>
      <c r="P40" s="43">
        <f t="shared" si="12"/>
        <v>9.1986299999999993E-2</v>
      </c>
      <c r="Q40" s="43">
        <f t="shared" ref="Q40:Q45" si="92">($D$60-P40)/$D$62</f>
        <v>0.46412535994596243</v>
      </c>
      <c r="R40" s="13">
        <v>18.100000000000001</v>
      </c>
      <c r="S40" s="13">
        <v>0.2747</v>
      </c>
      <c r="T40" s="43">
        <f t="shared" si="15"/>
        <v>9.3972122999999991E-2</v>
      </c>
      <c r="U40" s="43">
        <f t="shared" si="16"/>
        <v>0.44786239616437373</v>
      </c>
      <c r="V40" s="13">
        <v>13</v>
      </c>
      <c r="W40" s="13">
        <v>0.2843</v>
      </c>
      <c r="X40" s="43">
        <f t="shared" si="19"/>
        <v>6.9852509999999993E-2</v>
      </c>
      <c r="Y40" s="43">
        <f t="shared" si="20"/>
        <v>0.64539077238165821</v>
      </c>
      <c r="Z40" s="13">
        <v>12.3</v>
      </c>
      <c r="AA40" s="13">
        <v>0.32090000000000002</v>
      </c>
      <c r="AB40" s="43">
        <f t="shared" si="23"/>
        <v>7.4599623000000004E-2</v>
      </c>
      <c r="AC40" s="43">
        <f t="shared" si="24"/>
        <v>0.60651413192271042</v>
      </c>
      <c r="AD40" s="13">
        <v>14.3</v>
      </c>
      <c r="AE40" s="13">
        <v>0.29799999999999999</v>
      </c>
      <c r="AF40" s="43">
        <f t="shared" si="27"/>
        <v>8.0540459999999994E-2</v>
      </c>
      <c r="AG40" s="43">
        <f t="shared" si="28"/>
        <v>0.55786144889742462</v>
      </c>
      <c r="AH40" s="13">
        <v>17.3</v>
      </c>
      <c r="AI40" s="13">
        <v>0.29969999999999997</v>
      </c>
      <c r="AJ40" s="43">
        <f t="shared" si="31"/>
        <v>9.7992908999999989E-2</v>
      </c>
      <c r="AK40" s="43">
        <f t="shared" si="32"/>
        <v>0.41493403493000447</v>
      </c>
      <c r="AL40" s="13">
        <v>11.1</v>
      </c>
      <c r="AM40" s="13">
        <v>0.33799999999999997</v>
      </c>
      <c r="AN40" s="43">
        <f t="shared" si="89"/>
        <v>7.0909019999999975E-2</v>
      </c>
      <c r="AO40" s="43">
        <f t="shared" si="36"/>
        <v>0.636738448451033</v>
      </c>
      <c r="AP40" s="13">
        <v>15.8</v>
      </c>
      <c r="AQ40" s="13">
        <v>0.34700000000000003</v>
      </c>
      <c r="AR40" s="43">
        <f t="shared" si="39"/>
        <v>0.10362114</v>
      </c>
      <c r="AS40" s="43">
        <f t="shared" si="40"/>
        <v>0.36884144918222378</v>
      </c>
      <c r="AT40" s="86"/>
      <c r="AU40" s="13">
        <v>11.4</v>
      </c>
      <c r="AV40" s="9">
        <v>0.33560000000000001</v>
      </c>
      <c r="AW40" s="43">
        <f t="shared" si="67"/>
        <v>7.2308376000000008E-2</v>
      </c>
      <c r="AX40" s="43">
        <f t="shared" ref="AX40:AX46" si="93">($D$60-AW40)/$D$62</f>
        <v>0.62527837575293788</v>
      </c>
      <c r="AY40" s="13">
        <v>11.7</v>
      </c>
      <c r="AZ40" s="9">
        <v>0.29010000000000002</v>
      </c>
      <c r="BA40" s="43">
        <f t="shared" si="69"/>
        <v>6.4149812999999986E-2</v>
      </c>
      <c r="BB40" s="43">
        <f>($D$60-BA40)/$D$62</f>
        <v>0.69209319992347573</v>
      </c>
      <c r="BC40" s="13">
        <v>5.3</v>
      </c>
      <c r="BD40" s="9">
        <v>0.35020000000000001</v>
      </c>
      <c r="BE40" s="43">
        <f t="shared" si="71"/>
        <v>3.5079533999999996E-2</v>
      </c>
      <c r="BF40" s="43">
        <f t="shared" ref="BF40:BF46" si="94">($D$60-BE40)/$D$62</f>
        <v>0.93016522069152963</v>
      </c>
      <c r="BG40" s="13">
        <v>10</v>
      </c>
      <c r="BH40" s="9">
        <v>0.371</v>
      </c>
      <c r="BI40" s="43">
        <f t="shared" si="73"/>
        <v>7.0119000000000001E-2</v>
      </c>
      <c r="BJ40" s="43">
        <f t="shared" ref="BJ40:BJ46" si="95">($D$60-BI40)/$D$62</f>
        <v>0.64320834362634838</v>
      </c>
      <c r="BK40" s="13">
        <v>8.6999999999999993</v>
      </c>
      <c r="BL40" s="9">
        <v>0.33700000000000002</v>
      </c>
      <c r="BM40" s="43">
        <f t="shared" si="75"/>
        <v>5.5412909999999996E-2</v>
      </c>
      <c r="BN40" s="43">
        <f t="shared" si="76"/>
        <v>0.76364435883957937</v>
      </c>
      <c r="BO40" s="13">
        <v>11.5</v>
      </c>
      <c r="BP40" s="9">
        <v>0.2954</v>
      </c>
      <c r="BQ40" s="43">
        <f t="shared" si="77"/>
        <v>6.4205189999999995E-2</v>
      </c>
      <c r="BR40" s="43">
        <f t="shared" si="78"/>
        <v>0.69163968813247867</v>
      </c>
      <c r="BS40" s="13">
        <v>11</v>
      </c>
      <c r="BT40" s="9">
        <v>0.33460000000000001</v>
      </c>
      <c r="BU40" s="43">
        <f t="shared" si="79"/>
        <v>6.9563340000000001E-2</v>
      </c>
      <c r="BV40" s="43">
        <f t="shared" si="80"/>
        <v>0.6477589397544411</v>
      </c>
      <c r="BW40" s="13">
        <v>11.4</v>
      </c>
      <c r="BX40" s="9">
        <v>0.32179999999999997</v>
      </c>
      <c r="BY40" s="43">
        <f t="shared" si="81"/>
        <v>6.9335027999999993E-2</v>
      </c>
      <c r="BZ40" s="43">
        <f t="shared" si="82"/>
        <v>0.64962870850367116</v>
      </c>
      <c r="CA40" s="13">
        <v>10.1</v>
      </c>
      <c r="CB40" s="9">
        <v>0.37770000000000004</v>
      </c>
      <c r="CC40" s="43">
        <f t="shared" si="83"/>
        <v>7.2099152999999999E-2</v>
      </c>
      <c r="CD40" s="43">
        <f t="shared" si="84"/>
        <v>0.62699181449912789</v>
      </c>
      <c r="CE40" s="13">
        <v>10.6</v>
      </c>
      <c r="CF40" s="9">
        <v>0.37619999999999998</v>
      </c>
      <c r="CG40" s="43">
        <f t="shared" si="85"/>
        <v>7.5367907999999983E-2</v>
      </c>
      <c r="CH40" s="43">
        <f t="shared" si="86"/>
        <v>0.60022223625580673</v>
      </c>
      <c r="CI40" s="13">
        <v>14.1</v>
      </c>
      <c r="CJ40" s="9">
        <v>0.36859999999999998</v>
      </c>
      <c r="CK40" s="43">
        <f t="shared" si="87"/>
        <v>9.822821399999998E-2</v>
      </c>
      <c r="CL40" s="43">
        <f t="shared" si="88"/>
        <v>0.41300699677372033</v>
      </c>
    </row>
    <row r="41" spans="1:138" ht="18" customHeight="1">
      <c r="A41" s="77">
        <v>2005</v>
      </c>
      <c r="B41" s="13">
        <v>13</v>
      </c>
      <c r="C41" s="13">
        <v>0.31769999999999998</v>
      </c>
      <c r="D41" s="43">
        <f t="shared" si="66"/>
        <v>7.8058889999999992E-2</v>
      </c>
      <c r="E41" s="43">
        <f t="shared" si="90"/>
        <v>0.57818434929261453</v>
      </c>
      <c r="F41" s="13">
        <v>19.100000000000001</v>
      </c>
      <c r="G41" s="13">
        <v>0.27649999999999997</v>
      </c>
      <c r="H41" s="43">
        <f t="shared" si="4"/>
        <v>9.9813734999999987E-2</v>
      </c>
      <c r="I41" s="43">
        <f>($D$60-H41)/$D$62</f>
        <v>0.40002231959053308</v>
      </c>
      <c r="J41" s="13">
        <v>11.2</v>
      </c>
      <c r="K41" s="13">
        <v>0.22719999999999999</v>
      </c>
      <c r="L41" s="43">
        <f t="shared" si="8"/>
        <v>4.8093695999999991E-2</v>
      </c>
      <c r="M41" s="43">
        <f t="shared" si="91"/>
        <v>0.8235853063417975</v>
      </c>
      <c r="N41" s="13">
        <v>14.8</v>
      </c>
      <c r="O41" s="13">
        <v>0.28649999999999998</v>
      </c>
      <c r="P41" s="43">
        <f t="shared" si="12"/>
        <v>8.0139779999999994E-2</v>
      </c>
      <c r="Q41" s="43">
        <f t="shared" si="92"/>
        <v>0.56114283113945074</v>
      </c>
      <c r="R41" s="13">
        <v>17.5</v>
      </c>
      <c r="S41" s="13">
        <v>0.2959</v>
      </c>
      <c r="T41" s="43">
        <f t="shared" si="15"/>
        <v>9.7868925000000009E-2</v>
      </c>
      <c r="U41" s="43">
        <f t="shared" si="16"/>
        <v>0.41594940603885761</v>
      </c>
      <c r="V41" s="13">
        <v>14.1</v>
      </c>
      <c r="W41" s="13">
        <v>0.29570000000000002</v>
      </c>
      <c r="X41" s="43">
        <f t="shared" si="19"/>
        <v>7.8801092999999989E-2</v>
      </c>
      <c r="Y41" s="43">
        <f t="shared" si="20"/>
        <v>0.57210605303580486</v>
      </c>
      <c r="Z41" s="13">
        <v>11.7</v>
      </c>
      <c r="AA41" s="13">
        <v>0.32319999999999999</v>
      </c>
      <c r="AB41" s="43">
        <f t="shared" si="23"/>
        <v>7.1469215999999988E-2</v>
      </c>
      <c r="AC41" s="43">
        <f t="shared" si="24"/>
        <v>0.63215070459944545</v>
      </c>
      <c r="AD41" s="13">
        <v>14.7</v>
      </c>
      <c r="AE41" s="13">
        <v>0.311</v>
      </c>
      <c r="AF41" s="43">
        <f t="shared" si="27"/>
        <v>8.6405129999999983E-2</v>
      </c>
      <c r="AG41" s="43">
        <f t="shared" si="28"/>
        <v>0.5098325380624863</v>
      </c>
      <c r="AH41" s="13">
        <v>17.8</v>
      </c>
      <c r="AI41" s="13">
        <v>0.34799999999999998</v>
      </c>
      <c r="AJ41" s="43">
        <f t="shared" si="31"/>
        <v>0.11707415999999998</v>
      </c>
      <c r="AK41" s="43">
        <f t="shared" si="32"/>
        <v>0.25866749258438576</v>
      </c>
      <c r="AL41" s="13">
        <v>8.6999999999999993</v>
      </c>
      <c r="AM41" s="13">
        <v>0.33939999999999998</v>
      </c>
      <c r="AN41" s="43">
        <f t="shared" si="89"/>
        <v>5.5807541999999995E-2</v>
      </c>
      <c r="AO41" s="43">
        <f t="shared" si="36"/>
        <v>0.76041250689554629</v>
      </c>
      <c r="AP41" s="13">
        <v>14.8</v>
      </c>
      <c r="AQ41" s="13">
        <v>0.34619999999999995</v>
      </c>
      <c r="AR41" s="43">
        <f t="shared" si="39"/>
        <v>9.6839064000000002E-2</v>
      </c>
      <c r="AS41" s="43">
        <f t="shared" si="40"/>
        <v>0.42438348709395207</v>
      </c>
      <c r="AT41" s="86"/>
      <c r="AU41" s="13">
        <v>10.8</v>
      </c>
      <c r="AV41" s="9">
        <v>0.34570000000000001</v>
      </c>
      <c r="AW41" s="43">
        <f t="shared" si="67"/>
        <v>7.0564283999999991E-2</v>
      </c>
      <c r="AX41" s="43">
        <f t="shared" si="93"/>
        <v>0.63956167543662512</v>
      </c>
      <c r="AY41" s="13">
        <v>8.6</v>
      </c>
      <c r="AZ41" s="9">
        <v>0.3221</v>
      </c>
      <c r="BA41" s="43">
        <f t="shared" si="69"/>
        <v>5.2354133999999997E-2</v>
      </c>
      <c r="BB41" s="43">
        <f>($D$60-BA41)/$D$62</f>
        <v>0.78869430704946153</v>
      </c>
      <c r="BC41" s="13">
        <v>5.5</v>
      </c>
      <c r="BD41" s="9">
        <v>0.23089999999999999</v>
      </c>
      <c r="BE41" s="43">
        <f t="shared" si="71"/>
        <v>2.4002054999999998E-2</v>
      </c>
      <c r="BF41" s="43">
        <f t="shared" si="94"/>
        <v>1.0208846049308651</v>
      </c>
      <c r="BG41" s="13">
        <v>8.6</v>
      </c>
      <c r="BH41" s="9">
        <v>0.3483</v>
      </c>
      <c r="BI41" s="43">
        <f t="shared" si="73"/>
        <v>5.6612681999999998E-2</v>
      </c>
      <c r="BJ41" s="43">
        <f t="shared" si="95"/>
        <v>0.75381878597524843</v>
      </c>
      <c r="BK41" s="13">
        <v>9.6</v>
      </c>
      <c r="BL41" s="9">
        <v>0.33189999999999997</v>
      </c>
      <c r="BM41" s="43">
        <f t="shared" si="75"/>
        <v>6.0219935999999995E-2</v>
      </c>
      <c r="BN41" s="43">
        <f t="shared" si="76"/>
        <v>0.72427705886614002</v>
      </c>
      <c r="BO41" s="13">
        <v>11.7</v>
      </c>
      <c r="BP41" s="9">
        <v>0.31980000000000003</v>
      </c>
      <c r="BQ41" s="43">
        <f t="shared" si="77"/>
        <v>7.0717374E-2</v>
      </c>
      <c r="BR41" s="43">
        <f t="shared" si="78"/>
        <v>0.63830793976868105</v>
      </c>
      <c r="BS41" s="13">
        <v>10.3</v>
      </c>
      <c r="BT41" s="9">
        <v>0.3503</v>
      </c>
      <c r="BU41" s="43">
        <f t="shared" si="79"/>
        <v>6.8192901E-2</v>
      </c>
      <c r="BV41" s="43">
        <f t="shared" si="80"/>
        <v>0.65898219571525773</v>
      </c>
      <c r="BW41" s="13">
        <v>12.7</v>
      </c>
      <c r="BX41" s="9">
        <v>0.31929999999999997</v>
      </c>
      <c r="BY41" s="43">
        <f t="shared" si="81"/>
        <v>7.6641578999999974E-2</v>
      </c>
      <c r="BZ41" s="43">
        <f t="shared" si="82"/>
        <v>0.58979146506287583</v>
      </c>
      <c r="CA41" s="13">
        <v>10.8</v>
      </c>
      <c r="CB41" s="9">
        <v>0.40500000000000003</v>
      </c>
      <c r="CC41" s="43">
        <f t="shared" si="83"/>
        <v>8.2668600000000009E-2</v>
      </c>
      <c r="CD41" s="43">
        <f t="shared" si="84"/>
        <v>0.54043297529119161</v>
      </c>
      <c r="CE41" s="13">
        <v>8.5</v>
      </c>
      <c r="CF41" s="9">
        <v>0.36469999999999997</v>
      </c>
      <c r="CG41" s="43">
        <f t="shared" si="85"/>
        <v>5.8589054999999994E-2</v>
      </c>
      <c r="CH41" s="43">
        <f t="shared" si="86"/>
        <v>0.73763321328427356</v>
      </c>
      <c r="CI41" s="13">
        <v>13.2</v>
      </c>
      <c r="CJ41" s="9">
        <v>0.36759999999999998</v>
      </c>
      <c r="CK41" s="43">
        <f t="shared" si="87"/>
        <v>9.1708847999999996E-2</v>
      </c>
      <c r="CL41" s="43">
        <f t="shared" si="88"/>
        <v>0.4663975623663843</v>
      </c>
    </row>
    <row r="42" spans="1:138" ht="18" customHeight="1">
      <c r="A42" s="77">
        <v>2006</v>
      </c>
      <c r="B42" s="13">
        <v>12.6</v>
      </c>
      <c r="C42" s="13">
        <v>0.30260000000000004</v>
      </c>
      <c r="D42" s="43">
        <f t="shared" si="66"/>
        <v>7.2061163999999997E-2</v>
      </c>
      <c r="E42" s="43">
        <f t="shared" si="90"/>
        <v>0.62730292668339549</v>
      </c>
      <c r="F42" s="13">
        <v>18.3</v>
      </c>
      <c r="G42" s="13">
        <v>0.26519999999999999</v>
      </c>
      <c r="H42" s="43">
        <f t="shared" si="4"/>
        <v>9.1724724000000007E-2</v>
      </c>
      <c r="I42" s="43">
        <f>($D$60-H42)/$D$62</f>
        <v>0.46626754533415293</v>
      </c>
      <c r="J42" s="13">
        <v>11.5</v>
      </c>
      <c r="K42" s="13">
        <v>0.25619999999999998</v>
      </c>
      <c r="L42" s="43">
        <f t="shared" si="8"/>
        <v>5.5685069999999996E-2</v>
      </c>
      <c r="M42" s="43">
        <f t="shared" si="91"/>
        <v>0.76141549542990128</v>
      </c>
      <c r="N42" s="13">
        <v>14.4</v>
      </c>
      <c r="O42" s="13">
        <v>0.28910000000000002</v>
      </c>
      <c r="P42" s="43">
        <f t="shared" si="12"/>
        <v>7.8681456000000011E-2</v>
      </c>
      <c r="Q42" s="43">
        <f t="shared" si="92"/>
        <v>0.57308582424297572</v>
      </c>
      <c r="R42" s="13">
        <v>18.399999999999999</v>
      </c>
      <c r="S42" s="13">
        <v>0.27829999999999999</v>
      </c>
      <c r="T42" s="43">
        <f t="shared" si="15"/>
        <v>9.6781607999999991E-2</v>
      </c>
      <c r="U42" s="43">
        <f t="shared" si="16"/>
        <v>0.42485402492488422</v>
      </c>
      <c r="V42" s="13">
        <v>13.9</v>
      </c>
      <c r="W42" s="13">
        <v>0.26879999999999998</v>
      </c>
      <c r="X42" s="43">
        <f t="shared" si="19"/>
        <v>7.0616447999999998E-2</v>
      </c>
      <c r="Y42" s="43">
        <f t="shared" si="20"/>
        <v>0.63913447661643674</v>
      </c>
      <c r="Z42" s="13">
        <v>11.5</v>
      </c>
      <c r="AA42" s="13">
        <v>0.31280000000000002</v>
      </c>
      <c r="AB42" s="43">
        <f t="shared" si="23"/>
        <v>6.7987080000000005E-2</v>
      </c>
      <c r="AC42" s="43">
        <f t="shared" si="24"/>
        <v>0.66066777366882679</v>
      </c>
      <c r="AD42" s="13">
        <v>14.5</v>
      </c>
      <c r="AE42" s="13">
        <v>0.29859999999999998</v>
      </c>
      <c r="AF42" s="43">
        <f t="shared" si="27"/>
        <v>8.1831329999999994E-2</v>
      </c>
      <c r="AG42" s="43">
        <f t="shared" si="28"/>
        <v>0.54728982591957642</v>
      </c>
      <c r="AH42" s="13">
        <v>16.5</v>
      </c>
      <c r="AI42" s="13">
        <v>0.35240000000000005</v>
      </c>
      <c r="AJ42" s="43">
        <f t="shared" si="31"/>
        <v>0.10989594</v>
      </c>
      <c r="AK42" s="43">
        <f t="shared" si="32"/>
        <v>0.31745376501464545</v>
      </c>
      <c r="AL42" s="13">
        <v>7.3</v>
      </c>
      <c r="AM42" s="13">
        <v>0.313</v>
      </c>
      <c r="AN42" s="43">
        <f t="shared" si="89"/>
        <v>4.3184609999999991E-2</v>
      </c>
      <c r="AO42" s="43">
        <f t="shared" si="36"/>
        <v>0.86378843009386619</v>
      </c>
      <c r="AP42" s="13">
        <v>14.5</v>
      </c>
      <c r="AQ42" s="13">
        <v>0.33560000000000001</v>
      </c>
      <c r="AR42" s="43">
        <f t="shared" si="39"/>
        <v>9.197118E-2</v>
      </c>
      <c r="AS42" s="43">
        <f t="shared" si="40"/>
        <v>0.46424918569094453</v>
      </c>
      <c r="AT42" s="86"/>
      <c r="AU42" s="13">
        <v>10.5</v>
      </c>
      <c r="AV42" s="9">
        <v>0.32280000000000003</v>
      </c>
      <c r="AW42" s="43">
        <f t="shared" si="67"/>
        <v>6.4059660000000004E-2</v>
      </c>
      <c r="AX42" s="43">
        <f t="shared" si="93"/>
        <v>0.69283151092793149</v>
      </c>
      <c r="AY42" s="13">
        <v>7.6</v>
      </c>
      <c r="AZ42" s="9">
        <v>0.29149999999999998</v>
      </c>
      <c r="BA42" s="43">
        <f>AZ42*AY42*$F$59/100</f>
        <v>4.1871059999999988E-2</v>
      </c>
      <c r="BB42" s="43">
        <f>($D$60-BA42)/$D$62</f>
        <v>0.87454579168918756</v>
      </c>
      <c r="BC42" s="13">
        <v>5.4</v>
      </c>
      <c r="BD42" s="9">
        <v>0.30180000000000001</v>
      </c>
      <c r="BE42" s="43">
        <f t="shared" si="71"/>
        <v>3.0801708000000004E-2</v>
      </c>
      <c r="BF42" s="43">
        <f t="shared" si="94"/>
        <v>0.96519861959059483</v>
      </c>
      <c r="BG42" s="13">
        <v>8.4</v>
      </c>
      <c r="BH42" s="9">
        <v>0.34909999999999997</v>
      </c>
      <c r="BI42" s="43">
        <f t="shared" si="73"/>
        <v>5.5423115999999988E-2</v>
      </c>
      <c r="BJ42" s="43">
        <f t="shared" si="95"/>
        <v>0.76356077646171649</v>
      </c>
      <c r="BK42" s="13">
        <v>9.3000000000000007</v>
      </c>
      <c r="BL42" s="9">
        <v>0.31219999999999998</v>
      </c>
      <c r="BM42" s="43">
        <f t="shared" si="75"/>
        <v>5.4875393999999994E-2</v>
      </c>
      <c r="BN42" s="43">
        <f t="shared" si="76"/>
        <v>0.76804636407369364</v>
      </c>
      <c r="BO42" s="13">
        <v>11.5</v>
      </c>
      <c r="BP42" s="9">
        <v>0.28289999999999998</v>
      </c>
      <c r="BQ42" s="43">
        <f t="shared" si="77"/>
        <v>6.1488314999999988E-2</v>
      </c>
      <c r="BR42" s="43">
        <f t="shared" si="78"/>
        <v>0.71388962668395284</v>
      </c>
      <c r="BS42" s="13">
        <v>10.3</v>
      </c>
      <c r="BT42" s="9">
        <v>0.31950000000000001</v>
      </c>
      <c r="BU42" s="43">
        <f t="shared" si="79"/>
        <v>6.2197065000000003E-2</v>
      </c>
      <c r="BV42" s="43">
        <f t="shared" si="80"/>
        <v>0.70808529488791605</v>
      </c>
      <c r="BW42" s="13">
        <v>11.3</v>
      </c>
      <c r="BX42" s="9">
        <v>0.33829999999999999</v>
      </c>
      <c r="BY42" s="43">
        <f t="shared" si="81"/>
        <v>7.2250730999999999E-2</v>
      </c>
      <c r="BZ42" s="43">
        <f t="shared" si="82"/>
        <v>0.62575046140568225</v>
      </c>
      <c r="CA42" s="13">
        <v>10.5</v>
      </c>
      <c r="CB42" s="9">
        <v>0.40500000000000003</v>
      </c>
      <c r="CC42" s="43">
        <f t="shared" si="83"/>
        <v>8.0372250000000006E-2</v>
      </c>
      <c r="CD42" s="43">
        <f t="shared" si="84"/>
        <v>0.55923901031035061</v>
      </c>
      <c r="CE42" s="13">
        <v>7</v>
      </c>
      <c r="CF42" s="9">
        <v>0.33960000000000001</v>
      </c>
      <c r="CG42" s="43">
        <f t="shared" si="85"/>
        <v>4.4929079999999996E-2</v>
      </c>
      <c r="CH42" s="43">
        <f t="shared" si="86"/>
        <v>0.84950203476655439</v>
      </c>
      <c r="CI42" s="13">
        <v>13</v>
      </c>
      <c r="CJ42" s="9">
        <v>0.36840000000000006</v>
      </c>
      <c r="CK42" s="43">
        <f t="shared" si="87"/>
        <v>9.0515880000000007E-2</v>
      </c>
      <c r="CL42" s="43">
        <f t="shared" si="88"/>
        <v>0.47616741364547316</v>
      </c>
    </row>
    <row r="43" spans="1:138" ht="18" customHeight="1">
      <c r="A43" s="77">
        <v>2007</v>
      </c>
      <c r="B43" s="13">
        <v>12.5</v>
      </c>
      <c r="C43" s="13">
        <v>0.2964</v>
      </c>
      <c r="D43" s="43">
        <f t="shared" si="66"/>
        <v>7.002449999999999E-2</v>
      </c>
      <c r="E43" s="43">
        <f t="shared" si="90"/>
        <v>0.6439822545324867</v>
      </c>
      <c r="F43" s="13">
        <v>16.399999999999999</v>
      </c>
      <c r="G43" s="13">
        <v>0.2596</v>
      </c>
      <c r="H43" s="43">
        <f t="shared" si="4"/>
        <v>8.046561599999999E-2</v>
      </c>
      <c r="I43" s="43">
        <f t="shared" ref="I43:I44" si="96">($D$60-H43)/$D$62</f>
        <v>0.55847438633508617</v>
      </c>
      <c r="J43" s="13">
        <v>11.5</v>
      </c>
      <c r="K43" s="13">
        <v>0.23089999999999999</v>
      </c>
      <c r="L43" s="43">
        <f t="shared" si="8"/>
        <v>5.0186114999999996E-2</v>
      </c>
      <c r="M43" s="43">
        <f t="shared" si="91"/>
        <v>0.80644937105808479</v>
      </c>
      <c r="N43" s="13">
        <v>15.4</v>
      </c>
      <c r="O43" s="13">
        <v>0.29530000000000001</v>
      </c>
      <c r="P43" s="43">
        <f t="shared" si="12"/>
        <v>8.5950018000000003E-2</v>
      </c>
      <c r="Q43" s="43">
        <f t="shared" si="92"/>
        <v>0.51355969298644788</v>
      </c>
      <c r="R43" s="13">
        <v>18.2</v>
      </c>
      <c r="S43" s="13">
        <v>0.28600000000000003</v>
      </c>
      <c r="T43" s="43">
        <f t="shared" si="15"/>
        <v>9.8378279999999999E-2</v>
      </c>
      <c r="U43" s="43">
        <f t="shared" si="16"/>
        <v>0.41177802625477267</v>
      </c>
      <c r="V43" s="13">
        <v>14.6</v>
      </c>
      <c r="W43" s="13">
        <v>0.27100000000000002</v>
      </c>
      <c r="X43" s="43">
        <f t="shared" si="19"/>
        <v>7.4779740000000011E-2</v>
      </c>
      <c r="Y43" s="43">
        <f t="shared" si="20"/>
        <v>0.60503905773561084</v>
      </c>
      <c r="Z43" s="13">
        <v>11.2</v>
      </c>
      <c r="AA43" s="13">
        <v>0.30399999999999999</v>
      </c>
      <c r="AB43" s="43">
        <f t="shared" si="23"/>
        <v>6.4350719999999986E-2</v>
      </c>
      <c r="AC43" s="43">
        <f t="shared" si="24"/>
        <v>0.69044786533702596</v>
      </c>
      <c r="AD43" s="13">
        <v>14.3</v>
      </c>
      <c r="AE43" s="13">
        <v>0.29430000000000001</v>
      </c>
      <c r="AF43" s="43">
        <f t="shared" si="27"/>
        <v>7.9540461000000007E-2</v>
      </c>
      <c r="AG43" s="43">
        <f t="shared" si="28"/>
        <v>0.56605097410617922</v>
      </c>
      <c r="AH43" s="13">
        <v>14.8</v>
      </c>
      <c r="AI43" s="13">
        <v>0.32250000000000001</v>
      </c>
      <c r="AJ43" s="43">
        <f t="shared" si="31"/>
        <v>9.0209700000000004E-2</v>
      </c>
      <c r="AK43" s="43">
        <f t="shared" si="32"/>
        <v>0.47867488498136107</v>
      </c>
      <c r="AL43" s="13">
        <v>7.3</v>
      </c>
      <c r="AM43" s="13">
        <v>0.32150000000000001</v>
      </c>
      <c r="AN43" s="43">
        <f t="shared" si="89"/>
        <v>4.4357355000000001E-2</v>
      </c>
      <c r="AO43" s="43">
        <f t="shared" si="36"/>
        <v>0.85418419574869064</v>
      </c>
      <c r="AP43" s="13">
        <v>13.5</v>
      </c>
      <c r="AQ43" s="13">
        <v>0.3196</v>
      </c>
      <c r="AR43" s="43">
        <f t="shared" si="39"/>
        <v>8.1545939999999997E-2</v>
      </c>
      <c r="AS43" s="43">
        <f t="shared" si="40"/>
        <v>0.5496270368561138</v>
      </c>
      <c r="AT43" s="86"/>
      <c r="AU43" s="13">
        <v>9.1999999999999993</v>
      </c>
      <c r="AV43" s="9">
        <v>0.32819999999999999</v>
      </c>
      <c r="AW43" s="43">
        <f t="shared" si="67"/>
        <v>5.7067415999999989E-2</v>
      </c>
      <c r="AX43" s="43">
        <f t="shared" si="93"/>
        <v>0.7500947266949114</v>
      </c>
      <c r="AY43" s="13">
        <v>6.5</v>
      </c>
      <c r="AZ43" s="9">
        <v>0.28489999999999999</v>
      </c>
      <c r="BA43" s="43">
        <f>AZ43*AY43*$F$59/100</f>
        <v>3.4999965000000001E-2</v>
      </c>
      <c r="BB43" s="43">
        <f t="shared" ref="BB43:BB46" si="97">($D$60-BA43)/$D$62</f>
        <v>0.93081685367449807</v>
      </c>
      <c r="BC43" s="13">
        <v>5</v>
      </c>
      <c r="BD43" s="9">
        <v>0.30230000000000001</v>
      </c>
      <c r="BE43" s="43">
        <f>BD43*BC43*$F$59/100</f>
        <v>2.8567350000000002E-2</v>
      </c>
      <c r="BF43" s="43">
        <f t="shared" si="94"/>
        <v>0.98349696905532713</v>
      </c>
      <c r="BG43" s="13">
        <v>8.3000000000000007</v>
      </c>
      <c r="BH43" s="9">
        <v>0.34100000000000003</v>
      </c>
      <c r="BI43" s="43">
        <f>BH43*BG43*$F$59/100</f>
        <v>5.3492669999999999E-2</v>
      </c>
      <c r="BJ43" s="43">
        <f t="shared" si="95"/>
        <v>0.7793702284523083</v>
      </c>
      <c r="BK43" s="13">
        <v>8.4</v>
      </c>
      <c r="BL43" s="9">
        <v>0.3004</v>
      </c>
      <c r="BM43" s="43">
        <f>BL43*BK43*$F$59/100</f>
        <v>4.7691504000000003E-2</v>
      </c>
      <c r="BN43" s="43">
        <f>($D$60-BM43)/$D$62</f>
        <v>0.82687907115832171</v>
      </c>
      <c r="BO43" s="13">
        <v>10.7</v>
      </c>
      <c r="BP43" s="9">
        <v>0.31140000000000001</v>
      </c>
      <c r="BQ43" s="43">
        <f>BP43*BO43*$F$59/100</f>
        <v>6.2974421999999988E-2</v>
      </c>
      <c r="BR43" s="43">
        <f>($D$60-BQ43)/$D$62</f>
        <v>0.70171910377402302</v>
      </c>
      <c r="BS43" s="13">
        <v>8.8000000000000007</v>
      </c>
      <c r="BT43" s="9">
        <v>0.32650000000000001</v>
      </c>
      <c r="BU43" s="43">
        <f>BT43*BS43*$F$59/100</f>
        <v>5.4303480000000001E-2</v>
      </c>
      <c r="BV43" s="43">
        <f>($D$60-BU43)/$D$62</f>
        <v>0.77273007287764217</v>
      </c>
      <c r="BW43" s="13">
        <v>10.1</v>
      </c>
      <c r="BX43" s="9">
        <v>0.31829999999999997</v>
      </c>
      <c r="BY43" s="43">
        <f>BX43*BW43*$F$59/100</f>
        <v>6.0760286999999996E-2</v>
      </c>
      <c r="BZ43" s="43">
        <f>($D$60-BY43)/$D$62</f>
        <v>0.71985183630484162</v>
      </c>
      <c r="CA43" s="13">
        <v>7.9</v>
      </c>
      <c r="CB43" s="9">
        <v>0.37579999999999997</v>
      </c>
      <c r="CC43" s="43">
        <f>CB43*CA43*$F$59/100</f>
        <v>5.6110698000000001E-2</v>
      </c>
      <c r="CD43" s="43">
        <f>($D$60-CC43)/$D$62</f>
        <v>0.75792980070865468</v>
      </c>
      <c r="CE43" s="13">
        <v>6.1</v>
      </c>
      <c r="CF43" s="9">
        <v>0.36770000000000003</v>
      </c>
      <c r="CG43" s="43">
        <f t="shared" si="85"/>
        <v>4.2392133000000005E-2</v>
      </c>
      <c r="CH43" s="43">
        <f>($D$60-CG43)/$D$62</f>
        <v>0.87027844695274126</v>
      </c>
      <c r="CI43" s="13">
        <v>11.1</v>
      </c>
      <c r="CJ43" s="9">
        <v>0.34360000000000002</v>
      </c>
      <c r="CK43" s="43">
        <f>CJ43*CI43*$F$59/100</f>
        <v>7.2083843999999994E-2</v>
      </c>
      <c r="CL43" s="43">
        <f>($D$60-CK43)/$D$62</f>
        <v>0.62711718806592232</v>
      </c>
    </row>
    <row r="44" spans="1:138" ht="18" customHeight="1">
      <c r="A44" s="77">
        <v>2008</v>
      </c>
      <c r="B44" s="13">
        <v>13.3</v>
      </c>
      <c r="C44" s="13">
        <v>0.30269999999999997</v>
      </c>
      <c r="D44" s="43">
        <f t="shared" si="66"/>
        <v>7.6089698999999997E-2</v>
      </c>
      <c r="E44" s="43">
        <f t="shared" si="90"/>
        <v>0.59431110475472282</v>
      </c>
      <c r="F44" s="13">
        <v>17.5</v>
      </c>
      <c r="G44" s="13">
        <v>0.27440000000000003</v>
      </c>
      <c r="H44" s="43">
        <f t="shared" si="4"/>
        <v>9.07578E-2</v>
      </c>
      <c r="I44" s="43">
        <f t="shared" si="96"/>
        <v>0.47418620172575937</v>
      </c>
      <c r="J44" s="13">
        <v>12.4</v>
      </c>
      <c r="K44" s="13">
        <v>0.27629999999999999</v>
      </c>
      <c r="L44" s="43">
        <f t="shared" si="8"/>
        <v>6.4753668E-2</v>
      </c>
      <c r="M44" s="43">
        <f t="shared" si="91"/>
        <v>0.68714790923325242</v>
      </c>
      <c r="N44" s="13">
        <v>17.399999999999999</v>
      </c>
      <c r="O44" s="13">
        <v>0.28289999999999998</v>
      </c>
      <c r="P44" s="43">
        <f t="shared" si="12"/>
        <v>9.3034493999999981E-2</v>
      </c>
      <c r="Q44" s="43">
        <f t="shared" si="92"/>
        <v>0.45554114017507735</v>
      </c>
      <c r="R44" s="13">
        <v>17</v>
      </c>
      <c r="S44" s="13">
        <v>0.29239999999999999</v>
      </c>
      <c r="T44" s="43">
        <f t="shared" si="15"/>
        <v>9.3948119999999982E-2</v>
      </c>
      <c r="U44" s="43">
        <f t="shared" si="16"/>
        <v>0.44805896953453295</v>
      </c>
      <c r="V44" s="13">
        <v>15.7</v>
      </c>
      <c r="W44" s="13">
        <v>0.28029999999999999</v>
      </c>
      <c r="X44" s="43">
        <f t="shared" si="19"/>
        <v>8.3173419000000012E-2</v>
      </c>
      <c r="Y44" s="43">
        <f t="shared" si="20"/>
        <v>0.53629874323060112</v>
      </c>
      <c r="Z44" s="13">
        <v>12.5</v>
      </c>
      <c r="AA44" s="13">
        <v>0.30449999999999999</v>
      </c>
      <c r="AB44" s="43">
        <f t="shared" si="23"/>
        <v>7.1938124999999992E-2</v>
      </c>
      <c r="AC44" s="43">
        <f t="shared" si="24"/>
        <v>0.62831055868318753</v>
      </c>
      <c r="AD44" s="13">
        <v>13.7</v>
      </c>
      <c r="AE44" s="13">
        <v>0.28190000000000004</v>
      </c>
      <c r="AF44" s="43">
        <f t="shared" si="27"/>
        <v>7.2992367000000002E-2</v>
      </c>
      <c r="AG44" s="43">
        <f t="shared" si="28"/>
        <v>0.6196768086143094</v>
      </c>
      <c r="AH44" s="13">
        <v>14.7</v>
      </c>
      <c r="AI44" s="13">
        <v>0.2762</v>
      </c>
      <c r="AJ44" s="43">
        <f t="shared" si="31"/>
        <v>7.6736645999999992E-2</v>
      </c>
      <c r="AK44" s="43">
        <f t="shared" si="32"/>
        <v>0.58901291069130057</v>
      </c>
      <c r="AL44" s="13">
        <v>7</v>
      </c>
      <c r="AM44" s="13">
        <v>0.31489999999999996</v>
      </c>
      <c r="AN44" s="43">
        <f t="shared" si="89"/>
        <v>4.1661269999999993E-2</v>
      </c>
      <c r="AO44" s="43">
        <f t="shared" si="36"/>
        <v>0.87626387390081428</v>
      </c>
      <c r="AP44" s="13">
        <v>14.2</v>
      </c>
      <c r="AQ44" s="13">
        <v>0.35960000000000003</v>
      </c>
      <c r="AR44" s="43">
        <f t="shared" si="39"/>
        <v>9.6509447999999998E-2</v>
      </c>
      <c r="AS44" s="43">
        <f t="shared" si="40"/>
        <v>0.42708288833456226</v>
      </c>
      <c r="AT44" s="86"/>
      <c r="AU44" s="13">
        <v>9.4</v>
      </c>
      <c r="AV44" s="9">
        <v>0.33229999999999998</v>
      </c>
      <c r="AW44" s="43">
        <f t="shared" si="67"/>
        <v>5.9036417999999993E-2</v>
      </c>
      <c r="AX44" s="43">
        <f t="shared" si="93"/>
        <v>0.73396951905461527</v>
      </c>
      <c r="AY44" s="13">
        <v>7.3</v>
      </c>
      <c r="AZ44" s="9">
        <v>0.28239999999999998</v>
      </c>
      <c r="BA44" s="43">
        <f>AZ44*AY44*$F$59/100</f>
        <v>3.8962727999999995E-2</v>
      </c>
      <c r="BB44" s="43">
        <f t="shared" si="97"/>
        <v>0.8983636737364975</v>
      </c>
      <c r="BC44" s="13">
        <v>5.2</v>
      </c>
      <c r="BD44" s="9">
        <v>0.34029999999999999</v>
      </c>
      <c r="BE44" s="43">
        <f>BD44*BC44*$F$59/100</f>
        <v>3.3444683999999995E-2</v>
      </c>
      <c r="BF44" s="43">
        <f t="shared" si="94"/>
        <v>0.94355387936772095</v>
      </c>
      <c r="BG44" s="13">
        <v>8.3000000000000007</v>
      </c>
      <c r="BH44" s="9">
        <v>0.35170000000000001</v>
      </c>
      <c r="BI44" s="43">
        <f>BH44*BG44*$F$59/100</f>
        <v>5.5171179000000008E-2</v>
      </c>
      <c r="BJ44" s="43">
        <f t="shared" si="95"/>
        <v>0.76562402293748089</v>
      </c>
      <c r="BK44" s="13">
        <v>7.1</v>
      </c>
      <c r="BL44" s="9">
        <v>0.38170000000000004</v>
      </c>
      <c r="BM44" s="43">
        <f>BL44*BK44*$F$59/100</f>
        <v>5.1220322999999998E-2</v>
      </c>
      <c r="BN44" s="43">
        <f>($D$60-BM44)/$D$62</f>
        <v>0.79797969010130798</v>
      </c>
      <c r="BO44" s="13">
        <v>11.2</v>
      </c>
      <c r="BP44" s="9">
        <v>0.3125</v>
      </c>
      <c r="BQ44" s="43">
        <f>BP44*BO44*$F$59/100</f>
        <v>6.6149999999999987E-2</v>
      </c>
      <c r="BR44" s="43">
        <f>($D$60-BQ44)/$D$62</f>
        <v>0.67571260168415404</v>
      </c>
      <c r="BS44" s="13">
        <v>9.3000000000000007</v>
      </c>
      <c r="BT44" s="9">
        <v>0.3246</v>
      </c>
      <c r="BU44" s="43">
        <f>BT44*BS44*$F$59/100</f>
        <v>5.7054941999999997E-2</v>
      </c>
      <c r="BV44" s="43">
        <f>($D$60-BU44)/$D$62</f>
        <v>0.75019688293452158</v>
      </c>
      <c r="BW44" s="13">
        <v>8.6</v>
      </c>
      <c r="BX44" s="9">
        <v>0.34279999999999999</v>
      </c>
      <c r="BY44" s="43">
        <f>BX44*BW44*$F$59/100</f>
        <v>5.5718711999999997E-2</v>
      </c>
      <c r="BZ44" s="43">
        <f>($D$60-BY44)/$D$62</f>
        <v>0.76113998314731601</v>
      </c>
      <c r="CA44" s="13">
        <v>7.2</v>
      </c>
      <c r="CB44" s="9">
        <v>0.30519999999999997</v>
      </c>
      <c r="CC44" s="43">
        <f>CB44*CA44*$F$59/100</f>
        <v>4.1531616E-2</v>
      </c>
      <c r="CD44" s="43">
        <f>($D$60-CC44)/$D$62</f>
        <v>0.87732567966403607</v>
      </c>
      <c r="CE44" s="13">
        <v>5.6</v>
      </c>
      <c r="CF44" s="9">
        <v>0.34450000000000003</v>
      </c>
      <c r="CG44" s="43">
        <f t="shared" si="85"/>
        <v>3.6461880000000002E-2</v>
      </c>
      <c r="CH44" s="43">
        <f>($D$60-CG44)/$D$62</f>
        <v>0.91884445195653963</v>
      </c>
      <c r="CI44" s="13">
        <v>11.4</v>
      </c>
      <c r="CJ44" s="9">
        <v>0.37719999999999998</v>
      </c>
      <c r="CK44" s="43">
        <f>CJ44*CI44*$F$59/100</f>
        <v>8.1271512000000004E-2</v>
      </c>
      <c r="CL44" s="43">
        <f>($D$60-CK44)/$D$62</f>
        <v>0.55187447412753921</v>
      </c>
    </row>
    <row r="45" spans="1:138" ht="18" customHeight="1">
      <c r="A45" s="77">
        <v>2009</v>
      </c>
      <c r="B45" s="13">
        <v>13.3</v>
      </c>
      <c r="C45" s="13">
        <v>0.30790000000000001</v>
      </c>
      <c r="D45" s="43">
        <f t="shared" si="66"/>
        <v>7.7396823000000003E-2</v>
      </c>
      <c r="E45" s="43">
        <f t="shared" si="90"/>
        <v>0.58360636910101882</v>
      </c>
      <c r="F45" s="13">
        <v>15.7</v>
      </c>
      <c r="G45" s="13">
        <v>0.29370000000000002</v>
      </c>
      <c r="H45" s="43">
        <f t="shared" si="4"/>
        <v>8.7149600999999993E-2</v>
      </c>
      <c r="I45" s="43">
        <f t="shared" ref="I45" si="98">($D$60-H45)/$D$62</f>
        <v>0.50373566794392921</v>
      </c>
      <c r="J45" s="13">
        <v>12</v>
      </c>
      <c r="K45" s="13">
        <v>0.2268</v>
      </c>
      <c r="L45" s="43">
        <f t="shared" si="8"/>
        <v>5.1438239999999996E-2</v>
      </c>
      <c r="M45" s="43">
        <f t="shared" si="91"/>
        <v>0.7961950515517533</v>
      </c>
      <c r="N45" s="13">
        <v>16.899999999999999</v>
      </c>
      <c r="O45" s="13">
        <v>0.28089999999999998</v>
      </c>
      <c r="P45" s="43">
        <f t="shared" si="12"/>
        <v>8.9722268999999966E-2</v>
      </c>
      <c r="Q45" s="43">
        <f t="shared" si="92"/>
        <v>0.48266671743522233</v>
      </c>
      <c r="R45" s="13">
        <v>14.6</v>
      </c>
      <c r="S45" s="13">
        <v>0.30269999999999997</v>
      </c>
      <c r="T45" s="43">
        <f t="shared" si="15"/>
        <v>8.3527037999999984E-2</v>
      </c>
      <c r="U45" s="43">
        <f t="shared" si="16"/>
        <v>0.53340276861983216</v>
      </c>
      <c r="V45" s="13">
        <v>13.7</v>
      </c>
      <c r="W45" s="13">
        <v>0.28179999999999999</v>
      </c>
      <c r="X45" s="43">
        <f t="shared" si="19"/>
        <v>7.296647399999999E-2</v>
      </c>
      <c r="Y45" s="43">
        <f t="shared" si="20"/>
        <v>0.61988886020259137</v>
      </c>
      <c r="Z45" s="13">
        <v>13.1</v>
      </c>
      <c r="AA45" s="13">
        <v>0.30159999999999998</v>
      </c>
      <c r="AB45" s="43">
        <f t="shared" si="23"/>
        <v>7.4673143999999997E-2</v>
      </c>
      <c r="AC45" s="43">
        <f t="shared" si="24"/>
        <v>0.60591202923773491</v>
      </c>
      <c r="AD45" s="13">
        <v>15.3</v>
      </c>
      <c r="AE45" s="13">
        <v>0.26140000000000002</v>
      </c>
      <c r="AF45" s="43">
        <f t="shared" si="27"/>
        <v>7.5589037999999997E-2</v>
      </c>
      <c r="AG45" s="43">
        <f t="shared" si="28"/>
        <v>0.59841128473544314</v>
      </c>
      <c r="AH45" s="13">
        <v>11.7</v>
      </c>
      <c r="AI45" s="13">
        <v>0.34029999999999999</v>
      </c>
      <c r="AJ45" s="43">
        <f t="shared" si="31"/>
        <v>7.5250538999999991E-2</v>
      </c>
      <c r="AK45" s="43">
        <f t="shared" si="32"/>
        <v>0.60118343360123039</v>
      </c>
      <c r="AL45" s="13">
        <v>9.1</v>
      </c>
      <c r="AM45" s="13">
        <v>0.37840000000000001</v>
      </c>
      <c r="AN45" s="43">
        <f t="shared" ref="AN45" si="99">AM45*AL45*$F$59/100</f>
        <v>6.5081015999999992E-2</v>
      </c>
      <c r="AO45" s="43">
        <f t="shared" si="36"/>
        <v>0.68446708185438965</v>
      </c>
      <c r="AP45" s="13">
        <v>15</v>
      </c>
      <c r="AQ45" s="13">
        <v>0.34860000000000002</v>
      </c>
      <c r="AR45" s="43">
        <f t="shared" si="39"/>
        <v>9.8828099999999988E-2</v>
      </c>
      <c r="AS45" s="43">
        <f t="shared" si="40"/>
        <v>0.4080942103415548</v>
      </c>
      <c r="AT45" s="86"/>
      <c r="AU45" s="13">
        <v>9.6</v>
      </c>
      <c r="AV45" s="9">
        <v>0.33640000000000003</v>
      </c>
      <c r="AW45" s="43">
        <f t="shared" si="67"/>
        <v>6.1036416000000003E-2</v>
      </c>
      <c r="AX45" s="43">
        <f t="shared" si="93"/>
        <v>0.71759046863710563</v>
      </c>
      <c r="AY45" s="13">
        <v>7</v>
      </c>
      <c r="AZ45" s="9">
        <v>0.2727</v>
      </c>
      <c r="BA45" s="43">
        <f>AZ45*AY45*$F$59/100</f>
        <v>3.6078209999999999E-2</v>
      </c>
      <c r="BB45" s="43">
        <f t="shared" si="97"/>
        <v>0.92198653023546084</v>
      </c>
      <c r="BC45" s="13">
        <v>4.8</v>
      </c>
      <c r="BD45" s="9">
        <v>0.29010000000000002</v>
      </c>
      <c r="BE45" s="43">
        <f>BD45*BC45*$F$59/100</f>
        <v>2.6317872000000003E-2</v>
      </c>
      <c r="BF45" s="43">
        <f t="shared" si="94"/>
        <v>1.0019191442650415</v>
      </c>
      <c r="BG45" s="13">
        <v>8</v>
      </c>
      <c r="BH45" s="9">
        <v>0.36700000000000005</v>
      </c>
      <c r="BI45" s="43">
        <f>BH45*BG45*$F$59/100</f>
        <v>5.5490400000000009E-2</v>
      </c>
      <c r="BJ45" s="43">
        <f t="shared" si="95"/>
        <v>0.76300975189654596</v>
      </c>
      <c r="BK45" s="13">
        <v>6.7</v>
      </c>
      <c r="BL45" s="9">
        <v>0.38250000000000001</v>
      </c>
      <c r="BM45" s="43">
        <f>BL45*BK45*$F$59/100</f>
        <v>4.8435975000000006E-2</v>
      </c>
      <c r="BN45" s="43">
        <f>($D$60-BM45)/$D$62</f>
        <v>0.82078220103976474</v>
      </c>
      <c r="BO45" s="13">
        <v>9.4</v>
      </c>
      <c r="BP45" s="9">
        <v>0.33030000000000004</v>
      </c>
      <c r="BQ45" s="43">
        <f>BP45*BO45*$F$59/100</f>
        <v>5.8681098000000008E-2</v>
      </c>
      <c r="BR45" s="43">
        <f>($D$60-BQ45)/$D$62</f>
        <v>0.73687942406169482</v>
      </c>
      <c r="BS45" s="13">
        <v>10.1</v>
      </c>
      <c r="BT45" s="9">
        <v>0.31140000000000001</v>
      </c>
      <c r="BU45" s="43">
        <f>BT45*BS45*$F$59/100</f>
        <v>5.9443145999999995E-2</v>
      </c>
      <c r="BV45" s="43">
        <f>($D$60-BU45)/$D$62</f>
        <v>0.73063860651459622</v>
      </c>
      <c r="BW45" s="13">
        <v>8.9</v>
      </c>
      <c r="BX45" s="9">
        <v>0.29809999999999998</v>
      </c>
      <c r="BY45" s="43">
        <f>BX45*BW45*$F$59/100</f>
        <v>5.014340099999999E-2</v>
      </c>
      <c r="BZ45" s="43">
        <f>($D$60-BY45)/$D$62</f>
        <v>0.80679917878765939</v>
      </c>
      <c r="CA45" s="13">
        <v>7</v>
      </c>
      <c r="CB45" s="9">
        <v>0.36799999999999999</v>
      </c>
      <c r="CC45" s="43">
        <f>CB45*CA45*$F$59/100</f>
        <v>4.8686399999999998E-2</v>
      </c>
      <c r="CD45" s="43">
        <f>($D$60-CC45)/$D$62</f>
        <v>0.81873133713849855</v>
      </c>
      <c r="CE45" s="13">
        <v>7.7</v>
      </c>
      <c r="CF45" s="9">
        <v>0.38979999999999998</v>
      </c>
      <c r="CG45" s="43">
        <f t="shared" si="85"/>
        <v>5.6727593999999992E-2</v>
      </c>
      <c r="CH45" s="43">
        <f>($D$60-CG45)/$D$62</f>
        <v>0.75287771031338446</v>
      </c>
      <c r="CI45" s="13">
        <v>12</v>
      </c>
      <c r="CJ45" s="9">
        <v>0.37819999999999998</v>
      </c>
      <c r="CK45" s="43">
        <f>CJ45*CI45*$F$59/100</f>
        <v>8.5775759999999993E-2</v>
      </c>
      <c r="CL45" s="43">
        <f>($D$60-CK45)/$D$62</f>
        <v>0.51498678469736681</v>
      </c>
    </row>
    <row r="46" spans="1:138" ht="18" customHeight="1">
      <c r="A46" s="77">
        <v>2010</v>
      </c>
      <c r="B46" s="247">
        <f>B45</f>
        <v>13.3</v>
      </c>
      <c r="C46" s="247">
        <f>C45</f>
        <v>0.30790000000000001</v>
      </c>
      <c r="D46" s="244">
        <f t="shared" ref="D46" si="100">C46*B46*$F$59/100</f>
        <v>7.7396823000000003E-2</v>
      </c>
      <c r="E46" s="244">
        <f t="shared" ref="E46" si="101">($D$60-D46)/$D$62</f>
        <v>0.58360636910101882</v>
      </c>
      <c r="F46" s="247">
        <f>F45</f>
        <v>15.7</v>
      </c>
      <c r="G46" s="247">
        <f>G45</f>
        <v>0.29370000000000002</v>
      </c>
      <c r="H46" s="244">
        <f t="shared" si="4"/>
        <v>8.7149600999999993E-2</v>
      </c>
      <c r="I46" s="244">
        <f t="shared" ref="I46" si="102">($D$60-H46)/$D$62</f>
        <v>0.50373566794392921</v>
      </c>
      <c r="J46" s="247">
        <f>J45</f>
        <v>12</v>
      </c>
      <c r="K46" s="247">
        <f>K45</f>
        <v>0.2268</v>
      </c>
      <c r="L46" s="244">
        <f t="shared" si="8"/>
        <v>5.1438239999999996E-2</v>
      </c>
      <c r="M46" s="244">
        <f t="shared" ref="M46" si="103">($D$60-L46)/$D$62</f>
        <v>0.7961950515517533</v>
      </c>
      <c r="N46" s="247">
        <f>N45</f>
        <v>16.899999999999999</v>
      </c>
      <c r="O46" s="247">
        <f>O45</f>
        <v>0.28089999999999998</v>
      </c>
      <c r="P46" s="244">
        <f t="shared" si="12"/>
        <v>8.9722268999999966E-2</v>
      </c>
      <c r="Q46" s="244">
        <f t="shared" ref="Q46" si="104">($D$60-P46)/$D$62</f>
        <v>0.48266671743522233</v>
      </c>
      <c r="R46" s="247">
        <f>R45</f>
        <v>14.6</v>
      </c>
      <c r="S46" s="247">
        <f>S45</f>
        <v>0.30269999999999997</v>
      </c>
      <c r="T46" s="244">
        <f t="shared" si="15"/>
        <v>8.3527037999999984E-2</v>
      </c>
      <c r="U46" s="244">
        <f t="shared" si="16"/>
        <v>0.53340276861983216</v>
      </c>
      <c r="V46" s="247">
        <f>V45</f>
        <v>13.7</v>
      </c>
      <c r="W46" s="247">
        <f>W45</f>
        <v>0.28179999999999999</v>
      </c>
      <c r="X46" s="244">
        <f t="shared" si="19"/>
        <v>7.296647399999999E-2</v>
      </c>
      <c r="Y46" s="244">
        <f t="shared" si="20"/>
        <v>0.61988886020259137</v>
      </c>
      <c r="Z46" s="247">
        <f>Z45</f>
        <v>13.1</v>
      </c>
      <c r="AA46" s="247">
        <f>AA45</f>
        <v>0.30159999999999998</v>
      </c>
      <c r="AB46" s="244">
        <f t="shared" si="23"/>
        <v>7.4673143999999997E-2</v>
      </c>
      <c r="AC46" s="244">
        <f t="shared" si="24"/>
        <v>0.60591202923773491</v>
      </c>
      <c r="AD46" s="247">
        <f>AD45</f>
        <v>15.3</v>
      </c>
      <c r="AE46" s="247">
        <f>AE45</f>
        <v>0.26140000000000002</v>
      </c>
      <c r="AF46" s="244">
        <f t="shared" si="27"/>
        <v>7.5589037999999997E-2</v>
      </c>
      <c r="AG46" s="244">
        <f t="shared" si="28"/>
        <v>0.59841128473544314</v>
      </c>
      <c r="AH46" s="247">
        <f>AH45</f>
        <v>11.7</v>
      </c>
      <c r="AI46" s="247">
        <f>AI45</f>
        <v>0.34029999999999999</v>
      </c>
      <c r="AJ46" s="244">
        <f t="shared" si="31"/>
        <v>7.5250538999999991E-2</v>
      </c>
      <c r="AK46" s="244">
        <f t="shared" si="32"/>
        <v>0.60118343360123039</v>
      </c>
      <c r="AL46" s="247">
        <f>AL45</f>
        <v>9.1</v>
      </c>
      <c r="AM46" s="247">
        <f>AM45</f>
        <v>0.37840000000000001</v>
      </c>
      <c r="AN46" s="244">
        <f t="shared" ref="AN46" si="105">AM46*AL46*$F$59/100</f>
        <v>6.5081015999999992E-2</v>
      </c>
      <c r="AO46" s="244">
        <f t="shared" si="36"/>
        <v>0.68446708185438965</v>
      </c>
      <c r="AP46" s="247">
        <f>AP45</f>
        <v>15</v>
      </c>
      <c r="AQ46" s="247">
        <f>AQ45</f>
        <v>0.34860000000000002</v>
      </c>
      <c r="AR46" s="244">
        <f t="shared" si="39"/>
        <v>9.8828099999999988E-2</v>
      </c>
      <c r="AS46" s="244">
        <f t="shared" si="40"/>
        <v>0.4080942103415548</v>
      </c>
      <c r="AT46" s="86"/>
      <c r="AU46" s="247">
        <f t="shared" ref="AU46:AV46" si="106">AU45</f>
        <v>9.6</v>
      </c>
      <c r="AV46" s="244">
        <f t="shared" si="106"/>
        <v>0.33640000000000003</v>
      </c>
      <c r="AW46" s="244">
        <f t="shared" si="67"/>
        <v>6.1036416000000003E-2</v>
      </c>
      <c r="AX46" s="244">
        <f t="shared" si="93"/>
        <v>0.71759046863710563</v>
      </c>
      <c r="AY46" s="247">
        <f t="shared" ref="AY46:AZ46" si="107">AY45</f>
        <v>7</v>
      </c>
      <c r="AZ46" s="244">
        <f t="shared" si="107"/>
        <v>0.2727</v>
      </c>
      <c r="BA46" s="244">
        <f>AZ46*AY46*$F$59/100</f>
        <v>3.6078209999999999E-2</v>
      </c>
      <c r="BB46" s="244">
        <f t="shared" si="97"/>
        <v>0.92198653023546084</v>
      </c>
      <c r="BC46" s="247">
        <f t="shared" ref="BC46:BD46" si="108">BC45</f>
        <v>4.8</v>
      </c>
      <c r="BD46" s="244">
        <f t="shared" si="108"/>
        <v>0.29010000000000002</v>
      </c>
      <c r="BE46" s="244">
        <f>BD46*BC46*$F$59/100</f>
        <v>2.6317872000000003E-2</v>
      </c>
      <c r="BF46" s="244">
        <f t="shared" si="94"/>
        <v>1.0019191442650415</v>
      </c>
      <c r="BG46" s="247">
        <f t="shared" ref="BG46:BH46" si="109">BG45</f>
        <v>8</v>
      </c>
      <c r="BH46" s="244">
        <f t="shared" si="109"/>
        <v>0.36700000000000005</v>
      </c>
      <c r="BI46" s="244">
        <f>BH46*BG46*$F$59/100</f>
        <v>5.5490400000000009E-2</v>
      </c>
      <c r="BJ46" s="244">
        <f t="shared" si="95"/>
        <v>0.76300975189654596</v>
      </c>
      <c r="BK46" s="247">
        <f t="shared" ref="BK46:BL46" si="110">BK45</f>
        <v>6.7</v>
      </c>
      <c r="BL46" s="244">
        <f t="shared" si="110"/>
        <v>0.38250000000000001</v>
      </c>
      <c r="BM46" s="244">
        <f>BL46*BK46*$F$59/100</f>
        <v>4.8435975000000006E-2</v>
      </c>
      <c r="BN46" s="244">
        <f>($D$60-BM46)/$D$62</f>
        <v>0.82078220103976474</v>
      </c>
      <c r="BO46" s="247">
        <f t="shared" ref="BO46:BP46" si="111">BO45</f>
        <v>9.4</v>
      </c>
      <c r="BP46" s="244">
        <f t="shared" si="111"/>
        <v>0.33030000000000004</v>
      </c>
      <c r="BQ46" s="244">
        <f>BP46*BO46*$F$59/100</f>
        <v>5.8681098000000008E-2</v>
      </c>
      <c r="BR46" s="244">
        <f>($D$60-BQ46)/$D$62</f>
        <v>0.73687942406169482</v>
      </c>
      <c r="BS46" s="247">
        <f t="shared" ref="BS46:BT46" si="112">BS45</f>
        <v>10.1</v>
      </c>
      <c r="BT46" s="244">
        <f t="shared" si="112"/>
        <v>0.31140000000000001</v>
      </c>
      <c r="BU46" s="244">
        <f>BT46*BS46*$F$59/100</f>
        <v>5.9443145999999995E-2</v>
      </c>
      <c r="BV46" s="244">
        <f>($D$60-BU46)/$D$62</f>
        <v>0.73063860651459622</v>
      </c>
      <c r="BW46" s="247">
        <f t="shared" ref="BW46:BX46" si="113">BW45</f>
        <v>8.9</v>
      </c>
      <c r="BX46" s="244">
        <f t="shared" si="113"/>
        <v>0.29809999999999998</v>
      </c>
      <c r="BY46" s="244">
        <f>BX46*BW46*$F$59/100</f>
        <v>5.014340099999999E-2</v>
      </c>
      <c r="BZ46" s="244">
        <f>($D$60-BY46)/$D$62</f>
        <v>0.80679917878765939</v>
      </c>
      <c r="CA46" s="247">
        <f t="shared" ref="CA46:CB46" si="114">CA45</f>
        <v>7</v>
      </c>
      <c r="CB46" s="244">
        <f t="shared" si="114"/>
        <v>0.36799999999999999</v>
      </c>
      <c r="CC46" s="244">
        <f>CB46*CA46*$F$59/100</f>
        <v>4.8686399999999998E-2</v>
      </c>
      <c r="CD46" s="244">
        <f>($D$60-CC46)/$D$62</f>
        <v>0.81873133713849855</v>
      </c>
      <c r="CE46" s="247">
        <f t="shared" ref="CE46:CF46" si="115">CE45</f>
        <v>7.7</v>
      </c>
      <c r="CF46" s="244">
        <f t="shared" si="115"/>
        <v>0.38979999999999998</v>
      </c>
      <c r="CG46" s="244">
        <f t="shared" si="85"/>
        <v>5.6727593999999992E-2</v>
      </c>
      <c r="CH46" s="244">
        <f>($D$60-CG46)/$D$62</f>
        <v>0.75287771031338446</v>
      </c>
      <c r="CI46" s="247">
        <f t="shared" ref="CI46:CJ46" si="116">CI45</f>
        <v>12</v>
      </c>
      <c r="CJ46" s="244">
        <f t="shared" si="116"/>
        <v>0.37819999999999998</v>
      </c>
      <c r="CK46" s="244">
        <f>CJ46*CI46*$F$59/100</f>
        <v>8.5775759999999993E-2</v>
      </c>
      <c r="CL46" s="244">
        <f>($D$60-CK46)/$D$62</f>
        <v>0.51498678469736681</v>
      </c>
    </row>
    <row r="47" spans="1:138" ht="18" customHeight="1">
      <c r="A47" s="77"/>
      <c r="B47" s="172" t="s">
        <v>435</v>
      </c>
      <c r="C47" s="247"/>
      <c r="D47" s="244"/>
      <c r="E47" s="244"/>
      <c r="F47" s="247"/>
      <c r="G47" s="247"/>
      <c r="H47" s="244"/>
      <c r="I47" s="244"/>
      <c r="J47" s="247"/>
      <c r="K47" s="247"/>
      <c r="L47" s="244"/>
      <c r="M47" s="244"/>
      <c r="N47" s="247"/>
      <c r="O47" s="247"/>
      <c r="P47" s="244"/>
      <c r="Q47" s="244"/>
      <c r="R47" s="172" t="s">
        <v>435</v>
      </c>
      <c r="S47" s="247"/>
      <c r="T47" s="244"/>
      <c r="U47" s="244"/>
      <c r="V47" s="247"/>
      <c r="W47" s="247"/>
      <c r="X47" s="244"/>
      <c r="Y47" s="244"/>
      <c r="Z47" s="247"/>
      <c r="AA47" s="247"/>
      <c r="AB47" s="244"/>
      <c r="AC47" s="244"/>
      <c r="AD47" s="247"/>
      <c r="AE47" s="247"/>
      <c r="AF47" s="244"/>
      <c r="AG47" s="244"/>
      <c r="AH47" s="172" t="s">
        <v>435</v>
      </c>
      <c r="AI47" s="247"/>
      <c r="AJ47" s="244"/>
      <c r="AK47" s="244"/>
      <c r="AL47" s="247"/>
      <c r="AM47" s="247"/>
      <c r="AN47" s="244"/>
      <c r="AO47" s="244"/>
      <c r="AP47" s="247"/>
      <c r="AQ47" s="247"/>
      <c r="AR47" s="244"/>
      <c r="AS47" s="244"/>
      <c r="AT47" s="247"/>
      <c r="AU47" s="172" t="s">
        <v>435</v>
      </c>
      <c r="AV47" s="247"/>
      <c r="AW47" s="244"/>
      <c r="AX47" s="244"/>
      <c r="AY47" s="247"/>
      <c r="AZ47" s="247"/>
      <c r="BA47" s="244"/>
      <c r="BB47" s="244"/>
      <c r="BC47" s="247"/>
      <c r="BD47" s="247"/>
      <c r="BE47" s="244"/>
      <c r="BF47" s="244"/>
      <c r="BG47" s="247"/>
      <c r="BH47" s="247"/>
      <c r="BI47" s="244"/>
      <c r="BJ47" s="244"/>
      <c r="BK47" s="172" t="s">
        <v>435</v>
      </c>
      <c r="BL47" s="247"/>
      <c r="BM47" s="244"/>
      <c r="BN47" s="244"/>
      <c r="BO47" s="247"/>
      <c r="BP47" s="247"/>
      <c r="BQ47" s="244"/>
      <c r="BR47" s="244"/>
      <c r="BS47" s="247"/>
      <c r="BT47" s="247"/>
      <c r="BU47" s="244"/>
      <c r="BV47" s="244"/>
      <c r="BW47" s="247"/>
      <c r="BX47" s="247"/>
      <c r="BY47" s="244"/>
      <c r="BZ47" s="244"/>
      <c r="CA47" s="172" t="s">
        <v>435</v>
      </c>
      <c r="CB47" s="247"/>
      <c r="CC47" s="244"/>
      <c r="CD47" s="244"/>
      <c r="CE47" s="247"/>
      <c r="CF47" s="247"/>
      <c r="CG47" s="244"/>
      <c r="CH47" s="244"/>
      <c r="CI47" s="247"/>
      <c r="CJ47" s="247"/>
      <c r="CK47" s="244"/>
      <c r="CL47" s="244"/>
    </row>
    <row r="48" spans="1:138" s="1" customFormat="1" ht="18" customHeight="1">
      <c r="A48" s="1" t="s">
        <v>988</v>
      </c>
      <c r="B48" s="13">
        <f>(POWER(B46/B17, 1/29)-1)*100</f>
        <v>0.35531037552447575</v>
      </c>
      <c r="C48" s="13">
        <f>(POWER(C46/C17, 1/29)-1)*100</f>
        <v>1.6841476858941995E-2</v>
      </c>
      <c r="D48" s="13">
        <f>(POWER(D46/D17, 1/29)-1)*100</f>
        <v>0.37221169189809444</v>
      </c>
      <c r="F48" s="13">
        <f>(POWER(F46/F17, 1/29)-1)*100</f>
        <v>-0.8141128988808144</v>
      </c>
      <c r="G48" s="13">
        <f>(POWER(G46/G17, 1/29)-1)*100</f>
        <v>3.303743099691836E-2</v>
      </c>
      <c r="H48" s="13">
        <f>(POWER(H46/H17, 1/29)-1)*100</f>
        <v>-0.78134442987108921</v>
      </c>
      <c r="J48" s="13">
        <f>(POWER(J46/J17, 1/29)-1)*100</f>
        <v>-1.9112099055992426</v>
      </c>
      <c r="K48" s="13">
        <f>(POWER(K46/K17, 1/29)-1)*100</f>
        <v>-0.53791247770990092</v>
      </c>
      <c r="L48" s="13">
        <f>(POWER(L46/L17, 1/29)-1)*100</f>
        <v>-2.4388417467516965</v>
      </c>
      <c r="N48" s="13">
        <f>(POWER(N46/N17, 1/29)-1)*100</f>
        <v>0.14597671723048933</v>
      </c>
      <c r="O48" s="13">
        <f>(POWER(O46/O17, 1/29)-1)*100</f>
        <v>-0.18387804875535929</v>
      </c>
      <c r="P48" s="13">
        <f>(POWER(P46/P17, 1/29)-1)*100</f>
        <v>-3.8169750664152069E-2</v>
      </c>
      <c r="R48" s="13">
        <f>(POWER(R46/R17, 1/29)-1)*100</f>
        <v>-1.163534374318842</v>
      </c>
      <c r="S48" s="13">
        <f>(POWER(S46/S17, 1/29)-1)*100</f>
        <v>5.5133663049033999E-2</v>
      </c>
      <c r="T48" s="13">
        <f>(POWER(T46/T17, 1/29)-1)*100</f>
        <v>-1.1090422103911979</v>
      </c>
      <c r="V48" s="13">
        <f>(POWER(V46/V17, 1/29)-1)*100</f>
        <v>-0.12353098852224687</v>
      </c>
      <c r="W48" s="13">
        <f>(POWER(W46/W17, 1/29)-1)*100</f>
        <v>-9.5293550660546789E-2</v>
      </c>
      <c r="X48" s="13">
        <f>(POWER(X46/X17, 1/29)-1)*100</f>
        <v>-0.21870682211766468</v>
      </c>
      <c r="Z48" s="13">
        <f>(POWER(Z46/Z17, 1/29)-1)*100</f>
        <v>1.1510658817175168</v>
      </c>
      <c r="AA48" s="13">
        <f>(POWER(AA46/AA17, 1/29)-1)*100</f>
        <v>1.1452927573296634E-2</v>
      </c>
      <c r="AB48" s="13">
        <f>(POWER(AB46/AB17, 1/29)-1)*100</f>
        <v>1.1626506400325587</v>
      </c>
      <c r="AD48" s="13">
        <f>(POWER(AD46/AD17, 1/29)-1)*100</f>
        <v>0.18535840073601317</v>
      </c>
      <c r="AE48" s="13">
        <f>(POWER(AE46/AE17, 1/29)-1)*100</f>
        <v>-0.84259748734725193</v>
      </c>
      <c r="AF48" s="13">
        <f>(POWER(AF46/AF17, 1/29)-1)*100</f>
        <v>-0.65880091183841971</v>
      </c>
      <c r="AH48" s="13">
        <f>(POWER(AH46/AH17, 1/29)-1)*100</f>
        <v>-1.1368548412477142</v>
      </c>
      <c r="AI48" s="13">
        <f>(POWER(AI46/AI17, 1/29)-1)*100</f>
        <v>7.7914470264195401E-2</v>
      </c>
      <c r="AJ48" s="13">
        <f>(POWER(AJ46/AJ17, 1/29)-1)*100</f>
        <v>-1.0598261454107472</v>
      </c>
      <c r="AL48" s="13">
        <f>(POWER(AL46/AL17, 1/29)-1)*100</f>
        <v>0.15512498024434773</v>
      </c>
      <c r="AM48" s="13">
        <f>(POWER(AM46/AM17, 1/29)-1)*100</f>
        <v>0.21938649812394129</v>
      </c>
      <c r="AN48" s="13">
        <f>(POWER(AN46/AN17, 1/29)-1)*100</f>
        <v>0.37485180163014942</v>
      </c>
      <c r="AP48" s="13">
        <f>(POWER(AP46/AP17, 1/29)-1)*100</f>
        <v>1.3387527327127557</v>
      </c>
      <c r="AQ48" s="13">
        <f>(POWER(AQ46/AQ17, 1/29)-1)*100</f>
        <v>0.15695887199147496</v>
      </c>
      <c r="AR48" s="13">
        <f>(POWER(AR46/AR17, 1/29)-1)*100</f>
        <v>1.4978128958922587</v>
      </c>
      <c r="AT48" s="13"/>
      <c r="AU48" s="13">
        <f>(POWER(AU46/AU17, 1/29)-1)*100</f>
        <v>-0.65043407948565113</v>
      </c>
      <c r="AV48" s="13">
        <f>(POWER(AV46/AV17, 1/29)-1)*100</f>
        <v>8.8288069088560128E-2</v>
      </c>
      <c r="AW48" s="13">
        <f>(POWER(AW46/AW17, 1/29)-1)*100</f>
        <v>-0.56272026608655823</v>
      </c>
      <c r="AY48" s="13">
        <f>(POWER(AY46/AY17, 1/29)-1)*100</f>
        <v>-2.1889757225406425</v>
      </c>
      <c r="AZ48" s="13">
        <f>(POWER(AZ46/AZ17, 1/29)-1)*100</f>
        <v>-0.18566709604459497</v>
      </c>
      <c r="BA48" s="13">
        <f>(POWER(BA46/BA17, 1/29)-1)*100</f>
        <v>-2.3705786109280647</v>
      </c>
      <c r="BC48" s="13">
        <f>(POWER(BC46/BC17, 1/29)-1)*100</f>
        <v>-3.1102287126844486</v>
      </c>
      <c r="BD48" s="13">
        <f>(POWER(BD46/BD17, 1/29)-1)*100</f>
        <v>0.20845027561704477</v>
      </c>
      <c r="BE48" s="13">
        <f>(POWER(BE46/BE17, 1/29)-1)*100</f>
        <v>-2.9082617173913139</v>
      </c>
      <c r="BG48" s="13">
        <f>(POWER(BG46/BG17, 1/29)-1)*100</f>
        <v>-1.4166419487264381</v>
      </c>
      <c r="BH48" s="13">
        <f>(POWER(BH46/BH17, 1/29)-1)*100</f>
        <v>0.88189562292877444</v>
      </c>
      <c r="BI48" s="13">
        <f>(POWER(BI46/BI17, 1/29)-1)*100</f>
        <v>-0.54723962913605373</v>
      </c>
      <c r="BK48" s="13">
        <f>(POWER(BK46/BK17, 1/29)-1)*100</f>
        <v>-2.7408506032106428</v>
      </c>
      <c r="BL48" s="13">
        <f>(POWER(BL46/BL17, 1/29)-1)*100</f>
        <v>0.9881538568476067</v>
      </c>
      <c r="BM48" s="13">
        <f>(POWER(BM46/BM17, 1/29)-1)*100</f>
        <v>-1.7797805673090861</v>
      </c>
      <c r="BO48" s="13">
        <f>(POWER(BO46/BO17, 1/29)-1)*100</f>
        <v>-1.4363088524477208</v>
      </c>
      <c r="BP48" s="13">
        <f>(POWER(BP46/BP17, 1/29)-1)*100</f>
        <v>0.22677278522025279</v>
      </c>
      <c r="BQ48" s="13">
        <f>(POWER(BQ46/BQ17, 1/29)-1)*100</f>
        <v>-1.212793224816533</v>
      </c>
      <c r="BS48" s="13">
        <f>(POWER(BS46/BS17, 1/29)-1)*100</f>
        <v>3.43173727641366E-2</v>
      </c>
      <c r="BT48" s="13">
        <f>(POWER(BT46/BT17, 1/29)-1)*100</f>
        <v>-0.13349323747819941</v>
      </c>
      <c r="BU48" s="13">
        <f>(POWER(BU46/BU17, 1/29)-1)*100</f>
        <v>-9.9221676085992083E-2</v>
      </c>
      <c r="BW48" s="13">
        <f>(POWER(BW46/BW17, 1/29)-1)*100</f>
        <v>-1.5980951336731941</v>
      </c>
      <c r="BX48" s="13">
        <f>(POWER(BX46/BX17, 1/29)-1)*100</f>
        <v>-0.69479691892927464</v>
      </c>
      <c r="BY48" s="13">
        <f>(POWER(BY46/BY17, 1/29)-1)*100</f>
        <v>-2.2817885368521473</v>
      </c>
      <c r="CA48" s="13">
        <f>(POWER(CA46/CA17, 1/29)-1)*100</f>
        <v>-1.8973750781412724</v>
      </c>
      <c r="CB48" s="13">
        <f>(POWER(CB46/CB17, 1/29)-1)*100</f>
        <v>0.16027443653079398</v>
      </c>
      <c r="CC48" s="13">
        <f>(POWER(CC46/CC17, 1/29)-1)*100</f>
        <v>-1.7401416488258548</v>
      </c>
      <c r="CE48" s="13">
        <f>(POWER(CE46/CE17, 1/29)-1)*100</f>
        <v>-0.13171047110834833</v>
      </c>
      <c r="CF48" s="13">
        <f>(POWER(CF46/CF17, 1/29)-1)*100</f>
        <v>-0.17993872233101893</v>
      </c>
      <c r="CG48" s="13">
        <f>(POWER(CG46/CG17, 1/29)-1)*100</f>
        <v>-0.31141219530047559</v>
      </c>
      <c r="CI48" s="13">
        <f>(POWER(CI46/CI17, 1/29)-1)*100</f>
        <v>0.33208072399693034</v>
      </c>
      <c r="CJ48" s="13">
        <f>(POWER(CJ46/CJ17, 1/29)-1)*100</f>
        <v>0.15680480369919536</v>
      </c>
      <c r="CK48" s="13">
        <f>(POWER(CK46/CK17, 1/29)-1)*100</f>
        <v>0.48940624622351159</v>
      </c>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row>
    <row r="49" spans="1:138" s="1" customFormat="1" ht="18" customHeight="1">
      <c r="B49" s="267" t="s">
        <v>966</v>
      </c>
      <c r="C49" s="13"/>
      <c r="D49" s="13"/>
      <c r="E49" s="248"/>
      <c r="F49" s="13"/>
      <c r="G49" s="13"/>
      <c r="H49" s="13"/>
      <c r="I49" s="248"/>
      <c r="J49" s="13"/>
      <c r="K49" s="13"/>
      <c r="L49" s="13"/>
      <c r="M49" s="248"/>
      <c r="N49" s="13"/>
      <c r="O49" s="13"/>
      <c r="P49" s="13"/>
      <c r="Q49" s="248"/>
      <c r="R49" s="267" t="s">
        <v>966</v>
      </c>
      <c r="S49" s="13"/>
      <c r="T49" s="13"/>
      <c r="U49" s="248"/>
      <c r="V49" s="13"/>
      <c r="W49" s="13"/>
      <c r="X49" s="13"/>
      <c r="Y49" s="248"/>
      <c r="Z49" s="13"/>
      <c r="AA49" s="13"/>
      <c r="AB49" s="13"/>
      <c r="AC49" s="248"/>
      <c r="AD49" s="13"/>
      <c r="AE49" s="13"/>
      <c r="AF49" s="13"/>
      <c r="AG49" s="248"/>
      <c r="AH49" s="267" t="s">
        <v>966</v>
      </c>
      <c r="AI49" s="13"/>
      <c r="AJ49" s="13"/>
      <c r="AK49" s="248"/>
      <c r="AL49" s="13"/>
      <c r="AM49" s="13"/>
      <c r="AN49" s="13"/>
      <c r="AO49" s="248"/>
      <c r="AP49" s="13"/>
      <c r="AQ49" s="13"/>
      <c r="AR49" s="13"/>
      <c r="AS49" s="248"/>
      <c r="AT49" s="13"/>
      <c r="AU49" s="267" t="s">
        <v>966</v>
      </c>
      <c r="AV49" s="13"/>
      <c r="AW49" s="13"/>
      <c r="AX49" s="248"/>
      <c r="AY49" s="13"/>
      <c r="AZ49" s="13"/>
      <c r="BA49" s="13"/>
      <c r="BB49" s="248"/>
      <c r="BC49" s="13"/>
      <c r="BD49" s="13"/>
      <c r="BE49" s="13"/>
      <c r="BF49" s="248"/>
      <c r="BG49" s="13"/>
      <c r="BH49" s="13"/>
      <c r="BI49" s="13"/>
      <c r="BJ49" s="248"/>
      <c r="BK49" s="267" t="s">
        <v>966</v>
      </c>
      <c r="BL49" s="13"/>
      <c r="BM49" s="13"/>
      <c r="BN49" s="248"/>
      <c r="BO49" s="13"/>
      <c r="BP49" s="13"/>
      <c r="BQ49" s="13"/>
      <c r="BR49" s="248"/>
      <c r="BS49" s="13"/>
      <c r="BT49" s="13"/>
      <c r="BU49" s="13"/>
      <c r="BV49" s="248"/>
      <c r="BW49" s="13"/>
      <c r="BX49" s="13"/>
      <c r="BY49" s="13"/>
      <c r="BZ49" s="248"/>
      <c r="CA49" s="267" t="s">
        <v>966</v>
      </c>
      <c r="CB49" s="13"/>
      <c r="CC49" s="13"/>
      <c r="CD49" s="248"/>
      <c r="CE49" s="13"/>
      <c r="CF49" s="13"/>
      <c r="CG49" s="13"/>
      <c r="CH49" s="248"/>
      <c r="CI49" s="13"/>
      <c r="CJ49" s="13"/>
      <c r="CK49" s="13"/>
      <c r="CL49" s="248"/>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row>
    <row r="50" spans="1:138" s="252" customFormat="1" ht="18" customHeight="1">
      <c r="A50" s="252" t="s">
        <v>988</v>
      </c>
      <c r="B50" s="271"/>
      <c r="C50" s="271"/>
      <c r="D50" s="271"/>
      <c r="E50" s="283">
        <f>E46-E17</f>
        <v>-6.4740742942087315E-2</v>
      </c>
      <c r="F50" s="271"/>
      <c r="G50" s="271"/>
      <c r="H50" s="271"/>
      <c r="I50" s="283">
        <f>I46-I17</f>
        <v>0.18230554869354537</v>
      </c>
      <c r="J50" s="271"/>
      <c r="K50" s="271"/>
      <c r="L50" s="271"/>
      <c r="M50" s="283">
        <f>M46-M17</f>
        <v>0.44075773926384348</v>
      </c>
      <c r="N50" s="271"/>
      <c r="O50" s="271"/>
      <c r="P50" s="271"/>
      <c r="Q50" s="283">
        <f>Q46-Q17</f>
        <v>8.1802382778812799E-3</v>
      </c>
      <c r="R50" s="271"/>
      <c r="S50" s="271"/>
      <c r="T50" s="271"/>
      <c r="U50" s="283">
        <f>U46-U17</f>
        <v>0.26119957428708895</v>
      </c>
      <c r="V50" s="271"/>
      <c r="W50" s="271"/>
      <c r="X50" s="271"/>
      <c r="Y50" s="283">
        <f>Y46-Y17</f>
        <v>3.9172274425092635E-2</v>
      </c>
      <c r="Z50" s="271"/>
      <c r="AA50" s="271"/>
      <c r="AB50" s="271"/>
      <c r="AC50" s="283">
        <f>AC46-AC17</f>
        <v>-0.17417948417909412</v>
      </c>
      <c r="AD50" s="271"/>
      <c r="AE50" s="271"/>
      <c r="AF50" s="271"/>
      <c r="AG50" s="283">
        <f>AG46-AG17</f>
        <v>0.13079558660279722</v>
      </c>
      <c r="AH50" s="271"/>
      <c r="AI50" s="271"/>
      <c r="AJ50" s="271"/>
      <c r="AK50" s="283">
        <f>AK46-AK17</f>
        <v>0.22311851423965151</v>
      </c>
      <c r="AL50" s="271"/>
      <c r="AM50" s="271"/>
      <c r="AN50" s="271"/>
      <c r="AO50" s="283">
        <f>AO46-AO17</f>
        <v>-5.4803726907272643E-2</v>
      </c>
      <c r="AP50" s="271"/>
      <c r="AQ50" s="271"/>
      <c r="AR50" s="271"/>
      <c r="AS50" s="283">
        <f>AS46-AS17</f>
        <v>-0.28346499105668554</v>
      </c>
      <c r="AT50" s="271"/>
      <c r="AU50" s="271"/>
      <c r="AV50" s="271"/>
      <c r="AW50" s="271"/>
      <c r="AX50" s="283">
        <f>AX46-AX17</f>
        <v>0.26457726735321019</v>
      </c>
      <c r="AY50" s="271"/>
      <c r="AZ50" s="271"/>
      <c r="BA50" s="271"/>
      <c r="BB50" s="283">
        <f>BB46-BB17</f>
        <v>0.47338351666818629</v>
      </c>
      <c r="BC50" s="271"/>
      <c r="BD50" s="271"/>
      <c r="BE50" s="271"/>
      <c r="BF50" s="283">
        <f>BF46-BF17</f>
        <v>0.45256987569741913</v>
      </c>
      <c r="BG50" s="271"/>
      <c r="BH50" s="271"/>
      <c r="BI50" s="271"/>
      <c r="BJ50" s="283">
        <f>BJ46-BJ17</f>
        <v>0.24390046341903049</v>
      </c>
      <c r="BK50" s="271"/>
      <c r="BL50" s="271"/>
      <c r="BM50" s="271"/>
      <c r="BN50" s="283">
        <f>BN46-BN17</f>
        <v>0.27106229487491418</v>
      </c>
      <c r="BO50" s="271"/>
      <c r="BP50" s="271"/>
      <c r="BQ50" s="271"/>
      <c r="BR50" s="283">
        <f>BR46-BR17</f>
        <v>0.20402922782884558</v>
      </c>
      <c r="BS50" s="271"/>
      <c r="BT50" s="271"/>
      <c r="BU50" s="271"/>
      <c r="BV50" s="283">
        <f>BV46-BV17</f>
        <v>1.4218291167571562E-2</v>
      </c>
      <c r="BW50" s="271"/>
      <c r="BX50" s="271"/>
      <c r="BY50" s="271"/>
      <c r="BZ50" s="283">
        <f>BZ46-BZ17</f>
        <v>0.3913651974122897</v>
      </c>
      <c r="CA50" s="271"/>
      <c r="CB50" s="271"/>
      <c r="CC50" s="271"/>
      <c r="CD50" s="283">
        <f>CD46-CD17</f>
        <v>0.26465586039390221</v>
      </c>
      <c r="CE50" s="271"/>
      <c r="CF50" s="271"/>
      <c r="CG50" s="271"/>
      <c r="CH50" s="283">
        <f>CH46-CH17</f>
        <v>4.3979808974023316E-2</v>
      </c>
      <c r="CI50" s="271"/>
      <c r="CJ50" s="271"/>
      <c r="CK50" s="271"/>
      <c r="CL50" s="283">
        <f>CL46-CL17</f>
        <v>-9.2736196060731579E-2</v>
      </c>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c r="A51" s="77"/>
      <c r="B51" s="78" t="s">
        <v>1149</v>
      </c>
      <c r="C51" s="86"/>
      <c r="D51" s="86"/>
      <c r="E51" s="86"/>
      <c r="F51" s="86"/>
      <c r="G51" s="86"/>
      <c r="H51" s="86"/>
      <c r="I51" s="86"/>
      <c r="J51" s="86"/>
      <c r="K51" s="86"/>
      <c r="L51" s="86"/>
      <c r="M51" s="86"/>
      <c r="N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78" t="s">
        <v>1111</v>
      </c>
      <c r="AV51" s="86"/>
      <c r="AW51" s="86"/>
      <c r="AX51" s="86"/>
      <c r="AY51" s="86"/>
      <c r="AZ51" s="86"/>
      <c r="BA51" s="86"/>
      <c r="BB51" s="86"/>
      <c r="BC51" s="86"/>
      <c r="BD51" s="86"/>
      <c r="BE51" s="86"/>
      <c r="BF51" s="86"/>
      <c r="BG51" s="86"/>
      <c r="BJ51" s="86"/>
      <c r="BK51" s="86"/>
      <c r="BL51" s="86"/>
      <c r="BM51" s="86"/>
      <c r="BN51" s="86"/>
      <c r="BO51" s="86"/>
      <c r="BP51" s="86"/>
      <c r="BQ51" s="86"/>
      <c r="BR51" s="86"/>
      <c r="BS51" s="86"/>
      <c r="BT51" s="86"/>
      <c r="BU51" s="86"/>
      <c r="BV51" s="86"/>
      <c r="BW51" s="86"/>
      <c r="BX51" s="86"/>
      <c r="BY51" s="86"/>
      <c r="BZ51" s="86"/>
      <c r="CA51" s="86"/>
      <c r="CB51" s="86"/>
      <c r="CC51" s="86"/>
      <c r="CD51" s="86"/>
      <c r="CE51" s="86"/>
      <c r="CF51" s="86"/>
      <c r="CG51" s="86"/>
      <c r="CH51" s="86"/>
      <c r="CI51" s="86"/>
      <c r="CJ51" s="86"/>
      <c r="CK51" s="86"/>
      <c r="CL51" s="86"/>
    </row>
    <row r="52" spans="1:138">
      <c r="A52" s="77"/>
      <c r="B52" s="78" t="s">
        <v>1132</v>
      </c>
      <c r="C52" s="86"/>
      <c r="D52" s="86"/>
      <c r="E52" s="86"/>
      <c r="F52" s="86"/>
      <c r="G52" s="86"/>
      <c r="I52" s="86"/>
      <c r="J52" s="86"/>
      <c r="K52" s="86"/>
      <c r="M52" s="86"/>
      <c r="N52" s="86"/>
      <c r="Q52" s="86"/>
      <c r="R52" s="78" t="s">
        <v>380</v>
      </c>
      <c r="S52" s="86"/>
      <c r="T52" s="86"/>
      <c r="U52" s="86"/>
      <c r="V52" s="86"/>
      <c r="W52" s="86"/>
      <c r="X52" s="86"/>
      <c r="Y52" s="86"/>
      <c r="Z52" s="86"/>
      <c r="AA52" s="86"/>
      <c r="AB52" s="86"/>
      <c r="AC52" s="86"/>
      <c r="AD52" s="86"/>
      <c r="AE52" s="86"/>
      <c r="AF52" s="86"/>
      <c r="AG52" s="86"/>
      <c r="AI52" s="86" t="s">
        <v>380</v>
      </c>
      <c r="AJ52" s="86"/>
      <c r="AK52" s="86"/>
      <c r="AL52" s="86"/>
      <c r="AM52" s="86"/>
      <c r="AN52" s="86"/>
      <c r="AO52" s="86"/>
      <c r="AP52" s="86"/>
      <c r="AQ52" s="86"/>
      <c r="AR52" s="86"/>
      <c r="AS52" s="86"/>
      <c r="AT52" s="86"/>
      <c r="AU52" s="78" t="s">
        <v>958</v>
      </c>
      <c r="AV52" s="86"/>
      <c r="AW52" s="86"/>
      <c r="AX52" s="86"/>
      <c r="AY52" s="86"/>
      <c r="AZ52" s="86"/>
      <c r="BB52" s="86"/>
      <c r="BC52" s="86"/>
      <c r="BD52" s="86"/>
      <c r="BF52" s="86"/>
      <c r="BG52" s="86"/>
      <c r="BJ52" s="86"/>
      <c r="BK52" s="78" t="s">
        <v>380</v>
      </c>
      <c r="BL52" s="86"/>
      <c r="BM52" s="86"/>
      <c r="BN52" s="86"/>
      <c r="BO52" s="86"/>
      <c r="BP52" s="86"/>
      <c r="BQ52" s="86"/>
      <c r="BR52" s="86"/>
      <c r="BS52" s="86"/>
      <c r="BT52" s="86"/>
      <c r="BU52" s="86"/>
      <c r="BV52" s="86"/>
      <c r="BW52" s="86"/>
      <c r="BX52" s="86"/>
      <c r="BY52" s="86"/>
      <c r="BZ52" s="86"/>
      <c r="CB52" s="86" t="s">
        <v>380</v>
      </c>
      <c r="CC52" s="86"/>
      <c r="CD52" s="86"/>
      <c r="CE52" s="86"/>
      <c r="CF52" s="86"/>
      <c r="CG52" s="86"/>
      <c r="CH52" s="86"/>
      <c r="CI52" s="86"/>
      <c r="CJ52" s="86"/>
      <c r="CK52" s="86"/>
      <c r="CL52" s="86"/>
    </row>
    <row r="53" spans="1:138">
      <c r="A53" s="77"/>
      <c r="B53" s="78" t="s">
        <v>1131</v>
      </c>
      <c r="C53" s="86"/>
      <c r="D53" s="86"/>
      <c r="E53" s="86"/>
      <c r="F53" s="86"/>
      <c r="G53" s="86"/>
      <c r="H53" s="86"/>
      <c r="I53" s="86"/>
      <c r="J53" s="86"/>
      <c r="K53" s="86"/>
      <c r="L53" s="86"/>
      <c r="M53" s="86"/>
      <c r="N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78" t="s">
        <v>959</v>
      </c>
      <c r="AV53" s="86"/>
      <c r="AW53" s="86"/>
      <c r="AX53" s="86"/>
      <c r="AY53" s="86"/>
      <c r="AZ53" s="86"/>
      <c r="BA53" s="86"/>
      <c r="BB53" s="86"/>
      <c r="BC53" s="86"/>
      <c r="BD53" s="86"/>
      <c r="BE53" s="86"/>
      <c r="BF53" s="86"/>
      <c r="BG53" s="86"/>
      <c r="BJ53" s="86"/>
      <c r="BK53" s="86"/>
      <c r="BL53" s="86"/>
      <c r="BM53" s="86"/>
      <c r="BN53" s="86"/>
      <c r="BO53" s="86"/>
      <c r="BP53" s="86"/>
      <c r="BQ53" s="86"/>
      <c r="BR53" s="86"/>
      <c r="BS53" s="86"/>
      <c r="BT53" s="86"/>
      <c r="BU53" s="86"/>
      <c r="BV53" s="86"/>
      <c r="BW53" s="86"/>
      <c r="BX53" s="86"/>
      <c r="BY53" s="86"/>
      <c r="BZ53" s="86"/>
      <c r="CA53" s="86"/>
      <c r="CB53" s="86"/>
      <c r="CC53" s="86"/>
      <c r="CD53" s="86"/>
      <c r="CE53" s="86"/>
      <c r="CF53" s="86"/>
      <c r="CG53" s="86"/>
      <c r="CH53" s="86"/>
      <c r="CI53" s="86"/>
      <c r="CJ53" s="86"/>
      <c r="CK53" s="86"/>
      <c r="CL53" s="86"/>
    </row>
    <row r="54" spans="1:138">
      <c r="A54" s="77"/>
      <c r="B54" s="35" t="s">
        <v>1109</v>
      </c>
      <c r="C54" s="86"/>
      <c r="D54" s="86"/>
      <c r="E54" s="86"/>
      <c r="F54" s="86"/>
      <c r="G54" s="86"/>
      <c r="H54" s="86"/>
      <c r="I54" s="86"/>
      <c r="J54" s="86"/>
      <c r="K54" s="86"/>
      <c r="L54" s="86"/>
      <c r="M54" s="86"/>
      <c r="N54" s="86"/>
      <c r="Q54" s="86"/>
      <c r="R54" s="86"/>
      <c r="S54" s="86"/>
      <c r="T54" s="86"/>
      <c r="U54" s="86"/>
      <c r="V54" s="86"/>
      <c r="W54" s="86"/>
      <c r="X54" s="86"/>
      <c r="Y54" s="80"/>
      <c r="Z54" s="80"/>
      <c r="AA54" s="80"/>
      <c r="AB54" s="84"/>
      <c r="AC54" s="85"/>
      <c r="AD54" s="84"/>
      <c r="AE54" s="80"/>
      <c r="AF54" s="84"/>
      <c r="AG54" s="80"/>
      <c r="AH54" s="84"/>
      <c r="AI54" s="86"/>
      <c r="AJ54" s="86"/>
      <c r="AK54" s="86"/>
      <c r="AL54" s="86"/>
      <c r="AM54" s="86"/>
      <c r="AN54" s="86"/>
      <c r="AO54" s="86"/>
      <c r="AP54" s="86"/>
      <c r="AQ54" s="86"/>
      <c r="AR54" s="86"/>
      <c r="AS54" s="86"/>
      <c r="AT54" s="86"/>
      <c r="AU54" s="35" t="s">
        <v>1109</v>
      </c>
      <c r="AV54" s="86"/>
      <c r="AW54" s="86"/>
      <c r="AX54" s="86"/>
      <c r="AY54" s="86"/>
      <c r="AZ54" s="86"/>
      <c r="BA54" s="86"/>
      <c r="BB54" s="86"/>
      <c r="BC54" s="86"/>
      <c r="BD54" s="86"/>
      <c r="BE54" s="86"/>
      <c r="BF54" s="86"/>
      <c r="BG54" s="86"/>
      <c r="BJ54" s="86"/>
      <c r="BK54" s="86"/>
      <c r="BL54" s="86"/>
      <c r="BM54" s="86"/>
      <c r="BN54" s="86"/>
      <c r="BO54" s="86"/>
      <c r="BP54" s="86"/>
      <c r="BQ54" s="86"/>
      <c r="BR54" s="80"/>
      <c r="BS54" s="80"/>
      <c r="BT54" s="80"/>
      <c r="BU54" s="84"/>
      <c r="BV54" s="85"/>
      <c r="BW54" s="84"/>
      <c r="BX54" s="80"/>
      <c r="BY54" s="84"/>
      <c r="BZ54" s="80"/>
      <c r="CA54" s="84"/>
      <c r="CB54" s="86"/>
      <c r="CC54" s="86"/>
      <c r="CD54" s="86"/>
      <c r="CE54" s="86"/>
      <c r="CF54" s="86"/>
      <c r="CG54" s="86"/>
      <c r="CH54" s="86"/>
      <c r="CI54" s="86"/>
      <c r="CJ54" s="86"/>
      <c r="CK54" s="86"/>
      <c r="CL54" s="86"/>
    </row>
    <row r="55" spans="1:138">
      <c r="A55" s="77"/>
      <c r="B55" s="78" t="s">
        <v>1136</v>
      </c>
      <c r="C55" s="86"/>
      <c r="D55" s="86"/>
      <c r="E55" s="86"/>
      <c r="F55" s="86"/>
      <c r="G55" s="86"/>
      <c r="H55" s="86"/>
      <c r="I55" s="86"/>
      <c r="J55" s="86"/>
      <c r="K55" s="86"/>
      <c r="L55" s="86"/>
      <c r="M55" s="86"/>
      <c r="N55" s="86"/>
      <c r="Q55" s="86"/>
      <c r="R55" s="86"/>
      <c r="S55" s="86"/>
      <c r="T55" s="86"/>
      <c r="U55" s="86"/>
      <c r="V55" s="86"/>
      <c r="W55" s="86"/>
      <c r="X55" s="86"/>
      <c r="Y55" s="88"/>
      <c r="Z55" s="36"/>
      <c r="AA55" s="36"/>
      <c r="AB55" s="36"/>
      <c r="AC55" s="36"/>
      <c r="AD55" s="36"/>
      <c r="AE55" s="36"/>
      <c r="AF55" s="88"/>
      <c r="AG55" s="36"/>
      <c r="AH55" s="88"/>
      <c r="AI55" s="86"/>
      <c r="AJ55" s="86"/>
      <c r="AK55" s="86"/>
      <c r="AL55" s="86"/>
      <c r="AM55" s="86"/>
      <c r="AN55" s="86"/>
      <c r="AO55" s="86"/>
      <c r="AP55" s="86"/>
      <c r="AQ55" s="86"/>
      <c r="AR55" s="86"/>
      <c r="AS55" s="86"/>
      <c r="AT55" s="86"/>
      <c r="AU55" s="78" t="s">
        <v>1110</v>
      </c>
      <c r="AV55" s="86"/>
      <c r="AW55" s="86"/>
      <c r="AX55" s="86"/>
      <c r="AY55" s="86"/>
      <c r="AZ55" s="86"/>
      <c r="BA55" s="86"/>
      <c r="BB55" s="86"/>
      <c r="BC55" s="86"/>
      <c r="BD55" s="86"/>
      <c r="BE55" s="86"/>
      <c r="BF55" s="86"/>
      <c r="BG55" s="86"/>
      <c r="BJ55" s="86"/>
      <c r="BK55" s="86"/>
      <c r="BL55" s="86"/>
      <c r="BM55" s="86"/>
      <c r="BN55" s="86"/>
      <c r="BO55" s="86"/>
      <c r="BP55" s="86"/>
      <c r="BQ55" s="86"/>
      <c r="BR55" s="88"/>
      <c r="BS55" s="36"/>
      <c r="BT55" s="36"/>
      <c r="BU55" s="36"/>
      <c r="BV55" s="36"/>
      <c r="BW55" s="36"/>
      <c r="BX55" s="36"/>
      <c r="BY55" s="88"/>
      <c r="BZ55" s="36"/>
      <c r="CA55" s="88"/>
      <c r="CB55" s="86"/>
      <c r="CC55" s="86"/>
      <c r="CD55" s="86"/>
      <c r="CE55" s="86"/>
      <c r="CF55" s="86"/>
      <c r="CG55" s="86"/>
      <c r="CH55" s="86"/>
      <c r="CI55" s="86"/>
      <c r="CJ55" s="86"/>
      <c r="CK55" s="86"/>
      <c r="CL55" s="86"/>
    </row>
    <row r="56" spans="1:138">
      <c r="A56" s="77"/>
      <c r="B56" s="86"/>
      <c r="C56" s="86" t="s">
        <v>572</v>
      </c>
      <c r="D56" s="145">
        <f>MAX(D17:D46,H17:H46,L17:L46,P17:P46,T17:T46,X17:X46,AB17:AB46,AF17:AF46,AJ17:AJ46,AN17:AN46,AR17:AR46)</f>
        <v>0.13848370199999999</v>
      </c>
      <c r="E56" s="86"/>
      <c r="F56" s="84"/>
      <c r="G56" s="86"/>
      <c r="H56" s="84">
        <f>(H46-H17)</f>
        <v>-2.2260797999999984E-2</v>
      </c>
      <c r="I56" s="86"/>
      <c r="J56" s="84">
        <f>J46-J17</f>
        <v>-9</v>
      </c>
      <c r="K56" s="86"/>
      <c r="L56" s="84">
        <f>(L46-L17)</f>
        <v>-5.3819639999999988E-2</v>
      </c>
      <c r="M56" s="86"/>
      <c r="N56" s="84">
        <f>N46-N17</f>
        <v>0.69999999999999929</v>
      </c>
      <c r="O56" s="86"/>
      <c r="P56" s="84">
        <f>(P46-P17)</f>
        <v>-9.9886500000002931E-4</v>
      </c>
      <c r="Q56" s="86"/>
      <c r="R56" s="84">
        <f>R46-R17</f>
        <v>-5.9</v>
      </c>
      <c r="S56" s="86"/>
      <c r="T56" s="84">
        <f>(T46-T17)</f>
        <v>-3.1894317000000019E-2</v>
      </c>
      <c r="U56" s="86"/>
      <c r="V56" s="84">
        <f>V46-V17</f>
        <v>-0.5</v>
      </c>
      <c r="W56" s="86"/>
      <c r="X56" s="84">
        <f>(X46-X17)</f>
        <v>-4.7832120000000089E-3</v>
      </c>
      <c r="Y56" s="43"/>
      <c r="Z56" s="84">
        <f>Z46-Z17</f>
        <v>3.6999999999999993</v>
      </c>
      <c r="AA56" s="43"/>
      <c r="AB56" s="84">
        <f>(AB46-AB17)</f>
        <v>2.1268547999999998E-2</v>
      </c>
      <c r="AC56" s="43"/>
      <c r="AD56" s="84">
        <f>AD46-AD17</f>
        <v>0.80000000000000071</v>
      </c>
      <c r="AE56" s="43"/>
      <c r="AF56" s="84">
        <f>(AF46-AF17)</f>
        <v>-1.5971066999999992E-2</v>
      </c>
      <c r="AG56" s="82"/>
      <c r="AH56" s="84">
        <f>AH46-AH17</f>
        <v>-4.6000000000000014</v>
      </c>
      <c r="AI56" s="86"/>
      <c r="AJ56" s="84">
        <f>(AJ46-AJ17)</f>
        <v>-2.7244350000000042E-2</v>
      </c>
      <c r="AK56" s="86"/>
      <c r="AL56" s="84">
        <f>AL46-AL17</f>
        <v>0.40000000000000036</v>
      </c>
      <c r="AM56" s="86"/>
      <c r="AN56" s="84">
        <f>(AN46-AN17)</f>
        <v>6.6919230000000093E-3</v>
      </c>
      <c r="AO56" s="86"/>
      <c r="AP56" s="84">
        <f>AP46-AP17</f>
        <v>4.8000000000000007</v>
      </c>
      <c r="AQ56" s="86"/>
      <c r="AR56" s="84">
        <f>(AR46-AR17)</f>
        <v>3.4613081999999989E-2</v>
      </c>
      <c r="AS56" s="86"/>
      <c r="AT56" s="86"/>
      <c r="AU56" s="86"/>
      <c r="AV56" s="86" t="s">
        <v>572</v>
      </c>
      <c r="AW56" s="145">
        <f>MAX(AW17:AW46,BA17:BA46,BE17:BE46,BI17:BI46,BM17:BM46,BQ17:BQ46,BU17:BU46,BY17:BY46,CC17:CC46,CG17:CG46,CK17:CK46)</f>
        <v>0.11006982000000001</v>
      </c>
      <c r="AX56" s="86"/>
      <c r="AY56" s="86"/>
      <c r="AZ56" s="86"/>
      <c r="BA56" s="86"/>
      <c r="BB56" s="86"/>
      <c r="BC56" s="86"/>
      <c r="BD56" s="86"/>
      <c r="BE56" s="86"/>
      <c r="BF56" s="86"/>
      <c r="BG56" s="86"/>
      <c r="BH56" s="86"/>
      <c r="BI56" s="86"/>
      <c r="BJ56" s="86"/>
      <c r="BK56" s="86"/>
      <c r="BL56" s="86"/>
      <c r="BM56" s="86"/>
      <c r="BN56" s="86"/>
      <c r="BO56" s="86"/>
      <c r="BP56" s="86"/>
      <c r="BQ56" s="43"/>
      <c r="BR56" s="43"/>
      <c r="BS56" s="87"/>
      <c r="BT56" s="43"/>
      <c r="BU56" s="43"/>
      <c r="BV56" s="43"/>
      <c r="BW56" s="43"/>
      <c r="BX56" s="43"/>
      <c r="BY56" s="43"/>
      <c r="BZ56" s="82"/>
      <c r="CA56" s="43"/>
      <c r="CB56" s="86"/>
      <c r="CC56" s="86"/>
      <c r="CD56" s="86"/>
      <c r="CE56" s="86"/>
      <c r="CF56" s="86"/>
      <c r="CG56" s="86"/>
      <c r="CH56" s="86"/>
      <c r="CI56" s="86"/>
      <c r="CJ56" s="86"/>
      <c r="CK56" s="86"/>
      <c r="CL56" s="86"/>
    </row>
    <row r="57" spans="1:138">
      <c r="A57" s="77"/>
      <c r="B57" s="86"/>
      <c r="C57" s="86" t="s">
        <v>573</v>
      </c>
      <c r="D57" s="111">
        <f>MIN(D17:D46,H17:H46,L17:L46,P17:P46,T17:T46,X17:X46,AB17:AB46,AF17:AF46,AJ17:AJ46,AN17:AN46,AR17:AR46)</f>
        <v>3.6727802999999996E-2</v>
      </c>
      <c r="E57" s="86"/>
      <c r="F57" s="86"/>
      <c r="G57" s="86"/>
      <c r="H57" s="86">
        <f>H56/H17</f>
        <v>-0.20346144610988934</v>
      </c>
      <c r="I57" s="86"/>
      <c r="J57" s="86"/>
      <c r="K57" s="86"/>
      <c r="L57" s="86">
        <f>L56/L17</f>
        <v>-0.5113122171945701</v>
      </c>
      <c r="M57" s="86"/>
      <c r="N57" s="86"/>
      <c r="O57" s="86"/>
      <c r="P57" s="86">
        <f>P56/P17</f>
        <v>-1.1010279038179013E-2</v>
      </c>
      <c r="Q57" s="86"/>
      <c r="R57" s="86"/>
      <c r="S57" s="86"/>
      <c r="T57" s="86">
        <f>T56/T17</f>
        <v>-0.27632942794684762</v>
      </c>
      <c r="U57" s="86"/>
      <c r="V57" s="86"/>
      <c r="W57" s="86"/>
      <c r="X57" s="86">
        <f>X56/X17</f>
        <v>-6.1520660031990471E-2</v>
      </c>
      <c r="Y57" s="86"/>
      <c r="Z57" s="86"/>
      <c r="AA57" s="86"/>
      <c r="AB57" s="86">
        <f>AB56/AB17</f>
        <v>0.39825313911184723</v>
      </c>
      <c r="AC57" s="86"/>
      <c r="AD57" s="86"/>
      <c r="AE57" s="86"/>
      <c r="AF57" s="86">
        <f>AF56/AF17</f>
        <v>-0.17443259812775436</v>
      </c>
      <c r="AG57" s="86"/>
      <c r="AH57" s="86"/>
      <c r="AI57" s="86"/>
      <c r="AJ57" s="86">
        <f>AJ56/AJ17</f>
        <v>-0.26581179086890894</v>
      </c>
      <c r="AK57" s="86"/>
      <c r="AL57" s="86"/>
      <c r="AM57" s="86"/>
      <c r="AN57" s="86">
        <f>AN56/AN17</f>
        <v>0.11460912742727501</v>
      </c>
      <c r="AO57" s="86"/>
      <c r="AP57" s="86"/>
      <c r="AQ57" s="86"/>
      <c r="AR57" s="86">
        <f>AR56/AR17</f>
        <v>0.53901848941317732</v>
      </c>
      <c r="AS57" s="86"/>
      <c r="AT57" s="86"/>
      <c r="AU57" s="86"/>
      <c r="AV57" s="86" t="s">
        <v>573</v>
      </c>
      <c r="AW57" s="111">
        <f>MIN(AW17:AW46,BA17:BA46,BE17:BE46,BI17:BI46,BM17:BM46,BQ17:BQ46,BU17:BU46,BY17:BY46,CC17:CC46,CG17:CG46,CK17:CK46)</f>
        <v>2.4002054999999998E-2</v>
      </c>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86"/>
      <c r="CA57" s="86"/>
      <c r="CB57" s="86"/>
      <c r="CC57" s="86"/>
      <c r="CD57" s="86"/>
      <c r="CE57" s="86"/>
      <c r="CF57" s="86"/>
      <c r="CG57" s="86"/>
      <c r="CH57" s="86"/>
      <c r="CI57" s="86"/>
      <c r="CJ57" s="86"/>
      <c r="CK57" s="86"/>
      <c r="CL57" s="86"/>
    </row>
    <row r="58" spans="1:138">
      <c r="A58" s="77"/>
      <c r="B58" s="86"/>
      <c r="C58" s="86" t="s">
        <v>433</v>
      </c>
      <c r="D58" s="111">
        <f>D56-D57</f>
        <v>0.10175589899999998</v>
      </c>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t="s">
        <v>433</v>
      </c>
      <c r="AW58" s="111">
        <f>AW56-AW57</f>
        <v>8.6067765000000018E-2</v>
      </c>
      <c r="AX58" s="86"/>
      <c r="AY58" s="86"/>
      <c r="AZ58" s="86"/>
      <c r="BA58" s="86"/>
      <c r="BB58" s="86"/>
      <c r="BC58" s="86"/>
      <c r="BD58" s="86"/>
      <c r="BE58" s="86"/>
      <c r="BF58" s="86"/>
      <c r="BG58" s="86"/>
      <c r="BH58" s="86"/>
      <c r="BI58" s="86"/>
      <c r="BJ58" s="86"/>
      <c r="BK58" s="86"/>
      <c r="BL58" s="86"/>
      <c r="BM58" s="86"/>
      <c r="BN58" s="86"/>
      <c r="BO58" s="86"/>
      <c r="BP58" s="86"/>
      <c r="BQ58" s="86"/>
      <c r="BR58" s="86"/>
      <c r="BS58" s="86"/>
      <c r="BT58" s="86"/>
      <c r="BU58" s="86"/>
      <c r="BV58" s="86"/>
      <c r="BW58" s="86"/>
      <c r="BX58" s="86"/>
      <c r="BY58" s="86"/>
      <c r="BZ58" s="86"/>
      <c r="CA58" s="86"/>
      <c r="CB58" s="86"/>
      <c r="CC58" s="86"/>
      <c r="CD58" s="86"/>
      <c r="CE58" s="86"/>
      <c r="CF58" s="86"/>
      <c r="CG58" s="86"/>
      <c r="CH58" s="86"/>
      <c r="CI58" s="86"/>
      <c r="CJ58" s="86"/>
      <c r="CK58" s="86"/>
      <c r="CL58" s="86"/>
    </row>
    <row r="59" spans="1:138">
      <c r="A59" s="77"/>
      <c r="B59" s="86"/>
      <c r="C59" s="86" t="s">
        <v>434</v>
      </c>
      <c r="D59" s="111">
        <f>D58/10</f>
        <v>1.0175589899999999E-2</v>
      </c>
      <c r="F59" s="86">
        <v>1.89</v>
      </c>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t="s">
        <v>434</v>
      </c>
      <c r="AW59" s="111">
        <f>AW58/10</f>
        <v>8.6067765000000015E-3</v>
      </c>
      <c r="AY59" s="86">
        <v>1.89</v>
      </c>
      <c r="AZ59" s="86"/>
      <c r="BA59" s="86"/>
      <c r="BB59" s="86"/>
      <c r="BC59" s="86"/>
      <c r="BD59" s="86"/>
      <c r="BE59" s="86"/>
      <c r="BF59" s="86"/>
      <c r="BG59" s="86"/>
      <c r="BH59" s="86"/>
      <c r="BI59" s="86"/>
      <c r="BJ59" s="86"/>
      <c r="BK59" s="86"/>
      <c r="BL59" s="86"/>
      <c r="BM59" s="86"/>
      <c r="BN59" s="86"/>
      <c r="BO59" s="86"/>
      <c r="BP59" s="86"/>
      <c r="BQ59" s="86"/>
      <c r="BR59" s="86"/>
      <c r="BS59" s="86"/>
      <c r="BT59" s="86"/>
      <c r="BU59" s="86"/>
      <c r="BV59" s="86"/>
      <c r="BW59" s="86"/>
      <c r="BX59" s="86"/>
      <c r="BY59" s="86"/>
      <c r="BZ59" s="86"/>
      <c r="CA59" s="86"/>
      <c r="CB59" s="86"/>
      <c r="CC59" s="86"/>
      <c r="CD59" s="86"/>
      <c r="CE59" s="86"/>
      <c r="CF59" s="86"/>
      <c r="CG59" s="86"/>
      <c r="CH59" s="86"/>
      <c r="CI59" s="86"/>
      <c r="CJ59" s="86"/>
      <c r="CK59" s="86"/>
      <c r="CL59" s="86"/>
    </row>
    <row r="60" spans="1:138">
      <c r="A60" s="77"/>
      <c r="B60" s="86"/>
      <c r="C60" s="86" t="s">
        <v>576</v>
      </c>
      <c r="D60" s="111">
        <f>D56+D59</f>
        <v>0.14865929189999999</v>
      </c>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c r="AS60" s="86"/>
      <c r="AT60" s="86"/>
      <c r="AU60" s="86"/>
      <c r="AV60" s="86" t="s">
        <v>576</v>
      </c>
      <c r="AW60" s="111">
        <f>AW56+AW59</f>
        <v>0.11867659650000001</v>
      </c>
      <c r="AX60" s="86"/>
      <c r="AY60" s="86"/>
      <c r="AZ60" s="86"/>
      <c r="BA60" s="86"/>
      <c r="BB60" s="86"/>
      <c r="BC60" s="86"/>
      <c r="BD60" s="86"/>
      <c r="BE60" s="86"/>
      <c r="BF60" s="86"/>
      <c r="BG60" s="86"/>
      <c r="BH60" s="86"/>
      <c r="BI60" s="86"/>
      <c r="BJ60" s="86"/>
      <c r="BK60" s="86"/>
      <c r="BL60" s="86"/>
      <c r="BM60" s="86"/>
      <c r="BN60" s="86"/>
      <c r="BO60" s="86"/>
      <c r="BP60" s="86"/>
      <c r="BQ60" s="86"/>
      <c r="BR60" s="86"/>
      <c r="BS60" s="86"/>
      <c r="BT60" s="86"/>
      <c r="BU60" s="86"/>
      <c r="BV60" s="86"/>
      <c r="BW60" s="86"/>
      <c r="BX60" s="86"/>
      <c r="BY60" s="86"/>
      <c r="BZ60" s="86"/>
      <c r="CA60" s="86"/>
      <c r="CB60" s="86"/>
      <c r="CC60" s="86"/>
      <c r="CD60" s="86"/>
      <c r="CE60" s="86"/>
      <c r="CF60" s="86"/>
      <c r="CG60" s="86"/>
      <c r="CH60" s="86"/>
      <c r="CI60" s="86"/>
      <c r="CJ60" s="86"/>
      <c r="CK60" s="86"/>
      <c r="CL60" s="86"/>
    </row>
    <row r="61" spans="1:138">
      <c r="A61" s="77"/>
      <c r="B61" s="86"/>
      <c r="C61" s="86" t="s">
        <v>577</v>
      </c>
      <c r="D61" s="111">
        <f>D57-D59</f>
        <v>2.6552213099999999E-2</v>
      </c>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t="s">
        <v>577</v>
      </c>
      <c r="AW61" s="111">
        <f>AW57-AW59</f>
        <v>1.5395278499999996E-2</v>
      </c>
      <c r="AX61" s="86"/>
      <c r="AY61" s="86"/>
      <c r="AZ61" s="86"/>
      <c r="BA61" s="86"/>
      <c r="BB61" s="86"/>
      <c r="BC61" s="86"/>
      <c r="BD61" s="86"/>
      <c r="BE61" s="86"/>
      <c r="BF61" s="86"/>
      <c r="BG61" s="86"/>
      <c r="BH61" s="86"/>
      <c r="BI61" s="86"/>
      <c r="BJ61" s="86"/>
      <c r="BK61" s="86"/>
      <c r="BL61" s="86"/>
      <c r="BM61" s="86"/>
      <c r="BN61" s="86"/>
      <c r="BO61" s="86"/>
      <c r="BP61" s="86"/>
      <c r="BQ61" s="86"/>
      <c r="BR61" s="86"/>
      <c r="BS61" s="86"/>
      <c r="BT61" s="86"/>
      <c r="BU61" s="86"/>
      <c r="BV61" s="86"/>
      <c r="BW61" s="86"/>
      <c r="BX61" s="86"/>
      <c r="BY61" s="86"/>
      <c r="BZ61" s="86"/>
      <c r="CA61" s="86"/>
      <c r="CB61" s="86"/>
      <c r="CC61" s="86"/>
      <c r="CD61" s="86"/>
      <c r="CE61" s="86"/>
      <c r="CF61" s="86"/>
      <c r="CG61" s="86"/>
      <c r="CH61" s="86"/>
      <c r="CI61" s="86"/>
      <c r="CJ61" s="86"/>
      <c r="CK61" s="86"/>
      <c r="CL61" s="86"/>
    </row>
    <row r="62" spans="1:138">
      <c r="A62" s="77"/>
      <c r="B62" s="86"/>
      <c r="C62" s="86" t="s">
        <v>432</v>
      </c>
      <c r="D62" s="111">
        <f>D60-D61</f>
        <v>0.12210707879999999</v>
      </c>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t="s">
        <v>432</v>
      </c>
      <c r="AW62" s="111">
        <f>AW60-AW61</f>
        <v>0.10328131800000001</v>
      </c>
      <c r="AX62" s="86"/>
      <c r="AY62" s="86"/>
      <c r="AZ62" s="86"/>
      <c r="BA62" s="86"/>
      <c r="BB62" s="86"/>
      <c r="BC62" s="86"/>
      <c r="BD62" s="86"/>
      <c r="BE62" s="86"/>
      <c r="BF62" s="86"/>
      <c r="BG62" s="86"/>
      <c r="BH62" s="86"/>
      <c r="BI62" s="86"/>
      <c r="BJ62" s="86"/>
      <c r="BK62" s="86"/>
      <c r="BL62" s="86"/>
      <c r="BM62" s="86"/>
      <c r="BN62" s="86"/>
      <c r="BO62" s="86"/>
      <c r="BP62" s="86"/>
      <c r="BQ62" s="86"/>
      <c r="BR62" s="86"/>
      <c r="BS62" s="86"/>
      <c r="BT62" s="86"/>
      <c r="BU62" s="86"/>
      <c r="BV62" s="86"/>
      <c r="BW62" s="86"/>
      <c r="BX62" s="86"/>
      <c r="BY62" s="86"/>
      <c r="BZ62" s="86"/>
      <c r="CA62" s="86"/>
      <c r="CB62" s="86"/>
      <c r="CC62" s="86"/>
      <c r="CD62" s="86"/>
      <c r="CE62" s="86"/>
      <c r="CF62" s="86"/>
      <c r="CG62" s="86"/>
      <c r="CH62" s="86"/>
      <c r="CI62" s="86"/>
      <c r="CJ62" s="86"/>
      <c r="CK62" s="86"/>
      <c r="CL62" s="86"/>
    </row>
    <row r="63" spans="1:138">
      <c r="A63" s="77"/>
      <c r="B63" s="86"/>
      <c r="C63" s="86"/>
      <c r="D63" s="86"/>
      <c r="E63" s="86"/>
      <c r="F63" s="86"/>
      <c r="G63" s="86">
        <f>(POWER(G46/G17, 1/29)-1)*100</f>
        <v>3.303743099691836E-2</v>
      </c>
      <c r="H63" s="86"/>
      <c r="I63" s="86"/>
      <c r="J63" s="86"/>
      <c r="K63" s="86">
        <f>(POWER(K46/K17, 1/29)-1)*100</f>
        <v>-0.53791247770990092</v>
      </c>
      <c r="L63" s="86"/>
      <c r="M63" s="86"/>
      <c r="N63" s="86"/>
      <c r="O63" s="86">
        <f>(POWER(O46/O17, 1/29)-1)*100</f>
        <v>-0.18387804875535929</v>
      </c>
      <c r="P63" s="86"/>
      <c r="Q63" s="86"/>
      <c r="R63" s="86"/>
      <c r="S63" s="86">
        <f>(POWER(S46/S17, 1/29)-1)*100</f>
        <v>5.5133663049033999E-2</v>
      </c>
      <c r="T63" s="86"/>
      <c r="U63" s="86"/>
      <c r="V63" s="86"/>
      <c r="W63" s="86">
        <f>(POWER(W46/W17, 1/29)-1)*100</f>
        <v>-9.5293550660546789E-2</v>
      </c>
      <c r="X63" s="86"/>
      <c r="Y63" s="86"/>
      <c r="Z63" s="86"/>
      <c r="AA63" s="86">
        <f>(POWER(AA46/AA17, 1/29)-1)*100</f>
        <v>1.1452927573296634E-2</v>
      </c>
      <c r="AB63" s="86"/>
      <c r="AC63" s="86"/>
      <c r="AD63" s="86"/>
      <c r="AE63" s="86">
        <f>(POWER(AE46/AE17, 1/29)-1)*100</f>
        <v>-0.84259748734725193</v>
      </c>
      <c r="AF63" s="86"/>
      <c r="AG63" s="86"/>
      <c r="AH63" s="86"/>
      <c r="AI63" s="86">
        <f>(POWER(AI46/AI17, 1/29)-1)*100</f>
        <v>7.7914470264195401E-2</v>
      </c>
      <c r="AJ63" s="86"/>
      <c r="AK63" s="86"/>
      <c r="AL63" s="86"/>
      <c r="AM63" s="86">
        <f>(POWER(AM46/AM17, 1/29)-1)*100</f>
        <v>0.21938649812394129</v>
      </c>
      <c r="AN63" s="86"/>
      <c r="AO63" s="86"/>
      <c r="AP63" s="86"/>
      <c r="AQ63" s="86">
        <f>(POWER(AQ46/AQ17, 1/29)-1)*100</f>
        <v>0.15695887199147496</v>
      </c>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77"/>
      <c r="BZ63" s="77"/>
      <c r="CA63" s="77"/>
      <c r="CB63" s="77"/>
      <c r="CC63" s="77"/>
      <c r="CD63" s="77"/>
      <c r="CE63" s="77"/>
      <c r="CF63" s="77"/>
    </row>
    <row r="64" spans="1:138">
      <c r="A64" s="77"/>
      <c r="B64" s="86"/>
      <c r="C64" s="86"/>
      <c r="D64" s="86"/>
      <c r="E64" s="86"/>
      <c r="F64" s="86"/>
      <c r="G64" s="86">
        <f>(POWER(G25/G17, 1/8)-1)*100</f>
        <v>-0.26893236746496907</v>
      </c>
      <c r="H64" s="86"/>
      <c r="I64" s="86"/>
      <c r="J64" s="86"/>
      <c r="K64" s="86">
        <f>(POWER(K25/K17, 1/8)-1)*100</f>
        <v>-2.028389572396061</v>
      </c>
      <c r="L64" s="86"/>
      <c r="M64" s="86"/>
      <c r="N64" s="86"/>
      <c r="O64" s="86">
        <f>(POWER(O25/O17, 1/8)-1)*100</f>
        <v>-1.9360528654884024</v>
      </c>
      <c r="P64" s="86"/>
      <c r="Q64" s="86"/>
      <c r="R64" s="86"/>
      <c r="S64" s="86">
        <f>(POWER(S25/S17, 1/8)-1)*100</f>
        <v>-0.21561817971765818</v>
      </c>
      <c r="T64" s="86"/>
      <c r="U64" s="86"/>
      <c r="V64" s="86"/>
      <c r="W64" s="86">
        <f>(POWER(W25/W17, 1/8)-1)*100</f>
        <v>-0.10393268740630512</v>
      </c>
      <c r="X64" s="86"/>
      <c r="Y64" s="86"/>
      <c r="Z64" s="86"/>
      <c r="AA64" s="86">
        <f>(POWER(AA25/AA17, 1/8)-1)*100</f>
        <v>-1.1650088659766356</v>
      </c>
      <c r="AB64" s="86"/>
      <c r="AC64" s="86"/>
      <c r="AD64" s="86"/>
      <c r="AE64" s="86">
        <f>(POWER(AE25/AE17, 1/8)-1)*100</f>
        <v>-2.896140738829267</v>
      </c>
      <c r="AF64" s="86"/>
      <c r="AG64" s="86"/>
      <c r="AH64" s="86"/>
      <c r="AI64" s="86">
        <f>(POWER(AI25/AI17, 1/8)-1)*100</f>
        <v>-0.91148142124911624</v>
      </c>
      <c r="AJ64" s="86"/>
      <c r="AK64" s="86"/>
      <c r="AL64" s="86"/>
      <c r="AM64" s="86">
        <f>(POWER(AM25/AM17, 1/8)-1)*100</f>
        <v>-0.9309283556207304</v>
      </c>
      <c r="AN64" s="86"/>
      <c r="AO64" s="86"/>
      <c r="AP64" s="86"/>
      <c r="AQ64" s="86">
        <f>(POWER(AQ25/AQ17, 1/8)-1)*100</f>
        <v>-1.3780880229363301</v>
      </c>
      <c r="AR64" s="86"/>
      <c r="AS64" s="86"/>
      <c r="AT64" s="86"/>
      <c r="AU64" s="86"/>
      <c r="AV64" s="86"/>
      <c r="AW64" s="86"/>
      <c r="AX64" s="86"/>
      <c r="AY64" s="86"/>
      <c r="AZ64" s="86"/>
      <c r="BA64" s="86"/>
      <c r="BB64" s="86"/>
      <c r="BC64" s="86"/>
      <c r="BD64" s="86"/>
      <c r="BE64" s="86"/>
      <c r="BF64" s="86"/>
      <c r="BG64" s="86"/>
      <c r="BH64" s="86"/>
      <c r="BI64" s="86"/>
      <c r="BJ64" s="86"/>
      <c r="BK64" s="86"/>
      <c r="BL64" s="86"/>
      <c r="BM64" s="86"/>
      <c r="BN64" s="86"/>
      <c r="BO64" s="86"/>
      <c r="BP64" s="86"/>
      <c r="BQ64" s="86"/>
      <c r="BR64" s="86"/>
      <c r="BS64" s="86"/>
      <c r="BT64" s="86"/>
      <c r="BU64" s="86"/>
      <c r="BV64" s="86"/>
      <c r="BW64" s="86"/>
      <c r="BX64" s="86"/>
      <c r="BY64" s="77"/>
      <c r="BZ64" s="77"/>
      <c r="CA64" s="77"/>
      <c r="CB64" s="77"/>
      <c r="CC64" s="77"/>
      <c r="CD64" s="77"/>
      <c r="CE64" s="77"/>
      <c r="CF64" s="77"/>
    </row>
    <row r="65" spans="1:84">
      <c r="A65" s="77"/>
      <c r="B65" s="86"/>
      <c r="C65" s="86"/>
      <c r="D65" s="86"/>
      <c r="E65" s="86"/>
      <c r="F65" s="86"/>
      <c r="G65" s="86">
        <f>(POWER(G36/G25, 1/11)-1)*100</f>
        <v>-9.5840530176194427E-3</v>
      </c>
      <c r="H65" s="86"/>
      <c r="I65" s="86"/>
      <c r="J65" s="86"/>
      <c r="K65" s="86">
        <f>(POWER(K36/K25, 1/11)-1)*100</f>
        <v>1.7828997486824205</v>
      </c>
      <c r="L65" s="86"/>
      <c r="M65" s="86"/>
      <c r="N65" s="86"/>
      <c r="O65" s="86">
        <f>(POWER(O36/O25, 1/11)-1)*100</f>
        <v>1.1767371268069038</v>
      </c>
      <c r="P65" s="86"/>
      <c r="Q65" s="86"/>
      <c r="R65" s="86"/>
      <c r="S65" s="86">
        <f>(POWER(S36/S25, 1/11)-1)*100</f>
        <v>-9.3581205458226346E-2</v>
      </c>
      <c r="T65" s="86"/>
      <c r="U65" s="86"/>
      <c r="V65" s="86"/>
      <c r="W65" s="86">
        <f>(POWER(W36/W25, 1/11)-1)*100</f>
        <v>0.22527187581637964</v>
      </c>
      <c r="X65" s="86"/>
      <c r="Y65" s="86"/>
      <c r="Z65" s="86"/>
      <c r="AA65" s="86">
        <f>(POWER(AA36/AA25, 1/11)-1)*100</f>
        <v>1.4367063225575682</v>
      </c>
      <c r="AB65" s="86"/>
      <c r="AC65" s="86"/>
      <c r="AD65" s="86"/>
      <c r="AE65" s="86">
        <f>(POWER(AE36/AE25, 1/11)-1)*100</f>
        <v>1.9298654286362682</v>
      </c>
      <c r="AF65" s="86"/>
      <c r="AG65" s="86"/>
      <c r="AH65" s="86"/>
      <c r="AI65" s="86">
        <f>(POWER(AI36/AI25, 1/11)-1)*100</f>
        <v>-2.9444698990577223E-2</v>
      </c>
      <c r="AJ65" s="86"/>
      <c r="AK65" s="86"/>
      <c r="AL65" s="86"/>
      <c r="AM65" s="86">
        <f>(POWER(AM36/AM25, 1/11)-1)*100</f>
        <v>0.24258716575218386</v>
      </c>
      <c r="AN65" s="86"/>
      <c r="AO65" s="86"/>
      <c r="AP65" s="86"/>
      <c r="AQ65" s="86">
        <f>(POWER(AQ36/AQ25, 1/11)-1)*100</f>
        <v>1.3585231245380136</v>
      </c>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c r="BS65" s="86"/>
      <c r="BT65" s="86"/>
      <c r="BU65" s="86"/>
      <c r="BV65" s="86"/>
      <c r="BW65" s="86"/>
      <c r="BX65" s="86"/>
      <c r="BY65" s="77"/>
      <c r="BZ65" s="77"/>
      <c r="CA65" s="77"/>
      <c r="CB65" s="77"/>
      <c r="CC65" s="77"/>
      <c r="CD65" s="77"/>
      <c r="CE65" s="77"/>
      <c r="CF65" s="77"/>
    </row>
    <row r="66" spans="1:84">
      <c r="A66" s="77"/>
      <c r="B66" s="86"/>
      <c r="C66" s="86"/>
      <c r="D66" s="86"/>
      <c r="E66" s="86"/>
      <c r="F66" s="86"/>
      <c r="G66" s="86">
        <f>(POWER(G44/G36, 1/8)-1)*100</f>
        <v>-0.44643552671354003</v>
      </c>
      <c r="H66" s="86"/>
      <c r="I66" s="86"/>
      <c r="J66" s="86"/>
      <c r="K66" s="86">
        <f>(POWER(K44/K36, 1/8)-1)*100</f>
        <v>0.13197836037992516</v>
      </c>
      <c r="L66" s="86"/>
      <c r="M66" s="86"/>
      <c r="N66" s="86"/>
      <c r="O66" s="86">
        <f>(POWER(O44/O36, 1/8)-1)*100</f>
        <v>-0.23174611880947271</v>
      </c>
      <c r="P66" s="86"/>
      <c r="Q66" s="86"/>
      <c r="R66" s="86"/>
      <c r="S66" s="86">
        <f>(POWER(S44/S36, 1/8)-1)*100</f>
        <v>0.11170857246141086</v>
      </c>
      <c r="T66" s="86"/>
      <c r="U66" s="86"/>
      <c r="V66" s="86"/>
      <c r="W66" s="86">
        <f>(POWER(W44/W36, 1/8)-1)*100</f>
        <v>-0.61582777119479903</v>
      </c>
      <c r="X66" s="86"/>
      <c r="Y66" s="86"/>
      <c r="Z66" s="86"/>
      <c r="AA66" s="86">
        <f>(POWER(AA44/AA36, 1/8)-1)*100</f>
        <v>-0.62646340167170633</v>
      </c>
      <c r="AB66" s="86"/>
      <c r="AC66" s="86"/>
      <c r="AD66" s="86"/>
      <c r="AE66" s="86">
        <f>(POWER(AE44/AE36, 1/8)-1)*100</f>
        <v>-1.7966417812475766</v>
      </c>
      <c r="AF66" s="86"/>
      <c r="AG66" s="86"/>
      <c r="AH66" s="86"/>
      <c r="AI66" s="86">
        <f>(POWER(AI44/AI36, 1/8)-1)*100</f>
        <v>-1.3609502050830113</v>
      </c>
      <c r="AJ66" s="86"/>
      <c r="AK66" s="86"/>
      <c r="AL66" s="86"/>
      <c r="AM66" s="86">
        <f>(POWER(AM44/AM36, 1/8)-1)*100</f>
        <v>-0.89563383539803532</v>
      </c>
      <c r="AN66" s="86"/>
      <c r="AO66" s="86"/>
      <c r="AP66" s="86"/>
      <c r="AQ66" s="86">
        <f>(POWER(AQ44/AQ36, 1/8)-1)*100</f>
        <v>0.49034489189461183</v>
      </c>
      <c r="AR66" s="86"/>
      <c r="AS66" s="86"/>
      <c r="AT66" s="86"/>
      <c r="AU66" s="86"/>
      <c r="AV66" s="86"/>
      <c r="AW66" s="86"/>
      <c r="AX66" s="86"/>
      <c r="AY66" s="86"/>
      <c r="AZ66" s="86"/>
      <c r="BA66" s="86"/>
      <c r="BB66" s="86"/>
      <c r="BC66" s="86"/>
      <c r="BD66" s="86"/>
      <c r="BE66" s="86"/>
      <c r="BF66" s="86"/>
      <c r="BG66" s="86"/>
      <c r="BH66" s="86"/>
      <c r="BI66" s="86"/>
      <c r="BJ66" s="86"/>
      <c r="BK66" s="86"/>
      <c r="BL66" s="86"/>
      <c r="BM66" s="86"/>
      <c r="BN66" s="86"/>
      <c r="BO66" s="86"/>
      <c r="BP66" s="86"/>
      <c r="BQ66" s="86"/>
      <c r="BR66" s="86"/>
      <c r="BS66" s="86"/>
      <c r="BT66" s="86"/>
      <c r="BU66" s="86"/>
      <c r="BV66" s="86"/>
      <c r="BW66" s="86"/>
      <c r="BX66" s="86"/>
      <c r="BY66" s="77"/>
      <c r="BZ66" s="77"/>
      <c r="CA66" s="77"/>
      <c r="CB66" s="77"/>
      <c r="CC66" s="77"/>
      <c r="CD66" s="77"/>
      <c r="CE66" s="77"/>
      <c r="CF66" s="77"/>
    </row>
    <row r="67" spans="1:84">
      <c r="A67" s="77"/>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c r="BT67" s="86"/>
      <c r="BU67" s="86"/>
      <c r="BV67" s="86"/>
      <c r="BW67" s="86"/>
      <c r="BX67" s="86"/>
      <c r="BY67" s="77"/>
      <c r="BZ67" s="77"/>
      <c r="CA67" s="77"/>
      <c r="CB67" s="77"/>
      <c r="CC67" s="77"/>
      <c r="CD67" s="77"/>
      <c r="CE67" s="77"/>
      <c r="CF67" s="77"/>
    </row>
    <row r="68" spans="1:84">
      <c r="A68" s="77"/>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c r="AM68" s="86"/>
      <c r="AN68" s="86"/>
      <c r="AO68" s="86"/>
      <c r="AP68" s="86"/>
      <c r="AQ68" s="86"/>
      <c r="AR68" s="86"/>
      <c r="AS68" s="86"/>
      <c r="AT68" s="86"/>
      <c r="AU68" s="86"/>
      <c r="AV68" s="86"/>
      <c r="AW68" s="86"/>
      <c r="AX68" s="86"/>
      <c r="AY68" s="86"/>
      <c r="AZ68" s="86"/>
      <c r="BA68" s="86"/>
      <c r="BB68" s="86"/>
      <c r="BC68" s="86"/>
      <c r="BD68" s="86"/>
      <c r="BE68" s="86"/>
      <c r="BF68" s="86"/>
      <c r="BG68" s="86"/>
      <c r="BH68" s="86"/>
      <c r="BI68" s="86"/>
      <c r="BJ68" s="86"/>
      <c r="BK68" s="86"/>
      <c r="BL68" s="86"/>
      <c r="BM68" s="86"/>
      <c r="BN68" s="86"/>
      <c r="BO68" s="86"/>
      <c r="BP68" s="86"/>
      <c r="BQ68" s="86"/>
      <c r="BR68" s="86"/>
      <c r="BS68" s="86"/>
      <c r="BT68" s="86"/>
      <c r="BU68" s="86"/>
      <c r="BV68" s="86"/>
      <c r="BW68" s="86"/>
      <c r="BX68" s="86"/>
      <c r="BY68" s="77"/>
      <c r="BZ68" s="77"/>
      <c r="CA68" s="77"/>
      <c r="CB68" s="77"/>
      <c r="CC68" s="77"/>
      <c r="CD68" s="77"/>
      <c r="CE68" s="77"/>
      <c r="CF68" s="77"/>
    </row>
    <row r="69" spans="1:84">
      <c r="A69" s="77"/>
      <c r="B69" s="86"/>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c r="AS69" s="86"/>
      <c r="AT69" s="86"/>
      <c r="AU69" s="86"/>
      <c r="AV69" s="86"/>
      <c r="AW69" s="86"/>
      <c r="AX69" s="86"/>
      <c r="AY69" s="86"/>
      <c r="AZ69" s="86"/>
      <c r="BA69" s="86"/>
      <c r="BB69" s="86"/>
      <c r="BC69" s="86"/>
      <c r="BD69" s="86"/>
      <c r="BE69" s="86"/>
      <c r="BF69" s="86"/>
      <c r="BG69" s="86"/>
      <c r="BH69" s="86"/>
      <c r="BI69" s="86"/>
      <c r="BJ69" s="86"/>
      <c r="BK69" s="86"/>
      <c r="BL69" s="86"/>
      <c r="BM69" s="86"/>
      <c r="BN69" s="86"/>
      <c r="BO69" s="86"/>
      <c r="BP69" s="86"/>
      <c r="BQ69" s="86"/>
      <c r="BR69" s="86"/>
      <c r="BS69" s="86"/>
      <c r="BT69" s="86"/>
      <c r="BU69" s="86"/>
      <c r="BV69" s="86"/>
      <c r="BW69" s="86"/>
      <c r="BX69" s="86"/>
      <c r="BY69" s="77"/>
      <c r="BZ69" s="77"/>
      <c r="CA69" s="77"/>
      <c r="CB69" s="77"/>
      <c r="CC69" s="77"/>
      <c r="CD69" s="77"/>
      <c r="CE69" s="77"/>
      <c r="CF69" s="77"/>
    </row>
    <row r="70" spans="1:84">
      <c r="A70" s="77"/>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86"/>
      <c r="BN70" s="86"/>
      <c r="BO70" s="86"/>
      <c r="BP70" s="86"/>
      <c r="BQ70" s="86"/>
      <c r="BR70" s="86"/>
      <c r="BS70" s="86"/>
      <c r="BT70" s="86"/>
      <c r="BU70" s="86"/>
      <c r="BV70" s="86"/>
      <c r="BW70" s="86"/>
      <c r="BX70" s="86"/>
      <c r="BY70" s="77"/>
      <c r="BZ70" s="77"/>
      <c r="CA70" s="77"/>
      <c r="CB70" s="77"/>
      <c r="CC70" s="77"/>
      <c r="CD70" s="77"/>
      <c r="CE70" s="77"/>
      <c r="CF70" s="77"/>
    </row>
    <row r="71" spans="1:84">
      <c r="A71" s="77"/>
      <c r="B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I71" s="86"/>
      <c r="BJ71" s="86"/>
      <c r="BK71" s="86"/>
      <c r="BL71" s="86"/>
      <c r="BM71" s="86"/>
      <c r="BN71" s="86"/>
      <c r="BO71" s="86"/>
      <c r="BP71" s="86"/>
      <c r="BQ71" s="86"/>
      <c r="BR71" s="86"/>
      <c r="BS71" s="86"/>
      <c r="BT71" s="86"/>
      <c r="BU71" s="86"/>
      <c r="BV71" s="86"/>
      <c r="BW71" s="86"/>
      <c r="BX71" s="86"/>
      <c r="BY71" s="77"/>
      <c r="BZ71" s="77"/>
      <c r="CA71" s="77"/>
      <c r="CB71" s="77"/>
      <c r="CC71" s="77"/>
      <c r="CD71" s="77"/>
      <c r="CE71" s="77"/>
      <c r="CF71" s="77"/>
    </row>
    <row r="72" spans="1:84">
      <c r="A72" s="77"/>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I72" s="86"/>
      <c r="BJ72" s="86"/>
      <c r="BK72" s="86"/>
      <c r="BL72" s="86"/>
      <c r="BM72" s="86"/>
      <c r="BN72" s="86"/>
      <c r="BO72" s="86"/>
      <c r="BP72" s="86"/>
      <c r="BQ72" s="86"/>
      <c r="BR72" s="86"/>
      <c r="BS72" s="86"/>
      <c r="BT72" s="86"/>
      <c r="BU72" s="86"/>
      <c r="BV72" s="86"/>
      <c r="BW72" s="86"/>
      <c r="BX72" s="86"/>
      <c r="BY72" s="77"/>
      <c r="BZ72" s="77"/>
      <c r="CA72" s="77"/>
      <c r="CB72" s="77"/>
      <c r="CC72" s="77"/>
      <c r="CD72" s="77"/>
      <c r="CE72" s="77"/>
      <c r="CF72" s="77"/>
    </row>
    <row r="73" spans="1:84">
      <c r="A73" s="77"/>
      <c r="B73" s="86"/>
      <c r="C73" s="86"/>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86"/>
      <c r="AY73" s="86"/>
      <c r="AZ73" s="86"/>
      <c r="BA73" s="86"/>
      <c r="BB73" s="86"/>
      <c r="BC73" s="86"/>
      <c r="BD73" s="86"/>
      <c r="BE73" s="86"/>
      <c r="BF73" s="86"/>
      <c r="BG73" s="86"/>
      <c r="BH73" s="86"/>
      <c r="BI73" s="86"/>
      <c r="BJ73" s="86"/>
      <c r="BK73" s="86"/>
      <c r="BL73" s="86"/>
      <c r="BM73" s="86"/>
      <c r="BN73" s="86"/>
      <c r="BO73" s="86"/>
      <c r="BP73" s="86"/>
      <c r="BQ73" s="86"/>
      <c r="BR73" s="86"/>
      <c r="BS73" s="86"/>
      <c r="BT73" s="86"/>
      <c r="BU73" s="86"/>
      <c r="BV73" s="86"/>
      <c r="BW73" s="86"/>
      <c r="BX73" s="86"/>
      <c r="BY73" s="77"/>
      <c r="BZ73" s="77"/>
      <c r="CA73" s="77"/>
      <c r="CB73" s="77"/>
      <c r="CC73" s="77"/>
      <c r="CD73" s="77"/>
      <c r="CE73" s="77"/>
      <c r="CF73" s="77"/>
    </row>
    <row r="74" spans="1:84">
      <c r="A74" s="77"/>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86"/>
      <c r="AZ74" s="86"/>
      <c r="BA74" s="86"/>
      <c r="BB74" s="86"/>
      <c r="BC74" s="86"/>
      <c r="BD74" s="86"/>
      <c r="BE74" s="86"/>
      <c r="BF74" s="86"/>
      <c r="BG74" s="86"/>
      <c r="BH74" s="86"/>
      <c r="BI74" s="86"/>
      <c r="BJ74" s="86"/>
      <c r="BK74" s="86"/>
      <c r="BL74" s="86"/>
      <c r="BM74" s="86"/>
      <c r="BN74" s="86"/>
      <c r="BO74" s="86"/>
      <c r="BP74" s="86"/>
      <c r="BQ74" s="86"/>
      <c r="BR74" s="86"/>
      <c r="BS74" s="86"/>
      <c r="BT74" s="86"/>
      <c r="BU74" s="86"/>
      <c r="BV74" s="86"/>
      <c r="BW74" s="86"/>
      <c r="BX74" s="86"/>
      <c r="BY74" s="77"/>
      <c r="BZ74" s="77"/>
      <c r="CA74" s="77"/>
      <c r="CB74" s="77"/>
      <c r="CC74" s="77"/>
      <c r="CD74" s="77"/>
      <c r="CE74" s="77"/>
      <c r="CF74" s="77"/>
    </row>
    <row r="75" spans="1:84">
      <c r="A75" s="77"/>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77"/>
      <c r="BZ75" s="77"/>
      <c r="CA75" s="77"/>
      <c r="CB75" s="77"/>
      <c r="CC75" s="77"/>
      <c r="CD75" s="77"/>
      <c r="CE75" s="77"/>
      <c r="CF75" s="77"/>
    </row>
    <row r="76" spans="1:84">
      <c r="A76" s="77"/>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86"/>
      <c r="BN76" s="86"/>
      <c r="BO76" s="86"/>
      <c r="BP76" s="86"/>
      <c r="BQ76" s="86"/>
      <c r="BR76" s="86"/>
      <c r="BS76" s="86"/>
      <c r="BT76" s="86"/>
      <c r="BU76" s="86"/>
      <c r="BV76" s="86"/>
      <c r="BW76" s="86"/>
      <c r="BX76" s="86"/>
      <c r="BY76" s="77"/>
      <c r="BZ76" s="77"/>
      <c r="CA76" s="77"/>
      <c r="CB76" s="77"/>
      <c r="CC76" s="77"/>
      <c r="CD76" s="77"/>
      <c r="CE76" s="77"/>
      <c r="CF76" s="77"/>
    </row>
    <row r="77" spans="1:84">
      <c r="A77" s="77"/>
      <c r="B77" s="86"/>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77"/>
      <c r="BZ77" s="77"/>
      <c r="CA77" s="77"/>
      <c r="CB77" s="77"/>
      <c r="CC77" s="77"/>
      <c r="CD77" s="77"/>
      <c r="CE77" s="77"/>
      <c r="CF77" s="77"/>
    </row>
    <row r="78" spans="1:84">
      <c r="A78" s="77"/>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77"/>
      <c r="BZ78" s="77"/>
      <c r="CA78" s="77"/>
      <c r="CB78" s="77"/>
      <c r="CC78" s="77"/>
      <c r="CD78" s="77"/>
      <c r="CE78" s="77"/>
      <c r="CF78" s="77"/>
    </row>
    <row r="79" spans="1:84">
      <c r="A79" s="77"/>
      <c r="B79" s="86"/>
      <c r="C79" s="86"/>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77"/>
      <c r="BZ79" s="77"/>
      <c r="CA79" s="77"/>
      <c r="CB79" s="77"/>
      <c r="CC79" s="77"/>
      <c r="CD79" s="77"/>
      <c r="CE79" s="77"/>
      <c r="CF79" s="77"/>
    </row>
    <row r="80" spans="1:84">
      <c r="A80" s="77"/>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s="86"/>
      <c r="AX80" s="86"/>
      <c r="AY80" s="86"/>
      <c r="AZ80" s="86"/>
      <c r="BA80" s="86"/>
      <c r="BB80" s="86"/>
      <c r="BC80" s="86"/>
      <c r="BD80" s="86"/>
      <c r="BE80" s="86"/>
      <c r="BF80" s="86"/>
      <c r="BG80" s="86"/>
      <c r="BH80" s="86"/>
      <c r="BI80" s="86"/>
      <c r="BJ80" s="86"/>
      <c r="BK80" s="86"/>
      <c r="BL80" s="86"/>
      <c r="BM80" s="86"/>
      <c r="BN80" s="86"/>
      <c r="BO80" s="86"/>
      <c r="BP80" s="86"/>
      <c r="BQ80" s="86"/>
      <c r="BR80" s="86"/>
      <c r="BS80" s="86"/>
      <c r="BT80" s="86"/>
      <c r="BU80" s="86"/>
      <c r="BV80" s="86"/>
      <c r="BW80" s="86"/>
      <c r="BX80" s="86"/>
      <c r="BY80" s="77"/>
      <c r="BZ80" s="77"/>
      <c r="CA80" s="77"/>
      <c r="CB80" s="77"/>
      <c r="CC80" s="77"/>
      <c r="CD80" s="77"/>
      <c r="CE80" s="77"/>
      <c r="CF80" s="77"/>
    </row>
    <row r="81" spans="1:84">
      <c r="A81" s="77"/>
      <c r="B81" s="86"/>
      <c r="C81" s="86"/>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86"/>
      <c r="BN81" s="86"/>
      <c r="BO81" s="86"/>
      <c r="BP81" s="86"/>
      <c r="BQ81" s="86"/>
      <c r="BR81" s="86"/>
      <c r="BS81" s="86"/>
      <c r="BT81" s="86"/>
      <c r="BU81" s="86"/>
      <c r="BV81" s="86"/>
      <c r="BW81" s="86"/>
      <c r="BX81" s="86"/>
      <c r="BY81" s="77"/>
      <c r="BZ81" s="77"/>
      <c r="CA81" s="77"/>
      <c r="CB81" s="77"/>
      <c r="CC81" s="77"/>
      <c r="CD81" s="77"/>
      <c r="CE81" s="77"/>
      <c r="CF81" s="77"/>
    </row>
    <row r="82" spans="1:84">
      <c r="A82" s="77"/>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c r="BM82" s="86"/>
      <c r="BN82" s="86"/>
      <c r="BO82" s="86"/>
      <c r="BP82" s="86"/>
      <c r="BQ82" s="86"/>
      <c r="BR82" s="86"/>
      <c r="BS82" s="86"/>
      <c r="BT82" s="86"/>
      <c r="BU82" s="86"/>
      <c r="BV82" s="86"/>
      <c r="BW82" s="86"/>
      <c r="BX82" s="86"/>
      <c r="BY82" s="77"/>
      <c r="BZ82" s="77"/>
      <c r="CA82" s="77"/>
      <c r="CB82" s="77"/>
      <c r="CC82" s="77"/>
      <c r="CD82" s="77"/>
      <c r="CE82" s="77"/>
      <c r="CF82" s="77"/>
    </row>
    <row r="83" spans="1:84">
      <c r="A83" s="77"/>
      <c r="B83" s="86"/>
      <c r="C83" s="86"/>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6"/>
      <c r="AN83" s="86"/>
      <c r="AO83" s="86"/>
      <c r="AP83" s="86"/>
      <c r="AQ83" s="86"/>
      <c r="AR83" s="86"/>
      <c r="AS83" s="86"/>
      <c r="AT83" s="86"/>
      <c r="AU83" s="86"/>
      <c r="AV83" s="86"/>
      <c r="AW83" s="86"/>
      <c r="AX83" s="86"/>
      <c r="AY83" s="86"/>
      <c r="AZ83" s="86"/>
      <c r="BA83" s="86"/>
      <c r="BB83" s="86"/>
      <c r="BC83" s="86"/>
      <c r="BD83" s="86"/>
      <c r="BE83" s="86"/>
      <c r="BF83" s="86"/>
      <c r="BG83" s="86"/>
      <c r="BH83" s="86"/>
      <c r="BI83" s="86"/>
      <c r="BJ83" s="86"/>
      <c r="BK83" s="86"/>
      <c r="BL83" s="86"/>
      <c r="BM83" s="86"/>
      <c r="BN83" s="86"/>
      <c r="BO83" s="86"/>
      <c r="BP83" s="86"/>
      <c r="BQ83" s="86"/>
      <c r="BR83" s="86"/>
      <c r="BS83" s="86"/>
      <c r="BT83" s="86"/>
      <c r="BU83" s="86"/>
      <c r="BV83" s="86"/>
      <c r="BW83" s="86"/>
      <c r="BX83" s="86"/>
      <c r="BY83" s="77"/>
      <c r="BZ83" s="77"/>
      <c r="CA83" s="77"/>
      <c r="CB83" s="77"/>
      <c r="CC83" s="77"/>
      <c r="CD83" s="77"/>
      <c r="CE83" s="77"/>
      <c r="CF83" s="77"/>
    </row>
    <row r="84" spans="1:84">
      <c r="A84" s="77"/>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c r="AM84" s="86"/>
      <c r="AN84" s="86"/>
      <c r="AO84" s="86"/>
      <c r="AP84" s="86"/>
      <c r="AQ84" s="86"/>
      <c r="AR84" s="86"/>
      <c r="AS84" s="86"/>
      <c r="AT84" s="86"/>
      <c r="AU84" s="86"/>
      <c r="AV84" s="86"/>
      <c r="AW84" s="86"/>
      <c r="AX84" s="86"/>
      <c r="AY84" s="86"/>
      <c r="AZ84" s="86"/>
      <c r="BA84" s="86"/>
      <c r="BB84" s="86"/>
      <c r="BC84" s="86"/>
      <c r="BD84" s="86"/>
      <c r="BE84" s="86"/>
      <c r="BF84" s="86"/>
      <c r="BG84" s="86"/>
      <c r="BH84" s="86"/>
      <c r="BI84" s="86"/>
      <c r="BJ84" s="86"/>
      <c r="BK84" s="86"/>
      <c r="BL84" s="86"/>
      <c r="BM84" s="86"/>
      <c r="BN84" s="86"/>
      <c r="BO84" s="86"/>
      <c r="BP84" s="86"/>
      <c r="BQ84" s="86"/>
      <c r="BR84" s="86"/>
      <c r="BS84" s="86"/>
      <c r="BT84" s="86"/>
      <c r="BU84" s="86"/>
      <c r="BV84" s="86"/>
      <c r="BW84" s="86"/>
      <c r="BX84" s="86"/>
      <c r="BY84" s="77"/>
      <c r="BZ84" s="77"/>
      <c r="CA84" s="77"/>
      <c r="CB84" s="77"/>
      <c r="CC84" s="77"/>
      <c r="CD84" s="77"/>
      <c r="CE84" s="77"/>
      <c r="CF84" s="77"/>
    </row>
    <row r="85" spans="1:84">
      <c r="A85" s="77"/>
      <c r="B85" s="86"/>
      <c r="C85" s="86"/>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77"/>
      <c r="BZ85" s="77"/>
      <c r="CA85" s="77"/>
      <c r="CB85" s="77"/>
      <c r="CC85" s="77"/>
      <c r="CD85" s="77"/>
      <c r="CE85" s="77"/>
      <c r="CF85" s="77"/>
    </row>
    <row r="86" spans="1:84">
      <c r="A86" s="77"/>
      <c r="B86" s="86"/>
      <c r="C86" s="86"/>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c r="AK86" s="86"/>
      <c r="AL86" s="86"/>
      <c r="AM86" s="86"/>
      <c r="AN86" s="86"/>
      <c r="AO86" s="86"/>
      <c r="AP86" s="86"/>
      <c r="AQ86" s="86"/>
      <c r="AR86" s="86"/>
      <c r="AS86" s="86"/>
      <c r="AT86" s="86"/>
      <c r="AU86" s="86"/>
      <c r="AV86" s="86"/>
      <c r="AW86" s="86"/>
      <c r="AX86" s="86"/>
      <c r="AY86" s="86"/>
      <c r="AZ86" s="86"/>
      <c r="BA86" s="86"/>
      <c r="BB86" s="86"/>
      <c r="BC86" s="86"/>
      <c r="BD86" s="86"/>
      <c r="BE86" s="86"/>
      <c r="BF86" s="86"/>
      <c r="BG86" s="86"/>
      <c r="BH86" s="86"/>
      <c r="BI86" s="86"/>
      <c r="BJ86" s="86"/>
      <c r="BK86" s="86"/>
      <c r="BL86" s="86"/>
      <c r="BM86" s="86"/>
      <c r="BN86" s="86"/>
      <c r="BO86" s="86"/>
      <c r="BP86" s="86"/>
      <c r="BQ86" s="86"/>
      <c r="BR86" s="86"/>
      <c r="BS86" s="86"/>
      <c r="BT86" s="86"/>
      <c r="BU86" s="86"/>
      <c r="BV86" s="86"/>
      <c r="BW86" s="86"/>
      <c r="BX86" s="86"/>
      <c r="BY86" s="77"/>
      <c r="BZ86" s="77"/>
      <c r="CA86" s="77"/>
      <c r="CB86" s="77"/>
      <c r="CC86" s="77"/>
      <c r="CD86" s="77"/>
      <c r="CE86" s="77"/>
      <c r="CF86" s="77"/>
    </row>
    <row r="87" spans="1:84">
      <c r="A87" s="77"/>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77"/>
      <c r="BZ87" s="77"/>
      <c r="CA87" s="77"/>
      <c r="CB87" s="77"/>
      <c r="CC87" s="77"/>
      <c r="CD87" s="77"/>
      <c r="CE87" s="77"/>
      <c r="CF87" s="77"/>
    </row>
    <row r="88" spans="1:84">
      <c r="A88" s="77"/>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77"/>
      <c r="BZ88" s="77"/>
      <c r="CA88" s="77"/>
      <c r="CB88" s="77"/>
      <c r="CC88" s="77"/>
      <c r="CD88" s="77"/>
      <c r="CE88" s="77"/>
      <c r="CF88" s="77"/>
    </row>
    <row r="89" spans="1:84">
      <c r="A89" s="77"/>
      <c r="B89" s="8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c r="BT89" s="86"/>
      <c r="BU89" s="86"/>
      <c r="BV89" s="86"/>
      <c r="BW89" s="86"/>
      <c r="BX89" s="86"/>
      <c r="BY89" s="77"/>
      <c r="BZ89" s="77"/>
      <c r="CA89" s="77"/>
      <c r="CB89" s="77"/>
      <c r="CC89" s="77"/>
      <c r="CD89" s="77"/>
      <c r="CE89" s="77"/>
      <c r="CF89" s="77"/>
    </row>
    <row r="90" spans="1:84">
      <c r="A90" s="77"/>
      <c r="B90" s="86"/>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c r="BN90" s="86"/>
      <c r="BO90" s="86"/>
      <c r="BP90" s="86"/>
      <c r="BQ90" s="86"/>
      <c r="BR90" s="86"/>
      <c r="BS90" s="86"/>
      <c r="BT90" s="86"/>
      <c r="BU90" s="86"/>
      <c r="BV90" s="86"/>
      <c r="BW90" s="86"/>
      <c r="BX90" s="86"/>
      <c r="BY90" s="77"/>
      <c r="BZ90" s="77"/>
      <c r="CA90" s="77"/>
      <c r="CB90" s="77"/>
      <c r="CC90" s="77"/>
      <c r="CD90" s="77"/>
      <c r="CE90" s="77"/>
      <c r="CF90" s="77"/>
    </row>
    <row r="91" spans="1:84">
      <c r="A91" s="77"/>
      <c r="B91" s="86"/>
      <c r="C91" s="86"/>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c r="BK91" s="86"/>
      <c r="BL91" s="86"/>
      <c r="BM91" s="86"/>
      <c r="BN91" s="86"/>
      <c r="BO91" s="86"/>
      <c r="BP91" s="86"/>
      <c r="BQ91" s="86"/>
      <c r="BR91" s="86"/>
      <c r="BS91" s="86"/>
      <c r="BT91" s="86"/>
      <c r="BU91" s="86"/>
      <c r="BV91" s="86"/>
      <c r="BW91" s="86"/>
      <c r="BX91" s="86"/>
      <c r="BY91" s="77"/>
      <c r="BZ91" s="77"/>
      <c r="CA91" s="77"/>
      <c r="CB91" s="77"/>
      <c r="CC91" s="77"/>
      <c r="CD91" s="77"/>
      <c r="CE91" s="77"/>
      <c r="CF91" s="77"/>
    </row>
    <row r="92" spans="1:84">
      <c r="A92" s="77"/>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c r="BK92" s="86"/>
      <c r="BL92" s="86"/>
      <c r="BM92" s="86"/>
      <c r="BN92" s="86"/>
      <c r="BO92" s="86"/>
      <c r="BP92" s="86"/>
      <c r="BQ92" s="86"/>
      <c r="BR92" s="86"/>
      <c r="BS92" s="86"/>
      <c r="BT92" s="86"/>
      <c r="BU92" s="86"/>
      <c r="BV92" s="86"/>
      <c r="BW92" s="86"/>
      <c r="BX92" s="86"/>
      <c r="BY92" s="77"/>
      <c r="BZ92" s="77"/>
      <c r="CA92" s="77"/>
      <c r="CB92" s="77"/>
      <c r="CC92" s="77"/>
      <c r="CD92" s="77"/>
      <c r="CE92" s="77"/>
      <c r="CF92" s="77"/>
    </row>
    <row r="93" spans="1:84">
      <c r="A93" s="77"/>
      <c r="B93" s="86"/>
      <c r="C93" s="86"/>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77"/>
      <c r="BZ93" s="77"/>
      <c r="CA93" s="77"/>
      <c r="CB93" s="77"/>
      <c r="CC93" s="77"/>
      <c r="CD93" s="77"/>
      <c r="CE93" s="77"/>
      <c r="CF93" s="77"/>
    </row>
    <row r="94" spans="1:84">
      <c r="A94" s="77"/>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c r="BV94" s="86"/>
      <c r="BW94" s="86"/>
      <c r="BX94" s="86"/>
      <c r="BY94" s="77"/>
      <c r="BZ94" s="77"/>
      <c r="CA94" s="77"/>
      <c r="CB94" s="77"/>
      <c r="CC94" s="77"/>
      <c r="CD94" s="77"/>
      <c r="CE94" s="77"/>
      <c r="CF94" s="77"/>
    </row>
    <row r="95" spans="1:84">
      <c r="A95" s="77"/>
      <c r="B95" s="86"/>
      <c r="C95" s="86"/>
      <c r="D95" s="86"/>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86"/>
      <c r="BN95" s="86"/>
      <c r="BO95" s="86"/>
      <c r="BP95" s="86"/>
      <c r="BQ95" s="86"/>
      <c r="BR95" s="86"/>
      <c r="BS95" s="86"/>
      <c r="BT95" s="86"/>
      <c r="BU95" s="86"/>
      <c r="BV95" s="86"/>
      <c r="BW95" s="86"/>
      <c r="BX95" s="86"/>
      <c r="BY95" s="77"/>
      <c r="BZ95" s="77"/>
      <c r="CA95" s="77"/>
      <c r="CB95" s="77"/>
      <c r="CC95" s="77"/>
      <c r="CD95" s="77"/>
      <c r="CE95" s="77"/>
      <c r="CF95" s="77"/>
    </row>
    <row r="96" spans="1:84">
      <c r="A96" s="77"/>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c r="AK96" s="86"/>
      <c r="AL96" s="86"/>
      <c r="AM96" s="86"/>
      <c r="AN96" s="86"/>
      <c r="AO96" s="86"/>
      <c r="AP96" s="86"/>
      <c r="AQ96" s="86"/>
      <c r="AR96" s="86"/>
      <c r="AS96" s="86"/>
      <c r="AT96" s="86"/>
      <c r="AU96" s="86"/>
      <c r="AV96" s="86"/>
      <c r="AW96" s="86"/>
      <c r="AX96" s="86"/>
      <c r="AY96" s="86"/>
      <c r="AZ96" s="86"/>
      <c r="BA96" s="86"/>
      <c r="BB96" s="86"/>
      <c r="BC96" s="86"/>
      <c r="BD96" s="86"/>
      <c r="BE96" s="86"/>
      <c r="BF96" s="86"/>
      <c r="BG96" s="86"/>
      <c r="BH96" s="86"/>
      <c r="BI96" s="86"/>
      <c r="BJ96" s="86"/>
      <c r="BK96" s="86"/>
      <c r="BL96" s="86"/>
      <c r="BM96" s="86"/>
      <c r="BN96" s="86"/>
      <c r="BO96" s="86"/>
      <c r="BP96" s="86"/>
      <c r="BQ96" s="86"/>
      <c r="BR96" s="86"/>
      <c r="BS96" s="86"/>
      <c r="BT96" s="86"/>
      <c r="BU96" s="86"/>
      <c r="BV96" s="86"/>
      <c r="BW96" s="86"/>
      <c r="BX96" s="86"/>
      <c r="BY96" s="77"/>
      <c r="BZ96" s="77"/>
      <c r="CA96" s="77"/>
      <c r="CB96" s="77"/>
      <c r="CC96" s="77"/>
      <c r="CD96" s="77"/>
      <c r="CE96" s="77"/>
      <c r="CF96" s="77"/>
    </row>
    <row r="97" spans="1:84">
      <c r="A97" s="77"/>
      <c r="B97" s="86"/>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c r="BT97" s="86"/>
      <c r="BU97" s="86"/>
      <c r="BV97" s="86"/>
      <c r="BW97" s="86"/>
      <c r="BX97" s="86"/>
      <c r="BY97" s="77"/>
      <c r="BZ97" s="77"/>
      <c r="CA97" s="77"/>
      <c r="CB97" s="77"/>
      <c r="CC97" s="77"/>
      <c r="CD97" s="77"/>
      <c r="CE97" s="77"/>
      <c r="CF97" s="77"/>
    </row>
    <row r="98" spans="1:84">
      <c r="A98" s="77"/>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77"/>
      <c r="BZ98" s="77"/>
      <c r="CA98" s="77"/>
      <c r="CB98" s="77"/>
      <c r="CC98" s="77"/>
      <c r="CD98" s="77"/>
      <c r="CE98" s="77"/>
      <c r="CF98" s="77"/>
    </row>
    <row r="99" spans="1:84">
      <c r="A99" s="77"/>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77"/>
      <c r="BZ99" s="77"/>
      <c r="CA99" s="77"/>
      <c r="CB99" s="77"/>
      <c r="CC99" s="77"/>
      <c r="CD99" s="77"/>
      <c r="CE99" s="77"/>
      <c r="CF99" s="77"/>
    </row>
    <row r="100" spans="1:84">
      <c r="A100" s="77"/>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c r="AK100" s="86"/>
      <c r="AL100" s="86"/>
      <c r="AM100" s="86"/>
      <c r="AN100" s="86"/>
      <c r="AO100" s="86"/>
      <c r="AP100" s="86"/>
      <c r="AQ100" s="86"/>
      <c r="AR100" s="86"/>
      <c r="AS100" s="86"/>
      <c r="AT100" s="86"/>
      <c r="AU100" s="86"/>
      <c r="AV100" s="86"/>
      <c r="AW100" s="86"/>
      <c r="AX100" s="86"/>
      <c r="AY100" s="86"/>
      <c r="AZ100" s="86"/>
      <c r="BA100" s="86"/>
      <c r="BB100" s="86"/>
      <c r="BC100" s="86"/>
      <c r="BD100" s="86"/>
      <c r="BE100" s="86"/>
      <c r="BF100" s="86"/>
      <c r="BG100" s="86"/>
      <c r="BH100" s="86"/>
      <c r="BI100" s="86"/>
      <c r="BJ100" s="86"/>
      <c r="BK100" s="86"/>
      <c r="BL100" s="86"/>
      <c r="BM100" s="86"/>
      <c r="BN100" s="86"/>
      <c r="BO100" s="86"/>
      <c r="BP100" s="86"/>
      <c r="BQ100" s="86"/>
      <c r="BR100" s="86"/>
      <c r="BS100" s="86"/>
      <c r="BT100" s="86"/>
      <c r="BU100" s="86"/>
      <c r="BV100" s="86"/>
      <c r="BW100" s="86"/>
      <c r="BX100" s="86"/>
      <c r="BY100" s="77"/>
      <c r="BZ100" s="77"/>
      <c r="CA100" s="77"/>
      <c r="CB100" s="77"/>
      <c r="CC100" s="77"/>
      <c r="CD100" s="77"/>
      <c r="CE100" s="77"/>
      <c r="CF100" s="77"/>
    </row>
    <row r="101" spans="1:84">
      <c r="A101" s="77"/>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c r="BV101" s="86"/>
      <c r="BW101" s="86"/>
      <c r="BX101" s="86"/>
      <c r="BY101" s="77"/>
      <c r="BZ101" s="77"/>
      <c r="CA101" s="77"/>
      <c r="CB101" s="77"/>
      <c r="CC101" s="77"/>
      <c r="CD101" s="77"/>
      <c r="CE101" s="77"/>
      <c r="CF101" s="77"/>
    </row>
    <row r="102" spans="1:84">
      <c r="A102" s="77"/>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c r="BM102" s="86"/>
      <c r="BN102" s="86"/>
      <c r="BO102" s="86"/>
      <c r="BP102" s="86"/>
      <c r="BQ102" s="86"/>
      <c r="BR102" s="86"/>
      <c r="BS102" s="86"/>
      <c r="BT102" s="86"/>
      <c r="BU102" s="86"/>
      <c r="BV102" s="86"/>
      <c r="BW102" s="86"/>
      <c r="BX102" s="86"/>
      <c r="BY102" s="77"/>
      <c r="BZ102" s="77"/>
      <c r="CA102" s="77"/>
      <c r="CB102" s="77"/>
      <c r="CC102" s="77"/>
      <c r="CD102" s="77"/>
      <c r="CE102" s="77"/>
      <c r="CF102" s="77"/>
    </row>
    <row r="103" spans="1:84">
      <c r="A103" s="77"/>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6"/>
      <c r="AF103" s="86"/>
      <c r="AG103" s="86"/>
      <c r="AH103" s="86"/>
      <c r="AI103" s="86"/>
      <c r="AJ103" s="86"/>
      <c r="AK103" s="86"/>
      <c r="AL103" s="86"/>
      <c r="AM103" s="86"/>
      <c r="AN103" s="86"/>
      <c r="AO103" s="86"/>
      <c r="AP103" s="86"/>
      <c r="AQ103" s="86"/>
      <c r="AR103" s="86"/>
      <c r="AS103" s="86"/>
      <c r="AT103" s="86"/>
      <c r="AU103" s="86"/>
      <c r="AV103" s="86"/>
      <c r="AW103" s="86"/>
      <c r="AX103" s="86"/>
      <c r="AY103" s="86"/>
      <c r="AZ103" s="86"/>
      <c r="BA103" s="86"/>
      <c r="BB103" s="86"/>
      <c r="BC103" s="86"/>
      <c r="BD103" s="86"/>
      <c r="BE103" s="86"/>
      <c r="BF103" s="86"/>
      <c r="BG103" s="86"/>
      <c r="BH103" s="86"/>
      <c r="BI103" s="86"/>
      <c r="BJ103" s="86"/>
      <c r="BK103" s="86"/>
      <c r="BL103" s="86"/>
      <c r="BM103" s="86"/>
      <c r="BN103" s="86"/>
      <c r="BO103" s="86"/>
      <c r="BP103" s="86"/>
      <c r="BQ103" s="86"/>
      <c r="BR103" s="86"/>
      <c r="BS103" s="86"/>
      <c r="BT103" s="86"/>
      <c r="BU103" s="86"/>
      <c r="BV103" s="86"/>
      <c r="BW103" s="86"/>
      <c r="BX103" s="86"/>
      <c r="BY103" s="77"/>
      <c r="BZ103" s="77"/>
      <c r="CA103" s="77"/>
      <c r="CB103" s="77"/>
      <c r="CC103" s="77"/>
      <c r="CD103" s="77"/>
      <c r="CE103" s="77"/>
      <c r="CF103" s="77"/>
    </row>
    <row r="104" spans="1:84">
      <c r="A104" s="77"/>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c r="AK104" s="86"/>
      <c r="AL104" s="86"/>
      <c r="AM104" s="86"/>
      <c r="AN104" s="86"/>
      <c r="AO104" s="86"/>
      <c r="AP104" s="86"/>
      <c r="AQ104" s="86"/>
      <c r="AR104" s="86"/>
      <c r="AS104" s="86"/>
      <c r="AT104" s="86"/>
      <c r="AU104" s="86"/>
      <c r="AV104" s="86"/>
      <c r="AW104" s="86"/>
      <c r="AX104" s="86"/>
      <c r="AY104" s="86"/>
      <c r="AZ104" s="86"/>
      <c r="BA104" s="86"/>
      <c r="BB104" s="86"/>
      <c r="BC104" s="86"/>
      <c r="BD104" s="86"/>
      <c r="BE104" s="86"/>
      <c r="BF104" s="86"/>
      <c r="BG104" s="86"/>
      <c r="BH104" s="86"/>
      <c r="BI104" s="86"/>
      <c r="BJ104" s="86"/>
      <c r="BK104" s="86"/>
      <c r="BL104" s="86"/>
      <c r="BM104" s="86"/>
      <c r="BN104" s="86"/>
      <c r="BO104" s="86"/>
      <c r="BP104" s="86"/>
      <c r="BQ104" s="86"/>
      <c r="BR104" s="86"/>
      <c r="BS104" s="86"/>
      <c r="BT104" s="86"/>
      <c r="BU104" s="86"/>
      <c r="BV104" s="86"/>
      <c r="BW104" s="86"/>
      <c r="BX104" s="86"/>
      <c r="BY104" s="77"/>
      <c r="BZ104" s="77"/>
      <c r="CA104" s="77"/>
      <c r="CB104" s="77"/>
      <c r="CC104" s="77"/>
      <c r="CD104" s="77"/>
      <c r="CE104" s="77"/>
      <c r="CF104" s="77"/>
    </row>
    <row r="105" spans="1:84">
      <c r="A105" s="77"/>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6"/>
      <c r="AF105" s="86"/>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c r="BM105" s="86"/>
      <c r="BN105" s="86"/>
      <c r="BO105" s="86"/>
      <c r="BP105" s="86"/>
      <c r="BQ105" s="86"/>
      <c r="BR105" s="86"/>
      <c r="BS105" s="86"/>
      <c r="BT105" s="86"/>
      <c r="BU105" s="86"/>
      <c r="BV105" s="86"/>
      <c r="BW105" s="86"/>
      <c r="BX105" s="86"/>
      <c r="BY105" s="77"/>
      <c r="BZ105" s="77"/>
      <c r="CA105" s="77"/>
      <c r="CB105" s="77"/>
      <c r="CC105" s="77"/>
      <c r="CD105" s="77"/>
      <c r="CE105" s="77"/>
      <c r="CF105" s="77"/>
    </row>
    <row r="106" spans="1:84">
      <c r="A106" s="77"/>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BJ106" s="86"/>
      <c r="BK106" s="86"/>
      <c r="BL106" s="86"/>
      <c r="BM106" s="86"/>
      <c r="BN106" s="86"/>
      <c r="BO106" s="86"/>
      <c r="BP106" s="86"/>
      <c r="BQ106" s="86"/>
      <c r="BR106" s="86"/>
      <c r="BS106" s="86"/>
      <c r="BT106" s="86"/>
      <c r="BU106" s="86"/>
      <c r="BV106" s="86"/>
      <c r="BW106" s="86"/>
      <c r="BX106" s="86"/>
      <c r="BY106" s="77"/>
      <c r="BZ106" s="77"/>
      <c r="CA106" s="77"/>
      <c r="CB106" s="77"/>
      <c r="CC106" s="77"/>
      <c r="CD106" s="77"/>
      <c r="CE106" s="77"/>
      <c r="CF106" s="77"/>
    </row>
    <row r="107" spans="1:84">
      <c r="A107" s="77"/>
      <c r="B107" s="86"/>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c r="AA107" s="86"/>
      <c r="AB107" s="86"/>
      <c r="AC107" s="86"/>
      <c r="AD107" s="86"/>
      <c r="AE107" s="86"/>
      <c r="AF107" s="86"/>
      <c r="AG107" s="86"/>
      <c r="AH107" s="86"/>
      <c r="AI107" s="86"/>
      <c r="AJ107" s="86"/>
      <c r="AK107" s="86"/>
      <c r="AL107" s="86"/>
      <c r="AM107" s="86"/>
      <c r="AN107" s="86"/>
      <c r="AO107" s="86"/>
      <c r="AP107" s="86"/>
      <c r="AQ107" s="86"/>
      <c r="AR107" s="86"/>
      <c r="AS107" s="86"/>
      <c r="AT107" s="86"/>
      <c r="AU107" s="86"/>
      <c r="AV107" s="86"/>
      <c r="AW107" s="86"/>
      <c r="AX107" s="86"/>
      <c r="AY107" s="86"/>
      <c r="AZ107" s="86"/>
      <c r="BA107" s="86"/>
      <c r="BB107" s="86"/>
      <c r="BC107" s="86"/>
      <c r="BD107" s="86"/>
      <c r="BE107" s="86"/>
      <c r="BF107" s="86"/>
      <c r="BG107" s="86"/>
      <c r="BH107" s="86"/>
      <c r="BI107" s="86"/>
      <c r="BJ107" s="86"/>
      <c r="BK107" s="86"/>
      <c r="BL107" s="86"/>
      <c r="BM107" s="86"/>
      <c r="BN107" s="86"/>
      <c r="BO107" s="86"/>
      <c r="BP107" s="86"/>
      <c r="BQ107" s="86"/>
      <c r="BR107" s="86"/>
      <c r="BS107" s="86"/>
      <c r="BT107" s="86"/>
      <c r="BU107" s="86"/>
      <c r="BV107" s="86"/>
      <c r="BW107" s="86"/>
      <c r="BX107" s="86"/>
      <c r="BY107" s="77"/>
      <c r="BZ107" s="77"/>
      <c r="CA107" s="77"/>
      <c r="CB107" s="77"/>
      <c r="CC107" s="77"/>
      <c r="CD107" s="77"/>
      <c r="CE107" s="77"/>
      <c r="CF107" s="77"/>
    </row>
    <row r="108" spans="1:84">
      <c r="A108" s="77"/>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c r="AK108" s="86"/>
      <c r="AL108" s="86"/>
      <c r="AM108" s="86"/>
      <c r="AN108" s="86"/>
      <c r="AO108" s="86"/>
      <c r="AP108" s="86"/>
      <c r="AQ108" s="86"/>
      <c r="AR108" s="86"/>
      <c r="AS108" s="86"/>
      <c r="AT108" s="86"/>
      <c r="AU108" s="86"/>
      <c r="AV108" s="86"/>
      <c r="AW108" s="86"/>
      <c r="AX108" s="86"/>
      <c r="AY108" s="86"/>
      <c r="AZ108" s="86"/>
      <c r="BA108" s="86"/>
      <c r="BB108" s="86"/>
      <c r="BC108" s="86"/>
      <c r="BD108" s="86"/>
      <c r="BE108" s="86"/>
      <c r="BF108" s="86"/>
      <c r="BG108" s="86"/>
      <c r="BH108" s="86"/>
      <c r="BI108" s="86"/>
      <c r="BJ108" s="86"/>
      <c r="BK108" s="86"/>
      <c r="BL108" s="86"/>
      <c r="BM108" s="86"/>
      <c r="BN108" s="86"/>
      <c r="BO108" s="86"/>
      <c r="BP108" s="86"/>
      <c r="BQ108" s="86"/>
      <c r="BR108" s="86"/>
      <c r="BS108" s="86"/>
      <c r="BT108" s="86"/>
      <c r="BU108" s="86"/>
      <c r="BV108" s="86"/>
      <c r="BW108" s="86"/>
      <c r="BX108" s="86"/>
      <c r="BY108" s="77"/>
      <c r="BZ108" s="77"/>
      <c r="CA108" s="77"/>
      <c r="CB108" s="77"/>
      <c r="CC108" s="77"/>
      <c r="CD108" s="77"/>
      <c r="CE108" s="77"/>
      <c r="CF108" s="77"/>
    </row>
    <row r="109" spans="1:84">
      <c r="A109" s="77"/>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6"/>
      <c r="AF109" s="86"/>
      <c r="AG109" s="86"/>
      <c r="AH109" s="86"/>
      <c r="AI109" s="86"/>
      <c r="AJ109" s="86"/>
      <c r="AK109" s="86"/>
      <c r="AL109" s="86"/>
      <c r="AM109" s="86"/>
      <c r="AN109" s="86"/>
      <c r="AO109" s="86"/>
      <c r="AP109" s="86"/>
      <c r="AQ109" s="86"/>
      <c r="AR109" s="86"/>
      <c r="AS109" s="86"/>
      <c r="AT109" s="86"/>
      <c r="AU109" s="86"/>
      <c r="AV109" s="86"/>
      <c r="AW109" s="86"/>
      <c r="AX109" s="86"/>
      <c r="AY109" s="86"/>
      <c r="AZ109" s="86"/>
      <c r="BA109" s="86"/>
      <c r="BB109" s="86"/>
      <c r="BC109" s="86"/>
      <c r="BD109" s="86"/>
      <c r="BE109" s="86"/>
      <c r="BF109" s="86"/>
      <c r="BG109" s="86"/>
      <c r="BH109" s="86"/>
      <c r="BI109" s="86"/>
      <c r="BJ109" s="86"/>
      <c r="BK109" s="86"/>
      <c r="BL109" s="86"/>
      <c r="BM109" s="86"/>
      <c r="BN109" s="86"/>
      <c r="BO109" s="86"/>
      <c r="BP109" s="86"/>
      <c r="BQ109" s="86"/>
      <c r="BR109" s="86"/>
      <c r="BS109" s="86"/>
      <c r="BT109" s="86"/>
      <c r="BU109" s="86"/>
      <c r="BV109" s="86"/>
      <c r="BW109" s="86"/>
      <c r="BX109" s="86"/>
      <c r="BY109" s="77"/>
      <c r="BZ109" s="77"/>
      <c r="CA109" s="77"/>
      <c r="CB109" s="77"/>
      <c r="CC109" s="77"/>
      <c r="CD109" s="77"/>
      <c r="CE109" s="77"/>
      <c r="CF109" s="77"/>
    </row>
    <row r="110" spans="1:84">
      <c r="A110" s="77"/>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c r="AK110" s="86"/>
      <c r="AL110" s="86"/>
      <c r="AM110" s="86"/>
      <c r="AN110" s="86"/>
      <c r="AO110" s="86"/>
      <c r="AP110" s="86"/>
      <c r="AQ110" s="86"/>
      <c r="AR110" s="86"/>
      <c r="AS110" s="86"/>
      <c r="AT110" s="86"/>
      <c r="AU110" s="86"/>
      <c r="AV110" s="86"/>
      <c r="AW110" s="86"/>
      <c r="AX110" s="86"/>
      <c r="AY110" s="86"/>
      <c r="AZ110" s="86"/>
      <c r="BA110" s="86"/>
      <c r="BB110" s="86"/>
      <c r="BC110" s="86"/>
      <c r="BD110" s="86"/>
      <c r="BE110" s="86"/>
      <c r="BF110" s="86"/>
      <c r="BG110" s="86"/>
      <c r="BH110" s="86"/>
      <c r="BI110" s="86"/>
      <c r="BJ110" s="86"/>
      <c r="BK110" s="86"/>
      <c r="BL110" s="86"/>
      <c r="BM110" s="86"/>
      <c r="BN110" s="86"/>
      <c r="BO110" s="86"/>
      <c r="BP110" s="86"/>
      <c r="BQ110" s="86"/>
      <c r="BR110" s="86"/>
      <c r="BS110" s="86"/>
      <c r="BT110" s="86"/>
      <c r="BU110" s="86"/>
      <c r="BV110" s="86"/>
      <c r="BW110" s="86"/>
      <c r="BX110" s="86"/>
      <c r="BY110" s="77"/>
      <c r="BZ110" s="77"/>
      <c r="CA110" s="77"/>
      <c r="CB110" s="77"/>
      <c r="CC110" s="77"/>
      <c r="CD110" s="77"/>
      <c r="CE110" s="77"/>
      <c r="CF110" s="77"/>
    </row>
    <row r="111" spans="1:84">
      <c r="A111" s="77"/>
      <c r="B111" s="86"/>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c r="BM111" s="86"/>
      <c r="BN111" s="86"/>
      <c r="BO111" s="86"/>
      <c r="BP111" s="86"/>
      <c r="BQ111" s="86"/>
      <c r="BR111" s="86"/>
      <c r="BS111" s="86"/>
      <c r="BT111" s="86"/>
      <c r="BU111" s="86"/>
      <c r="BV111" s="86"/>
      <c r="BW111" s="86"/>
      <c r="BX111" s="86"/>
      <c r="BY111" s="77"/>
      <c r="BZ111" s="77"/>
      <c r="CA111" s="77"/>
      <c r="CB111" s="77"/>
      <c r="CC111" s="77"/>
      <c r="CD111" s="77"/>
      <c r="CE111" s="77"/>
      <c r="CF111" s="77"/>
    </row>
    <row r="112" spans="1:84">
      <c r="A112" s="77"/>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6"/>
      <c r="BL112" s="86"/>
      <c r="BM112" s="86"/>
      <c r="BN112" s="86"/>
      <c r="BO112" s="86"/>
      <c r="BP112" s="86"/>
      <c r="BQ112" s="86"/>
      <c r="BR112" s="86"/>
      <c r="BS112" s="86"/>
      <c r="BT112" s="86"/>
      <c r="BU112" s="86"/>
      <c r="BV112" s="86"/>
      <c r="BW112" s="86"/>
      <c r="BX112" s="86"/>
      <c r="BY112" s="77"/>
      <c r="BZ112" s="77"/>
      <c r="CA112" s="77"/>
      <c r="CB112" s="77"/>
      <c r="CC112" s="77"/>
      <c r="CD112" s="77"/>
      <c r="CE112" s="77"/>
      <c r="CF112" s="77"/>
    </row>
    <row r="113" spans="1:84">
      <c r="A113" s="77"/>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c r="AI113" s="86"/>
      <c r="AJ113" s="86"/>
      <c r="AK113" s="86"/>
      <c r="AL113" s="86"/>
      <c r="AM113" s="86"/>
      <c r="AN113" s="86"/>
      <c r="AO113" s="86"/>
      <c r="AP113" s="86"/>
      <c r="AQ113" s="86"/>
      <c r="AR113" s="86"/>
      <c r="AS113" s="86"/>
      <c r="AT113" s="86"/>
      <c r="AU113" s="86"/>
      <c r="AV113" s="86"/>
      <c r="AW113" s="86"/>
      <c r="AX113" s="86"/>
      <c r="AY113" s="86"/>
      <c r="AZ113" s="86"/>
      <c r="BA113" s="86"/>
      <c r="BB113" s="86"/>
      <c r="BC113" s="86"/>
      <c r="BD113" s="86"/>
      <c r="BE113" s="86"/>
      <c r="BF113" s="86"/>
      <c r="BG113" s="86"/>
      <c r="BH113" s="86"/>
      <c r="BI113" s="86"/>
      <c r="BJ113" s="86"/>
      <c r="BK113" s="86"/>
      <c r="BL113" s="86"/>
      <c r="BM113" s="86"/>
      <c r="BN113" s="86"/>
      <c r="BO113" s="86"/>
      <c r="BP113" s="86"/>
      <c r="BQ113" s="86"/>
      <c r="BR113" s="86"/>
      <c r="BS113" s="86"/>
      <c r="BT113" s="86"/>
      <c r="BU113" s="86"/>
      <c r="BV113" s="86"/>
      <c r="BW113" s="86"/>
      <c r="BX113" s="86"/>
      <c r="BY113" s="77"/>
      <c r="BZ113" s="77"/>
      <c r="CA113" s="77"/>
      <c r="CB113" s="77"/>
      <c r="CC113" s="77"/>
      <c r="CD113" s="77"/>
      <c r="CE113" s="77"/>
      <c r="CF113" s="77"/>
    </row>
    <row r="114" spans="1:84">
      <c r="A114" s="77"/>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c r="AK114" s="86"/>
      <c r="AL114" s="86"/>
      <c r="AM114" s="86"/>
      <c r="AN114" s="86"/>
      <c r="AO114" s="86"/>
      <c r="AP114" s="86"/>
      <c r="AQ114" s="86"/>
      <c r="AR114" s="86"/>
      <c r="AS114" s="86"/>
      <c r="AT114" s="86"/>
      <c r="AU114" s="86"/>
      <c r="AV114" s="86"/>
      <c r="AW114" s="86"/>
      <c r="AX114" s="86"/>
      <c r="AY114" s="86"/>
      <c r="AZ114" s="86"/>
      <c r="BA114" s="86"/>
      <c r="BB114" s="86"/>
      <c r="BC114" s="86"/>
      <c r="BD114" s="86"/>
      <c r="BE114" s="86"/>
      <c r="BF114" s="86"/>
      <c r="BG114" s="86"/>
      <c r="BH114" s="86"/>
      <c r="BI114" s="86"/>
      <c r="BJ114" s="86"/>
      <c r="BK114" s="86"/>
      <c r="BL114" s="86"/>
      <c r="BM114" s="86"/>
      <c r="BN114" s="86"/>
      <c r="BO114" s="86"/>
      <c r="BP114" s="86"/>
      <c r="BQ114" s="86"/>
      <c r="BR114" s="86"/>
      <c r="BS114" s="86"/>
      <c r="BT114" s="86"/>
      <c r="BU114" s="86"/>
      <c r="BV114" s="86"/>
      <c r="BW114" s="86"/>
      <c r="BX114" s="86"/>
      <c r="BY114" s="77"/>
      <c r="BZ114" s="77"/>
      <c r="CA114" s="77"/>
      <c r="CB114" s="77"/>
      <c r="CC114" s="77"/>
      <c r="CD114" s="77"/>
      <c r="CE114" s="77"/>
      <c r="CF114" s="77"/>
    </row>
    <row r="115" spans="1:84">
      <c r="A115" s="77"/>
      <c r="B115" s="86"/>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86"/>
      <c r="AI115" s="86"/>
      <c r="AJ115" s="86"/>
      <c r="AK115" s="86"/>
      <c r="AL115" s="86"/>
      <c r="AM115" s="86"/>
      <c r="AN115" s="86"/>
      <c r="AO115" s="86"/>
      <c r="AP115" s="86"/>
      <c r="AQ115" s="86"/>
      <c r="AR115" s="86"/>
      <c r="AS115" s="86"/>
      <c r="AT115" s="86"/>
      <c r="AU115" s="86"/>
      <c r="AV115" s="86"/>
      <c r="AW115" s="86"/>
      <c r="AX115" s="86"/>
      <c r="AY115" s="86"/>
      <c r="AZ115" s="86"/>
      <c r="BA115" s="86"/>
      <c r="BB115" s="86"/>
      <c r="BC115" s="86"/>
      <c r="BD115" s="86"/>
      <c r="BE115" s="86"/>
      <c r="BF115" s="86"/>
      <c r="BG115" s="86"/>
      <c r="BH115" s="86"/>
      <c r="BI115" s="86"/>
      <c r="BJ115" s="86"/>
      <c r="BK115" s="86"/>
      <c r="BL115" s="86"/>
      <c r="BM115" s="86"/>
      <c r="BN115" s="86"/>
      <c r="BO115" s="86"/>
      <c r="BP115" s="86"/>
      <c r="BQ115" s="86"/>
      <c r="BR115" s="86"/>
      <c r="BS115" s="86"/>
      <c r="BT115" s="86"/>
      <c r="BU115" s="86"/>
      <c r="BV115" s="86"/>
      <c r="BW115" s="86"/>
      <c r="BX115" s="86"/>
      <c r="BY115" s="77"/>
      <c r="BZ115" s="77"/>
      <c r="CA115" s="77"/>
      <c r="CB115" s="77"/>
      <c r="CC115" s="77"/>
      <c r="CD115" s="77"/>
      <c r="CE115" s="77"/>
      <c r="CF115" s="77"/>
    </row>
    <row r="116" spans="1:84">
      <c r="A116" s="77"/>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c r="AK116" s="86"/>
      <c r="AL116" s="86"/>
      <c r="AM116" s="86"/>
      <c r="AN116" s="86"/>
      <c r="AO116" s="86"/>
      <c r="AP116" s="86"/>
      <c r="AQ116" s="86"/>
      <c r="AR116" s="86"/>
      <c r="AS116" s="86"/>
      <c r="AT116" s="86"/>
      <c r="AU116" s="86"/>
      <c r="AV116" s="86"/>
      <c r="AW116" s="86"/>
      <c r="AX116" s="86"/>
      <c r="AY116" s="86"/>
      <c r="AZ116" s="86"/>
      <c r="BA116" s="86"/>
      <c r="BB116" s="86"/>
      <c r="BC116" s="86"/>
      <c r="BD116" s="86"/>
      <c r="BE116" s="86"/>
      <c r="BF116" s="86"/>
      <c r="BG116" s="86"/>
      <c r="BH116" s="86"/>
      <c r="BI116" s="86"/>
      <c r="BJ116" s="86"/>
      <c r="BK116" s="86"/>
      <c r="BL116" s="86"/>
      <c r="BM116" s="86"/>
      <c r="BN116" s="86"/>
      <c r="BO116" s="86"/>
      <c r="BP116" s="86"/>
      <c r="BQ116" s="86"/>
      <c r="BR116" s="86"/>
      <c r="BS116" s="86"/>
      <c r="BT116" s="86"/>
      <c r="BU116" s="86"/>
      <c r="BV116" s="86"/>
      <c r="BW116" s="86"/>
      <c r="BX116" s="86"/>
      <c r="BY116" s="77"/>
      <c r="BZ116" s="77"/>
      <c r="CA116" s="77"/>
      <c r="CB116" s="77"/>
      <c r="CC116" s="77"/>
      <c r="CD116" s="77"/>
      <c r="CE116" s="77"/>
      <c r="CF116" s="77"/>
    </row>
    <row r="117" spans="1:84">
      <c r="A117" s="77"/>
      <c r="B117" s="86"/>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B117" s="86"/>
      <c r="AC117" s="86"/>
      <c r="AD117" s="86"/>
      <c r="AE117" s="86"/>
      <c r="AF117" s="86"/>
      <c r="AG117" s="86"/>
      <c r="AH117" s="86"/>
      <c r="AI117" s="86"/>
      <c r="AJ117" s="86"/>
      <c r="AK117" s="86"/>
      <c r="AL117" s="86"/>
      <c r="AM117" s="86"/>
      <c r="AN117" s="86"/>
      <c r="AO117" s="86"/>
      <c r="AP117" s="86"/>
      <c r="AQ117" s="86"/>
      <c r="AR117" s="86"/>
      <c r="AS117" s="86"/>
      <c r="AT117" s="86"/>
      <c r="AU117" s="86"/>
      <c r="AV117" s="86"/>
      <c r="AW117" s="86"/>
      <c r="AX117" s="86"/>
      <c r="AY117" s="86"/>
      <c r="AZ117" s="86"/>
      <c r="BA117" s="86"/>
      <c r="BB117" s="86"/>
      <c r="BC117" s="86"/>
      <c r="BD117" s="86"/>
      <c r="BE117" s="86"/>
      <c r="BF117" s="86"/>
      <c r="BG117" s="86"/>
      <c r="BH117" s="86"/>
      <c r="BI117" s="86"/>
      <c r="BJ117" s="86"/>
      <c r="BK117" s="86"/>
      <c r="BL117" s="86"/>
      <c r="BM117" s="86"/>
      <c r="BN117" s="86"/>
      <c r="BO117" s="86"/>
      <c r="BP117" s="86"/>
      <c r="BQ117" s="86"/>
      <c r="BR117" s="86"/>
      <c r="BS117" s="86"/>
      <c r="BT117" s="86"/>
      <c r="BU117" s="86"/>
      <c r="BV117" s="86"/>
      <c r="BW117" s="86"/>
      <c r="BX117" s="86"/>
      <c r="BY117" s="77"/>
      <c r="BZ117" s="77"/>
      <c r="CA117" s="77"/>
      <c r="CB117" s="77"/>
      <c r="CC117" s="77"/>
      <c r="CD117" s="77"/>
      <c r="CE117" s="77"/>
      <c r="CF117" s="77"/>
    </row>
    <row r="118" spans="1:84">
      <c r="A118" s="77"/>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c r="AK118" s="86"/>
      <c r="AL118" s="86"/>
      <c r="AM118" s="86"/>
      <c r="AN118" s="86"/>
      <c r="AO118" s="86"/>
      <c r="AP118" s="86"/>
      <c r="AQ118" s="86"/>
      <c r="AR118" s="86"/>
      <c r="AS118" s="86"/>
      <c r="AT118" s="86"/>
      <c r="AU118" s="86"/>
      <c r="AV118" s="86"/>
      <c r="AW118" s="86"/>
      <c r="AX118" s="86"/>
      <c r="AY118" s="86"/>
      <c r="AZ118" s="86"/>
      <c r="BA118" s="86"/>
      <c r="BB118" s="86"/>
      <c r="BC118" s="86"/>
      <c r="BD118" s="86"/>
      <c r="BE118" s="86"/>
      <c r="BF118" s="86"/>
      <c r="BG118" s="86"/>
      <c r="BH118" s="86"/>
      <c r="BI118" s="86"/>
      <c r="BJ118" s="86"/>
      <c r="BK118" s="86"/>
      <c r="BL118" s="86"/>
      <c r="BM118" s="86"/>
      <c r="BN118" s="86"/>
      <c r="BO118" s="86"/>
      <c r="BP118" s="86"/>
      <c r="BQ118" s="86"/>
      <c r="BR118" s="86"/>
      <c r="BS118" s="86"/>
      <c r="BT118" s="86"/>
      <c r="BU118" s="86"/>
      <c r="BV118" s="86"/>
      <c r="BW118" s="86"/>
      <c r="BX118" s="86"/>
      <c r="BY118" s="77"/>
      <c r="BZ118" s="77"/>
      <c r="CA118" s="77"/>
      <c r="CB118" s="77"/>
      <c r="CC118" s="77"/>
      <c r="CD118" s="77"/>
      <c r="CE118" s="77"/>
      <c r="CF118" s="77"/>
    </row>
    <row r="119" spans="1:84">
      <c r="A119" s="77"/>
      <c r="B119" s="86"/>
      <c r="C119" s="86"/>
      <c r="D119" s="86"/>
      <c r="E119" s="86"/>
      <c r="F119" s="86"/>
      <c r="G119" s="86"/>
      <c r="H119" s="86"/>
      <c r="I119" s="86"/>
      <c r="J119" s="86"/>
      <c r="K119" s="86"/>
      <c r="L119" s="86"/>
      <c r="M119" s="86"/>
      <c r="N119" s="86"/>
      <c r="O119" s="86"/>
      <c r="P119" s="86"/>
      <c r="Q119" s="86"/>
      <c r="R119" s="86"/>
      <c r="S119" s="86"/>
      <c r="T119" s="86"/>
      <c r="U119" s="86"/>
      <c r="V119" s="86"/>
      <c r="W119" s="86"/>
      <c r="X119" s="86"/>
      <c r="Y119" s="86"/>
      <c r="Z119" s="86"/>
      <c r="AA119" s="86"/>
      <c r="AB119" s="86"/>
      <c r="AC119" s="86"/>
      <c r="AD119" s="86"/>
      <c r="AE119" s="86"/>
      <c r="AF119" s="86"/>
      <c r="AG119" s="86"/>
      <c r="AH119" s="86"/>
      <c r="AI119" s="86"/>
      <c r="AJ119" s="86"/>
      <c r="AK119" s="86"/>
      <c r="AL119" s="86"/>
      <c r="AM119" s="86"/>
      <c r="AN119" s="86"/>
      <c r="AO119" s="86"/>
      <c r="AP119" s="86"/>
      <c r="AQ119" s="86"/>
      <c r="AR119" s="86"/>
      <c r="AS119" s="86"/>
      <c r="AT119" s="86"/>
      <c r="AU119" s="86"/>
      <c r="AV119" s="86"/>
      <c r="AW119" s="86"/>
      <c r="AX119" s="86"/>
      <c r="AY119" s="86"/>
      <c r="AZ119" s="86"/>
      <c r="BA119" s="86"/>
      <c r="BB119" s="86"/>
      <c r="BC119" s="86"/>
      <c r="BD119" s="86"/>
      <c r="BE119" s="86"/>
      <c r="BF119" s="86"/>
      <c r="BG119" s="86"/>
      <c r="BH119" s="86"/>
      <c r="BI119" s="86"/>
      <c r="BJ119" s="86"/>
      <c r="BK119" s="86"/>
      <c r="BL119" s="86"/>
      <c r="BM119" s="86"/>
      <c r="BN119" s="86"/>
      <c r="BO119" s="86"/>
      <c r="BP119" s="86"/>
      <c r="BQ119" s="86"/>
      <c r="BR119" s="86"/>
      <c r="BS119" s="86"/>
      <c r="BT119" s="86"/>
      <c r="BU119" s="86"/>
      <c r="BV119" s="86"/>
      <c r="BW119" s="86"/>
      <c r="BX119" s="86"/>
      <c r="BY119" s="77"/>
      <c r="BZ119" s="77"/>
      <c r="CA119" s="77"/>
      <c r="CB119" s="77"/>
      <c r="CC119" s="77"/>
      <c r="CD119" s="77"/>
      <c r="CE119" s="77"/>
      <c r="CF119" s="77"/>
    </row>
    <row r="120" spans="1:84">
      <c r="A120" s="77"/>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c r="AK120" s="86"/>
      <c r="AL120" s="86"/>
      <c r="AM120" s="86"/>
      <c r="AN120" s="86"/>
      <c r="AO120" s="86"/>
      <c r="AP120" s="86"/>
      <c r="AQ120" s="86"/>
      <c r="AR120" s="86"/>
      <c r="AS120" s="86"/>
      <c r="AT120" s="86"/>
      <c r="AU120" s="86"/>
      <c r="AV120" s="86"/>
      <c r="AW120" s="86"/>
      <c r="AX120" s="86"/>
      <c r="AY120" s="86"/>
      <c r="AZ120" s="86"/>
      <c r="BA120" s="86"/>
      <c r="BB120" s="86"/>
      <c r="BC120" s="86"/>
      <c r="BD120" s="86"/>
      <c r="BE120" s="86"/>
      <c r="BF120" s="86"/>
      <c r="BG120" s="86"/>
      <c r="BH120" s="86"/>
      <c r="BI120" s="86"/>
      <c r="BJ120" s="86"/>
      <c r="BK120" s="86"/>
      <c r="BL120" s="86"/>
      <c r="BM120" s="86"/>
      <c r="BN120" s="86"/>
      <c r="BO120" s="86"/>
      <c r="BP120" s="86"/>
      <c r="BQ120" s="86"/>
      <c r="BR120" s="86"/>
      <c r="BS120" s="86"/>
      <c r="BT120" s="86"/>
      <c r="BU120" s="86"/>
      <c r="BV120" s="86"/>
      <c r="BW120" s="86"/>
      <c r="BX120" s="86"/>
      <c r="BY120" s="77"/>
      <c r="BZ120" s="77"/>
      <c r="CA120" s="77"/>
      <c r="CB120" s="77"/>
      <c r="CC120" s="77"/>
      <c r="CD120" s="77"/>
      <c r="CE120" s="77"/>
      <c r="CF120" s="77"/>
    </row>
    <row r="121" spans="1:84">
      <c r="A121" s="77"/>
      <c r="B121" s="86"/>
      <c r="C121" s="86"/>
      <c r="D121" s="86"/>
      <c r="E121" s="86"/>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6"/>
      <c r="AF121" s="86"/>
      <c r="AG121" s="86"/>
      <c r="AH121" s="86"/>
      <c r="AI121" s="86"/>
      <c r="AJ121" s="86"/>
      <c r="AK121" s="86"/>
      <c r="AL121" s="86"/>
      <c r="AM121" s="86"/>
      <c r="AN121" s="86"/>
      <c r="AO121" s="86"/>
      <c r="AP121" s="86"/>
      <c r="AQ121" s="86"/>
      <c r="AR121" s="86"/>
      <c r="AS121" s="86"/>
      <c r="AT121" s="86"/>
      <c r="AU121" s="86"/>
      <c r="AV121" s="86"/>
      <c r="AW121" s="86"/>
      <c r="AX121" s="86"/>
      <c r="AY121" s="86"/>
      <c r="AZ121" s="86"/>
      <c r="BA121" s="86"/>
      <c r="BB121" s="86"/>
      <c r="BC121" s="86"/>
      <c r="BD121" s="86"/>
      <c r="BE121" s="86"/>
      <c r="BF121" s="86"/>
      <c r="BG121" s="86"/>
      <c r="BH121" s="86"/>
      <c r="BI121" s="86"/>
      <c r="BJ121" s="86"/>
      <c r="BK121" s="86"/>
      <c r="BL121" s="86"/>
      <c r="BM121" s="86"/>
      <c r="BN121" s="86"/>
      <c r="BO121" s="86"/>
      <c r="BP121" s="86"/>
      <c r="BQ121" s="86"/>
      <c r="BR121" s="86"/>
      <c r="BS121" s="86"/>
      <c r="BT121" s="86"/>
      <c r="BU121" s="86"/>
      <c r="BV121" s="86"/>
      <c r="BW121" s="86"/>
      <c r="BX121" s="86"/>
      <c r="BY121" s="77"/>
      <c r="BZ121" s="77"/>
      <c r="CA121" s="77"/>
      <c r="CB121" s="77"/>
      <c r="CC121" s="77"/>
      <c r="CD121" s="77"/>
      <c r="CE121" s="77"/>
      <c r="CF121" s="77"/>
    </row>
    <row r="122" spans="1:84">
      <c r="A122" s="77"/>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c r="AJ122" s="86"/>
      <c r="AK122" s="86"/>
      <c r="AL122" s="86"/>
      <c r="AM122" s="86"/>
      <c r="AN122" s="86"/>
      <c r="AO122" s="86"/>
      <c r="AP122" s="86"/>
      <c r="AQ122" s="86"/>
      <c r="AR122" s="86"/>
      <c r="AS122" s="86"/>
      <c r="AT122" s="86"/>
      <c r="AU122" s="86"/>
      <c r="AV122" s="86"/>
      <c r="AW122" s="86"/>
      <c r="AX122" s="86"/>
      <c r="AY122" s="86"/>
      <c r="AZ122" s="86"/>
      <c r="BA122" s="86"/>
      <c r="BB122" s="86"/>
      <c r="BC122" s="86"/>
      <c r="BD122" s="86"/>
      <c r="BE122" s="86"/>
      <c r="BF122" s="86"/>
      <c r="BG122" s="86"/>
      <c r="BH122" s="86"/>
      <c r="BI122" s="86"/>
      <c r="BJ122" s="86"/>
      <c r="BK122" s="86"/>
      <c r="BL122" s="86"/>
      <c r="BM122" s="86"/>
      <c r="BN122" s="86"/>
      <c r="BO122" s="86"/>
      <c r="BP122" s="86"/>
      <c r="BQ122" s="86"/>
      <c r="BR122" s="86"/>
      <c r="BS122" s="86"/>
      <c r="BT122" s="86"/>
      <c r="BU122" s="86"/>
      <c r="BV122" s="86"/>
      <c r="BW122" s="86"/>
      <c r="BX122" s="86"/>
      <c r="BY122" s="77"/>
      <c r="BZ122" s="77"/>
      <c r="CA122" s="77"/>
      <c r="CB122" s="77"/>
      <c r="CC122" s="77"/>
      <c r="CD122" s="77"/>
      <c r="CE122" s="77"/>
      <c r="CF122" s="77"/>
    </row>
    <row r="123" spans="1:84">
      <c r="A123" s="77"/>
      <c r="B123" s="86"/>
      <c r="C123" s="86"/>
      <c r="D123" s="86"/>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6"/>
      <c r="AF123" s="86"/>
      <c r="AG123" s="86"/>
      <c r="AH123" s="86"/>
      <c r="AI123" s="86"/>
      <c r="AJ123" s="86"/>
      <c r="AK123" s="86"/>
      <c r="AL123" s="86"/>
      <c r="AM123" s="86"/>
      <c r="AN123" s="86"/>
      <c r="AO123" s="86"/>
      <c r="AP123" s="86"/>
      <c r="AQ123" s="86"/>
      <c r="AR123" s="86"/>
      <c r="AS123" s="86"/>
      <c r="AT123" s="86"/>
      <c r="AU123" s="86"/>
      <c r="AV123" s="86"/>
      <c r="AW123" s="86"/>
      <c r="AX123" s="86"/>
      <c r="AY123" s="86"/>
      <c r="AZ123" s="86"/>
      <c r="BA123" s="86"/>
      <c r="BB123" s="86"/>
      <c r="BC123" s="86"/>
      <c r="BD123" s="86"/>
      <c r="BE123" s="86"/>
      <c r="BF123" s="86"/>
      <c r="BG123" s="86"/>
      <c r="BH123" s="86"/>
      <c r="BI123" s="86"/>
      <c r="BJ123" s="86"/>
      <c r="BK123" s="86"/>
      <c r="BL123" s="86"/>
      <c r="BM123" s="86"/>
      <c r="BN123" s="86"/>
      <c r="BO123" s="86"/>
      <c r="BP123" s="86"/>
      <c r="BQ123" s="86"/>
      <c r="BR123" s="86"/>
      <c r="BS123" s="86"/>
      <c r="BT123" s="86"/>
      <c r="BU123" s="86"/>
      <c r="BV123" s="86"/>
      <c r="BW123" s="86"/>
      <c r="BX123" s="86"/>
      <c r="BY123" s="77"/>
      <c r="BZ123" s="77"/>
      <c r="CA123" s="77"/>
      <c r="CB123" s="77"/>
      <c r="CC123" s="77"/>
      <c r="CD123" s="77"/>
      <c r="CE123" s="77"/>
      <c r="CF123" s="77"/>
    </row>
    <row r="124" spans="1:84">
      <c r="A124" s="77"/>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c r="AJ124" s="86"/>
      <c r="AK124" s="86"/>
      <c r="AL124" s="86"/>
      <c r="AM124" s="86"/>
      <c r="AN124" s="86"/>
      <c r="AO124" s="86"/>
      <c r="AP124" s="86"/>
      <c r="AQ124" s="86"/>
      <c r="AR124" s="86"/>
      <c r="AS124" s="86"/>
      <c r="AT124" s="86"/>
      <c r="AU124" s="86"/>
      <c r="AV124" s="86"/>
      <c r="AW124" s="86"/>
      <c r="AX124" s="86"/>
      <c r="AY124" s="86"/>
      <c r="AZ124" s="86"/>
      <c r="BA124" s="86"/>
      <c r="BB124" s="86"/>
      <c r="BC124" s="86"/>
      <c r="BD124" s="86"/>
      <c r="BE124" s="86"/>
      <c r="BF124" s="86"/>
      <c r="BG124" s="86"/>
      <c r="BH124" s="86"/>
      <c r="BI124" s="86"/>
      <c r="BJ124" s="86"/>
      <c r="BK124" s="86"/>
      <c r="BL124" s="86"/>
      <c r="BM124" s="86"/>
      <c r="BN124" s="86"/>
      <c r="BO124" s="86"/>
      <c r="BP124" s="86"/>
      <c r="BQ124" s="86"/>
      <c r="BR124" s="86"/>
      <c r="BS124" s="86"/>
      <c r="BT124" s="86"/>
      <c r="BU124" s="86"/>
      <c r="BV124" s="86"/>
      <c r="BW124" s="86"/>
      <c r="BX124" s="86"/>
      <c r="BY124" s="77"/>
      <c r="BZ124" s="77"/>
      <c r="CA124" s="77"/>
      <c r="CB124" s="77"/>
      <c r="CC124" s="77"/>
      <c r="CD124" s="77"/>
      <c r="CE124" s="77"/>
      <c r="CF124" s="77"/>
    </row>
    <row r="125" spans="1:84">
      <c r="A125" s="77"/>
      <c r="B125" s="86"/>
      <c r="C125" s="86"/>
      <c r="D125" s="86"/>
      <c r="E125" s="86"/>
      <c r="F125" s="86"/>
      <c r="G125" s="86"/>
      <c r="H125" s="86"/>
      <c r="I125" s="86"/>
      <c r="J125" s="86"/>
      <c r="K125" s="86"/>
      <c r="L125" s="86"/>
      <c r="M125" s="86"/>
      <c r="N125" s="86"/>
      <c r="O125" s="86"/>
      <c r="P125" s="86"/>
      <c r="Q125" s="86"/>
      <c r="R125" s="86"/>
      <c r="S125" s="86"/>
      <c r="T125" s="86"/>
      <c r="U125" s="86"/>
      <c r="V125" s="86"/>
      <c r="W125" s="86"/>
      <c r="X125" s="86"/>
      <c r="Y125" s="86"/>
      <c r="Z125" s="86"/>
      <c r="AA125" s="86"/>
      <c r="AB125" s="86"/>
      <c r="AC125" s="86"/>
      <c r="AD125" s="86"/>
      <c r="AE125" s="86"/>
      <c r="AF125" s="86"/>
      <c r="AG125" s="86"/>
      <c r="AH125" s="86"/>
      <c r="AI125" s="86"/>
      <c r="AJ125" s="86"/>
      <c r="AK125" s="86"/>
      <c r="AL125" s="86"/>
      <c r="AM125" s="86"/>
      <c r="AN125" s="86"/>
      <c r="AO125" s="86"/>
      <c r="AP125" s="86"/>
      <c r="AQ125" s="86"/>
      <c r="AR125" s="86"/>
      <c r="AS125" s="86"/>
      <c r="AT125" s="86"/>
      <c r="AU125" s="86"/>
      <c r="AV125" s="86"/>
      <c r="AW125" s="86"/>
      <c r="AX125" s="86"/>
      <c r="AY125" s="86"/>
      <c r="AZ125" s="86"/>
      <c r="BA125" s="86"/>
      <c r="BB125" s="86"/>
      <c r="BC125" s="86"/>
      <c r="BD125" s="86"/>
      <c r="BE125" s="86"/>
      <c r="BF125" s="86"/>
      <c r="BG125" s="86"/>
      <c r="BH125" s="86"/>
      <c r="BI125" s="86"/>
      <c r="BJ125" s="86"/>
      <c r="BK125" s="86"/>
      <c r="BL125" s="86"/>
      <c r="BM125" s="86"/>
      <c r="BN125" s="86"/>
      <c r="BO125" s="86"/>
      <c r="BP125" s="86"/>
      <c r="BQ125" s="86"/>
      <c r="BR125" s="86"/>
      <c r="BS125" s="86"/>
      <c r="BT125" s="86"/>
      <c r="BU125" s="86"/>
      <c r="BV125" s="86"/>
      <c r="BW125" s="86"/>
      <c r="BX125" s="86"/>
      <c r="BY125" s="77"/>
      <c r="BZ125" s="77"/>
      <c r="CA125" s="77"/>
      <c r="CB125" s="77"/>
      <c r="CC125" s="77"/>
      <c r="CD125" s="77"/>
      <c r="CE125" s="77"/>
      <c r="CF125" s="77"/>
    </row>
    <row r="126" spans="1:84">
      <c r="A126" s="77"/>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77"/>
      <c r="BZ126" s="77"/>
      <c r="CA126" s="77"/>
      <c r="CB126" s="77"/>
      <c r="CC126" s="77"/>
      <c r="CD126" s="77"/>
      <c r="CE126" s="77"/>
      <c r="CF126" s="77"/>
    </row>
    <row r="127" spans="1:84">
      <c r="A127" s="77"/>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77"/>
      <c r="BZ127" s="77"/>
      <c r="CA127" s="77"/>
      <c r="CB127" s="77"/>
      <c r="CC127" s="77"/>
      <c r="CD127" s="77"/>
      <c r="CE127" s="77"/>
      <c r="CF127" s="77"/>
    </row>
    <row r="128" spans="1:84">
      <c r="A128" s="77"/>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77"/>
      <c r="BZ128" s="77"/>
      <c r="CA128" s="77"/>
      <c r="CB128" s="77"/>
      <c r="CC128" s="77"/>
      <c r="CD128" s="77"/>
      <c r="CE128" s="77"/>
      <c r="CF128" s="77"/>
    </row>
    <row r="129" spans="1:84">
      <c r="A129" s="77"/>
      <c r="B129" s="86"/>
      <c r="C129" s="86"/>
      <c r="D129" s="86"/>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77"/>
      <c r="BZ129" s="77"/>
      <c r="CA129" s="77"/>
      <c r="CB129" s="77"/>
      <c r="CC129" s="77"/>
      <c r="CD129" s="77"/>
      <c r="CE129" s="77"/>
      <c r="CF129" s="77"/>
    </row>
    <row r="130" spans="1:84">
      <c r="A130" s="77"/>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77"/>
      <c r="BZ130" s="77"/>
      <c r="CA130" s="77"/>
      <c r="CB130" s="77"/>
      <c r="CC130" s="77"/>
      <c r="CD130" s="77"/>
      <c r="CE130" s="77"/>
      <c r="CF130" s="77"/>
    </row>
    <row r="131" spans="1:84">
      <c r="A131" s="77"/>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77"/>
      <c r="BZ131" s="77"/>
      <c r="CA131" s="77"/>
      <c r="CB131" s="77"/>
      <c r="CC131" s="77"/>
      <c r="CD131" s="77"/>
      <c r="CE131" s="77"/>
      <c r="CF131" s="77"/>
    </row>
    <row r="132" spans="1:84">
      <c r="A132" s="77"/>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77"/>
      <c r="BZ132" s="77"/>
      <c r="CA132" s="77"/>
      <c r="CB132" s="77"/>
      <c r="CC132" s="77"/>
      <c r="CD132" s="77"/>
      <c r="CE132" s="77"/>
      <c r="CF132" s="77"/>
    </row>
    <row r="133" spans="1:84">
      <c r="A133" s="77"/>
      <c r="B133" s="86"/>
      <c r="C133" s="86"/>
      <c r="D133" s="86"/>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77"/>
      <c r="BZ133" s="77"/>
      <c r="CA133" s="77"/>
      <c r="CB133" s="77"/>
      <c r="CC133" s="77"/>
      <c r="CD133" s="77"/>
      <c r="CE133" s="77"/>
      <c r="CF133" s="77"/>
    </row>
    <row r="134" spans="1:84">
      <c r="A134" s="77"/>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77"/>
      <c r="BZ134" s="77"/>
      <c r="CA134" s="77"/>
      <c r="CB134" s="77"/>
      <c r="CC134" s="77"/>
      <c r="CD134" s="77"/>
      <c r="CE134" s="77"/>
      <c r="CF134" s="77"/>
    </row>
    <row r="135" spans="1:84">
      <c r="A135" s="77"/>
      <c r="B135" s="86"/>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77"/>
      <c r="BZ135" s="77"/>
      <c r="CA135" s="77"/>
      <c r="CB135" s="77"/>
      <c r="CC135" s="77"/>
      <c r="CD135" s="77"/>
      <c r="CE135" s="77"/>
      <c r="CF135" s="77"/>
    </row>
    <row r="136" spans="1:84">
      <c r="A136" s="77"/>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77"/>
      <c r="BZ136" s="77"/>
      <c r="CA136" s="77"/>
      <c r="CB136" s="77"/>
      <c r="CC136" s="77"/>
      <c r="CD136" s="77"/>
      <c r="CE136" s="77"/>
      <c r="CF136" s="77"/>
    </row>
    <row r="137" spans="1:84">
      <c r="A137" s="77"/>
      <c r="B137" s="86"/>
      <c r="C137" s="86"/>
      <c r="D137" s="86"/>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77"/>
      <c r="BZ137" s="77"/>
      <c r="CA137" s="77"/>
      <c r="CB137" s="77"/>
      <c r="CC137" s="77"/>
      <c r="CD137" s="77"/>
      <c r="CE137" s="77"/>
      <c r="CF137" s="77"/>
    </row>
    <row r="138" spans="1:84">
      <c r="A138" s="77"/>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77"/>
      <c r="BZ138" s="77"/>
      <c r="CA138" s="77"/>
      <c r="CB138" s="77"/>
      <c r="CC138" s="77"/>
      <c r="CD138" s="77"/>
      <c r="CE138" s="77"/>
      <c r="CF138" s="77"/>
    </row>
    <row r="139" spans="1:84">
      <c r="A139" s="77"/>
      <c r="B139" s="86"/>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77"/>
      <c r="BZ139" s="77"/>
      <c r="CA139" s="77"/>
      <c r="CB139" s="77"/>
      <c r="CC139" s="77"/>
      <c r="CD139" s="77"/>
      <c r="CE139" s="77"/>
      <c r="CF139" s="77"/>
    </row>
    <row r="140" spans="1:84">
      <c r="A140" s="77"/>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77"/>
      <c r="BZ140" s="77"/>
      <c r="CA140" s="77"/>
      <c r="CB140" s="77"/>
      <c r="CC140" s="77"/>
      <c r="CD140" s="77"/>
      <c r="CE140" s="77"/>
      <c r="CF140" s="77"/>
    </row>
    <row r="141" spans="1:84">
      <c r="A141" s="77"/>
      <c r="B141" s="86"/>
      <c r="C141" s="86"/>
      <c r="D141" s="86"/>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77"/>
      <c r="BZ141" s="77"/>
      <c r="CA141" s="77"/>
      <c r="CB141" s="77"/>
      <c r="CC141" s="77"/>
      <c r="CD141" s="77"/>
      <c r="CE141" s="77"/>
      <c r="CF141" s="77"/>
    </row>
    <row r="142" spans="1:84">
      <c r="A142" s="77"/>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77"/>
      <c r="BZ142" s="77"/>
      <c r="CA142" s="77"/>
      <c r="CB142" s="77"/>
      <c r="CC142" s="77"/>
      <c r="CD142" s="77"/>
      <c r="CE142" s="77"/>
      <c r="CF142" s="77"/>
    </row>
    <row r="143" spans="1:84">
      <c r="A143" s="77"/>
      <c r="B143" s="86"/>
      <c r="C143" s="86"/>
      <c r="D143" s="86"/>
      <c r="E143" s="86"/>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77"/>
      <c r="BZ143" s="77"/>
      <c r="CA143" s="77"/>
      <c r="CB143" s="77"/>
      <c r="CC143" s="77"/>
      <c r="CD143" s="77"/>
      <c r="CE143" s="77"/>
      <c r="CF143" s="77"/>
    </row>
    <row r="144" spans="1:84">
      <c r="A144" s="77"/>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77"/>
      <c r="BZ144" s="77"/>
      <c r="CA144" s="77"/>
      <c r="CB144" s="77"/>
      <c r="CC144" s="77"/>
      <c r="CD144" s="77"/>
      <c r="CE144" s="77"/>
      <c r="CF144" s="77"/>
    </row>
    <row r="145" spans="1:84">
      <c r="A145" s="77"/>
      <c r="B145" s="86"/>
      <c r="C145" s="86"/>
      <c r="D145" s="86"/>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77"/>
      <c r="BZ145" s="77"/>
      <c r="CA145" s="77"/>
      <c r="CB145" s="77"/>
      <c r="CC145" s="77"/>
      <c r="CD145" s="77"/>
      <c r="CE145" s="77"/>
      <c r="CF145" s="77"/>
    </row>
    <row r="146" spans="1:84">
      <c r="A146" s="77"/>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77"/>
      <c r="BZ146" s="77"/>
      <c r="CA146" s="77"/>
      <c r="CB146" s="77"/>
      <c r="CC146" s="77"/>
      <c r="CD146" s="77"/>
      <c r="CE146" s="77"/>
      <c r="CF146" s="77"/>
    </row>
    <row r="147" spans="1:84">
      <c r="A147" s="77"/>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86"/>
      <c r="BT147" s="86"/>
      <c r="BU147" s="86"/>
      <c r="BV147" s="86"/>
      <c r="BW147" s="86"/>
      <c r="BX147" s="86"/>
      <c r="BY147" s="77"/>
      <c r="BZ147" s="77"/>
      <c r="CA147" s="77"/>
      <c r="CB147" s="77"/>
      <c r="CC147" s="77"/>
      <c r="CD147" s="77"/>
      <c r="CE147" s="77"/>
      <c r="CF147" s="77"/>
    </row>
    <row r="148" spans="1:84">
      <c r="A148" s="77"/>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77"/>
      <c r="BZ148" s="77"/>
      <c r="CA148" s="77"/>
      <c r="CB148" s="77"/>
      <c r="CC148" s="77"/>
      <c r="CD148" s="77"/>
      <c r="CE148" s="77"/>
      <c r="CF148" s="77"/>
    </row>
    <row r="149" spans="1:84">
      <c r="A149" s="77"/>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77"/>
      <c r="BZ149" s="77"/>
      <c r="CA149" s="77"/>
      <c r="CB149" s="77"/>
      <c r="CC149" s="77"/>
      <c r="CD149" s="77"/>
      <c r="CE149" s="77"/>
      <c r="CF149" s="77"/>
    </row>
    <row r="150" spans="1:84">
      <c r="A150" s="77"/>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77"/>
      <c r="BZ150" s="77"/>
      <c r="CA150" s="77"/>
      <c r="CB150" s="77"/>
      <c r="CC150" s="77"/>
      <c r="CD150" s="77"/>
      <c r="CE150" s="77"/>
      <c r="CF150" s="77"/>
    </row>
    <row r="151" spans="1:84">
      <c r="A151" s="77"/>
      <c r="B151" s="86"/>
      <c r="C151" s="86"/>
      <c r="D151" s="86"/>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c r="BS151" s="86"/>
      <c r="BT151" s="86"/>
      <c r="BU151" s="86"/>
      <c r="BV151" s="86"/>
      <c r="BW151" s="86"/>
      <c r="BX151" s="86"/>
      <c r="BY151" s="77"/>
      <c r="BZ151" s="77"/>
      <c r="CA151" s="77"/>
      <c r="CB151" s="77"/>
      <c r="CC151" s="77"/>
      <c r="CD151" s="77"/>
      <c r="CE151" s="77"/>
      <c r="CF151" s="77"/>
    </row>
    <row r="152" spans="1:84">
      <c r="A152" s="77"/>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86"/>
      <c r="BN152" s="86"/>
      <c r="BO152" s="86"/>
      <c r="BP152" s="86"/>
      <c r="BQ152" s="86"/>
      <c r="BR152" s="86"/>
      <c r="BS152" s="86"/>
      <c r="BT152" s="86"/>
      <c r="BU152" s="86"/>
      <c r="BV152" s="86"/>
      <c r="BW152" s="86"/>
      <c r="BX152" s="86"/>
      <c r="BY152" s="77"/>
      <c r="BZ152" s="77"/>
      <c r="CA152" s="77"/>
      <c r="CB152" s="77"/>
      <c r="CC152" s="77"/>
      <c r="CD152" s="77"/>
      <c r="CE152" s="77"/>
      <c r="CF152" s="77"/>
    </row>
    <row r="153" spans="1:84">
      <c r="A153" s="77"/>
      <c r="B153" s="86"/>
      <c r="C153" s="86"/>
      <c r="D153" s="86"/>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77"/>
      <c r="BZ153" s="77"/>
      <c r="CA153" s="77"/>
      <c r="CB153" s="77"/>
      <c r="CC153" s="77"/>
      <c r="CD153" s="77"/>
      <c r="CE153" s="77"/>
      <c r="CF153" s="77"/>
    </row>
    <row r="154" spans="1:84">
      <c r="A154" s="77"/>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c r="BP154" s="86"/>
      <c r="BQ154" s="86"/>
      <c r="BR154" s="86"/>
      <c r="BS154" s="86"/>
      <c r="BT154" s="86"/>
      <c r="BU154" s="86"/>
      <c r="BV154" s="86"/>
      <c r="BW154" s="86"/>
      <c r="BX154" s="86"/>
      <c r="BY154" s="77"/>
      <c r="BZ154" s="77"/>
      <c r="CA154" s="77"/>
      <c r="CB154" s="77"/>
      <c r="CC154" s="77"/>
      <c r="CD154" s="77"/>
      <c r="CE154" s="77"/>
      <c r="CF154" s="77"/>
    </row>
    <row r="155" spans="1:84">
      <c r="A155" s="77"/>
      <c r="B155" s="86"/>
      <c r="C155" s="86"/>
      <c r="D155" s="86"/>
      <c r="E155" s="86"/>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86"/>
      <c r="BN155" s="86"/>
      <c r="BO155" s="86"/>
      <c r="BP155" s="86"/>
      <c r="BQ155" s="86"/>
      <c r="BR155" s="86"/>
      <c r="BS155" s="86"/>
      <c r="BT155" s="86"/>
      <c r="BU155" s="86"/>
      <c r="BV155" s="86"/>
      <c r="BW155" s="86"/>
      <c r="BX155" s="86"/>
      <c r="BY155" s="77"/>
      <c r="BZ155" s="77"/>
      <c r="CA155" s="77"/>
      <c r="CB155" s="77"/>
      <c r="CC155" s="77"/>
      <c r="CD155" s="77"/>
      <c r="CE155" s="77"/>
      <c r="CF155" s="77"/>
    </row>
    <row r="156" spans="1:84">
      <c r="A156" s="77"/>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77"/>
      <c r="BZ156" s="77"/>
      <c r="CA156" s="77"/>
      <c r="CB156" s="77"/>
      <c r="CC156" s="77"/>
      <c r="CD156" s="77"/>
      <c r="CE156" s="77"/>
      <c r="CF156" s="77"/>
    </row>
    <row r="157" spans="1:84">
      <c r="A157" s="77"/>
      <c r="B157" s="86"/>
      <c r="C157" s="86"/>
      <c r="D157" s="86"/>
      <c r="E157" s="86"/>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86"/>
      <c r="BN157" s="86"/>
      <c r="BO157" s="86"/>
      <c r="BP157" s="86"/>
      <c r="BQ157" s="86"/>
      <c r="BR157" s="86"/>
      <c r="BS157" s="86"/>
      <c r="BT157" s="86"/>
      <c r="BU157" s="86"/>
      <c r="BV157" s="86"/>
      <c r="BW157" s="86"/>
      <c r="BX157" s="86"/>
      <c r="BY157" s="77"/>
      <c r="BZ157" s="77"/>
      <c r="CA157" s="77"/>
      <c r="CB157" s="77"/>
      <c r="CC157" s="77"/>
      <c r="CD157" s="77"/>
      <c r="CE157" s="77"/>
      <c r="CF157" s="77"/>
    </row>
    <row r="158" spans="1:84">
      <c r="A158" s="77"/>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77"/>
      <c r="BZ158" s="77"/>
      <c r="CA158" s="77"/>
      <c r="CB158" s="77"/>
      <c r="CC158" s="77"/>
      <c r="CD158" s="77"/>
      <c r="CE158" s="77"/>
      <c r="CF158" s="77"/>
    </row>
    <row r="159" spans="1:84">
      <c r="A159" s="77"/>
      <c r="B159" s="86"/>
      <c r="C159" s="86"/>
      <c r="D159" s="86"/>
      <c r="E159" s="86"/>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86"/>
      <c r="BN159" s="86"/>
      <c r="BO159" s="86"/>
      <c r="BP159" s="86"/>
      <c r="BQ159" s="86"/>
      <c r="BR159" s="86"/>
      <c r="BS159" s="86"/>
      <c r="BT159" s="86"/>
      <c r="BU159" s="86"/>
      <c r="BV159" s="86"/>
      <c r="BW159" s="86"/>
      <c r="BX159" s="86"/>
      <c r="BY159" s="77"/>
      <c r="BZ159" s="77"/>
      <c r="CA159" s="77"/>
      <c r="CB159" s="77"/>
      <c r="CC159" s="77"/>
      <c r="CD159" s="77"/>
      <c r="CE159" s="77"/>
      <c r="CF159" s="77"/>
    </row>
    <row r="160" spans="1:84">
      <c r="A160" s="77"/>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77"/>
      <c r="BZ160" s="77"/>
      <c r="CA160" s="77"/>
      <c r="CB160" s="77"/>
      <c r="CC160" s="77"/>
      <c r="CD160" s="77"/>
      <c r="CE160" s="77"/>
      <c r="CF160" s="77"/>
    </row>
    <row r="161" spans="2:76">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row>
    <row r="162" spans="2:76">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row>
    <row r="163" spans="2:76">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row>
    <row r="164" spans="2:76">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row>
    <row r="165" spans="2:76">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4"/>
      <c r="BW165" s="144"/>
      <c r="BX165" s="144"/>
    </row>
    <row r="166" spans="2:76">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4"/>
      <c r="BS166" s="144"/>
      <c r="BT166" s="144"/>
      <c r="BU166" s="144"/>
      <c r="BV166" s="144"/>
      <c r="BW166" s="144"/>
      <c r="BX166" s="144"/>
    </row>
    <row r="167" spans="2:76">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row>
    <row r="168" spans="2:76">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row>
    <row r="169" spans="2:76">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4"/>
      <c r="BS169" s="144"/>
      <c r="BT169" s="144"/>
      <c r="BU169" s="144"/>
      <c r="BV169" s="144"/>
      <c r="BW169" s="144"/>
      <c r="BX169" s="144"/>
    </row>
    <row r="170" spans="2:76">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row>
    <row r="171" spans="2:76">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row>
    <row r="172" spans="2:76">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4"/>
      <c r="BS172" s="144"/>
      <c r="BT172" s="144"/>
      <c r="BU172" s="144"/>
      <c r="BV172" s="144"/>
      <c r="BW172" s="144"/>
      <c r="BX172" s="144"/>
    </row>
    <row r="173" spans="2:76">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row>
    <row r="174" spans="2:76">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4"/>
    </row>
    <row r="175" spans="2:76">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row>
    <row r="176" spans="2:76">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4"/>
      <c r="BS176" s="144"/>
      <c r="BT176" s="144"/>
      <c r="BU176" s="144"/>
      <c r="BV176" s="144"/>
      <c r="BW176" s="144"/>
      <c r="BX176" s="144"/>
    </row>
    <row r="177" spans="2:76">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row>
    <row r="178" spans="2:76">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row>
    <row r="179" spans="2:76">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4"/>
      <c r="BS179" s="144"/>
      <c r="BT179" s="144"/>
      <c r="BU179" s="144"/>
      <c r="BV179" s="144"/>
      <c r="BW179" s="144"/>
      <c r="BX179" s="144"/>
    </row>
    <row r="180" spans="2:76">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row>
    <row r="181" spans="2:76">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row>
    <row r="182" spans="2:76">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row>
    <row r="183" spans="2:76">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row>
    <row r="184" spans="2:76">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row>
    <row r="185" spans="2:76">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row>
    <row r="186" spans="2:76">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row>
    <row r="187" spans="2:76">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row>
    <row r="188" spans="2:76">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row>
    <row r="189" spans="2:76">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row>
    <row r="190" spans="2:76">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4"/>
      <c r="BS190" s="144"/>
      <c r="BT190" s="144"/>
      <c r="BU190" s="144"/>
      <c r="BV190" s="144"/>
      <c r="BW190" s="144"/>
      <c r="BX190" s="144"/>
    </row>
    <row r="191" spans="2:76">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row>
    <row r="192" spans="2:76">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row>
    <row r="193" spans="2:76">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row>
    <row r="194" spans="2:76">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row>
    <row r="195" spans="2:76">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row>
    <row r="196" spans="2:76">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row>
    <row r="197" spans="2:76">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row>
    <row r="198" spans="2:76">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4"/>
      <c r="BS198" s="144"/>
      <c r="BT198" s="144"/>
      <c r="BU198" s="144"/>
      <c r="BV198" s="144"/>
      <c r="BW198" s="144"/>
      <c r="BX198" s="144"/>
    </row>
    <row r="199" spans="2:76">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4"/>
      <c r="BS199" s="144"/>
      <c r="BT199" s="144"/>
      <c r="BU199" s="144"/>
      <c r="BV199" s="144"/>
      <c r="BW199" s="144"/>
      <c r="BX199" s="144"/>
    </row>
    <row r="200" spans="2:76">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4"/>
      <c r="BS200" s="144"/>
      <c r="BT200" s="144"/>
      <c r="BU200" s="144"/>
      <c r="BV200" s="144"/>
      <c r="BW200" s="144"/>
      <c r="BX200" s="144"/>
    </row>
    <row r="201" spans="2:76">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4"/>
      <c r="BS201" s="144"/>
      <c r="BT201" s="144"/>
      <c r="BU201" s="144"/>
      <c r="BV201" s="144"/>
      <c r="BW201" s="144"/>
      <c r="BX201" s="144"/>
    </row>
    <row r="202" spans="2:76">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4"/>
      <c r="BS202" s="144"/>
      <c r="BT202" s="144"/>
      <c r="BU202" s="144"/>
      <c r="BV202" s="144"/>
      <c r="BW202" s="144"/>
      <c r="BX202" s="144"/>
    </row>
    <row r="203" spans="2:76">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row>
    <row r="204" spans="2:76">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row>
    <row r="205" spans="2:76">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c r="BS205" s="144"/>
      <c r="BT205" s="144"/>
      <c r="BU205" s="144"/>
      <c r="BV205" s="144"/>
      <c r="BW205" s="144"/>
      <c r="BX205" s="144"/>
    </row>
    <row r="206" spans="2:76">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4"/>
      <c r="BS206" s="144"/>
      <c r="BT206" s="144"/>
      <c r="BU206" s="144"/>
      <c r="BV206" s="144"/>
      <c r="BW206" s="144"/>
      <c r="BX206" s="144"/>
    </row>
    <row r="207" spans="2:76">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4"/>
    </row>
    <row r="208" spans="2:76">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4"/>
      <c r="BS208" s="144"/>
      <c r="BT208" s="144"/>
      <c r="BU208" s="144"/>
      <c r="BV208" s="144"/>
      <c r="BW208" s="144"/>
      <c r="BX208" s="144"/>
    </row>
    <row r="209" spans="2:76">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4"/>
      <c r="BS209" s="144"/>
      <c r="BT209" s="144"/>
      <c r="BU209" s="144"/>
      <c r="BV209" s="144"/>
      <c r="BW209" s="144"/>
      <c r="BX209" s="144"/>
    </row>
    <row r="210" spans="2:76">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4"/>
      <c r="BS210" s="144"/>
      <c r="BT210" s="144"/>
      <c r="BU210" s="144"/>
      <c r="BV210" s="144"/>
      <c r="BW210" s="144"/>
      <c r="BX210" s="144"/>
    </row>
    <row r="211" spans="2:76">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4"/>
      <c r="BS211" s="144"/>
      <c r="BT211" s="144"/>
      <c r="BU211" s="144"/>
      <c r="BV211" s="144"/>
      <c r="BW211" s="144"/>
      <c r="BX211" s="144"/>
    </row>
    <row r="212" spans="2:76">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4"/>
      <c r="BS212" s="144"/>
      <c r="BT212" s="144"/>
      <c r="BU212" s="144"/>
      <c r="BV212" s="144"/>
      <c r="BW212" s="144"/>
      <c r="BX212" s="144"/>
    </row>
    <row r="213" spans="2:76">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4"/>
      <c r="BS213" s="144"/>
      <c r="BT213" s="144"/>
      <c r="BU213" s="144"/>
      <c r="BV213" s="144"/>
      <c r="BW213" s="144"/>
      <c r="BX213" s="144"/>
    </row>
    <row r="214" spans="2:76">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4"/>
      <c r="BS214" s="144"/>
      <c r="BT214" s="144"/>
      <c r="BU214" s="144"/>
      <c r="BV214" s="144"/>
      <c r="BW214" s="144"/>
      <c r="BX214" s="144"/>
    </row>
    <row r="215" spans="2:76">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4"/>
      <c r="BS215" s="144"/>
      <c r="BT215" s="144"/>
      <c r="BU215" s="144"/>
      <c r="BV215" s="144"/>
      <c r="BW215" s="144"/>
      <c r="BX215" s="144"/>
    </row>
    <row r="216" spans="2:76">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4"/>
      <c r="BS216" s="144"/>
      <c r="BT216" s="144"/>
      <c r="BU216" s="144"/>
      <c r="BV216" s="144"/>
      <c r="BW216" s="144"/>
      <c r="BX216" s="144"/>
    </row>
    <row r="217" spans="2:76">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4"/>
      <c r="BS217" s="144"/>
      <c r="BT217" s="144"/>
      <c r="BU217" s="144"/>
      <c r="BV217" s="144"/>
      <c r="BW217" s="144"/>
      <c r="BX217" s="144"/>
    </row>
    <row r="218" spans="2:76">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4"/>
      <c r="BS218" s="144"/>
      <c r="BT218" s="144"/>
      <c r="BU218" s="144"/>
      <c r="BV218" s="144"/>
      <c r="BW218" s="144"/>
      <c r="BX218" s="144"/>
    </row>
    <row r="219" spans="2:76">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row>
    <row r="220" spans="2:76">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4"/>
      <c r="BS220" s="144"/>
      <c r="BT220" s="144"/>
      <c r="BU220" s="144"/>
      <c r="BV220" s="144"/>
      <c r="BW220" s="144"/>
      <c r="BX220" s="144"/>
    </row>
    <row r="221" spans="2:76">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row>
    <row r="222" spans="2:76">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row>
    <row r="223" spans="2:76">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4"/>
      <c r="BS223" s="144"/>
      <c r="BT223" s="144"/>
      <c r="BU223" s="144"/>
      <c r="BV223" s="144"/>
      <c r="BW223" s="144"/>
      <c r="BX223" s="144"/>
    </row>
  </sheetData>
  <phoneticPr fontId="0" type="noConversion"/>
  <pageMargins left="0.74803149606299213" right="0.74803149606299213" top="0.98425196850393704" bottom="0.98425196850393704" header="0.51181102362204722" footer="0.51181102362204722"/>
  <pageSetup scale="56" orientation="landscape" r:id="rId1"/>
  <headerFooter alignWithMargins="0"/>
  <rowBreaks count="1" manualBreakCount="1">
    <brk id="59" max="16383" man="1"/>
  </rowBreaks>
  <colBreaks count="2" manualBreakCount="2">
    <brk id="17" max="1048575" man="1"/>
    <brk id="33" max="1048575" man="1"/>
  </colBreaks>
</worksheet>
</file>

<file path=xl/worksheets/sheet47.xml><?xml version="1.0" encoding="utf-8"?>
<worksheet xmlns="http://schemas.openxmlformats.org/spreadsheetml/2006/main" xmlns:r="http://schemas.openxmlformats.org/officeDocument/2006/relationships">
  <dimension ref="A1:EH54"/>
  <sheetViews>
    <sheetView view="pageBreakPreview" zoomScaleSheetLayoutView="100" workbookViewId="0">
      <pane xSplit="1" ySplit="4" topLeftCell="Y5" activePane="bottomRight" state="frozen"/>
      <selection activeCell="E9" sqref="E9"/>
      <selection pane="topRight" activeCell="E9" sqref="E9"/>
      <selection pane="bottomLeft" activeCell="E9" sqref="E9"/>
      <selection pane="bottomRight" activeCell="E9" sqref="E9"/>
    </sheetView>
  </sheetViews>
  <sheetFormatPr defaultColWidth="8.875" defaultRowHeight="12.75"/>
  <cols>
    <col min="1" max="1" width="8.875" style="1" customWidth="1"/>
    <col min="2" max="6" width="11.25" style="1" customWidth="1"/>
    <col min="7" max="7" width="9.875" style="1" customWidth="1"/>
    <col min="8" max="89" width="11.25" style="1" customWidth="1"/>
    <col min="90" max="16384" width="8.875" style="1"/>
  </cols>
  <sheetData>
    <row r="1" spans="1:34" ht="15.75">
      <c r="B1" s="2" t="s">
        <v>664</v>
      </c>
      <c r="N1" s="2" t="s">
        <v>674</v>
      </c>
      <c r="Z1" s="2" t="s">
        <v>1160</v>
      </c>
    </row>
    <row r="3" spans="1:34" s="3" customFormat="1" ht="15">
      <c r="B3" s="3" t="s">
        <v>321</v>
      </c>
      <c r="E3" s="3" t="s">
        <v>370</v>
      </c>
      <c r="H3" s="3" t="s">
        <v>371</v>
      </c>
      <c r="K3" s="3" t="s">
        <v>372</v>
      </c>
      <c r="N3" s="3" t="s">
        <v>373</v>
      </c>
      <c r="Q3" s="3" t="s">
        <v>374</v>
      </c>
      <c r="T3" s="3" t="s">
        <v>375</v>
      </c>
      <c r="W3" s="3" t="s">
        <v>376</v>
      </c>
      <c r="Z3" s="3" t="s">
        <v>377</v>
      </c>
      <c r="AC3" s="3" t="s">
        <v>378</v>
      </c>
      <c r="AF3" s="3" t="s">
        <v>379</v>
      </c>
    </row>
    <row r="4" spans="1:34" s="270" customFormat="1">
      <c r="B4" s="270" t="s">
        <v>623</v>
      </c>
      <c r="C4" s="270" t="s">
        <v>624</v>
      </c>
      <c r="D4" s="270" t="s">
        <v>625</v>
      </c>
      <c r="E4" s="270" t="s">
        <v>623</v>
      </c>
      <c r="F4" s="270" t="s">
        <v>624</v>
      </c>
      <c r="G4" s="270" t="s">
        <v>625</v>
      </c>
      <c r="H4" s="270" t="s">
        <v>623</v>
      </c>
      <c r="I4" s="270" t="s">
        <v>624</v>
      </c>
      <c r="J4" s="270" t="s">
        <v>625</v>
      </c>
      <c r="K4" s="270" t="s">
        <v>623</v>
      </c>
      <c r="L4" s="270" t="s">
        <v>624</v>
      </c>
      <c r="M4" s="270" t="s">
        <v>625</v>
      </c>
      <c r="N4" s="270" t="s">
        <v>623</v>
      </c>
      <c r="O4" s="270" t="s">
        <v>624</v>
      </c>
      <c r="P4" s="270" t="s">
        <v>625</v>
      </c>
      <c r="Q4" s="270" t="s">
        <v>623</v>
      </c>
      <c r="R4" s="270" t="s">
        <v>624</v>
      </c>
      <c r="S4" s="270" t="s">
        <v>625</v>
      </c>
      <c r="T4" s="270" t="s">
        <v>623</v>
      </c>
      <c r="U4" s="270" t="s">
        <v>624</v>
      </c>
      <c r="V4" s="270" t="s">
        <v>625</v>
      </c>
      <c r="W4" s="270" t="s">
        <v>623</v>
      </c>
      <c r="X4" s="270" t="s">
        <v>624</v>
      </c>
      <c r="Y4" s="270" t="s">
        <v>625</v>
      </c>
      <c r="Z4" s="270" t="s">
        <v>623</v>
      </c>
      <c r="AA4" s="270" t="s">
        <v>624</v>
      </c>
      <c r="AB4" s="270" t="s">
        <v>625</v>
      </c>
      <c r="AC4" s="270" t="s">
        <v>623</v>
      </c>
      <c r="AD4" s="270" t="s">
        <v>624</v>
      </c>
      <c r="AE4" s="270" t="s">
        <v>625</v>
      </c>
      <c r="AF4" s="270" t="s">
        <v>623</v>
      </c>
      <c r="AG4" s="270" t="s">
        <v>624</v>
      </c>
      <c r="AH4" s="270" t="s">
        <v>625</v>
      </c>
    </row>
    <row r="5" spans="1:34" s="4" customFormat="1">
      <c r="B5" s="4" t="s">
        <v>324</v>
      </c>
      <c r="C5" s="4" t="s">
        <v>323</v>
      </c>
      <c r="E5" s="4" t="s">
        <v>324</v>
      </c>
      <c r="F5" s="4" t="s">
        <v>323</v>
      </c>
      <c r="H5" s="4" t="s">
        <v>324</v>
      </c>
      <c r="I5" s="4" t="s">
        <v>323</v>
      </c>
      <c r="K5" s="4" t="s">
        <v>324</v>
      </c>
      <c r="L5" s="4" t="s">
        <v>323</v>
      </c>
      <c r="N5" s="4" t="s">
        <v>324</v>
      </c>
      <c r="O5" s="4" t="s">
        <v>323</v>
      </c>
      <c r="Q5" s="4" t="s">
        <v>324</v>
      </c>
      <c r="R5" s="4" t="s">
        <v>323</v>
      </c>
      <c r="T5" s="4" t="s">
        <v>324</v>
      </c>
      <c r="U5" s="4" t="s">
        <v>323</v>
      </c>
      <c r="W5" s="4" t="s">
        <v>324</v>
      </c>
      <c r="X5" s="4" t="s">
        <v>323</v>
      </c>
      <c r="Z5" s="4" t="s">
        <v>324</v>
      </c>
      <c r="AA5" s="4" t="s">
        <v>323</v>
      </c>
      <c r="AC5" s="4" t="s">
        <v>324</v>
      </c>
      <c r="AD5" s="4" t="s">
        <v>323</v>
      </c>
      <c r="AF5" s="4" t="s">
        <v>324</v>
      </c>
      <c r="AG5" s="4" t="s">
        <v>323</v>
      </c>
    </row>
    <row r="6" spans="1:34" s="256" customFormat="1">
      <c r="B6" s="256" t="s">
        <v>105</v>
      </c>
      <c r="C6" s="256" t="s">
        <v>106</v>
      </c>
      <c r="D6" s="256" t="s">
        <v>289</v>
      </c>
      <c r="E6" s="256" t="s">
        <v>108</v>
      </c>
      <c r="F6" s="256" t="s">
        <v>109</v>
      </c>
      <c r="G6" s="256" t="s">
        <v>290</v>
      </c>
      <c r="H6" s="256" t="s">
        <v>111</v>
      </c>
      <c r="I6" s="256" t="s">
        <v>112</v>
      </c>
      <c r="J6" s="256" t="s">
        <v>291</v>
      </c>
      <c r="K6" s="256" t="s">
        <v>113</v>
      </c>
      <c r="L6" s="256" t="s">
        <v>114</v>
      </c>
      <c r="M6" s="256" t="s">
        <v>292</v>
      </c>
      <c r="N6" s="256" t="s">
        <v>105</v>
      </c>
      <c r="O6" s="256" t="s">
        <v>106</v>
      </c>
      <c r="P6" s="256" t="s">
        <v>289</v>
      </c>
      <c r="Q6" s="256" t="s">
        <v>108</v>
      </c>
      <c r="R6" s="256" t="s">
        <v>109</v>
      </c>
      <c r="S6" s="256" t="s">
        <v>290</v>
      </c>
      <c r="T6" s="256" t="s">
        <v>111</v>
      </c>
      <c r="U6" s="256" t="s">
        <v>112</v>
      </c>
      <c r="V6" s="256" t="s">
        <v>291</v>
      </c>
      <c r="W6" s="256" t="s">
        <v>113</v>
      </c>
      <c r="X6" s="256" t="s">
        <v>114</v>
      </c>
      <c r="Y6" s="256" t="s">
        <v>292</v>
      </c>
      <c r="Z6" s="256" t="s">
        <v>105</v>
      </c>
      <c r="AA6" s="256" t="s">
        <v>106</v>
      </c>
      <c r="AB6" s="256" t="s">
        <v>289</v>
      </c>
      <c r="AC6" s="256" t="s">
        <v>108</v>
      </c>
      <c r="AD6" s="256" t="s">
        <v>109</v>
      </c>
      <c r="AE6" s="256" t="s">
        <v>290</v>
      </c>
      <c r="AF6" s="256" t="s">
        <v>111</v>
      </c>
      <c r="AG6" s="256" t="s">
        <v>112</v>
      </c>
      <c r="AH6" s="256" t="s">
        <v>291</v>
      </c>
    </row>
    <row r="7" spans="1:34" s="4" customFormat="1" hidden="1"/>
    <row r="8" spans="1:34" hidden="1">
      <c r="A8" s="1">
        <v>1971</v>
      </c>
      <c r="B8" s="117">
        <v>595820</v>
      </c>
      <c r="C8" s="117">
        <v>743.8</v>
      </c>
      <c r="D8" s="13">
        <f>B8/10/C8</f>
        <v>80.10486689970422</v>
      </c>
      <c r="E8" s="117">
        <v>31016</v>
      </c>
      <c r="F8" s="119">
        <v>24.5</v>
      </c>
      <c r="G8" s="13">
        <f>E8/10/F8</f>
        <v>126.59591836734694</v>
      </c>
      <c r="H8" s="117">
        <v>4554</v>
      </c>
      <c r="I8" s="119">
        <v>4.4000000000000004</v>
      </c>
      <c r="J8" s="13">
        <f>H8/10/I8</f>
        <v>103.49999999999999</v>
      </c>
      <c r="K8" s="117">
        <v>25543</v>
      </c>
      <c r="L8" s="119">
        <v>30.1</v>
      </c>
      <c r="M8" s="13">
        <f>K8/10/L8</f>
        <v>84.860465116279073</v>
      </c>
      <c r="N8" s="117">
        <v>30291</v>
      </c>
      <c r="O8" s="119">
        <v>28.5</v>
      </c>
      <c r="P8" s="13">
        <f>N8/10/O8</f>
        <v>106.28421052631579</v>
      </c>
      <c r="Q8" s="117">
        <v>218267</v>
      </c>
      <c r="R8" s="119">
        <v>242.1</v>
      </c>
      <c r="S8" s="13">
        <f>Q8/10/R8</f>
        <v>90.155720776538629</v>
      </c>
      <c r="T8" s="117">
        <v>180938.5</v>
      </c>
      <c r="U8" s="119">
        <v>244.8</v>
      </c>
      <c r="V8" s="13">
        <f>T8/10/U8</f>
        <v>73.912785947712408</v>
      </c>
      <c r="W8" s="117">
        <v>8682</v>
      </c>
      <c r="X8" s="119">
        <v>21.2</v>
      </c>
      <c r="Y8" s="13">
        <f>W8/10/X8</f>
        <v>40.952830188679251</v>
      </c>
      <c r="Z8" s="117">
        <v>6419</v>
      </c>
      <c r="AA8" s="119">
        <v>15.3</v>
      </c>
      <c r="AB8" s="13">
        <f>Z8/10/AA8</f>
        <v>41.954248366013069</v>
      </c>
      <c r="AC8" s="117">
        <v>12244</v>
      </c>
      <c r="AD8" s="119">
        <v>35.1</v>
      </c>
      <c r="AE8" s="13">
        <f>AC8/10/AD8</f>
        <v>34.883190883190885</v>
      </c>
      <c r="AF8" s="117">
        <v>76078</v>
      </c>
      <c r="AG8" s="119">
        <v>97.7</v>
      </c>
      <c r="AH8" s="13">
        <f>AF8/10/AG8</f>
        <v>77.868986693961105</v>
      </c>
    </row>
    <row r="9" spans="1:34" hidden="1">
      <c r="A9" s="1">
        <v>1972</v>
      </c>
      <c r="B9" s="117">
        <v>595820</v>
      </c>
      <c r="C9" s="117">
        <v>743.8</v>
      </c>
      <c r="D9" s="13">
        <f t="shared" ref="D9:D40" si="0">B9/10/C9</f>
        <v>80.10486689970422</v>
      </c>
      <c r="E9" s="117">
        <v>31016</v>
      </c>
      <c r="F9" s="119">
        <v>24.5</v>
      </c>
      <c r="G9" s="13">
        <f t="shared" ref="G9:G40" si="1">E9/10/F9</f>
        <v>126.59591836734694</v>
      </c>
      <c r="H9" s="117">
        <v>4554</v>
      </c>
      <c r="I9" s="119">
        <v>4.4000000000000004</v>
      </c>
      <c r="J9" s="13">
        <f t="shared" ref="J9:J40" si="2">H9/10/I9</f>
        <v>103.49999999999999</v>
      </c>
      <c r="K9" s="117">
        <v>25543</v>
      </c>
      <c r="L9" s="119">
        <v>30.1</v>
      </c>
      <c r="M9" s="13">
        <f t="shared" ref="M9:M40" si="3">K9/10/L9</f>
        <v>84.860465116279073</v>
      </c>
      <c r="N9" s="117">
        <v>30291</v>
      </c>
      <c r="O9" s="119">
        <v>28.5</v>
      </c>
      <c r="P9" s="13">
        <f t="shared" ref="P9:P40" si="4">N9/10/O9</f>
        <v>106.28421052631579</v>
      </c>
      <c r="Q9" s="117">
        <v>218267</v>
      </c>
      <c r="R9" s="119">
        <v>242.1</v>
      </c>
      <c r="S9" s="13">
        <f t="shared" ref="S9:S40" si="5">Q9/10/R9</f>
        <v>90.155720776538629</v>
      </c>
      <c r="T9" s="117">
        <v>180938.5</v>
      </c>
      <c r="U9" s="119">
        <v>244.8</v>
      </c>
      <c r="V9" s="13">
        <f t="shared" ref="V9:V40" si="6">T9/10/U9</f>
        <v>73.912785947712408</v>
      </c>
      <c r="W9" s="117">
        <v>8682</v>
      </c>
      <c r="X9" s="119">
        <v>21.2</v>
      </c>
      <c r="Y9" s="13">
        <f t="shared" ref="Y9:Y40" si="7">W9/10/X9</f>
        <v>40.952830188679251</v>
      </c>
      <c r="Z9" s="117">
        <v>6419</v>
      </c>
      <c r="AA9" s="119">
        <v>15.3</v>
      </c>
      <c r="AB9" s="13">
        <f t="shared" ref="AB9:AB40" si="8">Z9/10/AA9</f>
        <v>41.954248366013069</v>
      </c>
      <c r="AC9" s="117">
        <v>12244</v>
      </c>
      <c r="AD9" s="119">
        <v>35.1</v>
      </c>
      <c r="AE9" s="13">
        <f t="shared" ref="AE9:AE40" si="9">AC9/10/AD9</f>
        <v>34.883190883190885</v>
      </c>
      <c r="AF9" s="117">
        <v>76078</v>
      </c>
      <c r="AG9" s="119">
        <v>97.7</v>
      </c>
      <c r="AH9" s="13">
        <f t="shared" ref="AH9:AH40" si="10">AF9/10/AG9</f>
        <v>77.868986693961105</v>
      </c>
    </row>
    <row r="10" spans="1:34" hidden="1">
      <c r="A10" s="1">
        <v>1973</v>
      </c>
      <c r="B10" s="117">
        <v>595820</v>
      </c>
      <c r="C10" s="117">
        <v>743.8</v>
      </c>
      <c r="D10" s="13">
        <f t="shared" si="0"/>
        <v>80.10486689970422</v>
      </c>
      <c r="E10" s="117">
        <v>31016</v>
      </c>
      <c r="F10" s="119">
        <v>24.5</v>
      </c>
      <c r="G10" s="13">
        <f t="shared" si="1"/>
        <v>126.59591836734694</v>
      </c>
      <c r="H10" s="117">
        <v>4554</v>
      </c>
      <c r="I10" s="119">
        <v>4.4000000000000004</v>
      </c>
      <c r="J10" s="13">
        <f t="shared" si="2"/>
        <v>103.49999999999999</v>
      </c>
      <c r="K10" s="117">
        <v>25543</v>
      </c>
      <c r="L10" s="119">
        <v>30.1</v>
      </c>
      <c r="M10" s="13">
        <f t="shared" si="3"/>
        <v>84.860465116279073</v>
      </c>
      <c r="N10" s="117">
        <v>30291</v>
      </c>
      <c r="O10" s="119">
        <v>28.5</v>
      </c>
      <c r="P10" s="13">
        <f t="shared" si="4"/>
        <v>106.28421052631579</v>
      </c>
      <c r="Q10" s="117">
        <v>218267</v>
      </c>
      <c r="R10" s="119">
        <v>242.1</v>
      </c>
      <c r="S10" s="13">
        <f t="shared" si="5"/>
        <v>90.155720776538629</v>
      </c>
      <c r="T10" s="117">
        <v>180938.5</v>
      </c>
      <c r="U10" s="119">
        <v>244.8</v>
      </c>
      <c r="V10" s="13">
        <f t="shared" si="6"/>
        <v>73.912785947712408</v>
      </c>
      <c r="W10" s="117">
        <v>8682</v>
      </c>
      <c r="X10" s="119">
        <v>21.2</v>
      </c>
      <c r="Y10" s="13">
        <f t="shared" si="7"/>
        <v>40.952830188679251</v>
      </c>
      <c r="Z10" s="117">
        <v>6419</v>
      </c>
      <c r="AA10" s="119">
        <v>15.3</v>
      </c>
      <c r="AB10" s="13">
        <f t="shared" si="8"/>
        <v>41.954248366013069</v>
      </c>
      <c r="AC10" s="117">
        <v>12244</v>
      </c>
      <c r="AD10" s="119">
        <v>35.1</v>
      </c>
      <c r="AE10" s="13">
        <f t="shared" si="9"/>
        <v>34.883190883190885</v>
      </c>
      <c r="AF10" s="117">
        <v>76078</v>
      </c>
      <c r="AG10" s="119">
        <v>97.7</v>
      </c>
      <c r="AH10" s="13">
        <f t="shared" si="10"/>
        <v>77.868986693961105</v>
      </c>
    </row>
    <row r="11" spans="1:34" hidden="1">
      <c r="A11" s="1">
        <v>1974</v>
      </c>
      <c r="B11" s="117">
        <v>595820</v>
      </c>
      <c r="C11" s="117">
        <v>743.8</v>
      </c>
      <c r="D11" s="13">
        <f t="shared" si="0"/>
        <v>80.10486689970422</v>
      </c>
      <c r="E11" s="117">
        <v>31016</v>
      </c>
      <c r="F11" s="119">
        <v>24.5</v>
      </c>
      <c r="G11" s="13">
        <f t="shared" si="1"/>
        <v>126.59591836734694</v>
      </c>
      <c r="H11" s="117">
        <v>4554</v>
      </c>
      <c r="I11" s="119">
        <v>4.4000000000000004</v>
      </c>
      <c r="J11" s="13">
        <f t="shared" si="2"/>
        <v>103.49999999999999</v>
      </c>
      <c r="K11" s="117">
        <v>25543</v>
      </c>
      <c r="L11" s="119">
        <v>30.1</v>
      </c>
      <c r="M11" s="13">
        <f t="shared" si="3"/>
        <v>84.860465116279073</v>
      </c>
      <c r="N11" s="117">
        <v>30291</v>
      </c>
      <c r="O11" s="119">
        <v>28.5</v>
      </c>
      <c r="P11" s="13">
        <f t="shared" si="4"/>
        <v>106.28421052631579</v>
      </c>
      <c r="Q11" s="117">
        <v>218267</v>
      </c>
      <c r="R11" s="119">
        <v>242.1</v>
      </c>
      <c r="S11" s="13">
        <f t="shared" si="5"/>
        <v>90.155720776538629</v>
      </c>
      <c r="T11" s="117">
        <v>180938.5</v>
      </c>
      <c r="U11" s="119">
        <v>244.8</v>
      </c>
      <c r="V11" s="13">
        <f t="shared" si="6"/>
        <v>73.912785947712408</v>
      </c>
      <c r="W11" s="117">
        <v>8682</v>
      </c>
      <c r="X11" s="119">
        <v>21.2</v>
      </c>
      <c r="Y11" s="13">
        <f t="shared" si="7"/>
        <v>40.952830188679251</v>
      </c>
      <c r="Z11" s="117">
        <v>6419</v>
      </c>
      <c r="AA11" s="119">
        <v>15.3</v>
      </c>
      <c r="AB11" s="13">
        <f t="shared" si="8"/>
        <v>41.954248366013069</v>
      </c>
      <c r="AC11" s="117">
        <v>12244</v>
      </c>
      <c r="AD11" s="119">
        <v>35.1</v>
      </c>
      <c r="AE11" s="13">
        <f t="shared" si="9"/>
        <v>34.883190883190885</v>
      </c>
      <c r="AF11" s="117">
        <v>76078</v>
      </c>
      <c r="AG11" s="119">
        <v>97.7</v>
      </c>
      <c r="AH11" s="13">
        <f t="shared" si="10"/>
        <v>77.868986693961105</v>
      </c>
    </row>
    <row r="12" spans="1:34" hidden="1">
      <c r="A12" s="1">
        <v>1975</v>
      </c>
      <c r="B12" s="7">
        <v>595819.625</v>
      </c>
      <c r="C12" s="117">
        <v>743.8</v>
      </c>
      <c r="D12" s="13">
        <f t="shared" si="0"/>
        <v>80.104816482925528</v>
      </c>
      <c r="E12" s="7">
        <v>31016.25</v>
      </c>
      <c r="F12" s="119">
        <v>24.5</v>
      </c>
      <c r="G12" s="13">
        <f t="shared" si="1"/>
        <v>126.59693877551021</v>
      </c>
      <c r="H12" s="7">
        <v>4554.375</v>
      </c>
      <c r="I12" s="119">
        <v>4.4000000000000004</v>
      </c>
      <c r="J12" s="13">
        <f t="shared" si="2"/>
        <v>103.50852272727272</v>
      </c>
      <c r="K12" s="7">
        <v>25543.25</v>
      </c>
      <c r="L12" s="119">
        <v>30.1</v>
      </c>
      <c r="M12" s="13">
        <f t="shared" si="3"/>
        <v>84.861295681063112</v>
      </c>
      <c r="N12" s="7">
        <v>30291</v>
      </c>
      <c r="O12" s="119">
        <v>28.5</v>
      </c>
      <c r="P12" s="13">
        <f t="shared" si="4"/>
        <v>106.28421052631579</v>
      </c>
      <c r="Q12" s="7">
        <v>218267.375</v>
      </c>
      <c r="R12" s="119">
        <v>242.1</v>
      </c>
      <c r="S12" s="13">
        <f t="shared" si="5"/>
        <v>90.155875671210239</v>
      </c>
      <c r="T12" s="7">
        <v>180938.5</v>
      </c>
      <c r="U12" s="119">
        <v>244.8</v>
      </c>
      <c r="V12" s="13">
        <f t="shared" si="6"/>
        <v>73.912785947712408</v>
      </c>
      <c r="W12" s="7">
        <v>8681.875</v>
      </c>
      <c r="X12" s="119">
        <v>21.2</v>
      </c>
      <c r="Y12" s="13">
        <f t="shared" si="7"/>
        <v>40.952240566037737</v>
      </c>
      <c r="Z12" s="7">
        <v>6418.625</v>
      </c>
      <c r="AA12" s="119">
        <v>15.3</v>
      </c>
      <c r="AB12" s="13">
        <f t="shared" si="8"/>
        <v>41.951797385620907</v>
      </c>
      <c r="AC12" s="7">
        <v>12244.25</v>
      </c>
      <c r="AD12" s="119">
        <v>35.1</v>
      </c>
      <c r="AE12" s="13">
        <f t="shared" si="9"/>
        <v>34.883903133903132</v>
      </c>
      <c r="AF12" s="7">
        <v>76077.875</v>
      </c>
      <c r="AG12" s="119">
        <v>97.7</v>
      </c>
      <c r="AH12" s="13">
        <f t="shared" si="10"/>
        <v>77.868858751279433</v>
      </c>
    </row>
    <row r="13" spans="1:34" hidden="1">
      <c r="A13" s="1">
        <v>1976</v>
      </c>
      <c r="B13" s="7">
        <v>626590.25</v>
      </c>
      <c r="C13" s="7">
        <v>743.8</v>
      </c>
      <c r="D13" s="13">
        <f t="shared" si="0"/>
        <v>84.241765259478356</v>
      </c>
      <c r="E13" s="7">
        <v>36669.916666666664</v>
      </c>
      <c r="F13" s="17">
        <v>24.5</v>
      </c>
      <c r="G13" s="13">
        <f t="shared" si="1"/>
        <v>149.67312925170066</v>
      </c>
      <c r="H13" s="7">
        <v>6666.166666666667</v>
      </c>
      <c r="I13" s="17">
        <v>4.4000000000000004</v>
      </c>
      <c r="J13" s="13">
        <f t="shared" si="2"/>
        <v>151.50378787878788</v>
      </c>
      <c r="K13" s="7">
        <v>30164.25</v>
      </c>
      <c r="L13" s="17">
        <v>30.1</v>
      </c>
      <c r="M13" s="13">
        <f t="shared" si="3"/>
        <v>100.21345514950167</v>
      </c>
      <c r="N13" s="7">
        <v>37089.5</v>
      </c>
      <c r="O13" s="17">
        <v>28.5</v>
      </c>
      <c r="P13" s="13">
        <f t="shared" si="4"/>
        <v>130.13859649122807</v>
      </c>
      <c r="Q13" s="7">
        <v>243311.41666666666</v>
      </c>
      <c r="R13" s="17">
        <v>242.1</v>
      </c>
      <c r="S13" s="13">
        <f t="shared" si="5"/>
        <v>100.50037863141952</v>
      </c>
      <c r="T13" s="7">
        <v>166842.16666666666</v>
      </c>
      <c r="U13" s="17">
        <v>244.8</v>
      </c>
      <c r="V13" s="13">
        <f t="shared" si="6"/>
        <v>68.154479847494557</v>
      </c>
      <c r="W13" s="7">
        <v>11633.583333333334</v>
      </c>
      <c r="X13" s="17">
        <v>21.2</v>
      </c>
      <c r="Y13" s="13">
        <f t="shared" si="7"/>
        <v>54.875393081761011</v>
      </c>
      <c r="Z13" s="7">
        <v>8662</v>
      </c>
      <c r="AA13" s="17">
        <v>15.3</v>
      </c>
      <c r="AB13" s="13">
        <f t="shared" si="8"/>
        <v>56.614379084967318</v>
      </c>
      <c r="AC13" s="7">
        <v>12259.583333333334</v>
      </c>
      <c r="AD13" s="17">
        <v>35.1</v>
      </c>
      <c r="AE13" s="13">
        <f t="shared" si="9"/>
        <v>34.927587844254511</v>
      </c>
      <c r="AF13" s="7">
        <v>71050.583333333328</v>
      </c>
      <c r="AG13" s="17">
        <v>97.7</v>
      </c>
      <c r="AH13" s="13">
        <f t="shared" si="10"/>
        <v>72.723217331968598</v>
      </c>
    </row>
    <row r="14" spans="1:34" hidden="1">
      <c r="A14" s="1">
        <v>1977</v>
      </c>
      <c r="B14" s="7">
        <v>668542.66666666663</v>
      </c>
      <c r="C14" s="7">
        <v>868.1</v>
      </c>
      <c r="D14" s="13">
        <f t="shared" si="0"/>
        <v>77.012172176784546</v>
      </c>
      <c r="E14" s="7">
        <v>38329.583333333336</v>
      </c>
      <c r="F14" s="17">
        <v>29.4</v>
      </c>
      <c r="G14" s="13">
        <f t="shared" si="1"/>
        <v>130.37273242630386</v>
      </c>
      <c r="H14" s="7">
        <v>7018.25</v>
      </c>
      <c r="I14" s="17">
        <v>4.5999999999999996</v>
      </c>
      <c r="J14" s="13">
        <f t="shared" si="2"/>
        <v>152.57065217391306</v>
      </c>
      <c r="K14" s="7">
        <v>35136.583333333336</v>
      </c>
      <c r="L14" s="17">
        <v>34.4</v>
      </c>
      <c r="M14" s="13">
        <f t="shared" si="3"/>
        <v>102.14123062015506</v>
      </c>
      <c r="N14" s="7">
        <v>40725</v>
      </c>
      <c r="O14" s="17">
        <v>35</v>
      </c>
      <c r="P14" s="13">
        <f t="shared" si="4"/>
        <v>116.35714285714286</v>
      </c>
      <c r="Q14" s="7">
        <v>262966.16666666669</v>
      </c>
      <c r="R14" s="17">
        <v>296</v>
      </c>
      <c r="S14" s="13">
        <f t="shared" si="5"/>
        <v>88.839921171171184</v>
      </c>
      <c r="T14" s="7">
        <v>168195.33333333334</v>
      </c>
      <c r="U14" s="17">
        <v>282.60000000000002</v>
      </c>
      <c r="V14" s="13">
        <f t="shared" si="6"/>
        <v>59.51710309035149</v>
      </c>
      <c r="W14" s="7">
        <v>15530</v>
      </c>
      <c r="X14" s="17">
        <v>26.3</v>
      </c>
      <c r="Y14" s="13">
        <f t="shared" si="7"/>
        <v>59.049429657794676</v>
      </c>
      <c r="Z14" s="7">
        <v>11177.916666666666</v>
      </c>
      <c r="AA14" s="17">
        <v>18.100000000000001</v>
      </c>
      <c r="AB14" s="13">
        <f t="shared" si="8"/>
        <v>61.756445672191518</v>
      </c>
      <c r="AC14" s="7">
        <v>15170.75</v>
      </c>
      <c r="AD14" s="17">
        <v>42.5</v>
      </c>
      <c r="AE14" s="13">
        <f t="shared" si="9"/>
        <v>35.695882352941176</v>
      </c>
      <c r="AF14" s="7">
        <v>72059.833333333328</v>
      </c>
      <c r="AG14" s="17">
        <v>99.2</v>
      </c>
      <c r="AH14" s="13">
        <f t="shared" si="10"/>
        <v>72.640961021505362</v>
      </c>
    </row>
    <row r="15" spans="1:34" hidden="1">
      <c r="A15" s="1">
        <v>1978</v>
      </c>
      <c r="B15" s="7">
        <v>710491.75</v>
      </c>
      <c r="C15" s="7">
        <v>934.3</v>
      </c>
      <c r="D15" s="13">
        <f t="shared" si="0"/>
        <v>76.045354811088529</v>
      </c>
      <c r="E15" s="7">
        <v>41556.166666666664</v>
      </c>
      <c r="F15" s="17">
        <v>31.4</v>
      </c>
      <c r="G15" s="13">
        <f t="shared" si="1"/>
        <v>132.34447983014863</v>
      </c>
      <c r="H15" s="7">
        <v>7392.166666666667</v>
      </c>
      <c r="I15" s="17">
        <v>4.8</v>
      </c>
      <c r="J15" s="13">
        <f t="shared" si="2"/>
        <v>154.00347222222223</v>
      </c>
      <c r="K15" s="7">
        <v>36435.75</v>
      </c>
      <c r="L15" s="17">
        <v>36</v>
      </c>
      <c r="M15" s="13">
        <f t="shared" si="3"/>
        <v>101.21041666666666</v>
      </c>
      <c r="N15" s="7">
        <v>42078.166666666664</v>
      </c>
      <c r="O15" s="17">
        <v>34</v>
      </c>
      <c r="P15" s="13">
        <f t="shared" si="4"/>
        <v>123.75931372549019</v>
      </c>
      <c r="Q15" s="7">
        <v>278807.83333333331</v>
      </c>
      <c r="R15" s="17">
        <v>321.5</v>
      </c>
      <c r="S15" s="13">
        <f t="shared" si="5"/>
        <v>86.720943494038366</v>
      </c>
      <c r="T15" s="7">
        <v>174701.41666666666</v>
      </c>
      <c r="U15" s="17">
        <v>304.5</v>
      </c>
      <c r="V15" s="13">
        <f t="shared" si="6"/>
        <v>57.373207443897101</v>
      </c>
      <c r="W15" s="7">
        <v>19195.583333333332</v>
      </c>
      <c r="X15" s="17">
        <v>31</v>
      </c>
      <c r="Y15" s="13">
        <f t="shared" si="7"/>
        <v>61.921236559139778</v>
      </c>
      <c r="Z15" s="7">
        <v>12404.583333333334</v>
      </c>
      <c r="AA15" s="17">
        <v>20.5</v>
      </c>
      <c r="AB15" s="13">
        <f t="shared" si="8"/>
        <v>60.510162601626021</v>
      </c>
      <c r="AC15" s="7">
        <v>16808.333333333332</v>
      </c>
      <c r="AD15" s="17">
        <v>47.9</v>
      </c>
      <c r="AE15" s="13">
        <f t="shared" si="9"/>
        <v>35.090466249130131</v>
      </c>
      <c r="AF15" s="7">
        <v>78770.833333333328</v>
      </c>
      <c r="AG15" s="17">
        <v>102.5</v>
      </c>
      <c r="AH15" s="13">
        <f t="shared" si="10"/>
        <v>76.849593495934954</v>
      </c>
    </row>
    <row r="16" spans="1:34" hidden="1">
      <c r="A16" s="1">
        <v>1979</v>
      </c>
      <c r="B16" s="7">
        <v>615218.58333333337</v>
      </c>
      <c r="C16" s="7">
        <v>868.2</v>
      </c>
      <c r="D16" s="13">
        <f t="shared" si="0"/>
        <v>70.861389464793064</v>
      </c>
      <c r="E16" s="7">
        <v>38236.25</v>
      </c>
      <c r="F16" s="17">
        <v>30.8</v>
      </c>
      <c r="G16" s="13">
        <f t="shared" si="1"/>
        <v>124.14366883116882</v>
      </c>
      <c r="H16" s="7">
        <v>6780</v>
      </c>
      <c r="I16" s="17">
        <v>6.1</v>
      </c>
      <c r="J16" s="13">
        <f t="shared" si="2"/>
        <v>111.14754098360656</v>
      </c>
      <c r="K16" s="7">
        <v>32667.333333333332</v>
      </c>
      <c r="L16" s="17">
        <v>35.200000000000003</v>
      </c>
      <c r="M16" s="13">
        <f t="shared" si="3"/>
        <v>92.804924242424235</v>
      </c>
      <c r="N16" s="7">
        <v>38234.583333333336</v>
      </c>
      <c r="O16" s="17">
        <v>30.6</v>
      </c>
      <c r="P16" s="13">
        <f t="shared" si="4"/>
        <v>124.94961873638344</v>
      </c>
      <c r="Q16" s="7">
        <v>244323.5</v>
      </c>
      <c r="R16" s="17">
        <v>290.60000000000002</v>
      </c>
      <c r="S16" s="13">
        <f t="shared" si="5"/>
        <v>84.0755333792154</v>
      </c>
      <c r="T16" s="7">
        <v>149804.5</v>
      </c>
      <c r="U16" s="17">
        <v>288.3</v>
      </c>
      <c r="V16" s="13">
        <f t="shared" si="6"/>
        <v>51.961325008671523</v>
      </c>
      <c r="W16" s="7">
        <v>15071.5</v>
      </c>
      <c r="X16" s="17">
        <v>26.5</v>
      </c>
      <c r="Y16" s="13">
        <f t="shared" si="7"/>
        <v>56.87358490566038</v>
      </c>
      <c r="Z16" s="7">
        <v>9760.6666666666661</v>
      </c>
      <c r="AA16" s="17">
        <v>18.2</v>
      </c>
      <c r="AB16" s="13">
        <f t="shared" si="8"/>
        <v>53.630036630036628</v>
      </c>
      <c r="AC16" s="7">
        <v>12868.583333333334</v>
      </c>
      <c r="AD16" s="17">
        <v>42.3</v>
      </c>
      <c r="AE16" s="13">
        <f t="shared" si="9"/>
        <v>30.422182821118994</v>
      </c>
      <c r="AF16" s="7">
        <v>65530.833333333336</v>
      </c>
      <c r="AG16" s="17">
        <v>99.6</v>
      </c>
      <c r="AH16" s="13">
        <f t="shared" si="10"/>
        <v>65.79400937081661</v>
      </c>
    </row>
    <row r="17" spans="1:34" hidden="1">
      <c r="A17" s="1">
        <v>1980</v>
      </c>
      <c r="B17" s="7">
        <v>603941.08333333337</v>
      </c>
      <c r="C17" s="7">
        <v>895.3</v>
      </c>
      <c r="D17" s="13">
        <f t="shared" si="0"/>
        <v>67.456839420678364</v>
      </c>
      <c r="E17" s="7">
        <v>37002.25</v>
      </c>
      <c r="F17" s="17">
        <v>28</v>
      </c>
      <c r="G17" s="13">
        <f t="shared" si="1"/>
        <v>132.15089285714285</v>
      </c>
      <c r="H17" s="7">
        <v>6334.166666666667</v>
      </c>
      <c r="I17" s="17">
        <v>5.6</v>
      </c>
      <c r="J17" s="13">
        <f t="shared" si="2"/>
        <v>113.11011904761907</v>
      </c>
      <c r="K17" s="7">
        <v>30866.416666666668</v>
      </c>
      <c r="L17" s="17">
        <v>34.799999999999997</v>
      </c>
      <c r="M17" s="13">
        <f t="shared" si="3"/>
        <v>88.696599616858251</v>
      </c>
      <c r="N17" s="7">
        <v>37244.25</v>
      </c>
      <c r="O17" s="17">
        <v>31.8</v>
      </c>
      <c r="P17" s="13">
        <f t="shared" si="4"/>
        <v>117.12028301886792</v>
      </c>
      <c r="Q17" s="7">
        <v>235379.16666666666</v>
      </c>
      <c r="R17" s="17">
        <v>306.60000000000002</v>
      </c>
      <c r="S17" s="13">
        <f t="shared" si="5"/>
        <v>76.770765383779064</v>
      </c>
      <c r="T17" s="7">
        <v>163488.58333333334</v>
      </c>
      <c r="U17" s="17">
        <v>307.7</v>
      </c>
      <c r="V17" s="13">
        <f t="shared" si="6"/>
        <v>53.132461271801539</v>
      </c>
      <c r="W17" s="7">
        <v>14712.833333333334</v>
      </c>
      <c r="X17" s="17">
        <v>26.8</v>
      </c>
      <c r="Y17" s="13">
        <f t="shared" si="7"/>
        <v>54.898631840796014</v>
      </c>
      <c r="Z17" s="7">
        <v>9553.1666666666661</v>
      </c>
      <c r="AA17" s="17">
        <v>19</v>
      </c>
      <c r="AB17" s="13">
        <f t="shared" si="8"/>
        <v>50.279824561403508</v>
      </c>
      <c r="AC17" s="7">
        <v>13642.416666666666</v>
      </c>
      <c r="AD17" s="17">
        <v>44.4</v>
      </c>
      <c r="AE17" s="13">
        <f t="shared" si="9"/>
        <v>30.726163663663662</v>
      </c>
      <c r="AF17" s="7">
        <v>54356.5</v>
      </c>
      <c r="AG17" s="17">
        <v>90.7</v>
      </c>
      <c r="AH17" s="13">
        <f t="shared" si="10"/>
        <v>59.929988974641667</v>
      </c>
    </row>
    <row r="18" spans="1:34" hidden="1">
      <c r="B18" s="7"/>
      <c r="C18" s="7"/>
      <c r="D18" s="13"/>
      <c r="E18" s="7"/>
      <c r="F18" s="17"/>
      <c r="G18" s="13"/>
      <c r="H18" s="7"/>
      <c r="I18" s="17"/>
      <c r="J18" s="13"/>
      <c r="K18" s="7"/>
      <c r="L18" s="17"/>
      <c r="M18" s="13"/>
      <c r="N18" s="7"/>
      <c r="O18" s="17"/>
      <c r="P18" s="13"/>
      <c r="Q18" s="7"/>
      <c r="R18" s="17"/>
      <c r="S18" s="13"/>
      <c r="T18" s="7"/>
      <c r="U18" s="17"/>
      <c r="V18" s="13"/>
      <c r="W18" s="7"/>
      <c r="X18" s="17"/>
      <c r="Y18" s="13"/>
      <c r="Z18" s="7"/>
      <c r="AA18" s="17"/>
      <c r="AB18" s="13"/>
      <c r="AC18" s="7"/>
      <c r="AD18" s="17"/>
      <c r="AE18" s="13"/>
      <c r="AF18" s="7"/>
      <c r="AG18" s="17"/>
      <c r="AH18" s="13"/>
    </row>
    <row r="19" spans="1:34" ht="18" customHeight="1">
      <c r="A19" s="1">
        <v>1981</v>
      </c>
      <c r="B19" s="7">
        <v>620176.33333333337</v>
      </c>
      <c r="C19" s="7">
        <v>930.8</v>
      </c>
      <c r="D19" s="13">
        <f t="shared" si="0"/>
        <v>66.628312562670118</v>
      </c>
      <c r="E19" s="7">
        <v>38204.25</v>
      </c>
      <c r="F19" s="17">
        <v>29</v>
      </c>
      <c r="G19" s="13">
        <f t="shared" si="1"/>
        <v>131.73879310344827</v>
      </c>
      <c r="H19" s="7">
        <v>7063.333333333333</v>
      </c>
      <c r="I19" s="17">
        <v>6</v>
      </c>
      <c r="J19" s="13">
        <f t="shared" si="2"/>
        <v>117.72222222222221</v>
      </c>
      <c r="K19" s="7">
        <v>32742.083333333332</v>
      </c>
      <c r="L19" s="17">
        <v>36.4</v>
      </c>
      <c r="M19" s="13">
        <f t="shared" si="3"/>
        <v>89.95077838827838</v>
      </c>
      <c r="N19" s="7">
        <v>40007.916666666664</v>
      </c>
      <c r="O19" s="17">
        <v>33.700000000000003</v>
      </c>
      <c r="P19" s="13">
        <f t="shared" si="4"/>
        <v>118.71785361028682</v>
      </c>
      <c r="Q19" s="7">
        <v>248860.58333333334</v>
      </c>
      <c r="R19" s="17">
        <v>328.8</v>
      </c>
      <c r="S19" s="13">
        <f t="shared" si="5"/>
        <v>75.687525344687757</v>
      </c>
      <c r="T19" s="7">
        <v>154340.33333333334</v>
      </c>
      <c r="U19" s="17">
        <v>302.39999999999998</v>
      </c>
      <c r="V19" s="13">
        <f t="shared" si="6"/>
        <v>51.038470017636691</v>
      </c>
      <c r="W19" s="7">
        <v>16438.5</v>
      </c>
      <c r="X19" s="17">
        <v>29.7</v>
      </c>
      <c r="Y19" s="13">
        <f t="shared" si="7"/>
        <v>55.348484848484844</v>
      </c>
      <c r="Z19" s="7">
        <v>10683</v>
      </c>
      <c r="AA19" s="17">
        <v>20.399999999999999</v>
      </c>
      <c r="AB19" s="13">
        <f t="shared" si="8"/>
        <v>52.367647058823529</v>
      </c>
      <c r="AC19" s="7">
        <v>15178.333333333334</v>
      </c>
      <c r="AD19" s="17">
        <v>48.1</v>
      </c>
      <c r="AE19" s="13">
        <f t="shared" si="9"/>
        <v>31.555786555786558</v>
      </c>
      <c r="AF19" s="7">
        <v>55237.583333333336</v>
      </c>
      <c r="AG19" s="17">
        <v>96.4</v>
      </c>
      <c r="AH19" s="13">
        <f t="shared" si="10"/>
        <v>57.300397648686022</v>
      </c>
    </row>
    <row r="20" spans="1:34" ht="18" customHeight="1">
      <c r="A20" s="1">
        <v>1982</v>
      </c>
      <c r="B20" s="7">
        <v>1031435.25</v>
      </c>
      <c r="C20" s="7">
        <v>1358.2</v>
      </c>
      <c r="D20" s="13">
        <f t="shared" si="0"/>
        <v>75.941337800029444</v>
      </c>
      <c r="E20" s="7">
        <v>46623.25</v>
      </c>
      <c r="F20" s="17">
        <v>34.9</v>
      </c>
      <c r="G20" s="13">
        <f t="shared" si="1"/>
        <v>133.59097421203438</v>
      </c>
      <c r="H20" s="7">
        <v>8371.9166666666661</v>
      </c>
      <c r="I20" s="17">
        <v>6.7</v>
      </c>
      <c r="J20" s="13">
        <f t="shared" si="2"/>
        <v>124.95398009950247</v>
      </c>
      <c r="K20" s="7">
        <v>45120.916666666664</v>
      </c>
      <c r="L20" s="17">
        <v>47.1</v>
      </c>
      <c r="M20" s="13">
        <f t="shared" si="3"/>
        <v>95.79812455767869</v>
      </c>
      <c r="N20" s="7">
        <v>49467.916666666664</v>
      </c>
      <c r="O20" s="17">
        <v>40.6</v>
      </c>
      <c r="P20" s="13">
        <f t="shared" si="4"/>
        <v>121.84215927750408</v>
      </c>
      <c r="Q20" s="7">
        <v>368537</v>
      </c>
      <c r="R20" s="17">
        <v>429.4</v>
      </c>
      <c r="S20" s="13">
        <f t="shared" si="5"/>
        <v>85.826036329762459</v>
      </c>
      <c r="T20" s="7">
        <v>281237.83333333331</v>
      </c>
      <c r="U20" s="17">
        <v>457.3</v>
      </c>
      <c r="V20" s="13">
        <f t="shared" si="6"/>
        <v>61.499635541949118</v>
      </c>
      <c r="W20" s="7">
        <v>29447.333333333332</v>
      </c>
      <c r="X20" s="17">
        <v>42.9</v>
      </c>
      <c r="Y20" s="13">
        <f t="shared" si="7"/>
        <v>68.641802641802641</v>
      </c>
      <c r="Z20" s="7">
        <v>19125.75</v>
      </c>
      <c r="AA20" s="17">
        <v>28.7</v>
      </c>
      <c r="AB20" s="13">
        <f t="shared" si="8"/>
        <v>66.640243902439025</v>
      </c>
      <c r="AC20" s="7">
        <v>51757.666666666664</v>
      </c>
      <c r="AD20" s="17">
        <v>97.2</v>
      </c>
      <c r="AE20" s="13">
        <f t="shared" si="9"/>
        <v>53.248628257887511</v>
      </c>
      <c r="AF20" s="7">
        <v>129287</v>
      </c>
      <c r="AG20" s="17">
        <v>173.3</v>
      </c>
      <c r="AH20" s="13">
        <f t="shared" si="10"/>
        <v>74.603000577034038</v>
      </c>
    </row>
    <row r="21" spans="1:34" ht="18" customHeight="1">
      <c r="A21" s="1">
        <v>1983</v>
      </c>
      <c r="B21" s="7">
        <v>1119008.6666666667</v>
      </c>
      <c r="C21" s="7">
        <v>1505.6</v>
      </c>
      <c r="D21" s="13">
        <f t="shared" si="0"/>
        <v>74.323104852993282</v>
      </c>
      <c r="E21" s="7">
        <v>50944.166666666664</v>
      </c>
      <c r="F21" s="17">
        <v>39.9</v>
      </c>
      <c r="G21" s="13">
        <f t="shared" si="1"/>
        <v>127.67961570593148</v>
      </c>
      <c r="H21" s="7">
        <v>9069.25</v>
      </c>
      <c r="I21" s="17">
        <v>6.8</v>
      </c>
      <c r="J21" s="13">
        <f t="shared" si="2"/>
        <v>133.37132352941177</v>
      </c>
      <c r="K21" s="7">
        <v>46401.25</v>
      </c>
      <c r="L21" s="17">
        <v>50.4</v>
      </c>
      <c r="M21" s="13">
        <f t="shared" si="3"/>
        <v>92.065972222222229</v>
      </c>
      <c r="N21" s="7">
        <v>52184</v>
      </c>
      <c r="O21" s="17">
        <v>43.9</v>
      </c>
      <c r="P21" s="13">
        <f t="shared" si="4"/>
        <v>118.87015945330296</v>
      </c>
      <c r="Q21" s="7">
        <v>356307.83333333331</v>
      </c>
      <c r="R21" s="17">
        <v>443.4</v>
      </c>
      <c r="S21" s="13">
        <f t="shared" si="5"/>
        <v>80.358104044504586</v>
      </c>
      <c r="T21" s="7">
        <v>310445.25</v>
      </c>
      <c r="U21" s="17">
        <v>494.5</v>
      </c>
      <c r="V21" s="13">
        <f t="shared" si="6"/>
        <v>62.779625884732056</v>
      </c>
      <c r="W21" s="7">
        <v>34265.333333333336</v>
      </c>
      <c r="X21" s="17">
        <v>49.1</v>
      </c>
      <c r="Y21" s="13">
        <f t="shared" si="7"/>
        <v>69.786829599456894</v>
      </c>
      <c r="Z21" s="7">
        <v>23050.666666666668</v>
      </c>
      <c r="AA21" s="17">
        <v>36.299999999999997</v>
      </c>
      <c r="AB21" s="13">
        <f t="shared" si="8"/>
        <v>63.500459136822776</v>
      </c>
      <c r="AC21" s="7">
        <v>90291.333333333328</v>
      </c>
      <c r="AD21" s="17">
        <v>140.30000000000001</v>
      </c>
      <c r="AE21" s="13">
        <f t="shared" si="9"/>
        <v>64.35590401520551</v>
      </c>
      <c r="AF21" s="7">
        <v>142904.08333333334</v>
      </c>
      <c r="AG21" s="17">
        <v>200.9</v>
      </c>
      <c r="AH21" s="13">
        <f t="shared" si="10"/>
        <v>71.131947901111673</v>
      </c>
    </row>
    <row r="22" spans="1:34" ht="18" customHeight="1">
      <c r="A22" s="1">
        <v>1984</v>
      </c>
      <c r="B22" s="7">
        <v>1066221.0833333333</v>
      </c>
      <c r="C22" s="7">
        <v>1446.2</v>
      </c>
      <c r="D22" s="13">
        <f t="shared" si="0"/>
        <v>73.725700686857508</v>
      </c>
      <c r="E22" s="7">
        <v>53970</v>
      </c>
      <c r="F22" s="17">
        <v>45.1</v>
      </c>
      <c r="G22" s="13">
        <f t="shared" si="1"/>
        <v>119.66740576496673</v>
      </c>
      <c r="H22" s="7">
        <v>10401.166666666666</v>
      </c>
      <c r="I22" s="17">
        <v>7.1</v>
      </c>
      <c r="J22" s="13">
        <f t="shared" si="2"/>
        <v>146.49530516431923</v>
      </c>
      <c r="K22" s="7">
        <v>46407.166666666664</v>
      </c>
      <c r="L22" s="17">
        <v>50.9</v>
      </c>
      <c r="M22" s="13">
        <f t="shared" si="3"/>
        <v>91.173215455140792</v>
      </c>
      <c r="N22" s="7">
        <v>55072.083333333336</v>
      </c>
      <c r="O22" s="17">
        <v>43.6</v>
      </c>
      <c r="P22" s="13">
        <f t="shared" si="4"/>
        <v>126.31211773700306</v>
      </c>
      <c r="Q22" s="7">
        <v>341858.58333333331</v>
      </c>
      <c r="R22" s="17">
        <v>415.9</v>
      </c>
      <c r="S22" s="13">
        <f t="shared" si="5"/>
        <v>82.197303037589165</v>
      </c>
      <c r="T22" s="7">
        <v>264847.91666666669</v>
      </c>
      <c r="U22" s="17">
        <v>434.5</v>
      </c>
      <c r="V22" s="13">
        <f t="shared" si="6"/>
        <v>60.95464135021097</v>
      </c>
      <c r="W22" s="7">
        <v>31603.5</v>
      </c>
      <c r="X22" s="17">
        <v>44.8</v>
      </c>
      <c r="Y22" s="13">
        <f t="shared" si="7"/>
        <v>70.543526785714292</v>
      </c>
      <c r="Z22" s="7">
        <v>24681.333333333332</v>
      </c>
      <c r="AA22" s="17">
        <v>38.9</v>
      </c>
      <c r="AB22" s="13">
        <f t="shared" si="8"/>
        <v>63.448157669237361</v>
      </c>
      <c r="AC22" s="7">
        <v>88581.083333333328</v>
      </c>
      <c r="AD22" s="17">
        <v>145.4</v>
      </c>
      <c r="AE22" s="13">
        <f t="shared" si="9"/>
        <v>60.9223406694177</v>
      </c>
      <c r="AF22" s="7">
        <v>145804.75</v>
      </c>
      <c r="AG22" s="17">
        <v>219.8</v>
      </c>
      <c r="AH22" s="13">
        <f t="shared" si="10"/>
        <v>66.335191082802552</v>
      </c>
    </row>
    <row r="23" spans="1:34" ht="18" customHeight="1">
      <c r="A23" s="1">
        <v>1985</v>
      </c>
      <c r="B23" s="7">
        <v>1019001.6666666666</v>
      </c>
      <c r="C23" s="7">
        <v>1385.1</v>
      </c>
      <c r="D23" s="13">
        <f t="shared" si="0"/>
        <v>73.568815729309549</v>
      </c>
      <c r="E23" s="7">
        <v>56940</v>
      </c>
      <c r="F23" s="17">
        <v>46.2</v>
      </c>
      <c r="G23" s="13">
        <f t="shared" si="1"/>
        <v>123.24675324675324</v>
      </c>
      <c r="H23" s="7">
        <v>10985</v>
      </c>
      <c r="I23" s="17">
        <v>8</v>
      </c>
      <c r="J23" s="13">
        <f t="shared" si="2"/>
        <v>137.3125</v>
      </c>
      <c r="K23" s="7">
        <v>47422.5</v>
      </c>
      <c r="L23" s="17">
        <v>53.5</v>
      </c>
      <c r="M23" s="13">
        <f t="shared" si="3"/>
        <v>88.640186915887853</v>
      </c>
      <c r="N23" s="7">
        <v>54499.166666666664</v>
      </c>
      <c r="O23" s="17">
        <v>47</v>
      </c>
      <c r="P23" s="13">
        <f t="shared" si="4"/>
        <v>115.95567375886523</v>
      </c>
      <c r="Q23" s="7">
        <v>329732.5</v>
      </c>
      <c r="R23" s="17">
        <v>399</v>
      </c>
      <c r="S23" s="13">
        <f t="shared" si="5"/>
        <v>82.639724310776941</v>
      </c>
      <c r="T23" s="7">
        <v>247180</v>
      </c>
      <c r="U23" s="17">
        <v>398.2</v>
      </c>
      <c r="V23" s="13">
        <f t="shared" si="6"/>
        <v>62.074334505273733</v>
      </c>
      <c r="W23" s="7">
        <v>31185.833333333332</v>
      </c>
      <c r="X23" s="17">
        <v>44.6</v>
      </c>
      <c r="Y23" s="13">
        <f t="shared" si="7"/>
        <v>69.923393124065754</v>
      </c>
      <c r="Z23" s="7">
        <v>24986.666666666668</v>
      </c>
      <c r="AA23" s="17">
        <v>41.3</v>
      </c>
      <c r="AB23" s="13">
        <f t="shared" si="8"/>
        <v>60.500403551251019</v>
      </c>
      <c r="AC23" s="7">
        <v>76608.333333333328</v>
      </c>
      <c r="AD23" s="17">
        <v>129.6</v>
      </c>
      <c r="AE23" s="13">
        <f t="shared" si="9"/>
        <v>59.1113683127572</v>
      </c>
      <c r="AF23" s="7">
        <v>136224.16666666666</v>
      </c>
      <c r="AG23" s="17">
        <v>217.8</v>
      </c>
      <c r="AH23" s="13">
        <f t="shared" si="10"/>
        <v>62.545531068258335</v>
      </c>
    </row>
    <row r="24" spans="1:34" ht="18" customHeight="1">
      <c r="A24" s="1">
        <v>1986</v>
      </c>
      <c r="B24" s="7">
        <v>972139.16666666663</v>
      </c>
      <c r="C24" s="7">
        <v>1285.5</v>
      </c>
      <c r="D24" s="13">
        <f t="shared" si="0"/>
        <v>75.623427978737183</v>
      </c>
      <c r="E24" s="7">
        <v>58714.166666666664</v>
      </c>
      <c r="F24" s="17">
        <v>43.5</v>
      </c>
      <c r="G24" s="13">
        <f t="shared" si="1"/>
        <v>134.9750957854406</v>
      </c>
      <c r="H24" s="7">
        <v>11063.333333333334</v>
      </c>
      <c r="I24" s="17">
        <v>7.9</v>
      </c>
      <c r="J24" s="13">
        <f t="shared" si="2"/>
        <v>140.042194092827</v>
      </c>
      <c r="K24" s="7">
        <v>46561.666666666664</v>
      </c>
      <c r="L24" s="17">
        <v>53.7</v>
      </c>
      <c r="M24" s="13">
        <f t="shared" si="3"/>
        <v>86.707014276846664</v>
      </c>
      <c r="N24" s="7">
        <v>53032.5</v>
      </c>
      <c r="O24" s="17">
        <v>45.6</v>
      </c>
      <c r="P24" s="13">
        <f t="shared" si="4"/>
        <v>116.29934210526315</v>
      </c>
      <c r="Q24" s="7">
        <v>310405.83333333331</v>
      </c>
      <c r="R24" s="17">
        <v>365.3</v>
      </c>
      <c r="S24" s="13">
        <f t="shared" si="5"/>
        <v>84.972853362533073</v>
      </c>
      <c r="T24" s="7">
        <v>220764.16666666666</v>
      </c>
      <c r="U24" s="17">
        <v>358.3</v>
      </c>
      <c r="V24" s="13">
        <f t="shared" si="6"/>
        <v>61.614336217322531</v>
      </c>
      <c r="W24" s="7">
        <v>29040.833333333332</v>
      </c>
      <c r="X24" s="17">
        <v>42.1</v>
      </c>
      <c r="Y24" s="13">
        <f t="shared" si="7"/>
        <v>68.980601741884399</v>
      </c>
      <c r="Z24" s="7">
        <v>25582.5</v>
      </c>
      <c r="AA24" s="17">
        <v>39.299999999999997</v>
      </c>
      <c r="AB24" s="13">
        <f t="shared" si="8"/>
        <v>65.095419847328245</v>
      </c>
      <c r="AC24" s="7">
        <v>83605</v>
      </c>
      <c r="AD24" s="17">
        <v>132.6</v>
      </c>
      <c r="AE24" s="13">
        <f t="shared" si="9"/>
        <v>63.050527903469082</v>
      </c>
      <c r="AF24" s="7">
        <v>130286.66666666667</v>
      </c>
      <c r="AG24" s="17">
        <v>197.2</v>
      </c>
      <c r="AH24" s="13">
        <f t="shared" si="10"/>
        <v>66.068289384719421</v>
      </c>
    </row>
    <row r="25" spans="1:34" ht="18" customHeight="1">
      <c r="A25" s="1">
        <v>1987</v>
      </c>
      <c r="B25" s="7">
        <v>909045.83333333337</v>
      </c>
      <c r="C25" s="7">
        <v>1193</v>
      </c>
      <c r="D25" s="13">
        <f t="shared" si="0"/>
        <v>76.198309583682601</v>
      </c>
      <c r="E25" s="7">
        <v>59579.166666666664</v>
      </c>
      <c r="F25" s="17">
        <v>41.3</v>
      </c>
      <c r="G25" s="13">
        <f t="shared" si="1"/>
        <v>144.25948345439869</v>
      </c>
      <c r="H25" s="7">
        <v>10843.333333333334</v>
      </c>
      <c r="I25" s="17">
        <v>7.5</v>
      </c>
      <c r="J25" s="13">
        <f t="shared" si="2"/>
        <v>144.57777777777781</v>
      </c>
      <c r="K25" s="7">
        <v>45130</v>
      </c>
      <c r="L25" s="17">
        <v>49.1</v>
      </c>
      <c r="M25" s="13">
        <f t="shared" si="3"/>
        <v>91.914460285132378</v>
      </c>
      <c r="N25" s="7">
        <v>52239.166666666664</v>
      </c>
      <c r="O25" s="17">
        <v>42.7</v>
      </c>
      <c r="P25" s="13">
        <f t="shared" si="4"/>
        <v>122.33996877439498</v>
      </c>
      <c r="Q25" s="7">
        <v>288335.83333333331</v>
      </c>
      <c r="R25" s="17">
        <v>341.8</v>
      </c>
      <c r="S25" s="13">
        <f t="shared" si="5"/>
        <v>84.358055393017352</v>
      </c>
      <c r="T25" s="7">
        <v>189965</v>
      </c>
      <c r="U25" s="17">
        <v>318</v>
      </c>
      <c r="V25" s="13">
        <f t="shared" si="6"/>
        <v>59.737421383647799</v>
      </c>
      <c r="W25" s="7">
        <v>28308.333333333332</v>
      </c>
      <c r="X25" s="17">
        <v>40.700000000000003</v>
      </c>
      <c r="Y25" s="13">
        <f t="shared" si="7"/>
        <v>69.553644553644546</v>
      </c>
      <c r="Z25" s="7">
        <v>25332.5</v>
      </c>
      <c r="AA25" s="17">
        <v>36.6</v>
      </c>
      <c r="AB25" s="13">
        <f t="shared" si="8"/>
        <v>69.214480874316934</v>
      </c>
      <c r="AC25" s="7">
        <v>78900.833333333328</v>
      </c>
      <c r="AD25" s="17">
        <v>126.2</v>
      </c>
      <c r="AE25" s="13">
        <f t="shared" si="9"/>
        <v>62.52047015319598</v>
      </c>
      <c r="AF25" s="7">
        <v>127188.33333333333</v>
      </c>
      <c r="AG25" s="17">
        <v>189.2</v>
      </c>
      <c r="AH25" s="13">
        <f t="shared" si="10"/>
        <v>67.224277660324177</v>
      </c>
    </row>
    <row r="26" spans="1:34" ht="18" customHeight="1">
      <c r="A26" s="1">
        <v>1988</v>
      </c>
      <c r="B26" s="7">
        <v>883919.16666666663</v>
      </c>
      <c r="C26" s="7">
        <v>1069.5</v>
      </c>
      <c r="D26" s="13">
        <f t="shared" si="0"/>
        <v>82.647888421380699</v>
      </c>
      <c r="E26" s="7">
        <v>62527.5</v>
      </c>
      <c r="F26" s="17">
        <v>38.5</v>
      </c>
      <c r="G26" s="13">
        <f t="shared" si="1"/>
        <v>162.40909090909091</v>
      </c>
      <c r="H26" s="7">
        <v>10935</v>
      </c>
      <c r="I26" s="17">
        <v>7.6</v>
      </c>
      <c r="J26" s="13">
        <f t="shared" si="2"/>
        <v>143.88157894736844</v>
      </c>
      <c r="K26" s="7">
        <v>43835</v>
      </c>
      <c r="L26" s="17">
        <v>42.3</v>
      </c>
      <c r="M26" s="13">
        <f t="shared" si="3"/>
        <v>103.62884160756502</v>
      </c>
      <c r="N26" s="7">
        <v>52725.833333333336</v>
      </c>
      <c r="O26" s="17">
        <v>38.799999999999997</v>
      </c>
      <c r="P26" s="13">
        <f t="shared" si="4"/>
        <v>135.891323024055</v>
      </c>
      <c r="Q26" s="7">
        <v>293102.5</v>
      </c>
      <c r="R26" s="17">
        <v>323.10000000000002</v>
      </c>
      <c r="S26" s="13">
        <f t="shared" si="5"/>
        <v>90.715722686474763</v>
      </c>
      <c r="T26" s="7">
        <v>172468.33333333334</v>
      </c>
      <c r="U26" s="17">
        <v>269.3</v>
      </c>
      <c r="V26" s="13">
        <f t="shared" si="6"/>
        <v>64.043198415645506</v>
      </c>
      <c r="W26" s="7">
        <v>29357.5</v>
      </c>
      <c r="X26" s="17">
        <v>42.4</v>
      </c>
      <c r="Y26" s="13">
        <f t="shared" si="7"/>
        <v>69.239386792452834</v>
      </c>
      <c r="Z26" s="7">
        <v>25325</v>
      </c>
      <c r="AA26" s="17">
        <v>36.700000000000003</v>
      </c>
      <c r="AB26" s="13">
        <f t="shared" si="8"/>
        <v>69.005449591280652</v>
      </c>
      <c r="AC26" s="7">
        <v>68053.333333333328</v>
      </c>
      <c r="AD26" s="17">
        <v>106.6</v>
      </c>
      <c r="AE26" s="13">
        <f t="shared" si="9"/>
        <v>63.839899937460913</v>
      </c>
      <c r="AF26" s="7">
        <v>122635.83333333333</v>
      </c>
      <c r="AG26" s="17">
        <v>164.2</v>
      </c>
      <c r="AH26" s="13">
        <f t="shared" si="10"/>
        <v>74.686865611043444</v>
      </c>
    </row>
    <row r="27" spans="1:34" ht="18" customHeight="1">
      <c r="A27" s="1">
        <v>1989</v>
      </c>
      <c r="B27" s="7">
        <v>888624.16666666663</v>
      </c>
      <c r="C27" s="7">
        <v>1060.8</v>
      </c>
      <c r="D27" s="13">
        <f t="shared" si="0"/>
        <v>83.769246480643531</v>
      </c>
      <c r="E27" s="7">
        <v>66172.5</v>
      </c>
      <c r="F27" s="17">
        <v>37.799999999999997</v>
      </c>
      <c r="G27" s="13">
        <f t="shared" si="1"/>
        <v>175.05952380952382</v>
      </c>
      <c r="H27" s="7">
        <v>11583.333333333334</v>
      </c>
      <c r="I27" s="17">
        <v>8.6999999999999993</v>
      </c>
      <c r="J27" s="13">
        <f t="shared" si="2"/>
        <v>133.14176245210732</v>
      </c>
      <c r="K27" s="7">
        <v>45055.833333333336</v>
      </c>
      <c r="L27" s="17">
        <v>41.7</v>
      </c>
      <c r="M27" s="13">
        <f t="shared" si="3"/>
        <v>108.04756195043966</v>
      </c>
      <c r="N27" s="7">
        <v>52440.833333333336</v>
      </c>
      <c r="O27" s="17">
        <v>40.799999999999997</v>
      </c>
      <c r="P27" s="13">
        <f t="shared" si="4"/>
        <v>128.53145424836603</v>
      </c>
      <c r="Q27" s="7">
        <v>305605</v>
      </c>
      <c r="R27" s="17">
        <v>332.4</v>
      </c>
      <c r="S27" s="13">
        <f t="shared" si="5"/>
        <v>91.938929001203377</v>
      </c>
      <c r="T27" s="7">
        <v>167030</v>
      </c>
      <c r="U27" s="17">
        <v>274</v>
      </c>
      <c r="V27" s="13">
        <f t="shared" si="6"/>
        <v>60.959854014598541</v>
      </c>
      <c r="W27" s="7">
        <v>29742.5</v>
      </c>
      <c r="X27" s="17">
        <v>41.4</v>
      </c>
      <c r="Y27" s="13">
        <f t="shared" si="7"/>
        <v>71.841787439613526</v>
      </c>
      <c r="Z27" s="7">
        <v>25080.833333333332</v>
      </c>
      <c r="AA27" s="17">
        <v>36.200000000000003</v>
      </c>
      <c r="AB27" s="13">
        <f t="shared" si="8"/>
        <v>69.284069981583784</v>
      </c>
      <c r="AC27" s="7">
        <v>66699.166666666672</v>
      </c>
      <c r="AD27" s="17">
        <v>96.7</v>
      </c>
      <c r="AE27" s="13">
        <f t="shared" si="9"/>
        <v>68.975353326439162</v>
      </c>
      <c r="AF27" s="7">
        <v>116256.66666666667</v>
      </c>
      <c r="AG27" s="17">
        <v>151</v>
      </c>
      <c r="AH27" s="13">
        <f t="shared" si="10"/>
        <v>76.991169977924955</v>
      </c>
    </row>
    <row r="28" spans="1:34" ht="18" customHeight="1">
      <c r="A28" s="1">
        <v>1990</v>
      </c>
      <c r="B28" s="7">
        <v>962734.16666666663</v>
      </c>
      <c r="C28" s="7">
        <v>1158.3</v>
      </c>
      <c r="D28" s="13">
        <f t="shared" si="0"/>
        <v>83.116132838355057</v>
      </c>
      <c r="E28" s="7">
        <v>64280</v>
      </c>
      <c r="F28" s="17">
        <v>42.3</v>
      </c>
      <c r="G28" s="13">
        <f t="shared" si="1"/>
        <v>151.96217494089836</v>
      </c>
      <c r="H28" s="7">
        <v>11274.166666666666</v>
      </c>
      <c r="I28" s="17">
        <v>9.3000000000000007</v>
      </c>
      <c r="J28" s="13">
        <f t="shared" si="2"/>
        <v>121.22759856630822</v>
      </c>
      <c r="K28" s="7">
        <v>47666.666666666664</v>
      </c>
      <c r="L28" s="17">
        <v>46.1</v>
      </c>
      <c r="M28" s="13">
        <f t="shared" si="3"/>
        <v>103.39840925524221</v>
      </c>
      <c r="N28" s="7">
        <v>52700.833333333336</v>
      </c>
      <c r="O28" s="17">
        <v>41.3</v>
      </c>
      <c r="P28" s="13">
        <f t="shared" si="4"/>
        <v>127.60492332526233</v>
      </c>
      <c r="Q28" s="7">
        <v>330404.16666666669</v>
      </c>
      <c r="R28" s="17">
        <v>365.1</v>
      </c>
      <c r="S28" s="13">
        <f t="shared" si="5"/>
        <v>90.496895827627142</v>
      </c>
      <c r="T28" s="7">
        <v>224787.5</v>
      </c>
      <c r="U28" s="17">
        <v>341.5</v>
      </c>
      <c r="V28" s="13">
        <f t="shared" si="6"/>
        <v>65.823572474377741</v>
      </c>
      <c r="W28" s="7">
        <v>29005.833333333332</v>
      </c>
      <c r="X28" s="17">
        <v>40.9</v>
      </c>
      <c r="Y28" s="13">
        <f t="shared" si="7"/>
        <v>70.918907905460472</v>
      </c>
      <c r="Z28" s="7">
        <v>23198.333333333332</v>
      </c>
      <c r="AA28" s="17">
        <v>34.4</v>
      </c>
      <c r="AB28" s="13">
        <f t="shared" si="8"/>
        <v>67.437015503875969</v>
      </c>
      <c r="AC28" s="7">
        <v>63221.666666666664</v>
      </c>
      <c r="AD28" s="17">
        <v>94.1</v>
      </c>
      <c r="AE28" s="13">
        <f t="shared" si="9"/>
        <v>67.185618136733964</v>
      </c>
      <c r="AF28" s="7">
        <v>113135.83333333333</v>
      </c>
      <c r="AG28" s="17">
        <v>143.4</v>
      </c>
      <c r="AH28" s="13">
        <f t="shared" si="10"/>
        <v>78.895281264528109</v>
      </c>
    </row>
    <row r="29" spans="1:34" ht="18" customHeight="1">
      <c r="A29" s="1">
        <v>1991</v>
      </c>
      <c r="B29" s="7">
        <v>1156006.6666666667</v>
      </c>
      <c r="C29" s="7">
        <v>1479</v>
      </c>
      <c r="D29" s="13">
        <f t="shared" si="0"/>
        <v>78.161370295244538</v>
      </c>
      <c r="E29" s="7">
        <v>69503.333333333328</v>
      </c>
      <c r="F29" s="17">
        <v>45</v>
      </c>
      <c r="G29" s="13">
        <f t="shared" si="1"/>
        <v>154.45185185185184</v>
      </c>
      <c r="H29" s="7">
        <v>12729.166666666666</v>
      </c>
      <c r="I29" s="17">
        <v>10.6</v>
      </c>
      <c r="J29" s="13">
        <f t="shared" si="2"/>
        <v>120.08647798742138</v>
      </c>
      <c r="K29" s="7">
        <v>53345.833333333336</v>
      </c>
      <c r="L29" s="17">
        <v>52.3</v>
      </c>
      <c r="M29" s="13">
        <f t="shared" si="3"/>
        <v>101.99968132568517</v>
      </c>
      <c r="N29" s="7">
        <v>58176.666666666664</v>
      </c>
      <c r="O29" s="17">
        <v>43</v>
      </c>
      <c r="P29" s="13">
        <f t="shared" si="4"/>
        <v>135.29457364341084</v>
      </c>
      <c r="Q29" s="7">
        <v>373427.5</v>
      </c>
      <c r="R29" s="17">
        <v>426.5</v>
      </c>
      <c r="S29" s="13">
        <f t="shared" si="5"/>
        <v>87.556271981242674</v>
      </c>
      <c r="T29" s="7">
        <v>319133.33333333331</v>
      </c>
      <c r="U29" s="17">
        <v>529.5</v>
      </c>
      <c r="V29" s="13">
        <f t="shared" si="6"/>
        <v>60.270695624803274</v>
      </c>
      <c r="W29" s="7">
        <v>32478.333333333332</v>
      </c>
      <c r="X29" s="17">
        <v>47.7</v>
      </c>
      <c r="Y29" s="13">
        <f t="shared" si="7"/>
        <v>68.08874912648497</v>
      </c>
      <c r="Z29" s="7">
        <v>25149.166666666668</v>
      </c>
      <c r="AA29" s="17">
        <v>36</v>
      </c>
      <c r="AB29" s="13">
        <f t="shared" si="8"/>
        <v>69.858796296296305</v>
      </c>
      <c r="AC29" s="7">
        <v>75750</v>
      </c>
      <c r="AD29" s="17">
        <v>114.9</v>
      </c>
      <c r="AE29" s="13">
        <f t="shared" si="9"/>
        <v>65.926892950391647</v>
      </c>
      <c r="AF29" s="7">
        <v>132830</v>
      </c>
      <c r="AG29" s="17">
        <v>173.3</v>
      </c>
      <c r="AH29" s="13">
        <f t="shared" si="10"/>
        <v>76.6474321984997</v>
      </c>
    </row>
    <row r="30" spans="1:34" ht="18" customHeight="1">
      <c r="A30" s="1">
        <v>1992</v>
      </c>
      <c r="B30" s="7">
        <v>1148107.5</v>
      </c>
      <c r="C30" s="7">
        <v>1605.2</v>
      </c>
      <c r="D30" s="13">
        <f t="shared" si="0"/>
        <v>71.524264889110384</v>
      </c>
      <c r="E30" s="7">
        <v>69726.666666666672</v>
      </c>
      <c r="F30" s="17">
        <v>48.7</v>
      </c>
      <c r="G30" s="13">
        <f t="shared" si="1"/>
        <v>143.17590691307325</v>
      </c>
      <c r="H30" s="7">
        <v>13260.833333333334</v>
      </c>
      <c r="I30" s="17">
        <v>11.5</v>
      </c>
      <c r="J30" s="13">
        <f t="shared" si="2"/>
        <v>115.31159420289856</v>
      </c>
      <c r="K30" s="7">
        <v>53497.5</v>
      </c>
      <c r="L30" s="17">
        <v>55.7</v>
      </c>
      <c r="M30" s="13">
        <f t="shared" si="3"/>
        <v>96.045780969479353</v>
      </c>
      <c r="N30" s="7">
        <v>57939.166666666664</v>
      </c>
      <c r="O30" s="17">
        <v>44.4</v>
      </c>
      <c r="P30" s="13">
        <f t="shared" si="4"/>
        <v>130.4936186186186</v>
      </c>
      <c r="Q30" s="7">
        <v>368390.83333333331</v>
      </c>
      <c r="R30" s="17">
        <v>442.5</v>
      </c>
      <c r="S30" s="13">
        <f t="shared" si="5"/>
        <v>83.252165725047064</v>
      </c>
      <c r="T30" s="7">
        <v>322475.83333333331</v>
      </c>
      <c r="U30" s="17">
        <v>596</v>
      </c>
      <c r="V30" s="13">
        <f t="shared" si="6"/>
        <v>54.106683445190157</v>
      </c>
      <c r="W30" s="7">
        <v>30375.833333333332</v>
      </c>
      <c r="X30" s="17">
        <v>51.1</v>
      </c>
      <c r="Y30" s="13">
        <f t="shared" si="7"/>
        <v>59.443900848010429</v>
      </c>
      <c r="Z30" s="7">
        <v>25145.833333333332</v>
      </c>
      <c r="AA30" s="17">
        <v>38.799999999999997</v>
      </c>
      <c r="AB30" s="13">
        <f t="shared" si="8"/>
        <v>64.80884879725086</v>
      </c>
      <c r="AC30" s="7">
        <v>78812.5</v>
      </c>
      <c r="AD30" s="17">
        <v>133.9</v>
      </c>
      <c r="AE30" s="13">
        <f t="shared" si="9"/>
        <v>58.859223300970868</v>
      </c>
      <c r="AF30" s="7">
        <v>124833.33333333333</v>
      </c>
      <c r="AG30" s="17">
        <v>182.6</v>
      </c>
      <c r="AH30" s="13">
        <f t="shared" si="10"/>
        <v>68.364366557137643</v>
      </c>
    </row>
    <row r="31" spans="1:34" ht="18" customHeight="1">
      <c r="A31" s="1">
        <v>1993</v>
      </c>
      <c r="B31" s="7">
        <v>1073182.5</v>
      </c>
      <c r="C31" s="7">
        <v>1642.3</v>
      </c>
      <c r="D31" s="13">
        <f t="shared" si="0"/>
        <v>65.346313097485236</v>
      </c>
      <c r="E31" s="7">
        <v>61450</v>
      </c>
      <c r="F31" s="17">
        <v>48.8</v>
      </c>
      <c r="G31" s="13">
        <f t="shared" si="1"/>
        <v>125.92213114754099</v>
      </c>
      <c r="H31" s="7">
        <v>13391.666666666666</v>
      </c>
      <c r="I31" s="17">
        <v>11.1</v>
      </c>
      <c r="J31" s="13">
        <f t="shared" si="2"/>
        <v>120.64564564564563</v>
      </c>
      <c r="K31" s="7">
        <v>52079.166666666664</v>
      </c>
      <c r="L31" s="17">
        <v>61.4</v>
      </c>
      <c r="M31" s="13">
        <f t="shared" si="3"/>
        <v>84.81948968512485</v>
      </c>
      <c r="N31" s="7">
        <v>55984.166666666664</v>
      </c>
      <c r="O31" s="17">
        <v>43.3</v>
      </c>
      <c r="P31" s="13">
        <f t="shared" si="4"/>
        <v>129.29368745188606</v>
      </c>
      <c r="Q31" s="7">
        <v>349752.5</v>
      </c>
      <c r="R31" s="17">
        <v>462.8</v>
      </c>
      <c r="S31" s="13">
        <f t="shared" si="5"/>
        <v>75.57314174589456</v>
      </c>
      <c r="T31" s="7">
        <v>294470</v>
      </c>
      <c r="U31" s="17">
        <v>605.4</v>
      </c>
      <c r="V31" s="13">
        <f t="shared" si="6"/>
        <v>48.640568219359103</v>
      </c>
      <c r="W31" s="7">
        <v>28327.5</v>
      </c>
      <c r="X31" s="17">
        <v>51.8</v>
      </c>
      <c r="Y31" s="13">
        <f t="shared" si="7"/>
        <v>54.68629343629344</v>
      </c>
      <c r="Z31" s="7">
        <v>23455.833333333332</v>
      </c>
      <c r="AA31" s="17">
        <v>40.6</v>
      </c>
      <c r="AB31" s="13">
        <f t="shared" si="8"/>
        <v>57.772988505747115</v>
      </c>
      <c r="AC31" s="7">
        <v>73280.833333333328</v>
      </c>
      <c r="AD31" s="17">
        <v>137.19999999999999</v>
      </c>
      <c r="AE31" s="13">
        <f t="shared" si="9"/>
        <v>53.411686103012634</v>
      </c>
      <c r="AF31" s="7">
        <v>116968.33333333333</v>
      </c>
      <c r="AG31" s="17">
        <v>179.8</v>
      </c>
      <c r="AH31" s="13">
        <f t="shared" si="10"/>
        <v>65.054690396737101</v>
      </c>
    </row>
    <row r="32" spans="1:34" ht="18" customHeight="1">
      <c r="A32" s="1">
        <v>1994</v>
      </c>
      <c r="B32" s="7">
        <v>895967.5</v>
      </c>
      <c r="C32" s="7">
        <v>1515</v>
      </c>
      <c r="D32" s="13">
        <f t="shared" si="0"/>
        <v>59.139768976897692</v>
      </c>
      <c r="E32" s="7">
        <v>50700.833333333336</v>
      </c>
      <c r="F32" s="17">
        <v>48.3</v>
      </c>
      <c r="G32" s="13">
        <f t="shared" si="1"/>
        <v>104.97066942719118</v>
      </c>
      <c r="H32" s="7">
        <v>11935.833333333334</v>
      </c>
      <c r="I32" s="17">
        <v>11</v>
      </c>
      <c r="J32" s="13">
        <f t="shared" si="2"/>
        <v>108.50757575757576</v>
      </c>
      <c r="K32" s="7">
        <v>48306.666666666664</v>
      </c>
      <c r="L32" s="17">
        <v>58.1</v>
      </c>
      <c r="M32" s="13">
        <f t="shared" si="3"/>
        <v>83.144004589787713</v>
      </c>
      <c r="N32" s="7">
        <v>51593.333333333336</v>
      </c>
      <c r="O32" s="17">
        <v>42.8</v>
      </c>
      <c r="P32" s="13">
        <f t="shared" si="4"/>
        <v>120.54517133956388</v>
      </c>
      <c r="Q32" s="7">
        <v>300382.5</v>
      </c>
      <c r="R32" s="17">
        <v>435.1</v>
      </c>
      <c r="S32" s="13">
        <f t="shared" si="5"/>
        <v>69.037577568375085</v>
      </c>
      <c r="T32" s="7">
        <v>228362.5</v>
      </c>
      <c r="U32" s="17">
        <v>534.6</v>
      </c>
      <c r="V32" s="13">
        <f t="shared" si="6"/>
        <v>42.716517022072573</v>
      </c>
      <c r="W32" s="7">
        <v>23248.333333333332</v>
      </c>
      <c r="X32" s="17">
        <v>48.7</v>
      </c>
      <c r="Y32" s="13">
        <f t="shared" si="7"/>
        <v>47.737850787132089</v>
      </c>
      <c r="Z32" s="7">
        <v>18724.166666666668</v>
      </c>
      <c r="AA32" s="17">
        <v>33.5</v>
      </c>
      <c r="AB32" s="13">
        <f t="shared" si="8"/>
        <v>55.89303482587065</v>
      </c>
      <c r="AC32" s="7">
        <v>62190.833333333336</v>
      </c>
      <c r="AD32" s="17">
        <v>127.7</v>
      </c>
      <c r="AE32" s="13">
        <f t="shared" si="9"/>
        <v>48.70073087966589</v>
      </c>
      <c r="AF32" s="7">
        <v>97305</v>
      </c>
      <c r="AG32" s="17">
        <v>175.2</v>
      </c>
      <c r="AH32" s="13">
        <f t="shared" si="10"/>
        <v>55.539383561643838</v>
      </c>
    </row>
    <row r="33" spans="1:34" ht="18" customHeight="1">
      <c r="A33" s="1">
        <v>1995</v>
      </c>
      <c r="B33" s="7">
        <v>736584.16666666663</v>
      </c>
      <c r="C33" s="7">
        <v>1393.8</v>
      </c>
      <c r="D33" s="13">
        <f t="shared" si="0"/>
        <v>52.84719232792844</v>
      </c>
      <c r="E33" s="7">
        <v>39156.666666666664</v>
      </c>
      <c r="F33" s="17">
        <v>42.7</v>
      </c>
      <c r="G33" s="13">
        <f t="shared" si="1"/>
        <v>91.701795472287273</v>
      </c>
      <c r="H33" s="7">
        <v>10210</v>
      </c>
      <c r="I33" s="17">
        <v>9.9</v>
      </c>
      <c r="J33" s="13">
        <f t="shared" si="2"/>
        <v>103.13131313131312</v>
      </c>
      <c r="K33" s="7">
        <v>38178.333333333336</v>
      </c>
      <c r="L33" s="17">
        <v>52</v>
      </c>
      <c r="M33" s="13">
        <f t="shared" si="3"/>
        <v>73.419871794871796</v>
      </c>
      <c r="N33" s="7">
        <v>43240.833333333336</v>
      </c>
      <c r="O33" s="17">
        <v>39.700000000000003</v>
      </c>
      <c r="P33" s="13">
        <f t="shared" si="4"/>
        <v>108.91897565071369</v>
      </c>
      <c r="Q33" s="7">
        <v>254450</v>
      </c>
      <c r="R33" s="17">
        <v>405.6</v>
      </c>
      <c r="S33" s="13">
        <f t="shared" si="5"/>
        <v>62.734220907297825</v>
      </c>
      <c r="T33" s="7">
        <v>180855</v>
      </c>
      <c r="U33" s="17">
        <v>489</v>
      </c>
      <c r="V33" s="13">
        <f t="shared" si="6"/>
        <v>36.984662576687114</v>
      </c>
      <c r="W33" s="7">
        <v>19431.666666666668</v>
      </c>
      <c r="X33" s="17">
        <v>40.4</v>
      </c>
      <c r="Y33" s="13">
        <f t="shared" si="7"/>
        <v>48.098184818481855</v>
      </c>
      <c r="Z33" s="7">
        <v>15098.333333333334</v>
      </c>
      <c r="AA33" s="17">
        <v>33.1</v>
      </c>
      <c r="AB33" s="13">
        <f t="shared" si="8"/>
        <v>45.614300100704938</v>
      </c>
      <c r="AC33" s="7">
        <v>51342.5</v>
      </c>
      <c r="AD33" s="17">
        <v>116</v>
      </c>
      <c r="AE33" s="13">
        <f t="shared" si="9"/>
        <v>44.260775862068968</v>
      </c>
      <c r="AF33" s="7">
        <v>81954.166666666672</v>
      </c>
      <c r="AG33" s="17">
        <v>165.4</v>
      </c>
      <c r="AH33" s="13">
        <f t="shared" si="10"/>
        <v>49.549072954453855</v>
      </c>
    </row>
    <row r="34" spans="1:34" ht="18" customHeight="1">
      <c r="A34" s="1">
        <v>1996</v>
      </c>
      <c r="B34" s="7">
        <v>707049.16666666663</v>
      </c>
      <c r="C34" s="7">
        <v>1428.4</v>
      </c>
      <c r="D34" s="13">
        <f t="shared" si="0"/>
        <v>49.499381592457752</v>
      </c>
      <c r="E34" s="7">
        <v>36949.166666666664</v>
      </c>
      <c r="F34" s="17">
        <v>44.1</v>
      </c>
      <c r="G34" s="13">
        <f t="shared" si="1"/>
        <v>83.784958427815567</v>
      </c>
      <c r="H34" s="7">
        <v>9325.8333333333339</v>
      </c>
      <c r="I34" s="17">
        <v>10.1</v>
      </c>
      <c r="J34" s="13">
        <f t="shared" si="2"/>
        <v>92.334983498349843</v>
      </c>
      <c r="K34" s="7">
        <v>35726.666666666664</v>
      </c>
      <c r="L34" s="17">
        <v>53.3</v>
      </c>
      <c r="M34" s="13">
        <f t="shared" si="3"/>
        <v>67.029393370856781</v>
      </c>
      <c r="N34" s="7">
        <v>40475</v>
      </c>
      <c r="O34" s="17">
        <v>40.200000000000003</v>
      </c>
      <c r="P34" s="13">
        <f t="shared" si="4"/>
        <v>100.68407960199005</v>
      </c>
      <c r="Q34" s="7">
        <v>246600</v>
      </c>
      <c r="R34" s="17">
        <v>419.6</v>
      </c>
      <c r="S34" s="13">
        <f t="shared" si="5"/>
        <v>58.770257387988558</v>
      </c>
      <c r="T34" s="7">
        <v>179563.33333333334</v>
      </c>
      <c r="U34" s="17">
        <v>512.29999999999995</v>
      </c>
      <c r="V34" s="13">
        <f t="shared" si="6"/>
        <v>35.050426182575322</v>
      </c>
      <c r="W34" s="7">
        <v>17533.333333333332</v>
      </c>
      <c r="X34" s="17">
        <v>40.4</v>
      </c>
      <c r="Y34" s="13">
        <f t="shared" si="7"/>
        <v>43.399339933993396</v>
      </c>
      <c r="Z34" s="7">
        <v>14124.166666666666</v>
      </c>
      <c r="AA34" s="17">
        <v>32.1</v>
      </c>
      <c r="AB34" s="13">
        <f t="shared" si="8"/>
        <v>44.000519210799581</v>
      </c>
      <c r="AC34" s="7">
        <v>44643.333333333336</v>
      </c>
      <c r="AD34" s="17">
        <v>103.8</v>
      </c>
      <c r="AE34" s="13">
        <f t="shared" si="9"/>
        <v>43.008991650610156</v>
      </c>
      <c r="AF34" s="7">
        <v>79422.5</v>
      </c>
      <c r="AG34" s="17">
        <v>172.4</v>
      </c>
      <c r="AH34" s="13">
        <f t="shared" si="10"/>
        <v>46.068735498839906</v>
      </c>
    </row>
    <row r="35" spans="1:34" ht="18" customHeight="1">
      <c r="A35" s="1">
        <v>1997</v>
      </c>
      <c r="B35" s="7">
        <v>605112.5</v>
      </c>
      <c r="C35" s="7">
        <v>1372.4</v>
      </c>
      <c r="D35" s="13">
        <f t="shared" si="0"/>
        <v>44.091554940250653</v>
      </c>
      <c r="E35" s="7">
        <v>33718.333333333336</v>
      </c>
      <c r="F35" s="17">
        <v>42</v>
      </c>
      <c r="G35" s="13">
        <f t="shared" si="1"/>
        <v>80.281746031746039</v>
      </c>
      <c r="H35" s="7">
        <v>9226.6666666666661</v>
      </c>
      <c r="I35" s="17">
        <v>10.6</v>
      </c>
      <c r="J35" s="13">
        <f t="shared" si="2"/>
        <v>87.04402515723271</v>
      </c>
      <c r="K35" s="7">
        <v>31793.333333333332</v>
      </c>
      <c r="L35" s="17">
        <v>52.6</v>
      </c>
      <c r="M35" s="13">
        <f t="shared" si="3"/>
        <v>60.44359949302914</v>
      </c>
      <c r="N35" s="7">
        <v>36888.333333333336</v>
      </c>
      <c r="O35" s="17">
        <v>44.8</v>
      </c>
      <c r="P35" s="13">
        <f t="shared" si="4"/>
        <v>82.340029761904773</v>
      </c>
      <c r="Q35" s="7">
        <v>214769.16666666666</v>
      </c>
      <c r="R35" s="17">
        <v>409</v>
      </c>
      <c r="S35" s="13">
        <f t="shared" si="5"/>
        <v>52.510798696006511</v>
      </c>
      <c r="T35" s="7">
        <v>150685.83333333334</v>
      </c>
      <c r="U35" s="17">
        <v>485.4</v>
      </c>
      <c r="V35" s="13">
        <f t="shared" si="6"/>
        <v>31.043640983381405</v>
      </c>
      <c r="W35" s="7">
        <v>14611.666666666666</v>
      </c>
      <c r="X35" s="17">
        <v>36.4</v>
      </c>
      <c r="Y35" s="13">
        <f t="shared" si="7"/>
        <v>40.141941391941387</v>
      </c>
      <c r="Z35" s="7">
        <v>10926.666666666666</v>
      </c>
      <c r="AA35" s="17">
        <v>29.2</v>
      </c>
      <c r="AB35" s="13">
        <f t="shared" si="8"/>
        <v>37.420091324200911</v>
      </c>
      <c r="AC35" s="7">
        <v>30649.166666666668</v>
      </c>
      <c r="AD35" s="17">
        <v>90.5</v>
      </c>
      <c r="AE35" s="13">
        <f t="shared" si="9"/>
        <v>33.866482504604058</v>
      </c>
      <c r="AF35" s="7">
        <v>69363.333333333328</v>
      </c>
      <c r="AG35" s="17">
        <v>171.7</v>
      </c>
      <c r="AH35" s="13">
        <f t="shared" si="10"/>
        <v>40.397980974568043</v>
      </c>
    </row>
    <row r="36" spans="1:34" ht="18" customHeight="1">
      <c r="A36" s="1">
        <v>1998</v>
      </c>
      <c r="B36" s="7">
        <v>577225.83333333337</v>
      </c>
      <c r="C36" s="7">
        <v>1267.8</v>
      </c>
      <c r="D36" s="13">
        <f t="shared" si="0"/>
        <v>45.529723405374142</v>
      </c>
      <c r="E36" s="7">
        <v>34386.666666666664</v>
      </c>
      <c r="F36" s="17">
        <v>41.5</v>
      </c>
      <c r="G36" s="13">
        <f t="shared" si="1"/>
        <v>82.859437751004009</v>
      </c>
      <c r="H36" s="7">
        <v>9292.5</v>
      </c>
      <c r="I36" s="17">
        <v>9.6</v>
      </c>
      <c r="J36" s="13">
        <f t="shared" si="2"/>
        <v>96.796875</v>
      </c>
      <c r="K36" s="7">
        <v>30926.666666666668</v>
      </c>
      <c r="L36" s="17">
        <v>46.4</v>
      </c>
      <c r="M36" s="13">
        <f t="shared" si="3"/>
        <v>66.652298850574724</v>
      </c>
      <c r="N36" s="7">
        <v>37598.333333333336</v>
      </c>
      <c r="O36" s="17">
        <v>43.8</v>
      </c>
      <c r="P36" s="13">
        <f t="shared" si="4"/>
        <v>85.840943683409449</v>
      </c>
      <c r="Q36" s="7">
        <v>202843.33333333334</v>
      </c>
      <c r="R36" s="17">
        <v>374.6</v>
      </c>
      <c r="S36" s="13">
        <f t="shared" si="5"/>
        <v>54.149314824701911</v>
      </c>
      <c r="T36" s="7">
        <v>130555</v>
      </c>
      <c r="U36" s="17">
        <v>422.5</v>
      </c>
      <c r="V36" s="13">
        <f t="shared" si="6"/>
        <v>30.900591715976333</v>
      </c>
      <c r="W36" s="7">
        <v>13847.5</v>
      </c>
      <c r="X36" s="17">
        <v>31.3</v>
      </c>
      <c r="Y36" s="13">
        <f t="shared" si="7"/>
        <v>44.241214057507989</v>
      </c>
      <c r="Z36" s="7">
        <v>11664.166666666666</v>
      </c>
      <c r="AA36" s="17">
        <v>28.9</v>
      </c>
      <c r="AB36" s="13">
        <f t="shared" si="8"/>
        <v>40.36043829296424</v>
      </c>
      <c r="AC36" s="7">
        <v>32580</v>
      </c>
      <c r="AD36" s="17">
        <v>89.3</v>
      </c>
      <c r="AE36" s="13">
        <f t="shared" si="9"/>
        <v>36.483762597984324</v>
      </c>
      <c r="AF36" s="7">
        <v>70935</v>
      </c>
      <c r="AG36" s="17">
        <v>179.9</v>
      </c>
      <c r="AH36" s="13">
        <f t="shared" si="10"/>
        <v>39.430239021678709</v>
      </c>
    </row>
    <row r="37" spans="1:34" ht="18" customHeight="1">
      <c r="A37" s="1">
        <v>1999</v>
      </c>
      <c r="B37" s="7">
        <v>531664.16666666663</v>
      </c>
      <c r="C37" s="7">
        <v>1181.7</v>
      </c>
      <c r="D37" s="13">
        <f t="shared" si="0"/>
        <v>44.991467095427488</v>
      </c>
      <c r="E37" s="7">
        <v>36251.666666666664</v>
      </c>
      <c r="F37" s="17">
        <v>40.5</v>
      </c>
      <c r="G37" s="13">
        <f t="shared" si="1"/>
        <v>89.510288065843611</v>
      </c>
      <c r="H37" s="7">
        <v>8714.1666666666661</v>
      </c>
      <c r="I37" s="17">
        <v>10.1</v>
      </c>
      <c r="J37" s="13">
        <f t="shared" si="2"/>
        <v>86.278877887788781</v>
      </c>
      <c r="K37" s="7">
        <v>29221.666666666668</v>
      </c>
      <c r="L37" s="17">
        <v>42.9</v>
      </c>
      <c r="M37" s="13">
        <f t="shared" si="3"/>
        <v>68.115773115773123</v>
      </c>
      <c r="N37" s="7">
        <v>35210.833333333336</v>
      </c>
      <c r="O37" s="17">
        <v>36.799999999999997</v>
      </c>
      <c r="P37" s="13">
        <f t="shared" si="4"/>
        <v>95.681612318840592</v>
      </c>
      <c r="Q37" s="7">
        <v>183061.66666666666</v>
      </c>
      <c r="R37" s="17">
        <v>343</v>
      </c>
      <c r="S37" s="13">
        <f t="shared" si="5"/>
        <v>53.370748299319722</v>
      </c>
      <c r="T37" s="7">
        <v>109585.83333333333</v>
      </c>
      <c r="U37" s="17">
        <v>382.1</v>
      </c>
      <c r="V37" s="13">
        <f t="shared" si="6"/>
        <v>28.679883102154754</v>
      </c>
      <c r="W37" s="7">
        <v>13672.5</v>
      </c>
      <c r="X37" s="17">
        <v>32.200000000000003</v>
      </c>
      <c r="Y37" s="13">
        <f t="shared" si="7"/>
        <v>42.461180124223596</v>
      </c>
      <c r="Z37" s="7">
        <v>12632.5</v>
      </c>
      <c r="AA37" s="17">
        <v>30.2</v>
      </c>
      <c r="AB37" s="13">
        <f t="shared" si="8"/>
        <v>41.829470198675494</v>
      </c>
      <c r="AC37" s="7">
        <v>36264.166666666664</v>
      </c>
      <c r="AD37" s="17">
        <v>93.7</v>
      </c>
      <c r="AE37" s="13">
        <f t="shared" si="9"/>
        <v>38.702419067947346</v>
      </c>
      <c r="AF37" s="7">
        <v>64579.166666666664</v>
      </c>
      <c r="AG37" s="17">
        <v>170.3</v>
      </c>
      <c r="AH37" s="13">
        <f t="shared" si="10"/>
        <v>37.920825993345069</v>
      </c>
    </row>
    <row r="38" spans="1:34" ht="18" customHeight="1">
      <c r="A38" s="1">
        <v>2000</v>
      </c>
      <c r="B38" s="7">
        <v>486380</v>
      </c>
      <c r="C38" s="7">
        <v>1081.8</v>
      </c>
      <c r="D38" s="13">
        <f t="shared" si="0"/>
        <v>44.960251432797193</v>
      </c>
      <c r="E38" s="7">
        <v>34371.666666666664</v>
      </c>
      <c r="F38" s="17">
        <v>39.5</v>
      </c>
      <c r="G38" s="13">
        <f t="shared" si="1"/>
        <v>87.016877637130804</v>
      </c>
      <c r="H38" s="7">
        <v>8417.5</v>
      </c>
      <c r="I38" s="17">
        <v>8.6</v>
      </c>
      <c r="J38" s="13">
        <f t="shared" si="2"/>
        <v>97.877906976744185</v>
      </c>
      <c r="K38" s="7">
        <v>29180.833333333332</v>
      </c>
      <c r="L38" s="17">
        <v>41</v>
      </c>
      <c r="M38" s="13">
        <f t="shared" si="3"/>
        <v>71.172764227642276</v>
      </c>
      <c r="N38" s="7">
        <v>33409.166666666664</v>
      </c>
      <c r="O38" s="17">
        <v>36.799999999999997</v>
      </c>
      <c r="P38" s="13">
        <f t="shared" si="4"/>
        <v>90.78577898550725</v>
      </c>
      <c r="Q38" s="7">
        <v>170215</v>
      </c>
      <c r="R38" s="17">
        <v>315.2</v>
      </c>
      <c r="S38" s="13">
        <f t="shared" si="5"/>
        <v>54.002220812182742</v>
      </c>
      <c r="T38" s="7">
        <v>101039.16666666667</v>
      </c>
      <c r="U38" s="17">
        <v>354.4</v>
      </c>
      <c r="V38" s="13">
        <f t="shared" si="6"/>
        <v>28.509922874341616</v>
      </c>
      <c r="W38" s="7">
        <v>13209.166666666666</v>
      </c>
      <c r="X38" s="17">
        <v>28.8</v>
      </c>
      <c r="Y38" s="13">
        <f t="shared" si="7"/>
        <v>45.865162037037031</v>
      </c>
      <c r="Z38" s="7">
        <v>11460</v>
      </c>
      <c r="AA38" s="17">
        <v>25.5</v>
      </c>
      <c r="AB38" s="13">
        <f t="shared" si="8"/>
        <v>44.941176470588232</v>
      </c>
      <c r="AC38" s="7">
        <v>27612.5</v>
      </c>
      <c r="AD38" s="17">
        <v>82.9</v>
      </c>
      <c r="AE38" s="13">
        <f t="shared" si="9"/>
        <v>33.308202653799754</v>
      </c>
      <c r="AF38" s="7">
        <v>55215.833333333336</v>
      </c>
      <c r="AG38" s="17">
        <v>149.19999999999999</v>
      </c>
      <c r="AH38" s="13">
        <f t="shared" si="10"/>
        <v>37.007931188561223</v>
      </c>
    </row>
    <row r="39" spans="1:34" ht="18" customHeight="1">
      <c r="A39" s="1">
        <v>2001</v>
      </c>
      <c r="B39" s="7">
        <v>521363.33333333331</v>
      </c>
      <c r="C39" s="7">
        <v>1164</v>
      </c>
      <c r="D39" s="13">
        <f t="shared" si="0"/>
        <v>44.79066437571592</v>
      </c>
      <c r="E39" s="7">
        <v>34664.166666666664</v>
      </c>
      <c r="F39" s="17">
        <v>38.5</v>
      </c>
      <c r="G39" s="13">
        <f t="shared" si="1"/>
        <v>90.03679653679653</v>
      </c>
      <c r="H39" s="7">
        <v>8100.833333333333</v>
      </c>
      <c r="I39" s="17">
        <v>8.6</v>
      </c>
      <c r="J39" s="13">
        <f t="shared" si="2"/>
        <v>94.195736434108525</v>
      </c>
      <c r="K39" s="7">
        <v>29368.333333333332</v>
      </c>
      <c r="L39" s="17">
        <v>44.8</v>
      </c>
      <c r="M39" s="13">
        <f t="shared" si="3"/>
        <v>65.554315476190467</v>
      </c>
      <c r="N39" s="7">
        <v>35612.5</v>
      </c>
      <c r="O39" s="17">
        <v>41</v>
      </c>
      <c r="P39" s="13">
        <f t="shared" si="4"/>
        <v>86.859756097560975</v>
      </c>
      <c r="Q39" s="7">
        <v>179718.33333333334</v>
      </c>
      <c r="R39" s="17">
        <v>331.6</v>
      </c>
      <c r="S39" s="13">
        <f t="shared" si="5"/>
        <v>54.197326095697633</v>
      </c>
      <c r="T39" s="7">
        <v>122496.66666666667</v>
      </c>
      <c r="U39" s="17">
        <v>401.2</v>
      </c>
      <c r="V39" s="13">
        <f t="shared" si="6"/>
        <v>30.532568959787309</v>
      </c>
      <c r="W39" s="7">
        <v>13242.5</v>
      </c>
      <c r="X39" s="17">
        <v>29.5</v>
      </c>
      <c r="Y39" s="13">
        <f t="shared" si="7"/>
        <v>44.889830508474574</v>
      </c>
      <c r="Z39" s="7">
        <v>11187.5</v>
      </c>
      <c r="AA39" s="17">
        <v>28.1</v>
      </c>
      <c r="AB39" s="13">
        <f t="shared" si="8"/>
        <v>39.813167259786475</v>
      </c>
      <c r="AC39" s="7">
        <v>25624.166666666668</v>
      </c>
      <c r="AD39" s="17">
        <v>79.8</v>
      </c>
      <c r="AE39" s="13">
        <f t="shared" si="9"/>
        <v>32.110484544695076</v>
      </c>
      <c r="AF39" s="7">
        <v>59373.333333333336</v>
      </c>
      <c r="AG39" s="17">
        <v>160.9</v>
      </c>
      <c r="AH39" s="13">
        <f t="shared" si="10"/>
        <v>36.900766521649061</v>
      </c>
    </row>
    <row r="40" spans="1:34" ht="18" customHeight="1">
      <c r="A40" s="1">
        <v>2002</v>
      </c>
      <c r="B40" s="7">
        <v>556385</v>
      </c>
      <c r="C40" s="7">
        <v>1271.3</v>
      </c>
      <c r="D40" s="13">
        <f t="shared" si="0"/>
        <v>43.765043656100055</v>
      </c>
      <c r="E40" s="7">
        <v>36590</v>
      </c>
      <c r="F40" s="17">
        <v>41</v>
      </c>
      <c r="G40" s="13">
        <f t="shared" si="1"/>
        <v>89.243902439024396</v>
      </c>
      <c r="H40" s="7">
        <v>8301.6666666666661</v>
      </c>
      <c r="I40" s="17">
        <v>8.8000000000000007</v>
      </c>
      <c r="J40" s="13">
        <f t="shared" si="2"/>
        <v>94.337121212121204</v>
      </c>
      <c r="K40" s="7">
        <v>30473.333333333332</v>
      </c>
      <c r="L40" s="17">
        <v>44.8</v>
      </c>
      <c r="M40" s="13">
        <f t="shared" si="3"/>
        <v>68.020833333333329</v>
      </c>
      <c r="N40" s="7">
        <v>35395.833333333336</v>
      </c>
      <c r="O40" s="17">
        <v>38.6</v>
      </c>
      <c r="P40" s="13">
        <f t="shared" si="4"/>
        <v>91.699050086355783</v>
      </c>
      <c r="Q40" s="7">
        <v>183188.33333333334</v>
      </c>
      <c r="R40" s="17">
        <v>339.1</v>
      </c>
      <c r="S40" s="13">
        <f t="shared" si="5"/>
        <v>54.021920770667457</v>
      </c>
      <c r="T40" s="7">
        <v>136384.16666666666</v>
      </c>
      <c r="U40" s="17">
        <v>464.3</v>
      </c>
      <c r="V40" s="13">
        <f t="shared" si="6"/>
        <v>29.374147462129368</v>
      </c>
      <c r="W40" s="7">
        <v>14150.833333333334</v>
      </c>
      <c r="X40" s="17">
        <v>30.5</v>
      </c>
      <c r="Y40" s="13">
        <f t="shared" si="7"/>
        <v>46.396174863387984</v>
      </c>
      <c r="Z40" s="7">
        <v>11949.166666666666</v>
      </c>
      <c r="AA40" s="17">
        <v>28.2</v>
      </c>
      <c r="AB40" s="13">
        <f t="shared" si="8"/>
        <v>42.372931442080372</v>
      </c>
      <c r="AC40" s="7">
        <v>32409.166666666668</v>
      </c>
      <c r="AD40" s="17">
        <v>94.4</v>
      </c>
      <c r="AE40" s="13">
        <f t="shared" si="9"/>
        <v>34.331744350282484</v>
      </c>
      <c r="AF40" s="7">
        <v>65374.166666666664</v>
      </c>
      <c r="AG40" s="17">
        <v>181.5</v>
      </c>
      <c r="AH40" s="13">
        <f t="shared" si="10"/>
        <v>36.018824609733699</v>
      </c>
    </row>
    <row r="41" spans="1:34" ht="18" customHeight="1">
      <c r="A41" s="1">
        <v>2003</v>
      </c>
      <c r="B41" s="7">
        <v>563547.5</v>
      </c>
      <c r="C41" s="7">
        <v>1285.0999999999999</v>
      </c>
      <c r="D41" s="13">
        <f t="shared" ref="D41:D46" si="11">B41/10/C41</f>
        <v>43.852423935880481</v>
      </c>
      <c r="E41" s="7">
        <v>36705.833333333336</v>
      </c>
      <c r="F41" s="17">
        <v>41.5</v>
      </c>
      <c r="G41" s="13">
        <f t="shared" ref="G41:G46" si="12">E41/10/F41</f>
        <v>88.447791164658639</v>
      </c>
      <c r="H41" s="7">
        <v>8183.333333333333</v>
      </c>
      <c r="I41" s="17">
        <v>8.1999999999999993</v>
      </c>
      <c r="J41" s="13">
        <f t="shared" ref="J41:J46" si="13">H41/10/I41</f>
        <v>99.796747967479675</v>
      </c>
      <c r="K41" s="7">
        <v>30086.666666666668</v>
      </c>
      <c r="L41" s="17">
        <v>43.1</v>
      </c>
      <c r="M41" s="13">
        <f t="shared" ref="M41:M46" si="14">K41/10/L41</f>
        <v>69.806651198762566</v>
      </c>
      <c r="N41" s="7">
        <v>34480.833333333336</v>
      </c>
      <c r="O41" s="17">
        <v>39</v>
      </c>
      <c r="P41" s="13">
        <f t="shared" ref="P41:P46" si="15">N41/10/O41</f>
        <v>88.412393162393172</v>
      </c>
      <c r="Q41" s="7">
        <v>184600</v>
      </c>
      <c r="R41" s="17">
        <v>365.4</v>
      </c>
      <c r="S41" s="13">
        <f t="shared" ref="S41:S46" si="16">Q41/10/R41</f>
        <v>50.519978106185008</v>
      </c>
      <c r="T41" s="7">
        <v>141752.5</v>
      </c>
      <c r="U41" s="17">
        <v>462.4</v>
      </c>
      <c r="V41" s="13">
        <f t="shared" ref="V41:V46" si="17">T41/10/U41</f>
        <v>30.655817474048444</v>
      </c>
      <c r="W41" s="7">
        <v>14025</v>
      </c>
      <c r="X41" s="17">
        <v>29.9</v>
      </c>
      <c r="Y41" s="13">
        <f t="shared" ref="Y41:Y46" si="18">W41/10/X41</f>
        <v>46.906354515050168</v>
      </c>
      <c r="Z41" s="7">
        <v>12245</v>
      </c>
      <c r="AA41" s="17">
        <v>28.5</v>
      </c>
      <c r="AB41" s="13">
        <f t="shared" ref="AB41:AB46" si="19">Z41/10/AA41</f>
        <v>42.964912280701753</v>
      </c>
      <c r="AC41" s="7">
        <v>33876.666666666664</v>
      </c>
      <c r="AD41" s="17">
        <v>92.9</v>
      </c>
      <c r="AE41" s="13">
        <f t="shared" ref="AE41:AE46" si="20">AC41/10/AD41</f>
        <v>36.465733763903835</v>
      </c>
      <c r="AF41" s="7">
        <v>65369.166666666664</v>
      </c>
      <c r="AG41" s="17">
        <v>174.2</v>
      </c>
      <c r="AH41" s="13">
        <f t="shared" ref="AH41:AH46" si="21">AF41/10/AG41</f>
        <v>37.525353999234596</v>
      </c>
    </row>
    <row r="42" spans="1:34" ht="18" customHeight="1">
      <c r="A42" s="1">
        <v>2004</v>
      </c>
      <c r="B42" s="7">
        <v>541625.83333333337</v>
      </c>
      <c r="C42" s="7">
        <v>1232.5</v>
      </c>
      <c r="D42" s="13">
        <f t="shared" si="11"/>
        <v>43.945300878972283</v>
      </c>
      <c r="E42" s="7">
        <v>37425.833333333336</v>
      </c>
      <c r="F42" s="17">
        <v>39.6</v>
      </c>
      <c r="G42" s="13">
        <f t="shared" si="12"/>
        <v>94.509680134680139</v>
      </c>
      <c r="H42" s="7">
        <v>8080.833333333333</v>
      </c>
      <c r="I42" s="17">
        <v>8.4</v>
      </c>
      <c r="J42" s="13">
        <f t="shared" si="13"/>
        <v>96.200396825396808</v>
      </c>
      <c r="K42" s="7">
        <v>30062.5</v>
      </c>
      <c r="L42" s="17">
        <v>42.7</v>
      </c>
      <c r="M42" s="13">
        <f t="shared" si="14"/>
        <v>70.403981264636997</v>
      </c>
      <c r="N42" s="7">
        <v>34347.5</v>
      </c>
      <c r="O42" s="17">
        <v>37.6</v>
      </c>
      <c r="P42" s="13">
        <f t="shared" si="15"/>
        <v>91.349734042553195</v>
      </c>
      <c r="Q42" s="7">
        <v>179538.33333333334</v>
      </c>
      <c r="R42" s="17">
        <v>342.1</v>
      </c>
      <c r="S42" s="13">
        <f t="shared" si="16"/>
        <v>52.481243301178999</v>
      </c>
      <c r="T42" s="7">
        <v>136420</v>
      </c>
      <c r="U42" s="17">
        <v>458.6</v>
      </c>
      <c r="V42" s="13">
        <f t="shared" si="17"/>
        <v>29.747056258177061</v>
      </c>
      <c r="W42" s="7">
        <v>13422.5</v>
      </c>
      <c r="X42" s="17">
        <v>32.299999999999997</v>
      </c>
      <c r="Y42" s="13">
        <f t="shared" si="18"/>
        <v>41.555727554179569</v>
      </c>
      <c r="Z42" s="7">
        <v>12105.833333333334</v>
      </c>
      <c r="AA42" s="17">
        <v>27.1</v>
      </c>
      <c r="AB42" s="13">
        <f t="shared" si="19"/>
        <v>44.670971709717101</v>
      </c>
      <c r="AC42" s="7">
        <v>29101.666666666668</v>
      </c>
      <c r="AD42" s="17">
        <v>87.5</v>
      </c>
      <c r="AE42" s="13">
        <f t="shared" si="20"/>
        <v>33.259047619047621</v>
      </c>
      <c r="AF42" s="7">
        <v>58904.166666666664</v>
      </c>
      <c r="AG42" s="17">
        <v>156.69999999999999</v>
      </c>
      <c r="AH42" s="13">
        <f t="shared" si="21"/>
        <v>37.590406296532649</v>
      </c>
    </row>
    <row r="43" spans="1:34" ht="18" customHeight="1">
      <c r="A43" s="1">
        <v>2005</v>
      </c>
      <c r="B43" s="7">
        <v>516732.5</v>
      </c>
      <c r="C43" s="7">
        <v>1168.8</v>
      </c>
      <c r="D43" s="13">
        <f t="shared" si="11"/>
        <v>44.210515058179332</v>
      </c>
      <c r="E43" s="7">
        <v>37923.333333333336</v>
      </c>
      <c r="F43" s="17">
        <v>38</v>
      </c>
      <c r="G43" s="13">
        <f t="shared" si="12"/>
        <v>99.798245614035096</v>
      </c>
      <c r="H43" s="7">
        <v>8154.166666666667</v>
      </c>
      <c r="I43" s="17">
        <v>8.1999999999999993</v>
      </c>
      <c r="J43" s="13">
        <f t="shared" si="13"/>
        <v>99.441056910569117</v>
      </c>
      <c r="K43" s="7">
        <v>29620.833333333332</v>
      </c>
      <c r="L43" s="17">
        <v>40.5</v>
      </c>
      <c r="M43" s="13">
        <f t="shared" si="14"/>
        <v>73.137860082304513</v>
      </c>
      <c r="N43" s="7">
        <v>34229.166666666664</v>
      </c>
      <c r="O43" s="17">
        <v>37</v>
      </c>
      <c r="P43" s="13">
        <f t="shared" si="15"/>
        <v>92.511261261261254</v>
      </c>
      <c r="Q43" s="7">
        <v>176134.16666666666</v>
      </c>
      <c r="R43" s="17">
        <v>333.9</v>
      </c>
      <c r="S43" s="13">
        <f t="shared" si="16"/>
        <v>52.750574024158929</v>
      </c>
      <c r="T43" s="7">
        <v>131929.16666666666</v>
      </c>
      <c r="U43" s="17">
        <v>451.6</v>
      </c>
      <c r="V43" s="13">
        <f t="shared" si="17"/>
        <v>29.213721582521401</v>
      </c>
      <c r="W43" s="7">
        <v>12325</v>
      </c>
      <c r="X43" s="17">
        <v>29</v>
      </c>
      <c r="Y43" s="13">
        <f t="shared" si="18"/>
        <v>42.5</v>
      </c>
      <c r="Z43" s="7">
        <v>10984.166666666666</v>
      </c>
      <c r="AA43" s="17">
        <v>25.9</v>
      </c>
      <c r="AB43" s="13">
        <f t="shared" si="19"/>
        <v>42.409909909909906</v>
      </c>
      <c r="AC43" s="7">
        <v>22592.5</v>
      </c>
      <c r="AD43" s="17">
        <v>75.2</v>
      </c>
      <c r="AE43" s="13">
        <f t="shared" si="20"/>
        <v>30.043218085106382</v>
      </c>
      <c r="AF43" s="7">
        <v>50684.166666666664</v>
      </c>
      <c r="AG43" s="17">
        <v>129.4</v>
      </c>
      <c r="AH43" s="13">
        <f t="shared" si="21"/>
        <v>39.168598660484278</v>
      </c>
    </row>
    <row r="44" spans="1:34" ht="18" customHeight="1">
      <c r="A44" s="1">
        <v>2006</v>
      </c>
      <c r="B44" s="7">
        <v>494043.33333333331</v>
      </c>
      <c r="C44" s="7">
        <v>1106.5</v>
      </c>
      <c r="D44" s="13">
        <f t="shared" si="11"/>
        <v>44.649194155746343</v>
      </c>
      <c r="E44" s="7">
        <v>37874.166666666664</v>
      </c>
      <c r="F44" s="17">
        <v>37.1</v>
      </c>
      <c r="G44" s="13">
        <f t="shared" si="12"/>
        <v>102.08670260557052</v>
      </c>
      <c r="H44" s="7">
        <v>8092.5</v>
      </c>
      <c r="I44" s="17">
        <v>8.5</v>
      </c>
      <c r="J44" s="13">
        <f t="shared" si="13"/>
        <v>95.205882352941174</v>
      </c>
      <c r="K44" s="7">
        <v>29025.833333333332</v>
      </c>
      <c r="L44" s="17">
        <v>37.799999999999997</v>
      </c>
      <c r="M44" s="13">
        <f t="shared" si="14"/>
        <v>76.787918871252202</v>
      </c>
      <c r="N44" s="7">
        <v>32968.333333333336</v>
      </c>
      <c r="O44" s="17">
        <v>33.4</v>
      </c>
      <c r="P44" s="13">
        <f t="shared" si="15"/>
        <v>98.707584830339329</v>
      </c>
      <c r="Q44" s="7">
        <v>173555.83333333334</v>
      </c>
      <c r="R44" s="17">
        <v>327.9</v>
      </c>
      <c r="S44" s="13">
        <f t="shared" si="16"/>
        <v>52.929500864084588</v>
      </c>
      <c r="T44" s="7">
        <v>129075.83333333333</v>
      </c>
      <c r="U44" s="17">
        <v>435.2</v>
      </c>
      <c r="V44" s="13">
        <f t="shared" si="17"/>
        <v>29.658969056372548</v>
      </c>
      <c r="W44" s="7">
        <v>10998.333333333334</v>
      </c>
      <c r="X44" s="17">
        <v>26.7</v>
      </c>
      <c r="Y44" s="13">
        <f t="shared" si="18"/>
        <v>41.192259675405751</v>
      </c>
      <c r="Z44" s="7">
        <v>9840</v>
      </c>
      <c r="AA44" s="17">
        <v>24.1</v>
      </c>
      <c r="AB44" s="13">
        <f t="shared" si="19"/>
        <v>40.829875518672196</v>
      </c>
      <c r="AC44" s="7">
        <v>18872.5</v>
      </c>
      <c r="AD44" s="17">
        <v>68.400000000000006</v>
      </c>
      <c r="AE44" s="13">
        <f t="shared" si="20"/>
        <v>27.591374269005847</v>
      </c>
      <c r="AF44" s="7">
        <v>41728.333333333336</v>
      </c>
      <c r="AG44" s="17">
        <v>107.4</v>
      </c>
      <c r="AH44" s="13">
        <f t="shared" si="21"/>
        <v>38.85319677219119</v>
      </c>
    </row>
    <row r="45" spans="1:34" ht="18" customHeight="1">
      <c r="A45" s="1">
        <v>2007</v>
      </c>
      <c r="B45" s="7">
        <v>479469.16666666669</v>
      </c>
      <c r="C45" s="7">
        <v>1078.5999999999999</v>
      </c>
      <c r="D45" s="13">
        <f t="shared" si="11"/>
        <v>44.452917362012492</v>
      </c>
      <c r="E45" s="7">
        <v>36035.833333333336</v>
      </c>
      <c r="F45" s="17">
        <v>33.799999999999997</v>
      </c>
      <c r="G45" s="13">
        <f t="shared" si="12"/>
        <v>106.61489151873769</v>
      </c>
      <c r="H45" s="7">
        <v>7930</v>
      </c>
      <c r="I45" s="17">
        <v>7.9</v>
      </c>
      <c r="J45" s="13">
        <f t="shared" si="13"/>
        <v>100.37974683544303</v>
      </c>
      <c r="K45" s="7">
        <v>27838.333333333332</v>
      </c>
      <c r="L45" s="17">
        <v>38.700000000000003</v>
      </c>
      <c r="M45" s="13">
        <f t="shared" si="14"/>
        <v>71.933677863910404</v>
      </c>
      <c r="N45" s="7">
        <v>30593.333333333332</v>
      </c>
      <c r="O45" s="17">
        <v>29</v>
      </c>
      <c r="P45" s="13">
        <f t="shared" si="15"/>
        <v>105.49425287356321</v>
      </c>
      <c r="Q45" s="7">
        <v>169462.5</v>
      </c>
      <c r="R45" s="17">
        <v>299</v>
      </c>
      <c r="S45" s="13">
        <f t="shared" si="16"/>
        <v>56.676421404682273</v>
      </c>
      <c r="T45" s="7">
        <v>130912.5</v>
      </c>
      <c r="U45" s="17">
        <v>448.7</v>
      </c>
      <c r="V45" s="13">
        <f t="shared" si="17"/>
        <v>29.175952752395812</v>
      </c>
      <c r="W45" s="7">
        <v>10432.5</v>
      </c>
      <c r="X45" s="17">
        <v>27.8</v>
      </c>
      <c r="Y45" s="13">
        <f t="shared" si="18"/>
        <v>37.526978417266186</v>
      </c>
      <c r="Z45" s="7">
        <v>9445</v>
      </c>
      <c r="AA45" s="17">
        <v>22.1</v>
      </c>
      <c r="AB45" s="13">
        <f t="shared" si="19"/>
        <v>42.737556561085967</v>
      </c>
      <c r="AC45" s="7">
        <v>16872.5</v>
      </c>
      <c r="AD45" s="17">
        <v>72.8</v>
      </c>
      <c r="AE45" s="13">
        <f t="shared" si="20"/>
        <v>23.176510989010989</v>
      </c>
      <c r="AF45" s="7">
        <v>38066.666666666664</v>
      </c>
      <c r="AG45" s="17">
        <v>98.9</v>
      </c>
      <c r="AH45" s="13">
        <f t="shared" si="21"/>
        <v>38.490057296932925</v>
      </c>
    </row>
    <row r="46" spans="1:34" ht="18" customHeight="1">
      <c r="A46" s="1">
        <v>2008</v>
      </c>
      <c r="B46" s="7">
        <v>486325.83333333331</v>
      </c>
      <c r="C46" s="7">
        <v>1116.5</v>
      </c>
      <c r="D46" s="13">
        <f t="shared" si="11"/>
        <v>43.558068368413188</v>
      </c>
      <c r="E46" s="7">
        <v>35801.666666666664</v>
      </c>
      <c r="F46" s="17">
        <v>33.299999999999997</v>
      </c>
      <c r="G46" s="13">
        <f t="shared" si="12"/>
        <v>107.51251251251252</v>
      </c>
      <c r="H46" s="7">
        <v>7849.166666666667</v>
      </c>
      <c r="I46" s="17">
        <v>8.4</v>
      </c>
      <c r="J46" s="13">
        <f t="shared" si="13"/>
        <v>93.442460317460316</v>
      </c>
      <c r="K46" s="7">
        <v>27627.5</v>
      </c>
      <c r="L46" s="17">
        <v>37.5</v>
      </c>
      <c r="M46" s="13">
        <f t="shared" si="14"/>
        <v>73.673333333333332</v>
      </c>
      <c r="N46" s="7">
        <v>30065</v>
      </c>
      <c r="O46" s="17">
        <v>33.5</v>
      </c>
      <c r="P46" s="13">
        <f t="shared" si="15"/>
        <v>89.746268656716424</v>
      </c>
      <c r="Q46" s="7">
        <v>160833.33333333334</v>
      </c>
      <c r="R46" s="17">
        <v>302.5</v>
      </c>
      <c r="S46" s="13">
        <f t="shared" si="16"/>
        <v>53.168044077134986</v>
      </c>
      <c r="T46" s="7">
        <v>142598.33333333334</v>
      </c>
      <c r="U46" s="17">
        <v>466.3</v>
      </c>
      <c r="V46" s="13">
        <f t="shared" si="17"/>
        <v>30.580813496318537</v>
      </c>
      <c r="W46" s="7">
        <v>10660</v>
      </c>
      <c r="X46" s="17">
        <v>26.5</v>
      </c>
      <c r="Y46" s="13">
        <f t="shared" si="18"/>
        <v>40.226415094339622</v>
      </c>
      <c r="Z46" s="7">
        <v>8512.5</v>
      </c>
      <c r="AA46" s="17">
        <v>21.7</v>
      </c>
      <c r="AB46" s="13">
        <f t="shared" si="19"/>
        <v>39.228110599078342</v>
      </c>
      <c r="AC46" s="7">
        <v>17688.333333333332</v>
      </c>
      <c r="AD46" s="17">
        <v>77</v>
      </c>
      <c r="AE46" s="13">
        <f t="shared" si="20"/>
        <v>22.97186147186147</v>
      </c>
      <c r="AF46" s="7">
        <v>42755.833333333336</v>
      </c>
      <c r="AG46" s="17">
        <v>109.9</v>
      </c>
      <c r="AH46" s="13">
        <f t="shared" si="21"/>
        <v>38.904306945708221</v>
      </c>
    </row>
    <row r="47" spans="1:34" ht="18" customHeight="1">
      <c r="A47" s="1">
        <v>2009</v>
      </c>
      <c r="B47" s="7">
        <v>733984.16666666663</v>
      </c>
      <c r="C47" s="7">
        <v>1516</v>
      </c>
      <c r="D47" s="13">
        <f t="shared" ref="D47:D48" si="22">B47/10/C47</f>
        <v>48.415842128408087</v>
      </c>
      <c r="E47" s="7">
        <v>41128.333333333336</v>
      </c>
      <c r="F47" s="17">
        <v>39</v>
      </c>
      <c r="G47" s="13">
        <f t="shared" ref="G47:G48" si="23">E47/10/F47</f>
        <v>105.45726495726497</v>
      </c>
      <c r="H47" s="7">
        <v>8556.6666666666661</v>
      </c>
      <c r="I47" s="17">
        <v>9.4</v>
      </c>
      <c r="J47" s="13">
        <f t="shared" ref="J47:J48" si="24">H47/10/I47</f>
        <v>91.028368794326241</v>
      </c>
      <c r="K47" s="7">
        <v>33091.666666666664</v>
      </c>
      <c r="L47" s="17">
        <v>45.6</v>
      </c>
      <c r="M47" s="13">
        <f t="shared" ref="M47:M48" si="25">K47/10/L47</f>
        <v>72.569444444444443</v>
      </c>
      <c r="N47" s="7">
        <v>35135.833333333336</v>
      </c>
      <c r="O47" s="17">
        <v>34.6</v>
      </c>
      <c r="P47" s="13">
        <f t="shared" ref="P47:P48" si="26">N47/10/O47</f>
        <v>101.54865125240848</v>
      </c>
      <c r="Q47" s="7">
        <v>199098.33333333334</v>
      </c>
      <c r="R47" s="17">
        <v>355.6</v>
      </c>
      <c r="S47" s="13">
        <f t="shared" ref="S47:S48" si="27">Q47/10/R47</f>
        <v>55.989407574053246</v>
      </c>
      <c r="T47" s="7">
        <v>246694.16666666666</v>
      </c>
      <c r="U47" s="17">
        <v>645.29999999999995</v>
      </c>
      <c r="V47" s="13">
        <f t="shared" ref="V47:V48" si="28">T47/10/U47</f>
        <v>38.229376517382093</v>
      </c>
      <c r="W47" s="7">
        <v>15122.5</v>
      </c>
      <c r="X47" s="17">
        <v>33.6</v>
      </c>
      <c r="Y47" s="13">
        <f t="shared" ref="Y47:Y48" si="29">W47/10/X47</f>
        <v>45.007440476190474</v>
      </c>
      <c r="Z47" s="7">
        <v>12915.833333333334</v>
      </c>
      <c r="AA47" s="17">
        <v>26.1</v>
      </c>
      <c r="AB47" s="13">
        <f t="shared" ref="AB47:AB48" si="30">Z47/10/AA47</f>
        <v>49.485951468710091</v>
      </c>
      <c r="AC47" s="7">
        <v>55005.833333333336</v>
      </c>
      <c r="AD47" s="17">
        <v>142.1</v>
      </c>
      <c r="AE47" s="13">
        <f t="shared" ref="AE47:AE48" si="31">AC47/10/AD47</f>
        <v>38.709242317616706</v>
      </c>
      <c r="AF47" s="7">
        <v>84595.833333333328</v>
      </c>
      <c r="AG47" s="17">
        <v>184.7</v>
      </c>
      <c r="AH47" s="13">
        <f t="shared" ref="AH47:AH48" si="32">AF47/10/AG47</f>
        <v>45.80175058653672</v>
      </c>
    </row>
    <row r="48" spans="1:34" ht="18" customHeight="1">
      <c r="A48" s="1">
        <v>2010</v>
      </c>
      <c r="B48" s="7">
        <v>684179.16666666663</v>
      </c>
      <c r="C48" s="7">
        <v>1484.1</v>
      </c>
      <c r="D48" s="13">
        <f t="shared" si="22"/>
        <v>46.100610920198548</v>
      </c>
      <c r="E48" s="7">
        <v>38583.333333333336</v>
      </c>
      <c r="F48" s="17">
        <v>36.9</v>
      </c>
      <c r="G48" s="13">
        <f t="shared" si="23"/>
        <v>104.56187895212287</v>
      </c>
      <c r="H48" s="7">
        <v>8717.5</v>
      </c>
      <c r="I48" s="17">
        <v>8.9</v>
      </c>
      <c r="J48" s="13">
        <f t="shared" si="24"/>
        <v>97.949438202247194</v>
      </c>
      <c r="K48" s="7">
        <v>33255.833333333336</v>
      </c>
      <c r="L48" s="17">
        <v>46.3</v>
      </c>
      <c r="M48" s="13">
        <f t="shared" si="25"/>
        <v>71.826853851691865</v>
      </c>
      <c r="N48" s="7">
        <v>34340.833333333336</v>
      </c>
      <c r="O48" s="17">
        <v>36.4</v>
      </c>
      <c r="P48" s="13">
        <f t="shared" si="26"/>
        <v>94.34294871794873</v>
      </c>
      <c r="Q48" s="7">
        <v>190504.16666666666</v>
      </c>
      <c r="R48" s="17">
        <v>338.5</v>
      </c>
      <c r="S48" s="13">
        <f t="shared" si="27"/>
        <v>56.278926637124563</v>
      </c>
      <c r="T48" s="7">
        <v>215869.16666666666</v>
      </c>
      <c r="U48" s="17">
        <v>626.6</v>
      </c>
      <c r="V48" s="13">
        <f t="shared" si="28"/>
        <v>34.450872433237571</v>
      </c>
      <c r="W48" s="7">
        <v>15773.333333333334</v>
      </c>
      <c r="X48" s="17">
        <v>35.1</v>
      </c>
      <c r="Y48" s="13">
        <f t="shared" si="29"/>
        <v>44.938271604938272</v>
      </c>
      <c r="Z48" s="7">
        <v>12865.833333333334</v>
      </c>
      <c r="AA48" s="17">
        <v>28.7</v>
      </c>
      <c r="AB48" s="13">
        <f t="shared" si="30"/>
        <v>44.82868757259002</v>
      </c>
      <c r="AC48" s="7">
        <v>50169.166666666664</v>
      </c>
      <c r="AD48" s="17">
        <v>140.69999999999999</v>
      </c>
      <c r="AE48" s="13">
        <f t="shared" si="31"/>
        <v>35.656834873252784</v>
      </c>
      <c r="AF48" s="7">
        <v>81461.666666666672</v>
      </c>
      <c r="AG48" s="17">
        <v>186.2</v>
      </c>
      <c r="AH48" s="13">
        <f t="shared" si="32"/>
        <v>43.749552452559975</v>
      </c>
    </row>
    <row r="49" spans="1:138" ht="18" customHeight="1">
      <c r="B49" s="172" t="s">
        <v>435</v>
      </c>
      <c r="C49" s="7"/>
      <c r="D49" s="13"/>
      <c r="E49" s="7"/>
      <c r="F49" s="17"/>
      <c r="G49" s="13"/>
      <c r="H49" s="7"/>
      <c r="I49" s="17"/>
      <c r="J49" s="13"/>
      <c r="K49" s="7"/>
      <c r="L49" s="17"/>
      <c r="M49" s="13"/>
      <c r="N49" s="172" t="s">
        <v>435</v>
      </c>
      <c r="O49" s="17"/>
      <c r="P49" s="13"/>
      <c r="Q49" s="7"/>
      <c r="R49" s="17"/>
      <c r="S49" s="13"/>
      <c r="T49" s="7"/>
      <c r="U49" s="17"/>
      <c r="V49" s="13"/>
      <c r="W49" s="7"/>
      <c r="X49" s="17"/>
      <c r="Y49" s="13"/>
      <c r="Z49" s="172" t="s">
        <v>435</v>
      </c>
      <c r="AA49" s="17"/>
      <c r="AB49" s="13"/>
      <c r="AC49" s="7"/>
      <c r="AD49" s="17"/>
      <c r="AE49" s="13"/>
      <c r="AF49" s="7"/>
      <c r="AG49" s="17"/>
      <c r="AH49" s="13"/>
    </row>
    <row r="50" spans="1:138" s="252" customFormat="1" ht="18" customHeight="1">
      <c r="A50" s="252" t="s">
        <v>988</v>
      </c>
      <c r="B50" s="271">
        <f t="shared" ref="B50:AH50" si="33">(POWER(B48/B19, 1/29)-1)*100</f>
        <v>0.33924993610165988</v>
      </c>
      <c r="C50" s="271">
        <f t="shared" si="33"/>
        <v>1.6216965436844255</v>
      </c>
      <c r="D50" s="271">
        <f t="shared" si="33"/>
        <v>-1.2619811036430284</v>
      </c>
      <c r="E50" s="271">
        <f t="shared" si="33"/>
        <v>3.4052825381958307E-2</v>
      </c>
      <c r="F50" s="271">
        <f t="shared" si="33"/>
        <v>0.83420411788341919</v>
      </c>
      <c r="G50" s="271">
        <f t="shared" si="33"/>
        <v>-0.79353161905857394</v>
      </c>
      <c r="H50" s="271">
        <f t="shared" si="33"/>
        <v>0.72820903974195605</v>
      </c>
      <c r="I50" s="271">
        <f t="shared" si="33"/>
        <v>1.3689118818377866</v>
      </c>
      <c r="J50" s="271">
        <f t="shared" si="33"/>
        <v>-0.6320506259775982</v>
      </c>
      <c r="K50" s="271">
        <f t="shared" si="33"/>
        <v>5.3700578189963544E-2</v>
      </c>
      <c r="L50" s="271">
        <f t="shared" si="33"/>
        <v>0.83301311785395349</v>
      </c>
      <c r="M50" s="271">
        <f t="shared" si="33"/>
        <v>-0.7728743945726757</v>
      </c>
      <c r="N50" s="271">
        <f t="shared" si="33"/>
        <v>-0.52531272253840688</v>
      </c>
      <c r="O50" s="271">
        <f t="shared" si="33"/>
        <v>0.26611531256766074</v>
      </c>
      <c r="P50" s="271">
        <f t="shared" si="33"/>
        <v>-0.78932751372572385</v>
      </c>
      <c r="Q50" s="271">
        <f t="shared" si="33"/>
        <v>-0.91721173727334904</v>
      </c>
      <c r="R50" s="271">
        <f t="shared" si="33"/>
        <v>0.10030692609259706</v>
      </c>
      <c r="S50" s="271">
        <f t="shared" si="33"/>
        <v>-1.0164990444207156</v>
      </c>
      <c r="T50" s="271">
        <f t="shared" si="33"/>
        <v>1.1636577149910732</v>
      </c>
      <c r="U50" s="271">
        <f t="shared" si="33"/>
        <v>2.5440914401984704</v>
      </c>
      <c r="V50" s="271">
        <f t="shared" si="33"/>
        <v>-1.3461855342610574</v>
      </c>
      <c r="W50" s="271">
        <f t="shared" si="33"/>
        <v>-0.14233100681937394</v>
      </c>
      <c r="X50" s="271">
        <f t="shared" si="33"/>
        <v>0.5777109180150175</v>
      </c>
      <c r="Y50" s="271">
        <f t="shared" si="33"/>
        <v>-0.71590605737819057</v>
      </c>
      <c r="Z50" s="271">
        <f t="shared" si="33"/>
        <v>0.6431682107579384</v>
      </c>
      <c r="AA50" s="271">
        <f t="shared" si="33"/>
        <v>1.1840663262972173</v>
      </c>
      <c r="AB50" s="271">
        <f t="shared" si="33"/>
        <v>-0.53456847029156318</v>
      </c>
      <c r="AC50" s="271">
        <f t="shared" si="33"/>
        <v>4.2086787813279125</v>
      </c>
      <c r="AD50" s="271">
        <f t="shared" si="33"/>
        <v>3.7705465607662303</v>
      </c>
      <c r="AE50" s="271">
        <f t="shared" si="33"/>
        <v>0.42221250160336954</v>
      </c>
      <c r="AF50" s="271">
        <f t="shared" si="33"/>
        <v>1.3486302551646512</v>
      </c>
      <c r="AG50" s="271">
        <f t="shared" si="33"/>
        <v>2.2960140502647386</v>
      </c>
      <c r="AH50" s="271">
        <f t="shared" si="33"/>
        <v>-0.92611995090500221</v>
      </c>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269"/>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c r="B51" s="1" t="s">
        <v>997</v>
      </c>
      <c r="N51" s="1" t="s">
        <v>380</v>
      </c>
      <c r="Z51" s="1" t="s">
        <v>380</v>
      </c>
    </row>
    <row r="52" spans="1:138">
      <c r="B52" s="1" t="s">
        <v>950</v>
      </c>
    </row>
    <row r="53" spans="1:138">
      <c r="B53" s="1" t="s">
        <v>999</v>
      </c>
    </row>
    <row r="54" spans="1:138">
      <c r="B54" s="1" t="s">
        <v>998</v>
      </c>
    </row>
  </sheetData>
  <phoneticPr fontId="0" type="noConversion"/>
  <pageMargins left="0.75" right="0.75" top="1" bottom="1" header="0.5" footer="0.5"/>
  <pageSetup scale="70" orientation="landscape" r:id="rId1"/>
  <headerFooter alignWithMargins="0"/>
  <rowBreaks count="1" manualBreakCount="1">
    <brk id="57" max="16383" man="1"/>
  </rowBreaks>
  <colBreaks count="2" manualBreakCount="2">
    <brk id="13" max="1048575" man="1"/>
    <brk id="25" max="1048575" man="1"/>
  </colBreaks>
</worksheet>
</file>

<file path=xl/worksheets/sheet48.xml><?xml version="1.0" encoding="utf-8"?>
<worksheet xmlns="http://schemas.openxmlformats.org/spreadsheetml/2006/main" xmlns:r="http://schemas.openxmlformats.org/officeDocument/2006/relationships">
  <dimension ref="A1:EH50"/>
  <sheetViews>
    <sheetView view="pageBreakPreview" zoomScaleSheetLayoutView="100" workbookViewId="0">
      <selection activeCell="E9" sqref="E9"/>
    </sheetView>
  </sheetViews>
  <sheetFormatPr defaultRowHeight="12.75"/>
  <cols>
    <col min="1" max="3" width="9" style="1"/>
    <col min="4" max="4" width="10.875" style="1" customWidth="1"/>
    <col min="5" max="6" width="8.875" style="1"/>
    <col min="7" max="7" width="9.875" style="1" customWidth="1"/>
    <col min="8" max="16384" width="9" style="1"/>
  </cols>
  <sheetData>
    <row r="1" spans="1:12" ht="15.75">
      <c r="B1" s="2" t="s">
        <v>626</v>
      </c>
    </row>
    <row r="3" spans="1:12" s="10" customFormat="1" ht="15">
      <c r="A3" s="284"/>
      <c r="B3" s="284" t="s">
        <v>321</v>
      </c>
      <c r="C3" s="284" t="s">
        <v>449</v>
      </c>
      <c r="D3" s="284" t="s">
        <v>450</v>
      </c>
      <c r="E3" s="284" t="s">
        <v>451</v>
      </c>
      <c r="F3" s="284" t="s">
        <v>452</v>
      </c>
      <c r="G3" s="284" t="s">
        <v>453</v>
      </c>
      <c r="H3" s="284" t="s">
        <v>454</v>
      </c>
      <c r="I3" s="284" t="s">
        <v>455</v>
      </c>
      <c r="J3" s="284" t="s">
        <v>456</v>
      </c>
      <c r="K3" s="284" t="s">
        <v>457</v>
      </c>
      <c r="L3" s="284" t="s">
        <v>458</v>
      </c>
    </row>
    <row r="4" spans="1:12" hidden="1">
      <c r="A4" s="1">
        <v>1971</v>
      </c>
      <c r="B4" s="6">
        <v>54.5</v>
      </c>
      <c r="C4" s="118">
        <f t="shared" ref="C4:L8" si="0">C5/($B5/$B4)</f>
        <v>40.851138353765315</v>
      </c>
      <c r="D4" s="118">
        <f t="shared" si="0"/>
        <v>49.536777583187387</v>
      </c>
      <c r="E4" s="118">
        <f t="shared" si="0"/>
        <v>48.200525394045528</v>
      </c>
      <c r="F4" s="118">
        <f t="shared" si="0"/>
        <v>45.814360770577927</v>
      </c>
      <c r="G4" s="118">
        <f t="shared" si="0"/>
        <v>51.254816112084058</v>
      </c>
      <c r="H4" s="118">
        <f t="shared" si="0"/>
        <v>57.554290718038523</v>
      </c>
      <c r="I4" s="118">
        <f t="shared" si="0"/>
        <v>56.21803852889667</v>
      </c>
      <c r="J4" s="118">
        <f t="shared" si="0"/>
        <v>55.549912434325748</v>
      </c>
      <c r="K4" s="118">
        <f t="shared" si="0"/>
        <v>61.753940455341521</v>
      </c>
      <c r="L4" s="118">
        <f t="shared" si="0"/>
        <v>54.022767075306476</v>
      </c>
    </row>
    <row r="5" spans="1:12" hidden="1">
      <c r="A5" s="1">
        <v>1972</v>
      </c>
      <c r="B5" s="6">
        <v>54.9</v>
      </c>
      <c r="C5" s="118">
        <f t="shared" si="0"/>
        <v>41.150963222416806</v>
      </c>
      <c r="D5" s="118">
        <f t="shared" si="0"/>
        <v>49.900350262697017</v>
      </c>
      <c r="E5" s="118">
        <f t="shared" si="0"/>
        <v>48.554290718038523</v>
      </c>
      <c r="F5" s="118">
        <f t="shared" si="0"/>
        <v>46.150612959719787</v>
      </c>
      <c r="G5" s="118">
        <f t="shared" si="0"/>
        <v>51.63099824868651</v>
      </c>
      <c r="H5" s="118">
        <f t="shared" si="0"/>
        <v>57.976707530647978</v>
      </c>
      <c r="I5" s="118">
        <f t="shared" si="0"/>
        <v>56.630647985989491</v>
      </c>
      <c r="J5" s="118">
        <f t="shared" si="0"/>
        <v>55.957618213660247</v>
      </c>
      <c r="K5" s="118">
        <f t="shared" si="0"/>
        <v>62.207180385288979</v>
      </c>
      <c r="L5" s="118">
        <f t="shared" si="0"/>
        <v>54.41926444833625</v>
      </c>
    </row>
    <row r="6" spans="1:12" hidden="1">
      <c r="A6" s="1">
        <v>1973</v>
      </c>
      <c r="B6" s="6">
        <v>56.4</v>
      </c>
      <c r="C6" s="118">
        <f t="shared" si="0"/>
        <v>42.275306479859893</v>
      </c>
      <c r="D6" s="118">
        <f t="shared" si="0"/>
        <v>51.263747810858142</v>
      </c>
      <c r="E6" s="118">
        <f t="shared" si="0"/>
        <v>49.880910683012253</v>
      </c>
      <c r="F6" s="118">
        <f t="shared" si="0"/>
        <v>47.411558669001749</v>
      </c>
      <c r="G6" s="118">
        <f t="shared" si="0"/>
        <v>53.041681260945708</v>
      </c>
      <c r="H6" s="118">
        <f t="shared" si="0"/>
        <v>59.560770577933447</v>
      </c>
      <c r="I6" s="118">
        <f t="shared" si="0"/>
        <v>58.177933450087565</v>
      </c>
      <c r="J6" s="118">
        <f t="shared" si="0"/>
        <v>57.486514886164628</v>
      </c>
      <c r="K6" s="118">
        <f t="shared" si="0"/>
        <v>63.906830122591956</v>
      </c>
      <c r="L6" s="118">
        <f t="shared" si="0"/>
        <v>55.906129597197896</v>
      </c>
    </row>
    <row r="7" spans="1:12" hidden="1">
      <c r="A7" s="1">
        <v>1974</v>
      </c>
      <c r="B7" s="6">
        <v>57.3</v>
      </c>
      <c r="C7" s="118">
        <f t="shared" si="0"/>
        <v>42.949912434325739</v>
      </c>
      <c r="D7" s="118">
        <f t="shared" si="0"/>
        <v>52.081786339754814</v>
      </c>
      <c r="E7" s="118">
        <f t="shared" si="0"/>
        <v>50.676882661996494</v>
      </c>
      <c r="F7" s="118">
        <f t="shared" si="0"/>
        <v>48.168126094570923</v>
      </c>
      <c r="G7" s="118">
        <f t="shared" si="0"/>
        <v>53.888091068301222</v>
      </c>
      <c r="H7" s="118">
        <f t="shared" si="0"/>
        <v>60.511208406304725</v>
      </c>
      <c r="I7" s="118">
        <f t="shared" si="0"/>
        <v>59.106304728546405</v>
      </c>
      <c r="J7" s="118">
        <f t="shared" si="0"/>
        <v>58.403852889667256</v>
      </c>
      <c r="K7" s="118">
        <f t="shared" si="0"/>
        <v>64.926619964973739</v>
      </c>
      <c r="L7" s="118">
        <f t="shared" si="0"/>
        <v>56.798248686514881</v>
      </c>
    </row>
    <row r="8" spans="1:12" hidden="1">
      <c r="A8" s="1">
        <v>1975</v>
      </c>
      <c r="B8" s="6">
        <v>56.9</v>
      </c>
      <c r="C8" s="118">
        <f t="shared" si="0"/>
        <v>42.650087565674255</v>
      </c>
      <c r="D8" s="118">
        <f t="shared" si="0"/>
        <v>51.718213660245183</v>
      </c>
      <c r="E8" s="118">
        <f t="shared" si="0"/>
        <v>50.323117338003506</v>
      </c>
      <c r="F8" s="118">
        <f t="shared" si="0"/>
        <v>47.83187390542907</v>
      </c>
      <c r="G8" s="118">
        <f t="shared" si="0"/>
        <v>53.511908931698777</v>
      </c>
      <c r="H8" s="118">
        <f t="shared" si="0"/>
        <v>60.088791593695269</v>
      </c>
      <c r="I8" s="118">
        <f t="shared" si="0"/>
        <v>58.693695271453592</v>
      </c>
      <c r="J8" s="118">
        <f t="shared" si="0"/>
        <v>57.996147110332757</v>
      </c>
      <c r="K8" s="118">
        <f t="shared" si="0"/>
        <v>64.473380035026281</v>
      </c>
      <c r="L8" s="118">
        <f t="shared" si="0"/>
        <v>56.401751313485114</v>
      </c>
    </row>
    <row r="9" spans="1:12" hidden="1">
      <c r="A9" s="1">
        <v>1976</v>
      </c>
      <c r="B9" s="6">
        <v>57.1</v>
      </c>
      <c r="C9" s="6">
        <v>42.8</v>
      </c>
      <c r="D9" s="6">
        <v>51.9</v>
      </c>
      <c r="E9" s="6">
        <v>50.5</v>
      </c>
      <c r="F9" s="6">
        <v>48</v>
      </c>
      <c r="G9" s="6">
        <v>53.7</v>
      </c>
      <c r="H9" s="6">
        <v>60.3</v>
      </c>
      <c r="I9" s="6">
        <v>58.9</v>
      </c>
      <c r="J9" s="6">
        <v>58.2</v>
      </c>
      <c r="K9" s="6">
        <v>64.7</v>
      </c>
      <c r="L9" s="6">
        <v>56.6</v>
      </c>
    </row>
    <row r="10" spans="1:12" hidden="1">
      <c r="A10" s="1">
        <v>1977</v>
      </c>
      <c r="B10" s="6">
        <v>56.9</v>
      </c>
      <c r="C10" s="6">
        <v>42.8</v>
      </c>
      <c r="D10" s="6">
        <v>51.5</v>
      </c>
      <c r="E10" s="6">
        <v>49.8</v>
      </c>
      <c r="F10" s="6">
        <v>46.5</v>
      </c>
      <c r="G10" s="6">
        <v>53.1</v>
      </c>
      <c r="H10" s="6">
        <v>60</v>
      </c>
      <c r="I10" s="6">
        <v>58.6</v>
      </c>
      <c r="J10" s="6">
        <v>58.9</v>
      </c>
      <c r="K10" s="6">
        <v>64.599999999999994</v>
      </c>
      <c r="L10" s="6">
        <v>56.7</v>
      </c>
    </row>
    <row r="11" spans="1:12" hidden="1">
      <c r="A11" s="1">
        <v>1978</v>
      </c>
      <c r="B11" s="6">
        <v>57.5</v>
      </c>
      <c r="C11" s="6">
        <v>43.5</v>
      </c>
      <c r="D11" s="6">
        <v>51.8</v>
      </c>
      <c r="E11" s="6">
        <v>50.3</v>
      </c>
      <c r="F11" s="6">
        <v>48</v>
      </c>
      <c r="G11" s="6">
        <v>53.4</v>
      </c>
      <c r="H11" s="6">
        <v>60.7</v>
      </c>
      <c r="I11" s="6">
        <v>58.9</v>
      </c>
      <c r="J11" s="6">
        <v>59.2</v>
      </c>
      <c r="K11" s="6">
        <v>65.3</v>
      </c>
      <c r="L11" s="6">
        <v>57.7</v>
      </c>
    </row>
    <row r="12" spans="1:12" hidden="1">
      <c r="A12" s="1">
        <v>1979</v>
      </c>
      <c r="B12" s="6">
        <v>58.9</v>
      </c>
      <c r="C12" s="6">
        <v>45.5</v>
      </c>
      <c r="D12" s="6">
        <v>52.4</v>
      </c>
      <c r="E12" s="6">
        <v>51.3</v>
      </c>
      <c r="F12" s="6">
        <v>49.4</v>
      </c>
      <c r="G12" s="6">
        <v>54.7</v>
      </c>
      <c r="H12" s="6">
        <v>62.2</v>
      </c>
      <c r="I12" s="6">
        <v>60</v>
      </c>
      <c r="J12" s="6">
        <v>60.2</v>
      </c>
      <c r="K12" s="6">
        <v>67.2</v>
      </c>
      <c r="L12" s="6">
        <v>58.6</v>
      </c>
    </row>
    <row r="13" spans="1:12" hidden="1">
      <c r="A13" s="1">
        <v>1980</v>
      </c>
      <c r="B13" s="6">
        <v>59.4</v>
      </c>
      <c r="C13" s="6">
        <v>46.2</v>
      </c>
      <c r="D13" s="6">
        <v>53.2</v>
      </c>
      <c r="E13" s="6">
        <v>51.8</v>
      </c>
      <c r="F13" s="6">
        <v>49.5</v>
      </c>
      <c r="G13" s="6">
        <v>55.3</v>
      </c>
      <c r="H13" s="6">
        <v>62.2</v>
      </c>
      <c r="I13" s="6">
        <v>60.8</v>
      </c>
      <c r="J13" s="6">
        <v>60.4</v>
      </c>
      <c r="K13" s="6">
        <v>68.099999999999994</v>
      </c>
      <c r="L13" s="6">
        <v>60.4</v>
      </c>
    </row>
    <row r="14" spans="1:12" hidden="1">
      <c r="B14" s="6"/>
      <c r="C14" s="6"/>
      <c r="D14" s="6"/>
      <c r="E14" s="6"/>
      <c r="F14" s="6"/>
      <c r="G14" s="6"/>
      <c r="H14" s="6"/>
      <c r="I14" s="6"/>
      <c r="J14" s="6"/>
      <c r="K14" s="6"/>
      <c r="L14" s="6"/>
    </row>
    <row r="15" spans="1:12" ht="16.5" customHeight="1">
      <c r="A15" s="1">
        <v>1981</v>
      </c>
      <c r="B15" s="6">
        <v>60.1</v>
      </c>
      <c r="C15" s="6">
        <v>46.3</v>
      </c>
      <c r="D15" s="6">
        <v>52</v>
      </c>
      <c r="E15" s="6">
        <v>51.9</v>
      </c>
      <c r="F15" s="6">
        <v>49.8</v>
      </c>
      <c r="G15" s="6">
        <v>55.4</v>
      </c>
      <c r="H15" s="6">
        <v>63.2</v>
      </c>
      <c r="I15" s="6">
        <v>61.2</v>
      </c>
      <c r="J15" s="6">
        <v>60.8</v>
      </c>
      <c r="K15" s="6">
        <v>69.5</v>
      </c>
      <c r="L15" s="6">
        <v>60.9</v>
      </c>
    </row>
    <row r="16" spans="1:12" ht="16.5" customHeight="1">
      <c r="A16" s="1">
        <v>1982</v>
      </c>
      <c r="B16" s="6">
        <v>57.3</v>
      </c>
      <c r="C16" s="6">
        <v>44.5</v>
      </c>
      <c r="D16" s="6">
        <v>51.2</v>
      </c>
      <c r="E16" s="6">
        <v>50.2</v>
      </c>
      <c r="F16" s="6">
        <v>47.6</v>
      </c>
      <c r="G16" s="6">
        <v>51.9</v>
      </c>
      <c r="H16" s="6">
        <v>60.9</v>
      </c>
      <c r="I16" s="6">
        <v>59.4</v>
      </c>
      <c r="J16" s="6">
        <v>59.8</v>
      </c>
      <c r="K16" s="6">
        <v>66.2</v>
      </c>
      <c r="L16" s="6">
        <v>56.7</v>
      </c>
    </row>
    <row r="17" spans="1:12" ht="16.5" customHeight="1">
      <c r="A17" s="1">
        <v>1983</v>
      </c>
      <c r="B17" s="6">
        <v>56.9</v>
      </c>
      <c r="C17" s="6">
        <v>43.7</v>
      </c>
      <c r="D17" s="6">
        <v>52.7</v>
      </c>
      <c r="E17" s="6">
        <v>50</v>
      </c>
      <c r="F17" s="6">
        <v>47.4</v>
      </c>
      <c r="G17" s="6">
        <v>52.4</v>
      </c>
      <c r="H17" s="6">
        <v>60.6</v>
      </c>
      <c r="I17" s="6">
        <v>59.5</v>
      </c>
      <c r="J17" s="6">
        <v>59.9</v>
      </c>
      <c r="K17" s="6">
        <v>63.8</v>
      </c>
      <c r="L17" s="6">
        <v>55.6</v>
      </c>
    </row>
    <row r="18" spans="1:12" ht="16.5" customHeight="1">
      <c r="A18" s="1">
        <v>1984</v>
      </c>
      <c r="B18" s="6">
        <v>57.7</v>
      </c>
      <c r="C18" s="6">
        <v>42.8</v>
      </c>
      <c r="D18" s="6">
        <v>52.6</v>
      </c>
      <c r="E18" s="6">
        <v>51.5</v>
      </c>
      <c r="F18" s="6">
        <v>47.5</v>
      </c>
      <c r="G18" s="6">
        <v>53.6</v>
      </c>
      <c r="H18" s="6">
        <v>61.7</v>
      </c>
      <c r="I18" s="6">
        <v>60.2</v>
      </c>
      <c r="J18" s="6">
        <v>59.9</v>
      </c>
      <c r="K18" s="6">
        <v>64</v>
      </c>
      <c r="L18" s="6">
        <v>54.7</v>
      </c>
    </row>
    <row r="19" spans="1:12" ht="16.5" customHeight="1">
      <c r="A19" s="1">
        <v>1985</v>
      </c>
      <c r="B19" s="6">
        <v>58.6</v>
      </c>
      <c r="C19" s="6">
        <v>43.2</v>
      </c>
      <c r="D19" s="6">
        <v>52.9</v>
      </c>
      <c r="E19" s="6">
        <v>51.3</v>
      </c>
      <c r="F19" s="6">
        <v>48.2</v>
      </c>
      <c r="G19" s="6">
        <v>54.6</v>
      </c>
      <c r="H19" s="6">
        <v>62.9</v>
      </c>
      <c r="I19" s="6">
        <v>60.3</v>
      </c>
      <c r="J19" s="6">
        <v>60.2</v>
      </c>
      <c r="K19" s="6">
        <v>65.5</v>
      </c>
      <c r="L19" s="6">
        <v>55.2</v>
      </c>
    </row>
    <row r="20" spans="1:12" ht="16.5" customHeight="1">
      <c r="A20" s="1">
        <v>1986</v>
      </c>
      <c r="B20" s="6">
        <v>59.7</v>
      </c>
      <c r="C20" s="6">
        <v>44</v>
      </c>
      <c r="D20" s="6">
        <v>54.3</v>
      </c>
      <c r="E20" s="6">
        <v>51.9</v>
      </c>
      <c r="F20" s="6">
        <v>49.5</v>
      </c>
      <c r="G20" s="6">
        <v>55.9</v>
      </c>
      <c r="H20" s="6">
        <v>63.9</v>
      </c>
      <c r="I20" s="6">
        <v>61.4</v>
      </c>
      <c r="J20" s="6">
        <v>61.3</v>
      </c>
      <c r="K20" s="6">
        <v>65.3</v>
      </c>
      <c r="L20" s="6">
        <v>56.8</v>
      </c>
    </row>
    <row r="21" spans="1:12" ht="16.5" customHeight="1">
      <c r="A21" s="1">
        <v>1987</v>
      </c>
      <c r="B21" s="6">
        <v>60.6</v>
      </c>
      <c r="C21" s="6">
        <v>44.6</v>
      </c>
      <c r="D21" s="6">
        <v>55.5</v>
      </c>
      <c r="E21" s="6">
        <v>52.8</v>
      </c>
      <c r="F21" s="6">
        <v>50.8</v>
      </c>
      <c r="G21" s="6">
        <v>57.1</v>
      </c>
      <c r="H21" s="6">
        <v>64.900000000000006</v>
      </c>
      <c r="I21" s="6">
        <v>61.7</v>
      </c>
      <c r="J21" s="6">
        <v>61.4</v>
      </c>
      <c r="K21" s="6">
        <v>65.400000000000006</v>
      </c>
      <c r="L21" s="6">
        <v>58.1</v>
      </c>
    </row>
    <row r="22" spans="1:12" ht="16.5" customHeight="1">
      <c r="A22" s="1">
        <v>1988</v>
      </c>
      <c r="B22" s="6">
        <v>61.7</v>
      </c>
      <c r="C22" s="6">
        <v>46.3</v>
      </c>
      <c r="D22" s="6">
        <v>56.3</v>
      </c>
      <c r="E22" s="6">
        <v>54.5</v>
      </c>
      <c r="F22" s="6">
        <v>52.3</v>
      </c>
      <c r="G22" s="6">
        <v>57.7</v>
      </c>
      <c r="H22" s="6">
        <v>66.099999999999994</v>
      </c>
      <c r="I22" s="6">
        <v>61.6</v>
      </c>
      <c r="J22" s="6">
        <v>61.8</v>
      </c>
      <c r="K22" s="6">
        <v>66.900000000000006</v>
      </c>
      <c r="L22" s="6">
        <v>59.3</v>
      </c>
    </row>
    <row r="23" spans="1:12" ht="16.5" customHeight="1">
      <c r="A23" s="1">
        <v>1989</v>
      </c>
      <c r="B23" s="6">
        <v>62.2</v>
      </c>
      <c r="C23" s="6">
        <v>47.4</v>
      </c>
      <c r="D23" s="6">
        <v>56.4</v>
      </c>
      <c r="E23" s="6">
        <v>55.2</v>
      </c>
      <c r="F23" s="6">
        <v>52.8</v>
      </c>
      <c r="G23" s="6">
        <v>58</v>
      </c>
      <c r="H23" s="6">
        <v>66.5</v>
      </c>
      <c r="I23" s="6">
        <v>62.3</v>
      </c>
      <c r="J23" s="6">
        <v>61.5</v>
      </c>
      <c r="K23" s="6">
        <v>67.5</v>
      </c>
      <c r="L23" s="6">
        <v>60.9</v>
      </c>
    </row>
    <row r="24" spans="1:12" ht="16.5" customHeight="1">
      <c r="A24" s="1">
        <v>1990</v>
      </c>
      <c r="B24" s="6">
        <v>61.7</v>
      </c>
      <c r="C24" s="6">
        <v>47</v>
      </c>
      <c r="D24" s="6">
        <v>56.2</v>
      </c>
      <c r="E24" s="6">
        <v>55.3</v>
      </c>
      <c r="F24" s="6">
        <v>52.8</v>
      </c>
      <c r="G24" s="6">
        <v>57.5</v>
      </c>
      <c r="H24" s="6">
        <v>65.3</v>
      </c>
      <c r="I24" s="6">
        <v>62.3</v>
      </c>
      <c r="J24" s="6">
        <v>61.9</v>
      </c>
      <c r="K24" s="6">
        <v>67.599999999999994</v>
      </c>
      <c r="L24" s="6">
        <v>61.3</v>
      </c>
    </row>
    <row r="25" spans="1:12" ht="16.5" customHeight="1">
      <c r="A25" s="1">
        <v>1991</v>
      </c>
      <c r="B25" s="6">
        <v>59.7</v>
      </c>
      <c r="C25" s="6">
        <v>46.1</v>
      </c>
      <c r="D25" s="6">
        <v>54.2</v>
      </c>
      <c r="E25" s="6">
        <v>54.1</v>
      </c>
      <c r="F25" s="6">
        <v>51.3</v>
      </c>
      <c r="G25" s="6">
        <v>55.9</v>
      </c>
      <c r="H25" s="6">
        <v>62</v>
      </c>
      <c r="I25" s="6">
        <v>61.3</v>
      </c>
      <c r="J25" s="6">
        <v>62</v>
      </c>
      <c r="K25" s="6">
        <v>66.599999999999994</v>
      </c>
      <c r="L25" s="6">
        <v>60.3</v>
      </c>
    </row>
    <row r="26" spans="1:12" ht="16.5" customHeight="1">
      <c r="A26" s="1">
        <v>1992</v>
      </c>
      <c r="B26" s="6">
        <v>58.3</v>
      </c>
      <c r="C26" s="6">
        <v>43.5</v>
      </c>
      <c r="D26" s="6">
        <v>53.9</v>
      </c>
      <c r="E26" s="6">
        <v>52.1</v>
      </c>
      <c r="F26" s="6">
        <v>51.2</v>
      </c>
      <c r="G26" s="6">
        <v>54.6</v>
      </c>
      <c r="H26" s="6">
        <v>60.1</v>
      </c>
      <c r="I26" s="6">
        <v>60.3</v>
      </c>
      <c r="J26" s="6">
        <v>61.2</v>
      </c>
      <c r="K26" s="6">
        <v>65.400000000000006</v>
      </c>
      <c r="L26" s="6">
        <v>60.1</v>
      </c>
    </row>
    <row r="27" spans="1:12" ht="16.5" customHeight="1">
      <c r="A27" s="1">
        <v>1993</v>
      </c>
      <c r="B27" s="6">
        <v>57.9</v>
      </c>
      <c r="C27" s="6">
        <v>43</v>
      </c>
      <c r="D27" s="6">
        <v>54.2</v>
      </c>
      <c r="E27" s="6">
        <v>51.4</v>
      </c>
      <c r="F27" s="6">
        <v>51.5</v>
      </c>
      <c r="G27" s="6">
        <v>54</v>
      </c>
      <c r="H27" s="6">
        <v>59.4</v>
      </c>
      <c r="I27" s="6">
        <v>60.6</v>
      </c>
      <c r="J27" s="6">
        <v>61</v>
      </c>
      <c r="K27" s="6">
        <v>64.900000000000006</v>
      </c>
      <c r="L27" s="6">
        <v>60.2</v>
      </c>
    </row>
    <row r="28" spans="1:12" ht="16.5" customHeight="1">
      <c r="A28" s="1">
        <v>1994</v>
      </c>
      <c r="B28" s="6">
        <v>58.4</v>
      </c>
      <c r="C28" s="6">
        <v>43.1</v>
      </c>
      <c r="D28" s="6">
        <v>54.6</v>
      </c>
      <c r="E28" s="6">
        <v>52</v>
      </c>
      <c r="F28" s="6">
        <v>51.1</v>
      </c>
      <c r="G28" s="6">
        <v>54.8</v>
      </c>
      <c r="H28" s="6">
        <v>59.6</v>
      </c>
      <c r="I28" s="6">
        <v>60.9</v>
      </c>
      <c r="J28" s="6">
        <v>61.5</v>
      </c>
      <c r="K28" s="6">
        <v>65.7</v>
      </c>
      <c r="L28" s="6">
        <v>61</v>
      </c>
    </row>
    <row r="29" spans="1:12" ht="16.5" customHeight="1">
      <c r="A29" s="1">
        <v>1995</v>
      </c>
      <c r="B29" s="6">
        <v>58.7</v>
      </c>
      <c r="C29" s="6">
        <v>43.5</v>
      </c>
      <c r="D29" s="6">
        <v>55.4</v>
      </c>
      <c r="E29" s="6">
        <v>52.2</v>
      </c>
      <c r="F29" s="6">
        <v>52.4</v>
      </c>
      <c r="G29" s="6">
        <v>55.1</v>
      </c>
      <c r="H29" s="6">
        <v>59.7</v>
      </c>
      <c r="I29" s="6">
        <v>61.8</v>
      </c>
      <c r="J29" s="6">
        <v>61.6</v>
      </c>
      <c r="K29" s="6">
        <v>66.599999999999994</v>
      </c>
      <c r="L29" s="6">
        <v>60.6</v>
      </c>
    </row>
    <row r="30" spans="1:12" ht="16.5" customHeight="1">
      <c r="A30" s="1">
        <v>1996</v>
      </c>
      <c r="B30" s="6">
        <v>58.5</v>
      </c>
      <c r="C30" s="6">
        <v>42.6</v>
      </c>
      <c r="D30" s="6">
        <v>56.3</v>
      </c>
      <c r="E30" s="6">
        <v>52</v>
      </c>
      <c r="F30" s="6">
        <v>51.8</v>
      </c>
      <c r="G30" s="6">
        <v>54.6</v>
      </c>
      <c r="H30" s="6">
        <v>59.6</v>
      </c>
      <c r="I30" s="6">
        <v>61.6</v>
      </c>
      <c r="J30" s="6">
        <v>61</v>
      </c>
      <c r="K30" s="6">
        <v>67.400000000000006</v>
      </c>
      <c r="L30" s="6">
        <v>59.9</v>
      </c>
    </row>
    <row r="31" spans="1:12" ht="16.5" customHeight="1">
      <c r="A31" s="1">
        <v>1997</v>
      </c>
      <c r="B31" s="6">
        <v>59</v>
      </c>
      <c r="C31" s="6">
        <v>43.1</v>
      </c>
      <c r="D31" s="6">
        <v>55.8</v>
      </c>
      <c r="E31" s="6">
        <v>52.5</v>
      </c>
      <c r="F31" s="6">
        <v>52.3</v>
      </c>
      <c r="G31" s="6">
        <v>55</v>
      </c>
      <c r="H31" s="6">
        <v>60.2</v>
      </c>
      <c r="I31" s="6">
        <v>62.3</v>
      </c>
      <c r="J31" s="6">
        <v>62.2</v>
      </c>
      <c r="K31" s="6">
        <v>67.900000000000006</v>
      </c>
      <c r="L31" s="6">
        <v>60.1</v>
      </c>
    </row>
    <row r="32" spans="1:12" ht="16.5" customHeight="1">
      <c r="A32" s="1">
        <v>1998</v>
      </c>
      <c r="B32" s="6">
        <v>59.7</v>
      </c>
      <c r="C32" s="6">
        <v>44.6</v>
      </c>
      <c r="D32" s="6">
        <v>56.5</v>
      </c>
      <c r="E32" s="6">
        <v>54.2</v>
      </c>
      <c r="F32" s="6">
        <v>53.2</v>
      </c>
      <c r="G32" s="6">
        <v>56.1</v>
      </c>
      <c r="H32" s="6">
        <v>61.2</v>
      </c>
      <c r="I32" s="6">
        <v>63.3</v>
      </c>
      <c r="J32" s="6">
        <v>62.6</v>
      </c>
      <c r="K32" s="6">
        <v>68.599999999999994</v>
      </c>
      <c r="L32" s="6">
        <v>59.2</v>
      </c>
    </row>
    <row r="33" spans="1:138" ht="16.5" customHeight="1">
      <c r="A33" s="1">
        <v>1999</v>
      </c>
      <c r="B33" s="6">
        <v>60.6</v>
      </c>
      <c r="C33" s="6">
        <v>46.8</v>
      </c>
      <c r="D33" s="6">
        <v>56.7</v>
      </c>
      <c r="E33" s="6">
        <v>54.9</v>
      </c>
      <c r="F33" s="6">
        <v>54.7</v>
      </c>
      <c r="G33" s="6">
        <v>56.9</v>
      </c>
      <c r="H33" s="6">
        <v>62.3</v>
      </c>
      <c r="I33" s="6">
        <v>63.7</v>
      </c>
      <c r="J33" s="6">
        <v>62.7</v>
      </c>
      <c r="K33" s="6">
        <v>68.400000000000006</v>
      </c>
      <c r="L33" s="6">
        <v>59.7</v>
      </c>
    </row>
    <row r="34" spans="1:138" ht="16.5" customHeight="1">
      <c r="A34" s="1">
        <v>2000</v>
      </c>
      <c r="B34" s="6">
        <v>61.3</v>
      </c>
      <c r="C34" s="6">
        <v>46.3</v>
      </c>
      <c r="D34" s="6">
        <v>58.7</v>
      </c>
      <c r="E34" s="6">
        <v>55.7</v>
      </c>
      <c r="F34" s="6">
        <v>55.4</v>
      </c>
      <c r="G34" s="6">
        <v>57.8</v>
      </c>
      <c r="H34" s="6">
        <v>63.2</v>
      </c>
      <c r="I34" s="6">
        <v>64.5</v>
      </c>
      <c r="J34" s="6">
        <v>63.3</v>
      </c>
      <c r="K34" s="6">
        <v>68.599999999999994</v>
      </c>
      <c r="L34" s="6">
        <v>60.1</v>
      </c>
    </row>
    <row r="35" spans="1:138" ht="16.5" customHeight="1">
      <c r="A35" s="1">
        <v>2001</v>
      </c>
      <c r="B35" s="6">
        <v>61.1</v>
      </c>
      <c r="C35" s="6">
        <v>48</v>
      </c>
      <c r="D35" s="6">
        <v>59.1</v>
      </c>
      <c r="E35" s="6">
        <v>56</v>
      </c>
      <c r="F35" s="6">
        <v>55.2</v>
      </c>
      <c r="G35" s="6">
        <v>57.9</v>
      </c>
      <c r="H35" s="6">
        <v>63</v>
      </c>
      <c r="I35" s="6">
        <v>64.3</v>
      </c>
      <c r="J35" s="6">
        <v>61.9</v>
      </c>
      <c r="K35" s="6">
        <v>69</v>
      </c>
      <c r="L35" s="6">
        <v>59</v>
      </c>
    </row>
    <row r="36" spans="1:138" ht="16.5" customHeight="1">
      <c r="A36" s="1">
        <v>2002</v>
      </c>
      <c r="B36" s="6">
        <v>61.7</v>
      </c>
      <c r="C36" s="6">
        <v>48.6</v>
      </c>
      <c r="D36" s="6">
        <v>59.5</v>
      </c>
      <c r="E36" s="6">
        <v>56.5</v>
      </c>
      <c r="F36" s="6">
        <v>56.9</v>
      </c>
      <c r="G36" s="6">
        <v>59.5</v>
      </c>
      <c r="H36" s="6">
        <v>62.9</v>
      </c>
      <c r="I36" s="6">
        <v>65.5</v>
      </c>
      <c r="J36" s="6">
        <v>63.1</v>
      </c>
      <c r="K36" s="6">
        <v>69</v>
      </c>
      <c r="L36" s="6">
        <v>59.5</v>
      </c>
    </row>
    <row r="37" spans="1:138" ht="16.5" customHeight="1">
      <c r="A37" s="1">
        <v>2003</v>
      </c>
      <c r="B37" s="6">
        <v>62.4</v>
      </c>
      <c r="C37" s="6">
        <v>49.6</v>
      </c>
      <c r="D37" s="6">
        <v>60.3</v>
      </c>
      <c r="E37" s="6">
        <v>57.3</v>
      </c>
      <c r="F37" s="6">
        <v>56.7</v>
      </c>
      <c r="G37" s="6">
        <v>59.9</v>
      </c>
      <c r="H37" s="6">
        <v>63.7</v>
      </c>
      <c r="I37" s="6">
        <v>65.2</v>
      </c>
      <c r="J37" s="6">
        <v>64</v>
      </c>
      <c r="K37" s="6">
        <v>69.8</v>
      </c>
      <c r="L37" s="6">
        <v>60.3</v>
      </c>
    </row>
    <row r="38" spans="1:138" ht="16.5" customHeight="1">
      <c r="A38" s="1">
        <v>2004</v>
      </c>
      <c r="B38" s="6">
        <v>62.6</v>
      </c>
      <c r="C38" s="6">
        <v>49.9</v>
      </c>
      <c r="D38" s="6">
        <v>60.2</v>
      </c>
      <c r="E38" s="6">
        <v>58.2</v>
      </c>
      <c r="F38" s="6">
        <v>57.6</v>
      </c>
      <c r="G38" s="6">
        <v>60.2</v>
      </c>
      <c r="H38" s="6">
        <v>63.7</v>
      </c>
      <c r="I38" s="6">
        <v>65.400000000000006</v>
      </c>
      <c r="J38" s="6">
        <v>64.3</v>
      </c>
      <c r="K38" s="6">
        <v>70</v>
      </c>
      <c r="L38" s="6">
        <v>60.6</v>
      </c>
    </row>
    <row r="39" spans="1:138" ht="16.5" customHeight="1">
      <c r="A39" s="1">
        <v>2005</v>
      </c>
      <c r="B39" s="6">
        <v>62.5</v>
      </c>
      <c r="C39" s="6">
        <v>49.8</v>
      </c>
      <c r="D39" s="6">
        <v>60.9</v>
      </c>
      <c r="E39" s="6">
        <v>58</v>
      </c>
      <c r="F39" s="6">
        <v>57.2</v>
      </c>
      <c r="G39" s="6">
        <v>60.1</v>
      </c>
      <c r="H39" s="6">
        <v>63.3</v>
      </c>
      <c r="I39" s="6">
        <v>65.2</v>
      </c>
      <c r="J39" s="6">
        <v>64.5</v>
      </c>
      <c r="K39" s="6">
        <v>69.900000000000006</v>
      </c>
      <c r="L39" s="6">
        <v>61.5</v>
      </c>
    </row>
    <row r="40" spans="1:138" ht="16.5" customHeight="1">
      <c r="A40" s="1">
        <v>2006</v>
      </c>
      <c r="B40" s="6">
        <v>62.8</v>
      </c>
      <c r="C40" s="6">
        <v>50.4</v>
      </c>
      <c r="D40" s="6">
        <v>60.9</v>
      </c>
      <c r="E40" s="6">
        <v>57.7</v>
      </c>
      <c r="F40" s="6">
        <v>57.7</v>
      </c>
      <c r="G40" s="6">
        <v>60.1</v>
      </c>
      <c r="H40" s="6">
        <v>63.2</v>
      </c>
      <c r="I40" s="6">
        <v>65.5</v>
      </c>
      <c r="J40" s="6">
        <v>65.599999999999994</v>
      </c>
      <c r="K40" s="6">
        <v>70.900000000000006</v>
      </c>
      <c r="L40" s="6">
        <v>62.2</v>
      </c>
    </row>
    <row r="41" spans="1:138" ht="16.5" customHeight="1">
      <c r="A41" s="1">
        <v>2007</v>
      </c>
      <c r="B41" s="6">
        <v>63.4</v>
      </c>
      <c r="C41" s="6">
        <v>51.1</v>
      </c>
      <c r="D41" s="6">
        <v>60.9</v>
      </c>
      <c r="E41" s="6">
        <v>58.5</v>
      </c>
      <c r="F41" s="6">
        <v>58.7</v>
      </c>
      <c r="G41" s="6">
        <v>60.9</v>
      </c>
      <c r="H41" s="6">
        <v>63.4</v>
      </c>
      <c r="I41" s="6">
        <v>66</v>
      </c>
      <c r="J41" s="6">
        <v>66.599999999999994</v>
      </c>
      <c r="K41" s="6">
        <v>71.599999999999994</v>
      </c>
      <c r="L41" s="6">
        <v>63.2</v>
      </c>
    </row>
    <row r="42" spans="1:138" ht="16.5" customHeight="1">
      <c r="A42" s="1">
        <v>2008</v>
      </c>
      <c r="B42" s="6">
        <v>63.5</v>
      </c>
      <c r="C42" s="6">
        <v>51.6</v>
      </c>
      <c r="D42" s="6">
        <v>60.9</v>
      </c>
      <c r="E42" s="6">
        <v>58.8</v>
      </c>
      <c r="F42" s="6">
        <v>58.8</v>
      </c>
      <c r="G42" s="6">
        <v>61</v>
      </c>
      <c r="H42" s="6">
        <v>63.5</v>
      </c>
      <c r="I42" s="6">
        <v>66.400000000000006</v>
      </c>
      <c r="J42" s="6">
        <v>66.8</v>
      </c>
      <c r="K42" s="6">
        <v>72</v>
      </c>
      <c r="L42" s="6">
        <v>63.2</v>
      </c>
    </row>
    <row r="43" spans="1:138" ht="16.5" customHeight="1">
      <c r="A43" s="1">
        <v>2009</v>
      </c>
      <c r="B43" s="6">
        <v>61.6</v>
      </c>
      <c r="C43" s="6">
        <v>49.8</v>
      </c>
      <c r="D43" s="6">
        <v>59.3</v>
      </c>
      <c r="E43" s="6">
        <v>58.4</v>
      </c>
      <c r="F43" s="6">
        <v>58.6</v>
      </c>
      <c r="G43" s="6">
        <v>59.8</v>
      </c>
      <c r="H43" s="6">
        <v>61.1</v>
      </c>
      <c r="I43" s="6">
        <v>65.5</v>
      </c>
      <c r="J43" s="6">
        <v>66.7</v>
      </c>
      <c r="K43" s="6">
        <v>69.400000000000006</v>
      </c>
      <c r="L43" s="6">
        <v>60.5</v>
      </c>
    </row>
    <row r="44" spans="1:138" ht="16.5" customHeight="1">
      <c r="A44" s="1">
        <v>2010</v>
      </c>
      <c r="B44" s="6">
        <v>61.6</v>
      </c>
      <c r="C44" s="6">
        <v>51.2</v>
      </c>
      <c r="D44" s="6">
        <v>60.3</v>
      </c>
      <c r="E44" s="6">
        <v>58.2</v>
      </c>
      <c r="F44" s="6">
        <v>57.7</v>
      </c>
      <c r="G44" s="6">
        <v>60.2</v>
      </c>
      <c r="H44" s="6">
        <v>61.3</v>
      </c>
      <c r="I44" s="6">
        <v>65.900000000000006</v>
      </c>
      <c r="J44" s="6">
        <v>66.3</v>
      </c>
      <c r="K44" s="6">
        <v>68.099999999999994</v>
      </c>
      <c r="L44" s="6">
        <v>60.5</v>
      </c>
    </row>
    <row r="45" spans="1:138" ht="16.5" customHeight="1">
      <c r="B45" s="172" t="s">
        <v>435</v>
      </c>
      <c r="C45" s="6"/>
      <c r="D45" s="6"/>
      <c r="E45" s="6"/>
      <c r="F45" s="6"/>
      <c r="G45" s="6"/>
      <c r="H45" s="6"/>
      <c r="I45" s="6"/>
      <c r="J45" s="6"/>
      <c r="K45" s="6"/>
      <c r="L45" s="6"/>
    </row>
    <row r="46" spans="1:138" ht="16.5" customHeight="1">
      <c r="A46" s="252" t="s">
        <v>988</v>
      </c>
      <c r="B46" s="271">
        <f t="shared" ref="B46:L46" si="1">(POWER(B44/B15, 1/29)-1)*100</f>
        <v>8.5043137733342711E-2</v>
      </c>
      <c r="C46" s="271">
        <f t="shared" si="1"/>
        <v>0.34749052902924848</v>
      </c>
      <c r="D46" s="271">
        <f t="shared" si="1"/>
        <v>0.5119556412065851</v>
      </c>
      <c r="E46" s="271">
        <f t="shared" si="1"/>
        <v>0.39583849845463703</v>
      </c>
      <c r="F46" s="271">
        <f t="shared" si="1"/>
        <v>0.50902282946174715</v>
      </c>
      <c r="G46" s="271">
        <f t="shared" si="1"/>
        <v>0.28693763389684435</v>
      </c>
      <c r="H46" s="271">
        <f t="shared" si="1"/>
        <v>-0.10520137696133913</v>
      </c>
      <c r="I46" s="271">
        <f t="shared" si="1"/>
        <v>0.25546801307185785</v>
      </c>
      <c r="J46" s="271">
        <f t="shared" si="1"/>
        <v>0.29906737967715369</v>
      </c>
      <c r="K46" s="271">
        <f t="shared" si="1"/>
        <v>-7.0146211603738795E-2</v>
      </c>
      <c r="L46" s="271">
        <f t="shared" si="1"/>
        <v>-2.2720900064365779E-2</v>
      </c>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row>
    <row r="47" spans="1:138">
      <c r="B47" s="1" t="s">
        <v>1001</v>
      </c>
    </row>
    <row r="48" spans="1:138">
      <c r="B48" s="1" t="s">
        <v>629</v>
      </c>
    </row>
    <row r="49" spans="2:2">
      <c r="B49" s="1" t="s">
        <v>630</v>
      </c>
    </row>
    <row r="50" spans="2:2">
      <c r="B50" s="1" t="s">
        <v>1002</v>
      </c>
    </row>
  </sheetData>
  <phoneticPr fontId="0" type="noConversion"/>
  <pageMargins left="0.75" right="0.75" top="1" bottom="1" header="0.5" footer="0.5"/>
  <pageSetup scale="70" orientation="landscape" r:id="rId1"/>
  <headerFooter alignWithMargins="0"/>
  <rowBreaks count="2" manualBreakCount="2">
    <brk id="53" max="16383" man="1"/>
    <brk id="59" max="16383" man="1"/>
  </rowBreaks>
  <colBreaks count="1" manualBreakCount="1">
    <brk id="12" max="1048575" man="1"/>
  </colBreaks>
</worksheet>
</file>

<file path=xl/worksheets/sheet49.xml><?xml version="1.0" encoding="utf-8"?>
<worksheet xmlns="http://schemas.openxmlformats.org/spreadsheetml/2006/main" xmlns:r="http://schemas.openxmlformats.org/officeDocument/2006/relationships">
  <dimension ref="A1:EH90"/>
  <sheetViews>
    <sheetView view="pageBreakPreview" zoomScaleSheetLayoutView="100" workbookViewId="0">
      <selection activeCell="E9" sqref="E9"/>
    </sheetView>
  </sheetViews>
  <sheetFormatPr defaultRowHeight="12.75"/>
  <cols>
    <col min="1" max="6" width="9" style="1"/>
    <col min="7" max="7" width="9.875" style="1" customWidth="1"/>
    <col min="8" max="16384" width="9" style="1"/>
  </cols>
  <sheetData>
    <row r="1" spans="1:12" ht="15.75">
      <c r="B1" s="2" t="s">
        <v>212</v>
      </c>
    </row>
    <row r="3" spans="1:12" s="10" customFormat="1" ht="15">
      <c r="B3" s="10" t="s">
        <v>321</v>
      </c>
      <c r="C3" s="10" t="s">
        <v>449</v>
      </c>
      <c r="D3" s="10" t="s">
        <v>450</v>
      </c>
      <c r="E3" s="10" t="s">
        <v>451</v>
      </c>
      <c r="F3" s="10" t="s">
        <v>452</v>
      </c>
      <c r="G3" s="10" t="s">
        <v>453</v>
      </c>
      <c r="H3" s="10" t="s">
        <v>454</v>
      </c>
      <c r="I3" s="10" t="s">
        <v>455</v>
      </c>
      <c r="J3" s="10" t="s">
        <v>456</v>
      </c>
      <c r="K3" s="10" t="s">
        <v>457</v>
      </c>
      <c r="L3" s="10" t="s">
        <v>458</v>
      </c>
    </row>
    <row r="4" spans="1:12" hidden="1">
      <c r="A4" s="1">
        <v>1971</v>
      </c>
      <c r="B4" s="139">
        <v>7.1</v>
      </c>
      <c r="C4" s="139">
        <v>13.4</v>
      </c>
      <c r="D4" s="139">
        <v>9.3000000000000007</v>
      </c>
      <c r="E4" s="139">
        <v>9.1999999999999993</v>
      </c>
      <c r="F4" s="139">
        <v>11</v>
      </c>
      <c r="G4" s="139">
        <v>8.6999999999999993</v>
      </c>
      <c r="H4" s="139">
        <v>6.1</v>
      </c>
      <c r="I4" s="139">
        <v>4.7</v>
      </c>
      <c r="J4" s="139">
        <v>3.8</v>
      </c>
      <c r="K4" s="139">
        <v>3.9</v>
      </c>
      <c r="L4" s="139">
        <v>8.4</v>
      </c>
    </row>
    <row r="5" spans="1:12" hidden="1">
      <c r="A5" s="1">
        <v>1972</v>
      </c>
      <c r="B5" s="139">
        <v>7.1</v>
      </c>
      <c r="C5" s="139">
        <v>13.4</v>
      </c>
      <c r="D5" s="139">
        <v>9.3000000000000007</v>
      </c>
      <c r="E5" s="139">
        <v>9.1999999999999993</v>
      </c>
      <c r="F5" s="139">
        <v>11</v>
      </c>
      <c r="G5" s="139">
        <v>8.6999999999999993</v>
      </c>
      <c r="H5" s="139">
        <v>6.1</v>
      </c>
      <c r="I5" s="139">
        <v>4.7</v>
      </c>
      <c r="J5" s="139">
        <v>3.8</v>
      </c>
      <c r="K5" s="139">
        <v>3.9</v>
      </c>
      <c r="L5" s="139">
        <v>8.4</v>
      </c>
    </row>
    <row r="6" spans="1:12" hidden="1">
      <c r="A6" s="1">
        <v>1973</v>
      </c>
      <c r="B6" s="139">
        <v>7.1</v>
      </c>
      <c r="C6" s="139">
        <v>13.4</v>
      </c>
      <c r="D6" s="139">
        <v>9.3000000000000007</v>
      </c>
      <c r="E6" s="139">
        <v>9.1999999999999993</v>
      </c>
      <c r="F6" s="139">
        <v>11</v>
      </c>
      <c r="G6" s="139">
        <v>8.6999999999999993</v>
      </c>
      <c r="H6" s="139">
        <v>6.1</v>
      </c>
      <c r="I6" s="139">
        <v>4.7</v>
      </c>
      <c r="J6" s="139">
        <v>3.8</v>
      </c>
      <c r="K6" s="139">
        <v>3.9</v>
      </c>
      <c r="L6" s="139">
        <v>8.4</v>
      </c>
    </row>
    <row r="7" spans="1:12" hidden="1">
      <c r="A7" s="1">
        <v>1974</v>
      </c>
      <c r="B7" s="139">
        <v>7.1</v>
      </c>
      <c r="C7" s="139">
        <v>13.4</v>
      </c>
      <c r="D7" s="139">
        <v>9.3000000000000007</v>
      </c>
      <c r="E7" s="139">
        <v>9.1999999999999993</v>
      </c>
      <c r="F7" s="139">
        <v>11</v>
      </c>
      <c r="G7" s="139">
        <v>8.6999999999999993</v>
      </c>
      <c r="H7" s="139">
        <v>6.1</v>
      </c>
      <c r="I7" s="139">
        <v>4.7</v>
      </c>
      <c r="J7" s="139">
        <v>3.8</v>
      </c>
      <c r="K7" s="139">
        <v>3.9</v>
      </c>
      <c r="L7" s="139">
        <v>8.4</v>
      </c>
    </row>
    <row r="8" spans="1:12" hidden="1">
      <c r="A8" s="1">
        <v>1975</v>
      </c>
      <c r="B8" s="139">
        <v>7.1</v>
      </c>
      <c r="C8" s="139">
        <v>13.4</v>
      </c>
      <c r="D8" s="139">
        <v>9.3000000000000007</v>
      </c>
      <c r="E8" s="139">
        <v>9.1999999999999993</v>
      </c>
      <c r="F8" s="139">
        <v>11</v>
      </c>
      <c r="G8" s="139">
        <v>8.6999999999999993</v>
      </c>
      <c r="H8" s="139">
        <v>6.1</v>
      </c>
      <c r="I8" s="139">
        <v>4.7</v>
      </c>
      <c r="J8" s="139">
        <v>3.8</v>
      </c>
      <c r="K8" s="139">
        <v>3.9</v>
      </c>
      <c r="L8" s="139">
        <v>8.4</v>
      </c>
    </row>
    <row r="9" spans="1:12" hidden="1">
      <c r="A9" s="1">
        <v>1976</v>
      </c>
      <c r="B9" s="133">
        <v>7.1</v>
      </c>
      <c r="C9" s="133">
        <v>13.4</v>
      </c>
      <c r="D9" s="133">
        <v>9.3000000000000007</v>
      </c>
      <c r="E9" s="133">
        <v>9.1999999999999993</v>
      </c>
      <c r="F9" s="133">
        <v>11</v>
      </c>
      <c r="G9" s="133">
        <v>8.6999999999999993</v>
      </c>
      <c r="H9" s="133">
        <v>6.1</v>
      </c>
      <c r="I9" s="133">
        <v>4.7</v>
      </c>
      <c r="J9" s="133">
        <v>3.8</v>
      </c>
      <c r="K9" s="133">
        <v>3.9</v>
      </c>
      <c r="L9" s="133">
        <v>8.4</v>
      </c>
    </row>
    <row r="10" spans="1:12" hidden="1">
      <c r="A10" s="1">
        <v>1977</v>
      </c>
      <c r="B10" s="133">
        <v>8</v>
      </c>
      <c r="C10" s="133">
        <v>15.4</v>
      </c>
      <c r="D10" s="133">
        <v>9.5</v>
      </c>
      <c r="E10" s="133">
        <v>10.3</v>
      </c>
      <c r="F10" s="133">
        <v>13.3</v>
      </c>
      <c r="G10" s="133">
        <v>10.4</v>
      </c>
      <c r="H10" s="133">
        <v>6.9</v>
      </c>
      <c r="I10" s="133">
        <v>5.7</v>
      </c>
      <c r="J10" s="133">
        <v>4.4000000000000004</v>
      </c>
      <c r="K10" s="133">
        <v>4.5</v>
      </c>
      <c r="L10" s="133">
        <v>8.3000000000000007</v>
      </c>
    </row>
    <row r="11" spans="1:12" hidden="1">
      <c r="A11" s="1">
        <v>1978</v>
      </c>
      <c r="B11" s="133">
        <v>8.4</v>
      </c>
      <c r="C11" s="133">
        <v>15.9</v>
      </c>
      <c r="D11" s="133">
        <v>9.6999999999999993</v>
      </c>
      <c r="E11" s="133">
        <v>10.5</v>
      </c>
      <c r="F11" s="133">
        <v>12.4</v>
      </c>
      <c r="G11" s="133">
        <v>11</v>
      </c>
      <c r="H11" s="133">
        <v>7.2</v>
      </c>
      <c r="I11" s="133">
        <v>6.5</v>
      </c>
      <c r="J11" s="133">
        <v>4.8</v>
      </c>
      <c r="K11" s="133">
        <v>4.8</v>
      </c>
      <c r="L11" s="133">
        <v>8.3000000000000007</v>
      </c>
    </row>
    <row r="12" spans="1:12" hidden="1">
      <c r="A12" s="1">
        <v>1979</v>
      </c>
      <c r="B12" s="133">
        <v>7.5</v>
      </c>
      <c r="C12" s="133">
        <v>14.8</v>
      </c>
      <c r="D12" s="133">
        <v>11.6</v>
      </c>
      <c r="E12" s="133">
        <v>10</v>
      </c>
      <c r="F12" s="133">
        <v>10.9</v>
      </c>
      <c r="G12" s="133">
        <v>9.6999999999999993</v>
      </c>
      <c r="H12" s="133">
        <v>6.6</v>
      </c>
      <c r="I12" s="133">
        <v>5.5</v>
      </c>
      <c r="J12" s="133">
        <v>4.2</v>
      </c>
      <c r="K12" s="133">
        <v>3.9</v>
      </c>
      <c r="L12" s="133">
        <v>7.7</v>
      </c>
    </row>
    <row r="13" spans="1:12" hidden="1">
      <c r="A13" s="1">
        <v>1980</v>
      </c>
      <c r="B13" s="133">
        <v>7.5</v>
      </c>
      <c r="C13" s="133">
        <v>13.3</v>
      </c>
      <c r="D13" s="133">
        <v>10.5</v>
      </c>
      <c r="E13" s="133">
        <v>9.6999999999999993</v>
      </c>
      <c r="F13" s="133">
        <v>11.1</v>
      </c>
      <c r="G13" s="133">
        <v>10</v>
      </c>
      <c r="H13" s="133">
        <v>6.9</v>
      </c>
      <c r="I13" s="133">
        <v>5.5</v>
      </c>
      <c r="J13" s="133">
        <v>4.3</v>
      </c>
      <c r="K13" s="133">
        <v>3.9</v>
      </c>
      <c r="L13" s="133">
        <v>6.7</v>
      </c>
    </row>
    <row r="14" spans="1:12" hidden="1">
      <c r="B14" s="133"/>
      <c r="C14" s="133"/>
      <c r="D14" s="133"/>
      <c r="E14" s="133"/>
      <c r="F14" s="133"/>
      <c r="G14" s="133"/>
      <c r="H14" s="133"/>
      <c r="I14" s="133"/>
      <c r="J14" s="133"/>
      <c r="K14" s="133"/>
      <c r="L14" s="133"/>
    </row>
    <row r="15" spans="1:12" ht="18" customHeight="1">
      <c r="A15" s="1">
        <v>1981</v>
      </c>
      <c r="B15" s="133">
        <v>7.6</v>
      </c>
      <c r="C15" s="133">
        <v>13.5</v>
      </c>
      <c r="D15" s="133">
        <v>11.3</v>
      </c>
      <c r="E15" s="133">
        <v>10</v>
      </c>
      <c r="F15" s="133">
        <v>11.6</v>
      </c>
      <c r="G15" s="133">
        <v>10.5</v>
      </c>
      <c r="H15" s="133">
        <v>6.6</v>
      </c>
      <c r="I15" s="133">
        <v>6</v>
      </c>
      <c r="J15" s="133">
        <v>4.5</v>
      </c>
      <c r="K15" s="133">
        <v>3.9</v>
      </c>
      <c r="L15" s="133">
        <v>6.8</v>
      </c>
    </row>
    <row r="16" spans="1:12" ht="18" customHeight="1">
      <c r="A16" s="1">
        <v>1982</v>
      </c>
      <c r="B16" s="133">
        <v>11</v>
      </c>
      <c r="C16" s="133">
        <v>16.2</v>
      </c>
      <c r="D16" s="133">
        <v>12.6</v>
      </c>
      <c r="E16" s="133">
        <v>12.8</v>
      </c>
      <c r="F16" s="133">
        <v>14</v>
      </c>
      <c r="G16" s="133">
        <v>14</v>
      </c>
      <c r="H16" s="133">
        <v>9.8000000000000007</v>
      </c>
      <c r="I16" s="133">
        <v>8.5</v>
      </c>
      <c r="J16" s="133">
        <v>6.3</v>
      </c>
      <c r="K16" s="133">
        <v>7.7</v>
      </c>
      <c r="L16" s="133">
        <v>12.1</v>
      </c>
    </row>
    <row r="17" spans="1:12" ht="18" customHeight="1">
      <c r="A17" s="1">
        <v>1983</v>
      </c>
      <c r="B17" s="133">
        <v>12</v>
      </c>
      <c r="C17" s="133">
        <v>18.100000000000001</v>
      </c>
      <c r="D17" s="133">
        <v>12.2</v>
      </c>
      <c r="E17" s="133">
        <v>13.4</v>
      </c>
      <c r="F17" s="133">
        <v>14.9</v>
      </c>
      <c r="G17" s="133">
        <v>14.2</v>
      </c>
      <c r="H17" s="133">
        <v>10.4</v>
      </c>
      <c r="I17" s="133">
        <v>9.5</v>
      </c>
      <c r="J17" s="133">
        <v>7.7</v>
      </c>
      <c r="K17" s="133">
        <v>11</v>
      </c>
      <c r="L17" s="133">
        <v>13.9</v>
      </c>
    </row>
    <row r="18" spans="1:12" ht="18" customHeight="1">
      <c r="A18" s="1">
        <v>1984</v>
      </c>
      <c r="B18" s="133">
        <v>11.3</v>
      </c>
      <c r="C18" s="133">
        <v>20.100000000000001</v>
      </c>
      <c r="D18" s="133">
        <v>12.5</v>
      </c>
      <c r="E18" s="133">
        <v>13</v>
      </c>
      <c r="F18" s="133">
        <v>14.6</v>
      </c>
      <c r="G18" s="133">
        <v>13.1</v>
      </c>
      <c r="H18" s="133">
        <v>9</v>
      </c>
      <c r="I18" s="133">
        <v>8.6</v>
      </c>
      <c r="J18" s="133">
        <v>8.1</v>
      </c>
      <c r="K18" s="133">
        <v>11.3</v>
      </c>
      <c r="L18" s="133">
        <v>15</v>
      </c>
    </row>
    <row r="19" spans="1:12" ht="18" customHeight="1">
      <c r="A19" s="1">
        <v>1985</v>
      </c>
      <c r="B19" s="133">
        <v>10.6</v>
      </c>
      <c r="C19" s="133">
        <v>20.2</v>
      </c>
      <c r="D19" s="133">
        <v>13.7</v>
      </c>
      <c r="E19" s="133">
        <v>13.5</v>
      </c>
      <c r="F19" s="133">
        <v>15.2</v>
      </c>
      <c r="G19" s="133">
        <v>12.3</v>
      </c>
      <c r="H19" s="133">
        <v>8</v>
      </c>
      <c r="I19" s="133">
        <v>8.4</v>
      </c>
      <c r="J19" s="133">
        <v>8.4</v>
      </c>
      <c r="K19" s="133">
        <v>9.9</v>
      </c>
      <c r="L19" s="133">
        <v>14.6</v>
      </c>
    </row>
    <row r="20" spans="1:12" ht="18" customHeight="1">
      <c r="A20" s="1">
        <v>1986</v>
      </c>
      <c r="B20" s="133">
        <v>9.6999999999999993</v>
      </c>
      <c r="C20" s="133">
        <v>18.899999999999999</v>
      </c>
      <c r="D20" s="133">
        <v>13.2</v>
      </c>
      <c r="E20" s="133">
        <v>13.3</v>
      </c>
      <c r="F20" s="133">
        <v>14.4</v>
      </c>
      <c r="G20" s="133">
        <v>11.1</v>
      </c>
      <c r="H20" s="133">
        <v>7</v>
      </c>
      <c r="I20" s="133">
        <v>7.8</v>
      </c>
      <c r="J20" s="133">
        <v>7.9</v>
      </c>
      <c r="K20" s="133">
        <v>10.1</v>
      </c>
      <c r="L20" s="133">
        <v>12.9</v>
      </c>
    </row>
    <row r="21" spans="1:12" ht="18" customHeight="1">
      <c r="A21" s="1">
        <v>1987</v>
      </c>
      <c r="B21" s="133">
        <v>8.8000000000000007</v>
      </c>
      <c r="C21" s="133">
        <v>17.8</v>
      </c>
      <c r="D21" s="133">
        <v>12.3</v>
      </c>
      <c r="E21" s="133">
        <v>12</v>
      </c>
      <c r="F21" s="133">
        <v>13.2</v>
      </c>
      <c r="G21" s="133">
        <v>10.199999999999999</v>
      </c>
      <c r="H21" s="133">
        <v>6.1</v>
      </c>
      <c r="I21" s="133">
        <v>7.5</v>
      </c>
      <c r="J21" s="133">
        <v>7.3</v>
      </c>
      <c r="K21" s="133">
        <v>9.6</v>
      </c>
      <c r="L21" s="133">
        <v>12.1</v>
      </c>
    </row>
    <row r="22" spans="1:12" ht="18" customHeight="1">
      <c r="A22" s="1">
        <v>1988</v>
      </c>
      <c r="B22" s="133">
        <v>7.8</v>
      </c>
      <c r="C22" s="133">
        <v>16.2</v>
      </c>
      <c r="D22" s="133">
        <v>12.2</v>
      </c>
      <c r="E22" s="133">
        <v>10.199999999999999</v>
      </c>
      <c r="F22" s="133">
        <v>11.8</v>
      </c>
      <c r="G22" s="133">
        <v>9.5</v>
      </c>
      <c r="H22" s="133">
        <v>5</v>
      </c>
      <c r="I22" s="133">
        <v>7.7</v>
      </c>
      <c r="J22" s="133">
        <v>7.3</v>
      </c>
      <c r="K22" s="133">
        <v>8</v>
      </c>
      <c r="L22" s="133">
        <v>10.3</v>
      </c>
    </row>
    <row r="23" spans="1:12" ht="18" customHeight="1">
      <c r="A23" s="1">
        <v>1989</v>
      </c>
      <c r="B23" s="133">
        <v>7.5</v>
      </c>
      <c r="C23" s="133">
        <v>15.5</v>
      </c>
      <c r="D23" s="133">
        <v>13.7</v>
      </c>
      <c r="E23" s="133">
        <v>9.9</v>
      </c>
      <c r="F23" s="133">
        <v>12.1</v>
      </c>
      <c r="G23" s="133">
        <v>9.6</v>
      </c>
      <c r="H23" s="133">
        <v>5</v>
      </c>
      <c r="I23" s="133">
        <v>7.5</v>
      </c>
      <c r="J23" s="133">
        <v>7.3</v>
      </c>
      <c r="K23" s="133">
        <v>7.2</v>
      </c>
      <c r="L23" s="133">
        <v>9.1</v>
      </c>
    </row>
    <row r="24" spans="1:12" ht="18" customHeight="1">
      <c r="A24" s="1">
        <v>1990</v>
      </c>
      <c r="B24" s="133">
        <v>8.1</v>
      </c>
      <c r="C24" s="133">
        <v>17</v>
      </c>
      <c r="D24" s="133">
        <v>14.4</v>
      </c>
      <c r="E24" s="133">
        <v>10.7</v>
      </c>
      <c r="F24" s="133">
        <v>12.1</v>
      </c>
      <c r="G24" s="133">
        <v>10.4</v>
      </c>
      <c r="H24" s="133">
        <v>6.2</v>
      </c>
      <c r="I24" s="133">
        <v>7.4</v>
      </c>
      <c r="J24" s="133">
        <v>7</v>
      </c>
      <c r="K24" s="133">
        <v>6.9</v>
      </c>
      <c r="L24" s="133">
        <v>8.4</v>
      </c>
    </row>
    <row r="25" spans="1:12" ht="18" customHeight="1">
      <c r="A25" s="1">
        <v>1991</v>
      </c>
      <c r="B25" s="133">
        <v>10.3</v>
      </c>
      <c r="C25" s="133">
        <v>18</v>
      </c>
      <c r="D25" s="133">
        <v>16.5</v>
      </c>
      <c r="E25" s="133">
        <v>12.1</v>
      </c>
      <c r="F25" s="133">
        <v>12.7</v>
      </c>
      <c r="G25" s="133">
        <v>12.1</v>
      </c>
      <c r="H25" s="133">
        <v>9.5</v>
      </c>
      <c r="I25" s="133">
        <v>8.6</v>
      </c>
      <c r="J25" s="133">
        <v>7.4</v>
      </c>
      <c r="K25" s="133">
        <v>8.1999999999999993</v>
      </c>
      <c r="L25" s="133">
        <v>9.9</v>
      </c>
    </row>
    <row r="26" spans="1:12" ht="18" customHeight="1">
      <c r="A26" s="1">
        <v>1992</v>
      </c>
      <c r="B26" s="6">
        <v>11.2</v>
      </c>
      <c r="C26" s="6">
        <v>20</v>
      </c>
      <c r="D26" s="6">
        <v>17.600000000000001</v>
      </c>
      <c r="E26" s="6">
        <v>13.1</v>
      </c>
      <c r="F26" s="6">
        <v>13</v>
      </c>
      <c r="G26" s="6">
        <v>12.7</v>
      </c>
      <c r="H26" s="6">
        <v>10.8</v>
      </c>
      <c r="I26" s="6">
        <v>9.3000000000000007</v>
      </c>
      <c r="J26" s="6">
        <v>8</v>
      </c>
      <c r="K26" s="6">
        <v>9.5</v>
      </c>
      <c r="L26" s="6">
        <v>10.1</v>
      </c>
    </row>
    <row r="27" spans="1:12" ht="18" customHeight="1">
      <c r="A27" s="1">
        <v>1993</v>
      </c>
      <c r="B27" s="6">
        <v>11.4</v>
      </c>
      <c r="C27" s="6">
        <v>20.100000000000001</v>
      </c>
      <c r="D27" s="6">
        <v>16.899999999999999</v>
      </c>
      <c r="E27" s="6">
        <v>14.3</v>
      </c>
      <c r="F27" s="6">
        <v>12.6</v>
      </c>
      <c r="G27" s="6">
        <v>13.2</v>
      </c>
      <c r="H27" s="6">
        <v>10.9</v>
      </c>
      <c r="I27" s="6">
        <v>9.3000000000000007</v>
      </c>
      <c r="J27" s="6">
        <v>8.3000000000000007</v>
      </c>
      <c r="K27" s="6">
        <v>9.6</v>
      </c>
      <c r="L27" s="6">
        <v>9.6999999999999993</v>
      </c>
    </row>
    <row r="28" spans="1:12" ht="18" customHeight="1">
      <c r="A28" s="1">
        <v>1994</v>
      </c>
      <c r="B28" s="6">
        <v>10.4</v>
      </c>
      <c r="C28" s="6">
        <v>20</v>
      </c>
      <c r="D28" s="6">
        <v>16.5</v>
      </c>
      <c r="E28" s="6">
        <v>13.5</v>
      </c>
      <c r="F28" s="6">
        <v>12.5</v>
      </c>
      <c r="G28" s="6">
        <v>12.3</v>
      </c>
      <c r="H28" s="6">
        <v>9.6</v>
      </c>
      <c r="I28" s="6">
        <v>8.8000000000000007</v>
      </c>
      <c r="J28" s="6">
        <v>6.9</v>
      </c>
      <c r="K28" s="6">
        <v>8.8000000000000007</v>
      </c>
      <c r="L28" s="6">
        <v>9.1</v>
      </c>
    </row>
    <row r="29" spans="1:12" ht="18" customHeight="1">
      <c r="A29" s="1">
        <v>1995</v>
      </c>
      <c r="B29" s="6">
        <v>9.5</v>
      </c>
      <c r="C29" s="6">
        <v>18</v>
      </c>
      <c r="D29" s="6">
        <v>14.8</v>
      </c>
      <c r="E29" s="6">
        <v>12.2</v>
      </c>
      <c r="F29" s="6">
        <v>11.4</v>
      </c>
      <c r="G29" s="6">
        <v>11.5</v>
      </c>
      <c r="H29" s="6">
        <v>8.6999999999999993</v>
      </c>
      <c r="I29" s="6">
        <v>7.3</v>
      </c>
      <c r="J29" s="6">
        <v>6.7</v>
      </c>
      <c r="K29" s="6">
        <v>7.8</v>
      </c>
      <c r="L29" s="6">
        <v>8.5</v>
      </c>
    </row>
    <row r="30" spans="1:12" ht="18" customHeight="1">
      <c r="A30" s="1">
        <v>1996</v>
      </c>
      <c r="B30" s="6">
        <v>9.6</v>
      </c>
      <c r="C30" s="6">
        <v>18.899999999999999</v>
      </c>
      <c r="D30" s="6">
        <v>14.6</v>
      </c>
      <c r="E30" s="6">
        <v>12.4</v>
      </c>
      <c r="F30" s="6">
        <v>11.6</v>
      </c>
      <c r="G30" s="6">
        <v>11.8</v>
      </c>
      <c r="H30" s="6">
        <v>9</v>
      </c>
      <c r="I30" s="6">
        <v>7.2</v>
      </c>
      <c r="J30" s="6">
        <v>6.6</v>
      </c>
      <c r="K30" s="6">
        <v>6.9</v>
      </c>
      <c r="L30" s="6">
        <v>8.6999999999999993</v>
      </c>
    </row>
    <row r="31" spans="1:12" ht="18" customHeight="1">
      <c r="A31" s="1">
        <v>1997</v>
      </c>
      <c r="B31" s="6">
        <v>9.1</v>
      </c>
      <c r="C31" s="6">
        <v>18.100000000000001</v>
      </c>
      <c r="D31" s="6">
        <v>15.3</v>
      </c>
      <c r="E31" s="6">
        <v>12.1</v>
      </c>
      <c r="F31" s="6">
        <v>12.6</v>
      </c>
      <c r="G31" s="6">
        <v>11.4</v>
      </c>
      <c r="H31" s="6">
        <v>8.4</v>
      </c>
      <c r="I31" s="6">
        <v>6.5</v>
      </c>
      <c r="J31" s="6">
        <v>5.9</v>
      </c>
      <c r="K31" s="6">
        <v>5.9</v>
      </c>
      <c r="L31" s="6">
        <v>8.5</v>
      </c>
    </row>
    <row r="32" spans="1:12" ht="18" customHeight="1">
      <c r="A32" s="1">
        <v>1998</v>
      </c>
      <c r="B32" s="6">
        <v>8.3000000000000007</v>
      </c>
      <c r="C32" s="6">
        <v>17.600000000000001</v>
      </c>
      <c r="D32" s="6">
        <v>13.9</v>
      </c>
      <c r="E32" s="6">
        <v>10.5</v>
      </c>
      <c r="F32" s="6">
        <v>12.2</v>
      </c>
      <c r="G32" s="6">
        <v>10.3</v>
      </c>
      <c r="H32" s="6">
        <v>7.2</v>
      </c>
      <c r="I32" s="6">
        <v>5.5</v>
      </c>
      <c r="J32" s="6">
        <v>5.8</v>
      </c>
      <c r="K32" s="6">
        <v>5.6</v>
      </c>
      <c r="L32" s="6">
        <v>8.8000000000000007</v>
      </c>
    </row>
    <row r="33" spans="1:138" ht="18" customHeight="1">
      <c r="A33" s="1">
        <v>1999</v>
      </c>
      <c r="B33" s="6">
        <v>7.6</v>
      </c>
      <c r="C33" s="6">
        <v>16.7</v>
      </c>
      <c r="D33" s="6">
        <v>14.3</v>
      </c>
      <c r="E33" s="6">
        <v>9.6</v>
      </c>
      <c r="F33" s="6">
        <v>10.199999999999999</v>
      </c>
      <c r="G33" s="6">
        <v>9.3000000000000007</v>
      </c>
      <c r="H33" s="6">
        <v>6.3</v>
      </c>
      <c r="I33" s="6">
        <v>5.6</v>
      </c>
      <c r="J33" s="6">
        <v>6</v>
      </c>
      <c r="K33" s="6">
        <v>5.7</v>
      </c>
      <c r="L33" s="6">
        <v>8.3000000000000007</v>
      </c>
    </row>
    <row r="34" spans="1:138" ht="18" customHeight="1">
      <c r="A34" s="1">
        <v>2000</v>
      </c>
      <c r="B34" s="6">
        <v>6.8</v>
      </c>
      <c r="C34" s="6">
        <v>16.600000000000001</v>
      </c>
      <c r="D34" s="6">
        <v>12</v>
      </c>
      <c r="E34" s="6">
        <v>9.1</v>
      </c>
      <c r="F34" s="6">
        <v>10</v>
      </c>
      <c r="G34" s="6">
        <v>8.5</v>
      </c>
      <c r="H34" s="6">
        <v>5.7</v>
      </c>
      <c r="I34" s="6">
        <v>5</v>
      </c>
      <c r="J34" s="6">
        <v>5.0999999999999996</v>
      </c>
      <c r="K34" s="6">
        <v>5</v>
      </c>
      <c r="L34" s="6">
        <v>7.2</v>
      </c>
    </row>
    <row r="35" spans="1:138" ht="18" customHeight="1">
      <c r="A35" s="1">
        <v>2001</v>
      </c>
      <c r="B35" s="6">
        <v>7.2</v>
      </c>
      <c r="C35" s="6">
        <v>15.8</v>
      </c>
      <c r="D35" s="6">
        <v>11.9</v>
      </c>
      <c r="E35" s="6">
        <v>9.6999999999999993</v>
      </c>
      <c r="F35" s="6">
        <v>11</v>
      </c>
      <c r="G35" s="6">
        <v>8.8000000000000007</v>
      </c>
      <c r="H35" s="6">
        <v>6.3</v>
      </c>
      <c r="I35" s="6">
        <v>5.0999999999999996</v>
      </c>
      <c r="J35" s="6">
        <v>5.8</v>
      </c>
      <c r="K35" s="6">
        <v>4.7</v>
      </c>
      <c r="L35" s="6">
        <v>7.7</v>
      </c>
    </row>
    <row r="36" spans="1:138" ht="18" customHeight="1">
      <c r="A36" s="1">
        <v>2002</v>
      </c>
      <c r="B36" s="6">
        <v>7.7</v>
      </c>
      <c r="C36" s="6">
        <v>16.5</v>
      </c>
      <c r="D36" s="6">
        <v>12</v>
      </c>
      <c r="E36" s="6">
        <v>9.6</v>
      </c>
      <c r="F36" s="6">
        <v>10.1</v>
      </c>
      <c r="G36" s="6">
        <v>8.6999999999999993</v>
      </c>
      <c r="H36" s="6">
        <v>7.2</v>
      </c>
      <c r="I36" s="6">
        <v>5.0999999999999996</v>
      </c>
      <c r="J36" s="6">
        <v>5.7</v>
      </c>
      <c r="K36" s="6">
        <v>5.3</v>
      </c>
      <c r="L36" s="6">
        <v>8.5</v>
      </c>
    </row>
    <row r="37" spans="1:138" ht="18" customHeight="1">
      <c r="A37" s="1">
        <v>2003</v>
      </c>
      <c r="B37" s="6">
        <v>7.6</v>
      </c>
      <c r="C37" s="6">
        <v>16.399999999999999</v>
      </c>
      <c r="D37" s="6">
        <v>11.1</v>
      </c>
      <c r="E37" s="6">
        <v>9.1</v>
      </c>
      <c r="F37" s="6">
        <v>10.199999999999999</v>
      </c>
      <c r="G37" s="6">
        <v>9.1999999999999993</v>
      </c>
      <c r="H37" s="6">
        <v>6.9</v>
      </c>
      <c r="I37" s="6">
        <v>5</v>
      </c>
      <c r="J37" s="6">
        <v>5.6</v>
      </c>
      <c r="K37" s="6">
        <v>5.0999999999999996</v>
      </c>
      <c r="L37" s="6">
        <v>8</v>
      </c>
    </row>
    <row r="38" spans="1:138" ht="18" customHeight="1">
      <c r="A38" s="1">
        <v>2004</v>
      </c>
      <c r="B38" s="6">
        <v>7.2</v>
      </c>
      <c r="C38" s="6">
        <v>15.6</v>
      </c>
      <c r="D38" s="6">
        <v>11.2</v>
      </c>
      <c r="E38" s="6">
        <v>8.8000000000000007</v>
      </c>
      <c r="F38" s="6">
        <v>9.6999999999999993</v>
      </c>
      <c r="G38" s="6">
        <v>8.5</v>
      </c>
      <c r="H38" s="6">
        <v>6.8</v>
      </c>
      <c r="I38" s="6">
        <v>5.3</v>
      </c>
      <c r="J38" s="6">
        <v>5.3</v>
      </c>
      <c r="K38" s="6">
        <v>4.7</v>
      </c>
      <c r="L38" s="6">
        <v>7.2</v>
      </c>
    </row>
    <row r="39" spans="1:138" ht="18" customHeight="1">
      <c r="A39" s="1">
        <v>2005</v>
      </c>
      <c r="B39" s="6">
        <v>6.8</v>
      </c>
      <c r="C39" s="6">
        <v>15.1</v>
      </c>
      <c r="D39" s="6">
        <v>10.8</v>
      </c>
      <c r="E39" s="6">
        <v>8.4</v>
      </c>
      <c r="F39" s="6">
        <v>9.6</v>
      </c>
      <c r="G39" s="6">
        <v>8.3000000000000007</v>
      </c>
      <c r="H39" s="6">
        <v>6.6</v>
      </c>
      <c r="I39" s="6">
        <v>4.8</v>
      </c>
      <c r="J39" s="6">
        <v>5.0999999999999996</v>
      </c>
      <c r="K39" s="6">
        <v>4</v>
      </c>
      <c r="L39" s="6">
        <v>5.8</v>
      </c>
    </row>
    <row r="40" spans="1:138" ht="18" customHeight="1">
      <c r="A40" s="1">
        <v>2006</v>
      </c>
      <c r="B40" s="6">
        <v>6.3</v>
      </c>
      <c r="C40" s="6">
        <v>14.7</v>
      </c>
      <c r="D40" s="6">
        <v>11.1</v>
      </c>
      <c r="E40" s="6">
        <v>7.9</v>
      </c>
      <c r="F40" s="6">
        <v>8.6999999999999993</v>
      </c>
      <c r="G40" s="6">
        <v>8.1</v>
      </c>
      <c r="H40" s="6">
        <v>6.3</v>
      </c>
      <c r="I40" s="6">
        <v>4.3</v>
      </c>
      <c r="J40" s="6">
        <v>4.7</v>
      </c>
      <c r="K40" s="6">
        <v>3.4</v>
      </c>
      <c r="L40" s="6">
        <v>4.8</v>
      </c>
    </row>
    <row r="41" spans="1:138" ht="18" customHeight="1">
      <c r="A41" s="1">
        <v>2007</v>
      </c>
      <c r="B41" s="6">
        <v>6</v>
      </c>
      <c r="C41" s="6">
        <v>13.5</v>
      </c>
      <c r="D41" s="6">
        <v>10.3</v>
      </c>
      <c r="E41" s="6">
        <v>8</v>
      </c>
      <c r="F41" s="6">
        <v>7.5</v>
      </c>
      <c r="G41" s="6">
        <v>7.2</v>
      </c>
      <c r="H41" s="6">
        <v>6.4</v>
      </c>
      <c r="I41" s="6">
        <v>4.4000000000000004</v>
      </c>
      <c r="J41" s="6">
        <v>4.2</v>
      </c>
      <c r="K41" s="6">
        <v>3.5</v>
      </c>
      <c r="L41" s="6">
        <v>4.3</v>
      </c>
    </row>
    <row r="42" spans="1:138" ht="18" customHeight="1">
      <c r="A42" s="1">
        <v>2008</v>
      </c>
      <c r="B42" s="6">
        <v>6.1</v>
      </c>
      <c r="C42" s="6">
        <v>13.2</v>
      </c>
      <c r="D42" s="6">
        <v>10.8</v>
      </c>
      <c r="E42" s="6">
        <v>7.7</v>
      </c>
      <c r="F42" s="6">
        <v>8.5</v>
      </c>
      <c r="G42" s="6">
        <v>7.2</v>
      </c>
      <c r="H42" s="6">
        <v>6.5</v>
      </c>
      <c r="I42" s="6">
        <v>4.2</v>
      </c>
      <c r="J42" s="6">
        <v>4.0999999999999996</v>
      </c>
      <c r="K42" s="6">
        <v>3.6</v>
      </c>
      <c r="L42" s="6">
        <v>4.5999999999999996</v>
      </c>
    </row>
    <row r="43" spans="1:138" ht="18" customHeight="1">
      <c r="A43" s="1">
        <v>2009</v>
      </c>
      <c r="B43" s="6">
        <v>8.3000000000000007</v>
      </c>
      <c r="C43" s="6">
        <v>15.5</v>
      </c>
      <c r="D43" s="6">
        <v>12.1</v>
      </c>
      <c r="E43" s="6">
        <v>9.1999999999999993</v>
      </c>
      <c r="F43" s="6">
        <v>8.8000000000000007</v>
      </c>
      <c r="G43" s="6">
        <v>8.5</v>
      </c>
      <c r="H43" s="6">
        <v>9</v>
      </c>
      <c r="I43" s="6">
        <v>5.2</v>
      </c>
      <c r="J43" s="6">
        <v>4.8</v>
      </c>
      <c r="K43" s="6">
        <v>6.6</v>
      </c>
      <c r="L43" s="6">
        <v>7.7</v>
      </c>
    </row>
    <row r="44" spans="1:138" ht="18" customHeight="1">
      <c r="A44" s="1">
        <v>2010</v>
      </c>
      <c r="B44" s="6">
        <v>8</v>
      </c>
      <c r="C44" s="6">
        <v>14.4</v>
      </c>
      <c r="D44" s="6">
        <v>11.2</v>
      </c>
      <c r="E44" s="6">
        <v>9.3000000000000007</v>
      </c>
      <c r="F44" s="6">
        <v>9.3000000000000007</v>
      </c>
      <c r="G44" s="6">
        <v>8</v>
      </c>
      <c r="H44" s="6">
        <v>8.6999999999999993</v>
      </c>
      <c r="I44" s="6">
        <v>5.4</v>
      </c>
      <c r="J44" s="6">
        <v>5.2</v>
      </c>
      <c r="K44" s="6">
        <v>6.5</v>
      </c>
      <c r="L44" s="6">
        <v>7.6</v>
      </c>
    </row>
    <row r="45" spans="1:138" ht="18" customHeight="1">
      <c r="B45" s="172" t="s">
        <v>435</v>
      </c>
      <c r="C45" s="133"/>
      <c r="D45" s="133"/>
      <c r="E45" s="133"/>
      <c r="F45" s="133"/>
      <c r="G45" s="133"/>
      <c r="H45" s="133"/>
      <c r="I45" s="133"/>
      <c r="J45" s="133"/>
      <c r="K45" s="133"/>
      <c r="L45" s="133"/>
    </row>
    <row r="46" spans="1:138" ht="18" customHeight="1">
      <c r="A46" s="252" t="s">
        <v>988</v>
      </c>
      <c r="B46" s="271">
        <f>(POWER(B44/B15, 1/29)-1)*100</f>
        <v>0.17702994223509627</v>
      </c>
      <c r="C46" s="271">
        <f t="shared" ref="C46:L46" si="0">(POWER(C44/C15, 1/29)-1)*100</f>
        <v>0.22279444341630761</v>
      </c>
      <c r="D46" s="271">
        <f t="shared" si="0"/>
        <v>-3.0646845712634097E-2</v>
      </c>
      <c r="E46" s="271">
        <f t="shared" si="0"/>
        <v>-0.2499309196937527</v>
      </c>
      <c r="F46" s="271">
        <f t="shared" si="0"/>
        <v>-0.75914074960942157</v>
      </c>
      <c r="G46" s="271">
        <f t="shared" si="0"/>
        <v>-0.93331974725571198</v>
      </c>
      <c r="H46" s="271">
        <f t="shared" si="0"/>
        <v>0.95714950527343579</v>
      </c>
      <c r="I46" s="271">
        <f t="shared" si="0"/>
        <v>-0.36265294299977491</v>
      </c>
      <c r="J46" s="271">
        <f t="shared" si="0"/>
        <v>0.49980081956264577</v>
      </c>
      <c r="K46" s="271">
        <f t="shared" si="0"/>
        <v>1.7770730028732862</v>
      </c>
      <c r="L46" s="271">
        <f t="shared" si="0"/>
        <v>0.38427311589956936</v>
      </c>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row>
    <row r="47" spans="1:138">
      <c r="B47" s="1" t="s">
        <v>953</v>
      </c>
    </row>
    <row r="48" spans="1:138">
      <c r="B48" s="1" t="s">
        <v>1003</v>
      </c>
    </row>
    <row r="49" spans="2:2">
      <c r="B49" s="1" t="s">
        <v>211</v>
      </c>
    </row>
    <row r="53" spans="2:2" hidden="1"/>
    <row r="54" spans="2:2" hidden="1"/>
    <row r="55" spans="2:2" hidden="1"/>
    <row r="56" spans="2:2" hidden="1"/>
    <row r="57" spans="2:2" hidden="1"/>
    <row r="58" spans="2:2" hidden="1"/>
    <row r="59" spans="2:2" hidden="1"/>
    <row r="60" spans="2:2" hidden="1"/>
    <row r="61" spans="2:2" hidden="1"/>
    <row r="62" spans="2:2" hidden="1"/>
    <row r="63" spans="2:2" hidden="1"/>
    <row r="64" spans="2: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sheetData>
  <phoneticPr fontId="0" type="noConversion"/>
  <pageMargins left="0.75" right="0.75" top="1" bottom="1" header="0.5" footer="0.5"/>
  <pageSetup scale="76" orientation="landscape" r:id="rId1"/>
  <headerFooter alignWithMargins="0"/>
  <rowBreaks count="2" manualBreakCount="2">
    <brk id="52" max="16383" man="1"/>
    <brk id="58" max="16383" man="1"/>
  </rowBreaks>
</worksheet>
</file>

<file path=xl/worksheets/sheet5.xml><?xml version="1.0" encoding="utf-8"?>
<worksheet xmlns="http://schemas.openxmlformats.org/spreadsheetml/2006/main" xmlns:r="http://schemas.openxmlformats.org/officeDocument/2006/relationships">
  <dimension ref="A1:FD64"/>
  <sheetViews>
    <sheetView view="pageBreakPreview" zoomScaleSheetLayoutView="100" workbookViewId="0">
      <pane xSplit="1" ySplit="6" topLeftCell="BS7" activePane="bottomRight" state="frozen"/>
      <selection activeCell="E9" sqref="E9"/>
      <selection pane="topRight" activeCell="E9" sqref="E9"/>
      <selection pane="bottomLeft" activeCell="E9" sqref="E9"/>
      <selection pane="bottomRight" activeCell="E9" sqref="E9"/>
    </sheetView>
  </sheetViews>
  <sheetFormatPr defaultColWidth="8.875" defaultRowHeight="12.75"/>
  <cols>
    <col min="1" max="1" width="8.875" style="1" customWidth="1"/>
    <col min="2" max="78" width="15.375" style="1" customWidth="1"/>
    <col min="79" max="86" width="13" style="1" customWidth="1"/>
    <col min="87" max="95" width="12" style="1" customWidth="1"/>
    <col min="96" max="16384" width="8.875" style="1"/>
  </cols>
  <sheetData>
    <row r="1" spans="1:78" ht="15.75">
      <c r="B1" s="2" t="s">
        <v>530</v>
      </c>
      <c r="C1" s="2"/>
      <c r="I1" s="2" t="s">
        <v>538</v>
      </c>
      <c r="P1" s="2" t="s">
        <v>539</v>
      </c>
      <c r="Q1" s="2"/>
      <c r="W1" s="2" t="s">
        <v>540</v>
      </c>
      <c r="X1" s="2"/>
      <c r="AD1" s="2" t="s">
        <v>537</v>
      </c>
      <c r="AE1" s="2"/>
      <c r="AK1" s="2" t="s">
        <v>536</v>
      </c>
      <c r="AR1" s="2" t="s">
        <v>535</v>
      </c>
      <c r="AS1" s="2"/>
      <c r="AY1" s="2" t="s">
        <v>534</v>
      </c>
      <c r="BF1" s="2" t="s">
        <v>533</v>
      </c>
      <c r="BG1" s="2"/>
      <c r="BM1" s="2" t="s">
        <v>532</v>
      </c>
      <c r="BN1" s="2"/>
      <c r="BT1" s="2" t="s">
        <v>531</v>
      </c>
      <c r="BU1" s="2"/>
    </row>
    <row r="3" spans="1:78" s="3" customFormat="1" ht="15">
      <c r="B3" s="3" t="s">
        <v>321</v>
      </c>
      <c r="I3" s="3" t="s">
        <v>370</v>
      </c>
      <c r="P3" s="3" t="s">
        <v>371</v>
      </c>
      <c r="W3" s="3" t="s">
        <v>372</v>
      </c>
      <c r="AD3" s="3" t="s">
        <v>373</v>
      </c>
      <c r="AK3" s="3" t="s">
        <v>374</v>
      </c>
      <c r="AR3" s="3" t="s">
        <v>375</v>
      </c>
      <c r="AY3" s="3" t="s">
        <v>376</v>
      </c>
      <c r="BF3" s="3" t="s">
        <v>377</v>
      </c>
      <c r="BM3" s="3" t="s">
        <v>378</v>
      </c>
      <c r="BT3" s="3" t="s">
        <v>379</v>
      </c>
    </row>
    <row r="4" spans="1:78" s="4" customFormat="1" ht="79.150000000000006" customHeight="1">
      <c r="B4" s="4" t="s">
        <v>527</v>
      </c>
      <c r="C4" s="4" t="s">
        <v>521</v>
      </c>
      <c r="D4" s="4" t="s">
        <v>441</v>
      </c>
      <c r="E4" s="4" t="s">
        <v>442</v>
      </c>
      <c r="F4" s="4" t="s">
        <v>522</v>
      </c>
      <c r="G4" s="4" t="s">
        <v>524</v>
      </c>
      <c r="H4" s="4" t="s">
        <v>635</v>
      </c>
      <c r="I4" s="4" t="s">
        <v>527</v>
      </c>
      <c r="J4" s="4" t="s">
        <v>521</v>
      </c>
      <c r="K4" s="4" t="s">
        <v>441</v>
      </c>
      <c r="L4" s="4" t="s">
        <v>442</v>
      </c>
      <c r="M4" s="4" t="s">
        <v>522</v>
      </c>
      <c r="N4" s="4" t="s">
        <v>524</v>
      </c>
      <c r="O4" s="4" t="s">
        <v>635</v>
      </c>
      <c r="P4" s="4" t="s">
        <v>527</v>
      </c>
      <c r="Q4" s="4" t="s">
        <v>521</v>
      </c>
      <c r="R4" s="4" t="s">
        <v>441</v>
      </c>
      <c r="S4" s="4" t="s">
        <v>442</v>
      </c>
      <c r="T4" s="4" t="s">
        <v>522</v>
      </c>
      <c r="U4" s="4" t="s">
        <v>524</v>
      </c>
      <c r="V4" s="4" t="s">
        <v>635</v>
      </c>
      <c r="W4" s="4" t="s">
        <v>527</v>
      </c>
      <c r="X4" s="4" t="s">
        <v>521</v>
      </c>
      <c r="Y4" s="4" t="s">
        <v>441</v>
      </c>
      <c r="Z4" s="4" t="s">
        <v>442</v>
      </c>
      <c r="AA4" s="4" t="s">
        <v>522</v>
      </c>
      <c r="AB4" s="4" t="s">
        <v>524</v>
      </c>
      <c r="AC4" s="4" t="s">
        <v>635</v>
      </c>
      <c r="AD4" s="4" t="s">
        <v>527</v>
      </c>
      <c r="AE4" s="4" t="s">
        <v>521</v>
      </c>
      <c r="AF4" s="4" t="s">
        <v>441</v>
      </c>
      <c r="AG4" s="4" t="s">
        <v>442</v>
      </c>
      <c r="AH4" s="4" t="s">
        <v>522</v>
      </c>
      <c r="AI4" s="4" t="s">
        <v>524</v>
      </c>
      <c r="AJ4" s="4" t="s">
        <v>635</v>
      </c>
      <c r="AK4" s="4" t="s">
        <v>527</v>
      </c>
      <c r="AL4" s="4" t="s">
        <v>521</v>
      </c>
      <c r="AM4" s="4" t="s">
        <v>441</v>
      </c>
      <c r="AN4" s="4" t="s">
        <v>442</v>
      </c>
      <c r="AO4" s="4" t="s">
        <v>522</v>
      </c>
      <c r="AP4" s="4" t="s">
        <v>524</v>
      </c>
      <c r="AQ4" s="4" t="s">
        <v>635</v>
      </c>
      <c r="AR4" s="4" t="s">
        <v>527</v>
      </c>
      <c r="AS4" s="4" t="s">
        <v>521</v>
      </c>
      <c r="AT4" s="4" t="s">
        <v>441</v>
      </c>
      <c r="AU4" s="4" t="s">
        <v>442</v>
      </c>
      <c r="AV4" s="4" t="s">
        <v>522</v>
      </c>
      <c r="AW4" s="4" t="s">
        <v>524</v>
      </c>
      <c r="AX4" s="4" t="s">
        <v>635</v>
      </c>
      <c r="AY4" s="4" t="s">
        <v>527</v>
      </c>
      <c r="AZ4" s="4" t="s">
        <v>521</v>
      </c>
      <c r="BA4" s="4" t="s">
        <v>441</v>
      </c>
      <c r="BB4" s="4" t="s">
        <v>442</v>
      </c>
      <c r="BC4" s="4" t="s">
        <v>522</v>
      </c>
      <c r="BD4" s="4" t="s">
        <v>524</v>
      </c>
      <c r="BE4" s="4" t="s">
        <v>635</v>
      </c>
      <c r="BF4" s="4" t="s">
        <v>527</v>
      </c>
      <c r="BG4" s="4" t="s">
        <v>521</v>
      </c>
      <c r="BH4" s="4" t="s">
        <v>441</v>
      </c>
      <c r="BI4" s="4" t="s">
        <v>442</v>
      </c>
      <c r="BJ4" s="4" t="s">
        <v>522</v>
      </c>
      <c r="BK4" s="4" t="s">
        <v>524</v>
      </c>
      <c r="BL4" s="4" t="s">
        <v>635</v>
      </c>
      <c r="BM4" s="4" t="s">
        <v>527</v>
      </c>
      <c r="BN4" s="4" t="s">
        <v>521</v>
      </c>
      <c r="BO4" s="4" t="s">
        <v>441</v>
      </c>
      <c r="BP4" s="4" t="s">
        <v>442</v>
      </c>
      <c r="BQ4" s="4" t="s">
        <v>522</v>
      </c>
      <c r="BR4" s="4" t="s">
        <v>524</v>
      </c>
      <c r="BS4" s="4" t="s">
        <v>635</v>
      </c>
      <c r="BT4" s="4" t="s">
        <v>527</v>
      </c>
      <c r="BU4" s="4" t="s">
        <v>521</v>
      </c>
      <c r="BV4" s="4" t="s">
        <v>441</v>
      </c>
      <c r="BW4" s="4" t="s">
        <v>442</v>
      </c>
      <c r="BX4" s="4" t="s">
        <v>522</v>
      </c>
      <c r="BY4" s="4" t="s">
        <v>524</v>
      </c>
      <c r="BZ4" s="4" t="s">
        <v>635</v>
      </c>
    </row>
    <row r="5" spans="1:78" s="4" customFormat="1"/>
    <row r="6" spans="1:78" s="4" customFormat="1">
      <c r="B6" s="4" t="s">
        <v>105</v>
      </c>
      <c r="C6" s="4" t="s">
        <v>266</v>
      </c>
      <c r="D6" s="4" t="s">
        <v>106</v>
      </c>
      <c r="E6" s="4" t="s">
        <v>107</v>
      </c>
      <c r="F6" s="4" t="s">
        <v>523</v>
      </c>
      <c r="G6" s="4" t="s">
        <v>525</v>
      </c>
      <c r="H6" s="4" t="s">
        <v>526</v>
      </c>
      <c r="I6" s="4" t="s">
        <v>105</v>
      </c>
      <c r="J6" s="4" t="s">
        <v>266</v>
      </c>
      <c r="K6" s="4" t="s">
        <v>106</v>
      </c>
      <c r="L6" s="4" t="s">
        <v>107</v>
      </c>
      <c r="M6" s="4" t="s">
        <v>523</v>
      </c>
      <c r="N6" s="4" t="s">
        <v>525</v>
      </c>
      <c r="O6" s="4" t="s">
        <v>526</v>
      </c>
      <c r="P6" s="4" t="s">
        <v>105</v>
      </c>
      <c r="Q6" s="4" t="s">
        <v>266</v>
      </c>
      <c r="R6" s="4" t="s">
        <v>106</v>
      </c>
      <c r="S6" s="4" t="s">
        <v>107</v>
      </c>
      <c r="T6" s="4" t="s">
        <v>523</v>
      </c>
      <c r="U6" s="4" t="s">
        <v>525</v>
      </c>
      <c r="V6" s="4" t="s">
        <v>526</v>
      </c>
      <c r="W6" s="4" t="s">
        <v>105</v>
      </c>
      <c r="X6" s="4" t="s">
        <v>266</v>
      </c>
      <c r="Y6" s="4" t="s">
        <v>106</v>
      </c>
      <c r="Z6" s="4" t="s">
        <v>107</v>
      </c>
      <c r="AA6" s="4" t="s">
        <v>523</v>
      </c>
      <c r="AB6" s="4" t="s">
        <v>525</v>
      </c>
      <c r="AC6" s="4" t="s">
        <v>526</v>
      </c>
      <c r="AD6" s="4" t="s">
        <v>105</v>
      </c>
      <c r="AE6" s="4" t="s">
        <v>266</v>
      </c>
      <c r="AF6" s="4" t="s">
        <v>106</v>
      </c>
      <c r="AG6" s="4" t="s">
        <v>107</v>
      </c>
      <c r="AH6" s="4" t="s">
        <v>523</v>
      </c>
      <c r="AI6" s="4" t="s">
        <v>525</v>
      </c>
      <c r="AJ6" s="4" t="s">
        <v>526</v>
      </c>
      <c r="AK6" s="4" t="s">
        <v>105</v>
      </c>
      <c r="AL6" s="4" t="s">
        <v>266</v>
      </c>
      <c r="AM6" s="4" t="s">
        <v>106</v>
      </c>
      <c r="AN6" s="4" t="s">
        <v>107</v>
      </c>
      <c r="AO6" s="4" t="s">
        <v>523</v>
      </c>
      <c r="AP6" s="4" t="s">
        <v>525</v>
      </c>
      <c r="AQ6" s="4" t="s">
        <v>526</v>
      </c>
      <c r="AR6" s="4" t="s">
        <v>105</v>
      </c>
      <c r="AS6" s="4" t="s">
        <v>266</v>
      </c>
      <c r="AT6" s="4" t="s">
        <v>106</v>
      </c>
      <c r="AU6" s="4" t="s">
        <v>107</v>
      </c>
      <c r="AV6" s="4" t="s">
        <v>523</v>
      </c>
      <c r="AW6" s="4" t="s">
        <v>525</v>
      </c>
      <c r="AX6" s="4" t="s">
        <v>526</v>
      </c>
      <c r="AY6" s="4" t="s">
        <v>105</v>
      </c>
      <c r="AZ6" s="4" t="s">
        <v>266</v>
      </c>
      <c r="BA6" s="4" t="s">
        <v>106</v>
      </c>
      <c r="BB6" s="4" t="s">
        <v>107</v>
      </c>
      <c r="BC6" s="4" t="s">
        <v>523</v>
      </c>
      <c r="BD6" s="4" t="s">
        <v>525</v>
      </c>
      <c r="BE6" s="4" t="s">
        <v>526</v>
      </c>
      <c r="BF6" s="4" t="s">
        <v>105</v>
      </c>
      <c r="BG6" s="4" t="s">
        <v>266</v>
      </c>
      <c r="BH6" s="4" t="s">
        <v>106</v>
      </c>
      <c r="BI6" s="4" t="s">
        <v>107</v>
      </c>
      <c r="BJ6" s="4" t="s">
        <v>523</v>
      </c>
      <c r="BK6" s="4" t="s">
        <v>525</v>
      </c>
      <c r="BL6" s="4" t="s">
        <v>526</v>
      </c>
      <c r="BM6" s="4" t="s">
        <v>105</v>
      </c>
      <c r="BN6" s="4" t="s">
        <v>266</v>
      </c>
      <c r="BO6" s="4" t="s">
        <v>106</v>
      </c>
      <c r="BP6" s="4" t="s">
        <v>107</v>
      </c>
      <c r="BQ6" s="4" t="s">
        <v>523</v>
      </c>
      <c r="BR6" s="4" t="s">
        <v>525</v>
      </c>
      <c r="BS6" s="4" t="s">
        <v>526</v>
      </c>
      <c r="BT6" s="4" t="s">
        <v>105</v>
      </c>
      <c r="BU6" s="4" t="s">
        <v>266</v>
      </c>
      <c r="BV6" s="4" t="s">
        <v>106</v>
      </c>
      <c r="BW6" s="4" t="s">
        <v>107</v>
      </c>
      <c r="BX6" s="4" t="s">
        <v>523</v>
      </c>
      <c r="BY6" s="4" t="s">
        <v>525</v>
      </c>
      <c r="BZ6" s="4" t="s">
        <v>526</v>
      </c>
    </row>
    <row r="7" spans="1:78" s="4" customFormat="1" hidden="1"/>
    <row r="8" spans="1:78" hidden="1">
      <c r="A8" s="1">
        <v>1971</v>
      </c>
      <c r="B8" s="6">
        <f>'a20 (2)'!B4</f>
        <v>7.1</v>
      </c>
      <c r="C8" s="9">
        <f>($D$62-B8)/$D$64</f>
        <v>0.73313492063492058</v>
      </c>
      <c r="D8" s="6">
        <f>'a19'!D8</f>
        <v>80.10486689970422</v>
      </c>
      <c r="E8" s="6">
        <f>'a23'!B4</f>
        <v>29.912753348559811</v>
      </c>
      <c r="F8" s="9">
        <f>D8*E8/10000</f>
        <v>0.23961571255900654</v>
      </c>
      <c r="G8" s="9">
        <f t="shared" ref="G8:G44" si="0">(F8-$G$63)/$G$64</f>
        <v>0.28071906451905126</v>
      </c>
      <c r="H8" s="9">
        <f t="shared" ref="H8:H43" si="1">C8*0.8+G8*0.2</f>
        <v>0.64265174941174674</v>
      </c>
      <c r="I8" s="6">
        <f>'a20 (2)'!C4</f>
        <v>13.4</v>
      </c>
      <c r="J8" s="9">
        <f>($D$62-I8)/$D$64</f>
        <v>0.42063492063492058</v>
      </c>
      <c r="K8" s="6">
        <f>'a19'!G8</f>
        <v>126.59591836734694</v>
      </c>
      <c r="L8" s="6">
        <f>'a23'!C4</f>
        <v>37.633076683522859</v>
      </c>
      <c r="M8" s="9">
        <f>K8*L8/10000</f>
        <v>0.47641939037393677</v>
      </c>
      <c r="N8" s="9">
        <f t="shared" ref="N8:N44" si="2">(M8-$G$63)/$G$64</f>
        <v>0.59526035448084658</v>
      </c>
      <c r="O8" s="9">
        <f t="shared" ref="O8:O43" si="3">J8*0.8+N8*0.2</f>
        <v>0.45556000740410579</v>
      </c>
      <c r="P8" s="6">
        <f>'a20 (2)'!D4</f>
        <v>9.3000000000000007</v>
      </c>
      <c r="Q8" s="9">
        <f>($D$62-P8)/$D$64</f>
        <v>0.6240079365079364</v>
      </c>
      <c r="R8" s="6">
        <f>'a19'!J8</f>
        <v>103.49999999999999</v>
      </c>
      <c r="S8" s="6">
        <f>'a23'!D4</f>
        <v>45.666931792514596</v>
      </c>
      <c r="T8" s="9">
        <f>R8*S8/10000</f>
        <v>0.47265274405252605</v>
      </c>
      <c r="U8" s="9">
        <f t="shared" ref="U8:U44" si="4">(T8-$G$63)/$G$64</f>
        <v>0.59025719826427669</v>
      </c>
      <c r="V8" s="9">
        <f t="shared" ref="V8:V43" si="5">Q8*0.8+U8*0.2</f>
        <v>0.61725778885920446</v>
      </c>
      <c r="W8" s="6">
        <f>'a20 (2)'!E4</f>
        <v>9.1999999999999993</v>
      </c>
      <c r="X8" s="9">
        <f>($D$62-W8)/$D$64</f>
        <v>0.62896825396825395</v>
      </c>
      <c r="Y8" s="6">
        <f>'a19'!M8</f>
        <v>84.860465116279073</v>
      </c>
      <c r="Z8" s="6">
        <f>'a23'!E4</f>
        <v>39.418786893043276</v>
      </c>
      <c r="AA8" s="9">
        <f>Y8*Z8/10000</f>
        <v>0.33450965900631374</v>
      </c>
      <c r="AB8" s="9">
        <f t="shared" ref="AB8:AB44" si="6">(AA8-$G$63)/$G$64</f>
        <v>0.40676467580566633</v>
      </c>
      <c r="AC8" s="9">
        <f t="shared" ref="AC8:AC43" si="7">X8*0.8+AB8*0.2</f>
        <v>0.58452753833573645</v>
      </c>
      <c r="AD8" s="6">
        <f>'a20 (2)'!F4</f>
        <v>11</v>
      </c>
      <c r="AE8" s="9">
        <f>($D$62-AD8)/$D$64</f>
        <v>0.53968253968253965</v>
      </c>
      <c r="AF8" s="6">
        <f>'a19'!P8</f>
        <v>106.28421052631579</v>
      </c>
      <c r="AG8" s="6">
        <f>'a23'!F4</f>
        <v>39.225826012151046</v>
      </c>
      <c r="AH8" s="9">
        <f>AF8*AG8/10000</f>
        <v>0.41690859499440958</v>
      </c>
      <c r="AI8" s="9">
        <f t="shared" ref="AI8:AI44" si="8">(AH8-$G$63)/$G$64</f>
        <v>0.51621343038721768</v>
      </c>
      <c r="AJ8" s="9">
        <f t="shared" ref="AJ8:AJ43" si="9">AE8*0.8+AI8*0.2</f>
        <v>0.53498871782347535</v>
      </c>
      <c r="AK8" s="6">
        <f>'a20 (2)'!G4</f>
        <v>8.6999999999999993</v>
      </c>
      <c r="AL8" s="9">
        <f>($D$62-AK8)/$D$64</f>
        <v>0.65376984126984128</v>
      </c>
      <c r="AM8" s="6">
        <f>'a19'!S8</f>
        <v>90.155720776538629</v>
      </c>
      <c r="AN8" s="6">
        <f>'a23'!G4</f>
        <v>37.391330909760015</v>
      </c>
      <c r="AO8" s="9">
        <f>AM8*AN8/10000</f>
        <v>0.33710423889634822</v>
      </c>
      <c r="AP8" s="9">
        <f t="shared" ref="AP8:AP44" si="10">(AO8-$G$63)/$G$64</f>
        <v>0.41021100110369735</v>
      </c>
      <c r="AQ8" s="9">
        <f t="shared" ref="AQ8:AQ43" si="11">AL8*0.8+AP8*0.2</f>
        <v>0.60505807323661254</v>
      </c>
      <c r="AR8" s="6">
        <f>'a20 (2)'!H4</f>
        <v>6.1</v>
      </c>
      <c r="AS8" s="9">
        <f>($D$62-AR8)/$D$64</f>
        <v>0.78273809523809523</v>
      </c>
      <c r="AT8" s="6">
        <f>'a19'!V8</f>
        <v>73.912785947712408</v>
      </c>
      <c r="AU8" s="6">
        <f>'a23'!H4</f>
        <v>36.201704878836736</v>
      </c>
      <c r="AV8" s="9">
        <f>AT8*AU8/10000</f>
        <v>0.26757688636517157</v>
      </c>
      <c r="AW8" s="9">
        <f t="shared" ref="AW8:AW44" si="12">(AV8-$G$63)/$G$64</f>
        <v>0.31785929713279742</v>
      </c>
      <c r="AX8" s="9">
        <f t="shared" ref="AX8:AX43" si="13">AS8*0.8+AW8*0.2</f>
        <v>0.6897623356170357</v>
      </c>
      <c r="AY8" s="6">
        <f>'a20 (2)'!I4</f>
        <v>4.7</v>
      </c>
      <c r="AZ8" s="9">
        <f>($D$62-AY8)/$D$64</f>
        <v>0.85218253968253965</v>
      </c>
      <c r="BA8" s="6">
        <f>'a19'!Y8</f>
        <v>40.952830188679251</v>
      </c>
      <c r="BB8" s="6">
        <f>'a23'!I4</f>
        <v>40.012793950583017</v>
      </c>
      <c r="BC8" s="9">
        <f>BA8*BB8/10000</f>
        <v>0.16386371560328386</v>
      </c>
      <c r="BD8" s="9">
        <f t="shared" ref="BD8:BD44" si="14">(BC8-$G$63)/$G$64</f>
        <v>0.18009929771687899</v>
      </c>
      <c r="BE8" s="9">
        <f t="shared" ref="BE8:BE43" si="15">AZ8*0.8+BD8*0.2</f>
        <v>0.7177658912894076</v>
      </c>
      <c r="BF8" s="6">
        <f>'a20 (2)'!J4</f>
        <v>3.8</v>
      </c>
      <c r="BG8" s="9">
        <f>($D$62-BF8)/$D$64</f>
        <v>0.89682539682539675</v>
      </c>
      <c r="BH8" s="6">
        <f>'a19'!AB8</f>
        <v>41.954248366013069</v>
      </c>
      <c r="BI8" s="6">
        <f>'a23'!J4</f>
        <v>38.261113728485867</v>
      </c>
      <c r="BJ8" s="9">
        <f>BH8*BI8/10000</f>
        <v>0.16052162681251683</v>
      </c>
      <c r="BK8" s="9">
        <f t="shared" ref="BK8:BK44" si="16">(BJ8-$G$63)/$G$64</f>
        <v>0.17566007224067554</v>
      </c>
      <c r="BL8" s="9">
        <f t="shared" ref="BL8:BL43" si="17">BG8*0.8+BK8*0.2</f>
        <v>0.75259233190845254</v>
      </c>
      <c r="BM8" s="6">
        <f>'a20 (2)'!K4</f>
        <v>3.9</v>
      </c>
      <c r="BN8" s="9">
        <f>($D$62-BM8)/$D$64</f>
        <v>0.89186507936507942</v>
      </c>
      <c r="BO8" s="6">
        <f>'a19'!AE8</f>
        <v>34.883190883190885</v>
      </c>
      <c r="BP8" s="6">
        <f>'a23'!K4</f>
        <v>38.449911859494676</v>
      </c>
      <c r="BQ8" s="9">
        <f>BO8*BP8/10000</f>
        <v>0.13412556148366178</v>
      </c>
      <c r="BR8" s="9">
        <f t="shared" ref="BR8:BR44" si="18">(BQ8-$G$63)/$G$64</f>
        <v>0.14059873993762459</v>
      </c>
      <c r="BS8" s="9">
        <f t="shared" ref="BS8:BS43" si="19">BN8*0.8+BR8*0.2</f>
        <v>0.74161181147958855</v>
      </c>
      <c r="BT8" s="6">
        <f>'a20 (2)'!L4</f>
        <v>8.4</v>
      </c>
      <c r="BU8" s="9">
        <f>($D$62-BT8)/$D$64</f>
        <v>0.66865079365079361</v>
      </c>
      <c r="BV8" s="6">
        <f>'a19'!AH8</f>
        <v>77.868986693961105</v>
      </c>
      <c r="BW8" s="6">
        <f>'a23'!L4</f>
        <v>36.607053553123507</v>
      </c>
      <c r="BX8" s="9">
        <f>BV8*BW8/10000</f>
        <v>0.28505541660332961</v>
      </c>
      <c r="BY8" s="9">
        <f t="shared" ref="BY8:BY44" si="20">(BX8-$G$63)/$G$64</f>
        <v>0.34107565719306271</v>
      </c>
      <c r="BZ8" s="9">
        <f t="shared" ref="BZ8:BZ43" si="21">BU8*0.8+BY8*0.2</f>
        <v>0.60313576635924748</v>
      </c>
    </row>
    <row r="9" spans="1:78" hidden="1">
      <c r="A9" s="1">
        <v>1972</v>
      </c>
      <c r="B9" s="6">
        <f>'a20 (2)'!B5</f>
        <v>7.1</v>
      </c>
      <c r="C9" s="9">
        <f t="shared" ref="C9:C44" si="22">($D$62-B9)/$D$64</f>
        <v>0.73313492063492058</v>
      </c>
      <c r="D9" s="6">
        <f>'a19'!D9</f>
        <v>80.10486689970422</v>
      </c>
      <c r="E9" s="6">
        <f>'a23'!B5</f>
        <v>43.332815213377508</v>
      </c>
      <c r="F9" s="9">
        <f t="shared" ref="F9:F44" si="23">D9*E9/10000</f>
        <v>0.34711693950570832</v>
      </c>
      <c r="G9" s="9">
        <f t="shared" si="0"/>
        <v>0.42351065841784913</v>
      </c>
      <c r="H9" s="9">
        <f t="shared" si="1"/>
        <v>0.6712100681915063</v>
      </c>
      <c r="I9" s="6">
        <f>'a20 (2)'!C5</f>
        <v>13.4</v>
      </c>
      <c r="J9" s="9">
        <f t="shared" ref="J9:J44" si="24">($D$62-I9)/$D$64</f>
        <v>0.42063492063492058</v>
      </c>
      <c r="K9" s="6">
        <f>'a19'!G9</f>
        <v>126.59591836734694</v>
      </c>
      <c r="L9" s="6">
        <f>'a23'!C5</f>
        <v>40.864759227010801</v>
      </c>
      <c r="M9" s="9">
        <f t="shared" ref="M9:M43" si="25">K9*L9/10000</f>
        <v>0.51733117232039472</v>
      </c>
      <c r="N9" s="9">
        <f t="shared" si="2"/>
        <v>0.64960260451182661</v>
      </c>
      <c r="O9" s="9">
        <f t="shared" si="3"/>
        <v>0.46642845741030181</v>
      </c>
      <c r="P9" s="6">
        <f>'a20 (2)'!D5</f>
        <v>9.3000000000000007</v>
      </c>
      <c r="Q9" s="9">
        <f t="shared" ref="Q9:Q44" si="26">($D$62-P9)/$D$64</f>
        <v>0.6240079365079364</v>
      </c>
      <c r="R9" s="6">
        <f>'a19'!J9</f>
        <v>103.49999999999999</v>
      </c>
      <c r="S9" s="6">
        <f>'a23'!D5</f>
        <v>48.020967536054215</v>
      </c>
      <c r="T9" s="9">
        <f t="shared" ref="T9:T43" si="27">R9*S9/10000</f>
        <v>0.49701701399816101</v>
      </c>
      <c r="U9" s="9">
        <f t="shared" si="4"/>
        <v>0.62261973996291853</v>
      </c>
      <c r="V9" s="9">
        <f t="shared" si="5"/>
        <v>0.62373029719893291</v>
      </c>
      <c r="W9" s="6">
        <f>'a20 (2)'!E5</f>
        <v>9.1999999999999993</v>
      </c>
      <c r="X9" s="9">
        <f t="shared" ref="X9:X44" si="28">($D$62-W9)/$D$64</f>
        <v>0.62896825396825395</v>
      </c>
      <c r="Y9" s="6">
        <f>'a19'!M9</f>
        <v>84.860465116279073</v>
      </c>
      <c r="Z9" s="6">
        <f>'a23'!E5</f>
        <v>42.620384003062902</v>
      </c>
      <c r="AA9" s="9">
        <f t="shared" ref="AA9:AA43" si="29">Y9*Z9/10000</f>
        <v>0.36167856099343382</v>
      </c>
      <c r="AB9" s="9">
        <f t="shared" si="6"/>
        <v>0.44285255060866285</v>
      </c>
      <c r="AC9" s="9">
        <f t="shared" si="7"/>
        <v>0.59174511329633572</v>
      </c>
      <c r="AD9" s="6">
        <f>'a20 (2)'!F5</f>
        <v>11</v>
      </c>
      <c r="AE9" s="9">
        <f t="shared" ref="AE9:AE44" si="30">($D$62-AD9)/$D$64</f>
        <v>0.53968253968253965</v>
      </c>
      <c r="AF9" s="6">
        <f>'a19'!P9</f>
        <v>106.28421052631579</v>
      </c>
      <c r="AG9" s="6">
        <f>'a23'!F5</f>
        <v>41.974233901255708</v>
      </c>
      <c r="AH9" s="9">
        <f t="shared" ref="AH9:AH43" si="31">AF9*AG9/10000</f>
        <v>0.44611983126418825</v>
      </c>
      <c r="AI9" s="9">
        <f t="shared" si="8"/>
        <v>0.55501409439065352</v>
      </c>
      <c r="AJ9" s="9">
        <f t="shared" si="9"/>
        <v>0.54274885062416245</v>
      </c>
      <c r="AK9" s="6">
        <f>'a20 (2)'!G5</f>
        <v>8.6999999999999993</v>
      </c>
      <c r="AL9" s="9">
        <f t="shared" ref="AL9:AL44" si="32">($D$62-AK9)/$D$64</f>
        <v>0.65376984126984128</v>
      </c>
      <c r="AM9" s="6">
        <f>'a19'!S9</f>
        <v>90.155720776538629</v>
      </c>
      <c r="AN9" s="6">
        <f>'a23'!G5</f>
        <v>40.804166363207521</v>
      </c>
      <c r="AO9" s="9">
        <f t="shared" ref="AO9:AO43" si="33">AM9*AN9/10000</f>
        <v>0.36787290291607672</v>
      </c>
      <c r="AP9" s="9">
        <f t="shared" si="10"/>
        <v>0.4510803632709951</v>
      </c>
      <c r="AQ9" s="9">
        <f t="shared" si="11"/>
        <v>0.61323194567007211</v>
      </c>
      <c r="AR9" s="6">
        <f>'a20 (2)'!H5</f>
        <v>6.1</v>
      </c>
      <c r="AS9" s="9">
        <f t="shared" ref="AS9:AS44" si="34">($D$62-AR9)/$D$64</f>
        <v>0.78273809523809523</v>
      </c>
      <c r="AT9" s="6">
        <f>'a19'!V9</f>
        <v>73.912785947712408</v>
      </c>
      <c r="AU9" s="6">
        <f>'a23'!H5</f>
        <v>39.465513025827882</v>
      </c>
      <c r="AV9" s="9">
        <f t="shared" ref="AV9:AV43" si="35">AT9*AU9/10000</f>
        <v>0.29170060165946721</v>
      </c>
      <c r="AW9" s="9">
        <f t="shared" si="12"/>
        <v>0.34990231520310389</v>
      </c>
      <c r="AX9" s="9">
        <f t="shared" si="13"/>
        <v>0.69617093923109696</v>
      </c>
      <c r="AY9" s="6">
        <f>'a20 (2)'!I5</f>
        <v>4.7</v>
      </c>
      <c r="AZ9" s="9">
        <f t="shared" ref="AZ9:AZ44" si="36">($D$62-AY9)/$D$64</f>
        <v>0.85218253968253965</v>
      </c>
      <c r="BA9" s="6">
        <f>'a19'!Y9</f>
        <v>40.952830188679251</v>
      </c>
      <c r="BB9" s="6">
        <f>'a23'!I5</f>
        <v>43.149014014942281</v>
      </c>
      <c r="BC9" s="9">
        <f t="shared" ref="BC9:BC43" si="37">BA9*BB9/10000</f>
        <v>0.17670742437628723</v>
      </c>
      <c r="BD9" s="9">
        <f t="shared" si="14"/>
        <v>0.19715932297759903</v>
      </c>
      <c r="BE9" s="9">
        <f t="shared" si="15"/>
        <v>0.72117789634155161</v>
      </c>
      <c r="BF9" s="6">
        <f>'a20 (2)'!J5</f>
        <v>3.8</v>
      </c>
      <c r="BG9" s="9">
        <f t="shared" ref="BG9:BG44" si="38">($D$62-BF9)/$D$64</f>
        <v>0.89682539682539675</v>
      </c>
      <c r="BH9" s="6">
        <f>'a19'!AB9</f>
        <v>41.954248366013069</v>
      </c>
      <c r="BI9" s="6">
        <f>'a23'!J5</f>
        <v>41.284171681986074</v>
      </c>
      <c r="BJ9" s="9">
        <f t="shared" ref="BJ9:BJ43" si="39">BH9*BI9/10000</f>
        <v>0.17320463923311671</v>
      </c>
      <c r="BK9" s="9">
        <f t="shared" si="16"/>
        <v>0.19250664795346809</v>
      </c>
      <c r="BL9" s="9">
        <f t="shared" si="17"/>
        <v>0.7559616470510111</v>
      </c>
      <c r="BM9" s="6">
        <f>'a20 (2)'!K5</f>
        <v>3.9</v>
      </c>
      <c r="BN9" s="9">
        <f t="shared" ref="BN9:BN44" si="40">($D$62-BM9)/$D$64</f>
        <v>0.89186507936507942</v>
      </c>
      <c r="BO9" s="6">
        <f>'a19'!AE9</f>
        <v>34.883190883190885</v>
      </c>
      <c r="BP9" s="6">
        <f>'a23'!K5</f>
        <v>42.018780243328926</v>
      </c>
      <c r="BQ9" s="9">
        <f t="shared" ref="BQ9:BQ43" si="41">BO9*BP9/10000</f>
        <v>0.1465749131906893</v>
      </c>
      <c r="BR9" s="9">
        <f t="shared" si="18"/>
        <v>0.15713494909302825</v>
      </c>
      <c r="BS9" s="9">
        <f t="shared" si="19"/>
        <v>0.74491905331066932</v>
      </c>
      <c r="BT9" s="6">
        <f>'a20 (2)'!L5</f>
        <v>8.4</v>
      </c>
      <c r="BU9" s="9">
        <f t="shared" ref="BU9:BU44" si="42">($D$62-BT9)/$D$64</f>
        <v>0.66865079365079361</v>
      </c>
      <c r="BV9" s="6">
        <f>'a19'!AH9</f>
        <v>77.868986693961105</v>
      </c>
      <c r="BW9" s="6">
        <f>'a23'!L5</f>
        <v>39.928121095973893</v>
      </c>
      <c r="BX9" s="9">
        <f t="shared" ref="BX9:BX43" si="43">BV9*BW9/10000</f>
        <v>0.3109162330337259</v>
      </c>
      <c r="BY9" s="9">
        <f t="shared" si="20"/>
        <v>0.37542602976556666</v>
      </c>
      <c r="BZ9" s="9">
        <f t="shared" si="21"/>
        <v>0.61000584087374821</v>
      </c>
    </row>
    <row r="10" spans="1:78" hidden="1">
      <c r="A10" s="1">
        <v>1973</v>
      </c>
      <c r="B10" s="6">
        <f>'a20 (2)'!B6</f>
        <v>7.1</v>
      </c>
      <c r="C10" s="9">
        <f t="shared" si="22"/>
        <v>0.73313492063492058</v>
      </c>
      <c r="D10" s="6">
        <f>'a19'!D10</f>
        <v>80.10486689970422</v>
      </c>
      <c r="E10" s="6">
        <f>'a23'!B6</f>
        <v>44.644236217181941</v>
      </c>
      <c r="F10" s="9">
        <f t="shared" si="23"/>
        <v>0.35762206000163144</v>
      </c>
      <c r="G10" s="9">
        <f t="shared" si="0"/>
        <v>0.43746438659674236</v>
      </c>
      <c r="H10" s="9">
        <f t="shared" si="1"/>
        <v>0.67400081382728505</v>
      </c>
      <c r="I10" s="6">
        <f>'a20 (2)'!C6</f>
        <v>13.4</v>
      </c>
      <c r="J10" s="9">
        <f t="shared" si="24"/>
        <v>0.42063492063492058</v>
      </c>
      <c r="K10" s="6">
        <f>'a19'!G10</f>
        <v>126.59591836734694</v>
      </c>
      <c r="L10" s="6">
        <f>'a23'!C6</f>
        <v>40.534028500099751</v>
      </c>
      <c r="M10" s="9">
        <f t="shared" si="25"/>
        <v>0.51314425630983429</v>
      </c>
      <c r="N10" s="9">
        <f t="shared" si="2"/>
        <v>0.64404121300357209</v>
      </c>
      <c r="O10" s="9">
        <f t="shared" si="3"/>
        <v>0.46531617910865086</v>
      </c>
      <c r="P10" s="6">
        <f>'a20 (2)'!D6</f>
        <v>9.3000000000000007</v>
      </c>
      <c r="Q10" s="9">
        <f t="shared" si="26"/>
        <v>0.6240079365079364</v>
      </c>
      <c r="R10" s="6">
        <f>'a19'!J10</f>
        <v>103.49999999999999</v>
      </c>
      <c r="S10" s="6">
        <f>'a23'!D6</f>
        <v>47.942971000397996</v>
      </c>
      <c r="T10" s="9">
        <f t="shared" si="27"/>
        <v>0.4962097498541192</v>
      </c>
      <c r="U10" s="9">
        <f t="shared" si="4"/>
        <v>0.6215474681656652</v>
      </c>
      <c r="V10" s="9">
        <f t="shared" si="5"/>
        <v>0.62351584283948225</v>
      </c>
      <c r="W10" s="6">
        <f>'a20 (2)'!E6</f>
        <v>9.1999999999999993</v>
      </c>
      <c r="X10" s="9">
        <f t="shared" si="28"/>
        <v>0.62896825396825395</v>
      </c>
      <c r="Y10" s="6">
        <f>'a19'!M10</f>
        <v>84.860465116279073</v>
      </c>
      <c r="Z10" s="6">
        <f>'a23'!E6</f>
        <v>42.911514372079644</v>
      </c>
      <c r="AA10" s="9">
        <f t="shared" si="29"/>
        <v>0.36414910684585727</v>
      </c>
      <c r="AB10" s="9">
        <f t="shared" si="6"/>
        <v>0.44613412413193543</v>
      </c>
      <c r="AC10" s="9">
        <f t="shared" si="7"/>
        <v>0.59240142800099027</v>
      </c>
      <c r="AD10" s="6">
        <f>'a20 (2)'!F6</f>
        <v>11</v>
      </c>
      <c r="AE10" s="9">
        <f t="shared" si="30"/>
        <v>0.53968253968253965</v>
      </c>
      <c r="AF10" s="6">
        <f>'a19'!P10</f>
        <v>106.28421052631579</v>
      </c>
      <c r="AG10" s="6">
        <f>'a23'!F6</f>
        <v>43.056366029521058</v>
      </c>
      <c r="AH10" s="9">
        <f t="shared" si="31"/>
        <v>0.45762118715797279</v>
      </c>
      <c r="AI10" s="9">
        <f t="shared" si="8"/>
        <v>0.57029110086505463</v>
      </c>
      <c r="AJ10" s="9">
        <f t="shared" si="9"/>
        <v>0.54580425191904269</v>
      </c>
      <c r="AK10" s="6">
        <f>'a20 (2)'!G6</f>
        <v>8.6999999999999993</v>
      </c>
      <c r="AL10" s="9">
        <f t="shared" si="32"/>
        <v>0.65376984126984128</v>
      </c>
      <c r="AM10" s="6">
        <f>'a19'!S10</f>
        <v>90.155720776538629</v>
      </c>
      <c r="AN10" s="6">
        <f>'a23'!G6</f>
        <v>41.50720674654675</v>
      </c>
      <c r="AO10" s="9">
        <f t="shared" si="33"/>
        <v>0.37421121416557296</v>
      </c>
      <c r="AP10" s="9">
        <f t="shared" si="10"/>
        <v>0.45949940732889194</v>
      </c>
      <c r="AQ10" s="9">
        <f t="shared" si="11"/>
        <v>0.61491575448165148</v>
      </c>
      <c r="AR10" s="6">
        <f>'a20 (2)'!H6</f>
        <v>6.1</v>
      </c>
      <c r="AS10" s="9">
        <f t="shared" si="34"/>
        <v>0.78273809523809523</v>
      </c>
      <c r="AT10" s="6">
        <f>'a19'!V10</f>
        <v>73.912785947712408</v>
      </c>
      <c r="AU10" s="6">
        <f>'a23'!H6</f>
        <v>40.561402457475197</v>
      </c>
      <c r="AV10" s="9">
        <f t="shared" si="35"/>
        <v>0.29980062575783806</v>
      </c>
      <c r="AW10" s="9">
        <f t="shared" si="12"/>
        <v>0.36066140497794419</v>
      </c>
      <c r="AX10" s="9">
        <f t="shared" si="13"/>
        <v>0.69832275718606507</v>
      </c>
      <c r="AY10" s="6">
        <f>'a20 (2)'!I6</f>
        <v>4.7</v>
      </c>
      <c r="AZ10" s="9">
        <f t="shared" si="36"/>
        <v>0.85218253968253965</v>
      </c>
      <c r="BA10" s="6">
        <f>'a19'!Y10</f>
        <v>40.952830188679251</v>
      </c>
      <c r="BB10" s="6">
        <f>'a23'!I6</f>
        <v>44.40421956967915</v>
      </c>
      <c r="BC10" s="9">
        <f t="shared" si="37"/>
        <v>0.18184784636978982</v>
      </c>
      <c r="BD10" s="9">
        <f t="shared" si="14"/>
        <v>0.2039872362081018</v>
      </c>
      <c r="BE10" s="9">
        <f t="shared" si="15"/>
        <v>0.72254347898765214</v>
      </c>
      <c r="BF10" s="6">
        <f>'a20 (2)'!J6</f>
        <v>3.8</v>
      </c>
      <c r="BG10" s="9">
        <f t="shared" si="38"/>
        <v>0.89682539682539675</v>
      </c>
      <c r="BH10" s="6">
        <f>'a19'!AB10</f>
        <v>41.954248366013069</v>
      </c>
      <c r="BI10" s="6">
        <f>'a23'!J6</f>
        <v>42.457362168921492</v>
      </c>
      <c r="BJ10" s="9">
        <f t="shared" si="39"/>
        <v>0.17812667174006994</v>
      </c>
      <c r="BK10" s="9">
        <f t="shared" si="16"/>
        <v>0.19904447907271663</v>
      </c>
      <c r="BL10" s="9">
        <f t="shared" si="17"/>
        <v>0.75726921327486085</v>
      </c>
      <c r="BM10" s="6">
        <f>'a20 (2)'!K6</f>
        <v>3.9</v>
      </c>
      <c r="BN10" s="9">
        <f t="shared" si="40"/>
        <v>0.89186507936507942</v>
      </c>
      <c r="BO10" s="6">
        <f>'a19'!AE10</f>
        <v>34.883190883190885</v>
      </c>
      <c r="BP10" s="6">
        <f>'a23'!K6</f>
        <v>42.962126886289745</v>
      </c>
      <c r="BQ10" s="9">
        <f t="shared" si="41"/>
        <v>0.14986560729223125</v>
      </c>
      <c r="BR10" s="9">
        <f t="shared" si="18"/>
        <v>0.16150590809636609</v>
      </c>
      <c r="BS10" s="9">
        <f t="shared" si="19"/>
        <v>0.74579324511133682</v>
      </c>
      <c r="BT10" s="6">
        <f>'a20 (2)'!L6</f>
        <v>8.4</v>
      </c>
      <c r="BU10" s="9">
        <f t="shared" si="42"/>
        <v>0.66865079365079361</v>
      </c>
      <c r="BV10" s="6">
        <f>'a19'!AH10</f>
        <v>77.868986693961105</v>
      </c>
      <c r="BW10" s="6">
        <f>'a23'!L6</f>
        <v>40.63414947445272</v>
      </c>
      <c r="BX10" s="9">
        <f t="shared" si="43"/>
        <v>0.31641400447465851</v>
      </c>
      <c r="BY10" s="9">
        <f t="shared" si="20"/>
        <v>0.38272860266858355</v>
      </c>
      <c r="BZ10" s="9">
        <f t="shared" si="21"/>
        <v>0.61146635545435157</v>
      </c>
    </row>
    <row r="11" spans="1:78" hidden="1">
      <c r="A11" s="1">
        <v>1974</v>
      </c>
      <c r="B11" s="6">
        <f>'a20 (2)'!B7</f>
        <v>7.1</v>
      </c>
      <c r="C11" s="9">
        <f t="shared" si="22"/>
        <v>0.73313492063492058</v>
      </c>
      <c r="D11" s="6">
        <f>'a19'!D11</f>
        <v>80.10486689970422</v>
      </c>
      <c r="E11" s="6">
        <f>'a23'!B7</f>
        <v>44.012476317821523</v>
      </c>
      <c r="F11" s="9">
        <f t="shared" si="23"/>
        <v>0.35256135573654773</v>
      </c>
      <c r="G11" s="9">
        <f t="shared" si="0"/>
        <v>0.43074236072981886</v>
      </c>
      <c r="H11" s="9">
        <f t="shared" si="1"/>
        <v>0.67265640865390031</v>
      </c>
      <c r="I11" s="6">
        <f>'a20 (2)'!C7</f>
        <v>13.4</v>
      </c>
      <c r="J11" s="9">
        <f t="shared" si="24"/>
        <v>0.42063492063492058</v>
      </c>
      <c r="K11" s="6">
        <f>'a19'!G11</f>
        <v>126.59591836734694</v>
      </c>
      <c r="L11" s="6">
        <f>'a23'!C7</f>
        <v>39.225412953608505</v>
      </c>
      <c r="M11" s="9">
        <f t="shared" si="25"/>
        <v>0.4965777176200496</v>
      </c>
      <c r="N11" s="9">
        <f t="shared" si="2"/>
        <v>0.62203623192486046</v>
      </c>
      <c r="O11" s="9">
        <f t="shared" si="3"/>
        <v>0.46091518289290856</v>
      </c>
      <c r="P11" s="6">
        <f>'a20 (2)'!D7</f>
        <v>9.3000000000000007</v>
      </c>
      <c r="Q11" s="9">
        <f t="shared" si="26"/>
        <v>0.6240079365079364</v>
      </c>
      <c r="R11" s="6">
        <f>'a19'!J11</f>
        <v>103.49999999999999</v>
      </c>
      <c r="S11" s="6">
        <f>'a23'!D7</f>
        <v>45.922981959148458</v>
      </c>
      <c r="T11" s="9">
        <f t="shared" si="27"/>
        <v>0.47530286327718652</v>
      </c>
      <c r="U11" s="9">
        <f t="shared" si="4"/>
        <v>0.5937772952795296</v>
      </c>
      <c r="V11" s="9">
        <f t="shared" si="5"/>
        <v>0.61796180826225511</v>
      </c>
      <c r="W11" s="6">
        <f>'a20 (2)'!E7</f>
        <v>9.1999999999999993</v>
      </c>
      <c r="X11" s="9">
        <f t="shared" si="28"/>
        <v>0.62896825396825395</v>
      </c>
      <c r="Y11" s="6">
        <f>'a19'!M11</f>
        <v>84.860465116279073</v>
      </c>
      <c r="Z11" s="6">
        <f>'a23'!E7</f>
        <v>42.064583276579242</v>
      </c>
      <c r="AA11" s="9">
        <f t="shared" si="29"/>
        <v>0.3569620101772969</v>
      </c>
      <c r="AB11" s="9">
        <f t="shared" si="6"/>
        <v>0.43658765645006153</v>
      </c>
      <c r="AC11" s="9">
        <f t="shared" si="7"/>
        <v>0.59049213446461546</v>
      </c>
      <c r="AD11" s="6">
        <f>'a20 (2)'!F7</f>
        <v>11</v>
      </c>
      <c r="AE11" s="9">
        <f t="shared" si="30"/>
        <v>0.53968253968253965</v>
      </c>
      <c r="AF11" s="6">
        <f>'a19'!P11</f>
        <v>106.28421052631579</v>
      </c>
      <c r="AG11" s="6">
        <f>'a23'!F7</f>
        <v>40.807427887845613</v>
      </c>
      <c r="AH11" s="9">
        <f t="shared" si="31"/>
        <v>0.43371852566692332</v>
      </c>
      <c r="AI11" s="9">
        <f t="shared" si="8"/>
        <v>0.53854170386121802</v>
      </c>
      <c r="AJ11" s="9">
        <f t="shared" si="9"/>
        <v>0.53945437251827544</v>
      </c>
      <c r="AK11" s="6">
        <f>'a20 (2)'!G7</f>
        <v>8.6999999999999993</v>
      </c>
      <c r="AL11" s="9">
        <f t="shared" si="32"/>
        <v>0.65376984126984128</v>
      </c>
      <c r="AM11" s="6">
        <f>'a19'!S11</f>
        <v>90.155720776538629</v>
      </c>
      <c r="AN11" s="6">
        <f>'a23'!G7</f>
        <v>40.510458164782641</v>
      </c>
      <c r="AO11" s="9">
        <f t="shared" si="33"/>
        <v>0.36522495548337935</v>
      </c>
      <c r="AP11" s="9">
        <f t="shared" si="10"/>
        <v>0.44756315100082683</v>
      </c>
      <c r="AQ11" s="9">
        <f t="shared" si="11"/>
        <v>0.61252850321603836</v>
      </c>
      <c r="AR11" s="6">
        <f>'a20 (2)'!H7</f>
        <v>6.1</v>
      </c>
      <c r="AS11" s="9">
        <f t="shared" si="34"/>
        <v>0.78273809523809523</v>
      </c>
      <c r="AT11" s="6">
        <f>'a19'!V11</f>
        <v>73.912785947712408</v>
      </c>
      <c r="AU11" s="6">
        <f>'a23'!H7</f>
        <v>40.489089848770057</v>
      </c>
      <c r="AV11" s="9">
        <f t="shared" si="35"/>
        <v>0.29926614312098365</v>
      </c>
      <c r="AW11" s="9">
        <f t="shared" si="12"/>
        <v>0.35995146305639281</v>
      </c>
      <c r="AX11" s="9">
        <f t="shared" si="13"/>
        <v>0.69818076880175473</v>
      </c>
      <c r="AY11" s="6">
        <f>'a20 (2)'!I7</f>
        <v>4.7</v>
      </c>
      <c r="AZ11" s="9">
        <f t="shared" si="36"/>
        <v>0.85218253968253965</v>
      </c>
      <c r="BA11" s="6">
        <f>'a19'!Y11</f>
        <v>40.952830188679251</v>
      </c>
      <c r="BB11" s="6">
        <f>'a23'!I7</f>
        <v>43.202230114262584</v>
      </c>
      <c r="BC11" s="9">
        <f t="shared" si="37"/>
        <v>0.17692535936416404</v>
      </c>
      <c r="BD11" s="9">
        <f t="shared" si="14"/>
        <v>0.19744880138793078</v>
      </c>
      <c r="BE11" s="9">
        <f t="shared" si="15"/>
        <v>0.72123579202361787</v>
      </c>
      <c r="BF11" s="6">
        <f>'a20 (2)'!J7</f>
        <v>3.8</v>
      </c>
      <c r="BG11" s="9">
        <f t="shared" si="38"/>
        <v>0.89682539682539675</v>
      </c>
      <c r="BH11" s="6">
        <f>'a19'!AB11</f>
        <v>41.954248366013069</v>
      </c>
      <c r="BI11" s="6">
        <f>'a23'!J7</f>
        <v>41.03416113492348</v>
      </c>
      <c r="BJ11" s="9">
        <f t="shared" si="39"/>
        <v>0.17215573877455803</v>
      </c>
      <c r="BK11" s="9">
        <f t="shared" si="16"/>
        <v>0.19111341577768068</v>
      </c>
      <c r="BL11" s="9">
        <f t="shared" si="17"/>
        <v>0.75568300061585358</v>
      </c>
      <c r="BM11" s="6">
        <f>'a20 (2)'!K7</f>
        <v>3.9</v>
      </c>
      <c r="BN11" s="9">
        <f t="shared" si="40"/>
        <v>0.89186507936507942</v>
      </c>
      <c r="BO11" s="6">
        <f>'a19'!AE11</f>
        <v>34.883190883190885</v>
      </c>
      <c r="BP11" s="6">
        <f>'a23'!K7</f>
        <v>42.355485661316642</v>
      </c>
      <c r="BQ11" s="9">
        <f t="shared" si="41"/>
        <v>0.14774944912739629</v>
      </c>
      <c r="BR11" s="9">
        <f t="shared" si="18"/>
        <v>0.1586950602029876</v>
      </c>
      <c r="BS11" s="9">
        <f t="shared" si="19"/>
        <v>0.7452310755326611</v>
      </c>
      <c r="BT11" s="6">
        <f>'a20 (2)'!L7</f>
        <v>8.4</v>
      </c>
      <c r="BU11" s="9">
        <f t="shared" si="42"/>
        <v>0.66865079365079361</v>
      </c>
      <c r="BV11" s="6">
        <f>'a19'!AH11</f>
        <v>77.868986693961105</v>
      </c>
      <c r="BW11" s="6">
        <f>'a23'!L7</f>
        <v>39.488673194136318</v>
      </c>
      <c r="BX11" s="9">
        <f t="shared" si="43"/>
        <v>0.30749429675163797</v>
      </c>
      <c r="BY11" s="9">
        <f t="shared" si="20"/>
        <v>0.37088074456448039</v>
      </c>
      <c r="BZ11" s="9">
        <f t="shared" si="21"/>
        <v>0.60909678383353094</v>
      </c>
    </row>
    <row r="12" spans="1:78" hidden="1">
      <c r="A12" s="1">
        <v>1975</v>
      </c>
      <c r="B12" s="6">
        <f>'a20 (2)'!B8</f>
        <v>7.1</v>
      </c>
      <c r="C12" s="9">
        <f t="shared" si="22"/>
        <v>0.73313492063492058</v>
      </c>
      <c r="D12" s="6">
        <f>'a19'!D12</f>
        <v>80.104816482925528</v>
      </c>
      <c r="E12" s="6">
        <f>'a23'!B8</f>
        <v>43.562568561872915</v>
      </c>
      <c r="F12" s="9">
        <f t="shared" si="23"/>
        <v>0.3489571560173691</v>
      </c>
      <c r="G12" s="9">
        <f t="shared" si="0"/>
        <v>0.42595497888080724</v>
      </c>
      <c r="H12" s="9">
        <f t="shared" si="1"/>
        <v>0.67169893228409805</v>
      </c>
      <c r="I12" s="6">
        <f>'a20 (2)'!C8</f>
        <v>13.4</v>
      </c>
      <c r="J12" s="9">
        <f t="shared" si="24"/>
        <v>0.42063492063492058</v>
      </c>
      <c r="K12" s="6">
        <f>'a19'!G12</f>
        <v>126.59693877551021</v>
      </c>
      <c r="L12" s="6">
        <f>'a23'!C8</f>
        <v>38.822588667553262</v>
      </c>
      <c r="M12" s="9">
        <f t="shared" si="25"/>
        <v>0.49148208806530563</v>
      </c>
      <c r="N12" s="9">
        <f t="shared" si="2"/>
        <v>0.61526781553831589</v>
      </c>
      <c r="O12" s="9">
        <f t="shared" si="3"/>
        <v>0.45956149961559967</v>
      </c>
      <c r="P12" s="6">
        <f>'a20 (2)'!D8</f>
        <v>9.3000000000000007</v>
      </c>
      <c r="Q12" s="9">
        <f t="shared" si="26"/>
        <v>0.6240079365079364</v>
      </c>
      <c r="R12" s="6">
        <f>'a19'!J12</f>
        <v>103.50852272727272</v>
      </c>
      <c r="S12" s="6">
        <f>'a23'!D8</f>
        <v>45.117038963675519</v>
      </c>
      <c r="T12" s="9">
        <f t="shared" si="27"/>
        <v>0.46699980529588564</v>
      </c>
      <c r="U12" s="9">
        <f t="shared" si="4"/>
        <v>0.58274851991520837</v>
      </c>
      <c r="V12" s="9">
        <f t="shared" si="5"/>
        <v>0.61575605318939086</v>
      </c>
      <c r="W12" s="6">
        <f>'a20 (2)'!E8</f>
        <v>9.1999999999999993</v>
      </c>
      <c r="X12" s="9">
        <f t="shared" si="28"/>
        <v>0.62896825396825395</v>
      </c>
      <c r="Y12" s="6">
        <f>'a19'!M12</f>
        <v>84.861295681063112</v>
      </c>
      <c r="Z12" s="6">
        <f>'a23'!E8</f>
        <v>41.920140118145142</v>
      </c>
      <c r="AA12" s="9">
        <f t="shared" si="29"/>
        <v>0.35573974055575108</v>
      </c>
      <c r="AB12" s="9">
        <f t="shared" si="6"/>
        <v>0.43496414170151698</v>
      </c>
      <c r="AC12" s="9">
        <f t="shared" si="7"/>
        <v>0.59016743151490658</v>
      </c>
      <c r="AD12" s="6">
        <f>'a20 (2)'!F8</f>
        <v>11</v>
      </c>
      <c r="AE12" s="9">
        <f t="shared" si="30"/>
        <v>0.53968253968253965</v>
      </c>
      <c r="AF12" s="6">
        <f>'a19'!P12</f>
        <v>106.28421052631579</v>
      </c>
      <c r="AG12" s="6">
        <f>'a23'!F8</f>
        <v>40.773804505647853</v>
      </c>
      <c r="AH12" s="9">
        <f t="shared" si="31"/>
        <v>0.43336116220371196</v>
      </c>
      <c r="AI12" s="9">
        <f t="shared" si="8"/>
        <v>0.53806702557183961</v>
      </c>
      <c r="AJ12" s="9">
        <f t="shared" si="9"/>
        <v>0.53935943686039967</v>
      </c>
      <c r="AK12" s="6">
        <f>'a20 (2)'!G8</f>
        <v>8.6999999999999993</v>
      </c>
      <c r="AL12" s="9">
        <f t="shared" si="32"/>
        <v>0.65376984126984128</v>
      </c>
      <c r="AM12" s="6">
        <f>'a19'!S12</f>
        <v>90.155875671210239</v>
      </c>
      <c r="AN12" s="6">
        <f>'a23'!G8</f>
        <v>39.426393361585994</v>
      </c>
      <c r="AO12" s="9">
        <f t="shared" si="33"/>
        <v>0.35545210180713754</v>
      </c>
      <c r="AP12" s="9">
        <f t="shared" si="10"/>
        <v>0.43458207726794595</v>
      </c>
      <c r="AQ12" s="9">
        <f t="shared" si="11"/>
        <v>0.60993228846946224</v>
      </c>
      <c r="AR12" s="6">
        <f>'a20 (2)'!H8</f>
        <v>6.1</v>
      </c>
      <c r="AS12" s="9">
        <f t="shared" si="34"/>
        <v>0.78273809523809523</v>
      </c>
      <c r="AT12" s="6">
        <f>'a19'!V12</f>
        <v>73.912785947712408</v>
      </c>
      <c r="AU12" s="6">
        <f>'a23'!H8</f>
        <v>40.61582141466026</v>
      </c>
      <c r="AV12" s="9">
        <f t="shared" si="35"/>
        <v>0.30020285143122971</v>
      </c>
      <c r="AW12" s="9">
        <f t="shared" si="12"/>
        <v>0.36119567278717662</v>
      </c>
      <c r="AX12" s="9">
        <f t="shared" si="13"/>
        <v>0.69842961074791154</v>
      </c>
      <c r="AY12" s="6">
        <f>'a20 (2)'!I8</f>
        <v>4.7</v>
      </c>
      <c r="AZ12" s="9">
        <f t="shared" si="36"/>
        <v>0.85218253968253965</v>
      </c>
      <c r="BA12" s="6">
        <f>'a19'!Y12</f>
        <v>40.952240566037737</v>
      </c>
      <c r="BB12" s="6">
        <f>'a23'!I8</f>
        <v>44.69909534737689</v>
      </c>
      <c r="BC12" s="9">
        <f t="shared" si="37"/>
        <v>0.18305281057500364</v>
      </c>
      <c r="BD12" s="9">
        <f t="shared" si="14"/>
        <v>0.20558776454010666</v>
      </c>
      <c r="BE12" s="9">
        <f t="shared" si="15"/>
        <v>0.72286358465405309</v>
      </c>
      <c r="BF12" s="6">
        <f>'a20 (2)'!J8</f>
        <v>3.8</v>
      </c>
      <c r="BG12" s="9">
        <f t="shared" si="38"/>
        <v>0.89682539682539675</v>
      </c>
      <c r="BH12" s="6">
        <f>'a19'!AB12</f>
        <v>41.951797385620907</v>
      </c>
      <c r="BI12" s="6">
        <f>'a23'!J8</f>
        <v>42.014673102242618</v>
      </c>
      <c r="BJ12" s="9">
        <f t="shared" si="39"/>
        <v>0.17625910532083791</v>
      </c>
      <c r="BK12" s="9">
        <f t="shared" si="16"/>
        <v>0.19656383030908695</v>
      </c>
      <c r="BL12" s="9">
        <f t="shared" si="17"/>
        <v>0.7567730835221349</v>
      </c>
      <c r="BM12" s="6">
        <f>'a20 (2)'!K8</f>
        <v>3.9</v>
      </c>
      <c r="BN12" s="9">
        <f t="shared" si="40"/>
        <v>0.89186507936507942</v>
      </c>
      <c r="BO12" s="6">
        <f>'a19'!AE12</f>
        <v>34.883903133903132</v>
      </c>
      <c r="BP12" s="6">
        <f>'a23'!K8</f>
        <v>43.207781861683621</v>
      </c>
      <c r="BQ12" s="9">
        <f t="shared" si="41"/>
        <v>0.15072560770937882</v>
      </c>
      <c r="BR12" s="9">
        <f t="shared" si="18"/>
        <v>0.16264822836382697</v>
      </c>
      <c r="BS12" s="9">
        <f t="shared" si="19"/>
        <v>0.74602170916482902</v>
      </c>
      <c r="BT12" s="6">
        <f>'a20 (2)'!L8</f>
        <v>8.4</v>
      </c>
      <c r="BU12" s="9">
        <f t="shared" si="42"/>
        <v>0.66865079365079361</v>
      </c>
      <c r="BV12" s="6">
        <f>'a19'!AH12</f>
        <v>77.868858751279433</v>
      </c>
      <c r="BW12" s="6">
        <f>'a23'!L8</f>
        <v>39.061387261927813</v>
      </c>
      <c r="BX12" s="9">
        <f t="shared" si="43"/>
        <v>0.30416656473280829</v>
      </c>
      <c r="BY12" s="9">
        <f t="shared" si="20"/>
        <v>0.36646058888316574</v>
      </c>
      <c r="BZ12" s="9">
        <f t="shared" si="21"/>
        <v>0.60821275269726804</v>
      </c>
    </row>
    <row r="13" spans="1:78" hidden="1">
      <c r="A13" s="1">
        <v>1976</v>
      </c>
      <c r="B13" s="6">
        <f>'a20 (2)'!B9</f>
        <v>7.1</v>
      </c>
      <c r="C13" s="9">
        <f t="shared" si="22"/>
        <v>0.73313492063492058</v>
      </c>
      <c r="D13" s="6">
        <f>'a19'!D13</f>
        <v>84.241765259478356</v>
      </c>
      <c r="E13" s="6">
        <f>'a23'!B9</f>
        <v>42.624488771334271</v>
      </c>
      <c r="F13" s="9">
        <f t="shared" si="23"/>
        <v>0.35907621773800125</v>
      </c>
      <c r="G13" s="9">
        <f t="shared" si="0"/>
        <v>0.43939591339745004</v>
      </c>
      <c r="H13" s="9">
        <f t="shared" si="1"/>
        <v>0.67438711918742655</v>
      </c>
      <c r="I13" s="6">
        <f>'a20 (2)'!C9</f>
        <v>13.4</v>
      </c>
      <c r="J13" s="9">
        <f t="shared" si="24"/>
        <v>0.42063492063492058</v>
      </c>
      <c r="K13" s="6">
        <f>'a19'!G13</f>
        <v>149.67312925170066</v>
      </c>
      <c r="L13" s="6">
        <f>'a23'!C9</f>
        <v>38.275417086923639</v>
      </c>
      <c r="M13" s="9">
        <f t="shared" si="25"/>
        <v>0.57288014488138739</v>
      </c>
      <c r="N13" s="9">
        <f t="shared" si="2"/>
        <v>0.72338712359789525</v>
      </c>
      <c r="O13" s="9">
        <f t="shared" si="3"/>
        <v>0.48118536122751554</v>
      </c>
      <c r="P13" s="6">
        <f>'a20 (2)'!D9</f>
        <v>9.3000000000000007</v>
      </c>
      <c r="Q13" s="9">
        <f t="shared" si="26"/>
        <v>0.6240079365079364</v>
      </c>
      <c r="R13" s="6">
        <f>'a19'!J13</f>
        <v>151.50378787878788</v>
      </c>
      <c r="S13" s="6">
        <f>'a23'!D9</f>
        <v>45.012516245711964</v>
      </c>
      <c r="T13" s="9">
        <f t="shared" si="27"/>
        <v>0.68195667131808391</v>
      </c>
      <c r="U13" s="9">
        <f t="shared" si="4"/>
        <v>0.86827115431284074</v>
      </c>
      <c r="V13" s="9">
        <f t="shared" si="5"/>
        <v>0.67286058006891736</v>
      </c>
      <c r="W13" s="6">
        <f>'a20 (2)'!E9</f>
        <v>9.1999999999999993</v>
      </c>
      <c r="X13" s="9">
        <f t="shared" si="28"/>
        <v>0.62896825396825395</v>
      </c>
      <c r="Y13" s="6">
        <f>'a19'!M13</f>
        <v>100.21345514950167</v>
      </c>
      <c r="Z13" s="6">
        <f>'a23'!E9</f>
        <v>42.27995037584202</v>
      </c>
      <c r="AA13" s="9">
        <f t="shared" si="29"/>
        <v>0.42370199107126011</v>
      </c>
      <c r="AB13" s="9">
        <f t="shared" si="6"/>
        <v>0.52523695394458381</v>
      </c>
      <c r="AC13" s="9">
        <f t="shared" si="7"/>
        <v>0.60822199396351995</v>
      </c>
      <c r="AD13" s="6">
        <f>'a20 (2)'!F9</f>
        <v>11</v>
      </c>
      <c r="AE13" s="9">
        <f t="shared" si="30"/>
        <v>0.53968253968253965</v>
      </c>
      <c r="AF13" s="6">
        <f>'a19'!P13</f>
        <v>130.13859649122807</v>
      </c>
      <c r="AG13" s="6">
        <f>'a23'!F9</f>
        <v>41.386730564072067</v>
      </c>
      <c r="AH13" s="9">
        <f t="shared" si="31"/>
        <v>0.53860110289689511</v>
      </c>
      <c r="AI13" s="9">
        <f t="shared" si="8"/>
        <v>0.67785500102299445</v>
      </c>
      <c r="AJ13" s="9">
        <f t="shared" si="9"/>
        <v>0.56731703195063066</v>
      </c>
      <c r="AK13" s="6">
        <f>'a20 (2)'!G9</f>
        <v>8.6999999999999993</v>
      </c>
      <c r="AL13" s="9">
        <f t="shared" si="32"/>
        <v>0.65376984126984128</v>
      </c>
      <c r="AM13" s="6">
        <f>'a19'!S13</f>
        <v>100.50037863141952</v>
      </c>
      <c r="AN13" s="6">
        <f>'a23'!G9</f>
        <v>39.408455176670074</v>
      </c>
      <c r="AO13" s="9">
        <f t="shared" si="33"/>
        <v>0.39605646665346672</v>
      </c>
      <c r="AP13" s="9">
        <f t="shared" si="10"/>
        <v>0.4885159917015946</v>
      </c>
      <c r="AQ13" s="9">
        <f t="shared" si="11"/>
        <v>0.62071907135619198</v>
      </c>
      <c r="AR13" s="6">
        <f>'a20 (2)'!H9</f>
        <v>6.1</v>
      </c>
      <c r="AS13" s="9">
        <f t="shared" si="34"/>
        <v>0.78273809523809523</v>
      </c>
      <c r="AT13" s="6">
        <f>'a19'!V13</f>
        <v>68.154479847494557</v>
      </c>
      <c r="AU13" s="6">
        <f>'a23'!H9</f>
        <v>39.415706137328229</v>
      </c>
      <c r="AV13" s="9">
        <f t="shared" si="35"/>
        <v>0.26863569496113043</v>
      </c>
      <c r="AW13" s="9">
        <f t="shared" si="12"/>
        <v>0.31926569007681166</v>
      </c>
      <c r="AX13" s="9">
        <f t="shared" si="13"/>
        <v>0.69004361420583848</v>
      </c>
      <c r="AY13" s="6">
        <f>'a20 (2)'!I9</f>
        <v>4.7</v>
      </c>
      <c r="AZ13" s="9">
        <f t="shared" si="36"/>
        <v>0.85218253968253965</v>
      </c>
      <c r="BA13" s="6">
        <f>'a19'!Y13</f>
        <v>54.875393081761011</v>
      </c>
      <c r="BB13" s="6">
        <f>'a23'!I9</f>
        <v>42.94973036722903</v>
      </c>
      <c r="BC13" s="9">
        <f t="shared" si="37"/>
        <v>0.23568833366573408</v>
      </c>
      <c r="BD13" s="9">
        <f t="shared" si="14"/>
        <v>0.27550241064501768</v>
      </c>
      <c r="BE13" s="9">
        <f t="shared" si="15"/>
        <v>0.7368465138750353</v>
      </c>
      <c r="BF13" s="6">
        <f>'a20 (2)'!J9</f>
        <v>3.8</v>
      </c>
      <c r="BG13" s="9">
        <f t="shared" si="38"/>
        <v>0.89682539682539675</v>
      </c>
      <c r="BH13" s="6">
        <f>'a19'!AB13</f>
        <v>56.614379084967318</v>
      </c>
      <c r="BI13" s="6">
        <f>'a23'!J9</f>
        <v>40.719346328589971</v>
      </c>
      <c r="BJ13" s="9">
        <f t="shared" si="39"/>
        <v>0.23053005091388651</v>
      </c>
      <c r="BK13" s="9">
        <f t="shared" si="16"/>
        <v>0.26865077334898785</v>
      </c>
      <c r="BL13" s="9">
        <f t="shared" si="17"/>
        <v>0.77119047213011505</v>
      </c>
      <c r="BM13" s="6">
        <f>'a20 (2)'!K9</f>
        <v>3.9</v>
      </c>
      <c r="BN13" s="9">
        <f t="shared" si="40"/>
        <v>0.89186507936507942</v>
      </c>
      <c r="BO13" s="6">
        <f>'a19'!AE13</f>
        <v>34.927587844254511</v>
      </c>
      <c r="BP13" s="6">
        <f>'a23'!K9</f>
        <v>42.325008932187167</v>
      </c>
      <c r="BQ13" s="9">
        <f t="shared" si="41"/>
        <v>0.14783104674878242</v>
      </c>
      <c r="BR13" s="9">
        <f t="shared" si="18"/>
        <v>0.15880344458842213</v>
      </c>
      <c r="BS13" s="9">
        <f t="shared" si="19"/>
        <v>0.74525275240974809</v>
      </c>
      <c r="BT13" s="6">
        <f>'a20 (2)'!L9</f>
        <v>8.4</v>
      </c>
      <c r="BU13" s="9">
        <f t="shared" si="42"/>
        <v>0.66865079365079361</v>
      </c>
      <c r="BV13" s="6">
        <f>'a19'!AH13</f>
        <v>72.723217331968598</v>
      </c>
      <c r="BW13" s="6">
        <f>'a23'!L9</f>
        <v>36.864908560362871</v>
      </c>
      <c r="BX13" s="9">
        <f t="shared" si="43"/>
        <v>0.26809347571584186</v>
      </c>
      <c r="BY13" s="9">
        <f t="shared" si="20"/>
        <v>0.31854547178278469</v>
      </c>
      <c r="BZ13" s="9">
        <f t="shared" si="21"/>
        <v>0.59862972927719182</v>
      </c>
    </row>
    <row r="14" spans="1:78" hidden="1">
      <c r="A14" s="1">
        <v>1977</v>
      </c>
      <c r="B14" s="6">
        <f>'a20 (2)'!B10</f>
        <v>8</v>
      </c>
      <c r="C14" s="9">
        <f t="shared" si="22"/>
        <v>0.68849206349206349</v>
      </c>
      <c r="D14" s="6">
        <f>'a19'!D14</f>
        <v>77.012172176784546</v>
      </c>
      <c r="E14" s="6">
        <f>'a23'!B10</f>
        <v>42.289620035172163</v>
      </c>
      <c r="F14" s="9">
        <f t="shared" si="23"/>
        <v>0.3256815499439476</v>
      </c>
      <c r="G14" s="9">
        <f t="shared" si="0"/>
        <v>0.39503848625480037</v>
      </c>
      <c r="H14" s="9">
        <f t="shared" si="1"/>
        <v>0.62980134804461096</v>
      </c>
      <c r="I14" s="6">
        <f>'a20 (2)'!C10</f>
        <v>15.4</v>
      </c>
      <c r="J14" s="9">
        <f t="shared" si="24"/>
        <v>0.32142857142857134</v>
      </c>
      <c r="K14" s="6">
        <f>'a19'!G14</f>
        <v>130.37273242630386</v>
      </c>
      <c r="L14" s="6">
        <f>'a23'!C10</f>
        <v>37.838260472317664</v>
      </c>
      <c r="M14" s="9">
        <f t="shared" si="25"/>
        <v>0.4933077408034261</v>
      </c>
      <c r="N14" s="9">
        <f t="shared" si="2"/>
        <v>0.61769279125055743</v>
      </c>
      <c r="O14" s="9">
        <f t="shared" si="3"/>
        <v>0.38068141539296857</v>
      </c>
      <c r="P14" s="6">
        <f>'a20 (2)'!D10</f>
        <v>9.5</v>
      </c>
      <c r="Q14" s="9">
        <f t="shared" si="26"/>
        <v>0.61408730158730152</v>
      </c>
      <c r="R14" s="6">
        <f>'a19'!J14</f>
        <v>152.57065217391306</v>
      </c>
      <c r="S14" s="6">
        <f>'a23'!D10</f>
        <v>44.797315322319889</v>
      </c>
      <c r="T14" s="9">
        <f t="shared" si="27"/>
        <v>0.68347556143667731</v>
      </c>
      <c r="U14" s="9">
        <f t="shared" si="4"/>
        <v>0.87028866376041769</v>
      </c>
      <c r="V14" s="9">
        <f t="shared" si="5"/>
        <v>0.66532757402192477</v>
      </c>
      <c r="W14" s="6">
        <f>'a20 (2)'!E10</f>
        <v>10.3</v>
      </c>
      <c r="X14" s="9">
        <f t="shared" si="28"/>
        <v>0.57440476190476186</v>
      </c>
      <c r="Y14" s="6">
        <f>'a19'!M14</f>
        <v>102.14123062015506</v>
      </c>
      <c r="Z14" s="6">
        <f>'a23'!E10</f>
        <v>41.172126305471103</v>
      </c>
      <c r="AA14" s="9">
        <f t="shared" si="29"/>
        <v>0.42053716480892761</v>
      </c>
      <c r="AB14" s="9">
        <f t="shared" si="6"/>
        <v>0.52103318251567465</v>
      </c>
      <c r="AC14" s="9">
        <f t="shared" si="7"/>
        <v>0.56373044602694444</v>
      </c>
      <c r="AD14" s="6">
        <f>'a20 (2)'!F10</f>
        <v>13.3</v>
      </c>
      <c r="AE14" s="9">
        <f t="shared" si="30"/>
        <v>0.42559523809523803</v>
      </c>
      <c r="AF14" s="6">
        <f>'a19'!P14</f>
        <v>116.35714285714286</v>
      </c>
      <c r="AG14" s="6">
        <f>'a23'!F10</f>
        <v>41.378593512008983</v>
      </c>
      <c r="AH14" s="9">
        <f t="shared" si="31"/>
        <v>0.48146949165044745</v>
      </c>
      <c r="AI14" s="9">
        <f t="shared" si="8"/>
        <v>0.60196829662350537</v>
      </c>
      <c r="AJ14" s="9">
        <f t="shared" si="9"/>
        <v>0.46086984980089152</v>
      </c>
      <c r="AK14" s="6">
        <f>'a20 (2)'!G10</f>
        <v>10.4</v>
      </c>
      <c r="AL14" s="9">
        <f t="shared" si="32"/>
        <v>0.56944444444444442</v>
      </c>
      <c r="AM14" s="6">
        <f>'a19'!S14</f>
        <v>88.839921171171184</v>
      </c>
      <c r="AN14" s="6">
        <f>'a23'!G10</f>
        <v>39.043399518966048</v>
      </c>
      <c r="AO14" s="9">
        <f t="shared" si="33"/>
        <v>0.34686125355194869</v>
      </c>
      <c r="AP14" s="9">
        <f t="shared" si="10"/>
        <v>0.42317103620225366</v>
      </c>
      <c r="AQ14" s="9">
        <f t="shared" si="11"/>
        <v>0.54018976279600628</v>
      </c>
      <c r="AR14" s="6">
        <f>'a20 (2)'!H10</f>
        <v>6.9</v>
      </c>
      <c r="AS14" s="9">
        <f t="shared" si="34"/>
        <v>0.74305555555555547</v>
      </c>
      <c r="AT14" s="6">
        <f>'a19'!V14</f>
        <v>59.51710309035149</v>
      </c>
      <c r="AU14" s="6">
        <f>'a23'!H10</f>
        <v>39.20304002730682</v>
      </c>
      <c r="AV14" s="9">
        <f t="shared" si="35"/>
        <v>0.23332513747603958</v>
      </c>
      <c r="AW14" s="9">
        <f t="shared" si="12"/>
        <v>0.2723634273961163</v>
      </c>
      <c r="AX14" s="9">
        <f t="shared" si="13"/>
        <v>0.64891712992366768</v>
      </c>
      <c r="AY14" s="6">
        <f>'a20 (2)'!I10</f>
        <v>5.7</v>
      </c>
      <c r="AZ14" s="9">
        <f t="shared" si="36"/>
        <v>0.80257936507936511</v>
      </c>
      <c r="BA14" s="6">
        <f>'a19'!Y14</f>
        <v>59.049429657794676</v>
      </c>
      <c r="BB14" s="6">
        <f>'a23'!I10</f>
        <v>43.814952614641761</v>
      </c>
      <c r="BC14" s="9">
        <f t="shared" si="37"/>
        <v>0.25872479623778954</v>
      </c>
      <c r="BD14" s="9">
        <f t="shared" si="14"/>
        <v>0.30610125404319272</v>
      </c>
      <c r="BE14" s="9">
        <f t="shared" si="15"/>
        <v>0.70328374287213069</v>
      </c>
      <c r="BF14" s="6">
        <f>'a20 (2)'!J10</f>
        <v>4.4000000000000004</v>
      </c>
      <c r="BG14" s="9">
        <f t="shared" si="38"/>
        <v>0.86706349206349187</v>
      </c>
      <c r="BH14" s="6">
        <f>'a19'!AB14</f>
        <v>61.756445672191518</v>
      </c>
      <c r="BI14" s="6">
        <f>'a23'!J10</f>
        <v>41.279439121667075</v>
      </c>
      <c r="BJ14" s="9">
        <f t="shared" si="39"/>
        <v>0.254927143949577</v>
      </c>
      <c r="BK14" s="9">
        <f t="shared" si="16"/>
        <v>0.301056913260216</v>
      </c>
      <c r="BL14" s="9">
        <f t="shared" si="17"/>
        <v>0.7538621763028367</v>
      </c>
      <c r="BM14" s="6">
        <f>'a20 (2)'!K10</f>
        <v>4.5</v>
      </c>
      <c r="BN14" s="9">
        <f t="shared" si="40"/>
        <v>0.86210317460317454</v>
      </c>
      <c r="BO14" s="6">
        <f>'a19'!AE14</f>
        <v>35.695882352941176</v>
      </c>
      <c r="BP14" s="6">
        <f>'a23'!K10</f>
        <v>43.144818375813884</v>
      </c>
      <c r="BQ14" s="9">
        <f t="shared" si="41"/>
        <v>0.15400923608820669</v>
      </c>
      <c r="BR14" s="9">
        <f t="shared" si="18"/>
        <v>0.16700980211792579</v>
      </c>
      <c r="BS14" s="9">
        <f t="shared" si="19"/>
        <v>0.72308450010612479</v>
      </c>
      <c r="BT14" s="6">
        <f>'a20 (2)'!L10</f>
        <v>8.3000000000000007</v>
      </c>
      <c r="BU14" s="9">
        <f t="shared" si="42"/>
        <v>0.67361111111111105</v>
      </c>
      <c r="BV14" s="6">
        <f>'a19'!AH14</f>
        <v>72.640961021505362</v>
      </c>
      <c r="BW14" s="6">
        <f>'a23'!L10</f>
        <v>36.574843123680971</v>
      </c>
      <c r="BX14" s="9">
        <f t="shared" si="43"/>
        <v>0.26568317537149827</v>
      </c>
      <c r="BY14" s="9">
        <f t="shared" si="20"/>
        <v>0.31534392108686304</v>
      </c>
      <c r="BZ14" s="9">
        <f t="shared" si="21"/>
        <v>0.60195767310626147</v>
      </c>
    </row>
    <row r="15" spans="1:78" hidden="1">
      <c r="A15" s="1">
        <v>1978</v>
      </c>
      <c r="B15" s="6">
        <f>'a20 (2)'!B11</f>
        <v>8.4</v>
      </c>
      <c r="C15" s="9">
        <f t="shared" si="22"/>
        <v>0.66865079365079361</v>
      </c>
      <c r="D15" s="6">
        <f>'a19'!D15</f>
        <v>76.045354811088529</v>
      </c>
      <c r="E15" s="6">
        <f>'a23'!B11</f>
        <v>43.265767962454156</v>
      </c>
      <c r="F15" s="9">
        <f t="shared" si="23"/>
        <v>0.3290160675879053</v>
      </c>
      <c r="G15" s="9">
        <f t="shared" si="0"/>
        <v>0.39946765513768628</v>
      </c>
      <c r="H15" s="9">
        <f t="shared" si="1"/>
        <v>0.61481416594817218</v>
      </c>
      <c r="I15" s="6">
        <f>'a20 (2)'!C11</f>
        <v>15.9</v>
      </c>
      <c r="J15" s="9">
        <f t="shared" si="24"/>
        <v>0.29662698412698407</v>
      </c>
      <c r="K15" s="6">
        <f>'a19'!G15</f>
        <v>132.34447983014863</v>
      </c>
      <c r="L15" s="6">
        <f>'a23'!C11</f>
        <v>39.090947478702333</v>
      </c>
      <c r="M15" s="9">
        <f t="shared" si="25"/>
        <v>0.51734711101365205</v>
      </c>
      <c r="N15" s="9">
        <f t="shared" si="2"/>
        <v>0.6496237755391675</v>
      </c>
      <c r="O15" s="9">
        <f t="shared" si="3"/>
        <v>0.36722634240942076</v>
      </c>
      <c r="P15" s="6">
        <f>'a20 (2)'!D11</f>
        <v>9.6999999999999993</v>
      </c>
      <c r="Q15" s="9">
        <f t="shared" si="26"/>
        <v>0.60416666666666663</v>
      </c>
      <c r="R15" s="6">
        <f>'a19'!J15</f>
        <v>154.00347222222223</v>
      </c>
      <c r="S15" s="6">
        <f>'a23'!D11</f>
        <v>46.515430423652951</v>
      </c>
      <c r="T15" s="9">
        <f t="shared" si="27"/>
        <v>0.71635377971537484</v>
      </c>
      <c r="U15" s="9">
        <f t="shared" si="4"/>
        <v>0.91396010199335453</v>
      </c>
      <c r="V15" s="9">
        <f t="shared" si="5"/>
        <v>0.66612535373200421</v>
      </c>
      <c r="W15" s="6">
        <f>'a20 (2)'!E11</f>
        <v>10.5</v>
      </c>
      <c r="X15" s="9">
        <f t="shared" si="28"/>
        <v>0.56448412698412698</v>
      </c>
      <c r="Y15" s="6">
        <f>'a19'!M15</f>
        <v>101.21041666666666</v>
      </c>
      <c r="Z15" s="6">
        <f>'a23'!E11</f>
        <v>41.822034505559898</v>
      </c>
      <c r="AA15" s="9">
        <f t="shared" si="29"/>
        <v>0.42328255381554275</v>
      </c>
      <c r="AB15" s="9">
        <f t="shared" si="6"/>
        <v>0.52467982435652705</v>
      </c>
      <c r="AC15" s="9">
        <f t="shared" si="7"/>
        <v>0.55652326645860706</v>
      </c>
      <c r="AD15" s="6">
        <f>'a20 (2)'!F11</f>
        <v>12.4</v>
      </c>
      <c r="AE15" s="9">
        <f t="shared" si="30"/>
        <v>0.47023809523809518</v>
      </c>
      <c r="AF15" s="6">
        <f>'a19'!P15</f>
        <v>123.75931372549019</v>
      </c>
      <c r="AG15" s="6">
        <f>'a23'!F11</f>
        <v>42.411395082518041</v>
      </c>
      <c r="AH15" s="9">
        <f t="shared" si="31"/>
        <v>0.52488051495530619</v>
      </c>
      <c r="AI15" s="9">
        <f t="shared" si="8"/>
        <v>0.65963023580818014</v>
      </c>
      <c r="AJ15" s="9">
        <f t="shared" si="9"/>
        <v>0.50811652335211221</v>
      </c>
      <c r="AK15" s="6">
        <f>'a20 (2)'!G11</f>
        <v>11</v>
      </c>
      <c r="AL15" s="9">
        <f t="shared" si="32"/>
        <v>0.53968253968253965</v>
      </c>
      <c r="AM15" s="6">
        <f>'a19'!S15</f>
        <v>86.720943494038366</v>
      </c>
      <c r="AN15" s="6">
        <f>'a23'!G11</f>
        <v>39.367610888632498</v>
      </c>
      <c r="AO15" s="9">
        <f t="shared" si="33"/>
        <v>0.34139963593683881</v>
      </c>
      <c r="AP15" s="9">
        <f t="shared" si="10"/>
        <v>0.41591648565731942</v>
      </c>
      <c r="AQ15" s="9">
        <f t="shared" si="11"/>
        <v>0.51492932887749565</v>
      </c>
      <c r="AR15" s="6">
        <f>'a20 (2)'!H11</f>
        <v>7.2</v>
      </c>
      <c r="AS15" s="9">
        <f t="shared" si="34"/>
        <v>0.72817460317460314</v>
      </c>
      <c r="AT15" s="6">
        <f>'a19'!V15</f>
        <v>57.373207443897101</v>
      </c>
      <c r="AU15" s="6">
        <f>'a23'!H11</f>
        <v>40.058200385970352</v>
      </c>
      <c r="AV15" s="9">
        <f t="shared" si="35"/>
        <v>0.2298267440573476</v>
      </c>
      <c r="AW15" s="9">
        <f t="shared" si="12"/>
        <v>0.26771658580622676</v>
      </c>
      <c r="AX15" s="9">
        <f t="shared" si="13"/>
        <v>0.63608299970092796</v>
      </c>
      <c r="AY15" s="6">
        <f>'a20 (2)'!I11</f>
        <v>6.5</v>
      </c>
      <c r="AZ15" s="9">
        <f t="shared" si="36"/>
        <v>0.76289682539682535</v>
      </c>
      <c r="BA15" s="6">
        <f>'a19'!Y15</f>
        <v>61.921236559139778</v>
      </c>
      <c r="BB15" s="6">
        <f>'a23'!I11</f>
        <v>43.786128599240634</v>
      </c>
      <c r="BC15" s="9">
        <f t="shared" si="37"/>
        <v>0.27112912270024947</v>
      </c>
      <c r="BD15" s="9">
        <f t="shared" si="14"/>
        <v>0.32257765712363246</v>
      </c>
      <c r="BE15" s="9">
        <f t="shared" si="15"/>
        <v>0.67483299174218692</v>
      </c>
      <c r="BF15" s="6">
        <f>'a20 (2)'!J11</f>
        <v>4.8</v>
      </c>
      <c r="BG15" s="9">
        <f t="shared" si="38"/>
        <v>0.8472222222222221</v>
      </c>
      <c r="BH15" s="6">
        <f>'a19'!AB15</f>
        <v>60.510162601626021</v>
      </c>
      <c r="BI15" s="6">
        <f>'a23'!J11</f>
        <v>42.122858410990652</v>
      </c>
      <c r="BJ15" s="9">
        <f t="shared" si="39"/>
        <v>0.25488610116943144</v>
      </c>
      <c r="BK15" s="9">
        <f t="shared" si="16"/>
        <v>0.30100239700806264</v>
      </c>
      <c r="BL15" s="9">
        <f t="shared" si="17"/>
        <v>0.73797825717939025</v>
      </c>
      <c r="BM15" s="6">
        <f>'a20 (2)'!K11</f>
        <v>4.8</v>
      </c>
      <c r="BN15" s="9">
        <f t="shared" si="40"/>
        <v>0.8472222222222221</v>
      </c>
      <c r="BO15" s="6">
        <f>'a19'!AE15</f>
        <v>35.090466249130131</v>
      </c>
      <c r="BP15" s="6">
        <f>'a23'!K11</f>
        <v>43.809484208563724</v>
      </c>
      <c r="BQ15" s="9">
        <f t="shared" si="41"/>
        <v>0.15372952270124049</v>
      </c>
      <c r="BR15" s="9">
        <f t="shared" si="18"/>
        <v>0.16663826477370985</v>
      </c>
      <c r="BS15" s="9">
        <f t="shared" si="19"/>
        <v>0.71110543073251964</v>
      </c>
      <c r="BT15" s="6">
        <f>'a20 (2)'!L11</f>
        <v>8.3000000000000007</v>
      </c>
      <c r="BU15" s="9">
        <f t="shared" si="42"/>
        <v>0.67361111111111105</v>
      </c>
      <c r="BV15" s="6">
        <f>'a19'!AH15</f>
        <v>76.849593495934954</v>
      </c>
      <c r="BW15" s="6">
        <f>'a23'!L11</f>
        <v>37.196771821890337</v>
      </c>
      <c r="BX15" s="9">
        <f t="shared" si="43"/>
        <v>0.28585567938733203</v>
      </c>
      <c r="BY15" s="9">
        <f t="shared" si="20"/>
        <v>0.34213862923264926</v>
      </c>
      <c r="BZ15" s="9">
        <f t="shared" si="21"/>
        <v>0.60731661473541876</v>
      </c>
    </row>
    <row r="16" spans="1:78" hidden="1">
      <c r="A16" s="1">
        <v>1979</v>
      </c>
      <c r="B16" s="6">
        <f>'a20 (2)'!B12</f>
        <v>7.5</v>
      </c>
      <c r="C16" s="9">
        <f t="shared" si="22"/>
        <v>0.7132936507936507</v>
      </c>
      <c r="D16" s="6">
        <f>'a19'!D16</f>
        <v>70.861389464793064</v>
      </c>
      <c r="E16" s="6">
        <f>'a23'!B12</f>
        <v>39.427488044076583</v>
      </c>
      <c r="F16" s="9">
        <f t="shared" si="23"/>
        <v>0.27938865859097828</v>
      </c>
      <c r="G16" s="9">
        <f t="shared" si="0"/>
        <v>0.33354862302047966</v>
      </c>
      <c r="H16" s="9">
        <f t="shared" si="1"/>
        <v>0.63734464523901657</v>
      </c>
      <c r="I16" s="6">
        <f>'a20 (2)'!C12</f>
        <v>14.8</v>
      </c>
      <c r="J16" s="9">
        <f t="shared" si="24"/>
        <v>0.35119047619047611</v>
      </c>
      <c r="K16" s="6">
        <f>'a19'!G16</f>
        <v>124.14366883116882</v>
      </c>
      <c r="L16" s="6">
        <f>'a23'!C12</f>
        <v>34.528338346205679</v>
      </c>
      <c r="M16" s="9">
        <f t="shared" si="25"/>
        <v>0.42864746009419052</v>
      </c>
      <c r="N16" s="9">
        <f t="shared" si="2"/>
        <v>0.53180591528966203</v>
      </c>
      <c r="O16" s="9">
        <f t="shared" si="3"/>
        <v>0.3873135640103133</v>
      </c>
      <c r="P16" s="6">
        <f>'a20 (2)'!D12</f>
        <v>11.6</v>
      </c>
      <c r="Q16" s="9">
        <f t="shared" si="26"/>
        <v>0.50992063492063489</v>
      </c>
      <c r="R16" s="6">
        <f>'a19'!J16</f>
        <v>111.14754098360656</v>
      </c>
      <c r="S16" s="6">
        <f>'a23'!D12</f>
        <v>42.837387775038849</v>
      </c>
      <c r="T16" s="9">
        <f t="shared" si="27"/>
        <v>0.47612703133567774</v>
      </c>
      <c r="U16" s="9">
        <f t="shared" si="4"/>
        <v>0.59487202018690943</v>
      </c>
      <c r="V16" s="9">
        <f t="shared" si="5"/>
        <v>0.52691091197388984</v>
      </c>
      <c r="W16" s="6">
        <f>'a20 (2)'!E12</f>
        <v>10</v>
      </c>
      <c r="X16" s="9">
        <f t="shared" si="28"/>
        <v>0.58928571428571419</v>
      </c>
      <c r="Y16" s="6">
        <f>'a19'!M16</f>
        <v>92.804924242424235</v>
      </c>
      <c r="Z16" s="6">
        <f>'a23'!E12</f>
        <v>36.74237609591426</v>
      </c>
      <c r="AA16" s="9">
        <f t="shared" si="29"/>
        <v>0.34098734300679823</v>
      </c>
      <c r="AB16" s="9">
        <f t="shared" si="6"/>
        <v>0.41536884572514554</v>
      </c>
      <c r="AC16" s="9">
        <f t="shared" si="7"/>
        <v>0.55450234057360048</v>
      </c>
      <c r="AD16" s="6">
        <f>'a20 (2)'!F12</f>
        <v>10.9</v>
      </c>
      <c r="AE16" s="9">
        <f t="shared" si="30"/>
        <v>0.5446428571428571</v>
      </c>
      <c r="AF16" s="6">
        <f>'a19'!P16</f>
        <v>124.94961873638344</v>
      </c>
      <c r="AG16" s="6">
        <f>'a23'!F12</f>
        <v>37.080895879716749</v>
      </c>
      <c r="AH16" s="9">
        <f t="shared" si="31"/>
        <v>0.46332438025741396</v>
      </c>
      <c r="AI16" s="9">
        <f t="shared" si="8"/>
        <v>0.57786653098908092</v>
      </c>
      <c r="AJ16" s="9">
        <f t="shared" si="9"/>
        <v>0.55128759191210186</v>
      </c>
      <c r="AK16" s="6">
        <f>'a20 (2)'!G12</f>
        <v>9.6999999999999993</v>
      </c>
      <c r="AL16" s="9">
        <f t="shared" si="32"/>
        <v>0.60416666666666663</v>
      </c>
      <c r="AM16" s="6">
        <f>'a19'!S16</f>
        <v>84.0755333792154</v>
      </c>
      <c r="AN16" s="6">
        <f>'a23'!G12</f>
        <v>35.789033112642727</v>
      </c>
      <c r="AO16" s="9">
        <f t="shared" si="33"/>
        <v>0.30089820480718388</v>
      </c>
      <c r="AP16" s="9">
        <f t="shared" si="10"/>
        <v>0.362119295890796</v>
      </c>
      <c r="AQ16" s="9">
        <f t="shared" si="11"/>
        <v>0.55575719251149258</v>
      </c>
      <c r="AR16" s="6">
        <f>'a20 (2)'!H12</f>
        <v>6.6</v>
      </c>
      <c r="AS16" s="9">
        <f t="shared" si="34"/>
        <v>0.75793650793650791</v>
      </c>
      <c r="AT16" s="6">
        <f>'a19'!V16</f>
        <v>51.961325008671523</v>
      </c>
      <c r="AU16" s="6">
        <f>'a23'!H12</f>
        <v>36.884260089021019</v>
      </c>
      <c r="AV16" s="9">
        <f t="shared" si="35"/>
        <v>0.19165550261899927</v>
      </c>
      <c r="AW16" s="9">
        <f t="shared" si="12"/>
        <v>0.21701453745863042</v>
      </c>
      <c r="AX16" s="9">
        <f t="shared" si="13"/>
        <v>0.64975211384093245</v>
      </c>
      <c r="AY16" s="6">
        <f>'a20 (2)'!I12</f>
        <v>5.5</v>
      </c>
      <c r="AZ16" s="9">
        <f t="shared" si="36"/>
        <v>0.8125</v>
      </c>
      <c r="BA16" s="6">
        <f>'a19'!Y16</f>
        <v>56.87358490566038</v>
      </c>
      <c r="BB16" s="6">
        <f>'a23'!I12</f>
        <v>39.776009029476675</v>
      </c>
      <c r="BC16" s="9">
        <f t="shared" si="37"/>
        <v>0.22622042267462558</v>
      </c>
      <c r="BD16" s="9">
        <f t="shared" si="14"/>
        <v>0.26292638579664446</v>
      </c>
      <c r="BE16" s="9">
        <f t="shared" si="15"/>
        <v>0.70258527715932895</v>
      </c>
      <c r="BF16" s="6">
        <f>'a20 (2)'!J12</f>
        <v>4.2</v>
      </c>
      <c r="BG16" s="9">
        <f t="shared" si="38"/>
        <v>0.87698412698412698</v>
      </c>
      <c r="BH16" s="6">
        <f>'a19'!AB16</f>
        <v>53.630036630036628</v>
      </c>
      <c r="BI16" s="6">
        <f>'a23'!J12</f>
        <v>37.300139444621003</v>
      </c>
      <c r="BJ16" s="9">
        <f t="shared" si="39"/>
        <v>0.20004078447204984</v>
      </c>
      <c r="BK16" s="9">
        <f t="shared" si="16"/>
        <v>0.22815252904342773</v>
      </c>
      <c r="BL16" s="9">
        <f t="shared" si="17"/>
        <v>0.7472178073959872</v>
      </c>
      <c r="BM16" s="6">
        <f>'a20 (2)'!K12</f>
        <v>3.9</v>
      </c>
      <c r="BN16" s="9">
        <f t="shared" si="40"/>
        <v>0.89186507936507942</v>
      </c>
      <c r="BO16" s="6">
        <f>'a19'!AE16</f>
        <v>30.422182821118994</v>
      </c>
      <c r="BP16" s="6">
        <f>'a23'!K12</f>
        <v>38.715012977062969</v>
      </c>
      <c r="BQ16" s="9">
        <f t="shared" si="41"/>
        <v>0.1177795202710204</v>
      </c>
      <c r="BR16" s="9">
        <f t="shared" si="18"/>
        <v>0.11888664096924985</v>
      </c>
      <c r="BS16" s="9">
        <f t="shared" si="19"/>
        <v>0.73726939168591354</v>
      </c>
      <c r="BT16" s="6">
        <f>'a20 (2)'!L12</f>
        <v>7.7</v>
      </c>
      <c r="BU16" s="9">
        <f t="shared" si="42"/>
        <v>0.70337301587301582</v>
      </c>
      <c r="BV16" s="6">
        <f>'a19'!AH16</f>
        <v>65.79400937081661</v>
      </c>
      <c r="BW16" s="6">
        <f>'a23'!L12</f>
        <v>33.676549877061788</v>
      </c>
      <c r="BX16" s="9">
        <f t="shared" si="43"/>
        <v>0.22157152381881762</v>
      </c>
      <c r="BY16" s="9">
        <f t="shared" si="20"/>
        <v>0.25675135229842933</v>
      </c>
      <c r="BZ16" s="9">
        <f t="shared" si="21"/>
        <v>0.61404868315809857</v>
      </c>
    </row>
    <row r="17" spans="1:78" hidden="1">
      <c r="A17" s="1">
        <v>1980</v>
      </c>
      <c r="B17" s="6">
        <f>'a20 (2)'!B13</f>
        <v>7.5</v>
      </c>
      <c r="C17" s="9">
        <f t="shared" si="22"/>
        <v>0.7132936507936507</v>
      </c>
      <c r="D17" s="6">
        <f>'a19'!D17</f>
        <v>67.456839420678364</v>
      </c>
      <c r="E17" s="6">
        <f>'a23'!B13</f>
        <v>39.867853760193995</v>
      </c>
      <c r="F17" s="9">
        <f t="shared" si="23"/>
        <v>0.2689359409148494</v>
      </c>
      <c r="G17" s="9">
        <f t="shared" si="0"/>
        <v>0.31966450039285066</v>
      </c>
      <c r="H17" s="9">
        <f t="shared" si="1"/>
        <v>0.63456782071349072</v>
      </c>
      <c r="I17" s="6">
        <f>'a20 (2)'!C13</f>
        <v>13.3</v>
      </c>
      <c r="J17" s="9">
        <f t="shared" si="24"/>
        <v>0.42559523809523803</v>
      </c>
      <c r="K17" s="6">
        <f>'a19'!G17</f>
        <v>132.15089285714285</v>
      </c>
      <c r="L17" s="6">
        <f>'a23'!C13</f>
        <v>36.574320457460566</v>
      </c>
      <c r="M17" s="9">
        <f t="shared" si="25"/>
        <v>0.48333291040966786</v>
      </c>
      <c r="N17" s="9">
        <f t="shared" si="2"/>
        <v>0.60444343613853557</v>
      </c>
      <c r="O17" s="9">
        <f t="shared" si="3"/>
        <v>0.46136487770389756</v>
      </c>
      <c r="P17" s="6">
        <f>'a20 (2)'!D13</f>
        <v>10.5</v>
      </c>
      <c r="Q17" s="9">
        <f t="shared" si="26"/>
        <v>0.56448412698412698</v>
      </c>
      <c r="R17" s="6">
        <f>'a19'!J17</f>
        <v>113.11011904761907</v>
      </c>
      <c r="S17" s="6">
        <f>'a23'!D13</f>
        <v>43.619172656623093</v>
      </c>
      <c r="T17" s="9">
        <f t="shared" si="27"/>
        <v>0.49337698119492879</v>
      </c>
      <c r="U17" s="9">
        <f t="shared" si="4"/>
        <v>0.61778476179029607</v>
      </c>
      <c r="V17" s="9">
        <f t="shared" si="5"/>
        <v>0.57514425394536084</v>
      </c>
      <c r="W17" s="6">
        <f>'a20 (2)'!E13</f>
        <v>9.6999999999999993</v>
      </c>
      <c r="X17" s="9">
        <f t="shared" si="28"/>
        <v>0.60416666666666663</v>
      </c>
      <c r="Y17" s="6">
        <f>'a19'!M17</f>
        <v>88.696599616858251</v>
      </c>
      <c r="Z17" s="6">
        <f>'a23'!E13</f>
        <v>38.277589962672394</v>
      </c>
      <c r="AA17" s="9">
        <f t="shared" si="29"/>
        <v>0.33950920712174254</v>
      </c>
      <c r="AB17" s="9">
        <f t="shared" si="6"/>
        <v>0.41340546925939825</v>
      </c>
      <c r="AC17" s="9">
        <f t="shared" si="7"/>
        <v>0.566014427185213</v>
      </c>
      <c r="AD17" s="6">
        <f>'a20 (2)'!F13</f>
        <v>11.1</v>
      </c>
      <c r="AE17" s="9">
        <f t="shared" si="30"/>
        <v>0.53472222222222221</v>
      </c>
      <c r="AF17" s="6">
        <f>'a19'!P17</f>
        <v>117.12028301886792</v>
      </c>
      <c r="AG17" s="6">
        <f>'a23'!F13</f>
        <v>38.410497887986608</v>
      </c>
      <c r="AH17" s="9">
        <f t="shared" si="31"/>
        <v>0.44986483835366198</v>
      </c>
      <c r="AI17" s="9">
        <f t="shared" si="8"/>
        <v>0.55998850767556774</v>
      </c>
      <c r="AJ17" s="9">
        <f t="shared" si="9"/>
        <v>0.53977547931289138</v>
      </c>
      <c r="AK17" s="6">
        <f>'a20 (2)'!G13</f>
        <v>10</v>
      </c>
      <c r="AL17" s="9">
        <f t="shared" si="32"/>
        <v>0.58928571428571419</v>
      </c>
      <c r="AM17" s="6">
        <f>'a19'!S17</f>
        <v>76.770765383779064</v>
      </c>
      <c r="AN17" s="6">
        <f>'a23'!G13</f>
        <v>35.779949457186355</v>
      </c>
      <c r="AO17" s="9">
        <f t="shared" si="33"/>
        <v>0.27468541052211265</v>
      </c>
      <c r="AP17" s="9">
        <f t="shared" si="10"/>
        <v>0.32730139861821556</v>
      </c>
      <c r="AQ17" s="9">
        <f t="shared" si="11"/>
        <v>0.53688885115221452</v>
      </c>
      <c r="AR17" s="6">
        <f>'a20 (2)'!H13</f>
        <v>6.9</v>
      </c>
      <c r="AS17" s="9">
        <f t="shared" si="34"/>
        <v>0.74305555555555547</v>
      </c>
      <c r="AT17" s="6">
        <f>'a19'!V17</f>
        <v>53.132461271801539</v>
      </c>
      <c r="AU17" s="6">
        <f>'a23'!H13</f>
        <v>37.705610741642666</v>
      </c>
      <c r="AV17" s="9">
        <f t="shared" si="35"/>
        <v>0.20033919024599528</v>
      </c>
      <c r="AW17" s="9">
        <f t="shared" si="12"/>
        <v>0.2285488950878023</v>
      </c>
      <c r="AX17" s="9">
        <f t="shared" si="13"/>
        <v>0.6401542234620049</v>
      </c>
      <c r="AY17" s="6">
        <f>'a20 (2)'!I13</f>
        <v>5.5</v>
      </c>
      <c r="AZ17" s="9">
        <f t="shared" si="36"/>
        <v>0.8125</v>
      </c>
      <c r="BA17" s="6">
        <f>'a19'!Y17</f>
        <v>54.898631840796014</v>
      </c>
      <c r="BB17" s="6">
        <f>'a23'!I13</f>
        <v>40.800320984414121</v>
      </c>
      <c r="BC17" s="9">
        <f t="shared" si="37"/>
        <v>0.22398818007096546</v>
      </c>
      <c r="BD17" s="9">
        <f t="shared" si="14"/>
        <v>0.25996134541153831</v>
      </c>
      <c r="BE17" s="9">
        <f t="shared" si="15"/>
        <v>0.70199226908230772</v>
      </c>
      <c r="BF17" s="6">
        <f>'a20 (2)'!J13</f>
        <v>4.3</v>
      </c>
      <c r="BG17" s="9">
        <f t="shared" si="38"/>
        <v>0.87202380952380942</v>
      </c>
      <c r="BH17" s="6">
        <f>'a19'!AB17</f>
        <v>50.279824561403508</v>
      </c>
      <c r="BI17" s="6">
        <f>'a23'!J13</f>
        <v>37.896022103944958</v>
      </c>
      <c r="BJ17" s="9">
        <f t="shared" si="39"/>
        <v>0.19054053429614218</v>
      </c>
      <c r="BK17" s="9">
        <f t="shared" si="16"/>
        <v>0.2155335487435307</v>
      </c>
      <c r="BL17" s="9">
        <f t="shared" si="17"/>
        <v>0.7407257573677537</v>
      </c>
      <c r="BM17" s="6">
        <f>'a20 (2)'!K13</f>
        <v>3.9</v>
      </c>
      <c r="BN17" s="9">
        <f t="shared" si="40"/>
        <v>0.89186507936507942</v>
      </c>
      <c r="BO17" s="6">
        <f>'a19'!AE17</f>
        <v>30.726163663663662</v>
      </c>
      <c r="BP17" s="6">
        <f>'a23'!K13</f>
        <v>38.517059755871976</v>
      </c>
      <c r="BQ17" s="9">
        <f t="shared" si="41"/>
        <v>0.11834814819020355</v>
      </c>
      <c r="BR17" s="9">
        <f t="shared" si="18"/>
        <v>0.1196419373432696</v>
      </c>
      <c r="BS17" s="9">
        <f t="shared" si="19"/>
        <v>0.73742045096071751</v>
      </c>
      <c r="BT17" s="6">
        <f>'a20 (2)'!L13</f>
        <v>6.7</v>
      </c>
      <c r="BU17" s="9">
        <f t="shared" si="42"/>
        <v>0.75297619047619047</v>
      </c>
      <c r="BV17" s="6">
        <f>'a19'!AH17</f>
        <v>59.929988974641667</v>
      </c>
      <c r="BW17" s="6">
        <f>'a23'!L13</f>
        <v>33.915648504668169</v>
      </c>
      <c r="BX17" s="9">
        <f t="shared" si="43"/>
        <v>0.20325644409525856</v>
      </c>
      <c r="BY17" s="9">
        <f t="shared" si="20"/>
        <v>0.23242382134469269</v>
      </c>
      <c r="BZ17" s="9">
        <f t="shared" si="21"/>
        <v>0.64886571664989101</v>
      </c>
    </row>
    <row r="18" spans="1:78" hidden="1">
      <c r="B18" s="6"/>
      <c r="C18" s="9"/>
      <c r="D18" s="6"/>
      <c r="E18" s="6"/>
      <c r="F18" s="9"/>
      <c r="G18" s="9"/>
      <c r="H18" s="9"/>
      <c r="I18" s="6"/>
      <c r="J18" s="9"/>
      <c r="K18" s="6"/>
      <c r="L18" s="6"/>
      <c r="M18" s="9"/>
      <c r="N18" s="9"/>
      <c r="O18" s="9"/>
      <c r="P18" s="6"/>
      <c r="Q18" s="9"/>
      <c r="R18" s="6"/>
      <c r="S18" s="6"/>
      <c r="T18" s="9"/>
      <c r="U18" s="9"/>
      <c r="V18" s="9"/>
      <c r="W18" s="6"/>
      <c r="X18" s="9"/>
      <c r="Y18" s="6"/>
      <c r="Z18" s="6"/>
      <c r="AA18" s="9"/>
      <c r="AB18" s="9"/>
      <c r="AC18" s="9"/>
      <c r="AD18" s="6"/>
      <c r="AE18" s="9"/>
      <c r="AF18" s="6"/>
      <c r="AG18" s="6"/>
      <c r="AH18" s="9"/>
      <c r="AI18" s="9"/>
      <c r="AJ18" s="9"/>
      <c r="AK18" s="6"/>
      <c r="AL18" s="9"/>
      <c r="AM18" s="6"/>
      <c r="AN18" s="6"/>
      <c r="AO18" s="9"/>
      <c r="AP18" s="9"/>
      <c r="AQ18" s="9"/>
      <c r="AR18" s="6"/>
      <c r="AS18" s="9"/>
      <c r="AT18" s="6"/>
      <c r="AU18" s="6"/>
      <c r="AV18" s="9"/>
      <c r="AW18" s="9"/>
      <c r="AX18" s="9"/>
      <c r="AY18" s="6"/>
      <c r="AZ18" s="9"/>
      <c r="BA18" s="6"/>
      <c r="BB18" s="6"/>
      <c r="BC18" s="9"/>
      <c r="BD18" s="9"/>
      <c r="BE18" s="9"/>
      <c r="BF18" s="6"/>
      <c r="BG18" s="9"/>
      <c r="BH18" s="6"/>
      <c r="BI18" s="6"/>
      <c r="BJ18" s="9"/>
      <c r="BK18" s="9"/>
      <c r="BL18" s="9"/>
      <c r="BM18" s="6"/>
      <c r="BN18" s="9"/>
      <c r="BO18" s="6"/>
      <c r="BP18" s="6"/>
      <c r="BQ18" s="9"/>
      <c r="BR18" s="9"/>
      <c r="BS18" s="9"/>
      <c r="BT18" s="6"/>
      <c r="BU18" s="9"/>
      <c r="BV18" s="6"/>
      <c r="BW18" s="6"/>
      <c r="BX18" s="9"/>
      <c r="BY18" s="9"/>
      <c r="BZ18" s="9"/>
    </row>
    <row r="19" spans="1:78">
      <c r="A19" s="1">
        <v>1981</v>
      </c>
      <c r="B19" s="6">
        <f>'a20 (2)'!B15</f>
        <v>7.6</v>
      </c>
      <c r="C19" s="9">
        <f t="shared" si="22"/>
        <v>0.70833333333333326</v>
      </c>
      <c r="D19" s="6">
        <f>'a19'!D19</f>
        <v>66.628312562670118</v>
      </c>
      <c r="E19" s="6">
        <f>'a23'!B15</f>
        <v>38.422308089725213</v>
      </c>
      <c r="F19" s="9">
        <f t="shared" si="23"/>
        <v>0.256001355278142</v>
      </c>
      <c r="G19" s="9">
        <f t="shared" si="0"/>
        <v>0.30248376532643462</v>
      </c>
      <c r="H19" s="9">
        <f t="shared" si="1"/>
        <v>0.62716341973195355</v>
      </c>
      <c r="I19" s="6">
        <f>'a20 (2)'!C15</f>
        <v>13.5</v>
      </c>
      <c r="J19" s="9">
        <f t="shared" si="24"/>
        <v>0.41567460317460314</v>
      </c>
      <c r="K19" s="6">
        <f>'a19'!G19</f>
        <v>131.73879310344827</v>
      </c>
      <c r="L19" s="6">
        <f>'a23'!C15</f>
        <v>34.760908941381771</v>
      </c>
      <c r="M19" s="9">
        <f t="shared" si="25"/>
        <v>0.45793601911164988</v>
      </c>
      <c r="N19" s="9">
        <f t="shared" si="2"/>
        <v>0.57070928545468824</v>
      </c>
      <c r="O19" s="9">
        <f t="shared" si="3"/>
        <v>0.44668153963062018</v>
      </c>
      <c r="P19" s="6">
        <f>'a20 (2)'!D15</f>
        <v>11.3</v>
      </c>
      <c r="Q19" s="9">
        <f t="shared" si="26"/>
        <v>0.52480158730158721</v>
      </c>
      <c r="R19" s="6">
        <f>'a19'!J19</f>
        <v>117.72222222222221</v>
      </c>
      <c r="S19" s="6">
        <f>'a23'!D15</f>
        <v>42.581261659939315</v>
      </c>
      <c r="T19" s="9">
        <f t="shared" si="27"/>
        <v>0.50127607476339675</v>
      </c>
      <c r="U19" s="9">
        <f t="shared" si="4"/>
        <v>0.62827695981475673</v>
      </c>
      <c r="V19" s="9">
        <f t="shared" si="5"/>
        <v>0.54549666180422118</v>
      </c>
      <c r="W19" s="6">
        <f>'a20 (2)'!E15</f>
        <v>10</v>
      </c>
      <c r="X19" s="9">
        <f t="shared" si="28"/>
        <v>0.58928571428571419</v>
      </c>
      <c r="Y19" s="6">
        <f>'a19'!M19</f>
        <v>89.95077838827838</v>
      </c>
      <c r="Z19" s="6">
        <f>'a23'!E15</f>
        <v>37.137454185035921</v>
      </c>
      <c r="AA19" s="9">
        <f t="shared" si="29"/>
        <v>0.33405429113030077</v>
      </c>
      <c r="AB19" s="9">
        <f t="shared" si="6"/>
        <v>0.40615982033868231</v>
      </c>
      <c r="AC19" s="9">
        <f t="shared" si="7"/>
        <v>0.55266053549630789</v>
      </c>
      <c r="AD19" s="6">
        <f>'a20 (2)'!F15</f>
        <v>11.6</v>
      </c>
      <c r="AE19" s="9">
        <f t="shared" si="30"/>
        <v>0.50992063492063489</v>
      </c>
      <c r="AF19" s="6">
        <f>'a19'!P19</f>
        <v>118.71785361028682</v>
      </c>
      <c r="AG19" s="6">
        <f>'a23'!F15</f>
        <v>37.789860397187233</v>
      </c>
      <c r="AH19" s="9">
        <f t="shared" si="31"/>
        <v>0.44863311145864493</v>
      </c>
      <c r="AI19" s="9">
        <f t="shared" si="8"/>
        <v>0.55835243103176624</v>
      </c>
      <c r="AJ19" s="9">
        <f t="shared" si="9"/>
        <v>0.51960699414286116</v>
      </c>
      <c r="AK19" s="6">
        <f>'a20 (2)'!G15</f>
        <v>10.5</v>
      </c>
      <c r="AL19" s="9">
        <f t="shared" si="32"/>
        <v>0.56448412698412698</v>
      </c>
      <c r="AM19" s="6">
        <f>'a19'!S19</f>
        <v>75.687525344687757</v>
      </c>
      <c r="AN19" s="6">
        <f>'a23'!G15</f>
        <v>34.507697891790521</v>
      </c>
      <c r="AO19" s="9">
        <f t="shared" si="33"/>
        <v>0.26118022587717232</v>
      </c>
      <c r="AP19" s="9">
        <f t="shared" si="10"/>
        <v>0.30936274902210725</v>
      </c>
      <c r="AQ19" s="9">
        <f t="shared" si="11"/>
        <v>0.51345985139172301</v>
      </c>
      <c r="AR19" s="6">
        <f>'a20 (2)'!H15</f>
        <v>6.6</v>
      </c>
      <c r="AS19" s="9">
        <f t="shared" si="34"/>
        <v>0.75793650793650791</v>
      </c>
      <c r="AT19" s="6">
        <f>'a19'!V19</f>
        <v>51.038470017636691</v>
      </c>
      <c r="AU19" s="6">
        <f>'a23'!H15</f>
        <v>35.740441600834458</v>
      </c>
      <c r="AV19" s="9">
        <f t="shared" si="35"/>
        <v>0.18241374570612845</v>
      </c>
      <c r="AW19" s="9">
        <f t="shared" si="12"/>
        <v>0.20473890826354849</v>
      </c>
      <c r="AX19" s="9">
        <f t="shared" si="13"/>
        <v>0.64729698800191615</v>
      </c>
      <c r="AY19" s="6">
        <f>'a20 (2)'!I15</f>
        <v>6</v>
      </c>
      <c r="AZ19" s="9">
        <f t="shared" si="36"/>
        <v>0.78769841269841268</v>
      </c>
      <c r="BA19" s="6">
        <f>'a19'!Y19</f>
        <v>55.348484848484844</v>
      </c>
      <c r="BB19" s="6">
        <f>'a23'!I15</f>
        <v>39.155668633734244</v>
      </c>
      <c r="BC19" s="9">
        <f t="shared" si="37"/>
        <v>0.21672069321065332</v>
      </c>
      <c r="BD19" s="9">
        <f t="shared" si="14"/>
        <v>0.25030809714733904</v>
      </c>
      <c r="BE19" s="9">
        <f t="shared" si="15"/>
        <v>0.68022034958819799</v>
      </c>
      <c r="BF19" s="6">
        <f>'a20 (2)'!J15</f>
        <v>4.5</v>
      </c>
      <c r="BG19" s="9">
        <f t="shared" si="38"/>
        <v>0.86210317460317454</v>
      </c>
      <c r="BH19" s="6">
        <f>'a19'!AB19</f>
        <v>52.367647058823529</v>
      </c>
      <c r="BI19" s="6">
        <f>'a23'!J15</f>
        <v>37.08199131463973</v>
      </c>
      <c r="BJ19" s="9">
        <f t="shared" si="39"/>
        <v>0.19418966334034127</v>
      </c>
      <c r="BK19" s="9">
        <f t="shared" si="16"/>
        <v>0.22038060925961139</v>
      </c>
      <c r="BL19" s="9">
        <f t="shared" si="17"/>
        <v>0.73375866153446201</v>
      </c>
      <c r="BM19" s="6">
        <f>'a20 (2)'!K15</f>
        <v>3.9</v>
      </c>
      <c r="BN19" s="9">
        <f t="shared" si="40"/>
        <v>0.89186507936507942</v>
      </c>
      <c r="BO19" s="6">
        <f>'a19'!AE19</f>
        <v>31.555786555786558</v>
      </c>
      <c r="BP19" s="6">
        <f>'a23'!K15</f>
        <v>36.733337357911616</v>
      </c>
      <c r="BQ19" s="9">
        <f t="shared" si="41"/>
        <v>0.11591493531479596</v>
      </c>
      <c r="BR19" s="9">
        <f t="shared" si="18"/>
        <v>0.11640995241953672</v>
      </c>
      <c r="BS19" s="9">
        <f t="shared" si="19"/>
        <v>0.73677405397597096</v>
      </c>
      <c r="BT19" s="6">
        <f>'a20 (2)'!L15</f>
        <v>6.8</v>
      </c>
      <c r="BU19" s="9">
        <f t="shared" si="42"/>
        <v>0.74801587301587291</v>
      </c>
      <c r="BV19" s="6">
        <f>'a19'!AH19</f>
        <v>57.300397648686022</v>
      </c>
      <c r="BW19" s="6">
        <f>'a23'!L15</f>
        <v>33.650384659563244</v>
      </c>
      <c r="BX19" s="9">
        <f t="shared" si="43"/>
        <v>0.1928180422024218</v>
      </c>
      <c r="BY19" s="9">
        <f t="shared" si="20"/>
        <v>0.21855871406760666</v>
      </c>
      <c r="BZ19" s="9">
        <f t="shared" si="21"/>
        <v>0.6421244412262197</v>
      </c>
    </row>
    <row r="20" spans="1:78">
      <c r="A20" s="1">
        <v>1982</v>
      </c>
      <c r="B20" s="6">
        <f>'a20 (2)'!B16</f>
        <v>11</v>
      </c>
      <c r="C20" s="9">
        <f t="shared" si="22"/>
        <v>0.53968253968253965</v>
      </c>
      <c r="D20" s="6">
        <f>'a19'!D20</f>
        <v>75.941337800029444</v>
      </c>
      <c r="E20" s="6">
        <f>'a23'!B16</f>
        <v>37.991613847961666</v>
      </c>
      <c r="F20" s="9">
        <f t="shared" si="23"/>
        <v>0.28851339807963333</v>
      </c>
      <c r="G20" s="9">
        <f t="shared" si="0"/>
        <v>0.34566882045917813</v>
      </c>
      <c r="H20" s="9">
        <f t="shared" si="1"/>
        <v>0.50087979583786735</v>
      </c>
      <c r="I20" s="6">
        <f>'a20 (2)'!C16</f>
        <v>16.2</v>
      </c>
      <c r="J20" s="9">
        <f t="shared" si="24"/>
        <v>0.28174603174603174</v>
      </c>
      <c r="K20" s="6">
        <f>'a19'!G20</f>
        <v>133.59097421203438</v>
      </c>
      <c r="L20" s="6">
        <f>'a23'!C16</f>
        <v>34.85255207921751</v>
      </c>
      <c r="M20" s="9">
        <f t="shared" si="25"/>
        <v>0.46559863860383321</v>
      </c>
      <c r="N20" s="9">
        <f t="shared" si="2"/>
        <v>0.58088737999189133</v>
      </c>
      <c r="O20" s="9">
        <f t="shared" si="3"/>
        <v>0.34157430139520367</v>
      </c>
      <c r="P20" s="6">
        <f>'a20 (2)'!D16</f>
        <v>12.6</v>
      </c>
      <c r="Q20" s="9">
        <f t="shared" si="26"/>
        <v>0.46031746031746029</v>
      </c>
      <c r="R20" s="6">
        <f>'a19'!J20</f>
        <v>124.95398009950247</v>
      </c>
      <c r="S20" s="6">
        <f>'a23'!D16</f>
        <v>42.392083476073246</v>
      </c>
      <c r="T20" s="9">
        <f t="shared" si="27"/>
        <v>0.52970595550457034</v>
      </c>
      <c r="U20" s="9">
        <f t="shared" si="4"/>
        <v>0.66603976588391534</v>
      </c>
      <c r="V20" s="9">
        <f t="shared" si="5"/>
        <v>0.50146192143075141</v>
      </c>
      <c r="W20" s="6">
        <f>'a20 (2)'!E16</f>
        <v>12.8</v>
      </c>
      <c r="X20" s="9">
        <f t="shared" si="28"/>
        <v>0.4503968253968253</v>
      </c>
      <c r="Y20" s="6">
        <f>'a19'!M20</f>
        <v>95.79812455767869</v>
      </c>
      <c r="Z20" s="6">
        <f>'a23'!E16</f>
        <v>36.802576941311827</v>
      </c>
      <c r="AA20" s="9">
        <f t="shared" si="29"/>
        <v>0.35256178498673441</v>
      </c>
      <c r="AB20" s="9">
        <f t="shared" si="6"/>
        <v>0.43074293089371446</v>
      </c>
      <c r="AC20" s="9">
        <f t="shared" si="7"/>
        <v>0.44646604649620314</v>
      </c>
      <c r="AD20" s="6">
        <f>'a20 (2)'!F16</f>
        <v>14</v>
      </c>
      <c r="AE20" s="9">
        <f t="shared" si="30"/>
        <v>0.39087301587301582</v>
      </c>
      <c r="AF20" s="6">
        <f>'a19'!P20</f>
        <v>121.84215927750408</v>
      </c>
      <c r="AG20" s="6">
        <f>'a23'!F16</f>
        <v>37.840677061671734</v>
      </c>
      <c r="AH20" s="9">
        <f t="shared" si="31"/>
        <v>0.46105898017168029</v>
      </c>
      <c r="AI20" s="9">
        <f t="shared" si="8"/>
        <v>0.57485744822558127</v>
      </c>
      <c r="AJ20" s="9">
        <f t="shared" si="9"/>
        <v>0.42766990234352897</v>
      </c>
      <c r="AK20" s="6">
        <f>'a20 (2)'!G16</f>
        <v>14</v>
      </c>
      <c r="AL20" s="9">
        <f t="shared" si="32"/>
        <v>0.39087301587301582</v>
      </c>
      <c r="AM20" s="6">
        <f>'a19'!S20</f>
        <v>85.826036329762459</v>
      </c>
      <c r="AN20" s="6">
        <f>'a23'!G16</f>
        <v>34.439524426935989</v>
      </c>
      <c r="AO20" s="9">
        <f t="shared" si="33"/>
        <v>0.29558078746459499</v>
      </c>
      <c r="AP20" s="9">
        <f t="shared" si="10"/>
        <v>0.35505628350164603</v>
      </c>
      <c r="AQ20" s="9">
        <f t="shared" si="11"/>
        <v>0.3837096693987419</v>
      </c>
      <c r="AR20" s="6">
        <f>'a20 (2)'!H16</f>
        <v>9.8000000000000007</v>
      </c>
      <c r="AS20" s="9">
        <f t="shared" si="34"/>
        <v>0.59920634920634908</v>
      </c>
      <c r="AT20" s="6">
        <f>'a19'!V20</f>
        <v>61.499635541949118</v>
      </c>
      <c r="AU20" s="6">
        <f>'a23'!H16</f>
        <v>36.282012554764925</v>
      </c>
      <c r="AV20" s="9">
        <f t="shared" si="35"/>
        <v>0.22313305488464652</v>
      </c>
      <c r="AW20" s="9">
        <f t="shared" si="12"/>
        <v>0.25882550080952255</v>
      </c>
      <c r="AX20" s="9">
        <f t="shared" si="13"/>
        <v>0.53113017952698383</v>
      </c>
      <c r="AY20" s="6">
        <f>'a20 (2)'!I16</f>
        <v>8.5</v>
      </c>
      <c r="AZ20" s="9">
        <f t="shared" si="36"/>
        <v>0.66369047619047616</v>
      </c>
      <c r="BA20" s="6">
        <f>'a19'!Y20</f>
        <v>68.641802641802641</v>
      </c>
      <c r="BB20" s="6">
        <f>'a23'!I16</f>
        <v>39.266094805870701</v>
      </c>
      <c r="BC20" s="9">
        <f t="shared" si="37"/>
        <v>0.26952955301788883</v>
      </c>
      <c r="BD20" s="9">
        <f t="shared" si="14"/>
        <v>0.32045298272703504</v>
      </c>
      <c r="BE20" s="9">
        <f t="shared" si="15"/>
        <v>0.59504297749778801</v>
      </c>
      <c r="BF20" s="6">
        <f>'a20 (2)'!J16</f>
        <v>6.3</v>
      </c>
      <c r="BG20" s="9">
        <f t="shared" si="38"/>
        <v>0.77281746031746024</v>
      </c>
      <c r="BH20" s="6">
        <f>'a19'!AB20</f>
        <v>66.640243902439025</v>
      </c>
      <c r="BI20" s="6">
        <f>'a23'!J16</f>
        <v>37.135290693001224</v>
      </c>
      <c r="BJ20" s="9">
        <f t="shared" si="39"/>
        <v>0.24747048291695756</v>
      </c>
      <c r="BK20" s="9">
        <f t="shared" si="16"/>
        <v>0.29115238896544976</v>
      </c>
      <c r="BL20" s="9">
        <f t="shared" si="17"/>
        <v>0.67648444604705826</v>
      </c>
      <c r="BM20" s="6">
        <f>'a20 (2)'!K16</f>
        <v>7.7</v>
      </c>
      <c r="BN20" s="9">
        <f t="shared" si="40"/>
        <v>0.70337301587301582</v>
      </c>
      <c r="BO20" s="6">
        <f>'a19'!AE20</f>
        <v>53.248628257887511</v>
      </c>
      <c r="BP20" s="6">
        <f>'a23'!K16</f>
        <v>36.307740034707962</v>
      </c>
      <c r="BQ20" s="9">
        <f t="shared" si="41"/>
        <v>0.1933337351992184</v>
      </c>
      <c r="BR20" s="9">
        <f t="shared" si="18"/>
        <v>0.21924369810980313</v>
      </c>
      <c r="BS20" s="9">
        <f t="shared" si="19"/>
        <v>0.60654715232037337</v>
      </c>
      <c r="BT20" s="6">
        <f>'a20 (2)'!L16</f>
        <v>12.1</v>
      </c>
      <c r="BU20" s="9">
        <f t="shared" si="42"/>
        <v>0.48511904761904756</v>
      </c>
      <c r="BV20" s="6">
        <f>'a19'!AH20</f>
        <v>74.603000577034038</v>
      </c>
      <c r="BW20" s="6">
        <f>'a23'!L16</f>
        <v>33.789820066614787</v>
      </c>
      <c r="BX20" s="9">
        <f t="shared" si="43"/>
        <v>0.25208219659275394</v>
      </c>
      <c r="BY20" s="9">
        <f t="shared" si="20"/>
        <v>0.29727803017974336</v>
      </c>
      <c r="BZ20" s="9">
        <f t="shared" si="21"/>
        <v>0.44755084413118673</v>
      </c>
    </row>
    <row r="21" spans="1:78">
      <c r="A21" s="1">
        <v>1983</v>
      </c>
      <c r="B21" s="6">
        <f>'a20 (2)'!B17</f>
        <v>12</v>
      </c>
      <c r="C21" s="9">
        <f t="shared" si="22"/>
        <v>0.490079365079365</v>
      </c>
      <c r="D21" s="6">
        <f>'a19'!D21</f>
        <v>74.323104852993282</v>
      </c>
      <c r="E21" s="6">
        <f>'a23'!B17</f>
        <v>38.472690039579412</v>
      </c>
      <c r="F21" s="9">
        <f t="shared" si="23"/>
        <v>0.28594097757883707</v>
      </c>
      <c r="G21" s="9">
        <f t="shared" si="0"/>
        <v>0.34225192900668561</v>
      </c>
      <c r="H21" s="9">
        <f t="shared" si="1"/>
        <v>0.46051387786482911</v>
      </c>
      <c r="I21" s="6">
        <f>'a20 (2)'!C17</f>
        <v>18.100000000000001</v>
      </c>
      <c r="J21" s="9">
        <f t="shared" si="24"/>
        <v>0.18749999999999989</v>
      </c>
      <c r="K21" s="6">
        <f>'a19'!G21</f>
        <v>127.67961570593148</v>
      </c>
      <c r="L21" s="6">
        <f>'a23'!C17</f>
        <v>36.773408495730017</v>
      </c>
      <c r="M21" s="9">
        <f t="shared" si="25"/>
        <v>0.46952146649320448</v>
      </c>
      <c r="N21" s="9">
        <f t="shared" si="2"/>
        <v>0.58609798886421338</v>
      </c>
      <c r="O21" s="9">
        <f t="shared" si="3"/>
        <v>0.2672195977728426</v>
      </c>
      <c r="P21" s="6">
        <f>'a20 (2)'!D17</f>
        <v>12.2</v>
      </c>
      <c r="Q21" s="9">
        <f t="shared" si="26"/>
        <v>0.48015873015873012</v>
      </c>
      <c r="R21" s="6">
        <f>'a19'!J21</f>
        <v>133.37132352941177</v>
      </c>
      <c r="S21" s="6">
        <f>'a23'!D17</f>
        <v>39.859990709867979</v>
      </c>
      <c r="T21" s="9">
        <f t="shared" si="27"/>
        <v>0.53161797168451497</v>
      </c>
      <c r="U21" s="9">
        <f t="shared" si="4"/>
        <v>0.66857945631954119</v>
      </c>
      <c r="V21" s="9">
        <f t="shared" si="5"/>
        <v>0.51784287539089235</v>
      </c>
      <c r="W21" s="6">
        <f>'a20 (2)'!E17</f>
        <v>13.4</v>
      </c>
      <c r="X21" s="9">
        <f t="shared" si="28"/>
        <v>0.42063492063492058</v>
      </c>
      <c r="Y21" s="6">
        <f>'a19'!M21</f>
        <v>92.065972222222229</v>
      </c>
      <c r="Z21" s="6">
        <f>'a23'!E17</f>
        <v>38.131292031380859</v>
      </c>
      <c r="AA21" s="9">
        <f t="shared" si="29"/>
        <v>0.35105944729585542</v>
      </c>
      <c r="AB21" s="9">
        <f t="shared" si="6"/>
        <v>0.42874740768390762</v>
      </c>
      <c r="AC21" s="9">
        <f t="shared" si="7"/>
        <v>0.422257418044718</v>
      </c>
      <c r="AD21" s="6">
        <f>'a20 (2)'!F17</f>
        <v>14.9</v>
      </c>
      <c r="AE21" s="9">
        <f t="shared" si="30"/>
        <v>0.34623015873015867</v>
      </c>
      <c r="AF21" s="6">
        <f>'a19'!P21</f>
        <v>118.87015945330296</v>
      </c>
      <c r="AG21" s="6">
        <f>'a23'!F17</f>
        <v>40.152405604813993</v>
      </c>
      <c r="AH21" s="9">
        <f t="shared" si="31"/>
        <v>0.47729228566779347</v>
      </c>
      <c r="AI21" s="9">
        <f t="shared" si="8"/>
        <v>0.59641980273884976</v>
      </c>
      <c r="AJ21" s="9">
        <f t="shared" si="9"/>
        <v>0.39626808753189691</v>
      </c>
      <c r="AK21" s="6">
        <f>'a20 (2)'!G17</f>
        <v>14.2</v>
      </c>
      <c r="AL21" s="9">
        <f t="shared" si="32"/>
        <v>0.38095238095238093</v>
      </c>
      <c r="AM21" s="6">
        <f>'a19'!S21</f>
        <v>80.358104044504586</v>
      </c>
      <c r="AN21" s="6">
        <f>'a23'!G17</f>
        <v>37.389408404343847</v>
      </c>
      <c r="AO21" s="9">
        <f t="shared" si="33"/>
        <v>0.30045419707187371</v>
      </c>
      <c r="AP21" s="9">
        <f t="shared" si="10"/>
        <v>0.36152952985715092</v>
      </c>
      <c r="AQ21" s="9">
        <f t="shared" si="11"/>
        <v>0.37706781073333495</v>
      </c>
      <c r="AR21" s="6">
        <f>'a20 (2)'!H17</f>
        <v>10.4</v>
      </c>
      <c r="AS21" s="9">
        <f t="shared" si="34"/>
        <v>0.56944444444444442</v>
      </c>
      <c r="AT21" s="6">
        <f>'a19'!V21</f>
        <v>62.779625884732056</v>
      </c>
      <c r="AU21" s="6">
        <f>'a23'!H17</f>
        <v>39.307684218045168</v>
      </c>
      <c r="AV21" s="9">
        <f t="shared" si="35"/>
        <v>0.24677217096040621</v>
      </c>
      <c r="AW21" s="9">
        <f t="shared" si="12"/>
        <v>0.29022483604213295</v>
      </c>
      <c r="AX21" s="9">
        <f t="shared" si="13"/>
        <v>0.51360052276398216</v>
      </c>
      <c r="AY21" s="6">
        <f>'a20 (2)'!I17</f>
        <v>9.5</v>
      </c>
      <c r="AZ21" s="9">
        <f t="shared" si="36"/>
        <v>0.61408730158730152</v>
      </c>
      <c r="BA21" s="6">
        <f>'a19'!Y21</f>
        <v>69.786829599456894</v>
      </c>
      <c r="BB21" s="6">
        <f>'a23'!I17</f>
        <v>40.145110874258407</v>
      </c>
      <c r="BC21" s="9">
        <f t="shared" si="37"/>
        <v>0.28016000118331752</v>
      </c>
      <c r="BD21" s="9">
        <f t="shared" si="14"/>
        <v>0.33457318098442512</v>
      </c>
      <c r="BE21" s="9">
        <f t="shared" si="15"/>
        <v>0.55818447746672628</v>
      </c>
      <c r="BF21" s="6">
        <f>'a20 (2)'!J17</f>
        <v>7.7</v>
      </c>
      <c r="BG21" s="9">
        <f t="shared" si="38"/>
        <v>0.70337301587301582</v>
      </c>
      <c r="BH21" s="6">
        <f>'a19'!AB21</f>
        <v>63.500459136822776</v>
      </c>
      <c r="BI21" s="6">
        <f>'a23'!J17</f>
        <v>40.528208055657764</v>
      </c>
      <c r="BJ21" s="9">
        <f t="shared" si="39"/>
        <v>0.25735598195269477</v>
      </c>
      <c r="BK21" s="9">
        <f t="shared" si="16"/>
        <v>0.30428308713411151</v>
      </c>
      <c r="BL21" s="9">
        <f t="shared" si="17"/>
        <v>0.62355503012523505</v>
      </c>
      <c r="BM21" s="6">
        <f>'a20 (2)'!K17</f>
        <v>11</v>
      </c>
      <c r="BN21" s="9">
        <f t="shared" si="40"/>
        <v>0.53968253968253965</v>
      </c>
      <c r="BO21" s="6">
        <f>'a19'!AE21</f>
        <v>64.35590401520551</v>
      </c>
      <c r="BP21" s="6">
        <f>'a23'!K17</f>
        <v>40.543690470845931</v>
      </c>
      <c r="BQ21" s="9">
        <f t="shared" si="41"/>
        <v>0.26092258523639628</v>
      </c>
      <c r="BR21" s="9">
        <f t="shared" si="18"/>
        <v>0.30902053043731137</v>
      </c>
      <c r="BS21" s="9">
        <f t="shared" si="19"/>
        <v>0.49355013783349405</v>
      </c>
      <c r="BT21" s="6">
        <f>'a20 (2)'!L17</f>
        <v>13.9</v>
      </c>
      <c r="BU21" s="9">
        <f t="shared" si="42"/>
        <v>0.39583333333333326</v>
      </c>
      <c r="BV21" s="6">
        <f>'a19'!AH21</f>
        <v>71.131947901111673</v>
      </c>
      <c r="BW21" s="6">
        <f>'a23'!L17</f>
        <v>37.509137855982473</v>
      </c>
      <c r="BX21" s="9">
        <f t="shared" si="43"/>
        <v>0.2668098039787361</v>
      </c>
      <c r="BY21" s="9">
        <f t="shared" si="20"/>
        <v>0.31684039790976698</v>
      </c>
      <c r="BZ21" s="9">
        <f t="shared" si="21"/>
        <v>0.38003474624862005</v>
      </c>
    </row>
    <row r="22" spans="1:78">
      <c r="A22" s="1">
        <v>1984</v>
      </c>
      <c r="B22" s="6">
        <f>'a20 (2)'!B18</f>
        <v>11.3</v>
      </c>
      <c r="C22" s="9">
        <f t="shared" si="22"/>
        <v>0.52480158730158721</v>
      </c>
      <c r="D22" s="6">
        <f>'a19'!D22</f>
        <v>73.725700686857508</v>
      </c>
      <c r="E22" s="6">
        <f>'a23'!B18</f>
        <v>38.425449380889233</v>
      </c>
      <c r="F22" s="9">
        <f t="shared" si="23"/>
        <v>0.28329431798134336</v>
      </c>
      <c r="G22" s="9">
        <f t="shared" si="0"/>
        <v>0.33873642734063442</v>
      </c>
      <c r="H22" s="9">
        <f t="shared" si="1"/>
        <v>0.48758855530939671</v>
      </c>
      <c r="I22" s="6">
        <f>'a20 (2)'!C18</f>
        <v>20.100000000000001</v>
      </c>
      <c r="J22" s="9">
        <f t="shared" si="24"/>
        <v>8.8293650793650674E-2</v>
      </c>
      <c r="K22" s="6">
        <f>'a19'!G22</f>
        <v>119.66740576496673</v>
      </c>
      <c r="L22" s="6">
        <f>'a23'!C18</f>
        <v>35.984013379138709</v>
      </c>
      <c r="M22" s="9">
        <f t="shared" si="25"/>
        <v>0.43061135300933839</v>
      </c>
      <c r="N22" s="9">
        <f t="shared" si="2"/>
        <v>0.53441451248957639</v>
      </c>
      <c r="O22" s="9">
        <f t="shared" si="3"/>
        <v>0.17751782313283582</v>
      </c>
      <c r="P22" s="6">
        <f>'a20 (2)'!D18</f>
        <v>12.5</v>
      </c>
      <c r="Q22" s="9">
        <f t="shared" si="26"/>
        <v>0.46527777777777773</v>
      </c>
      <c r="R22" s="6">
        <f>'a19'!J22</f>
        <v>146.49530516431923</v>
      </c>
      <c r="S22" s="6">
        <f>'a23'!D18</f>
        <v>40.931049194501256</v>
      </c>
      <c r="T22" s="9">
        <f t="shared" si="27"/>
        <v>0.59962065424442246</v>
      </c>
      <c r="U22" s="9">
        <f t="shared" si="4"/>
        <v>0.75890597358745493</v>
      </c>
      <c r="V22" s="9">
        <f t="shared" si="5"/>
        <v>0.5240034169397132</v>
      </c>
      <c r="W22" s="6">
        <f>'a20 (2)'!E18</f>
        <v>13</v>
      </c>
      <c r="X22" s="9">
        <f t="shared" si="28"/>
        <v>0.44047619047619041</v>
      </c>
      <c r="Y22" s="6">
        <f>'a19'!M22</f>
        <v>91.173215455140792</v>
      </c>
      <c r="Z22" s="6">
        <f>'a23'!E18</f>
        <v>37.711612197370073</v>
      </c>
      <c r="AA22" s="9">
        <f t="shared" si="29"/>
        <v>0.34382889440315373</v>
      </c>
      <c r="AB22" s="9">
        <f t="shared" si="6"/>
        <v>0.41914321802353915</v>
      </c>
      <c r="AC22" s="9">
        <f t="shared" si="7"/>
        <v>0.43620959598566017</v>
      </c>
      <c r="AD22" s="6">
        <f>'a20 (2)'!F18</f>
        <v>14.6</v>
      </c>
      <c r="AE22" s="9">
        <f t="shared" si="30"/>
        <v>0.36111111111111105</v>
      </c>
      <c r="AF22" s="6">
        <f>'a19'!P22</f>
        <v>126.31211773700306</v>
      </c>
      <c r="AG22" s="6">
        <f>'a23'!F18</f>
        <v>40.036870117199022</v>
      </c>
      <c r="AH22" s="9">
        <f t="shared" si="31"/>
        <v>0.50571418520647426</v>
      </c>
      <c r="AI22" s="9">
        <f t="shared" si="8"/>
        <v>0.63417200754644565</v>
      </c>
      <c r="AJ22" s="9">
        <f t="shared" si="9"/>
        <v>0.41572329039817801</v>
      </c>
      <c r="AK22" s="6">
        <f>'a20 (2)'!G18</f>
        <v>13.1</v>
      </c>
      <c r="AL22" s="9">
        <f t="shared" si="32"/>
        <v>0.43551587301587297</v>
      </c>
      <c r="AM22" s="6">
        <f>'a19'!S22</f>
        <v>82.197303037589165</v>
      </c>
      <c r="AN22" s="6">
        <f>'a23'!G18</f>
        <v>37.511625055266641</v>
      </c>
      <c r="AO22" s="9">
        <f t="shared" si="33"/>
        <v>0.30833544121001744</v>
      </c>
      <c r="AP22" s="9">
        <f t="shared" si="10"/>
        <v>0.37199801886285366</v>
      </c>
      <c r="AQ22" s="9">
        <f t="shared" si="11"/>
        <v>0.42281230218526911</v>
      </c>
      <c r="AR22" s="6">
        <f>'a20 (2)'!H18</f>
        <v>9</v>
      </c>
      <c r="AS22" s="9">
        <f t="shared" si="34"/>
        <v>0.63888888888888884</v>
      </c>
      <c r="AT22" s="6">
        <f>'a19'!V22</f>
        <v>60.95464135021097</v>
      </c>
      <c r="AU22" s="6">
        <f>'a23'!H18</f>
        <v>38.662446316004633</v>
      </c>
      <c r="AV22" s="9">
        <f t="shared" si="35"/>
        <v>0.23566555489138477</v>
      </c>
      <c r="AW22" s="9">
        <f t="shared" si="12"/>
        <v>0.27547215408340642</v>
      </c>
      <c r="AX22" s="9">
        <f t="shared" si="13"/>
        <v>0.56620554192779238</v>
      </c>
      <c r="AY22" s="6">
        <f>'a20 (2)'!I18</f>
        <v>8.6</v>
      </c>
      <c r="AZ22" s="9">
        <f t="shared" si="36"/>
        <v>0.65873015873015872</v>
      </c>
      <c r="BA22" s="6">
        <f>'a19'!Y22</f>
        <v>70.543526785714292</v>
      </c>
      <c r="BB22" s="6">
        <f>'a23'!I18</f>
        <v>39.595578643312493</v>
      </c>
      <c r="BC22" s="9">
        <f t="shared" si="37"/>
        <v>0.27932117626203717</v>
      </c>
      <c r="BD22" s="9">
        <f t="shared" si="14"/>
        <v>0.33345898767785903</v>
      </c>
      <c r="BE22" s="9">
        <f t="shared" si="15"/>
        <v>0.59367592451969875</v>
      </c>
      <c r="BF22" s="6">
        <f>'a20 (2)'!J18</f>
        <v>8.1</v>
      </c>
      <c r="BG22" s="9">
        <f t="shared" si="38"/>
        <v>0.68353174603174605</v>
      </c>
      <c r="BH22" s="6">
        <f>'a19'!AB22</f>
        <v>63.448157669237361</v>
      </c>
      <c r="BI22" s="6">
        <f>'a23'!J18</f>
        <v>40.404978369091893</v>
      </c>
      <c r="BJ22" s="9">
        <f t="shared" si="39"/>
        <v>0.25636214381842676</v>
      </c>
      <c r="BK22" s="9">
        <f t="shared" si="16"/>
        <v>0.30296299307286051</v>
      </c>
      <c r="BL22" s="9">
        <f t="shared" si="17"/>
        <v>0.60741799543996899</v>
      </c>
      <c r="BM22" s="6">
        <f>'a20 (2)'!K18</f>
        <v>11.3</v>
      </c>
      <c r="BN22" s="9">
        <f t="shared" si="40"/>
        <v>0.52480158730158721</v>
      </c>
      <c r="BO22" s="6">
        <f>'a19'!AE22</f>
        <v>60.9223406694177</v>
      </c>
      <c r="BP22" s="6">
        <f>'a23'!K18</f>
        <v>40.924428882753674</v>
      </c>
      <c r="BQ22" s="9">
        <f t="shared" si="41"/>
        <v>0.24932119980964768</v>
      </c>
      <c r="BR22" s="9">
        <f t="shared" si="18"/>
        <v>0.29361065686125409</v>
      </c>
      <c r="BS22" s="9">
        <f t="shared" si="19"/>
        <v>0.47856340121352059</v>
      </c>
      <c r="BT22" s="6">
        <f>'a20 (2)'!L18</f>
        <v>15</v>
      </c>
      <c r="BU22" s="9">
        <f t="shared" si="42"/>
        <v>0.34126984126984122</v>
      </c>
      <c r="BV22" s="6">
        <f>'a19'!AH22</f>
        <v>66.335191082802552</v>
      </c>
      <c r="BW22" s="6">
        <f>'a23'!L18</f>
        <v>38.382136286539023</v>
      </c>
      <c r="BX22" s="9">
        <f t="shared" si="43"/>
        <v>0.25460863447337356</v>
      </c>
      <c r="BY22" s="9">
        <f t="shared" si="20"/>
        <v>0.30063384389560766</v>
      </c>
      <c r="BZ22" s="9">
        <f t="shared" si="21"/>
        <v>0.33314264179499453</v>
      </c>
    </row>
    <row r="23" spans="1:78">
      <c r="A23" s="1">
        <v>1985</v>
      </c>
      <c r="B23" s="6">
        <f>'a20 (2)'!B19</f>
        <v>10.6</v>
      </c>
      <c r="C23" s="9">
        <f t="shared" si="22"/>
        <v>0.55952380952380953</v>
      </c>
      <c r="D23" s="6">
        <f>'a19'!D23</f>
        <v>73.568815729309549</v>
      </c>
      <c r="E23" s="6">
        <f>'a23'!B19</f>
        <v>39.209031430746862</v>
      </c>
      <c r="F23" s="9">
        <f t="shared" si="23"/>
        <v>0.28845620082533224</v>
      </c>
      <c r="G23" s="9">
        <f t="shared" si="0"/>
        <v>0.34559284656250494</v>
      </c>
      <c r="H23" s="9">
        <f t="shared" si="1"/>
        <v>0.51673761693154863</v>
      </c>
      <c r="I23" s="6">
        <f>'a20 (2)'!C19</f>
        <v>20.2</v>
      </c>
      <c r="J23" s="9">
        <f t="shared" si="24"/>
        <v>8.3333333333333315E-2</v>
      </c>
      <c r="K23" s="6">
        <f>'a19'!G23</f>
        <v>123.24675324675324</v>
      </c>
      <c r="L23" s="6">
        <f>'a23'!C19</f>
        <v>37.043506522686783</v>
      </c>
      <c r="M23" s="9">
        <f t="shared" si="25"/>
        <v>0.45654919077960721</v>
      </c>
      <c r="N23" s="9">
        <f t="shared" si="2"/>
        <v>0.56886719087008819</v>
      </c>
      <c r="O23" s="9">
        <f t="shared" si="3"/>
        <v>0.18044010484068429</v>
      </c>
      <c r="P23" s="6">
        <f>'a20 (2)'!D19</f>
        <v>13.7</v>
      </c>
      <c r="Q23" s="9">
        <f t="shared" si="26"/>
        <v>0.40575396825396826</v>
      </c>
      <c r="R23" s="6">
        <f>'a19'!J23</f>
        <v>137.3125</v>
      </c>
      <c r="S23" s="6">
        <f>'a23'!D19</f>
        <v>40.999751319817094</v>
      </c>
      <c r="T23" s="9">
        <f t="shared" si="27"/>
        <v>0.56297783531023837</v>
      </c>
      <c r="U23" s="9">
        <f t="shared" si="4"/>
        <v>0.71023409635249724</v>
      </c>
      <c r="V23" s="9">
        <f t="shared" si="5"/>
        <v>0.46664999387367406</v>
      </c>
      <c r="W23" s="6">
        <f>'a20 (2)'!E19</f>
        <v>13.5</v>
      </c>
      <c r="X23" s="9">
        <f t="shared" si="28"/>
        <v>0.41567460317460314</v>
      </c>
      <c r="Y23" s="6">
        <f>'a19'!M23</f>
        <v>88.640186915887853</v>
      </c>
      <c r="Z23" s="6">
        <f>'a23'!E19</f>
        <v>38.632040841493406</v>
      </c>
      <c r="AA23" s="9">
        <f t="shared" si="29"/>
        <v>0.34243513211321885</v>
      </c>
      <c r="AB23" s="9">
        <f t="shared" si="6"/>
        <v>0.41729191321011122</v>
      </c>
      <c r="AC23" s="9">
        <f t="shared" si="7"/>
        <v>0.41599806518170479</v>
      </c>
      <c r="AD23" s="6">
        <f>'a20 (2)'!F19</f>
        <v>15.2</v>
      </c>
      <c r="AE23" s="9">
        <f t="shared" si="30"/>
        <v>0.33134920634920634</v>
      </c>
      <c r="AF23" s="6">
        <f>'a19'!P23</f>
        <v>115.95567375886523</v>
      </c>
      <c r="AG23" s="6">
        <f>'a23'!F19</f>
        <v>40.933249142807412</v>
      </c>
      <c r="AH23" s="9">
        <f t="shared" si="31"/>
        <v>0.47464424834937263</v>
      </c>
      <c r="AI23" s="9">
        <f t="shared" si="8"/>
        <v>0.59290247107538618</v>
      </c>
      <c r="AJ23" s="9">
        <f t="shared" si="9"/>
        <v>0.38365985929444235</v>
      </c>
      <c r="AK23" s="6">
        <f>'a20 (2)'!G19</f>
        <v>12.3</v>
      </c>
      <c r="AL23" s="9">
        <f t="shared" si="32"/>
        <v>0.47519841269841262</v>
      </c>
      <c r="AM23" s="6">
        <f>'a19'!S23</f>
        <v>82.639724310776941</v>
      </c>
      <c r="AN23" s="6">
        <f>'a23'!G19</f>
        <v>39.253215153688089</v>
      </c>
      <c r="AO23" s="9">
        <f t="shared" si="33"/>
        <v>0.32438748786123955</v>
      </c>
      <c r="AP23" s="9">
        <f t="shared" si="10"/>
        <v>0.39331961110665448</v>
      </c>
      <c r="AQ23" s="9">
        <f t="shared" si="11"/>
        <v>0.45882265238006104</v>
      </c>
      <c r="AR23" s="6">
        <f>'a20 (2)'!H19</f>
        <v>8</v>
      </c>
      <c r="AS23" s="9">
        <f t="shared" si="34"/>
        <v>0.68849206349206349</v>
      </c>
      <c r="AT23" s="6">
        <f>'a19'!V23</f>
        <v>62.074334505273733</v>
      </c>
      <c r="AU23" s="6">
        <f>'a23'!H19</f>
        <v>39.207061820145562</v>
      </c>
      <c r="AV23" s="9">
        <f t="shared" si="35"/>
        <v>0.2433752270392662</v>
      </c>
      <c r="AW23" s="9">
        <f t="shared" si="12"/>
        <v>0.28571274766266819</v>
      </c>
      <c r="AX23" s="9">
        <f t="shared" si="13"/>
        <v>0.60793620032618445</v>
      </c>
      <c r="AY23" s="6">
        <f>'a20 (2)'!I19</f>
        <v>8.4</v>
      </c>
      <c r="AZ23" s="9">
        <f t="shared" si="36"/>
        <v>0.66865079365079361</v>
      </c>
      <c r="BA23" s="6">
        <f>'a19'!Y23</f>
        <v>69.923393124065754</v>
      </c>
      <c r="BB23" s="6">
        <f>'a23'!I19</f>
        <v>41.52173221083828</v>
      </c>
      <c r="BC23" s="9">
        <f t="shared" si="37"/>
        <v>0.2903340404570629</v>
      </c>
      <c r="BD23" s="9">
        <f t="shared" si="14"/>
        <v>0.34808714101585192</v>
      </c>
      <c r="BE23" s="9">
        <f t="shared" si="15"/>
        <v>0.60453806312380531</v>
      </c>
      <c r="BF23" s="6">
        <f>'a20 (2)'!J19</f>
        <v>8.4</v>
      </c>
      <c r="BG23" s="9">
        <f t="shared" si="38"/>
        <v>0.66865079365079361</v>
      </c>
      <c r="BH23" s="6">
        <f>'a19'!AB23</f>
        <v>60.500403551251019</v>
      </c>
      <c r="BI23" s="6">
        <f>'a23'!J19</f>
        <v>40.896887406186487</v>
      </c>
      <c r="BJ23" s="9">
        <f t="shared" si="39"/>
        <v>0.24742781920643578</v>
      </c>
      <c r="BK23" s="9">
        <f t="shared" si="16"/>
        <v>0.29109571966594433</v>
      </c>
      <c r="BL23" s="9">
        <f t="shared" si="17"/>
        <v>0.59313977885382374</v>
      </c>
      <c r="BM23" s="6">
        <f>'a20 (2)'!K19</f>
        <v>9.9</v>
      </c>
      <c r="BN23" s="9">
        <f t="shared" si="40"/>
        <v>0.59424603174603163</v>
      </c>
      <c r="BO23" s="6">
        <f>'a19'!AE23</f>
        <v>59.1113683127572</v>
      </c>
      <c r="BP23" s="6">
        <f>'a23'!K19</f>
        <v>40.89736618478549</v>
      </c>
      <c r="BQ23" s="9">
        <f t="shared" si="41"/>
        <v>0.24174992755705565</v>
      </c>
      <c r="BR23" s="9">
        <f t="shared" si="18"/>
        <v>0.28355389692003624</v>
      </c>
      <c r="BS23" s="9">
        <f t="shared" si="19"/>
        <v>0.53210760478083252</v>
      </c>
      <c r="BT23" s="6">
        <f>'a20 (2)'!L19</f>
        <v>14.6</v>
      </c>
      <c r="BU23" s="9">
        <f t="shared" si="42"/>
        <v>0.36111111111111105</v>
      </c>
      <c r="BV23" s="6">
        <f>'a19'!AH23</f>
        <v>62.545531068258335</v>
      </c>
      <c r="BW23" s="6">
        <f>'a23'!L19</f>
        <v>38.908889383227532</v>
      </c>
      <c r="BX23" s="9">
        <f t="shared" si="43"/>
        <v>0.24335771497500847</v>
      </c>
      <c r="BY23" s="9">
        <f t="shared" si="20"/>
        <v>0.28568948676008282</v>
      </c>
      <c r="BZ23" s="9">
        <f t="shared" si="21"/>
        <v>0.34602678624090544</v>
      </c>
    </row>
    <row r="24" spans="1:78">
      <c r="A24" s="1">
        <v>1986</v>
      </c>
      <c r="B24" s="6">
        <f>'a20 (2)'!B20</f>
        <v>9.6999999999999993</v>
      </c>
      <c r="C24" s="9">
        <f t="shared" si="22"/>
        <v>0.60416666666666663</v>
      </c>
      <c r="D24" s="6">
        <f>'a19'!D24</f>
        <v>75.623427978737183</v>
      </c>
      <c r="E24" s="6">
        <f>'a23'!B20</f>
        <v>40.242420779916635</v>
      </c>
      <c r="F24" s="9">
        <f t="shared" si="23"/>
        <v>0.30432698095400623</v>
      </c>
      <c r="G24" s="9">
        <f t="shared" si="0"/>
        <v>0.36667366633876941</v>
      </c>
      <c r="H24" s="9">
        <f t="shared" si="1"/>
        <v>0.55666806660108725</v>
      </c>
      <c r="I24" s="6">
        <f>'a20 (2)'!C20</f>
        <v>18.899999999999999</v>
      </c>
      <c r="J24" s="9">
        <f t="shared" si="24"/>
        <v>0.14781746031746035</v>
      </c>
      <c r="K24" s="6">
        <f>'a19'!G24</f>
        <v>134.9750957854406</v>
      </c>
      <c r="L24" s="6">
        <f>'a23'!C20</f>
        <v>37.984875304204323</v>
      </c>
      <c r="M24" s="9">
        <f t="shared" si="25"/>
        <v>0.51270121825829951</v>
      </c>
      <c r="N24" s="9">
        <f t="shared" si="2"/>
        <v>0.643452734980267</v>
      </c>
      <c r="O24" s="9">
        <f t="shared" si="3"/>
        <v>0.24694451525002167</v>
      </c>
      <c r="P24" s="6">
        <f>'a20 (2)'!D20</f>
        <v>13.2</v>
      </c>
      <c r="Q24" s="9">
        <f t="shared" si="26"/>
        <v>0.43055555555555552</v>
      </c>
      <c r="R24" s="6">
        <f>'a19'!J24</f>
        <v>140.042194092827</v>
      </c>
      <c r="S24" s="6">
        <f>'a23'!D20</f>
        <v>43.47603167505978</v>
      </c>
      <c r="T24" s="9">
        <f t="shared" si="27"/>
        <v>0.6088478866224617</v>
      </c>
      <c r="U24" s="9">
        <f t="shared" si="4"/>
        <v>0.77116231015176273</v>
      </c>
      <c r="V24" s="9">
        <f t="shared" si="5"/>
        <v>0.49867690647479701</v>
      </c>
      <c r="W24" s="6">
        <f>'a20 (2)'!E20</f>
        <v>13.3</v>
      </c>
      <c r="X24" s="9">
        <f t="shared" si="28"/>
        <v>0.42559523809523803</v>
      </c>
      <c r="Y24" s="6">
        <f>'a19'!M24</f>
        <v>86.707014276846664</v>
      </c>
      <c r="Z24" s="6">
        <f>'a23'!E20</f>
        <v>39.252655229217403</v>
      </c>
      <c r="AA24" s="9">
        <f t="shared" si="29"/>
        <v>0.34034805373638932</v>
      </c>
      <c r="AB24" s="9">
        <f t="shared" si="6"/>
        <v>0.41451969138080169</v>
      </c>
      <c r="AC24" s="9">
        <f t="shared" si="7"/>
        <v>0.42338012875235076</v>
      </c>
      <c r="AD24" s="6">
        <f>'a20 (2)'!F20</f>
        <v>14.4</v>
      </c>
      <c r="AE24" s="9">
        <f t="shared" si="30"/>
        <v>0.37103174603174593</v>
      </c>
      <c r="AF24" s="6">
        <f>'a19'!P24</f>
        <v>116.29934210526315</v>
      </c>
      <c r="AG24" s="6">
        <f>'a23'!F20</f>
        <v>41.205834071136096</v>
      </c>
      <c r="AH24" s="9">
        <f t="shared" si="31"/>
        <v>0.47922113933717647</v>
      </c>
      <c r="AI24" s="9">
        <f t="shared" si="8"/>
        <v>0.59898185805367232</v>
      </c>
      <c r="AJ24" s="9">
        <f t="shared" si="9"/>
        <v>0.41662176843613125</v>
      </c>
      <c r="AK24" s="6">
        <f>'a20 (2)'!G20</f>
        <v>11.1</v>
      </c>
      <c r="AL24" s="9">
        <f t="shared" si="32"/>
        <v>0.53472222222222221</v>
      </c>
      <c r="AM24" s="6">
        <f>'a19'!S24</f>
        <v>84.972853362533073</v>
      </c>
      <c r="AN24" s="6">
        <f>'a23'!G20</f>
        <v>40.291521687855955</v>
      </c>
      <c r="AO24" s="9">
        <f t="shared" si="33"/>
        <v>0.34236855641355052</v>
      </c>
      <c r="AP24" s="9">
        <f t="shared" si="10"/>
        <v>0.41720348212387554</v>
      </c>
      <c r="AQ24" s="9">
        <f t="shared" si="11"/>
        <v>0.51121847420255295</v>
      </c>
      <c r="AR24" s="6">
        <f>'a20 (2)'!H20</f>
        <v>7</v>
      </c>
      <c r="AS24" s="9">
        <f t="shared" si="34"/>
        <v>0.73809523809523803</v>
      </c>
      <c r="AT24" s="6">
        <f>'a19'!V24</f>
        <v>61.614336217322531</v>
      </c>
      <c r="AU24" s="6">
        <f>'a23'!H20</f>
        <v>39.484702584744596</v>
      </c>
      <c r="AV24" s="9">
        <f t="shared" si="35"/>
        <v>0.24328237404974376</v>
      </c>
      <c r="AW24" s="9">
        <f t="shared" si="12"/>
        <v>0.28558941301106694</v>
      </c>
      <c r="AX24" s="9">
        <f t="shared" si="13"/>
        <v>0.64759407307840389</v>
      </c>
      <c r="AY24" s="6">
        <f>'a20 (2)'!I20</f>
        <v>7.8</v>
      </c>
      <c r="AZ24" s="9">
        <f t="shared" si="36"/>
        <v>0.69841269841269837</v>
      </c>
      <c r="BA24" s="6">
        <f>'a19'!Y24</f>
        <v>68.980601741884399</v>
      </c>
      <c r="BB24" s="6">
        <f>'a23'!I20</f>
        <v>42.330976851227021</v>
      </c>
      <c r="BC24" s="9">
        <f t="shared" si="37"/>
        <v>0.29200162555194187</v>
      </c>
      <c r="BD24" s="9">
        <f t="shared" si="14"/>
        <v>0.35030215883865035</v>
      </c>
      <c r="BE24" s="9">
        <f t="shared" si="15"/>
        <v>0.62879059049788877</v>
      </c>
      <c r="BF24" s="6">
        <f>'a20 (2)'!J20</f>
        <v>7.9</v>
      </c>
      <c r="BG24" s="9">
        <f t="shared" si="38"/>
        <v>0.69345238095238093</v>
      </c>
      <c r="BH24" s="6">
        <f>'a19'!AB24</f>
        <v>65.095419847328245</v>
      </c>
      <c r="BI24" s="6">
        <f>'a23'!J20</f>
        <v>42.240319163719093</v>
      </c>
      <c r="BJ24" s="9">
        <f t="shared" si="39"/>
        <v>0.2749651310447439</v>
      </c>
      <c r="BK24" s="9">
        <f t="shared" si="16"/>
        <v>0.32767294544058367</v>
      </c>
      <c r="BL24" s="9">
        <f t="shared" si="17"/>
        <v>0.6202964938500215</v>
      </c>
      <c r="BM24" s="6">
        <f>'a20 (2)'!K20</f>
        <v>10.1</v>
      </c>
      <c r="BN24" s="9">
        <f t="shared" si="40"/>
        <v>0.58432539682539675</v>
      </c>
      <c r="BO24" s="6">
        <f>'a19'!AE24</f>
        <v>63.050527903469082</v>
      </c>
      <c r="BP24" s="6">
        <f>'a23'!K20</f>
        <v>43.925730096079207</v>
      </c>
      <c r="BQ24" s="9">
        <f t="shared" si="41"/>
        <v>0.27695404711030935</v>
      </c>
      <c r="BR24" s="9">
        <f t="shared" si="18"/>
        <v>0.33031478035911743</v>
      </c>
      <c r="BS24" s="9">
        <f t="shared" si="19"/>
        <v>0.53352327353214091</v>
      </c>
      <c r="BT24" s="6">
        <f>'a20 (2)'!L20</f>
        <v>12.9</v>
      </c>
      <c r="BU24" s="9">
        <f t="shared" si="42"/>
        <v>0.44543650793650785</v>
      </c>
      <c r="BV24" s="6">
        <f>'a19'!AH24</f>
        <v>66.068289384719421</v>
      </c>
      <c r="BW24" s="6">
        <f>'a23'!L20</f>
        <v>41.020377842883292</v>
      </c>
      <c r="BX24" s="9">
        <f t="shared" si="43"/>
        <v>0.27101461939941457</v>
      </c>
      <c r="BY24" s="9">
        <f t="shared" si="20"/>
        <v>0.32242556482387674</v>
      </c>
      <c r="BZ24" s="9">
        <f t="shared" si="21"/>
        <v>0.42083431931398163</v>
      </c>
    </row>
    <row r="25" spans="1:78">
      <c r="A25" s="1">
        <v>1987</v>
      </c>
      <c r="B25" s="6">
        <f>'a20 (2)'!B21</f>
        <v>8.8000000000000007</v>
      </c>
      <c r="C25" s="9">
        <f t="shared" si="22"/>
        <v>0.64880952380952372</v>
      </c>
      <c r="D25" s="6">
        <f>'a19'!D25</f>
        <v>76.198309583682601</v>
      </c>
      <c r="E25" s="6">
        <f>'a23'!B21</f>
        <v>40.605748321412733</v>
      </c>
      <c r="F25" s="9">
        <f t="shared" si="23"/>
        <v>0.30940893814721077</v>
      </c>
      <c r="G25" s="9">
        <f t="shared" si="0"/>
        <v>0.37342392201820379</v>
      </c>
      <c r="H25" s="9">
        <f t="shared" si="1"/>
        <v>0.59373240345125977</v>
      </c>
      <c r="I25" s="6">
        <f>'a20 (2)'!C21</f>
        <v>17.8</v>
      </c>
      <c r="J25" s="9">
        <f t="shared" si="24"/>
        <v>0.2023809523809523</v>
      </c>
      <c r="K25" s="6">
        <f>'a19'!G25</f>
        <v>144.25948345439869</v>
      </c>
      <c r="L25" s="6">
        <f>'a23'!C21</f>
        <v>38.668685364595426</v>
      </c>
      <c r="M25" s="9">
        <f t="shared" si="25"/>
        <v>0.55783245765572032</v>
      </c>
      <c r="N25" s="9">
        <f t="shared" si="2"/>
        <v>0.70339960062284235</v>
      </c>
      <c r="O25" s="9">
        <f t="shared" si="3"/>
        <v>0.30258468202933031</v>
      </c>
      <c r="P25" s="6">
        <f>'a20 (2)'!D21</f>
        <v>12.3</v>
      </c>
      <c r="Q25" s="9">
        <f t="shared" si="26"/>
        <v>0.47519841269841262</v>
      </c>
      <c r="R25" s="6">
        <f>'a19'!J25</f>
        <v>144.57777777777781</v>
      </c>
      <c r="S25" s="6">
        <f>'a23'!D21</f>
        <v>44.530406817810395</v>
      </c>
      <c r="T25" s="9">
        <f t="shared" si="27"/>
        <v>0.64381072612594337</v>
      </c>
      <c r="U25" s="9">
        <f t="shared" si="4"/>
        <v>0.81760270643119493</v>
      </c>
      <c r="V25" s="9">
        <f t="shared" si="5"/>
        <v>0.54367927144496919</v>
      </c>
      <c r="W25" s="6">
        <f>'a20 (2)'!E21</f>
        <v>12</v>
      </c>
      <c r="X25" s="9">
        <f t="shared" si="28"/>
        <v>0.490079365079365</v>
      </c>
      <c r="Y25" s="6">
        <f>'a19'!M25</f>
        <v>91.914460285132378</v>
      </c>
      <c r="Z25" s="6">
        <f>'a23'!E21</f>
        <v>40.430165712579239</v>
      </c>
      <c r="AA25" s="9">
        <f t="shared" si="29"/>
        <v>0.37161168607101852</v>
      </c>
      <c r="AB25" s="9">
        <f t="shared" si="6"/>
        <v>0.45604650943601333</v>
      </c>
      <c r="AC25" s="9">
        <f t="shared" si="7"/>
        <v>0.48327279395069467</v>
      </c>
      <c r="AD25" s="6">
        <f>'a20 (2)'!F21</f>
        <v>13.2</v>
      </c>
      <c r="AE25" s="9">
        <f t="shared" si="30"/>
        <v>0.43055555555555552</v>
      </c>
      <c r="AF25" s="6">
        <f>'a19'!P25</f>
        <v>122.33996877439498</v>
      </c>
      <c r="AG25" s="6">
        <f>'a23'!F21</f>
        <v>43.551304725561273</v>
      </c>
      <c r="AH25" s="9">
        <f t="shared" si="31"/>
        <v>0.5328065260209327</v>
      </c>
      <c r="AI25" s="9">
        <f t="shared" si="8"/>
        <v>0.67015818777175573</v>
      </c>
      <c r="AJ25" s="9">
        <f t="shared" si="9"/>
        <v>0.4784760819987956</v>
      </c>
      <c r="AK25" s="6">
        <f>'a20 (2)'!G21</f>
        <v>10.199999999999999</v>
      </c>
      <c r="AL25" s="9">
        <f t="shared" si="32"/>
        <v>0.57936507936507931</v>
      </c>
      <c r="AM25" s="6">
        <f>'a19'!S25</f>
        <v>84.358055393017352</v>
      </c>
      <c r="AN25" s="6">
        <f>'a23'!G21</f>
        <v>40.371697750964962</v>
      </c>
      <c r="AO25" s="9">
        <f t="shared" si="33"/>
        <v>0.34056779151860567</v>
      </c>
      <c r="AP25" s="9">
        <f t="shared" si="10"/>
        <v>0.41481156440452088</v>
      </c>
      <c r="AQ25" s="9">
        <f t="shared" si="11"/>
        <v>0.54645437637296768</v>
      </c>
      <c r="AR25" s="6">
        <f>'a20 (2)'!H21</f>
        <v>6.1</v>
      </c>
      <c r="AS25" s="9">
        <f t="shared" si="34"/>
        <v>0.78273809523809523</v>
      </c>
      <c r="AT25" s="6">
        <f>'a19'!V25</f>
        <v>59.737421383647799</v>
      </c>
      <c r="AU25" s="6">
        <f>'a23'!H21</f>
        <v>40.652551378362929</v>
      </c>
      <c r="AV25" s="9">
        <f t="shared" si="35"/>
        <v>0.24284785920096583</v>
      </c>
      <c r="AW25" s="9">
        <f t="shared" si="12"/>
        <v>0.28501225617675047</v>
      </c>
      <c r="AX25" s="9">
        <f t="shared" si="13"/>
        <v>0.68319292742582627</v>
      </c>
      <c r="AY25" s="6">
        <f>'a20 (2)'!I21</f>
        <v>7.5</v>
      </c>
      <c r="AZ25" s="9">
        <f t="shared" si="36"/>
        <v>0.7132936507936507</v>
      </c>
      <c r="BA25" s="6">
        <f>'a19'!Y25</f>
        <v>69.553644553644546</v>
      </c>
      <c r="BB25" s="6">
        <f>'a23'!I21</f>
        <v>43.333002044807749</v>
      </c>
      <c r="BC25" s="9">
        <f t="shared" si="37"/>
        <v>0.301396822166691</v>
      </c>
      <c r="BD25" s="9">
        <f t="shared" si="14"/>
        <v>0.36278159872706905</v>
      </c>
      <c r="BE25" s="9">
        <f t="shared" si="15"/>
        <v>0.64319124038033437</v>
      </c>
      <c r="BF25" s="6">
        <f>'a20 (2)'!J21</f>
        <v>7.3</v>
      </c>
      <c r="BG25" s="9">
        <f t="shared" si="38"/>
        <v>0.72321428571428559</v>
      </c>
      <c r="BH25" s="6">
        <f>'a19'!AB25</f>
        <v>69.214480874316934</v>
      </c>
      <c r="BI25" s="6">
        <f>'a23'!J21</f>
        <v>42.931093524853431</v>
      </c>
      <c r="BJ25" s="9">
        <f t="shared" si="39"/>
        <v>0.29714533516894792</v>
      </c>
      <c r="BK25" s="9">
        <f t="shared" si="16"/>
        <v>0.35713443894954638</v>
      </c>
      <c r="BL25" s="9">
        <f t="shared" si="17"/>
        <v>0.64999831636133776</v>
      </c>
      <c r="BM25" s="6">
        <f>'a20 (2)'!K21</f>
        <v>9.6</v>
      </c>
      <c r="BN25" s="9">
        <f t="shared" si="40"/>
        <v>0.60912698412698407</v>
      </c>
      <c r="BO25" s="6">
        <f>'a19'!AE25</f>
        <v>62.52047015319598</v>
      </c>
      <c r="BP25" s="6">
        <f>'a23'!K21</f>
        <v>43.782015887377476</v>
      </c>
      <c r="BQ25" s="9">
        <f t="shared" si="41"/>
        <v>0.27372722175335357</v>
      </c>
      <c r="BR25" s="9">
        <f t="shared" si="18"/>
        <v>0.32602865685113908</v>
      </c>
      <c r="BS25" s="9">
        <f t="shared" si="19"/>
        <v>0.55250731867181513</v>
      </c>
      <c r="BT25" s="6">
        <f>'a20 (2)'!L21</f>
        <v>12.1</v>
      </c>
      <c r="BU25" s="9">
        <f t="shared" si="42"/>
        <v>0.48511904761904756</v>
      </c>
      <c r="BV25" s="6">
        <f>'a19'!AH25</f>
        <v>67.224277660324177</v>
      </c>
      <c r="BW25" s="6">
        <f>'a23'!L21</f>
        <v>40.753101370400621</v>
      </c>
      <c r="BX25" s="9">
        <f t="shared" si="43"/>
        <v>0.27395978020431488</v>
      </c>
      <c r="BY25" s="9">
        <f t="shared" si="20"/>
        <v>0.32633755929653968</v>
      </c>
      <c r="BZ25" s="9">
        <f t="shared" si="21"/>
        <v>0.45336274995454601</v>
      </c>
    </row>
    <row r="26" spans="1:78">
      <c r="A26" s="1">
        <v>1988</v>
      </c>
      <c r="B26" s="6">
        <f>'a20 (2)'!B22</f>
        <v>7.8</v>
      </c>
      <c r="C26" s="9">
        <f t="shared" si="22"/>
        <v>0.69841269841269837</v>
      </c>
      <c r="D26" s="6">
        <f>'a19'!D26</f>
        <v>82.647888421380699</v>
      </c>
      <c r="E26" s="6">
        <f>'a23'!B22</f>
        <v>41.35343750031619</v>
      </c>
      <c r="F26" s="9">
        <f t="shared" si="23"/>
        <v>0.34177742883666729</v>
      </c>
      <c r="G26" s="9">
        <f t="shared" si="0"/>
        <v>0.41641829993295465</v>
      </c>
      <c r="H26" s="9">
        <f t="shared" si="1"/>
        <v>0.64201381871674967</v>
      </c>
      <c r="I26" s="6">
        <f>'a20 (2)'!C22</f>
        <v>16.2</v>
      </c>
      <c r="J26" s="9">
        <f t="shared" si="24"/>
        <v>0.28174603174603174</v>
      </c>
      <c r="K26" s="6">
        <f>'a19'!G26</f>
        <v>162.40909090909091</v>
      </c>
      <c r="L26" s="6">
        <f>'a23'!C22</f>
        <v>39.423233525694933</v>
      </c>
      <c r="M26" s="9">
        <f t="shared" si="25"/>
        <v>0.64026915176049093</v>
      </c>
      <c r="N26" s="9">
        <f t="shared" si="2"/>
        <v>0.81289850850790235</v>
      </c>
      <c r="O26" s="9">
        <f t="shared" si="3"/>
        <v>0.38797652709840591</v>
      </c>
      <c r="P26" s="6">
        <f>'a20 (2)'!D22</f>
        <v>12.2</v>
      </c>
      <c r="Q26" s="9">
        <f t="shared" si="26"/>
        <v>0.48015873015873012</v>
      </c>
      <c r="R26" s="6">
        <f>'a19'!J26</f>
        <v>143.88157894736844</v>
      </c>
      <c r="S26" s="6">
        <f>'a23'!D22</f>
        <v>45.437938441730495</v>
      </c>
      <c r="T26" s="9">
        <f t="shared" si="27"/>
        <v>0.65376823271095141</v>
      </c>
      <c r="U26" s="9">
        <f t="shared" si="4"/>
        <v>0.8308290506964191</v>
      </c>
      <c r="V26" s="9">
        <f t="shared" si="5"/>
        <v>0.55029279426626787</v>
      </c>
      <c r="W26" s="6">
        <f>'a20 (2)'!E22</f>
        <v>10.199999999999999</v>
      </c>
      <c r="X26" s="9">
        <f t="shared" si="28"/>
        <v>0.57936507936507931</v>
      </c>
      <c r="Y26" s="6">
        <f>'a19'!M26</f>
        <v>103.62884160756502</v>
      </c>
      <c r="Z26" s="6">
        <f>'a23'!E22</f>
        <v>41.158825792351642</v>
      </c>
      <c r="AA26" s="9">
        <f t="shared" si="29"/>
        <v>0.42652414387889703</v>
      </c>
      <c r="AB26" s="9">
        <f t="shared" si="6"/>
        <v>0.52898555951006487</v>
      </c>
      <c r="AC26" s="9">
        <f t="shared" si="7"/>
        <v>0.56928917539407642</v>
      </c>
      <c r="AD26" s="6">
        <f>'a20 (2)'!F22</f>
        <v>11.8</v>
      </c>
      <c r="AE26" s="9">
        <f t="shared" si="30"/>
        <v>0.49999999999999989</v>
      </c>
      <c r="AF26" s="6">
        <f>'a19'!P26</f>
        <v>135.891323024055</v>
      </c>
      <c r="AG26" s="6">
        <f>'a23'!F22</f>
        <v>44.275705881577771</v>
      </c>
      <c r="AH26" s="9">
        <f t="shared" si="31"/>
        <v>0.60166842500715367</v>
      </c>
      <c r="AI26" s="9">
        <f t="shared" si="8"/>
        <v>0.7616259839487759</v>
      </c>
      <c r="AJ26" s="9">
        <f t="shared" si="9"/>
        <v>0.55232519678975511</v>
      </c>
      <c r="AK26" s="6">
        <f>'a20 (2)'!G22</f>
        <v>9.5</v>
      </c>
      <c r="AL26" s="9">
        <f t="shared" si="32"/>
        <v>0.61408730158730152</v>
      </c>
      <c r="AM26" s="6">
        <f>'a19'!S26</f>
        <v>90.715722686474763</v>
      </c>
      <c r="AN26" s="6">
        <f>'a23'!G22</f>
        <v>41.261948058139033</v>
      </c>
      <c r="AO26" s="9">
        <f t="shared" si="33"/>
        <v>0.37431074375458667</v>
      </c>
      <c r="AP26" s="9">
        <f t="shared" si="10"/>
        <v>0.45963161036562944</v>
      </c>
      <c r="AQ26" s="9">
        <f t="shared" si="11"/>
        <v>0.5831961633429672</v>
      </c>
      <c r="AR26" s="6">
        <f>'a20 (2)'!H22</f>
        <v>5</v>
      </c>
      <c r="AS26" s="9">
        <f t="shared" si="34"/>
        <v>0.83730158730158721</v>
      </c>
      <c r="AT26" s="6">
        <f>'a19'!V26</f>
        <v>64.043198415645506</v>
      </c>
      <c r="AU26" s="6">
        <f>'a23'!H22</f>
        <v>41.812563514956231</v>
      </c>
      <c r="AV26" s="9">
        <f t="shared" si="35"/>
        <v>0.26778103014551219</v>
      </c>
      <c r="AW26" s="9">
        <f t="shared" si="12"/>
        <v>0.31813045697540848</v>
      </c>
      <c r="AX26" s="9">
        <f t="shared" si="13"/>
        <v>0.73346736123635148</v>
      </c>
      <c r="AY26" s="6">
        <f>'a20 (2)'!I22</f>
        <v>7.7</v>
      </c>
      <c r="AZ26" s="9">
        <f t="shared" si="36"/>
        <v>0.70337301587301582</v>
      </c>
      <c r="BA26" s="6">
        <f>'a19'!Y26</f>
        <v>69.239386792452834</v>
      </c>
      <c r="BB26" s="6">
        <f>'a23'!I22</f>
        <v>43.774818406366293</v>
      </c>
      <c r="BC26" s="9">
        <f t="shared" si="37"/>
        <v>0.30309415834077796</v>
      </c>
      <c r="BD26" s="9">
        <f t="shared" si="14"/>
        <v>0.36503613427576681</v>
      </c>
      <c r="BE26" s="9">
        <f t="shared" si="15"/>
        <v>0.63570563955356607</v>
      </c>
      <c r="BF26" s="6">
        <f>'a20 (2)'!J22</f>
        <v>7.3</v>
      </c>
      <c r="BG26" s="9">
        <f t="shared" si="38"/>
        <v>0.72321428571428559</v>
      </c>
      <c r="BH26" s="6">
        <f>'a19'!AB26</f>
        <v>69.005449591280652</v>
      </c>
      <c r="BI26" s="6">
        <f>'a23'!J22</f>
        <v>43.796843010700563</v>
      </c>
      <c r="BJ26" s="9">
        <f t="shared" si="39"/>
        <v>0.30222208426321301</v>
      </c>
      <c r="BK26" s="9">
        <f t="shared" si="16"/>
        <v>0.36387777682190203</v>
      </c>
      <c r="BL26" s="9">
        <f t="shared" si="17"/>
        <v>0.65134698393580892</v>
      </c>
      <c r="BM26" s="6">
        <f>'a20 (2)'!K22</f>
        <v>8</v>
      </c>
      <c r="BN26" s="9">
        <f t="shared" si="40"/>
        <v>0.68849206349206349</v>
      </c>
      <c r="BO26" s="6">
        <f>'a19'!AE26</f>
        <v>63.839899937460913</v>
      </c>
      <c r="BP26" s="6">
        <f>'a23'!K22</f>
        <v>44.034538847340301</v>
      </c>
      <c r="BQ26" s="9">
        <f t="shared" si="41"/>
        <v>0.28111605538064399</v>
      </c>
      <c r="BR26" s="9">
        <f t="shared" si="18"/>
        <v>0.33584308744565616</v>
      </c>
      <c r="BS26" s="9">
        <f t="shared" si="19"/>
        <v>0.61796226828278211</v>
      </c>
      <c r="BT26" s="6">
        <f>'a20 (2)'!L22</f>
        <v>10.3</v>
      </c>
      <c r="BU26" s="9">
        <f t="shared" si="42"/>
        <v>0.57440476190476186</v>
      </c>
      <c r="BV26" s="6">
        <f>'a19'!AH26</f>
        <v>74.686865611043444</v>
      </c>
      <c r="BW26" s="6">
        <f>'a23'!L22</f>
        <v>42.214583631497774</v>
      </c>
      <c r="BX26" s="9">
        <f t="shared" si="43"/>
        <v>0.31528749345118284</v>
      </c>
      <c r="BY26" s="9">
        <f t="shared" si="20"/>
        <v>0.38123228202969073</v>
      </c>
      <c r="BZ26" s="9">
        <f t="shared" si="21"/>
        <v>0.53577026592974764</v>
      </c>
    </row>
    <row r="27" spans="1:78">
      <c r="A27" s="1">
        <v>1989</v>
      </c>
      <c r="B27" s="6">
        <f>'a20 (2)'!B23</f>
        <v>7.5</v>
      </c>
      <c r="C27" s="9">
        <f t="shared" si="22"/>
        <v>0.7132936507936507</v>
      </c>
      <c r="D27" s="6">
        <f>'a19'!D27</f>
        <v>83.769246480643531</v>
      </c>
      <c r="E27" s="6">
        <f>'a23'!B23</f>
        <v>42.000646542792794</v>
      </c>
      <c r="F27" s="9">
        <f t="shared" si="23"/>
        <v>0.35183625125895984</v>
      </c>
      <c r="G27" s="9">
        <f t="shared" si="0"/>
        <v>0.42977921987051254</v>
      </c>
      <c r="H27" s="9">
        <f t="shared" si="1"/>
        <v>0.6565907646090231</v>
      </c>
      <c r="I27" s="6">
        <f>'a20 (2)'!C23</f>
        <v>15.5</v>
      </c>
      <c r="J27" s="9">
        <f t="shared" si="24"/>
        <v>0.3164682539682539</v>
      </c>
      <c r="K27" s="6">
        <f>'a19'!G27</f>
        <v>175.05952380952382</v>
      </c>
      <c r="L27" s="6">
        <f>'a23'!C23</f>
        <v>41.036980576924023</v>
      </c>
      <c r="M27" s="9">
        <f t="shared" si="25"/>
        <v>0.71839142783769971</v>
      </c>
      <c r="N27" s="9">
        <f t="shared" si="2"/>
        <v>0.91666666666666674</v>
      </c>
      <c r="O27" s="9">
        <f t="shared" si="3"/>
        <v>0.43650793650793646</v>
      </c>
      <c r="P27" s="6">
        <f>'a20 (2)'!D23</f>
        <v>13.7</v>
      </c>
      <c r="Q27" s="9">
        <f t="shared" si="26"/>
        <v>0.40575396825396826</v>
      </c>
      <c r="R27" s="6">
        <f>'a19'!J27</f>
        <v>133.14176245210732</v>
      </c>
      <c r="S27" s="6">
        <f>'a23'!D23</f>
        <v>47.668206710398088</v>
      </c>
      <c r="T27" s="9">
        <f t="shared" si="27"/>
        <v>0.63466290543537696</v>
      </c>
      <c r="U27" s="9">
        <f t="shared" si="4"/>
        <v>0.80545185072278525</v>
      </c>
      <c r="V27" s="9">
        <f t="shared" si="5"/>
        <v>0.48569354474773169</v>
      </c>
      <c r="W27" s="6">
        <f>'a20 (2)'!E23</f>
        <v>9.9</v>
      </c>
      <c r="X27" s="9">
        <f t="shared" si="28"/>
        <v>0.59424603174603163</v>
      </c>
      <c r="Y27" s="6">
        <f>'a19'!M27</f>
        <v>108.04756195043966</v>
      </c>
      <c r="Z27" s="6">
        <f>'a23'!E23</f>
        <v>43.080526741862023</v>
      </c>
      <c r="AA27" s="9">
        <f t="shared" si="29"/>
        <v>0.46547458819989096</v>
      </c>
      <c r="AB27" s="9">
        <f t="shared" si="6"/>
        <v>0.58072260647808316</v>
      </c>
      <c r="AC27" s="9">
        <f t="shared" si="7"/>
        <v>0.59154134669244196</v>
      </c>
      <c r="AD27" s="6">
        <f>'a20 (2)'!F23</f>
        <v>12.1</v>
      </c>
      <c r="AE27" s="9">
        <f t="shared" si="30"/>
        <v>0.48511904761904756</v>
      </c>
      <c r="AF27" s="6">
        <f>'a19'!P27</f>
        <v>128.53145424836603</v>
      </c>
      <c r="AG27" s="6">
        <f>'a23'!F23</f>
        <v>44.886174307579388</v>
      </c>
      <c r="AH27" s="9">
        <f t="shared" si="31"/>
        <v>0.57692852593988231</v>
      </c>
      <c r="AI27" s="9">
        <f t="shared" si="8"/>
        <v>0.72876450207506183</v>
      </c>
      <c r="AJ27" s="9">
        <f t="shared" si="9"/>
        <v>0.53384813851025048</v>
      </c>
      <c r="AK27" s="6">
        <f>'a20 (2)'!G23</f>
        <v>9.6</v>
      </c>
      <c r="AL27" s="9">
        <f t="shared" si="32"/>
        <v>0.60912698412698407</v>
      </c>
      <c r="AM27" s="6">
        <f>'a19'!S27</f>
        <v>91.938929001203377</v>
      </c>
      <c r="AN27" s="6">
        <f>'a23'!G23</f>
        <v>42.330118079019577</v>
      </c>
      <c r="AO27" s="9">
        <f t="shared" si="33"/>
        <v>0.38917857206795364</v>
      </c>
      <c r="AP27" s="9">
        <f t="shared" si="10"/>
        <v>0.47938023057190776</v>
      </c>
      <c r="AQ27" s="9">
        <f t="shared" si="11"/>
        <v>0.58317763341596884</v>
      </c>
      <c r="AR27" s="6">
        <f>'a20 (2)'!H23</f>
        <v>5</v>
      </c>
      <c r="AS27" s="9">
        <f t="shared" si="34"/>
        <v>0.83730158730158721</v>
      </c>
      <c r="AT27" s="6">
        <f>'a19'!V27</f>
        <v>60.959854014598541</v>
      </c>
      <c r="AU27" s="6">
        <f>'a23'!H23</f>
        <v>42.641473199009184</v>
      </c>
      <c r="AV27" s="9">
        <f t="shared" si="35"/>
        <v>0.25994179811790158</v>
      </c>
      <c r="AW27" s="9">
        <f t="shared" si="12"/>
        <v>0.30771777176280152</v>
      </c>
      <c r="AX27" s="9">
        <f t="shared" si="13"/>
        <v>0.73138482419383011</v>
      </c>
      <c r="AY27" s="6">
        <f>'a20 (2)'!I23</f>
        <v>7.5</v>
      </c>
      <c r="AZ27" s="9">
        <f t="shared" si="36"/>
        <v>0.7132936507936507</v>
      </c>
      <c r="BA27" s="6">
        <f>'a19'!Y27</f>
        <v>71.841787439613526</v>
      </c>
      <c r="BB27" s="6">
        <f>'a23'!I23</f>
        <v>43.73876907067055</v>
      </c>
      <c r="BC27" s="9">
        <f t="shared" si="37"/>
        <v>0.31422713504454558</v>
      </c>
      <c r="BD27" s="9">
        <f t="shared" si="14"/>
        <v>0.37982383050510676</v>
      </c>
      <c r="BE27" s="9">
        <f t="shared" si="15"/>
        <v>0.64659968673594193</v>
      </c>
      <c r="BF27" s="6">
        <f>'a20 (2)'!J23</f>
        <v>7.3</v>
      </c>
      <c r="BG27" s="9">
        <f t="shared" si="38"/>
        <v>0.72321428571428559</v>
      </c>
      <c r="BH27" s="6">
        <f>'a19'!AB27</f>
        <v>69.284069981583784</v>
      </c>
      <c r="BI27" s="6">
        <f>'a23'!J23</f>
        <v>44.961434992213619</v>
      </c>
      <c r="BJ27" s="9">
        <f t="shared" si="39"/>
        <v>0.31151112084729582</v>
      </c>
      <c r="BK27" s="9">
        <f t="shared" si="16"/>
        <v>0.37621620659892258</v>
      </c>
      <c r="BL27" s="9">
        <f t="shared" si="17"/>
        <v>0.65381466989121306</v>
      </c>
      <c r="BM27" s="6">
        <f>'a20 (2)'!K23</f>
        <v>7.2</v>
      </c>
      <c r="BN27" s="9">
        <f t="shared" si="40"/>
        <v>0.72817460317460314</v>
      </c>
      <c r="BO27" s="6">
        <f>'a19'!AE27</f>
        <v>68.975353326439162</v>
      </c>
      <c r="BP27" s="6">
        <f>'a23'!K23</f>
        <v>44.516666778145463</v>
      </c>
      <c r="BQ27" s="9">
        <f t="shared" si="41"/>
        <v>0.30705528199379395</v>
      </c>
      <c r="BR27" s="9">
        <f t="shared" si="18"/>
        <v>0.3702976105966353</v>
      </c>
      <c r="BS27" s="9">
        <f t="shared" si="19"/>
        <v>0.65659920465900967</v>
      </c>
      <c r="BT27" s="6">
        <f>'a20 (2)'!L23</f>
        <v>9.1</v>
      </c>
      <c r="BU27" s="9">
        <f t="shared" si="42"/>
        <v>0.6339285714285714</v>
      </c>
      <c r="BV27" s="6">
        <f>'a19'!AH27</f>
        <v>76.991169977924955</v>
      </c>
      <c r="BW27" s="6">
        <f>'a23'!L23</f>
        <v>42.095275598620759</v>
      </c>
      <c r="BX27" s="9">
        <f t="shared" si="43"/>
        <v>0.32409645188810077</v>
      </c>
      <c r="BY27" s="9">
        <f t="shared" si="20"/>
        <v>0.3929330342119835</v>
      </c>
      <c r="BZ27" s="9">
        <f t="shared" si="21"/>
        <v>0.58572946398525383</v>
      </c>
    </row>
    <row r="28" spans="1:78">
      <c r="A28" s="1">
        <v>1990</v>
      </c>
      <c r="B28" s="6">
        <f>'a20 (2)'!B24</f>
        <v>8.1</v>
      </c>
      <c r="C28" s="9">
        <f t="shared" si="22"/>
        <v>0.68353174603174605</v>
      </c>
      <c r="D28" s="6">
        <f>'a19'!D28</f>
        <v>83.116132838355057</v>
      </c>
      <c r="E28" s="6">
        <f>'a23'!B24</f>
        <v>43.488702292208451</v>
      </c>
      <c r="F28" s="9">
        <f t="shared" si="23"/>
        <v>0.36146127566868735</v>
      </c>
      <c r="G28" s="9">
        <f t="shared" si="0"/>
        <v>0.44256393513205305</v>
      </c>
      <c r="H28" s="9">
        <f t="shared" si="1"/>
        <v>0.63533818385180751</v>
      </c>
      <c r="I28" s="6">
        <f>'a20 (2)'!C24</f>
        <v>17</v>
      </c>
      <c r="J28" s="9">
        <f t="shared" si="24"/>
        <v>0.24206349206349201</v>
      </c>
      <c r="K28" s="6">
        <f>'a19'!G28</f>
        <v>151.96217494089836</v>
      </c>
      <c r="L28" s="6">
        <f>'a23'!C24</f>
        <v>42.511782195574469</v>
      </c>
      <c r="M28" s="9">
        <f t="shared" si="25"/>
        <v>0.64601828830532559</v>
      </c>
      <c r="N28" s="9">
        <f t="shared" si="2"/>
        <v>0.82053496433352546</v>
      </c>
      <c r="O28" s="9">
        <f t="shared" si="3"/>
        <v>0.35775778651749873</v>
      </c>
      <c r="P28" s="6">
        <f>'a20 (2)'!D24</f>
        <v>14.4</v>
      </c>
      <c r="Q28" s="9">
        <f t="shared" si="26"/>
        <v>0.37103174603174593</v>
      </c>
      <c r="R28" s="6">
        <f>'a19'!J28</f>
        <v>121.22759856630822</v>
      </c>
      <c r="S28" s="6">
        <f>'a23'!D24</f>
        <v>48.340001121222436</v>
      </c>
      <c r="T28" s="9">
        <f t="shared" si="27"/>
        <v>0.58601422506184431</v>
      </c>
      <c r="U28" s="9">
        <f t="shared" si="4"/>
        <v>0.74083284302481756</v>
      </c>
      <c r="V28" s="9">
        <f t="shared" si="5"/>
        <v>0.44499196543036029</v>
      </c>
      <c r="W28" s="6">
        <f>'a20 (2)'!E24</f>
        <v>10.7</v>
      </c>
      <c r="X28" s="9">
        <f t="shared" si="28"/>
        <v>0.55456349206349209</v>
      </c>
      <c r="Y28" s="6">
        <f>'a19'!M28</f>
        <v>103.39840925524221</v>
      </c>
      <c r="Z28" s="6">
        <f>'a23'!E24</f>
        <v>43.728994619507986</v>
      </c>
      <c r="AA28" s="9">
        <f t="shared" si="29"/>
        <v>0.45215084819881712</v>
      </c>
      <c r="AB28" s="9">
        <f t="shared" si="6"/>
        <v>0.56302496594427087</v>
      </c>
      <c r="AC28" s="9">
        <f t="shared" si="7"/>
        <v>0.55625578683964783</v>
      </c>
      <c r="AD28" s="6">
        <f>'a20 (2)'!F24</f>
        <v>12.1</v>
      </c>
      <c r="AE28" s="9">
        <f t="shared" si="30"/>
        <v>0.48511904761904756</v>
      </c>
      <c r="AF28" s="6">
        <f>'a19'!P28</f>
        <v>127.60492332526233</v>
      </c>
      <c r="AG28" s="6">
        <f>'a23'!F24</f>
        <v>46.122407682639512</v>
      </c>
      <c r="AH28" s="9">
        <f t="shared" si="31"/>
        <v>0.58854462959197051</v>
      </c>
      <c r="AI28" s="9">
        <f t="shared" si="8"/>
        <v>0.74419392555687647</v>
      </c>
      <c r="AJ28" s="9">
        <f t="shared" si="9"/>
        <v>0.53693402320661332</v>
      </c>
      <c r="AK28" s="6">
        <f>'a20 (2)'!G24</f>
        <v>10.4</v>
      </c>
      <c r="AL28" s="9">
        <f t="shared" si="32"/>
        <v>0.56944444444444442</v>
      </c>
      <c r="AM28" s="6">
        <f>'a19'!S28</f>
        <v>90.496895827627142</v>
      </c>
      <c r="AN28" s="6">
        <f>'a23'!G24</f>
        <v>43.034726528980379</v>
      </c>
      <c r="AO28" s="9">
        <f t="shared" si="33"/>
        <v>0.38945091636635593</v>
      </c>
      <c r="AP28" s="9">
        <f t="shared" si="10"/>
        <v>0.47974197971247701</v>
      </c>
      <c r="AQ28" s="9">
        <f t="shared" si="11"/>
        <v>0.55150395149805098</v>
      </c>
      <c r="AR28" s="6">
        <f>'a20 (2)'!H24</f>
        <v>6.2</v>
      </c>
      <c r="AS28" s="9">
        <f t="shared" si="34"/>
        <v>0.77777777777777779</v>
      </c>
      <c r="AT28" s="6">
        <f>'a19'!V28</f>
        <v>65.823572474377741</v>
      </c>
      <c r="AU28" s="6">
        <f>'a23'!H24</f>
        <v>44.949975957432606</v>
      </c>
      <c r="AV28" s="9">
        <f t="shared" si="35"/>
        <v>0.29587680001556022</v>
      </c>
      <c r="AW28" s="9">
        <f t="shared" si="12"/>
        <v>0.35544947067882432</v>
      </c>
      <c r="AX28" s="9">
        <f t="shared" si="13"/>
        <v>0.69331211635798706</v>
      </c>
      <c r="AY28" s="6">
        <f>'a20 (2)'!I24</f>
        <v>7.4</v>
      </c>
      <c r="AZ28" s="9">
        <f t="shared" si="36"/>
        <v>0.71825396825396814</v>
      </c>
      <c r="BA28" s="6">
        <f>'a19'!Y28</f>
        <v>70.918907905460472</v>
      </c>
      <c r="BB28" s="6">
        <f>'a23'!I24</f>
        <v>45.058045377889869</v>
      </c>
      <c r="BC28" s="9">
        <f t="shared" si="37"/>
        <v>0.31954673705546305</v>
      </c>
      <c r="BD28" s="9">
        <f t="shared" si="14"/>
        <v>0.38688974474274385</v>
      </c>
      <c r="BE28" s="9">
        <f t="shared" si="15"/>
        <v>0.65198112355172333</v>
      </c>
      <c r="BF28" s="6">
        <f>'a20 (2)'!J24</f>
        <v>7</v>
      </c>
      <c r="BG28" s="9">
        <f t="shared" si="38"/>
        <v>0.73809523809523803</v>
      </c>
      <c r="BH28" s="6">
        <f>'a19'!AB28</f>
        <v>67.437015503875969</v>
      </c>
      <c r="BI28" s="6">
        <f>'a23'!J24</f>
        <v>44.746038602886145</v>
      </c>
      <c r="BJ28" s="9">
        <f t="shared" si="39"/>
        <v>0.30175392989998656</v>
      </c>
      <c r="BK28" s="9">
        <f t="shared" si="16"/>
        <v>0.36325593733583805</v>
      </c>
      <c r="BL28" s="9">
        <f t="shared" si="17"/>
        <v>0.66312737794335808</v>
      </c>
      <c r="BM28" s="6">
        <f>'a20 (2)'!K24</f>
        <v>6.9</v>
      </c>
      <c r="BN28" s="9">
        <f t="shared" si="40"/>
        <v>0.74305555555555547</v>
      </c>
      <c r="BO28" s="6">
        <f>'a19'!AE28</f>
        <v>67.185618136733964</v>
      </c>
      <c r="BP28" s="6">
        <f>'a23'!K24</f>
        <v>45.251004632791805</v>
      </c>
      <c r="BQ28" s="9">
        <f t="shared" si="41"/>
        <v>0.30402167175623301</v>
      </c>
      <c r="BR28" s="9">
        <f t="shared" si="18"/>
        <v>0.36626813062331554</v>
      </c>
      <c r="BS28" s="9">
        <f t="shared" si="19"/>
        <v>0.66769807056910757</v>
      </c>
      <c r="BT28" s="6">
        <f>'a20 (2)'!L24</f>
        <v>8.4</v>
      </c>
      <c r="BU28" s="9">
        <f t="shared" si="42"/>
        <v>0.66865079365079361</v>
      </c>
      <c r="BV28" s="6">
        <f>'a19'!AH28</f>
        <v>78.895281264528109</v>
      </c>
      <c r="BW28" s="6">
        <f>'a23'!L24</f>
        <v>44.380888195197599</v>
      </c>
      <c r="BX28" s="9">
        <f t="shared" si="43"/>
        <v>0.35014426569296897</v>
      </c>
      <c r="BY28" s="9">
        <f t="shared" si="20"/>
        <v>0.42753179142077602</v>
      </c>
      <c r="BZ28" s="9">
        <f t="shared" si="21"/>
        <v>0.62042699320479011</v>
      </c>
    </row>
    <row r="29" spans="1:78">
      <c r="A29" s="1">
        <v>1991</v>
      </c>
      <c r="B29" s="6">
        <f>'a20 (2)'!B25</f>
        <v>10.3</v>
      </c>
      <c r="C29" s="9">
        <f t="shared" si="22"/>
        <v>0.57440476190476186</v>
      </c>
      <c r="D29" s="6">
        <f>'a19'!D29</f>
        <v>78.161370295244538</v>
      </c>
      <c r="E29" s="6">
        <f>'a23'!B25</f>
        <v>44.198228328663106</v>
      </c>
      <c r="F29" s="9">
        <f t="shared" si="23"/>
        <v>0.34545940907904044</v>
      </c>
      <c r="G29" s="9">
        <f t="shared" si="0"/>
        <v>0.42130899599703781</v>
      </c>
      <c r="H29" s="9">
        <f t="shared" si="1"/>
        <v>0.54378560872321713</v>
      </c>
      <c r="I29" s="6">
        <f>'a20 (2)'!C25</f>
        <v>18</v>
      </c>
      <c r="J29" s="9">
        <f t="shared" si="24"/>
        <v>0.19246031746031741</v>
      </c>
      <c r="K29" s="6">
        <f>'a19'!G29</f>
        <v>154.45185185185184</v>
      </c>
      <c r="L29" s="6">
        <f>'a23'!C25</f>
        <v>42.660039962566714</v>
      </c>
      <c r="M29" s="9">
        <f t="shared" si="25"/>
        <v>0.65889221722924329</v>
      </c>
      <c r="N29" s="9">
        <f t="shared" si="2"/>
        <v>0.8376351303781181</v>
      </c>
      <c r="O29" s="9">
        <f t="shared" si="3"/>
        <v>0.32149528004387762</v>
      </c>
      <c r="P29" s="6">
        <f>'a20 (2)'!D25</f>
        <v>16.5</v>
      </c>
      <c r="Q29" s="9">
        <f t="shared" si="26"/>
        <v>0.26686507936507931</v>
      </c>
      <c r="R29" s="6">
        <f>'a19'!J29</f>
        <v>120.08647798742138</v>
      </c>
      <c r="S29" s="6">
        <f>'a23'!D25</f>
        <v>49.718127888779698</v>
      </c>
      <c r="T29" s="9">
        <f t="shared" si="27"/>
        <v>0.59704748702917443</v>
      </c>
      <c r="U29" s="9">
        <f t="shared" si="4"/>
        <v>0.75548809029003394</v>
      </c>
      <c r="V29" s="9">
        <f t="shared" si="5"/>
        <v>0.36458968155007027</v>
      </c>
      <c r="W29" s="6">
        <f>'a20 (2)'!E25</f>
        <v>12.1</v>
      </c>
      <c r="X29" s="9">
        <f t="shared" si="28"/>
        <v>0.48511904761904756</v>
      </c>
      <c r="Y29" s="6">
        <f>'a19'!M29</f>
        <v>101.99968132568517</v>
      </c>
      <c r="Z29" s="6">
        <f>'a23'!E25</f>
        <v>43.647212589323246</v>
      </c>
      <c r="AA29" s="9">
        <f t="shared" si="29"/>
        <v>0.44520017748654056</v>
      </c>
      <c r="AB29" s="9">
        <f t="shared" si="6"/>
        <v>0.55379253783288074</v>
      </c>
      <c r="AC29" s="9">
        <f t="shared" si="7"/>
        <v>0.49885374566181417</v>
      </c>
      <c r="AD29" s="6">
        <f>'a20 (2)'!F25</f>
        <v>12.7</v>
      </c>
      <c r="AE29" s="9">
        <f t="shared" si="30"/>
        <v>0.45535714285714285</v>
      </c>
      <c r="AF29" s="6">
        <f>'a19'!P29</f>
        <v>135.29457364341084</v>
      </c>
      <c r="AG29" s="6">
        <f>'a23'!F25</f>
        <v>45.920568139522516</v>
      </c>
      <c r="AH29" s="9">
        <f t="shared" si="31"/>
        <v>0.62128036878998949</v>
      </c>
      <c r="AI29" s="9">
        <f t="shared" si="8"/>
        <v>0.78767611185655473</v>
      </c>
      <c r="AJ29" s="9">
        <f t="shared" si="9"/>
        <v>0.52182093665702523</v>
      </c>
      <c r="AK29" s="6">
        <f>'a20 (2)'!G25</f>
        <v>12.1</v>
      </c>
      <c r="AL29" s="9">
        <f t="shared" si="32"/>
        <v>0.48511904761904756</v>
      </c>
      <c r="AM29" s="6">
        <f>'a19'!S29</f>
        <v>87.556271981242674</v>
      </c>
      <c r="AN29" s="6">
        <f>'a23'!G25</f>
        <v>43.945060653283214</v>
      </c>
      <c r="AO29" s="9">
        <f t="shared" si="33"/>
        <v>0.3847665682791071</v>
      </c>
      <c r="AP29" s="9">
        <f t="shared" si="10"/>
        <v>0.47351985975391436</v>
      </c>
      <c r="AQ29" s="9">
        <f t="shared" si="11"/>
        <v>0.48279921004602094</v>
      </c>
      <c r="AR29" s="6">
        <f>'a20 (2)'!H25</f>
        <v>9.5</v>
      </c>
      <c r="AS29" s="9">
        <f t="shared" si="34"/>
        <v>0.61408730158730152</v>
      </c>
      <c r="AT29" s="6">
        <f>'a19'!V29</f>
        <v>60.270695624803274</v>
      </c>
      <c r="AU29" s="6">
        <f>'a23'!H25</f>
        <v>45.12761289500952</v>
      </c>
      <c r="AV29" s="9">
        <f t="shared" si="35"/>
        <v>0.2719872621069066</v>
      </c>
      <c r="AW29" s="9">
        <f t="shared" si="12"/>
        <v>0.3237175054504306</v>
      </c>
      <c r="AX29" s="9">
        <f t="shared" si="13"/>
        <v>0.55601334235992739</v>
      </c>
      <c r="AY29" s="6">
        <f>'a20 (2)'!I25</f>
        <v>8.6</v>
      </c>
      <c r="AZ29" s="9">
        <f t="shared" si="36"/>
        <v>0.65873015873015872</v>
      </c>
      <c r="BA29" s="6">
        <f>'a19'!Y29</f>
        <v>68.08874912648497</v>
      </c>
      <c r="BB29" s="6">
        <f>'a23'!I25</f>
        <v>46.069326530883387</v>
      </c>
      <c r="BC29" s="9">
        <f t="shared" si="37"/>
        <v>0.31368028165874373</v>
      </c>
      <c r="BD29" s="9">
        <f t="shared" si="14"/>
        <v>0.37909745678077417</v>
      </c>
      <c r="BE29" s="9">
        <f t="shared" si="15"/>
        <v>0.60280361834028184</v>
      </c>
      <c r="BF29" s="6">
        <f>'a20 (2)'!J25</f>
        <v>7.4</v>
      </c>
      <c r="BG29" s="9">
        <f t="shared" si="38"/>
        <v>0.71825396825396814</v>
      </c>
      <c r="BH29" s="6">
        <f>'a19'!AB29</f>
        <v>69.858796296296305</v>
      </c>
      <c r="BI29" s="6">
        <f>'a23'!J25</f>
        <v>44.953363762651335</v>
      </c>
      <c r="BJ29" s="9">
        <f t="shared" si="39"/>
        <v>0.31403878819283676</v>
      </c>
      <c r="BK29" s="9">
        <f t="shared" si="16"/>
        <v>0.37957365338689902</v>
      </c>
      <c r="BL29" s="9">
        <f t="shared" si="17"/>
        <v>0.65051790528055431</v>
      </c>
      <c r="BM29" s="6">
        <f>'a20 (2)'!K25</f>
        <v>8.1999999999999993</v>
      </c>
      <c r="BN29" s="9">
        <f t="shared" si="40"/>
        <v>0.6785714285714286</v>
      </c>
      <c r="BO29" s="6">
        <f>'a19'!AE29</f>
        <v>65.926892950391647</v>
      </c>
      <c r="BP29" s="6">
        <f>'a23'!K25</f>
        <v>45.857101805486764</v>
      </c>
      <c r="BQ29" s="9">
        <f t="shared" si="41"/>
        <v>0.30232162417455377</v>
      </c>
      <c r="BR29" s="9">
        <f t="shared" si="18"/>
        <v>0.36400999356956704</v>
      </c>
      <c r="BS29" s="9">
        <f t="shared" si="19"/>
        <v>0.61565914157105639</v>
      </c>
      <c r="BT29" s="6">
        <f>'a20 (2)'!L25</f>
        <v>9.9</v>
      </c>
      <c r="BU29" s="9">
        <f t="shared" si="42"/>
        <v>0.59424603174603163</v>
      </c>
      <c r="BV29" s="6">
        <f>'a19'!AH29</f>
        <v>76.6474321984997</v>
      </c>
      <c r="BW29" s="6">
        <f>'a23'!L25</f>
        <v>45.516974328257071</v>
      </c>
      <c r="BX29" s="9">
        <f t="shared" si="43"/>
        <v>0.34887592037059351</v>
      </c>
      <c r="BY29" s="9">
        <f t="shared" si="20"/>
        <v>0.42584707529855104</v>
      </c>
      <c r="BZ29" s="9">
        <f t="shared" si="21"/>
        <v>0.56056624045653547</v>
      </c>
    </row>
    <row r="30" spans="1:78">
      <c r="A30" s="1">
        <v>1992</v>
      </c>
      <c r="B30" s="6">
        <f>'a20 (2)'!B26</f>
        <v>11.2</v>
      </c>
      <c r="C30" s="9">
        <f t="shared" si="22"/>
        <v>0.52976190476190477</v>
      </c>
      <c r="D30" s="6">
        <f>'a19'!D30</f>
        <v>71.524264889110384</v>
      </c>
      <c r="E30" s="6">
        <f>'a23'!B26</f>
        <v>44.166622991678459</v>
      </c>
      <c r="F30" s="9">
        <f t="shared" si="23"/>
        <v>0.31589852421142833</v>
      </c>
      <c r="G30" s="9">
        <f t="shared" si="0"/>
        <v>0.3820439011958599</v>
      </c>
      <c r="H30" s="9">
        <f t="shared" si="1"/>
        <v>0.50021830404869583</v>
      </c>
      <c r="I30" s="6">
        <f>'a20 (2)'!C26</f>
        <v>20</v>
      </c>
      <c r="J30" s="9">
        <f t="shared" si="24"/>
        <v>9.32539682539682E-2</v>
      </c>
      <c r="K30" s="6">
        <f>'a19'!G30</f>
        <v>143.17590691307325</v>
      </c>
      <c r="L30" s="6">
        <f>'a23'!C26</f>
        <v>43.52546151295185</v>
      </c>
      <c r="M30" s="9">
        <f t="shared" si="25"/>
        <v>0.62317974259269471</v>
      </c>
      <c r="N30" s="9">
        <f t="shared" si="2"/>
        <v>0.79019900969131496</v>
      </c>
      <c r="O30" s="9">
        <f t="shared" si="3"/>
        <v>0.23264297654143756</v>
      </c>
      <c r="P30" s="6">
        <f>'a20 (2)'!D26</f>
        <v>17.600000000000001</v>
      </c>
      <c r="Q30" s="9">
        <f t="shared" si="26"/>
        <v>0.21230158730158719</v>
      </c>
      <c r="R30" s="6">
        <f>'a19'!J30</f>
        <v>115.31159420289856</v>
      </c>
      <c r="S30" s="6">
        <f>'a23'!D26</f>
        <v>50.166857765698438</v>
      </c>
      <c r="T30" s="9">
        <f t="shared" si="27"/>
        <v>0.57848203451127478</v>
      </c>
      <c r="U30" s="9">
        <f t="shared" si="4"/>
        <v>0.73082799447738167</v>
      </c>
      <c r="V30" s="9">
        <f t="shared" si="5"/>
        <v>0.3160068687367461</v>
      </c>
      <c r="W30" s="6">
        <f>'a20 (2)'!E26</f>
        <v>13.1</v>
      </c>
      <c r="X30" s="9">
        <f t="shared" si="28"/>
        <v>0.43551587301587297</v>
      </c>
      <c r="Y30" s="6">
        <f>'a19'!M30</f>
        <v>96.045780969479353</v>
      </c>
      <c r="Z30" s="6">
        <f>'a23'!E26</f>
        <v>43.887383605556408</v>
      </c>
      <c r="AA30" s="9">
        <f t="shared" si="29"/>
        <v>0.421519803310279</v>
      </c>
      <c r="AB30" s="9">
        <f t="shared" si="6"/>
        <v>0.5223384003426661</v>
      </c>
      <c r="AC30" s="9">
        <f t="shared" si="7"/>
        <v>0.45288037848123164</v>
      </c>
      <c r="AD30" s="6">
        <f>'a20 (2)'!F26</f>
        <v>13</v>
      </c>
      <c r="AE30" s="9">
        <f t="shared" si="30"/>
        <v>0.44047619047619041</v>
      </c>
      <c r="AF30" s="6">
        <f>'a19'!P30</f>
        <v>130.4936186186186</v>
      </c>
      <c r="AG30" s="6">
        <f>'a23'!F26</f>
        <v>46.746373268133659</v>
      </c>
      <c r="AH30" s="9">
        <f t="shared" si="31"/>
        <v>0.61001034050554204</v>
      </c>
      <c r="AI30" s="9">
        <f t="shared" si="8"/>
        <v>0.77270637292679678</v>
      </c>
      <c r="AJ30" s="9">
        <f t="shared" si="9"/>
        <v>0.50692222696631173</v>
      </c>
      <c r="AK30" s="6">
        <f>'a20 (2)'!G26</f>
        <v>12.7</v>
      </c>
      <c r="AL30" s="9">
        <f t="shared" si="32"/>
        <v>0.45535714285714285</v>
      </c>
      <c r="AM30" s="6">
        <f>'a19'!S30</f>
        <v>83.252165725047064</v>
      </c>
      <c r="AN30" s="6">
        <f>'a23'!G26</f>
        <v>43.934508771619882</v>
      </c>
      <c r="AO30" s="9">
        <f t="shared" si="33"/>
        <v>0.36576430053034326</v>
      </c>
      <c r="AP30" s="9">
        <f t="shared" si="10"/>
        <v>0.44827955155833465</v>
      </c>
      <c r="AQ30" s="9">
        <f t="shared" si="11"/>
        <v>0.45394162459738124</v>
      </c>
      <c r="AR30" s="6">
        <f>'a20 (2)'!H26</f>
        <v>10.8</v>
      </c>
      <c r="AS30" s="9">
        <f t="shared" si="34"/>
        <v>0.54960317460317454</v>
      </c>
      <c r="AT30" s="6">
        <f>'a19'!V30</f>
        <v>54.106683445190157</v>
      </c>
      <c r="AU30" s="6">
        <f>'a23'!H26</f>
        <v>44.69929836284664</v>
      </c>
      <c r="AV30" s="9">
        <f t="shared" si="35"/>
        <v>0.241853078674065</v>
      </c>
      <c r="AW30" s="9">
        <f t="shared" si="12"/>
        <v>0.28369091035540389</v>
      </c>
      <c r="AX30" s="9">
        <f t="shared" si="13"/>
        <v>0.49642072175362045</v>
      </c>
      <c r="AY30" s="6">
        <f>'a20 (2)'!I26</f>
        <v>9.3000000000000007</v>
      </c>
      <c r="AZ30" s="9">
        <f t="shared" si="36"/>
        <v>0.6240079365079364</v>
      </c>
      <c r="BA30" s="6">
        <f>'a19'!Y30</f>
        <v>59.443900848010429</v>
      </c>
      <c r="BB30" s="6">
        <f>'a23'!I26</f>
        <v>45.704504223318956</v>
      </c>
      <c r="BC30" s="9">
        <f t="shared" si="37"/>
        <v>0.2716854017358446</v>
      </c>
      <c r="BD30" s="9">
        <f t="shared" si="14"/>
        <v>0.32331655073816301</v>
      </c>
      <c r="BE30" s="9">
        <f t="shared" si="15"/>
        <v>0.56386965935398181</v>
      </c>
      <c r="BF30" s="6">
        <f>'a20 (2)'!J26</f>
        <v>8</v>
      </c>
      <c r="BG30" s="9">
        <f t="shared" si="38"/>
        <v>0.68849206349206349</v>
      </c>
      <c r="BH30" s="6">
        <f>'a19'!AB30</f>
        <v>64.80884879725086</v>
      </c>
      <c r="BI30" s="6">
        <f>'a23'!J26</f>
        <v>46.553851577648516</v>
      </c>
      <c r="BJ30" s="9">
        <f t="shared" si="39"/>
        <v>0.30171015278254809</v>
      </c>
      <c r="BK30" s="9">
        <f t="shared" si="16"/>
        <v>0.36319778912160017</v>
      </c>
      <c r="BL30" s="9">
        <f t="shared" si="17"/>
        <v>0.62343320861797091</v>
      </c>
      <c r="BM30" s="6">
        <f>'a20 (2)'!K26</f>
        <v>9.5</v>
      </c>
      <c r="BN30" s="9">
        <f t="shared" si="40"/>
        <v>0.61408730158730152</v>
      </c>
      <c r="BO30" s="6">
        <f>'a19'!AE30</f>
        <v>58.859223300970868</v>
      </c>
      <c r="BP30" s="6">
        <f>'a23'!K26</f>
        <v>45.966372837087825</v>
      </c>
      <c r="BQ30" s="9">
        <f t="shared" si="41"/>
        <v>0.27055450031538342</v>
      </c>
      <c r="BR30" s="9">
        <f t="shared" si="18"/>
        <v>0.32181439842830956</v>
      </c>
      <c r="BS30" s="9">
        <f t="shared" si="19"/>
        <v>0.5556327209555032</v>
      </c>
      <c r="BT30" s="6">
        <f>'a20 (2)'!L26</f>
        <v>10.1</v>
      </c>
      <c r="BU30" s="9">
        <f t="shared" si="42"/>
        <v>0.58432539682539675</v>
      </c>
      <c r="BV30" s="6">
        <f>'a19'!AH30</f>
        <v>68.364366557137643</v>
      </c>
      <c r="BW30" s="6">
        <f>'a23'!L26</f>
        <v>45.213053096046991</v>
      </c>
      <c r="BX30" s="9">
        <f t="shared" si="43"/>
        <v>0.30909617350254837</v>
      </c>
      <c r="BY30" s="9">
        <f t="shared" si="20"/>
        <v>0.37300848339117604</v>
      </c>
      <c r="BZ30" s="9">
        <f t="shared" si="21"/>
        <v>0.54206201413855259</v>
      </c>
    </row>
    <row r="31" spans="1:78">
      <c r="A31" s="1">
        <v>1993</v>
      </c>
      <c r="B31" s="6">
        <f>'a20 (2)'!B27</f>
        <v>11.4</v>
      </c>
      <c r="C31" s="9">
        <f t="shared" si="22"/>
        <v>0.51984126984126977</v>
      </c>
      <c r="D31" s="6">
        <f>'a19'!D31</f>
        <v>65.346313097485236</v>
      </c>
      <c r="E31" s="6">
        <f>'a23'!B27</f>
        <v>43.923888116847095</v>
      </c>
      <c r="F31" s="9">
        <f t="shared" si="23"/>
        <v>0.28702641453424016</v>
      </c>
      <c r="G31" s="9">
        <f t="shared" si="0"/>
        <v>0.34369369183433696</v>
      </c>
      <c r="H31" s="9">
        <f t="shared" si="1"/>
        <v>0.48461175423988323</v>
      </c>
      <c r="I31" s="6">
        <f>'a20 (2)'!C27</f>
        <v>20.100000000000001</v>
      </c>
      <c r="J31" s="9">
        <f t="shared" si="24"/>
        <v>8.8293650793650674E-2</v>
      </c>
      <c r="K31" s="6">
        <f>'a19'!G31</f>
        <v>125.92213114754099</v>
      </c>
      <c r="L31" s="6">
        <f>'a23'!C27</f>
        <v>42.621787253454336</v>
      </c>
      <c r="M31" s="9">
        <f t="shared" si="25"/>
        <v>0.53670262842720673</v>
      </c>
      <c r="N31" s="9">
        <f t="shared" si="2"/>
        <v>0.67533329775315754</v>
      </c>
      <c r="O31" s="9">
        <f t="shared" si="3"/>
        <v>0.20570158018555207</v>
      </c>
      <c r="P31" s="6">
        <f>'a20 (2)'!D27</f>
        <v>16.899999999999999</v>
      </c>
      <c r="Q31" s="9">
        <f t="shared" si="26"/>
        <v>0.24702380952380953</v>
      </c>
      <c r="R31" s="6">
        <f>'a19'!J31</f>
        <v>120.64564564564563</v>
      </c>
      <c r="S31" s="6">
        <f>'a23'!D27</f>
        <v>50.243596688612946</v>
      </c>
      <c r="T31" s="9">
        <f t="shared" si="27"/>
        <v>0.60616711620571317</v>
      </c>
      <c r="U31" s="9">
        <f t="shared" si="4"/>
        <v>0.76760149980981152</v>
      </c>
      <c r="V31" s="9">
        <f t="shared" si="5"/>
        <v>0.35113934758100995</v>
      </c>
      <c r="W31" s="6">
        <f>'a20 (2)'!E27</f>
        <v>14.3</v>
      </c>
      <c r="X31" s="9">
        <f t="shared" si="28"/>
        <v>0.37599206349206338</v>
      </c>
      <c r="Y31" s="6">
        <f>'a19'!M31</f>
        <v>84.81948968512485</v>
      </c>
      <c r="Z31" s="6">
        <f>'a23'!E27</f>
        <v>44.662877142623337</v>
      </c>
      <c r="AA31" s="9">
        <f t="shared" si="29"/>
        <v>0.37882824471067389</v>
      </c>
      <c r="AB31" s="9">
        <f t="shared" si="6"/>
        <v>0.46563211082762745</v>
      </c>
      <c r="AC31" s="9">
        <f t="shared" si="7"/>
        <v>0.39392007295917619</v>
      </c>
      <c r="AD31" s="6">
        <f>'a20 (2)'!F27</f>
        <v>12.6</v>
      </c>
      <c r="AE31" s="9">
        <f t="shared" si="30"/>
        <v>0.46031746031746029</v>
      </c>
      <c r="AF31" s="6">
        <f>'a19'!P31</f>
        <v>129.29368745188606</v>
      </c>
      <c r="AG31" s="6">
        <f>'a23'!F27</f>
        <v>47.275250602715403</v>
      </c>
      <c r="AH31" s="9">
        <f t="shared" si="31"/>
        <v>0.61123914756370734</v>
      </c>
      <c r="AI31" s="9">
        <f t="shared" si="8"/>
        <v>0.77433857121339411</v>
      </c>
      <c r="AJ31" s="9">
        <f t="shared" si="9"/>
        <v>0.52312168249664714</v>
      </c>
      <c r="AK31" s="6">
        <f>'a20 (2)'!G27</f>
        <v>13.2</v>
      </c>
      <c r="AL31" s="9">
        <f t="shared" si="32"/>
        <v>0.43055555555555552</v>
      </c>
      <c r="AM31" s="6">
        <f>'a19'!S31</f>
        <v>75.57314174589456</v>
      </c>
      <c r="AN31" s="6">
        <f>'a23'!G27</f>
        <v>44.103813398995278</v>
      </c>
      <c r="AO31" s="9">
        <f t="shared" si="33"/>
        <v>0.33330637415367537</v>
      </c>
      <c r="AP31" s="9">
        <f t="shared" si="10"/>
        <v>0.40516637812197848</v>
      </c>
      <c r="AQ31" s="9">
        <f t="shared" si="11"/>
        <v>0.42547772006884016</v>
      </c>
      <c r="AR31" s="6">
        <f>'a20 (2)'!H27</f>
        <v>10.9</v>
      </c>
      <c r="AS31" s="9">
        <f t="shared" si="34"/>
        <v>0.5446428571428571</v>
      </c>
      <c r="AT31" s="6">
        <f>'a19'!V31</f>
        <v>48.640568219359103</v>
      </c>
      <c r="AU31" s="6">
        <f>'a23'!H27</f>
        <v>43.882535533409573</v>
      </c>
      <c r="AV31" s="9">
        <f t="shared" si="35"/>
        <v>0.21344714632512582</v>
      </c>
      <c r="AW31" s="9">
        <f t="shared" si="12"/>
        <v>0.24595991442642307</v>
      </c>
      <c r="AX31" s="9">
        <f t="shared" si="13"/>
        <v>0.48490626859957031</v>
      </c>
      <c r="AY31" s="6">
        <f>'a20 (2)'!I27</f>
        <v>9.3000000000000007</v>
      </c>
      <c r="AZ31" s="9">
        <f t="shared" si="36"/>
        <v>0.6240079365079364</v>
      </c>
      <c r="BA31" s="6">
        <f>'a19'!Y31</f>
        <v>54.68629343629344</v>
      </c>
      <c r="BB31" s="6">
        <f>'a23'!I27</f>
        <v>45.899940222526467</v>
      </c>
      <c r="BC31" s="9">
        <f t="shared" si="37"/>
        <v>0.25100975997174108</v>
      </c>
      <c r="BD31" s="9">
        <f t="shared" si="14"/>
        <v>0.29585353541982973</v>
      </c>
      <c r="BE31" s="9">
        <f t="shared" si="15"/>
        <v>0.55837705629031509</v>
      </c>
      <c r="BF31" s="6">
        <f>'a20 (2)'!J27</f>
        <v>8.3000000000000007</v>
      </c>
      <c r="BG31" s="9">
        <f t="shared" si="38"/>
        <v>0.67361111111111105</v>
      </c>
      <c r="BH31" s="6">
        <f>'a19'!AB31</f>
        <v>57.772988505747115</v>
      </c>
      <c r="BI31" s="6">
        <f>'a23'!J27</f>
        <v>46.420875878401993</v>
      </c>
      <c r="BJ31" s="9">
        <f t="shared" si="39"/>
        <v>0.26818727285496319</v>
      </c>
      <c r="BK31" s="9">
        <f t="shared" si="16"/>
        <v>0.31867006052822222</v>
      </c>
      <c r="BL31" s="9">
        <f t="shared" si="17"/>
        <v>0.60262290099453331</v>
      </c>
      <c r="BM31" s="6">
        <f>'a20 (2)'!K27</f>
        <v>9.6</v>
      </c>
      <c r="BN31" s="9">
        <f t="shared" si="40"/>
        <v>0.60912698412698407</v>
      </c>
      <c r="BO31" s="6">
        <f>'a19'!AE31</f>
        <v>53.411686103012634</v>
      </c>
      <c r="BP31" s="6">
        <f>'a23'!K27</f>
        <v>45.55617859395808</v>
      </c>
      <c r="BQ31" s="9">
        <f t="shared" si="41"/>
        <v>0.24332323111132723</v>
      </c>
      <c r="BR31" s="9">
        <f t="shared" si="18"/>
        <v>0.2856436825772033</v>
      </c>
      <c r="BS31" s="9">
        <f t="shared" si="19"/>
        <v>0.54443032381702794</v>
      </c>
      <c r="BT31" s="6">
        <f>'a20 (2)'!L27</f>
        <v>9.6999999999999993</v>
      </c>
      <c r="BU31" s="9">
        <f t="shared" si="42"/>
        <v>0.60416666666666663</v>
      </c>
      <c r="BV31" s="6">
        <f>'a19'!AH31</f>
        <v>65.054690396737101</v>
      </c>
      <c r="BW31" s="6">
        <f>'a23'!L27</f>
        <v>45.028925430298024</v>
      </c>
      <c r="BX31" s="9">
        <f t="shared" si="43"/>
        <v>0.29293428027657997</v>
      </c>
      <c r="BY31" s="9">
        <f t="shared" si="20"/>
        <v>0.35154098427786462</v>
      </c>
      <c r="BZ31" s="9">
        <f t="shared" si="21"/>
        <v>0.55364153018890627</v>
      </c>
    </row>
    <row r="32" spans="1:78">
      <c r="A32" s="1">
        <v>1994</v>
      </c>
      <c r="B32" s="6">
        <f>'a20 (2)'!B28</f>
        <v>10.4</v>
      </c>
      <c r="C32" s="9">
        <f t="shared" si="22"/>
        <v>0.56944444444444442</v>
      </c>
      <c r="D32" s="6">
        <f>'a19'!D32</f>
        <v>59.139768976897692</v>
      </c>
      <c r="E32" s="6">
        <f>'a23'!B28</f>
        <v>42.470651733909051</v>
      </c>
      <c r="F32" s="9">
        <f t="shared" si="23"/>
        <v>0.25117045318416609</v>
      </c>
      <c r="G32" s="9">
        <f t="shared" si="0"/>
        <v>0.29606698079699051</v>
      </c>
      <c r="H32" s="9">
        <f t="shared" si="1"/>
        <v>0.51476895171495363</v>
      </c>
      <c r="I32" s="6">
        <f>'a20 (2)'!C28</f>
        <v>20</v>
      </c>
      <c r="J32" s="9">
        <f t="shared" si="24"/>
        <v>9.32539682539682E-2</v>
      </c>
      <c r="K32" s="6">
        <f>'a19'!G32</f>
        <v>104.97066942719118</v>
      </c>
      <c r="L32" s="6">
        <f>'a23'!C28</f>
        <v>41.638175363226829</v>
      </c>
      <c r="M32" s="9">
        <f t="shared" si="25"/>
        <v>0.43707871416046989</v>
      </c>
      <c r="N32" s="9">
        <f t="shared" si="2"/>
        <v>0.54300497078776022</v>
      </c>
      <c r="O32" s="9">
        <f t="shared" si="3"/>
        <v>0.18320416876072659</v>
      </c>
      <c r="P32" s="6">
        <f>'a20 (2)'!D28</f>
        <v>16.5</v>
      </c>
      <c r="Q32" s="9">
        <f t="shared" si="26"/>
        <v>0.26686507936507931</v>
      </c>
      <c r="R32" s="6">
        <f>'a19'!J32</f>
        <v>108.50757575757576</v>
      </c>
      <c r="S32" s="6">
        <f>'a23'!D28</f>
        <v>48.190251249400973</v>
      </c>
      <c r="T32" s="9">
        <f t="shared" si="27"/>
        <v>0.52290073382209867</v>
      </c>
      <c r="U32" s="9">
        <f t="shared" si="4"/>
        <v>0.65700053462605668</v>
      </c>
      <c r="V32" s="9">
        <f t="shared" si="5"/>
        <v>0.34489217041727482</v>
      </c>
      <c r="W32" s="6">
        <f>'a20 (2)'!E28</f>
        <v>13.5</v>
      </c>
      <c r="X32" s="9">
        <f t="shared" si="28"/>
        <v>0.41567460317460314</v>
      </c>
      <c r="Y32" s="6">
        <f>'a19'!M32</f>
        <v>83.144004589787713</v>
      </c>
      <c r="Z32" s="6">
        <f>'a23'!E28</f>
        <v>43.678101503759393</v>
      </c>
      <c r="AA32" s="9">
        <f t="shared" si="29"/>
        <v>0.36315722719017846</v>
      </c>
      <c r="AB32" s="9">
        <f t="shared" si="6"/>
        <v>0.4448166314761503</v>
      </c>
      <c r="AC32" s="9">
        <f t="shared" si="7"/>
        <v>0.4215030088349126</v>
      </c>
      <c r="AD32" s="6">
        <f>'a20 (2)'!F28</f>
        <v>12.5</v>
      </c>
      <c r="AE32" s="9">
        <f t="shared" si="30"/>
        <v>0.46527777777777773</v>
      </c>
      <c r="AF32" s="6">
        <f>'a19'!P32</f>
        <v>120.54517133956388</v>
      </c>
      <c r="AG32" s="6">
        <f>'a23'!F28</f>
        <v>46.691971562117487</v>
      </c>
      <c r="AH32" s="9">
        <f t="shared" si="31"/>
        <v>0.56284917121374967</v>
      </c>
      <c r="AI32" s="9">
        <f t="shared" si="8"/>
        <v>0.71006319456898292</v>
      </c>
      <c r="AJ32" s="9">
        <f t="shared" si="9"/>
        <v>0.51423486113601879</v>
      </c>
      <c r="AK32" s="6">
        <f>'a20 (2)'!G28</f>
        <v>12.3</v>
      </c>
      <c r="AL32" s="9">
        <f t="shared" si="32"/>
        <v>0.47519841269841262</v>
      </c>
      <c r="AM32" s="6">
        <f>'a19'!S32</f>
        <v>69.037577568375085</v>
      </c>
      <c r="AN32" s="6">
        <f>'a23'!G28</f>
        <v>42.977357244639073</v>
      </c>
      <c r="AO32" s="9">
        <f t="shared" si="33"/>
        <v>0.29670526344605369</v>
      </c>
      <c r="AP32" s="9">
        <f t="shared" si="10"/>
        <v>0.35654990103749995</v>
      </c>
      <c r="AQ32" s="9">
        <f t="shared" si="11"/>
        <v>0.45146871036623015</v>
      </c>
      <c r="AR32" s="6">
        <f>'a20 (2)'!H28</f>
        <v>9.6</v>
      </c>
      <c r="AS32" s="9">
        <f t="shared" si="34"/>
        <v>0.60912698412698407</v>
      </c>
      <c r="AT32" s="6">
        <f>'a19'!V32</f>
        <v>42.716517022072573</v>
      </c>
      <c r="AU32" s="6">
        <f>'a23'!H28</f>
        <v>41.970049263175788</v>
      </c>
      <c r="AV32" s="9">
        <f t="shared" si="35"/>
        <v>0.1792814323767673</v>
      </c>
      <c r="AW32" s="9">
        <f t="shared" si="12"/>
        <v>0.20057832307216569</v>
      </c>
      <c r="AX32" s="9">
        <f t="shared" si="13"/>
        <v>0.5274172519160204</v>
      </c>
      <c r="AY32" s="6">
        <f>'a20 (2)'!I28</f>
        <v>8.8000000000000007</v>
      </c>
      <c r="AZ32" s="9">
        <f t="shared" si="36"/>
        <v>0.64880952380952372</v>
      </c>
      <c r="BA32" s="6">
        <f>'a19'!Y32</f>
        <v>47.737850787132089</v>
      </c>
      <c r="BB32" s="6">
        <f>'a23'!I28</f>
        <v>44.819160728424379</v>
      </c>
      <c r="BC32" s="9">
        <f t="shared" si="37"/>
        <v>0.21395704072580132</v>
      </c>
      <c r="BD32" s="9">
        <f t="shared" si="14"/>
        <v>0.24663719631669045</v>
      </c>
      <c r="BE32" s="9">
        <f t="shared" si="15"/>
        <v>0.56837505831095703</v>
      </c>
      <c r="BF32" s="6">
        <f>'a20 (2)'!J28</f>
        <v>6.9</v>
      </c>
      <c r="BG32" s="9">
        <f t="shared" si="38"/>
        <v>0.74305555555555547</v>
      </c>
      <c r="BH32" s="6">
        <f>'a19'!AB32</f>
        <v>55.89303482587065</v>
      </c>
      <c r="BI32" s="6">
        <f>'a23'!J28</f>
        <v>44.0530060208404</v>
      </c>
      <c r="BJ32" s="9">
        <f t="shared" si="39"/>
        <v>0.24622561997071221</v>
      </c>
      <c r="BK32" s="9">
        <f t="shared" si="16"/>
        <v>0.28949886398412039</v>
      </c>
      <c r="BL32" s="9">
        <f t="shared" si="17"/>
        <v>0.65234421724126856</v>
      </c>
      <c r="BM32" s="6">
        <f>'a20 (2)'!K28</f>
        <v>8.8000000000000007</v>
      </c>
      <c r="BN32" s="9">
        <f t="shared" si="40"/>
        <v>0.64880952380952372</v>
      </c>
      <c r="BO32" s="6">
        <f>'a19'!AE32</f>
        <v>48.70073087966589</v>
      </c>
      <c r="BP32" s="6">
        <f>'a23'!K28</f>
        <v>45.466589962170737</v>
      </c>
      <c r="BQ32" s="9">
        <f t="shared" si="41"/>
        <v>0.22142561617637957</v>
      </c>
      <c r="BR32" s="9">
        <f t="shared" si="18"/>
        <v>0.25655754627948896</v>
      </c>
      <c r="BS32" s="9">
        <f t="shared" si="19"/>
        <v>0.57035912830351676</v>
      </c>
      <c r="BT32" s="6">
        <f>'a20 (2)'!L28</f>
        <v>9.1</v>
      </c>
      <c r="BU32" s="9">
        <f t="shared" si="42"/>
        <v>0.6339285714285714</v>
      </c>
      <c r="BV32" s="6">
        <f>'a19'!AH32</f>
        <v>55.539383561643838</v>
      </c>
      <c r="BW32" s="6">
        <f>'a23'!L28</f>
        <v>43.901262250185461</v>
      </c>
      <c r="BX32" s="9">
        <f t="shared" si="43"/>
        <v>0.24382490429533654</v>
      </c>
      <c r="BY32" s="9">
        <f t="shared" si="20"/>
        <v>0.28631004440018509</v>
      </c>
      <c r="BZ32" s="9">
        <f t="shared" si="21"/>
        <v>0.56440486602289419</v>
      </c>
    </row>
    <row r="33" spans="1:78">
      <c r="A33" s="1">
        <v>1995</v>
      </c>
      <c r="B33" s="6">
        <f>'a20 (2)'!B29</f>
        <v>9.5</v>
      </c>
      <c r="C33" s="9">
        <f t="shared" si="22"/>
        <v>0.61408730158730152</v>
      </c>
      <c r="D33" s="6">
        <f>'a19'!D33</f>
        <v>52.84719232792844</v>
      </c>
      <c r="E33" s="6">
        <f>'a23'!B29</f>
        <v>42.253662284731156</v>
      </c>
      <c r="F33" s="9">
        <f t="shared" si="23"/>
        <v>0.22329874173205236</v>
      </c>
      <c r="G33" s="9">
        <f t="shared" si="0"/>
        <v>0.25904557912584608</v>
      </c>
      <c r="H33" s="9">
        <f t="shared" si="1"/>
        <v>0.54307895709501042</v>
      </c>
      <c r="I33" s="6">
        <f>'a20 (2)'!C29</f>
        <v>18</v>
      </c>
      <c r="J33" s="9">
        <f t="shared" si="24"/>
        <v>0.19246031746031741</v>
      </c>
      <c r="K33" s="6">
        <f>'a19'!G33</f>
        <v>91.701795472287273</v>
      </c>
      <c r="L33" s="6">
        <f>'a23'!C29</f>
        <v>43.327463945187105</v>
      </c>
      <c r="M33" s="9">
        <f t="shared" si="25"/>
        <v>0.3973206237034449</v>
      </c>
      <c r="N33" s="9">
        <f t="shared" si="2"/>
        <v>0.49019514463065172</v>
      </c>
      <c r="O33" s="9">
        <f t="shared" si="3"/>
        <v>0.25200728289438429</v>
      </c>
      <c r="P33" s="6">
        <f>'a20 (2)'!D29</f>
        <v>14.8</v>
      </c>
      <c r="Q33" s="9">
        <f t="shared" si="26"/>
        <v>0.35119047619047611</v>
      </c>
      <c r="R33" s="6">
        <f>'a19'!J33</f>
        <v>103.13131313131312</v>
      </c>
      <c r="S33" s="6">
        <f>'a23'!D29</f>
        <v>47.067688481604627</v>
      </c>
      <c r="T33" s="9">
        <f t="shared" si="27"/>
        <v>0.48541525191634666</v>
      </c>
      <c r="U33" s="9">
        <f t="shared" si="4"/>
        <v>0.60720936608394638</v>
      </c>
      <c r="V33" s="9">
        <f t="shared" si="5"/>
        <v>0.40239425416917018</v>
      </c>
      <c r="W33" s="6">
        <f>'a20 (2)'!E29</f>
        <v>12.2</v>
      </c>
      <c r="X33" s="9">
        <f t="shared" si="28"/>
        <v>0.48015873015873012</v>
      </c>
      <c r="Y33" s="6">
        <f>'a19'!M33</f>
        <v>73.419871794871796</v>
      </c>
      <c r="Z33" s="6">
        <f>'a23'!E29</f>
        <v>43.942374706963186</v>
      </c>
      <c r="AA33" s="9">
        <f t="shared" si="29"/>
        <v>0.32262435173474541</v>
      </c>
      <c r="AB33" s="9">
        <f t="shared" si="6"/>
        <v>0.39097767488031288</v>
      </c>
      <c r="AC33" s="9">
        <f t="shared" si="7"/>
        <v>0.46232251910304667</v>
      </c>
      <c r="AD33" s="6">
        <f>'a20 (2)'!F29</f>
        <v>11.4</v>
      </c>
      <c r="AE33" s="9">
        <f t="shared" si="30"/>
        <v>0.51984126984126977</v>
      </c>
      <c r="AF33" s="6">
        <f>'a19'!P33</f>
        <v>108.91897565071369</v>
      </c>
      <c r="AG33" s="6">
        <f>'a23'!F29</f>
        <v>45.847366188925889</v>
      </c>
      <c r="AH33" s="9">
        <f t="shared" si="31"/>
        <v>0.49936481615809736</v>
      </c>
      <c r="AI33" s="9">
        <f t="shared" si="8"/>
        <v>0.62573827564942341</v>
      </c>
      <c r="AJ33" s="9">
        <f t="shared" si="9"/>
        <v>0.54102067100290052</v>
      </c>
      <c r="AK33" s="6">
        <f>'a20 (2)'!G29</f>
        <v>11.5</v>
      </c>
      <c r="AL33" s="9">
        <f t="shared" si="32"/>
        <v>0.51488095238095233</v>
      </c>
      <c r="AM33" s="6">
        <f>'a19'!S33</f>
        <v>62.734220907297825</v>
      </c>
      <c r="AN33" s="6">
        <f>'a23'!G29</f>
        <v>42.707668145182168</v>
      </c>
      <c r="AO33" s="9">
        <f t="shared" si="33"/>
        <v>0.26792322878554248</v>
      </c>
      <c r="AP33" s="9">
        <f t="shared" si="10"/>
        <v>0.31831933640531707</v>
      </c>
      <c r="AQ33" s="9">
        <f t="shared" si="11"/>
        <v>0.47556862918582532</v>
      </c>
      <c r="AR33" s="6">
        <f>'a20 (2)'!H29</f>
        <v>8.6999999999999993</v>
      </c>
      <c r="AS33" s="9">
        <f t="shared" si="34"/>
        <v>0.65376984126984128</v>
      </c>
      <c r="AT33" s="6">
        <f>'a19'!V33</f>
        <v>36.984662576687114</v>
      </c>
      <c r="AU33" s="6">
        <f>'a23'!H29</f>
        <v>41.651550045218414</v>
      </c>
      <c r="AV33" s="9">
        <f t="shared" si="35"/>
        <v>0.15404685242183999</v>
      </c>
      <c r="AW33" s="9">
        <f t="shared" si="12"/>
        <v>0.16705976709403525</v>
      </c>
      <c r="AX33" s="9">
        <f t="shared" si="13"/>
        <v>0.55642782643468014</v>
      </c>
      <c r="AY33" s="6">
        <f>'a20 (2)'!I29</f>
        <v>7.3</v>
      </c>
      <c r="AZ33" s="9">
        <f t="shared" si="36"/>
        <v>0.72321428571428559</v>
      </c>
      <c r="BA33" s="6">
        <f>'a19'!Y33</f>
        <v>48.098184818481855</v>
      </c>
      <c r="BB33" s="6">
        <f>'a23'!I29</f>
        <v>44.737081856794589</v>
      </c>
      <c r="BC33" s="9">
        <f t="shared" si="37"/>
        <v>0.21517724313876574</v>
      </c>
      <c r="BD33" s="9">
        <f t="shared" si="14"/>
        <v>0.24825796523603252</v>
      </c>
      <c r="BE33" s="9">
        <f t="shared" si="15"/>
        <v>0.62822302161863508</v>
      </c>
      <c r="BF33" s="6">
        <f>'a20 (2)'!J29</f>
        <v>6.7</v>
      </c>
      <c r="BG33" s="9">
        <f t="shared" si="38"/>
        <v>0.75297619047619047</v>
      </c>
      <c r="BH33" s="6">
        <f>'a19'!AB33</f>
        <v>45.614300100704938</v>
      </c>
      <c r="BI33" s="6">
        <f>'a23'!J29</f>
        <v>45.547968825436243</v>
      </c>
      <c r="BJ33" s="9">
        <f t="shared" si="39"/>
        <v>0.20776387189810017</v>
      </c>
      <c r="BK33" s="9">
        <f t="shared" si="16"/>
        <v>0.23841094185142522</v>
      </c>
      <c r="BL33" s="9">
        <f t="shared" si="17"/>
        <v>0.6500631407512375</v>
      </c>
      <c r="BM33" s="6">
        <f>'a20 (2)'!K29</f>
        <v>7.8</v>
      </c>
      <c r="BN33" s="9">
        <f t="shared" si="40"/>
        <v>0.69841269841269837</v>
      </c>
      <c r="BO33" s="6">
        <f>'a19'!AE33</f>
        <v>44.260775862068968</v>
      </c>
      <c r="BP33" s="6">
        <f>'a23'!K29</f>
        <v>46.025840334911244</v>
      </c>
      <c r="BQ33" s="9">
        <f t="shared" si="41"/>
        <v>0.20371394029268799</v>
      </c>
      <c r="BR33" s="9">
        <f t="shared" si="18"/>
        <v>0.23303150381575857</v>
      </c>
      <c r="BS33" s="9">
        <f t="shared" si="19"/>
        <v>0.6053364594933105</v>
      </c>
      <c r="BT33" s="6">
        <f>'a20 (2)'!L29</f>
        <v>8.5</v>
      </c>
      <c r="BU33" s="9">
        <f t="shared" si="42"/>
        <v>0.66369047619047616</v>
      </c>
      <c r="BV33" s="6">
        <f>'a19'!AH33</f>
        <v>49.549072954453855</v>
      </c>
      <c r="BW33" s="6">
        <f>'a23'!L29</f>
        <v>43.059075843244294</v>
      </c>
      <c r="BX33" s="9">
        <f t="shared" si="43"/>
        <v>0.2133537290308273</v>
      </c>
      <c r="BY33" s="9">
        <f t="shared" si="20"/>
        <v>0.24583583022078687</v>
      </c>
      <c r="BZ33" s="9">
        <f t="shared" si="21"/>
        <v>0.58011954699653834</v>
      </c>
    </row>
    <row r="34" spans="1:78">
      <c r="A34" s="1">
        <v>1996</v>
      </c>
      <c r="B34" s="6">
        <f>'a20 (2)'!B30</f>
        <v>9.6</v>
      </c>
      <c r="C34" s="9">
        <f t="shared" si="22"/>
        <v>0.60912698412698407</v>
      </c>
      <c r="D34" s="6">
        <f>'a19'!D34</f>
        <v>49.499381592457752</v>
      </c>
      <c r="E34" s="6">
        <f>'a23'!B30</f>
        <v>41.787232069306008</v>
      </c>
      <c r="F34" s="9">
        <f t="shared" si="23"/>
        <v>0.20684421458911662</v>
      </c>
      <c r="G34" s="9">
        <f t="shared" si="0"/>
        <v>0.23718938060305414</v>
      </c>
      <c r="H34" s="9">
        <f t="shared" si="1"/>
        <v>0.53473946342219814</v>
      </c>
      <c r="I34" s="6">
        <f>'a20 (2)'!C30</f>
        <v>18.899999999999999</v>
      </c>
      <c r="J34" s="9">
        <f t="shared" si="24"/>
        <v>0.14781746031746035</v>
      </c>
      <c r="K34" s="6">
        <f>'a19'!G34</f>
        <v>83.784958427815567</v>
      </c>
      <c r="L34" s="6">
        <f>'a23'!C30</f>
        <v>44.627697841726615</v>
      </c>
      <c r="M34" s="9">
        <f t="shared" si="25"/>
        <v>0.37391298083981789</v>
      </c>
      <c r="N34" s="9">
        <f t="shared" si="2"/>
        <v>0.45910327034378184</v>
      </c>
      <c r="O34" s="9">
        <f t="shared" si="3"/>
        <v>0.21007462232272467</v>
      </c>
      <c r="P34" s="6">
        <f>'a20 (2)'!D30</f>
        <v>14.6</v>
      </c>
      <c r="Q34" s="9">
        <f t="shared" si="26"/>
        <v>0.36111111111111105</v>
      </c>
      <c r="R34" s="6">
        <f>'a19'!J34</f>
        <v>92.334983498349843</v>
      </c>
      <c r="S34" s="6">
        <f>'a23'!D30</f>
        <v>45.373368753756957</v>
      </c>
      <c r="T34" s="9">
        <f t="shared" si="27"/>
        <v>0.41895492551426905</v>
      </c>
      <c r="U34" s="9">
        <f t="shared" si="4"/>
        <v>0.51893152770455675</v>
      </c>
      <c r="V34" s="9">
        <f t="shared" si="5"/>
        <v>0.3926751944298002</v>
      </c>
      <c r="W34" s="6">
        <f>'a20 (2)'!E30</f>
        <v>12.4</v>
      </c>
      <c r="X34" s="9">
        <f t="shared" si="28"/>
        <v>0.47023809523809518</v>
      </c>
      <c r="Y34" s="6">
        <f>'a19'!M34</f>
        <v>67.029393370856781</v>
      </c>
      <c r="Z34" s="6">
        <f>'a23'!E30</f>
        <v>43.9480140698737</v>
      </c>
      <c r="AA34" s="9">
        <f t="shared" si="29"/>
        <v>0.29458087229575125</v>
      </c>
      <c r="AB34" s="9">
        <f t="shared" si="6"/>
        <v>0.35372811744458726</v>
      </c>
      <c r="AC34" s="9">
        <f t="shared" si="7"/>
        <v>0.44693609967939363</v>
      </c>
      <c r="AD34" s="6">
        <f>'a20 (2)'!F30</f>
        <v>11.6</v>
      </c>
      <c r="AE34" s="9">
        <f t="shared" si="30"/>
        <v>0.50992063492063489</v>
      </c>
      <c r="AF34" s="6">
        <f>'a19'!P34</f>
        <v>100.68407960199005</v>
      </c>
      <c r="AG34" s="6">
        <f>'a23'!F30</f>
        <v>46.384233395406582</v>
      </c>
      <c r="AH34" s="9">
        <f t="shared" si="31"/>
        <v>0.46701538474604015</v>
      </c>
      <c r="AI34" s="9">
        <f t="shared" si="8"/>
        <v>0.58276921376757473</v>
      </c>
      <c r="AJ34" s="9">
        <f t="shared" si="9"/>
        <v>0.52449035069002292</v>
      </c>
      <c r="AK34" s="6">
        <f>'a20 (2)'!G30</f>
        <v>11.8</v>
      </c>
      <c r="AL34" s="9">
        <f t="shared" si="32"/>
        <v>0.49999999999999989</v>
      </c>
      <c r="AM34" s="6">
        <f>'a19'!S34</f>
        <v>58.770257387988558</v>
      </c>
      <c r="AN34" s="6">
        <f>'a23'!G30</f>
        <v>42.522031698319445</v>
      </c>
      <c r="AO34" s="9">
        <f t="shared" si="33"/>
        <v>0.24990307475704421</v>
      </c>
      <c r="AP34" s="9">
        <f t="shared" si="10"/>
        <v>0.29438354898117125</v>
      </c>
      <c r="AQ34" s="9">
        <f t="shared" si="11"/>
        <v>0.45887670979623418</v>
      </c>
      <c r="AR34" s="6">
        <f>'a20 (2)'!H30</f>
        <v>9</v>
      </c>
      <c r="AS34" s="9">
        <f t="shared" si="34"/>
        <v>0.63888888888888884</v>
      </c>
      <c r="AT34" s="6">
        <f>'a19'!V34</f>
        <v>35.050426182575322</v>
      </c>
      <c r="AU34" s="6">
        <f>'a23'!H30</f>
        <v>40.873504800041076</v>
      </c>
      <c r="AV34" s="9">
        <f t="shared" si="35"/>
        <v>0.14326337628169777</v>
      </c>
      <c r="AW34" s="9">
        <f t="shared" si="12"/>
        <v>0.15273630503174662</v>
      </c>
      <c r="AX34" s="9">
        <f t="shared" si="13"/>
        <v>0.54165837211746037</v>
      </c>
      <c r="AY34" s="6">
        <f>'a20 (2)'!I30</f>
        <v>7.2</v>
      </c>
      <c r="AZ34" s="9">
        <f t="shared" si="36"/>
        <v>0.72817460317460314</v>
      </c>
      <c r="BA34" s="6">
        <f>'a19'!Y34</f>
        <v>43.399339933993396</v>
      </c>
      <c r="BB34" s="6">
        <f>'a23'!I30</f>
        <v>44.55977347957117</v>
      </c>
      <c r="BC34" s="9">
        <f t="shared" si="37"/>
        <v>0.1933864756621653</v>
      </c>
      <c r="BD34" s="9">
        <f t="shared" si="14"/>
        <v>0.21931375214528762</v>
      </c>
      <c r="BE34" s="9">
        <f t="shared" si="15"/>
        <v>0.6264024329687401</v>
      </c>
      <c r="BF34" s="6">
        <f>'a20 (2)'!J30</f>
        <v>6.6</v>
      </c>
      <c r="BG34" s="9">
        <f t="shared" si="38"/>
        <v>0.75793650793650791</v>
      </c>
      <c r="BH34" s="6">
        <f>'a19'!AB34</f>
        <v>44.000519210799581</v>
      </c>
      <c r="BI34" s="6">
        <f>'a23'!J30</f>
        <v>45.98022181951788</v>
      </c>
      <c r="BJ34" s="9">
        <f t="shared" si="39"/>
        <v>0.20231536334865224</v>
      </c>
      <c r="BK34" s="9">
        <f t="shared" si="16"/>
        <v>0.23117380379966496</v>
      </c>
      <c r="BL34" s="9">
        <f t="shared" si="17"/>
        <v>0.65258396710913935</v>
      </c>
      <c r="BM34" s="6">
        <f>'a20 (2)'!K30</f>
        <v>6.9</v>
      </c>
      <c r="BN34" s="9">
        <f t="shared" si="40"/>
        <v>0.74305555555555547</v>
      </c>
      <c r="BO34" s="6">
        <f>'a19'!AE34</f>
        <v>43.008991650610156</v>
      </c>
      <c r="BP34" s="6">
        <f>'a23'!K30</f>
        <v>43.998788000647899</v>
      </c>
      <c r="BQ34" s="9">
        <f t="shared" si="41"/>
        <v>0.18923435057568316</v>
      </c>
      <c r="BR34" s="9">
        <f t="shared" si="18"/>
        <v>0.2137985726817089</v>
      </c>
      <c r="BS34" s="9">
        <f t="shared" si="19"/>
        <v>0.63720415898078619</v>
      </c>
      <c r="BT34" s="6">
        <f>'a20 (2)'!L30</f>
        <v>8.6999999999999993</v>
      </c>
      <c r="BU34" s="9">
        <f t="shared" si="42"/>
        <v>0.65376984126984128</v>
      </c>
      <c r="BV34" s="6">
        <f>'a19'!AH34</f>
        <v>46.068735498839906</v>
      </c>
      <c r="BW34" s="6">
        <f>'a23'!L30</f>
        <v>42.875976148034972</v>
      </c>
      <c r="BX34" s="9">
        <f t="shared" si="43"/>
        <v>0.19752420044183919</v>
      </c>
      <c r="BY34" s="9">
        <f t="shared" si="20"/>
        <v>0.22480980398753417</v>
      </c>
      <c r="BZ34" s="9">
        <f t="shared" si="21"/>
        <v>0.56797783381337985</v>
      </c>
    </row>
    <row r="35" spans="1:78">
      <c r="A35" s="1">
        <v>1997</v>
      </c>
      <c r="B35" s="6">
        <f>'a20 (2)'!B31</f>
        <v>9.1</v>
      </c>
      <c r="C35" s="9">
        <f t="shared" si="22"/>
        <v>0.6339285714285714</v>
      </c>
      <c r="D35" s="6">
        <f>'a19'!D35</f>
        <v>44.091554940250653</v>
      </c>
      <c r="E35" s="6">
        <f>'a23'!B31</f>
        <v>40.055552882173359</v>
      </c>
      <c r="F35" s="9">
        <f t="shared" si="23"/>
        <v>0.1766111610566462</v>
      </c>
      <c r="G35" s="9">
        <f t="shared" si="0"/>
        <v>0.19703145845701689</v>
      </c>
      <c r="H35" s="9">
        <f t="shared" si="1"/>
        <v>0.54654914883426053</v>
      </c>
      <c r="I35" s="6">
        <f>'a20 (2)'!C31</f>
        <v>18.100000000000001</v>
      </c>
      <c r="J35" s="9">
        <f t="shared" si="24"/>
        <v>0.18749999999999989</v>
      </c>
      <c r="K35" s="6">
        <f>'a19'!G35</f>
        <v>80.281746031746039</v>
      </c>
      <c r="L35" s="6">
        <f>'a23'!C31</f>
        <v>44.431408861798843</v>
      </c>
      <c r="M35" s="9">
        <f t="shared" si="25"/>
        <v>0.35670310820756052</v>
      </c>
      <c r="N35" s="9">
        <f t="shared" si="2"/>
        <v>0.43624376246882796</v>
      </c>
      <c r="O35" s="9">
        <f t="shared" si="3"/>
        <v>0.23724875249376551</v>
      </c>
      <c r="P35" s="6">
        <f>'a20 (2)'!D31</f>
        <v>15.3</v>
      </c>
      <c r="Q35" s="9">
        <f t="shared" si="26"/>
        <v>0.32638888888888878</v>
      </c>
      <c r="R35" s="6">
        <f>'a19'!J35</f>
        <v>87.04402515723271</v>
      </c>
      <c r="S35" s="6">
        <f>'a23'!D31</f>
        <v>46.721266107974699</v>
      </c>
      <c r="T35" s="9">
        <f t="shared" si="27"/>
        <v>0.40668070624803138</v>
      </c>
      <c r="U35" s="9">
        <f t="shared" si="4"/>
        <v>0.5026279432463221</v>
      </c>
      <c r="V35" s="9">
        <f t="shared" si="5"/>
        <v>0.36163669976037544</v>
      </c>
      <c r="W35" s="6">
        <f>'a20 (2)'!E31</f>
        <v>12.1</v>
      </c>
      <c r="X35" s="9">
        <f t="shared" si="28"/>
        <v>0.48511904761904756</v>
      </c>
      <c r="Y35" s="6">
        <f>'a19'!M35</f>
        <v>60.44359949302914</v>
      </c>
      <c r="Z35" s="6">
        <f>'a23'!E31</f>
        <v>42.05131778624299</v>
      </c>
      <c r="AA35" s="9">
        <f t="shared" si="29"/>
        <v>0.2541733010425764</v>
      </c>
      <c r="AB35" s="9">
        <f t="shared" si="6"/>
        <v>0.30005559975620094</v>
      </c>
      <c r="AC35" s="9">
        <f t="shared" si="7"/>
        <v>0.44810635804647825</v>
      </c>
      <c r="AD35" s="6">
        <f>'a20 (2)'!F31</f>
        <v>12.6</v>
      </c>
      <c r="AE35" s="9">
        <f t="shared" si="30"/>
        <v>0.46031746031746029</v>
      </c>
      <c r="AF35" s="6">
        <f>'a19'!P35</f>
        <v>82.340029761904773</v>
      </c>
      <c r="AG35" s="6">
        <f>'a23'!F31</f>
        <v>43.557920698851241</v>
      </c>
      <c r="AH35" s="9">
        <f t="shared" si="31"/>
        <v>0.35865604867100992</v>
      </c>
      <c r="AI35" s="9">
        <f t="shared" si="8"/>
        <v>0.43883781176003889</v>
      </c>
      <c r="AJ35" s="9">
        <f t="shared" si="9"/>
        <v>0.45602153060597606</v>
      </c>
      <c r="AK35" s="6">
        <f>'a20 (2)'!G31</f>
        <v>11.4</v>
      </c>
      <c r="AL35" s="9">
        <f t="shared" si="32"/>
        <v>0.51984126984126977</v>
      </c>
      <c r="AM35" s="6">
        <f>'a19'!S35</f>
        <v>52.510798696006511</v>
      </c>
      <c r="AN35" s="6">
        <f>'a23'!G31</f>
        <v>40.472524637242202</v>
      </c>
      <c r="AO35" s="9">
        <f t="shared" si="33"/>
        <v>0.21252445939453893</v>
      </c>
      <c r="AP35" s="9">
        <f t="shared" si="10"/>
        <v>0.24473432899609665</v>
      </c>
      <c r="AQ35" s="9">
        <f t="shared" si="11"/>
        <v>0.4648198816722352</v>
      </c>
      <c r="AR35" s="6">
        <f>'a20 (2)'!H31</f>
        <v>8.4</v>
      </c>
      <c r="AS35" s="9">
        <f t="shared" si="34"/>
        <v>0.66865079365079361</v>
      </c>
      <c r="AT35" s="6">
        <f>'a19'!V35</f>
        <v>31.043640983381405</v>
      </c>
      <c r="AU35" s="6">
        <f>'a23'!H31</f>
        <v>39.643180105501138</v>
      </c>
      <c r="AV35" s="9">
        <f t="shared" si="35"/>
        <v>0.12306686506347055</v>
      </c>
      <c r="AW35" s="9">
        <f t="shared" si="12"/>
        <v>0.1259097086294988</v>
      </c>
      <c r="AX35" s="9">
        <f t="shared" si="13"/>
        <v>0.56010257664653462</v>
      </c>
      <c r="AY35" s="6">
        <f>'a20 (2)'!I31</f>
        <v>6.5</v>
      </c>
      <c r="AZ35" s="9">
        <f t="shared" si="36"/>
        <v>0.76289682539682535</v>
      </c>
      <c r="BA35" s="6">
        <f>'a19'!Y35</f>
        <v>40.141941391941387</v>
      </c>
      <c r="BB35" s="6">
        <f>'a23'!I31</f>
        <v>43.230908584169455</v>
      </c>
      <c r="BC35" s="9">
        <f t="shared" si="37"/>
        <v>0.17353725987061061</v>
      </c>
      <c r="BD35" s="9">
        <f t="shared" si="14"/>
        <v>0.1929484608735656</v>
      </c>
      <c r="BE35" s="9">
        <f t="shared" si="15"/>
        <v>0.64890715249217346</v>
      </c>
      <c r="BF35" s="6">
        <f>'a20 (2)'!J31</f>
        <v>5.9</v>
      </c>
      <c r="BG35" s="9">
        <f t="shared" si="38"/>
        <v>0.79265873015873012</v>
      </c>
      <c r="BH35" s="6">
        <f>'a19'!AB35</f>
        <v>37.420091324200911</v>
      </c>
      <c r="BI35" s="6">
        <f>'a23'!J31</f>
        <v>44.20247544323815</v>
      </c>
      <c r="BJ35" s="9">
        <f t="shared" si="39"/>
        <v>0.16540606678417197</v>
      </c>
      <c r="BK35" s="9">
        <f t="shared" si="16"/>
        <v>0.18214796999463728</v>
      </c>
      <c r="BL35" s="9">
        <f t="shared" si="17"/>
        <v>0.67055657812591152</v>
      </c>
      <c r="BM35" s="6">
        <f>'a20 (2)'!K31</f>
        <v>5.9</v>
      </c>
      <c r="BN35" s="9">
        <f t="shared" si="40"/>
        <v>0.79265873015873012</v>
      </c>
      <c r="BO35" s="6">
        <f>'a19'!AE35</f>
        <v>33.866482504604058</v>
      </c>
      <c r="BP35" s="6">
        <f>'a23'!K31</f>
        <v>41.461645881521974</v>
      </c>
      <c r="BQ35" s="9">
        <f t="shared" si="41"/>
        <v>0.14041601048586527</v>
      </c>
      <c r="BR35" s="9">
        <f t="shared" si="18"/>
        <v>0.14895420959016231</v>
      </c>
      <c r="BS35" s="9">
        <f t="shared" si="19"/>
        <v>0.66391782604501659</v>
      </c>
      <c r="BT35" s="6">
        <f>'a20 (2)'!L31</f>
        <v>8.5</v>
      </c>
      <c r="BU35" s="9">
        <f t="shared" si="42"/>
        <v>0.66369047619047616</v>
      </c>
      <c r="BV35" s="6">
        <f>'a19'!AH35</f>
        <v>40.397980974568043</v>
      </c>
      <c r="BW35" s="6">
        <f>'a23'!L31</f>
        <v>41.621395246892305</v>
      </c>
      <c r="BX35" s="9">
        <f t="shared" si="43"/>
        <v>0.1681420333318932</v>
      </c>
      <c r="BY35" s="9">
        <f t="shared" si="20"/>
        <v>0.18578209618369557</v>
      </c>
      <c r="BZ35" s="9">
        <f t="shared" si="21"/>
        <v>0.56810880018912002</v>
      </c>
    </row>
    <row r="36" spans="1:78">
      <c r="A36" s="1">
        <v>1998</v>
      </c>
      <c r="B36" s="6">
        <f>'a20 (2)'!B32</f>
        <v>8.3000000000000007</v>
      </c>
      <c r="C36" s="9">
        <f t="shared" si="22"/>
        <v>0.67361111111111105</v>
      </c>
      <c r="D36" s="6">
        <f>'a19'!D36</f>
        <v>45.529723405374142</v>
      </c>
      <c r="E36" s="6">
        <f>'a23'!B32</f>
        <v>40.350260252033543</v>
      </c>
      <c r="F36" s="9">
        <f t="shared" si="23"/>
        <v>0.18371361886099496</v>
      </c>
      <c r="G36" s="9">
        <f t="shared" si="0"/>
        <v>0.20646550213527867</v>
      </c>
      <c r="H36" s="9">
        <f t="shared" si="1"/>
        <v>0.58018198931594456</v>
      </c>
      <c r="I36" s="6">
        <f>'a20 (2)'!C32</f>
        <v>17.600000000000001</v>
      </c>
      <c r="J36" s="9">
        <f t="shared" si="24"/>
        <v>0.21230158730158719</v>
      </c>
      <c r="K36" s="6">
        <f>'a19'!G36</f>
        <v>82.859437751004009</v>
      </c>
      <c r="L36" s="6">
        <f>'a23'!C32</f>
        <v>42.802321062672227</v>
      </c>
      <c r="M36" s="9">
        <f t="shared" si="25"/>
        <v>0.35465762576909776</v>
      </c>
      <c r="N36" s="9">
        <f t="shared" si="2"/>
        <v>0.43352679163997498</v>
      </c>
      <c r="O36" s="9">
        <f t="shared" si="3"/>
        <v>0.25654662816926477</v>
      </c>
      <c r="P36" s="6">
        <f>'a20 (2)'!D32</f>
        <v>13.9</v>
      </c>
      <c r="Q36" s="9">
        <f t="shared" si="26"/>
        <v>0.39583333333333326</v>
      </c>
      <c r="R36" s="6">
        <f>'a19'!J36</f>
        <v>96.796875</v>
      </c>
      <c r="S36" s="6">
        <f>'a23'!D32</f>
        <v>44.92037555763045</v>
      </c>
      <c r="T36" s="9">
        <f t="shared" si="27"/>
        <v>0.43481519778050098</v>
      </c>
      <c r="U36" s="9">
        <f t="shared" si="4"/>
        <v>0.5399983901105736</v>
      </c>
      <c r="V36" s="9">
        <f t="shared" si="5"/>
        <v>0.42466634468878139</v>
      </c>
      <c r="W36" s="6">
        <f>'a20 (2)'!E32</f>
        <v>10.5</v>
      </c>
      <c r="X36" s="9">
        <f t="shared" si="28"/>
        <v>0.56448412698412698</v>
      </c>
      <c r="Y36" s="6">
        <f>'a19'!M36</f>
        <v>66.652298850574724</v>
      </c>
      <c r="Z36" s="6">
        <f>'a23'!E32</f>
        <v>43.294490302908827</v>
      </c>
      <c r="AA36" s="9">
        <f t="shared" si="29"/>
        <v>0.28856773062527885</v>
      </c>
      <c r="AB36" s="9">
        <f t="shared" si="6"/>
        <v>0.34574098922425789</v>
      </c>
      <c r="AC36" s="9">
        <f t="shared" si="7"/>
        <v>0.52073549943215314</v>
      </c>
      <c r="AD36" s="6">
        <f>'a20 (2)'!F32</f>
        <v>12.2</v>
      </c>
      <c r="AE36" s="9">
        <f t="shared" si="30"/>
        <v>0.48015873015873012</v>
      </c>
      <c r="AF36" s="6">
        <f>'a19'!P36</f>
        <v>85.840943683409449</v>
      </c>
      <c r="AG36" s="6">
        <f>'a23'!F32</f>
        <v>43.052790046581222</v>
      </c>
      <c r="AH36" s="9">
        <f t="shared" si="31"/>
        <v>0.36956921258022296</v>
      </c>
      <c r="AI36" s="9">
        <f t="shared" si="8"/>
        <v>0.45333353532836584</v>
      </c>
      <c r="AJ36" s="9">
        <f t="shared" si="9"/>
        <v>0.47479369119265724</v>
      </c>
      <c r="AK36" s="6">
        <f>'a20 (2)'!G32</f>
        <v>10.3</v>
      </c>
      <c r="AL36" s="9">
        <f t="shared" si="32"/>
        <v>0.57440476190476186</v>
      </c>
      <c r="AM36" s="6">
        <f>'a19'!S36</f>
        <v>54.149314824701911</v>
      </c>
      <c r="AN36" s="6">
        <f>'a23'!G32</f>
        <v>40.126265561773813</v>
      </c>
      <c r="AO36" s="9">
        <f t="shared" si="33"/>
        <v>0.21728097866440843</v>
      </c>
      <c r="AP36" s="9">
        <f t="shared" si="10"/>
        <v>0.25105231240192094</v>
      </c>
      <c r="AQ36" s="9">
        <f t="shared" si="11"/>
        <v>0.50973427200419374</v>
      </c>
      <c r="AR36" s="6">
        <f>'a20 (2)'!H32</f>
        <v>7.2</v>
      </c>
      <c r="AS36" s="9">
        <f t="shared" si="34"/>
        <v>0.72817460317460314</v>
      </c>
      <c r="AT36" s="6">
        <f>'a19'!V36</f>
        <v>30.900591715976333</v>
      </c>
      <c r="AU36" s="6">
        <f>'a23'!H32</f>
        <v>40.155930926465629</v>
      </c>
      <c r="AV36" s="9">
        <f t="shared" si="35"/>
        <v>0.12408420265336617</v>
      </c>
      <c r="AW36" s="9">
        <f t="shared" si="12"/>
        <v>0.1272610165179788</v>
      </c>
      <c r="AX36" s="9">
        <f t="shared" si="13"/>
        <v>0.60799188584327835</v>
      </c>
      <c r="AY36" s="6">
        <f>'a20 (2)'!I32</f>
        <v>5.5</v>
      </c>
      <c r="AZ36" s="9">
        <f t="shared" si="36"/>
        <v>0.8125</v>
      </c>
      <c r="BA36" s="6">
        <f>'a19'!Y36</f>
        <v>44.241214057507989</v>
      </c>
      <c r="BB36" s="6">
        <f>'a23'!I32</f>
        <v>44.777701031353864</v>
      </c>
      <c r="BC36" s="9">
        <f t="shared" si="37"/>
        <v>0.19810198563312226</v>
      </c>
      <c r="BD36" s="9">
        <f t="shared" si="14"/>
        <v>0.22557726377136844</v>
      </c>
      <c r="BE36" s="9">
        <f t="shared" si="15"/>
        <v>0.69511545275427367</v>
      </c>
      <c r="BF36" s="6">
        <f>'a20 (2)'!J32</f>
        <v>5.8</v>
      </c>
      <c r="BG36" s="9">
        <f t="shared" si="38"/>
        <v>0.79761904761904756</v>
      </c>
      <c r="BH36" s="6">
        <f>'a19'!AB36</f>
        <v>40.36043829296424</v>
      </c>
      <c r="BI36" s="6">
        <f>'a23'!J32</f>
        <v>47.504377247775885</v>
      </c>
      <c r="BJ36" s="9">
        <f t="shared" si="39"/>
        <v>0.19172974865545531</v>
      </c>
      <c r="BK36" s="9">
        <f t="shared" si="16"/>
        <v>0.21711315689012284</v>
      </c>
      <c r="BL36" s="9">
        <f t="shared" si="17"/>
        <v>0.68151786947326265</v>
      </c>
      <c r="BM36" s="6">
        <f>'a20 (2)'!K32</f>
        <v>5.6</v>
      </c>
      <c r="BN36" s="9">
        <f t="shared" si="40"/>
        <v>0.80753968253968256</v>
      </c>
      <c r="BO36" s="6">
        <f>'a19'!AE36</f>
        <v>36.483762597984324</v>
      </c>
      <c r="BP36" s="6">
        <f>'a23'!K32</f>
        <v>44.803362676703252</v>
      </c>
      <c r="BQ36" s="9">
        <f t="shared" si="41"/>
        <v>0.16345952474882328</v>
      </c>
      <c r="BR36" s="9">
        <f t="shared" si="18"/>
        <v>0.1795624195994194</v>
      </c>
      <c r="BS36" s="9">
        <f t="shared" si="19"/>
        <v>0.68194422995162995</v>
      </c>
      <c r="BT36" s="6">
        <f>'a20 (2)'!L32</f>
        <v>8.8000000000000007</v>
      </c>
      <c r="BU36" s="9">
        <f t="shared" si="42"/>
        <v>0.64880952380952372</v>
      </c>
      <c r="BV36" s="6">
        <f>'a19'!AH36</f>
        <v>39.430239021678709</v>
      </c>
      <c r="BW36" s="6">
        <f>'a23'!L32</f>
        <v>42.75664354515952</v>
      </c>
      <c r="BX36" s="9">
        <f t="shared" si="43"/>
        <v>0.16859046747503559</v>
      </c>
      <c r="BY36" s="9">
        <f t="shared" si="20"/>
        <v>0.18637774172074315</v>
      </c>
      <c r="BZ36" s="9">
        <f t="shared" si="21"/>
        <v>0.55632316739176757</v>
      </c>
    </row>
    <row r="37" spans="1:78">
      <c r="A37" s="1">
        <v>1999</v>
      </c>
      <c r="B37" s="6">
        <f>'a20 (2)'!B33</f>
        <v>7.6</v>
      </c>
      <c r="C37" s="9">
        <f t="shared" si="22"/>
        <v>0.70833333333333326</v>
      </c>
      <c r="D37" s="6">
        <f>'a19'!D37</f>
        <v>44.991467095427488</v>
      </c>
      <c r="E37" s="6">
        <f>'a23'!B33</f>
        <v>40.764074299602896</v>
      </c>
      <c r="F37" s="9">
        <f t="shared" si="23"/>
        <v>0.1834035507526145</v>
      </c>
      <c r="G37" s="9">
        <f t="shared" si="0"/>
        <v>0.20605364526005635</v>
      </c>
      <c r="H37" s="9">
        <f t="shared" si="1"/>
        <v>0.60787739571867794</v>
      </c>
      <c r="I37" s="6">
        <f>'a20 (2)'!C33</f>
        <v>16.7</v>
      </c>
      <c r="J37" s="9">
        <f t="shared" si="24"/>
        <v>0.25694444444444442</v>
      </c>
      <c r="K37" s="6">
        <f>'a19'!G37</f>
        <v>89.510288065843611</v>
      </c>
      <c r="L37" s="6">
        <f>'a23'!C33</f>
        <v>41.633838909713546</v>
      </c>
      <c r="M37" s="9">
        <f t="shared" si="25"/>
        <v>0.37266569140953881</v>
      </c>
      <c r="N37" s="9">
        <f t="shared" si="2"/>
        <v>0.45744652231530608</v>
      </c>
      <c r="O37" s="9">
        <f t="shared" si="3"/>
        <v>0.29704486001861674</v>
      </c>
      <c r="P37" s="6">
        <f>'a20 (2)'!D33</f>
        <v>14.3</v>
      </c>
      <c r="Q37" s="9">
        <f t="shared" si="26"/>
        <v>0.37599206349206338</v>
      </c>
      <c r="R37" s="6">
        <f>'a19'!J37</f>
        <v>86.278877887788781</v>
      </c>
      <c r="S37" s="6">
        <f>'a23'!D33</f>
        <v>44.945512507725851</v>
      </c>
      <c r="T37" s="9">
        <f t="shared" si="27"/>
        <v>0.38778483852581619</v>
      </c>
      <c r="U37" s="9">
        <f t="shared" si="4"/>
        <v>0.47752896394356786</v>
      </c>
      <c r="V37" s="9">
        <f t="shared" si="5"/>
        <v>0.3962994435823643</v>
      </c>
      <c r="W37" s="6">
        <f>'a20 (2)'!E33</f>
        <v>9.6</v>
      </c>
      <c r="X37" s="9">
        <f t="shared" si="28"/>
        <v>0.60912698412698407</v>
      </c>
      <c r="Y37" s="6">
        <f>'a19'!M37</f>
        <v>68.115773115773123</v>
      </c>
      <c r="Z37" s="6">
        <f>'a23'!E33</f>
        <v>44.189797517724024</v>
      </c>
      <c r="AA37" s="9">
        <f t="shared" si="29"/>
        <v>0.30100222217492439</v>
      </c>
      <c r="AB37" s="9">
        <f t="shared" si="6"/>
        <v>0.36225745994859032</v>
      </c>
      <c r="AC37" s="9">
        <f t="shared" si="7"/>
        <v>0.55975307929130536</v>
      </c>
      <c r="AD37" s="6">
        <f>'a20 (2)'!F33</f>
        <v>10.199999999999999</v>
      </c>
      <c r="AE37" s="9">
        <f t="shared" si="30"/>
        <v>0.57936507936507931</v>
      </c>
      <c r="AF37" s="6">
        <f>'a19'!P37</f>
        <v>95.681612318840592</v>
      </c>
      <c r="AG37" s="6">
        <f>'a23'!F33</f>
        <v>42.768382724189344</v>
      </c>
      <c r="AH37" s="9">
        <f t="shared" si="31"/>
        <v>0.40921478153196844</v>
      </c>
      <c r="AI37" s="9">
        <f t="shared" si="8"/>
        <v>0.50599390156261481</v>
      </c>
      <c r="AJ37" s="9">
        <f t="shared" si="9"/>
        <v>0.56469084380458645</v>
      </c>
      <c r="AK37" s="6">
        <f>'a20 (2)'!G33</f>
        <v>9.3000000000000007</v>
      </c>
      <c r="AL37" s="9">
        <f t="shared" si="32"/>
        <v>0.6240079365079364</v>
      </c>
      <c r="AM37" s="6">
        <f>'a19'!S37</f>
        <v>53.370748299319722</v>
      </c>
      <c r="AN37" s="6">
        <f>'a23'!G33</f>
        <v>41.445862361189064</v>
      </c>
      <c r="AO37" s="9">
        <f t="shared" si="33"/>
        <v>0.22119966881272704</v>
      </c>
      <c r="AP37" s="9">
        <f t="shared" si="10"/>
        <v>0.25625742520078559</v>
      </c>
      <c r="AQ37" s="9">
        <f t="shared" si="11"/>
        <v>0.55045783424650629</v>
      </c>
      <c r="AR37" s="6">
        <f>'a20 (2)'!H33</f>
        <v>6.3</v>
      </c>
      <c r="AS37" s="9">
        <f t="shared" si="34"/>
        <v>0.77281746031746024</v>
      </c>
      <c r="AT37" s="6">
        <f>'a19'!V37</f>
        <v>28.679883102154754</v>
      </c>
      <c r="AU37" s="6">
        <f>'a23'!H33</f>
        <v>40.482947618908291</v>
      </c>
      <c r="AV37" s="9">
        <f t="shared" si="35"/>
        <v>0.1161046205340944</v>
      </c>
      <c r="AW37" s="9">
        <f t="shared" si="12"/>
        <v>0.11666190726295536</v>
      </c>
      <c r="AX37" s="9">
        <f t="shared" si="13"/>
        <v>0.64158634970655937</v>
      </c>
      <c r="AY37" s="6">
        <f>'a20 (2)'!I33</f>
        <v>5.6</v>
      </c>
      <c r="AZ37" s="9">
        <f t="shared" si="36"/>
        <v>0.80753968253968256</v>
      </c>
      <c r="BA37" s="6">
        <f>'a19'!Y37</f>
        <v>42.461180124223596</v>
      </c>
      <c r="BB37" s="6">
        <f>'a23'!I33</f>
        <v>46.50351094589012</v>
      </c>
      <c r="BC37" s="9">
        <f t="shared" si="37"/>
        <v>0.19745939546822439</v>
      </c>
      <c r="BD37" s="9">
        <f t="shared" si="14"/>
        <v>0.22472372491906353</v>
      </c>
      <c r="BE37" s="9">
        <f t="shared" si="15"/>
        <v>0.6909764910155588</v>
      </c>
      <c r="BF37" s="6">
        <f>'a20 (2)'!J33</f>
        <v>6</v>
      </c>
      <c r="BG37" s="9">
        <f t="shared" si="38"/>
        <v>0.78769841269841268</v>
      </c>
      <c r="BH37" s="6">
        <f>'a19'!AB37</f>
        <v>41.829470198675494</v>
      </c>
      <c r="BI37" s="6">
        <f>'a23'!J33</f>
        <v>47.737085988099629</v>
      </c>
      <c r="BJ37" s="9">
        <f t="shared" si="39"/>
        <v>0.19968170157108228</v>
      </c>
      <c r="BK37" s="9">
        <f t="shared" si="16"/>
        <v>0.22767556686143905</v>
      </c>
      <c r="BL37" s="9">
        <f t="shared" si="17"/>
        <v>0.67569384353101791</v>
      </c>
      <c r="BM37" s="6">
        <f>'a20 (2)'!K33</f>
        <v>5.7</v>
      </c>
      <c r="BN37" s="9">
        <f t="shared" si="40"/>
        <v>0.80257936507936511</v>
      </c>
      <c r="BO37" s="6">
        <f>'a19'!AE37</f>
        <v>38.702419067947346</v>
      </c>
      <c r="BP37" s="6">
        <f>'a23'!K33</f>
        <v>45.110650498651793</v>
      </c>
      <c r="BQ37" s="9">
        <f t="shared" si="41"/>
        <v>0.17458913000265297</v>
      </c>
      <c r="BR37" s="9">
        <f t="shared" si="18"/>
        <v>0.19434563760349574</v>
      </c>
      <c r="BS37" s="9">
        <f t="shared" si="19"/>
        <v>0.68093261958419127</v>
      </c>
      <c r="BT37" s="6">
        <f>'a20 (2)'!L33</f>
        <v>8.3000000000000007</v>
      </c>
      <c r="BU37" s="9">
        <f t="shared" si="42"/>
        <v>0.67361111111111105</v>
      </c>
      <c r="BV37" s="6">
        <f>'a19'!AH37</f>
        <v>37.920825993345069</v>
      </c>
      <c r="BW37" s="6">
        <f>'a23'!L33</f>
        <v>42.418108348953687</v>
      </c>
      <c r="BX37" s="9">
        <f t="shared" si="43"/>
        <v>0.16085297056675305</v>
      </c>
      <c r="BY37" s="9">
        <f t="shared" si="20"/>
        <v>0.17610018910389288</v>
      </c>
      <c r="BZ37" s="9">
        <f t="shared" si="21"/>
        <v>0.5741089267096674</v>
      </c>
    </row>
    <row r="38" spans="1:78">
      <c r="A38" s="1">
        <v>2000</v>
      </c>
      <c r="B38" s="6">
        <f>'a20 (2)'!B34</f>
        <v>6.8</v>
      </c>
      <c r="C38" s="9">
        <f t="shared" si="22"/>
        <v>0.74801587301587291</v>
      </c>
      <c r="D38" s="6">
        <f>'a19'!D38</f>
        <v>44.960251432797193</v>
      </c>
      <c r="E38" s="6">
        <f>'a23'!B34</f>
        <v>40.446444461393739</v>
      </c>
      <c r="F38" s="9">
        <f t="shared" si="23"/>
        <v>0.18184823125469299</v>
      </c>
      <c r="G38" s="9">
        <f t="shared" si="0"/>
        <v>0.20398774744253467</v>
      </c>
      <c r="H38" s="9">
        <f t="shared" si="1"/>
        <v>0.63921024790120529</v>
      </c>
      <c r="I38" s="6">
        <f>'a20 (2)'!C34</f>
        <v>16.600000000000001</v>
      </c>
      <c r="J38" s="9">
        <f t="shared" si="24"/>
        <v>0.26190476190476181</v>
      </c>
      <c r="K38" s="6">
        <f>'a19'!G38</f>
        <v>87.016877637130804</v>
      </c>
      <c r="L38" s="6">
        <f>'a23'!C34</f>
        <v>41.255876445970351</v>
      </c>
      <c r="M38" s="9">
        <f t="shared" si="25"/>
        <v>0.3589957552511589</v>
      </c>
      <c r="N38" s="9">
        <f t="shared" si="2"/>
        <v>0.43928903678709308</v>
      </c>
      <c r="O38" s="9">
        <f t="shared" si="3"/>
        <v>0.29738161688122805</v>
      </c>
      <c r="P38" s="6">
        <f>'a20 (2)'!D34</f>
        <v>12</v>
      </c>
      <c r="Q38" s="9">
        <f t="shared" si="26"/>
        <v>0.490079365079365</v>
      </c>
      <c r="R38" s="6">
        <f>'a19'!J38</f>
        <v>97.877906976744185</v>
      </c>
      <c r="S38" s="6">
        <f>'a23'!D34</f>
        <v>45.198812734727198</v>
      </c>
      <c r="T38" s="9">
        <f t="shared" si="27"/>
        <v>0.44239651883089093</v>
      </c>
      <c r="U38" s="9">
        <f t="shared" si="4"/>
        <v>0.55006849765623367</v>
      </c>
      <c r="V38" s="9">
        <f t="shared" si="5"/>
        <v>0.50207719159473874</v>
      </c>
      <c r="W38" s="6">
        <f>'a20 (2)'!E34</f>
        <v>9.1</v>
      </c>
      <c r="X38" s="9">
        <f t="shared" si="28"/>
        <v>0.6339285714285714</v>
      </c>
      <c r="Y38" s="6">
        <f>'a19'!M38</f>
        <v>71.172764227642276</v>
      </c>
      <c r="Z38" s="6">
        <f>'a23'!E34</f>
        <v>45.087628804856934</v>
      </c>
      <c r="AA38" s="9">
        <f t="shared" si="29"/>
        <v>0.32090111745115352</v>
      </c>
      <c r="AB38" s="9">
        <f t="shared" si="6"/>
        <v>0.38868873942344467</v>
      </c>
      <c r="AC38" s="9">
        <f t="shared" si="7"/>
        <v>0.58488060502754602</v>
      </c>
      <c r="AD38" s="6">
        <f>'a20 (2)'!F34</f>
        <v>10</v>
      </c>
      <c r="AE38" s="9">
        <f t="shared" si="30"/>
        <v>0.58928571428571419</v>
      </c>
      <c r="AF38" s="6">
        <f>'a19'!P38</f>
        <v>90.78577898550725</v>
      </c>
      <c r="AG38" s="6">
        <f>'a23'!F34</f>
        <v>42.447854402204236</v>
      </c>
      <c r="AH38" s="9">
        <f t="shared" si="31"/>
        <v>0.38536615281675052</v>
      </c>
      <c r="AI38" s="9">
        <f t="shared" si="8"/>
        <v>0.47431627514598823</v>
      </c>
      <c r="AJ38" s="9">
        <f t="shared" si="9"/>
        <v>0.56629182645776899</v>
      </c>
      <c r="AK38" s="6">
        <f>'a20 (2)'!G34</f>
        <v>8.5</v>
      </c>
      <c r="AL38" s="9">
        <f t="shared" si="32"/>
        <v>0.66369047619047616</v>
      </c>
      <c r="AM38" s="6">
        <f>'a19'!S38</f>
        <v>54.002220812182742</v>
      </c>
      <c r="AN38" s="6">
        <f>'a23'!G34</f>
        <v>41.530493576741051</v>
      </c>
      <c r="AO38" s="9">
        <f t="shared" si="33"/>
        <v>0.22427388845701071</v>
      </c>
      <c r="AP38" s="9">
        <f t="shared" si="10"/>
        <v>0.26034084578555622</v>
      </c>
      <c r="AQ38" s="9">
        <f t="shared" si="11"/>
        <v>0.58302055010949216</v>
      </c>
      <c r="AR38" s="6">
        <f>'a20 (2)'!H34</f>
        <v>5.7</v>
      </c>
      <c r="AS38" s="9">
        <f t="shared" si="34"/>
        <v>0.80257936507936511</v>
      </c>
      <c r="AT38" s="6">
        <f>'a19'!V38</f>
        <v>28.509922874341616</v>
      </c>
      <c r="AU38" s="6">
        <f>'a23'!H34</f>
        <v>40.681218631848623</v>
      </c>
      <c r="AV38" s="9">
        <f t="shared" si="35"/>
        <v>0.11598184056282335</v>
      </c>
      <c r="AW38" s="9">
        <f t="shared" si="12"/>
        <v>0.11649882123785041</v>
      </c>
      <c r="AX38" s="9">
        <f t="shared" si="13"/>
        <v>0.66536325631106219</v>
      </c>
      <c r="AY38" s="6">
        <f>'a20 (2)'!I34</f>
        <v>5</v>
      </c>
      <c r="AZ38" s="9">
        <f t="shared" si="36"/>
        <v>0.83730158730158721</v>
      </c>
      <c r="BA38" s="6">
        <f>'a19'!Y38</f>
        <v>45.865162037037031</v>
      </c>
      <c r="BB38" s="6">
        <f>'a23'!I34</f>
        <v>45.684040016882832</v>
      </c>
      <c r="BC38" s="9">
        <f t="shared" si="37"/>
        <v>0.20953058978808148</v>
      </c>
      <c r="BD38" s="9">
        <f t="shared" si="14"/>
        <v>0.24075763565804598</v>
      </c>
      <c r="BE38" s="9">
        <f t="shared" si="15"/>
        <v>0.71799279697287899</v>
      </c>
      <c r="BF38" s="6">
        <f>'a20 (2)'!J34</f>
        <v>5.0999999999999996</v>
      </c>
      <c r="BG38" s="9">
        <f t="shared" si="38"/>
        <v>0.83234126984126988</v>
      </c>
      <c r="BH38" s="6">
        <f>'a19'!AB38</f>
        <v>44.941176470588232</v>
      </c>
      <c r="BI38" s="6">
        <f>'a23'!J34</f>
        <v>46.413854644454673</v>
      </c>
      <c r="BJ38" s="9">
        <f t="shared" si="39"/>
        <v>0.20858932322566689</v>
      </c>
      <c r="BK38" s="9">
        <f t="shared" si="16"/>
        <v>0.23950737129783117</v>
      </c>
      <c r="BL38" s="9">
        <f t="shared" si="17"/>
        <v>0.71377449013258221</v>
      </c>
      <c r="BM38" s="6">
        <f>'a20 (2)'!K34</f>
        <v>5</v>
      </c>
      <c r="BN38" s="9">
        <f t="shared" si="40"/>
        <v>0.83730158730158721</v>
      </c>
      <c r="BO38" s="6">
        <f>'a19'!AE38</f>
        <v>33.308202653799754</v>
      </c>
      <c r="BP38" s="6">
        <f>'a23'!K34</f>
        <v>43.220000301618178</v>
      </c>
      <c r="BQ38" s="9">
        <f t="shared" si="41"/>
        <v>0.14395805287435848</v>
      </c>
      <c r="BR38" s="9">
        <f t="shared" si="18"/>
        <v>0.15365902917850813</v>
      </c>
      <c r="BS38" s="9">
        <f t="shared" si="19"/>
        <v>0.70057307567697147</v>
      </c>
      <c r="BT38" s="6">
        <f>'a20 (2)'!L34</f>
        <v>7.2</v>
      </c>
      <c r="BU38" s="9">
        <f t="shared" si="42"/>
        <v>0.72817460317460314</v>
      </c>
      <c r="BV38" s="6">
        <f>'a19'!AH38</f>
        <v>37.007931188561223</v>
      </c>
      <c r="BW38" s="6">
        <f>'a23'!L34</f>
        <v>41.437686101722193</v>
      </c>
      <c r="BX38" s="9">
        <f t="shared" si="43"/>
        <v>0.15335230358657348</v>
      </c>
      <c r="BY38" s="9">
        <f t="shared" si="20"/>
        <v>0.16613721264470394</v>
      </c>
      <c r="BZ38" s="9">
        <f t="shared" si="21"/>
        <v>0.61576712506862341</v>
      </c>
    </row>
    <row r="39" spans="1:78">
      <c r="A39" s="1">
        <v>2001</v>
      </c>
      <c r="B39" s="6">
        <f>'a20 (2)'!B35</f>
        <v>7.2</v>
      </c>
      <c r="C39" s="9">
        <f t="shared" si="22"/>
        <v>0.72817460317460314</v>
      </c>
      <c r="D39" s="6">
        <f>'a19'!D39</f>
        <v>44.79066437571592</v>
      </c>
      <c r="E39" s="6">
        <f>'a23'!B35</f>
        <v>42.51964708807072</v>
      </c>
      <c r="F39" s="9">
        <f t="shared" si="23"/>
        <v>0.19044832420956623</v>
      </c>
      <c r="G39" s="9">
        <f t="shared" si="0"/>
        <v>0.21541106804624291</v>
      </c>
      <c r="H39" s="9">
        <f t="shared" si="1"/>
        <v>0.62562189614893116</v>
      </c>
      <c r="I39" s="6">
        <f>'a20 (2)'!C35</f>
        <v>15.8</v>
      </c>
      <c r="J39" s="9">
        <f t="shared" si="24"/>
        <v>0.30158730158730152</v>
      </c>
      <c r="K39" s="6">
        <f>'a19'!G39</f>
        <v>90.03679653679653</v>
      </c>
      <c r="L39" s="6">
        <f>'a23'!C35</f>
        <v>44.176290426817282</v>
      </c>
      <c r="M39" s="9">
        <f t="shared" si="25"/>
        <v>0.39774916729097798</v>
      </c>
      <c r="N39" s="9">
        <f t="shared" si="2"/>
        <v>0.49076436996562667</v>
      </c>
      <c r="O39" s="9">
        <f t="shared" si="3"/>
        <v>0.33942271526296652</v>
      </c>
      <c r="P39" s="6">
        <f>'a20 (2)'!D35</f>
        <v>11.9</v>
      </c>
      <c r="Q39" s="9">
        <f t="shared" si="26"/>
        <v>0.49503968253968245</v>
      </c>
      <c r="R39" s="6">
        <f>'a19'!J39</f>
        <v>94.195736434108525</v>
      </c>
      <c r="S39" s="6">
        <f>'a23'!D35</f>
        <v>47.017275366700048</v>
      </c>
      <c r="T39" s="9">
        <f t="shared" si="27"/>
        <v>0.44288268782915813</v>
      </c>
      <c r="U39" s="9">
        <f t="shared" si="4"/>
        <v>0.55071426559896763</v>
      </c>
      <c r="V39" s="9">
        <f t="shared" si="5"/>
        <v>0.50617459915153951</v>
      </c>
      <c r="W39" s="6">
        <f>'a20 (2)'!E35</f>
        <v>9.6999999999999993</v>
      </c>
      <c r="X39" s="9">
        <f t="shared" si="28"/>
        <v>0.60416666666666663</v>
      </c>
      <c r="Y39" s="6">
        <f>'a19'!M39</f>
        <v>65.554315476190467</v>
      </c>
      <c r="Z39" s="6">
        <f>'a23'!E35</f>
        <v>45.553903755093053</v>
      </c>
      <c r="AA39" s="9">
        <f t="shared" si="29"/>
        <v>0.29862549779333875</v>
      </c>
      <c r="AB39" s="9">
        <f t="shared" si="6"/>
        <v>0.3591005074900569</v>
      </c>
      <c r="AC39" s="9">
        <f t="shared" si="7"/>
        <v>0.55515343483134472</v>
      </c>
      <c r="AD39" s="6">
        <f>'a20 (2)'!F35</f>
        <v>11</v>
      </c>
      <c r="AE39" s="9">
        <f t="shared" si="30"/>
        <v>0.53968253968253965</v>
      </c>
      <c r="AF39" s="6">
        <f>'a19'!P39</f>
        <v>86.859756097560975</v>
      </c>
      <c r="AG39" s="6">
        <f>'a23'!F35</f>
        <v>44.569121808231237</v>
      </c>
      <c r="AH39" s="9">
        <f t="shared" si="31"/>
        <v>0.38712630497454509</v>
      </c>
      <c r="AI39" s="9">
        <f t="shared" si="8"/>
        <v>0.47665424783015586</v>
      </c>
      <c r="AJ39" s="9">
        <f t="shared" si="9"/>
        <v>0.52707688131206298</v>
      </c>
      <c r="AK39" s="6">
        <f>'a20 (2)'!G35</f>
        <v>8.8000000000000007</v>
      </c>
      <c r="AL39" s="9">
        <f t="shared" si="32"/>
        <v>0.64880952380952372</v>
      </c>
      <c r="AM39" s="6">
        <f>'a19'!S39</f>
        <v>54.197326095697633</v>
      </c>
      <c r="AN39" s="6">
        <f>'a23'!G35</f>
        <v>43.194103588213586</v>
      </c>
      <c r="AO39" s="9">
        <f t="shared" si="33"/>
        <v>0.23410049175817549</v>
      </c>
      <c r="AP39" s="9">
        <f t="shared" si="10"/>
        <v>0.27339331400231603</v>
      </c>
      <c r="AQ39" s="9">
        <f t="shared" si="11"/>
        <v>0.57372628184808216</v>
      </c>
      <c r="AR39" s="6">
        <f>'a20 (2)'!H35</f>
        <v>6.3</v>
      </c>
      <c r="AS39" s="9">
        <f t="shared" si="34"/>
        <v>0.77281746031746024</v>
      </c>
      <c r="AT39" s="6">
        <f>'a19'!V39</f>
        <v>30.532568959787309</v>
      </c>
      <c r="AU39" s="6">
        <f>'a23'!H35</f>
        <v>42.879523960100038</v>
      </c>
      <c r="AV39" s="9">
        <f t="shared" si="35"/>
        <v>0.13092220222746065</v>
      </c>
      <c r="AW39" s="9">
        <f t="shared" si="12"/>
        <v>0.13634378595230673</v>
      </c>
      <c r="AX39" s="9">
        <f t="shared" si="13"/>
        <v>0.64552272544442957</v>
      </c>
      <c r="AY39" s="6">
        <f>'a20 (2)'!I35</f>
        <v>5.0999999999999996</v>
      </c>
      <c r="AZ39" s="9">
        <f t="shared" si="36"/>
        <v>0.83234126984126988</v>
      </c>
      <c r="BA39" s="6">
        <f>'a19'!Y39</f>
        <v>44.889830508474574</v>
      </c>
      <c r="BB39" s="6">
        <f>'a23'!I35</f>
        <v>46.615188705045817</v>
      </c>
      <c r="BC39" s="9">
        <f t="shared" si="37"/>
        <v>0.20925479200900649</v>
      </c>
      <c r="BD39" s="9">
        <f t="shared" si="14"/>
        <v>0.24039129933253228</v>
      </c>
      <c r="BE39" s="9">
        <f t="shared" si="15"/>
        <v>0.71395127573952244</v>
      </c>
      <c r="BF39" s="6">
        <f>'a20 (2)'!J35</f>
        <v>5.8</v>
      </c>
      <c r="BG39" s="9">
        <f t="shared" si="38"/>
        <v>0.79761904761904756</v>
      </c>
      <c r="BH39" s="6">
        <f>'a19'!AB39</f>
        <v>39.813167259786475</v>
      </c>
      <c r="BI39" s="6">
        <f>'a23'!J35</f>
        <v>46.962224906065494</v>
      </c>
      <c r="BJ39" s="9">
        <f t="shared" si="39"/>
        <v>0.18697149150768957</v>
      </c>
      <c r="BK39" s="9">
        <f t="shared" si="16"/>
        <v>0.21079286509804238</v>
      </c>
      <c r="BL39" s="9">
        <f t="shared" si="17"/>
        <v>0.68025381111484651</v>
      </c>
      <c r="BM39" s="6">
        <f>'a20 (2)'!K35</f>
        <v>4.7</v>
      </c>
      <c r="BN39" s="9">
        <f t="shared" si="40"/>
        <v>0.85218253968253965</v>
      </c>
      <c r="BO39" s="6">
        <f>'a19'!AE39</f>
        <v>32.110484544695076</v>
      </c>
      <c r="BP39" s="6">
        <f>'a23'!K35</f>
        <v>44.674824382506237</v>
      </c>
      <c r="BQ39" s="9">
        <f t="shared" si="41"/>
        <v>0.14345302578714333</v>
      </c>
      <c r="BR39" s="9">
        <f t="shared" si="18"/>
        <v>0.15298821243721389</v>
      </c>
      <c r="BS39" s="9">
        <f t="shared" si="19"/>
        <v>0.71234367423347456</v>
      </c>
      <c r="BT39" s="6">
        <f>'a20 (2)'!L35</f>
        <v>7.7</v>
      </c>
      <c r="BU39" s="9">
        <f t="shared" si="42"/>
        <v>0.70337301587301582</v>
      </c>
      <c r="BV39" s="6">
        <f>'a19'!AH39</f>
        <v>36.900766521649061</v>
      </c>
      <c r="BW39" s="6">
        <f>'a23'!L35</f>
        <v>44.568093681088889</v>
      </c>
      <c r="BX39" s="9">
        <f t="shared" si="43"/>
        <v>0.16445968192408439</v>
      </c>
      <c r="BY39" s="9">
        <f t="shared" si="20"/>
        <v>0.18089090710845651</v>
      </c>
      <c r="BZ39" s="9">
        <f t="shared" si="21"/>
        <v>0.59887659412010397</v>
      </c>
    </row>
    <row r="40" spans="1:78">
      <c r="A40" s="1">
        <v>2002</v>
      </c>
      <c r="B40" s="6">
        <f>'a20 (2)'!B36</f>
        <v>7.7</v>
      </c>
      <c r="C40" s="9">
        <f t="shared" si="22"/>
        <v>0.70337301587301582</v>
      </c>
      <c r="D40" s="6">
        <f>'a19'!D40</f>
        <v>43.765043656100055</v>
      </c>
      <c r="E40" s="6">
        <f>'a23'!B36</f>
        <v>42.805231478041165</v>
      </c>
      <c r="F40" s="9">
        <f t="shared" si="23"/>
        <v>0.18733728243459397</v>
      </c>
      <c r="G40" s="9">
        <f t="shared" si="0"/>
        <v>0.21127873740824676</v>
      </c>
      <c r="H40" s="9">
        <f t="shared" si="1"/>
        <v>0.60495416018006209</v>
      </c>
      <c r="I40" s="6">
        <f>'a20 (2)'!C36</f>
        <v>16.5</v>
      </c>
      <c r="J40" s="9">
        <f t="shared" si="24"/>
        <v>0.26686507936507931</v>
      </c>
      <c r="K40" s="6">
        <f>'a19'!G40</f>
        <v>89.243902439024396</v>
      </c>
      <c r="L40" s="6">
        <f>'a23'!C36</f>
        <v>44.479631574341468</v>
      </c>
      <c r="M40" s="9">
        <f t="shared" si="25"/>
        <v>0.39695359007442788</v>
      </c>
      <c r="N40" s="9">
        <f t="shared" si="2"/>
        <v>0.48970762166565535</v>
      </c>
      <c r="O40" s="9">
        <f t="shared" si="3"/>
        <v>0.31143358782519454</v>
      </c>
      <c r="P40" s="6">
        <f>'a20 (2)'!D36</f>
        <v>12</v>
      </c>
      <c r="Q40" s="9">
        <f t="shared" si="26"/>
        <v>0.490079365079365</v>
      </c>
      <c r="R40" s="6">
        <f>'a19'!J40</f>
        <v>94.337121212121204</v>
      </c>
      <c r="S40" s="6">
        <f>'a23'!D36</f>
        <v>46.833671897939247</v>
      </c>
      <c r="T40" s="9">
        <f t="shared" si="27"/>
        <v>0.44181537826446093</v>
      </c>
      <c r="U40" s="9">
        <f t="shared" si="4"/>
        <v>0.54929658099893885</v>
      </c>
      <c r="V40" s="9">
        <f t="shared" si="5"/>
        <v>0.50192280826327984</v>
      </c>
      <c r="W40" s="6">
        <f>'a20 (2)'!E36</f>
        <v>9.6</v>
      </c>
      <c r="X40" s="9">
        <f t="shared" si="28"/>
        <v>0.60912698412698407</v>
      </c>
      <c r="Y40" s="6">
        <f>'a19'!M40</f>
        <v>68.020833333333329</v>
      </c>
      <c r="Z40" s="6">
        <f>'a23'!E36</f>
        <v>45.177968564848975</v>
      </c>
      <c r="AA40" s="9">
        <f t="shared" si="29"/>
        <v>0.30730430700881645</v>
      </c>
      <c r="AB40" s="9">
        <f t="shared" si="6"/>
        <v>0.37062838522894126</v>
      </c>
      <c r="AC40" s="9">
        <f t="shared" si="7"/>
        <v>0.56142726434737555</v>
      </c>
      <c r="AD40" s="6">
        <f>'a20 (2)'!F36</f>
        <v>10.1</v>
      </c>
      <c r="AE40" s="9">
        <f t="shared" si="30"/>
        <v>0.58432539682539675</v>
      </c>
      <c r="AF40" s="6">
        <f>'a19'!P40</f>
        <v>91.699050086355783</v>
      </c>
      <c r="AG40" s="6">
        <f>'a23'!F36</f>
        <v>44.84088903595854</v>
      </c>
      <c r="AH40" s="9">
        <f t="shared" si="31"/>
        <v>0.41118669296250837</v>
      </c>
      <c r="AI40" s="9">
        <f t="shared" si="8"/>
        <v>0.50861314958602255</v>
      </c>
      <c r="AJ40" s="9">
        <f t="shared" si="9"/>
        <v>0.56918294737752195</v>
      </c>
      <c r="AK40" s="6">
        <f>'a20 (2)'!G36</f>
        <v>8.6999999999999993</v>
      </c>
      <c r="AL40" s="9">
        <f t="shared" si="32"/>
        <v>0.65376984126984128</v>
      </c>
      <c r="AM40" s="6">
        <f>'a19'!S40</f>
        <v>54.021920770667457</v>
      </c>
      <c r="AN40" s="6">
        <f>'a23'!G36</f>
        <v>43.278249625910455</v>
      </c>
      <c r="AO40" s="9">
        <f t="shared" si="33"/>
        <v>0.2337974172384103</v>
      </c>
      <c r="AP40" s="9">
        <f t="shared" si="10"/>
        <v>0.27299074656214312</v>
      </c>
      <c r="AQ40" s="9">
        <f t="shared" si="11"/>
        <v>0.57761402232830172</v>
      </c>
      <c r="AR40" s="6">
        <f>'a20 (2)'!H36</f>
        <v>7.2</v>
      </c>
      <c r="AS40" s="9">
        <f t="shared" si="34"/>
        <v>0.72817460317460314</v>
      </c>
      <c r="AT40" s="6">
        <f>'a19'!V40</f>
        <v>29.374147462129368</v>
      </c>
      <c r="AU40" s="6">
        <f>'a23'!H36</f>
        <v>42.878832643949835</v>
      </c>
      <c r="AV40" s="9">
        <f t="shared" si="35"/>
        <v>0.1259529153087349</v>
      </c>
      <c r="AW40" s="9">
        <f t="shared" si="12"/>
        <v>0.12974318780269586</v>
      </c>
      <c r="AX40" s="9">
        <f t="shared" si="13"/>
        <v>0.6084883201002218</v>
      </c>
      <c r="AY40" s="6">
        <f>'a20 (2)'!I36</f>
        <v>5.0999999999999996</v>
      </c>
      <c r="AZ40" s="9">
        <f t="shared" si="36"/>
        <v>0.83234126984126988</v>
      </c>
      <c r="BA40" s="6">
        <f>'a19'!Y40</f>
        <v>46.396174863387984</v>
      </c>
      <c r="BB40" s="6">
        <f>'a23'!I36</f>
        <v>46.872471808080306</v>
      </c>
      <c r="BC40" s="9">
        <f t="shared" si="37"/>
        <v>0.21747033982869174</v>
      </c>
      <c r="BD40" s="9">
        <f t="shared" si="14"/>
        <v>0.25130383680995355</v>
      </c>
      <c r="BE40" s="9">
        <f t="shared" si="15"/>
        <v>0.71613378323500665</v>
      </c>
      <c r="BF40" s="6">
        <f>'a20 (2)'!J36</f>
        <v>5.7</v>
      </c>
      <c r="BG40" s="9">
        <f t="shared" si="38"/>
        <v>0.80257936507936511</v>
      </c>
      <c r="BH40" s="6">
        <f>'a19'!AB40</f>
        <v>42.372931442080372</v>
      </c>
      <c r="BI40" s="6">
        <f>'a23'!J36</f>
        <v>47.447672576715938</v>
      </c>
      <c r="BJ40" s="9">
        <f t="shared" si="39"/>
        <v>0.20104969771794612</v>
      </c>
      <c r="BK40" s="9">
        <f t="shared" si="16"/>
        <v>0.22949264705490466</v>
      </c>
      <c r="BL40" s="9">
        <f t="shared" si="17"/>
        <v>0.68796202147447305</v>
      </c>
      <c r="BM40" s="6">
        <f>'a20 (2)'!K36</f>
        <v>5.3</v>
      </c>
      <c r="BN40" s="9">
        <f t="shared" si="40"/>
        <v>0.82242063492063489</v>
      </c>
      <c r="BO40" s="6">
        <f>'a19'!AE40</f>
        <v>34.331744350282484</v>
      </c>
      <c r="BP40" s="6">
        <f>'a23'!K36</f>
        <v>45.876617918977978</v>
      </c>
      <c r="BQ40" s="9">
        <f t="shared" si="41"/>
        <v>0.15750243180499404</v>
      </c>
      <c r="BR40" s="9">
        <f t="shared" si="18"/>
        <v>0.17164973971089692</v>
      </c>
      <c r="BS40" s="9">
        <f t="shared" si="19"/>
        <v>0.69226645587868729</v>
      </c>
      <c r="BT40" s="6">
        <f>'a20 (2)'!L36</f>
        <v>8.5</v>
      </c>
      <c r="BU40" s="9">
        <f t="shared" si="42"/>
        <v>0.66369047619047616</v>
      </c>
      <c r="BV40" s="6">
        <f>'a19'!AH40</f>
        <v>36.018824609733699</v>
      </c>
      <c r="BW40" s="6">
        <f>'a23'!L36</f>
        <v>44.403146436027434</v>
      </c>
      <c r="BX40" s="9">
        <f t="shared" si="43"/>
        <v>0.15993491435995941</v>
      </c>
      <c r="BY40" s="9">
        <f t="shared" si="20"/>
        <v>0.17488075456551555</v>
      </c>
      <c r="BZ40" s="9">
        <f t="shared" si="21"/>
        <v>0.56592853186548409</v>
      </c>
    </row>
    <row r="41" spans="1:78">
      <c r="A41" s="1">
        <v>2003</v>
      </c>
      <c r="B41" s="6">
        <f>'a20 (2)'!B37</f>
        <v>7.6</v>
      </c>
      <c r="C41" s="9">
        <f t="shared" si="22"/>
        <v>0.70833333333333326</v>
      </c>
      <c r="D41" s="6">
        <f>'a19'!D41</f>
        <v>43.852423935880481</v>
      </c>
      <c r="E41" s="6">
        <f>'a23'!B37</f>
        <v>42.121286686834466</v>
      </c>
      <c r="F41" s="9">
        <f t="shared" si="23"/>
        <v>0.18471205205158234</v>
      </c>
      <c r="G41" s="9">
        <f t="shared" si="0"/>
        <v>0.20779169971213154</v>
      </c>
      <c r="H41" s="9">
        <f t="shared" si="1"/>
        <v>0.60822500660909296</v>
      </c>
      <c r="I41" s="6">
        <f>'a20 (2)'!C37</f>
        <v>16.399999999999999</v>
      </c>
      <c r="J41" s="9">
        <f t="shared" si="24"/>
        <v>0.27182539682539686</v>
      </c>
      <c r="K41" s="6">
        <f>'a19'!G41</f>
        <v>88.447791164658639</v>
      </c>
      <c r="L41" s="6">
        <f>'a23'!C37</f>
        <v>42.413784128471413</v>
      </c>
      <c r="M41" s="9">
        <f t="shared" si="25"/>
        <v>0.37514055210979524</v>
      </c>
      <c r="N41" s="9">
        <f t="shared" si="2"/>
        <v>0.4607338271592063</v>
      </c>
      <c r="O41" s="9">
        <f t="shared" si="3"/>
        <v>0.30960708289215877</v>
      </c>
      <c r="P41" s="6">
        <f>'a20 (2)'!D37</f>
        <v>11.1</v>
      </c>
      <c r="Q41" s="9">
        <f t="shared" si="26"/>
        <v>0.53472222222222221</v>
      </c>
      <c r="R41" s="6">
        <f>'a19'!J41</f>
        <v>99.796747967479675</v>
      </c>
      <c r="S41" s="6">
        <f>'a23'!D37</f>
        <v>47.097335556140514</v>
      </c>
      <c r="T41" s="9">
        <f t="shared" si="27"/>
        <v>0.47001609264359739</v>
      </c>
      <c r="U41" s="9">
        <f t="shared" si="4"/>
        <v>0.58675499026228717</v>
      </c>
      <c r="V41" s="9">
        <f t="shared" si="5"/>
        <v>0.54512877583023522</v>
      </c>
      <c r="W41" s="6">
        <f>'a20 (2)'!E37</f>
        <v>9.1</v>
      </c>
      <c r="X41" s="9">
        <f t="shared" si="28"/>
        <v>0.6339285714285714</v>
      </c>
      <c r="Y41" s="6">
        <f>'a19'!M41</f>
        <v>69.806651198762566</v>
      </c>
      <c r="Z41" s="6">
        <f>'a23'!E37</f>
        <v>44.565725784521668</v>
      </c>
      <c r="AA41" s="9">
        <f t="shared" si="29"/>
        <v>0.31109840752598034</v>
      </c>
      <c r="AB41" s="9">
        <f t="shared" si="6"/>
        <v>0.37566800826995722</v>
      </c>
      <c r="AC41" s="9">
        <f t="shared" si="7"/>
        <v>0.58227645879684853</v>
      </c>
      <c r="AD41" s="6">
        <f>'a20 (2)'!F37</f>
        <v>10.199999999999999</v>
      </c>
      <c r="AE41" s="9">
        <f t="shared" si="30"/>
        <v>0.57936507936507931</v>
      </c>
      <c r="AF41" s="6">
        <f>'a19'!P41</f>
        <v>88.412393162393172</v>
      </c>
      <c r="AG41" s="6">
        <f>'a23'!F37</f>
        <v>44.282035135309684</v>
      </c>
      <c r="AH41" s="9">
        <f t="shared" si="31"/>
        <v>0.39150807004139082</v>
      </c>
      <c r="AI41" s="9">
        <f t="shared" si="8"/>
        <v>0.48247445319669724</v>
      </c>
      <c r="AJ41" s="9">
        <f t="shared" si="9"/>
        <v>0.55998695413140287</v>
      </c>
      <c r="AK41" s="6">
        <f>'a20 (2)'!G37</f>
        <v>9.1999999999999993</v>
      </c>
      <c r="AL41" s="9">
        <f t="shared" si="32"/>
        <v>0.62896825396825395</v>
      </c>
      <c r="AM41" s="6">
        <f>'a19'!S41</f>
        <v>50.519978106185008</v>
      </c>
      <c r="AN41" s="6">
        <f>'a23'!G37</f>
        <v>42.839342631504145</v>
      </c>
      <c r="AO41" s="9">
        <f t="shared" si="33"/>
        <v>0.21642426518269475</v>
      </c>
      <c r="AP41" s="9">
        <f t="shared" si="10"/>
        <v>0.24991435810090507</v>
      </c>
      <c r="AQ41" s="9">
        <f t="shared" si="11"/>
        <v>0.55315747479478417</v>
      </c>
      <c r="AR41" s="6">
        <f>'a20 (2)'!H37</f>
        <v>6.9</v>
      </c>
      <c r="AS41" s="9">
        <f t="shared" si="34"/>
        <v>0.74305555555555547</v>
      </c>
      <c r="AT41" s="6">
        <f>'a19'!V41</f>
        <v>30.655817474048444</v>
      </c>
      <c r="AU41" s="6">
        <f>'a23'!H37</f>
        <v>42.338207270595134</v>
      </c>
      <c r="AV41" s="9">
        <f t="shared" si="35"/>
        <v>0.1297912354265795</v>
      </c>
      <c r="AW41" s="9">
        <f t="shared" si="12"/>
        <v>0.13484154679903165</v>
      </c>
      <c r="AX41" s="9">
        <f t="shared" si="13"/>
        <v>0.62141275380425076</v>
      </c>
      <c r="AY41" s="6">
        <f>'a20 (2)'!I37</f>
        <v>5</v>
      </c>
      <c r="AZ41" s="9">
        <f t="shared" si="36"/>
        <v>0.83730158730158721</v>
      </c>
      <c r="BA41" s="6">
        <f>'a19'!Y41</f>
        <v>46.906354515050168</v>
      </c>
      <c r="BB41" s="6">
        <f>'a23'!I37</f>
        <v>45.135243217709636</v>
      </c>
      <c r="BC41" s="9">
        <f t="shared" si="37"/>
        <v>0.2117129719492902</v>
      </c>
      <c r="BD41" s="9">
        <f t="shared" si="14"/>
        <v>0.24365644747765242</v>
      </c>
      <c r="BE41" s="9">
        <f t="shared" si="15"/>
        <v>0.71857255933680031</v>
      </c>
      <c r="BF41" s="6">
        <f>'a20 (2)'!J37</f>
        <v>5.6</v>
      </c>
      <c r="BG41" s="9">
        <f t="shared" si="38"/>
        <v>0.80753968253968256</v>
      </c>
      <c r="BH41" s="6">
        <f>'a19'!AB41</f>
        <v>42.964912280701753</v>
      </c>
      <c r="BI41" s="6">
        <f>'a23'!J37</f>
        <v>45.772606975342612</v>
      </c>
      <c r="BJ41" s="9">
        <f t="shared" si="39"/>
        <v>0.19666160435546326</v>
      </c>
      <c r="BK41" s="9">
        <f t="shared" si="16"/>
        <v>0.22366403594783035</v>
      </c>
      <c r="BL41" s="9">
        <f t="shared" si="17"/>
        <v>0.69076455322131214</v>
      </c>
      <c r="BM41" s="6">
        <f>'a20 (2)'!K37</f>
        <v>5.0999999999999996</v>
      </c>
      <c r="BN41" s="9">
        <f t="shared" si="40"/>
        <v>0.83234126984126988</v>
      </c>
      <c r="BO41" s="6">
        <f>'a19'!AE41</f>
        <v>36.465733763903835</v>
      </c>
      <c r="BP41" s="6">
        <f>'a23'!K37</f>
        <v>44.180820455705607</v>
      </c>
      <c r="BQ41" s="9">
        <f t="shared" si="41"/>
        <v>0.16110860362085971</v>
      </c>
      <c r="BR41" s="9">
        <f t="shared" si="18"/>
        <v>0.17643974105400423</v>
      </c>
      <c r="BS41" s="9">
        <f t="shared" si="19"/>
        <v>0.70116096408381678</v>
      </c>
      <c r="BT41" s="6">
        <f>'a20 (2)'!L37</f>
        <v>8</v>
      </c>
      <c r="BU41" s="9">
        <f t="shared" si="42"/>
        <v>0.68849206349206349</v>
      </c>
      <c r="BV41" s="6">
        <f>'a19'!AH41</f>
        <v>37.525353999234596</v>
      </c>
      <c r="BW41" s="6">
        <f>'a23'!L37</f>
        <v>43.364220014180674</v>
      </c>
      <c r="BX41" s="9">
        <f t="shared" si="43"/>
        <v>0.16272577069328237</v>
      </c>
      <c r="BY41" s="9">
        <f t="shared" si="20"/>
        <v>0.17858778968963859</v>
      </c>
      <c r="BZ41" s="9">
        <f t="shared" si="21"/>
        <v>0.58651120873157858</v>
      </c>
    </row>
    <row r="42" spans="1:78">
      <c r="A42" s="1">
        <v>2004</v>
      </c>
      <c r="B42" s="6">
        <f>'a20 (2)'!B38</f>
        <v>7.2</v>
      </c>
      <c r="C42" s="9">
        <f t="shared" si="22"/>
        <v>0.72817460317460314</v>
      </c>
      <c r="D42" s="6">
        <f>'a19'!D42</f>
        <v>43.945300878972283</v>
      </c>
      <c r="E42" s="6">
        <f>'a23'!B38</f>
        <v>41.337618826094506</v>
      </c>
      <c r="F42" s="9">
        <f t="shared" si="23"/>
        <v>0.18165940969329919</v>
      </c>
      <c r="G42" s="9">
        <f t="shared" si="0"/>
        <v>0.20373693977754639</v>
      </c>
      <c r="H42" s="9">
        <f t="shared" si="1"/>
        <v>0.62328707049519183</v>
      </c>
      <c r="I42" s="6">
        <f>'a20 (2)'!C38</f>
        <v>15.6</v>
      </c>
      <c r="J42" s="9">
        <f t="shared" si="24"/>
        <v>0.31150793650793646</v>
      </c>
      <c r="K42" s="6">
        <f>'a19'!G42</f>
        <v>94.509680134680139</v>
      </c>
      <c r="L42" s="6">
        <f>'a23'!C38</f>
        <v>42.044484745039476</v>
      </c>
      <c r="M42" s="9">
        <f t="shared" si="25"/>
        <v>0.39736108046811197</v>
      </c>
      <c r="N42" s="9">
        <f t="shared" si="2"/>
        <v>0.49024888249090576</v>
      </c>
      <c r="O42" s="9">
        <f t="shared" si="3"/>
        <v>0.34725612570453035</v>
      </c>
      <c r="P42" s="6">
        <f>'a20 (2)'!D38</f>
        <v>11.2</v>
      </c>
      <c r="Q42" s="9">
        <f t="shared" si="26"/>
        <v>0.52976190476190477</v>
      </c>
      <c r="R42" s="6">
        <f>'a19'!J42</f>
        <v>96.200396825396808</v>
      </c>
      <c r="S42" s="6">
        <f>'a23'!D38</f>
        <v>46.414667463502091</v>
      </c>
      <c r="T42" s="9">
        <f t="shared" si="27"/>
        <v>0.44651094285077353</v>
      </c>
      <c r="U42" s="9">
        <f t="shared" si="4"/>
        <v>0.55553359959470561</v>
      </c>
      <c r="V42" s="9">
        <f t="shared" si="5"/>
        <v>0.53491624372846502</v>
      </c>
      <c r="W42" s="6">
        <f>'a20 (2)'!E38</f>
        <v>8.8000000000000007</v>
      </c>
      <c r="X42" s="9">
        <f t="shared" si="28"/>
        <v>0.64880952380952372</v>
      </c>
      <c r="Y42" s="6">
        <f>'a19'!M42</f>
        <v>70.403981264636997</v>
      </c>
      <c r="Z42" s="6">
        <f>'a23'!E38</f>
        <v>43.92405634580566</v>
      </c>
      <c r="AA42" s="9">
        <f t="shared" si="29"/>
        <v>0.30924284400369617</v>
      </c>
      <c r="AB42" s="9">
        <f t="shared" si="6"/>
        <v>0.37320330269911955</v>
      </c>
      <c r="AC42" s="9">
        <f t="shared" si="7"/>
        <v>0.59368827958744286</v>
      </c>
      <c r="AD42" s="6">
        <f>'a20 (2)'!F38</f>
        <v>9.6999999999999993</v>
      </c>
      <c r="AE42" s="9">
        <f t="shared" si="30"/>
        <v>0.60416666666666663</v>
      </c>
      <c r="AF42" s="6">
        <f>'a19'!P42</f>
        <v>91.349734042553195</v>
      </c>
      <c r="AG42" s="6">
        <f>'a23'!F38</f>
        <v>44.611230528354966</v>
      </c>
      <c r="AH42" s="9">
        <f t="shared" si="31"/>
        <v>0.4075224044076256</v>
      </c>
      <c r="AI42" s="9">
        <f t="shared" si="8"/>
        <v>0.5037459530142453</v>
      </c>
      <c r="AJ42" s="9">
        <f t="shared" si="9"/>
        <v>0.58408252393618243</v>
      </c>
      <c r="AK42" s="6">
        <f>'a20 (2)'!G38</f>
        <v>8.5</v>
      </c>
      <c r="AL42" s="9">
        <f t="shared" si="32"/>
        <v>0.66369047619047616</v>
      </c>
      <c r="AM42" s="6">
        <f>'a19'!S42</f>
        <v>52.481243301178999</v>
      </c>
      <c r="AN42" s="6">
        <f>'a23'!G38</f>
        <v>42.350525664811386</v>
      </c>
      <c r="AO42" s="9">
        <f t="shared" si="33"/>
        <v>0.22226082413477916</v>
      </c>
      <c r="AP42" s="9">
        <f t="shared" si="10"/>
        <v>0.25766693525116985</v>
      </c>
      <c r="AQ42" s="9">
        <f t="shared" si="11"/>
        <v>0.58248576800261498</v>
      </c>
      <c r="AR42" s="6">
        <f>'a20 (2)'!H38</f>
        <v>6.8</v>
      </c>
      <c r="AS42" s="9">
        <f t="shared" si="34"/>
        <v>0.74801587301587291</v>
      </c>
      <c r="AT42" s="6">
        <f>'a19'!V42</f>
        <v>29.747056258177061</v>
      </c>
      <c r="AU42" s="6">
        <f>'a23'!H38</f>
        <v>41.384660278085917</v>
      </c>
      <c r="AV42" s="9">
        <f t="shared" si="35"/>
        <v>0.12310718175177673</v>
      </c>
      <c r="AW42" s="9">
        <f t="shared" si="12"/>
        <v>0.1259632604293012</v>
      </c>
      <c r="AX42" s="9">
        <f t="shared" si="13"/>
        <v>0.62360535049855859</v>
      </c>
      <c r="AY42" s="6">
        <f>'a20 (2)'!I38</f>
        <v>5.3</v>
      </c>
      <c r="AZ42" s="9">
        <f t="shared" si="36"/>
        <v>0.82242063492063489</v>
      </c>
      <c r="BA42" s="6">
        <f>'a19'!Y42</f>
        <v>41.555727554179569</v>
      </c>
      <c r="BB42" s="6">
        <f>'a23'!I38</f>
        <v>44.190559659446599</v>
      </c>
      <c r="BC42" s="9">
        <f t="shared" si="37"/>
        <v>0.18363708576746812</v>
      </c>
      <c r="BD42" s="9">
        <f t="shared" si="14"/>
        <v>0.20636384485450993</v>
      </c>
      <c r="BE42" s="9">
        <f t="shared" si="15"/>
        <v>0.69920927690740986</v>
      </c>
      <c r="BF42" s="6">
        <f>'a20 (2)'!J38</f>
        <v>5.3</v>
      </c>
      <c r="BG42" s="9">
        <f t="shared" si="38"/>
        <v>0.82242063492063489</v>
      </c>
      <c r="BH42" s="6">
        <f>'a19'!AB42</f>
        <v>44.670971709717101</v>
      </c>
      <c r="BI42" s="6">
        <f>'a23'!J38</f>
        <v>44.49150171186708</v>
      </c>
      <c r="BJ42" s="9">
        <f t="shared" si="39"/>
        <v>0.19874786142936443</v>
      </c>
      <c r="BK42" s="9">
        <f t="shared" si="16"/>
        <v>0.22643516685792389</v>
      </c>
      <c r="BL42" s="9">
        <f t="shared" si="17"/>
        <v>0.70322354130809273</v>
      </c>
      <c r="BM42" s="6">
        <f>'a20 (2)'!K38</f>
        <v>4.7</v>
      </c>
      <c r="BN42" s="9">
        <f t="shared" si="40"/>
        <v>0.85218253968253965</v>
      </c>
      <c r="BO42" s="6">
        <f>'a19'!AE42</f>
        <v>33.259047619047621</v>
      </c>
      <c r="BP42" s="6">
        <f>'a23'!K38</f>
        <v>43.020326791222708</v>
      </c>
      <c r="BQ42" s="9">
        <f t="shared" si="41"/>
        <v>0.14308150973362663</v>
      </c>
      <c r="BR42" s="9">
        <f t="shared" si="18"/>
        <v>0.15249473556306675</v>
      </c>
      <c r="BS42" s="9">
        <f t="shared" si="19"/>
        <v>0.71224497885864513</v>
      </c>
      <c r="BT42" s="6">
        <f>'a20 (2)'!L38</f>
        <v>7.2</v>
      </c>
      <c r="BU42" s="9">
        <f t="shared" si="42"/>
        <v>0.72817460317460314</v>
      </c>
      <c r="BV42" s="6">
        <f>'a19'!AH42</f>
        <v>37.590406296532649</v>
      </c>
      <c r="BW42" s="6">
        <f>'a23'!L38</f>
        <v>42.411962923718697</v>
      </c>
      <c r="BX42" s="9">
        <f t="shared" si="43"/>
        <v>0.15942829181360646</v>
      </c>
      <c r="BY42" s="9">
        <f t="shared" si="20"/>
        <v>0.17420781860977372</v>
      </c>
      <c r="BZ42" s="9">
        <f t="shared" si="21"/>
        <v>0.61738124626163737</v>
      </c>
    </row>
    <row r="43" spans="1:78">
      <c r="A43" s="1">
        <v>2005</v>
      </c>
      <c r="B43" s="6">
        <f>'a20 (2)'!B39</f>
        <v>6.8</v>
      </c>
      <c r="C43" s="9">
        <f t="shared" si="22"/>
        <v>0.74801587301587291</v>
      </c>
      <c r="D43" s="6">
        <f>'a19'!D43</f>
        <v>44.210515058179332</v>
      </c>
      <c r="E43" s="6">
        <f>'a23'!B39</f>
        <v>40.084057735165025</v>
      </c>
      <c r="F43" s="9">
        <f t="shared" si="23"/>
        <v>0.17721368380934432</v>
      </c>
      <c r="G43" s="9">
        <f t="shared" si="0"/>
        <v>0.1978317766176711</v>
      </c>
      <c r="H43" s="9">
        <f t="shared" si="1"/>
        <v>0.63797905373623265</v>
      </c>
      <c r="I43" s="6">
        <f>'a20 (2)'!C39</f>
        <v>15.1</v>
      </c>
      <c r="J43" s="9">
        <f t="shared" si="24"/>
        <v>0.33630952380952378</v>
      </c>
      <c r="K43" s="6">
        <f>'a19'!G43</f>
        <v>99.798245614035096</v>
      </c>
      <c r="L43" s="6">
        <f>'a23'!C39</f>
        <v>41.212990892318501</v>
      </c>
      <c r="M43" s="9">
        <f t="shared" si="25"/>
        <v>0.41129841875605933</v>
      </c>
      <c r="N43" s="9">
        <f t="shared" si="2"/>
        <v>0.50876155258191258</v>
      </c>
      <c r="O43" s="9">
        <f t="shared" si="3"/>
        <v>0.37079992956400154</v>
      </c>
      <c r="P43" s="6">
        <f>'a20 (2)'!D39</f>
        <v>10.8</v>
      </c>
      <c r="Q43" s="9">
        <f t="shared" si="26"/>
        <v>0.54960317460317454</v>
      </c>
      <c r="R43" s="6">
        <f>'a19'!J43</f>
        <v>99.441056910569117</v>
      </c>
      <c r="S43" s="6">
        <f>'a23'!D39</f>
        <v>45.284032219072117</v>
      </c>
      <c r="T43" s="9">
        <f t="shared" si="27"/>
        <v>0.45030920250367962</v>
      </c>
      <c r="U43" s="9">
        <f t="shared" si="4"/>
        <v>0.56057874712729006</v>
      </c>
      <c r="V43" s="9">
        <f t="shared" si="5"/>
        <v>0.55179828910799766</v>
      </c>
      <c r="W43" s="6">
        <f>'a20 (2)'!E39</f>
        <v>8.4</v>
      </c>
      <c r="X43" s="9">
        <f t="shared" si="28"/>
        <v>0.66865079365079361</v>
      </c>
      <c r="Y43" s="6">
        <f>'a19'!M43</f>
        <v>73.137860082304513</v>
      </c>
      <c r="Z43" s="6">
        <f>'a23'!E39</f>
        <v>42.194246422973862</v>
      </c>
      <c r="AA43" s="9">
        <f t="shared" si="29"/>
        <v>0.30859968911617403</v>
      </c>
      <c r="AB43" s="9">
        <f t="shared" si="6"/>
        <v>0.3723490137377608</v>
      </c>
      <c r="AC43" s="9">
        <f t="shared" si="7"/>
        <v>0.60939043766818712</v>
      </c>
      <c r="AD43" s="6">
        <f>'a20 (2)'!F39</f>
        <v>9.6</v>
      </c>
      <c r="AE43" s="9">
        <f t="shared" si="30"/>
        <v>0.60912698412698407</v>
      </c>
      <c r="AF43" s="6">
        <f>'a19'!P43</f>
        <v>92.511261261261254</v>
      </c>
      <c r="AG43" s="6">
        <f>'a23'!F39</f>
        <v>43.661672470319914</v>
      </c>
      <c r="AH43" s="9">
        <f t="shared" si="31"/>
        <v>0.40391963890053834</v>
      </c>
      <c r="AI43" s="9">
        <f t="shared" si="8"/>
        <v>0.49896047619865824</v>
      </c>
      <c r="AJ43" s="9">
        <f t="shared" si="9"/>
        <v>0.58709368254131888</v>
      </c>
      <c r="AK43" s="6">
        <f>'a20 (2)'!G39</f>
        <v>8.3000000000000007</v>
      </c>
      <c r="AL43" s="9">
        <f t="shared" si="32"/>
        <v>0.67361111111111105</v>
      </c>
      <c r="AM43" s="6">
        <f>'a19'!S43</f>
        <v>52.750574024158929</v>
      </c>
      <c r="AN43" s="6">
        <f>'a23'!G39</f>
        <v>41.695278456160509</v>
      </c>
      <c r="AO43" s="9">
        <f t="shared" si="33"/>
        <v>0.2199449872659614</v>
      </c>
      <c r="AP43" s="9">
        <f t="shared" si="10"/>
        <v>0.25459085838116319</v>
      </c>
      <c r="AQ43" s="9">
        <f t="shared" si="11"/>
        <v>0.58980706056512155</v>
      </c>
      <c r="AR43" s="6">
        <f>'a20 (2)'!H39</f>
        <v>6.6</v>
      </c>
      <c r="AS43" s="9">
        <f t="shared" si="34"/>
        <v>0.75793650793650791</v>
      </c>
      <c r="AT43" s="6">
        <f>'a19'!V43</f>
        <v>29.213721582521401</v>
      </c>
      <c r="AU43" s="6">
        <f>'a23'!H39</f>
        <v>39.956019921020619</v>
      </c>
      <c r="AV43" s="9">
        <f t="shared" si="35"/>
        <v>0.11672640415183751</v>
      </c>
      <c r="AW43" s="9">
        <f t="shared" si="12"/>
        <v>0.11748780922109503</v>
      </c>
      <c r="AX43" s="9">
        <f t="shared" si="13"/>
        <v>0.62984676819342544</v>
      </c>
      <c r="AY43" s="6">
        <f>'a20 (2)'!I39</f>
        <v>4.8</v>
      </c>
      <c r="AZ43" s="9">
        <f t="shared" si="36"/>
        <v>0.8472222222222221</v>
      </c>
      <c r="BA43" s="6">
        <f>'a19'!Y43</f>
        <v>42.5</v>
      </c>
      <c r="BB43" s="6">
        <f>'a23'!I39</f>
        <v>42.85666207969367</v>
      </c>
      <c r="BC43" s="9">
        <f t="shared" si="37"/>
        <v>0.1821408138386981</v>
      </c>
      <c r="BD43" s="9">
        <f t="shared" si="14"/>
        <v>0.204376378667533</v>
      </c>
      <c r="BE43" s="9">
        <f t="shared" si="15"/>
        <v>0.71865305351128428</v>
      </c>
      <c r="BF43" s="6">
        <f>'a20 (2)'!J39</f>
        <v>5.0999999999999996</v>
      </c>
      <c r="BG43" s="9">
        <f t="shared" si="38"/>
        <v>0.83234126984126988</v>
      </c>
      <c r="BH43" s="6">
        <f>'a19'!AB43</f>
        <v>42.409909909909906</v>
      </c>
      <c r="BI43" s="6">
        <f>'a23'!J39</f>
        <v>42.536825675543852</v>
      </c>
      <c r="BJ43" s="9">
        <f t="shared" si="39"/>
        <v>0.18039829447533573</v>
      </c>
      <c r="BK43" s="9">
        <f t="shared" si="16"/>
        <v>0.20206182724927441</v>
      </c>
      <c r="BL43" s="9">
        <f t="shared" si="17"/>
        <v>0.70628538132287089</v>
      </c>
      <c r="BM43" s="6">
        <f>'a20 (2)'!K39</f>
        <v>4</v>
      </c>
      <c r="BN43" s="9">
        <f t="shared" si="40"/>
        <v>0.88690476190476186</v>
      </c>
      <c r="BO43" s="6">
        <f>'a19'!AE43</f>
        <v>30.043218085106382</v>
      </c>
      <c r="BP43" s="6">
        <f>'a23'!K39</f>
        <v>40.533241614756498</v>
      </c>
      <c r="BQ43" s="9">
        <f t="shared" si="41"/>
        <v>0.1217749017528439</v>
      </c>
      <c r="BR43" s="9">
        <f t="shared" si="18"/>
        <v>0.12419362123568133</v>
      </c>
      <c r="BS43" s="9">
        <f t="shared" si="19"/>
        <v>0.73436253377094585</v>
      </c>
      <c r="BT43" s="6">
        <f>'a20 (2)'!L39</f>
        <v>5.8</v>
      </c>
      <c r="BU43" s="9">
        <f t="shared" si="42"/>
        <v>0.79761904761904756</v>
      </c>
      <c r="BV43" s="6">
        <f>'a19'!AH43</f>
        <v>39.168598660484278</v>
      </c>
      <c r="BW43" s="6">
        <f>'a23'!L39</f>
        <v>41.01685706260735</v>
      </c>
      <c r="BX43" s="9">
        <f t="shared" si="43"/>
        <v>0.16065728125997172</v>
      </c>
      <c r="BY43" s="9">
        <f t="shared" si="20"/>
        <v>0.17584025915873877</v>
      </c>
      <c r="BZ43" s="9">
        <f t="shared" si="21"/>
        <v>0.67326328992698581</v>
      </c>
    </row>
    <row r="44" spans="1:78">
      <c r="A44" s="1">
        <v>2006</v>
      </c>
      <c r="B44" s="6">
        <f>'a20 (2)'!B40</f>
        <v>6.3</v>
      </c>
      <c r="C44" s="9">
        <f t="shared" si="22"/>
        <v>0.77281746031746024</v>
      </c>
      <c r="D44" s="6">
        <f>'a19'!D44</f>
        <v>44.649194155746343</v>
      </c>
      <c r="E44" s="6">
        <f>'a23'!B40</f>
        <v>40.471699778080726</v>
      </c>
      <c r="F44" s="9">
        <f t="shared" si="23"/>
        <v>0.18070287812046026</v>
      </c>
      <c r="G44" s="9">
        <f t="shared" si="0"/>
        <v>0.20246639922857285</v>
      </c>
      <c r="H44" s="9">
        <f>C44*0.8+G44*0.2</f>
        <v>0.65874724809968288</v>
      </c>
      <c r="I44" s="6">
        <f>'a20 (2)'!C40</f>
        <v>14.7</v>
      </c>
      <c r="J44" s="9">
        <f t="shared" si="24"/>
        <v>0.35615079365079361</v>
      </c>
      <c r="K44" s="6">
        <f>'a19'!G44</f>
        <v>102.08670260557052</v>
      </c>
      <c r="L44" s="6">
        <f>'a23'!C40</f>
        <v>41.781605130381486</v>
      </c>
      <c r="M44" s="9">
        <f>K44*L44/10000</f>
        <v>0.42653462973286344</v>
      </c>
      <c r="N44" s="9">
        <f t="shared" si="2"/>
        <v>0.52899948764692228</v>
      </c>
      <c r="O44" s="9">
        <f>J44*0.8+N44*0.2</f>
        <v>0.39072053245001936</v>
      </c>
      <c r="P44" s="6">
        <f>'a20 (2)'!D40</f>
        <v>11.1</v>
      </c>
      <c r="Q44" s="9">
        <f t="shared" si="26"/>
        <v>0.53472222222222221</v>
      </c>
      <c r="R44" s="6">
        <f>'a19'!J44</f>
        <v>95.205882352941174</v>
      </c>
      <c r="S44" s="6">
        <f>'a23'!D40</f>
        <v>47.92990410506934</v>
      </c>
      <c r="T44" s="9">
        <f>R44*S44/10000</f>
        <v>0.45632088114149838</v>
      </c>
      <c r="U44" s="9">
        <f t="shared" si="4"/>
        <v>0.56856393203245481</v>
      </c>
      <c r="V44" s="9">
        <f>Q44*0.8+U44*0.2</f>
        <v>0.54149056418426877</v>
      </c>
      <c r="W44" s="6">
        <f>'a20 (2)'!E40</f>
        <v>7.9</v>
      </c>
      <c r="X44" s="9">
        <f t="shared" si="28"/>
        <v>0.69345238095238093</v>
      </c>
      <c r="Y44" s="6">
        <f>'a19'!M44</f>
        <v>76.787918871252202</v>
      </c>
      <c r="Z44" s="6">
        <f>'a23'!E40</f>
        <v>43.699340407792761</v>
      </c>
      <c r="AA44" s="9">
        <f>Y44*Z44/10000</f>
        <v>0.33555814059608235</v>
      </c>
      <c r="AB44" s="9">
        <f t="shared" si="6"/>
        <v>0.40815735160694655</v>
      </c>
      <c r="AC44" s="9">
        <f>X44*0.8+AB44*0.2</f>
        <v>0.63639337508329408</v>
      </c>
      <c r="AD44" s="6">
        <f>'a20 (2)'!F40</f>
        <v>8.6999999999999993</v>
      </c>
      <c r="AE44" s="9">
        <f t="shared" si="30"/>
        <v>0.65376984126984128</v>
      </c>
      <c r="AF44" s="6">
        <f>'a19'!P44</f>
        <v>98.707584830339329</v>
      </c>
      <c r="AG44" s="6">
        <f>'a23'!F40</f>
        <v>44.046293684840762</v>
      </c>
      <c r="AH44" s="9">
        <f>AF44*AG44/10000</f>
        <v>0.43477032703584589</v>
      </c>
      <c r="AI44" s="9">
        <f t="shared" si="8"/>
        <v>0.53993878925455829</v>
      </c>
      <c r="AJ44" s="9">
        <f>AE44*0.8+AI44*0.2</f>
        <v>0.63100363086678468</v>
      </c>
      <c r="AK44" s="6">
        <f>'a20 (2)'!G40</f>
        <v>8.1</v>
      </c>
      <c r="AL44" s="9">
        <f t="shared" si="32"/>
        <v>0.68353174603174605</v>
      </c>
      <c r="AM44" s="6">
        <f>'a19'!S44</f>
        <v>52.929500864084588</v>
      </c>
      <c r="AN44" s="6">
        <f>'a23'!G40</f>
        <v>42.434584755403876</v>
      </c>
      <c r="AO44" s="9">
        <f>AM44*AN44/10000</f>
        <v>0.224604139047822</v>
      </c>
      <c r="AP44" s="9">
        <f t="shared" si="10"/>
        <v>0.26077951062304078</v>
      </c>
      <c r="AQ44" s="9">
        <f>AL44*0.8+AP44*0.2</f>
        <v>0.59898129895000507</v>
      </c>
      <c r="AR44" s="161">
        <f>'a20 (2)'!H40</f>
        <v>6.3</v>
      </c>
      <c r="AS44" s="9">
        <f t="shared" si="34"/>
        <v>0.77281746031746024</v>
      </c>
      <c r="AT44" s="6">
        <f>'a19'!V44</f>
        <v>29.658969056372548</v>
      </c>
      <c r="AU44" s="6">
        <f>'a23'!H40</f>
        <v>40.020407731675334</v>
      </c>
      <c r="AV44" s="9">
        <f>AT44*AU44/10000</f>
        <v>0.11869640345371715</v>
      </c>
      <c r="AW44" s="9">
        <f t="shared" si="12"/>
        <v>0.12010451740466191</v>
      </c>
      <c r="AX44" s="9">
        <f>AS44*0.8+AW44*0.2</f>
        <v>0.64227487173490061</v>
      </c>
      <c r="AY44" s="6">
        <f>'a20 (2)'!I40</f>
        <v>4.3</v>
      </c>
      <c r="AZ44" s="9">
        <f t="shared" si="36"/>
        <v>0.87202380952380942</v>
      </c>
      <c r="BA44" s="6">
        <f>'a19'!Y44</f>
        <v>41.192259675405751</v>
      </c>
      <c r="BB44" s="6">
        <f>'a23'!I40</f>
        <v>42.797167939448499</v>
      </c>
      <c r="BC44" s="9">
        <f>BA44*BB44/10000</f>
        <v>0.17629120551337124</v>
      </c>
      <c r="BD44" s="9">
        <f t="shared" si="14"/>
        <v>0.19660646831226591</v>
      </c>
      <c r="BE44" s="9">
        <f>AZ44*0.8+BD44*0.2</f>
        <v>0.73694034128150077</v>
      </c>
      <c r="BF44" s="6">
        <f>'a20 (2)'!J40</f>
        <v>4.7</v>
      </c>
      <c r="BG44" s="9">
        <f t="shared" si="38"/>
        <v>0.85218253968253965</v>
      </c>
      <c r="BH44" s="6">
        <f>'a19'!AB44</f>
        <v>40.829875518672196</v>
      </c>
      <c r="BI44" s="6">
        <f>'a23'!J40</f>
        <v>43.298838437170019</v>
      </c>
      <c r="BJ44" s="9">
        <f>BH44*BI44/10000</f>
        <v>0.17678861834927509</v>
      </c>
      <c r="BK44" s="9">
        <f t="shared" si="16"/>
        <v>0.19726717120544909</v>
      </c>
      <c r="BL44" s="9">
        <f>BG44*0.8+BK44*0.2</f>
        <v>0.72119946598712159</v>
      </c>
      <c r="BM44" s="6">
        <f>'a20 (2)'!K40</f>
        <v>3.4</v>
      </c>
      <c r="BN44" s="9">
        <f t="shared" si="40"/>
        <v>0.91666666666666663</v>
      </c>
      <c r="BO44" s="6">
        <f>'a19'!AE44</f>
        <v>27.591374269005847</v>
      </c>
      <c r="BP44" s="6">
        <f>'a23'!K40</f>
        <v>40.503941817240438</v>
      </c>
      <c r="BQ44" s="9">
        <f>BO44*BP44/10000</f>
        <v>0.11175594180495177</v>
      </c>
      <c r="BR44" s="9">
        <f t="shared" si="18"/>
        <v>0.11088564977525302</v>
      </c>
      <c r="BS44" s="9">
        <f>BN44*0.8+BR44*0.2</f>
        <v>0.755510463288384</v>
      </c>
      <c r="BT44" s="6">
        <f>'a20 (2)'!L40</f>
        <v>4.8</v>
      </c>
      <c r="BU44" s="9">
        <f t="shared" si="42"/>
        <v>0.8472222222222221</v>
      </c>
      <c r="BV44" s="6">
        <f>'a19'!AH44</f>
        <v>38.85319677219119</v>
      </c>
      <c r="BW44" s="6">
        <f>'a23'!L40</f>
        <v>41.190642364373346</v>
      </c>
      <c r="BX44" s="9">
        <f>BV44*BW44/10000</f>
        <v>0.16003881329559522</v>
      </c>
      <c r="BY44" s="9">
        <f t="shared" si="20"/>
        <v>0.17501876131246352</v>
      </c>
      <c r="BZ44" s="9">
        <f>BU44*0.8+BY44*0.2</f>
        <v>0.71278153004027045</v>
      </c>
    </row>
    <row r="45" spans="1:78">
      <c r="A45" s="1">
        <v>2007</v>
      </c>
      <c r="B45" s="6">
        <f>'a20 (2)'!B41</f>
        <v>6</v>
      </c>
      <c r="C45" s="9">
        <f t="shared" ref="C45:C46" si="44">($D$62-B45)/$D$64</f>
        <v>0.78769841269841268</v>
      </c>
      <c r="D45" s="6">
        <f>'a19'!D45</f>
        <v>44.452917362012492</v>
      </c>
      <c r="E45" s="6">
        <f>'a23'!B41</f>
        <v>40.083377739433466</v>
      </c>
      <c r="F45" s="9">
        <f t="shared" ref="F45:F46" si="45">D45*E45/10000</f>
        <v>0.17818230782413672</v>
      </c>
      <c r="G45" s="9">
        <f t="shared" ref="G45:G46" si="46">(F45-$G$63)/$G$64</f>
        <v>0.19911837930016354</v>
      </c>
      <c r="H45" s="9">
        <f t="shared" ref="H45:H46" si="47">C45*0.8+G45*0.2</f>
        <v>0.66998240601876291</v>
      </c>
      <c r="I45" s="6">
        <f>'a20 (2)'!C41</f>
        <v>13.5</v>
      </c>
      <c r="J45" s="9">
        <f t="shared" ref="J45:J46" si="48">($D$62-I45)/$D$64</f>
        <v>0.41567460317460314</v>
      </c>
      <c r="K45" s="6">
        <f>'a19'!G45</f>
        <v>106.61489151873769</v>
      </c>
      <c r="L45" s="6">
        <f>'a23'!C41</f>
        <v>41.435993208828513</v>
      </c>
      <c r="M45" s="9">
        <f t="shared" ref="M45:M46" si="49">K45*L45/10000</f>
        <v>0.44176939209304039</v>
      </c>
      <c r="N45" s="9">
        <f t="shared" ref="N45:N46" si="50">(M45-$G$63)/$G$64</f>
        <v>0.54923549854526876</v>
      </c>
      <c r="O45" s="9">
        <f t="shared" ref="O45:O46" si="51">J45*0.8+N45*0.2</f>
        <v>0.44238678224873629</v>
      </c>
      <c r="P45" s="6">
        <f>'a20 (2)'!D41</f>
        <v>10.3</v>
      </c>
      <c r="Q45" s="9">
        <f t="shared" ref="Q45:Q46" si="52">($D$62-P45)/$D$64</f>
        <v>0.57440476190476186</v>
      </c>
      <c r="R45" s="6">
        <f>'a19'!J45</f>
        <v>100.37974683544303</v>
      </c>
      <c r="S45" s="6">
        <f>'a23'!D41</f>
        <v>48.641601999413751</v>
      </c>
      <c r="T45" s="9">
        <f t="shared" ref="T45:T46" si="53">R45*S45/10000</f>
        <v>0.4882631694371532</v>
      </c>
      <c r="U45" s="9">
        <f t="shared" ref="U45:U46" si="54">(T45-$G$63)/$G$64</f>
        <v>0.61099219437008212</v>
      </c>
      <c r="V45" s="9">
        <f t="shared" ref="V45:V46" si="55">Q45*0.8+U45*0.2</f>
        <v>0.58172224839782594</v>
      </c>
      <c r="W45" s="6">
        <f>'a20 (2)'!E41</f>
        <v>8</v>
      </c>
      <c r="X45" s="9">
        <f t="shared" ref="X45:X46" si="56">($D$62-W45)/$D$64</f>
        <v>0.68849206349206349</v>
      </c>
      <c r="Y45" s="6">
        <f>'a19'!M45</f>
        <v>71.933677863910404</v>
      </c>
      <c r="Z45" s="6">
        <f>'a23'!E41</f>
        <v>43.983222343418099</v>
      </c>
      <c r="AA45" s="9">
        <f t="shared" ref="AA45:AA46" si="57">Y45*Z45/10000</f>
        <v>0.31638749474681838</v>
      </c>
      <c r="AB45" s="9">
        <f t="shared" ref="AB45:AB46" si="58">(AA45-$G$63)/$G$64</f>
        <v>0.38269339036078365</v>
      </c>
      <c r="AC45" s="9">
        <f t="shared" ref="AC45:AC46" si="59">X45*0.8+AB45*0.2</f>
        <v>0.62733232886580759</v>
      </c>
      <c r="AD45" s="6">
        <f>'a20 (2)'!F41</f>
        <v>7.5</v>
      </c>
      <c r="AE45" s="9">
        <f t="shared" ref="AE45:AE46" si="60">($D$62-AD45)/$D$64</f>
        <v>0.7132936507936507</v>
      </c>
      <c r="AF45" s="6">
        <f>'a19'!P45</f>
        <v>105.49425287356321</v>
      </c>
      <c r="AG45" s="6">
        <f>'a23'!F41</f>
        <v>43.630027314684</v>
      </c>
      <c r="AH45" s="9">
        <f t="shared" ref="AH45:AH46" si="61">AF45*AG45/10000</f>
        <v>0.46027171344157441</v>
      </c>
      <c r="AI45" s="9">
        <f t="shared" ref="AI45:AI46" si="62">(AH45-$G$63)/$G$64</f>
        <v>0.57381173856804357</v>
      </c>
      <c r="AJ45" s="9">
        <f t="shared" ref="AJ45:AJ46" si="63">AE45*0.8+AI45*0.2</f>
        <v>0.68539726834852932</v>
      </c>
      <c r="AK45" s="6">
        <f>'a20 (2)'!G41</f>
        <v>7.2</v>
      </c>
      <c r="AL45" s="9">
        <f t="shared" ref="AL45:AL46" si="64">($D$62-AK45)/$D$64</f>
        <v>0.72817460317460314</v>
      </c>
      <c r="AM45" s="6">
        <f>'a19'!S45</f>
        <v>56.676421404682273</v>
      </c>
      <c r="AN45" s="6">
        <f>'a23'!G41</f>
        <v>41.970770833051539</v>
      </c>
      <c r="AO45" s="9">
        <f t="shared" ref="AO45:AO46" si="65">AM45*AN45/10000</f>
        <v>0.2378753094413377</v>
      </c>
      <c r="AP45" s="9">
        <f t="shared" ref="AP45:AP46" si="66">(AO45-$G$63)/$G$64</f>
        <v>0.27840732406494845</v>
      </c>
      <c r="AQ45" s="9">
        <f t="shared" ref="AQ45:AQ46" si="67">AL45*0.8+AP45*0.2</f>
        <v>0.63822114735267221</v>
      </c>
      <c r="AR45" s="161">
        <f>'a20 (2)'!H41</f>
        <v>6.4</v>
      </c>
      <c r="AS45" s="9">
        <f t="shared" ref="AS45:AS46" si="68">($D$62-AR45)/$D$64</f>
        <v>0.76785714285714279</v>
      </c>
      <c r="AT45" s="6">
        <f>'a19'!V45</f>
        <v>29.175952752395812</v>
      </c>
      <c r="AU45" s="6">
        <f>'a23'!H41</f>
        <v>39.421573418030782</v>
      </c>
      <c r="AV45" s="9">
        <f t="shared" ref="AV45:AV46" si="69">AT45*AU45/10000</f>
        <v>0.11501619634695687</v>
      </c>
      <c r="AW45" s="9">
        <f t="shared" ref="AW45:AW46" si="70">(AV45-$G$63)/$G$64</f>
        <v>0.11521617655891021</v>
      </c>
      <c r="AX45" s="9">
        <f t="shared" ref="AX45:AX46" si="71">AS45*0.8+AW45*0.2</f>
        <v>0.63732894959749642</v>
      </c>
      <c r="AY45" s="6">
        <f>'a20 (2)'!I41</f>
        <v>4.4000000000000004</v>
      </c>
      <c r="AZ45" s="9">
        <f t="shared" ref="AZ45:AZ46" si="72">($D$62-AY45)/$D$64</f>
        <v>0.86706349206349187</v>
      </c>
      <c r="BA45" s="6">
        <f>'a19'!Y45</f>
        <v>37.526978417266186</v>
      </c>
      <c r="BB45" s="6">
        <f>'a23'!I41</f>
        <v>41.910443667283829</v>
      </c>
      <c r="BC45" s="9">
        <f t="shared" ref="BC45:BC46" si="73">BA45*BB45/10000</f>
        <v>0.15727723149602105</v>
      </c>
      <c r="BD45" s="9">
        <f t="shared" ref="BD45:BD46" si="74">(BC45-$G$63)/$G$64</f>
        <v>0.17135061092903939</v>
      </c>
      <c r="BE45" s="9">
        <f t="shared" ref="BE45:BE46" si="75">AZ45*0.8+BD45*0.2</f>
        <v>0.72792091583660135</v>
      </c>
      <c r="BF45" s="6">
        <f>'a20 (2)'!J41</f>
        <v>4.2</v>
      </c>
      <c r="BG45" s="9">
        <f t="shared" ref="BG45:BG46" si="76">($D$62-BF45)/$D$64</f>
        <v>0.87698412698412698</v>
      </c>
      <c r="BH45" s="6">
        <f>'a19'!AB45</f>
        <v>42.737556561085967</v>
      </c>
      <c r="BI45" s="6">
        <f>'a23'!J41</f>
        <v>43.346906081035982</v>
      </c>
      <c r="BJ45" s="9">
        <f t="shared" ref="BJ45:BJ46" si="77">BH45*BI45/10000</f>
        <v>0.18525408503863566</v>
      </c>
      <c r="BK45" s="9">
        <f t="shared" ref="BK45:BK46" si="78">(BJ45-$G$63)/$G$64</f>
        <v>0.20851167060330519</v>
      </c>
      <c r="BL45" s="9">
        <f t="shared" ref="BL45:BL46" si="79">BG45*0.8+BK45*0.2</f>
        <v>0.74328963570796269</v>
      </c>
      <c r="BM45" s="6">
        <f>'a20 (2)'!K41</f>
        <v>3.5</v>
      </c>
      <c r="BN45" s="9">
        <f t="shared" ref="BN45:BN46" si="80">($D$62-BM45)/$D$64</f>
        <v>0.91170634920634919</v>
      </c>
      <c r="BO45" s="6">
        <f>'a19'!AE45</f>
        <v>23.176510989010989</v>
      </c>
      <c r="BP45" s="6">
        <f>'a23'!K41</f>
        <v>40.052066024149781</v>
      </c>
      <c r="BQ45" s="9">
        <f t="shared" ref="BQ45:BQ46" si="81">BO45*BP45/10000</f>
        <v>9.2826714834130103E-2</v>
      </c>
      <c r="BR45" s="9">
        <f t="shared" ref="BR45:BR46" si="82">(BQ45-$G$63)/$G$64</f>
        <v>8.5742360091909844E-2</v>
      </c>
      <c r="BS45" s="9">
        <f t="shared" ref="BS45:BS46" si="83">BN45*0.8+BR45*0.2</f>
        <v>0.74651355138346143</v>
      </c>
      <c r="BT45" s="6">
        <f>'a20 (2)'!L41</f>
        <v>4.3</v>
      </c>
      <c r="BU45" s="9">
        <f t="shared" ref="BU45:BU46" si="84">($D$62-BT45)/$D$64</f>
        <v>0.87202380952380942</v>
      </c>
      <c r="BV45" s="6">
        <f>'a19'!AH45</f>
        <v>38.490057296932925</v>
      </c>
      <c r="BW45" s="6">
        <f>'a23'!L41</f>
        <v>41.549982697465175</v>
      </c>
      <c r="BX45" s="9">
        <f t="shared" ref="BX45:BX46" si="85">BV45*BW45/10000</f>
        <v>0.15992612147120061</v>
      </c>
      <c r="BY45" s="9">
        <f t="shared" ref="BY45:BY46" si="86">(BX45-$G$63)/$G$64</f>
        <v>0.17486907515834504</v>
      </c>
      <c r="BZ45" s="9">
        <f t="shared" ref="BZ45:BZ46" si="87">BU45*0.8+BY45*0.2</f>
        <v>0.73259286265071655</v>
      </c>
    </row>
    <row r="46" spans="1:78">
      <c r="A46" s="1">
        <v>2008</v>
      </c>
      <c r="B46" s="6">
        <f>'a20 (2)'!B42</f>
        <v>6.1</v>
      </c>
      <c r="C46" s="9">
        <f t="shared" si="44"/>
        <v>0.78273809523809523</v>
      </c>
      <c r="D46" s="6">
        <f>'a19'!D46</f>
        <v>43.558068368413188</v>
      </c>
      <c r="E46" s="6">
        <f>'a23'!B42</f>
        <v>40.626335865311894</v>
      </c>
      <c r="F46" s="9">
        <f t="shared" si="45"/>
        <v>0.17696047151793723</v>
      </c>
      <c r="G46" s="9">
        <f t="shared" si="46"/>
        <v>0.19749544011517969</v>
      </c>
      <c r="H46" s="9">
        <f t="shared" si="47"/>
        <v>0.66568956421351211</v>
      </c>
      <c r="I46" s="6">
        <f>'a20 (2)'!C42</f>
        <v>13.2</v>
      </c>
      <c r="J46" s="9">
        <f t="shared" si="48"/>
        <v>0.43055555555555552</v>
      </c>
      <c r="K46" s="6">
        <f>'a19'!G46</f>
        <v>107.51251251251252</v>
      </c>
      <c r="L46" s="6">
        <f>'a23'!C42</f>
        <v>41.960485066677094</v>
      </c>
      <c r="M46" s="9">
        <f t="shared" si="49"/>
        <v>0.45112771757622161</v>
      </c>
      <c r="N46" s="9">
        <f t="shared" si="50"/>
        <v>0.56166596329363583</v>
      </c>
      <c r="O46" s="9">
        <f t="shared" si="51"/>
        <v>0.4567776371031716</v>
      </c>
      <c r="P46" s="6">
        <f>'a20 (2)'!D42</f>
        <v>10.8</v>
      </c>
      <c r="Q46" s="9">
        <f t="shared" si="52"/>
        <v>0.54960317460317454</v>
      </c>
      <c r="R46" s="6">
        <f>'a19'!J46</f>
        <v>93.442460317460316</v>
      </c>
      <c r="S46" s="6">
        <f>'a23'!D42</f>
        <v>49.188455461288413</v>
      </c>
      <c r="T46" s="9">
        <f t="shared" si="53"/>
        <v>0.45962902975186071</v>
      </c>
      <c r="U46" s="9">
        <f t="shared" si="54"/>
        <v>0.57295807548871447</v>
      </c>
      <c r="V46" s="9">
        <f t="shared" si="55"/>
        <v>0.55427415478028252</v>
      </c>
      <c r="W46" s="6">
        <f>'a20 (2)'!E42</f>
        <v>7.7</v>
      </c>
      <c r="X46" s="9">
        <f t="shared" si="56"/>
        <v>0.70337301587301582</v>
      </c>
      <c r="Y46" s="6">
        <f>'a19'!M46</f>
        <v>73.673333333333332</v>
      </c>
      <c r="Z46" s="6">
        <f>'a23'!E42</f>
        <v>44.423384483393711</v>
      </c>
      <c r="AA46" s="9">
        <f t="shared" si="57"/>
        <v>0.32728188128398922</v>
      </c>
      <c r="AB46" s="9">
        <f t="shared" si="58"/>
        <v>0.39716417234509993</v>
      </c>
      <c r="AC46" s="9">
        <f t="shared" si="59"/>
        <v>0.64213124716743275</v>
      </c>
      <c r="AD46" s="6">
        <f>'a20 (2)'!F42</f>
        <v>8.5</v>
      </c>
      <c r="AE46" s="9">
        <f t="shared" si="60"/>
        <v>0.66369047619047616</v>
      </c>
      <c r="AF46" s="6">
        <f>'a19'!P46</f>
        <v>89.746268656716424</v>
      </c>
      <c r="AG46" s="6">
        <f>'a23'!F42</f>
        <v>43.753335248963502</v>
      </c>
      <c r="AH46" s="9">
        <f t="shared" si="61"/>
        <v>0.3926698579880859</v>
      </c>
      <c r="AI46" s="9">
        <f t="shared" si="62"/>
        <v>0.48401763142259091</v>
      </c>
      <c r="AJ46" s="9">
        <f t="shared" si="63"/>
        <v>0.62775590723689911</v>
      </c>
      <c r="AK46" s="6">
        <f>'a20 (2)'!G42</f>
        <v>7.2</v>
      </c>
      <c r="AL46" s="9">
        <f t="shared" si="64"/>
        <v>0.72817460317460314</v>
      </c>
      <c r="AM46" s="6">
        <f>'a19'!S46</f>
        <v>53.168044077134986</v>
      </c>
      <c r="AN46" s="6">
        <f>'a23'!G42</f>
        <v>42.448207171314742</v>
      </c>
      <c r="AO46" s="9">
        <f t="shared" si="65"/>
        <v>0.22568881498798196</v>
      </c>
      <c r="AP46" s="9">
        <f t="shared" si="66"/>
        <v>0.26222026261032649</v>
      </c>
      <c r="AQ46" s="9">
        <f t="shared" si="67"/>
        <v>0.63498373506174788</v>
      </c>
      <c r="AR46" s="161">
        <f>'a20 (2)'!H42</f>
        <v>6.5</v>
      </c>
      <c r="AS46" s="9">
        <f t="shared" si="68"/>
        <v>0.76289682539682535</v>
      </c>
      <c r="AT46" s="6">
        <f>'a19'!V46</f>
        <v>30.580813496318537</v>
      </c>
      <c r="AU46" s="6">
        <f>'a23'!H42</f>
        <v>40.253488677465945</v>
      </c>
      <c r="AV46" s="9">
        <f t="shared" si="69"/>
        <v>0.12309844298217561</v>
      </c>
      <c r="AW46" s="9">
        <f t="shared" si="70"/>
        <v>0.12595165290745702</v>
      </c>
      <c r="AX46" s="9">
        <f t="shared" si="71"/>
        <v>0.63550779089895182</v>
      </c>
      <c r="AY46" s="6">
        <f>'a20 (2)'!I42</f>
        <v>4.2</v>
      </c>
      <c r="AZ46" s="9">
        <f t="shared" si="72"/>
        <v>0.87698412698412698</v>
      </c>
      <c r="BA46" s="6">
        <f>'a19'!Y46</f>
        <v>40.226415094339622</v>
      </c>
      <c r="BB46" s="6">
        <f>'a23'!I42</f>
        <v>42.833971459953659</v>
      </c>
      <c r="BC46" s="9">
        <f t="shared" si="73"/>
        <v>0.17230571160871924</v>
      </c>
      <c r="BD46" s="9">
        <f t="shared" si="74"/>
        <v>0.19131262150434658</v>
      </c>
      <c r="BE46" s="9">
        <f t="shared" si="75"/>
        <v>0.73984982588817094</v>
      </c>
      <c r="BF46" s="6">
        <f>'a20 (2)'!J42</f>
        <v>4.0999999999999996</v>
      </c>
      <c r="BG46" s="9">
        <f t="shared" si="76"/>
        <v>0.88194444444444453</v>
      </c>
      <c r="BH46" s="6">
        <f>'a19'!AB46</f>
        <v>39.228110599078342</v>
      </c>
      <c r="BI46" s="6">
        <f>'a23'!J42</f>
        <v>43.28868611433257</v>
      </c>
      <c r="BJ46" s="9">
        <f t="shared" si="77"/>
        <v>0.16981333665818249</v>
      </c>
      <c r="BK46" s="9">
        <f t="shared" si="78"/>
        <v>0.18800205285421365</v>
      </c>
      <c r="BL46" s="9">
        <f t="shared" si="79"/>
        <v>0.74315596612639845</v>
      </c>
      <c r="BM46" s="6">
        <f>'a20 (2)'!K42</f>
        <v>3.6</v>
      </c>
      <c r="BN46" s="9">
        <f t="shared" si="80"/>
        <v>0.90674603174603163</v>
      </c>
      <c r="BO46" s="6">
        <f>'a19'!AE46</f>
        <v>22.97186147186147</v>
      </c>
      <c r="BP46" s="6">
        <f>'a23'!K42</f>
        <v>39.619370611971135</v>
      </c>
      <c r="BQ46" s="9">
        <f t="shared" si="81"/>
        <v>9.1013069330054028E-2</v>
      </c>
      <c r="BR46" s="9">
        <f t="shared" si="82"/>
        <v>8.3333333333333329E-2</v>
      </c>
      <c r="BS46" s="9">
        <f t="shared" si="83"/>
        <v>0.74206349206349209</v>
      </c>
      <c r="BT46" s="6">
        <f>'a20 (2)'!L42</f>
        <v>4.5999999999999996</v>
      </c>
      <c r="BU46" s="9">
        <f t="shared" si="84"/>
        <v>0.85714285714285721</v>
      </c>
      <c r="BV46" s="6">
        <f>'a19'!AH46</f>
        <v>38.904306945708221</v>
      </c>
      <c r="BW46" s="6">
        <f>'a23'!L42</f>
        <v>43.180744938315328</v>
      </c>
      <c r="BX46" s="9">
        <f t="shared" si="85"/>
        <v>0.16799169552245563</v>
      </c>
      <c r="BY46" s="9">
        <f t="shared" si="86"/>
        <v>0.1855824056681307</v>
      </c>
      <c r="BZ46" s="9">
        <f t="shared" si="87"/>
        <v>0.72283076684791192</v>
      </c>
    </row>
    <row r="47" spans="1:78">
      <c r="A47" s="1">
        <v>2009</v>
      </c>
      <c r="B47" s="6">
        <f>'a20 (2)'!B43</f>
        <v>8.3000000000000007</v>
      </c>
      <c r="C47" s="9">
        <f t="shared" ref="C47" si="88">($D$62-B47)/$D$64</f>
        <v>0.67361111111111105</v>
      </c>
      <c r="D47" s="6">
        <f>'a19'!D47</f>
        <v>48.415842128408087</v>
      </c>
      <c r="E47" s="6">
        <f>'a23'!B43</f>
        <v>42.290139340680682</v>
      </c>
      <c r="F47" s="9">
        <f t="shared" ref="F47" si="89">D47*E47/10000</f>
        <v>0.20475127099067761</v>
      </c>
      <c r="G47" s="9">
        <f t="shared" ref="G47" si="90">(F47-$G$63)/$G$64</f>
        <v>0.23440936812459595</v>
      </c>
      <c r="H47" s="9">
        <f t="shared" ref="H47" si="91">C47*0.8+G47*0.2</f>
        <v>0.585770762513808</v>
      </c>
      <c r="I47" s="6">
        <f>'a20 (2)'!C43</f>
        <v>15.5</v>
      </c>
      <c r="J47" s="9">
        <f t="shared" ref="J47" si="92">($D$62-I47)/$D$64</f>
        <v>0.3164682539682539</v>
      </c>
      <c r="K47" s="6">
        <f>'a19'!G47</f>
        <v>105.45726495726497</v>
      </c>
      <c r="L47" s="6">
        <f>'a23'!C43</f>
        <v>42.432870139373989</v>
      </c>
      <c r="M47" s="9">
        <f t="shared" ref="M47" si="93">K47*L47/10000</f>
        <v>0.44748544291851794</v>
      </c>
      <c r="N47" s="9">
        <f t="shared" ref="N47" si="94">(M47-$G$63)/$G$64</f>
        <v>0.55682800731338866</v>
      </c>
      <c r="O47" s="9">
        <f t="shared" ref="O47" si="95">J47*0.8+N47*0.2</f>
        <v>0.36454020463728087</v>
      </c>
      <c r="P47" s="6">
        <f>'a20 (2)'!D43</f>
        <v>12.1</v>
      </c>
      <c r="Q47" s="9">
        <f t="shared" ref="Q47" si="96">($D$62-P47)/$D$64</f>
        <v>0.48511904761904756</v>
      </c>
      <c r="R47" s="6">
        <f>'a19'!J47</f>
        <v>91.028368794326241</v>
      </c>
      <c r="S47" s="6">
        <f>'a23'!D43</f>
        <v>48.875264494796859</v>
      </c>
      <c r="T47" s="9">
        <f t="shared" ref="T47" si="97">R47*S47/10000</f>
        <v>0.44490356013526078</v>
      </c>
      <c r="U47" s="9">
        <f t="shared" ref="U47" si="98">(T47-$G$63)/$G$64</f>
        <v>0.55339854731230476</v>
      </c>
      <c r="V47" s="9">
        <f t="shared" ref="V47" si="99">Q47*0.8+U47*0.2</f>
        <v>0.49877494755769902</v>
      </c>
      <c r="W47" s="6">
        <f>'a20 (2)'!E43</f>
        <v>9.1999999999999993</v>
      </c>
      <c r="X47" s="9">
        <f t="shared" ref="X47" si="100">($D$62-W47)/$D$64</f>
        <v>0.62896825396825395</v>
      </c>
      <c r="Y47" s="6">
        <f>'a19'!M47</f>
        <v>72.569444444444443</v>
      </c>
      <c r="Z47" s="6">
        <f>'a23'!E43</f>
        <v>45.599357221006564</v>
      </c>
      <c r="AA47" s="9">
        <f t="shared" ref="AA47" si="101">Y47*Z47/10000</f>
        <v>0.33091200205522125</v>
      </c>
      <c r="AB47" s="9">
        <f t="shared" ref="AB47" si="102">(AA47-$G$63)/$G$64</f>
        <v>0.40198598457638129</v>
      </c>
      <c r="AC47" s="9">
        <f t="shared" ref="AC47" si="103">X47*0.8+AB47*0.2</f>
        <v>0.58357180008987941</v>
      </c>
      <c r="AD47" s="6">
        <f>'a20 (2)'!F43</f>
        <v>8.8000000000000007</v>
      </c>
      <c r="AE47" s="9">
        <f t="shared" ref="AE47" si="104">($D$62-AD47)/$D$64</f>
        <v>0.64880952380952372</v>
      </c>
      <c r="AF47" s="6">
        <f>'a19'!P47</f>
        <v>101.54865125240848</v>
      </c>
      <c r="AG47" s="6">
        <f>'a23'!F43</f>
        <v>44.68614632154523</v>
      </c>
      <c r="AH47" s="9">
        <f t="shared" ref="AH47" si="105">AF47*AG47/10000</f>
        <v>0.45378178886206927</v>
      </c>
      <c r="AI47" s="9">
        <f t="shared" ref="AI47" si="106">(AH47-$G$63)/$G$64</f>
        <v>0.56519130974772902</v>
      </c>
      <c r="AJ47" s="9">
        <f t="shared" ref="AJ47" si="107">AE47*0.8+AI47*0.2</f>
        <v>0.63208588099716478</v>
      </c>
      <c r="AK47" s="6">
        <f>'a20 (2)'!G43</f>
        <v>8.5</v>
      </c>
      <c r="AL47" s="9">
        <f t="shared" ref="AL47" si="108">($D$62-AK47)/$D$64</f>
        <v>0.66369047619047616</v>
      </c>
      <c r="AM47" s="6">
        <f>'a19'!S47</f>
        <v>55.989407574053246</v>
      </c>
      <c r="AN47" s="6">
        <f>'a23'!G43</f>
        <v>43.695016267959346</v>
      </c>
      <c r="AO47" s="9">
        <f t="shared" ref="AO47" si="109">AM47*AN47/10000</f>
        <v>0.24464580747816625</v>
      </c>
      <c r="AP47" s="9">
        <f t="shared" ref="AP47" si="110">(AO47-$G$63)/$G$64</f>
        <v>0.28740043264264636</v>
      </c>
      <c r="AQ47" s="9">
        <f t="shared" ref="AQ47" si="111">AL47*0.8+AP47*0.2</f>
        <v>0.58843246748091027</v>
      </c>
      <c r="AR47" s="161">
        <f>'a20 (2)'!H43</f>
        <v>9</v>
      </c>
      <c r="AS47" s="9">
        <f t="shared" ref="AS47" si="112">($D$62-AR47)/$D$64</f>
        <v>0.63888888888888884</v>
      </c>
      <c r="AT47" s="6">
        <f>'a19'!V47</f>
        <v>38.229376517382093</v>
      </c>
      <c r="AU47" s="6">
        <f>'a23'!H43</f>
        <v>41.57250249142713</v>
      </c>
      <c r="AV47" s="9">
        <f t="shared" ref="AV47" si="113">AT47*AU47/10000</f>
        <v>0.15892908505145728</v>
      </c>
      <c r="AW47" s="9">
        <f t="shared" ref="AW47" si="114">(AV47-$G$63)/$G$64</f>
        <v>0.17354473288250397</v>
      </c>
      <c r="AX47" s="9">
        <f t="shared" ref="AX47" si="115">AS47*0.8+AW47*0.2</f>
        <v>0.54582005768761188</v>
      </c>
      <c r="AY47" s="6">
        <f>'a20 (2)'!I43</f>
        <v>5.2</v>
      </c>
      <c r="AZ47" s="9">
        <f t="shared" ref="AZ47" si="116">($D$62-AY47)/$D$64</f>
        <v>0.82738095238095233</v>
      </c>
      <c r="BA47" s="6">
        <f>'a19'!Y47</f>
        <v>45.007440476190474</v>
      </c>
      <c r="BB47" s="6">
        <f>'a23'!I43</f>
        <v>43.646574785964638</v>
      </c>
      <c r="BC47" s="9">
        <f t="shared" ref="BC47" si="117">BA47*BB47/10000</f>
        <v>0.19644206166688993</v>
      </c>
      <c r="BD47" s="9">
        <f t="shared" ref="BD47" si="118">(BC47-$G$63)/$G$64</f>
        <v>0.22337242206284877</v>
      </c>
      <c r="BE47" s="9">
        <f t="shared" ref="BE47" si="119">AZ47*0.8+BD47*0.2</f>
        <v>0.7065792463173316</v>
      </c>
      <c r="BF47" s="6">
        <f>'a20 (2)'!J43</f>
        <v>4.8</v>
      </c>
      <c r="BG47" s="9">
        <f t="shared" ref="BG47" si="120">($D$62-BF47)/$D$64</f>
        <v>0.8472222222222221</v>
      </c>
      <c r="BH47" s="6">
        <f>'a19'!AB47</f>
        <v>49.485951468710091</v>
      </c>
      <c r="BI47" s="6">
        <f>'a23'!J43</f>
        <v>45.203150448199125</v>
      </c>
      <c r="BJ47" s="9">
        <f t="shared" ref="BJ47" si="121">BH47*BI47/10000</f>
        <v>0.22369209093123826</v>
      </c>
      <c r="BK47" s="9">
        <f t="shared" ref="BK47" si="122">(BJ47-$G$63)/$G$64</f>
        <v>0.25956805650313614</v>
      </c>
      <c r="BL47" s="9">
        <f t="shared" ref="BL47" si="123">BG47*0.8+BK47*0.2</f>
        <v>0.72969138907840492</v>
      </c>
      <c r="BM47" s="6">
        <f>'a20 (2)'!K43</f>
        <v>6.6</v>
      </c>
      <c r="BN47" s="9">
        <f t="shared" ref="BN47" si="124">($D$62-BM47)/$D$64</f>
        <v>0.75793650793650791</v>
      </c>
      <c r="BO47" s="6">
        <f>'a19'!AE47</f>
        <v>38.709242317616706</v>
      </c>
      <c r="BP47" s="6">
        <f>'a23'!K43</f>
        <v>41.388175483653669</v>
      </c>
      <c r="BQ47" s="9">
        <f t="shared" ref="BQ47" si="125">BO47*BP47/10000</f>
        <v>0.16021049138807927</v>
      </c>
      <c r="BR47" s="9">
        <f t="shared" ref="BR47" si="126">(BQ47-$G$63)/$G$64</f>
        <v>0.17524679767222948</v>
      </c>
      <c r="BS47" s="9">
        <f t="shared" ref="BS47" si="127">BN47*0.8+BR47*0.2</f>
        <v>0.64139856588365229</v>
      </c>
      <c r="BT47" s="6">
        <f>'a20 (2)'!L43</f>
        <v>7.7</v>
      </c>
      <c r="BU47" s="9">
        <f t="shared" ref="BU47" si="128">($D$62-BT47)/$D$64</f>
        <v>0.70337301587301582</v>
      </c>
      <c r="BV47" s="6">
        <f>'a19'!AH47</f>
        <v>45.80175058653672</v>
      </c>
      <c r="BW47" s="6">
        <f>'a23'!L43</f>
        <v>44.44231846963271</v>
      </c>
      <c r="BX47" s="9">
        <f t="shared" ref="BX47" si="129">BV47*BW47/10000</f>
        <v>0.20355359860335515</v>
      </c>
      <c r="BY47" s="9">
        <f t="shared" ref="BY47" si="130">(BX47-$G$63)/$G$64</f>
        <v>0.23281852535924652</v>
      </c>
      <c r="BZ47" s="9">
        <f t="shared" ref="BZ47" si="131">BU47*0.8+BY47*0.2</f>
        <v>0.60926211777026196</v>
      </c>
    </row>
    <row r="48" spans="1:78">
      <c r="A48" s="1">
        <v>2010</v>
      </c>
      <c r="B48" s="6">
        <f>'a20 (2)'!B44</f>
        <v>8</v>
      </c>
      <c r="C48" s="9">
        <f t="shared" ref="C48" si="132">($D$62-B48)/$D$64</f>
        <v>0.68849206349206349</v>
      </c>
      <c r="D48" s="6">
        <f>'a19'!D48</f>
        <v>46.100610920198548</v>
      </c>
      <c r="E48" s="6">
        <f>'a23'!B44</f>
        <v>40.664349871267433</v>
      </c>
      <c r="F48" s="9">
        <f t="shared" ref="F48" si="133">D48*E48/10000</f>
        <v>0.18746513717381258</v>
      </c>
      <c r="G48" s="9">
        <f t="shared" ref="G48" si="134">(F48-$G$63)/$G$64</f>
        <v>0.21144856413970903</v>
      </c>
      <c r="H48" s="9">
        <f t="shared" ref="H48" si="135">C48*0.8+G48*0.2</f>
        <v>0.59308336362159264</v>
      </c>
      <c r="I48" s="6">
        <f>'a20 (2)'!C44</f>
        <v>14.4</v>
      </c>
      <c r="J48" s="9">
        <f t="shared" ref="J48" si="136">($D$62-I48)/$D$64</f>
        <v>0.37103174603174593</v>
      </c>
      <c r="K48" s="6">
        <f>'a19'!G48</f>
        <v>104.56187895212287</v>
      </c>
      <c r="L48" s="6">
        <f>'a23'!C44</f>
        <v>40.579498199327482</v>
      </c>
      <c r="M48" s="9">
        <f t="shared" ref="M48" si="137">K48*L48/10000</f>
        <v>0.4243068578655968</v>
      </c>
      <c r="N48" s="9">
        <f t="shared" ref="N48" si="138">(M48-$G$63)/$G$64</f>
        <v>0.52604038564590405</v>
      </c>
      <c r="O48" s="9">
        <f t="shared" ref="O48" si="139">J48*0.8+N48*0.2</f>
        <v>0.40203347395457756</v>
      </c>
      <c r="P48" s="6">
        <f>'a20 (2)'!D44</f>
        <v>11.2</v>
      </c>
      <c r="Q48" s="9">
        <f t="shared" ref="Q48" si="140">($D$62-P48)/$D$64</f>
        <v>0.52976190476190477</v>
      </c>
      <c r="R48" s="6">
        <f>'a19'!J48</f>
        <v>97.949438202247194</v>
      </c>
      <c r="S48" s="6">
        <f>'a23'!D44</f>
        <v>47.65157814136802</v>
      </c>
      <c r="T48" s="9">
        <f t="shared" ref="T48" si="141">R48*S48/10000</f>
        <v>0.46674453083974804</v>
      </c>
      <c r="U48" s="9">
        <f t="shared" ref="U48" si="142">(T48-$G$63)/$G$64</f>
        <v>0.58240944428315444</v>
      </c>
      <c r="V48" s="9">
        <f t="shared" ref="V48" si="143">Q48*0.8+U48*0.2</f>
        <v>0.54029141266615477</v>
      </c>
      <c r="W48" s="6">
        <f>'a20 (2)'!E44</f>
        <v>9.3000000000000007</v>
      </c>
      <c r="X48" s="9">
        <f t="shared" ref="X48" si="144">($D$62-W48)/$D$64</f>
        <v>0.6240079365079364</v>
      </c>
      <c r="Y48" s="6">
        <f>'a19'!M48</f>
        <v>71.826853851691865</v>
      </c>
      <c r="Z48" s="6">
        <f>'a23'!E44</f>
        <v>43.538095175444376</v>
      </c>
      <c r="AA48" s="9">
        <f t="shared" ref="AA48" si="145">Y48*Z48/10000</f>
        <v>0.31272043991476939</v>
      </c>
      <c r="AB48" s="9">
        <f t="shared" ref="AB48" si="146">(AA48-$G$63)/$G$64</f>
        <v>0.37782251940186734</v>
      </c>
      <c r="AC48" s="9">
        <f t="shared" ref="AC48" si="147">X48*0.8+AB48*0.2</f>
        <v>0.5747708530867226</v>
      </c>
      <c r="AD48" s="6">
        <f>'a20 (2)'!F44</f>
        <v>9.3000000000000007</v>
      </c>
      <c r="AE48" s="9">
        <f t="shared" ref="AE48" si="148">($D$62-AD48)/$D$64</f>
        <v>0.6240079365079364</v>
      </c>
      <c r="AF48" s="6">
        <f>'a19'!P48</f>
        <v>94.34294871794873</v>
      </c>
      <c r="AG48" s="6">
        <f>'a23'!F44</f>
        <v>44.056934051026211</v>
      </c>
      <c r="AH48" s="9">
        <f t="shared" ref="AH48" si="149">AF48*AG48/10000</f>
        <v>0.41564610698460147</v>
      </c>
      <c r="AI48" s="9">
        <f t="shared" ref="AI48" si="150">(AH48-$G$63)/$G$64</f>
        <v>0.51453649440872884</v>
      </c>
      <c r="AJ48" s="9">
        <f t="shared" ref="AJ48" si="151">AE48*0.8+AI48*0.2</f>
        <v>0.60211364808809487</v>
      </c>
      <c r="AK48" s="6">
        <f>'a20 (2)'!G44</f>
        <v>8</v>
      </c>
      <c r="AL48" s="9">
        <f t="shared" ref="AL48" si="152">($D$62-AK48)/$D$64</f>
        <v>0.68849206349206349</v>
      </c>
      <c r="AM48" s="6">
        <f>'a19'!S48</f>
        <v>56.278926637124563</v>
      </c>
      <c r="AN48" s="6">
        <f>'a23'!G44</f>
        <v>43.055289820873561</v>
      </c>
      <c r="AO48" s="9">
        <f t="shared" ref="AO48" si="153">AM48*AN48/10000</f>
        <v>0.24231054971690791</v>
      </c>
      <c r="AP48" s="9">
        <f t="shared" ref="AP48" si="154">(AO48-$G$63)/$G$64</f>
        <v>0.28429855941416743</v>
      </c>
      <c r="AQ48" s="9">
        <f t="shared" ref="AQ48" si="155">AL48*0.8+AP48*0.2</f>
        <v>0.60765336267648429</v>
      </c>
      <c r="AR48" s="161">
        <f>'a20 (2)'!H44</f>
        <v>8.6999999999999993</v>
      </c>
      <c r="AS48" s="9">
        <f t="shared" ref="AS48" si="156">($D$62-AR48)/$D$64</f>
        <v>0.65376984126984128</v>
      </c>
      <c r="AT48" s="6">
        <f>'a19'!V48</f>
        <v>34.450872433237571</v>
      </c>
      <c r="AU48" s="6">
        <f>'a23'!H44</f>
        <v>39.590558111773468</v>
      </c>
      <c r="AV48" s="9">
        <f t="shared" ref="AV48" si="157">AT48*AU48/10000</f>
        <v>0.13639292670693867</v>
      </c>
      <c r="AW48" s="9">
        <f t="shared" ref="AW48" si="158">(AV48-$G$63)/$G$64</f>
        <v>0.14361043295153714</v>
      </c>
      <c r="AX48" s="9">
        <f t="shared" ref="AX48" si="159">AS48*0.8+AW48*0.2</f>
        <v>0.55173795960618044</v>
      </c>
      <c r="AY48" s="6">
        <f>'a20 (2)'!I44</f>
        <v>5.4</v>
      </c>
      <c r="AZ48" s="9">
        <f t="shared" ref="AZ48" si="160">($D$62-AY48)/$D$64</f>
        <v>0.81746031746031733</v>
      </c>
      <c r="BA48" s="6">
        <f>'a19'!Y48</f>
        <v>44.938271604938272</v>
      </c>
      <c r="BB48" s="6">
        <f>'a23'!I44</f>
        <v>43.442381467116</v>
      </c>
      <c r="BC48" s="9">
        <f t="shared" ref="BC48" si="161">BA48*BB48/10000</f>
        <v>0.19522255375345957</v>
      </c>
      <c r="BD48" s="9">
        <f t="shared" ref="BD48" si="162">(BC48-$G$63)/$G$64</f>
        <v>0.22175257563247028</v>
      </c>
      <c r="BE48" s="9">
        <f t="shared" ref="BE48" si="163">AZ48*0.8+BD48*0.2</f>
        <v>0.69831876909474788</v>
      </c>
      <c r="BF48" s="6">
        <f>'a20 (2)'!J44</f>
        <v>5.2</v>
      </c>
      <c r="BG48" s="9">
        <f t="shared" ref="BG48" si="164">($D$62-BF48)/$D$64</f>
        <v>0.82738095238095233</v>
      </c>
      <c r="BH48" s="6">
        <f>'a19'!AB48</f>
        <v>44.82868757259002</v>
      </c>
      <c r="BI48" s="6">
        <f>'a23'!J44</f>
        <v>42.175972427375683</v>
      </c>
      <c r="BJ48" s="9">
        <f t="shared" ref="BJ48" si="165">BH48*BI48/10000</f>
        <v>0.18906934910169956</v>
      </c>
      <c r="BK48" s="9">
        <f t="shared" ref="BK48" si="166">(BJ48-$G$63)/$G$64</f>
        <v>0.21357940473232861</v>
      </c>
      <c r="BL48" s="9">
        <f t="shared" ref="BL48" si="167">BG48*0.8+BK48*0.2</f>
        <v>0.70462064285122761</v>
      </c>
      <c r="BM48" s="6">
        <f>'a20 (2)'!K44</f>
        <v>6.5</v>
      </c>
      <c r="BN48" s="9">
        <f t="shared" ref="BN48" si="168">($D$62-BM48)/$D$64</f>
        <v>0.76289682539682535</v>
      </c>
      <c r="BO48" s="6">
        <f>'a19'!AE48</f>
        <v>35.656834873252784</v>
      </c>
      <c r="BP48" s="6">
        <f>'a23'!K44</f>
        <v>38.865425660438149</v>
      </c>
      <c r="BQ48" s="9">
        <f t="shared" ref="BQ48" si="169">BO48*BP48/10000</f>
        <v>0.13858180650529245</v>
      </c>
      <c r="BR48" s="9">
        <f t="shared" ref="BR48" si="170">(BQ48-$G$63)/$G$64</f>
        <v>0.14651787544440076</v>
      </c>
      <c r="BS48" s="9">
        <f t="shared" ref="BS48" si="171">BN48*0.8+BR48*0.2</f>
        <v>0.63962103540634052</v>
      </c>
      <c r="BT48" s="6">
        <f>'a20 (2)'!L44</f>
        <v>7.6</v>
      </c>
      <c r="BU48" s="9">
        <f t="shared" ref="BU48" si="172">($D$62-BT48)/$D$64</f>
        <v>0.70833333333333326</v>
      </c>
      <c r="BV48" s="6">
        <f>'a19'!AH48</f>
        <v>43.749552452559975</v>
      </c>
      <c r="BW48" s="6">
        <f>'a23'!L44</f>
        <v>42.791714502064053</v>
      </c>
      <c r="BX48" s="9">
        <f t="shared" ref="BX48" si="173">BV48*BW48/10000</f>
        <v>0.18721183581430226</v>
      </c>
      <c r="BY48" s="9">
        <f t="shared" ref="BY48" si="174">(BX48-$G$63)/$G$64</f>
        <v>0.21111210932995</v>
      </c>
      <c r="BZ48" s="9">
        <f t="shared" ref="BZ48" si="175">BU48*0.8+BY48*0.2</f>
        <v>0.60888908853265666</v>
      </c>
    </row>
    <row r="49" spans="1:160">
      <c r="B49" s="257" t="s">
        <v>967</v>
      </c>
      <c r="C49" s="9"/>
      <c r="D49" s="6"/>
      <c r="E49" s="6"/>
      <c r="F49" s="9"/>
      <c r="G49" s="9"/>
      <c r="H49" s="9"/>
      <c r="I49" s="257" t="s">
        <v>967</v>
      </c>
      <c r="J49" s="9"/>
      <c r="K49" s="6"/>
      <c r="L49" s="6"/>
      <c r="M49" s="9"/>
      <c r="N49" s="9"/>
      <c r="O49" s="9"/>
      <c r="P49" s="257" t="s">
        <v>967</v>
      </c>
      <c r="Q49" s="9"/>
      <c r="R49" s="6"/>
      <c r="S49" s="6"/>
      <c r="T49" s="9"/>
      <c r="U49" s="9"/>
      <c r="V49" s="9"/>
      <c r="W49" s="257" t="s">
        <v>967</v>
      </c>
      <c r="X49" s="9"/>
      <c r="Y49" s="6"/>
      <c r="Z49" s="6"/>
      <c r="AA49" s="9"/>
      <c r="AB49" s="9"/>
      <c r="AC49" s="9"/>
      <c r="AD49" s="257" t="s">
        <v>967</v>
      </c>
      <c r="AE49" s="9"/>
      <c r="AF49" s="6"/>
      <c r="AG49" s="6"/>
      <c r="AH49" s="9"/>
      <c r="AI49" s="9"/>
      <c r="AJ49" s="9"/>
      <c r="AK49" s="257" t="s">
        <v>967</v>
      </c>
      <c r="AL49" s="9"/>
      <c r="AM49" s="6"/>
      <c r="AN49" s="6"/>
      <c r="AO49" s="9"/>
      <c r="AP49" s="9"/>
      <c r="AQ49" s="9"/>
      <c r="AR49" s="257" t="s">
        <v>967</v>
      </c>
      <c r="AS49" s="9"/>
      <c r="AT49" s="6"/>
      <c r="AU49" s="6"/>
      <c r="AV49" s="9"/>
      <c r="AW49" s="9"/>
      <c r="AX49" s="9"/>
      <c r="AY49" s="257" t="s">
        <v>967</v>
      </c>
      <c r="AZ49" s="9"/>
      <c r="BA49" s="6"/>
      <c r="BB49" s="6"/>
      <c r="BC49" s="9"/>
      <c r="BD49" s="9"/>
      <c r="BE49" s="9"/>
      <c r="BF49" s="257" t="s">
        <v>967</v>
      </c>
      <c r="BG49" s="9"/>
      <c r="BH49" s="6"/>
      <c r="BI49" s="6"/>
      <c r="BJ49" s="9"/>
      <c r="BK49" s="9"/>
      <c r="BL49" s="9"/>
      <c r="BM49" s="257" t="s">
        <v>967</v>
      </c>
      <c r="BN49" s="9"/>
      <c r="BO49" s="6"/>
      <c r="BP49" s="6"/>
      <c r="BQ49" s="9"/>
      <c r="BR49" s="9"/>
      <c r="BS49" s="9"/>
      <c r="BT49" s="257" t="s">
        <v>967</v>
      </c>
      <c r="BU49" s="9"/>
      <c r="BV49" s="6"/>
      <c r="BW49" s="6"/>
      <c r="BX49" s="9"/>
      <c r="BY49" s="9"/>
      <c r="BZ49" s="9"/>
    </row>
    <row r="50" spans="1:160">
      <c r="A50" s="1" t="s">
        <v>988</v>
      </c>
      <c r="B50" s="13">
        <f>(POWER(B48/B19, 1/28)-1)*100</f>
        <v>0.18335823310386967</v>
      </c>
      <c r="D50" s="13">
        <f>(POWER(D48/D19, 1/28)-1)*100</f>
        <v>-1.3067561060232324</v>
      </c>
      <c r="E50" s="13">
        <f>(POWER(E48/E19, 1/28)-1)*100</f>
        <v>0.20275367253799192</v>
      </c>
      <c r="F50" s="13">
        <f>(POWER(F48/F19, 1/28)-1)*100</f>
        <v>-1.1066519294813282</v>
      </c>
      <c r="I50" s="13">
        <f>(POWER(I48/I19, 1/28)-1)*100</f>
        <v>0.23076056163673364</v>
      </c>
      <c r="K50" s="13">
        <f>(POWER(K48/K19, 1/28)-1)*100</f>
        <v>-0.82175527483975275</v>
      </c>
      <c r="L50" s="13">
        <f>(POWER(L48/L19, 1/28)-1)*100</f>
        <v>0.55427875580711383</v>
      </c>
      <c r="M50" s="13">
        <f>(POWER(M48/M19, 1/28)-1)*100</f>
        <v>-0.27203133394579915</v>
      </c>
      <c r="P50" s="13">
        <f>(POWER(P48/P19, 1/28)-1)*100</f>
        <v>-3.1741202190060935E-2</v>
      </c>
      <c r="R50" s="13">
        <f>(POWER(R48/R19, 1/28)-1)*100</f>
        <v>-0.65454982715128507</v>
      </c>
      <c r="S50" s="13">
        <f>(POWER(S48/S19, 1/28)-1)*100</f>
        <v>0.40259918912342041</v>
      </c>
      <c r="T50" s="13">
        <f>(POWER(T48/T19, 1/28)-1)*100</f>
        <v>-0.25458585032437364</v>
      </c>
      <c r="W50" s="13">
        <f>(POWER(W48/W19, 1/28)-1)*100</f>
        <v>-0.25884546175214407</v>
      </c>
      <c r="Y50" s="13">
        <f>(POWER(Y48/Y19, 1/28)-1)*100</f>
        <v>-0.80036629955806404</v>
      </c>
      <c r="Z50" s="13">
        <f>(POWER(Z48/Z19, 1/28)-1)*100</f>
        <v>0.56950949891281244</v>
      </c>
      <c r="AA50" s="13">
        <f>(POWER(AA48/AA19, 1/28)-1)*100</f>
        <v>-0.23541496274733786</v>
      </c>
      <c r="AD50" s="13">
        <f>(POWER(AD48/AD19, 1/28)-1)*100</f>
        <v>-0.78614607307397888</v>
      </c>
      <c r="AF50" s="13">
        <f>(POWER(AF48/AF19, 1/28)-1)*100</f>
        <v>-0.81740225835286173</v>
      </c>
      <c r="AG50" s="13">
        <f>(POWER(AG48/AG19, 1/28)-1)*100</f>
        <v>0.54951119728299247</v>
      </c>
      <c r="AH50" s="13">
        <f>(POWER(AH48/AH19, 1/28)-1)*100</f>
        <v>-0.27238277800635258</v>
      </c>
      <c r="AK50" s="13">
        <f>(POWER(AK48/AK19, 1/28)-1)*100</f>
        <v>-0.96649100341156258</v>
      </c>
      <c r="AM50" s="13">
        <f>(POWER(AM48/AM19, 1/28)-1)*100</f>
        <v>-1.0526108519047561</v>
      </c>
      <c r="AN50" s="13">
        <f>(POWER(AN48/AN19, 1/28)-1)*100</f>
        <v>0.7934983321749689</v>
      </c>
      <c r="AO50" s="13">
        <f>(POWER(AO48/AO19, 1/28)-1)*100</f>
        <v>-0.26746496928393704</v>
      </c>
      <c r="AR50" s="13">
        <f>(POWER(AR48/AR19, 1/28)-1)*100</f>
        <v>0.99150233559266443</v>
      </c>
      <c r="AT50" s="13">
        <f>(POWER(AT48/AT19, 1/28)-1)*100</f>
        <v>-1.3939269617076033</v>
      </c>
      <c r="AU50" s="13">
        <f>(POWER(AU48/AU19, 1/28)-1)*100</f>
        <v>0.36605331868793112</v>
      </c>
      <c r="AV50" s="13">
        <f>(POWER(AV48/AV19, 1/28)-1)*100</f>
        <v>-1.0329761589230935</v>
      </c>
      <c r="AY50" s="13">
        <f>(POWER(AY48/AY19, 1/28)-1)*100</f>
        <v>-0.37558048145287515</v>
      </c>
      <c r="BA50" s="13">
        <f>(POWER(BA48/BA19, 1/28)-1)*100</f>
        <v>-0.74137912163603215</v>
      </c>
      <c r="BB50" s="13">
        <f>(POWER(BB48/BB19, 1/28)-1)*100</f>
        <v>0.37172594873029485</v>
      </c>
      <c r="BC50" s="13">
        <f>(POWER(BC48/BC19, 1/28)-1)*100</f>
        <v>-0.37240907147932933</v>
      </c>
      <c r="BF50" s="13">
        <f>(POWER(BF48/BF19, 1/28)-1)*100</f>
        <v>0.51769697520731572</v>
      </c>
      <c r="BH50" s="13">
        <f>(POWER(BH48/BH19, 1/28)-1)*100</f>
        <v>-0.55360725866320237</v>
      </c>
      <c r="BI50" s="13">
        <f>(POWER(BI48/BI19, 1/28)-1)*100</f>
        <v>0.46076987574334982</v>
      </c>
      <c r="BJ50" s="13">
        <f>(POWER(BJ48/BJ19, 1/28)-1)*100</f>
        <v>-9.5388238397697833E-2</v>
      </c>
      <c r="BM50" s="13">
        <f>(POWER(BM48/BM19, 1/28)-1)*100</f>
        <v>1.8411206551855352</v>
      </c>
      <c r="BO50" s="13">
        <f>(POWER(BO48/BO19, 1/28)-1)*100</f>
        <v>0.43732444450010899</v>
      </c>
      <c r="BP50" s="13">
        <f>(POWER(BP48/BP19, 1/28)-1)*100</f>
        <v>0.20170435471664749</v>
      </c>
      <c r="BQ50" s="13">
        <f>(POWER(BQ48/BQ19, 1/28)-1)*100</f>
        <v>0.63991090166555242</v>
      </c>
      <c r="BT50" s="13">
        <f>(POWER(BT48/BT19, 1/28)-1)*100</f>
        <v>0.39802443272765053</v>
      </c>
      <c r="BV50" s="13">
        <f>(POWER(BV48/BV19, 1/28)-1)*100</f>
        <v>-0.95903655866453885</v>
      </c>
      <c r="BW50" s="13">
        <f>(POWER(BW48/BW19, 1/28)-1)*100</f>
        <v>0.86197958329217172</v>
      </c>
      <c r="BX50" s="13">
        <f>(POWER(BX48/BX19, 1/28)-1)*100</f>
        <v>-0.10532367470437176</v>
      </c>
      <c r="CA50" s="13"/>
      <c r="CB50" s="13"/>
      <c r="CC50" s="13"/>
      <c r="CD50" s="13"/>
      <c r="CE50" s="13"/>
      <c r="CF50" s="13"/>
      <c r="CG50" s="13"/>
      <c r="CH50" s="13"/>
      <c r="CI50" s="13"/>
      <c r="CJ50" s="13"/>
      <c r="CK50" s="13"/>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row>
    <row r="51" spans="1:160">
      <c r="B51" s="267" t="s">
        <v>968</v>
      </c>
      <c r="C51" s="13"/>
      <c r="D51" s="13"/>
      <c r="E51" s="13"/>
      <c r="F51" s="13"/>
      <c r="G51" s="13"/>
      <c r="H51" s="13"/>
      <c r="I51" s="267" t="s">
        <v>968</v>
      </c>
      <c r="J51" s="13"/>
      <c r="K51" s="13"/>
      <c r="L51" s="13"/>
      <c r="M51" s="13"/>
      <c r="N51" s="13"/>
      <c r="O51" s="13"/>
      <c r="P51" s="267" t="s">
        <v>968</v>
      </c>
      <c r="Q51" s="13"/>
      <c r="R51" s="13"/>
      <c r="S51" s="13"/>
      <c r="T51" s="13"/>
      <c r="U51" s="13"/>
      <c r="V51" s="13"/>
      <c r="W51" s="267" t="s">
        <v>968</v>
      </c>
      <c r="X51" s="13"/>
      <c r="Y51" s="13"/>
      <c r="Z51" s="13"/>
      <c r="AA51" s="13"/>
      <c r="AB51" s="13"/>
      <c r="AC51" s="13"/>
      <c r="AD51" s="267" t="s">
        <v>968</v>
      </c>
      <c r="AE51" s="13"/>
      <c r="AF51" s="13"/>
      <c r="AG51" s="13"/>
      <c r="AH51" s="13"/>
      <c r="AI51" s="13"/>
      <c r="AJ51" s="13"/>
      <c r="AK51" s="267" t="s">
        <v>968</v>
      </c>
      <c r="AL51" s="13"/>
      <c r="AM51" s="13"/>
      <c r="AN51" s="13"/>
      <c r="AO51" s="13"/>
      <c r="AP51" s="13"/>
      <c r="AQ51" s="13"/>
      <c r="AR51" s="267" t="s">
        <v>968</v>
      </c>
      <c r="AS51" s="13"/>
      <c r="AT51" s="13"/>
      <c r="AU51" s="13"/>
      <c r="AV51" s="13"/>
      <c r="AW51" s="13"/>
      <c r="AX51" s="13"/>
      <c r="AY51" s="267" t="s">
        <v>968</v>
      </c>
      <c r="AZ51" s="13"/>
      <c r="BA51" s="13"/>
      <c r="BB51" s="13"/>
      <c r="BC51" s="13"/>
      <c r="BD51" s="13"/>
      <c r="BE51" s="13"/>
      <c r="BF51" s="267" t="s">
        <v>968</v>
      </c>
      <c r="BG51" s="13"/>
      <c r="BH51" s="13"/>
      <c r="BI51" s="13"/>
      <c r="BJ51" s="13"/>
      <c r="BK51" s="13"/>
      <c r="BL51" s="13"/>
      <c r="BM51" s="267" t="s">
        <v>968</v>
      </c>
      <c r="BN51" s="13"/>
      <c r="BO51" s="13"/>
      <c r="BP51" s="13"/>
      <c r="BQ51" s="13"/>
      <c r="BR51" s="13"/>
      <c r="BS51" s="13"/>
      <c r="BT51" s="267" t="s">
        <v>968</v>
      </c>
      <c r="BU51" s="13"/>
      <c r="BV51" s="13"/>
      <c r="BW51" s="13"/>
      <c r="BX51" s="13"/>
      <c r="BY51" s="13"/>
      <c r="BZ51" s="13"/>
      <c r="CA51" s="13"/>
      <c r="CB51" s="13"/>
      <c r="CC51" s="13"/>
      <c r="CD51" s="13"/>
      <c r="CE51" s="13"/>
      <c r="CF51" s="13"/>
      <c r="CG51" s="13"/>
      <c r="CH51" s="13"/>
      <c r="CI51" s="13"/>
      <c r="CJ51" s="13"/>
      <c r="CK51" s="13"/>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row>
    <row r="52" spans="1:160" s="252" customFormat="1">
      <c r="A52" s="252" t="s">
        <v>988</v>
      </c>
      <c r="B52" s="271"/>
      <c r="C52" s="271">
        <f>C48-C19</f>
        <v>-1.9841269841269771E-2</v>
      </c>
      <c r="D52" s="271"/>
      <c r="E52" s="271"/>
      <c r="F52" s="271"/>
      <c r="G52" s="271">
        <f>G48-G19</f>
        <v>-9.1035201186725589E-2</v>
      </c>
      <c r="H52" s="253">
        <f>H48-H19</f>
        <v>-3.4080056110360912E-2</v>
      </c>
      <c r="I52" s="271"/>
      <c r="J52" s="271">
        <f>J48-J19</f>
        <v>-4.4642857142857206E-2</v>
      </c>
      <c r="K52" s="271"/>
      <c r="L52" s="271"/>
      <c r="M52" s="271"/>
      <c r="N52" s="271">
        <f>N48-N19</f>
        <v>-4.466889980878419E-2</v>
      </c>
      <c r="O52" s="271">
        <f>O48-O19</f>
        <v>-4.4648065676042625E-2</v>
      </c>
      <c r="P52" s="271"/>
      <c r="Q52" s="271">
        <f>Q48-Q19</f>
        <v>4.9603174603175537E-3</v>
      </c>
      <c r="R52" s="271"/>
      <c r="S52" s="271"/>
      <c r="T52" s="271"/>
      <c r="U52" s="271">
        <f>U48-U19</f>
        <v>-4.5867515531602288E-2</v>
      </c>
      <c r="V52" s="271">
        <f>V48-V19</f>
        <v>-5.2052491380664145E-3</v>
      </c>
      <c r="W52" s="271"/>
      <c r="X52" s="271">
        <f>X48-X19</f>
        <v>3.472222222222221E-2</v>
      </c>
      <c r="Y52" s="271"/>
      <c r="Z52" s="271"/>
      <c r="AA52" s="271"/>
      <c r="AB52" s="271">
        <f>AB48-AB19</f>
        <v>-2.8337300936814969E-2</v>
      </c>
      <c r="AC52" s="271">
        <f>AC48-AC19</f>
        <v>2.2110317590414708E-2</v>
      </c>
      <c r="AD52" s="271"/>
      <c r="AE52" s="271">
        <f>AE48-AE19</f>
        <v>0.11408730158730152</v>
      </c>
      <c r="AF52" s="271"/>
      <c r="AG52" s="271"/>
      <c r="AH52" s="271"/>
      <c r="AI52" s="271">
        <f>AI48-AI19</f>
        <v>-4.3815936623037399E-2</v>
      </c>
      <c r="AJ52" s="271">
        <f>AJ48-AJ19</f>
        <v>8.250665394523371E-2</v>
      </c>
      <c r="AK52" s="271"/>
      <c r="AL52" s="271">
        <f>AL48-AL19</f>
        <v>0.12400793650793651</v>
      </c>
      <c r="AM52" s="271"/>
      <c r="AN52" s="271"/>
      <c r="AO52" s="271"/>
      <c r="AP52" s="271">
        <f>AP48-AP19</f>
        <v>-2.5064189607939824E-2</v>
      </c>
      <c r="AQ52" s="271">
        <f>AQ48-AQ19</f>
        <v>9.4193511284761278E-2</v>
      </c>
      <c r="AR52" s="271"/>
      <c r="AS52" s="271">
        <f>AS48-AS19</f>
        <v>-0.10416666666666663</v>
      </c>
      <c r="AT52" s="271"/>
      <c r="AU52" s="271"/>
      <c r="AV52" s="271"/>
      <c r="AW52" s="271">
        <f>AW48-AW19</f>
        <v>-6.1128475312011349E-2</v>
      </c>
      <c r="AX52" s="271">
        <f>AX48-AX19</f>
        <v>-9.5559028395735712E-2</v>
      </c>
      <c r="AY52" s="271"/>
      <c r="AZ52" s="271">
        <f>AZ48-AZ19</f>
        <v>2.9761904761904656E-2</v>
      </c>
      <c r="BA52" s="271"/>
      <c r="BB52" s="271"/>
      <c r="BC52" s="271"/>
      <c r="BD52" s="271">
        <f>BD48-BD19</f>
        <v>-2.8555521514868759E-2</v>
      </c>
      <c r="BE52" s="271">
        <f>BE48-BE19</f>
        <v>1.809841950654989E-2</v>
      </c>
      <c r="BF52" s="271"/>
      <c r="BG52" s="271">
        <f>BG48-BG19</f>
        <v>-3.472222222222221E-2</v>
      </c>
      <c r="BH52" s="271"/>
      <c r="BI52" s="271"/>
      <c r="BJ52" s="271"/>
      <c r="BK52" s="271">
        <f>BK48-BK19</f>
        <v>-6.8012045272827781E-3</v>
      </c>
      <c r="BL52" s="271">
        <f>BL48-BL19</f>
        <v>-2.9138018683234401E-2</v>
      </c>
      <c r="BM52" s="271"/>
      <c r="BN52" s="271">
        <f>BN48-BN19</f>
        <v>-0.12896825396825407</v>
      </c>
      <c r="BO52" s="271"/>
      <c r="BP52" s="271"/>
      <c r="BQ52" s="271"/>
      <c r="BR52" s="271">
        <f>BR48-BR19</f>
        <v>3.0107923024864036E-2</v>
      </c>
      <c r="BS52" s="271">
        <f>BS48-BS19</f>
        <v>-9.7153018569630434E-2</v>
      </c>
      <c r="BT52" s="271"/>
      <c r="BU52" s="271">
        <f>BU48-BU19</f>
        <v>-3.9682539682539653E-2</v>
      </c>
      <c r="BV52" s="271"/>
      <c r="BW52" s="271"/>
      <c r="BX52" s="271"/>
      <c r="BY52" s="271">
        <f>BY48-BY19</f>
        <v>-7.4466047376566535E-3</v>
      </c>
      <c r="BZ52" s="271">
        <f>BZ48-BZ19</f>
        <v>-3.3235352693563036E-2</v>
      </c>
      <c r="CA52" s="271"/>
      <c r="CB52" s="271"/>
      <c r="CC52" s="271"/>
      <c r="CD52" s="271"/>
      <c r="CE52" s="271"/>
      <c r="CF52" s="271"/>
      <c r="CG52" s="271"/>
      <c r="CH52" s="271"/>
      <c r="CI52" s="271"/>
      <c r="CJ52" s="271"/>
      <c r="CK52" s="271"/>
      <c r="CL52" s="269"/>
      <c r="CM52" s="269"/>
      <c r="CN52" s="269"/>
      <c r="CO52" s="269"/>
      <c r="CP52" s="269"/>
      <c r="CQ52" s="269"/>
      <c r="CR52" s="269"/>
      <c r="CS52" s="269"/>
      <c r="CT52" s="269"/>
      <c r="CU52" s="269"/>
      <c r="CV52" s="269"/>
      <c r="CW52" s="269"/>
      <c r="CX52" s="269"/>
      <c r="CY52" s="269"/>
      <c r="CZ52" s="269"/>
      <c r="DA52" s="269"/>
      <c r="DB52" s="269"/>
      <c r="DC52" s="269"/>
      <c r="DD52" s="269"/>
      <c r="DE52" s="269"/>
      <c r="DF52" s="269"/>
      <c r="DG52" s="269"/>
      <c r="DH52" s="269"/>
      <c r="DI52" s="269"/>
      <c r="DJ52" s="269"/>
      <c r="DK52" s="269"/>
      <c r="DL52" s="269"/>
      <c r="DM52" s="269"/>
      <c r="DN52" s="269"/>
      <c r="DO52" s="269"/>
      <c r="DP52" s="269"/>
      <c r="DQ52" s="269"/>
      <c r="DR52" s="269"/>
      <c r="DS52" s="269"/>
      <c r="DT52" s="269"/>
      <c r="DU52" s="269"/>
      <c r="DV52" s="269"/>
      <c r="DW52" s="269"/>
      <c r="DX52" s="269"/>
      <c r="DY52" s="269"/>
      <c r="DZ52" s="269"/>
      <c r="EA52" s="269"/>
      <c r="EB52" s="269"/>
      <c r="EC52" s="269"/>
      <c r="ED52" s="269"/>
      <c r="EE52" s="269"/>
      <c r="EF52" s="269"/>
      <c r="EG52" s="269"/>
      <c r="EH52" s="269"/>
      <c r="EI52" s="269"/>
      <c r="EJ52" s="269"/>
      <c r="EK52" s="269"/>
      <c r="EL52" s="269"/>
      <c r="EM52" s="269"/>
      <c r="EN52" s="269"/>
      <c r="EO52" s="269"/>
      <c r="EP52" s="269"/>
      <c r="EQ52" s="269"/>
      <c r="ER52" s="269"/>
      <c r="ES52" s="269"/>
      <c r="ET52" s="269"/>
      <c r="EU52" s="269"/>
      <c r="EV52" s="269"/>
      <c r="EW52" s="269"/>
      <c r="EX52" s="269"/>
      <c r="EY52" s="269"/>
      <c r="EZ52" s="269"/>
      <c r="FA52" s="269"/>
      <c r="FB52" s="269"/>
      <c r="FC52" s="269"/>
      <c r="FD52" s="269"/>
    </row>
    <row r="53" spans="1:160">
      <c r="B53" s="1" t="s">
        <v>541</v>
      </c>
      <c r="I53" s="1" t="s">
        <v>380</v>
      </c>
      <c r="P53" s="1" t="s">
        <v>380</v>
      </c>
      <c r="W53" s="1" t="s">
        <v>380</v>
      </c>
      <c r="AD53" s="1" t="s">
        <v>380</v>
      </c>
      <c r="AK53" s="1" t="s">
        <v>380</v>
      </c>
      <c r="AR53" s="1" t="s">
        <v>380</v>
      </c>
      <c r="AY53" s="1" t="s">
        <v>380</v>
      </c>
      <c r="BF53" s="1" t="s">
        <v>380</v>
      </c>
      <c r="BM53" s="1" t="s">
        <v>380</v>
      </c>
      <c r="BT53" s="1" t="s">
        <v>380</v>
      </c>
    </row>
    <row r="54" spans="1:160">
      <c r="B54" s="1" t="s">
        <v>1031</v>
      </c>
    </row>
    <row r="56" spans="1:160">
      <c r="E56" s="1">
        <f>(E48-E19)/E19</f>
        <v>5.8352605374630793E-2</v>
      </c>
      <c r="F56" s="1">
        <f>(F48-F19)/F19</f>
        <v>-0.26771818465517788</v>
      </c>
      <c r="H56" s="1">
        <f>(H48-H19)/H19</f>
        <v>-5.4339993434130061E-2</v>
      </c>
      <c r="AQ56" s="1">
        <f>(AQ48-AQ19)/AQ19</f>
        <v>0.1834486397124363</v>
      </c>
      <c r="AX56" s="1">
        <f>(AX48-AX19)/AX19</f>
        <v>-0.14762779708076262</v>
      </c>
      <c r="BS56" s="1">
        <f>(BS48-BS19)/BS19</f>
        <v>-0.13186270342359119</v>
      </c>
      <c r="BW56" s="1">
        <f>(BW48-BW19)/BW19</f>
        <v>0.27165602815487866</v>
      </c>
    </row>
    <row r="57" spans="1:160">
      <c r="B57" s="1" t="s">
        <v>528</v>
      </c>
      <c r="F57" s="1" t="s">
        <v>529</v>
      </c>
    </row>
    <row r="58" spans="1:160">
      <c r="B58" s="1" t="s">
        <v>572</v>
      </c>
      <c r="D58" s="146">
        <f>MAX(B19:B48,I19:I48,P19:P48,W19:W48,AD19:AD48,AK19:AK48,AR19:AR48,AY19:AY48,BF19:BF48,BM19:BM48,BT19:BT48)</f>
        <v>20.2</v>
      </c>
      <c r="F58" s="1" t="s">
        <v>572</v>
      </c>
      <c r="G58" s="142">
        <f>MAX(F19:F48,M19:M48,T19:T48,AA19:AA48,AH19:AH48,AO19:AO48,AV19:AV48,BC19:BC48,BJ19:BJ48,BQ19:BQ48,BX19:BX48)</f>
        <v>0.71839142783769971</v>
      </c>
    </row>
    <row r="59" spans="1:160">
      <c r="B59" s="1" t="s">
        <v>573</v>
      </c>
      <c r="D59" s="146">
        <f>MIN(B19:B48,I19:I48,P19:P48,W19:W48,AD19:AD48,AK19:AK48,AR19:AR48,AY19:AY48,BF19:BF48,BM19:BM48,BT19:BT48)</f>
        <v>3.4</v>
      </c>
      <c r="F59" s="1" t="s">
        <v>573</v>
      </c>
      <c r="G59" s="142">
        <f>MIN(F19:F48,M19:M48,T19:T48,AA19:AA48,AH19:AH48,AO19:AO48,AV19:AV48,BC19:BC48,BJ19:BJ48,BQ19:BQ48,BX19:BX48)</f>
        <v>9.1013069330054028E-2</v>
      </c>
    </row>
    <row r="60" spans="1:160">
      <c r="B60" s="1" t="s">
        <v>433</v>
      </c>
      <c r="D60" s="146">
        <f>D58-D59</f>
        <v>16.8</v>
      </c>
      <c r="F60" s="1" t="s">
        <v>433</v>
      </c>
      <c r="G60" s="142">
        <f>G58-G59</f>
        <v>0.62737835850764567</v>
      </c>
    </row>
    <row r="61" spans="1:160">
      <c r="B61" s="1" t="s">
        <v>434</v>
      </c>
      <c r="D61" s="1">
        <f>D60/10</f>
        <v>1.6800000000000002</v>
      </c>
      <c r="F61" s="1" t="s">
        <v>434</v>
      </c>
      <c r="G61" s="134">
        <f>G60/10</f>
        <v>6.2737835850764562E-2</v>
      </c>
    </row>
    <row r="62" spans="1:160">
      <c r="B62" s="1" t="s">
        <v>576</v>
      </c>
      <c r="D62" s="134">
        <f>D58+D61</f>
        <v>21.88</v>
      </c>
      <c r="F62" s="1" t="s">
        <v>576</v>
      </c>
      <c r="G62" s="134">
        <f>G58+G61</f>
        <v>0.78112926368846425</v>
      </c>
    </row>
    <row r="63" spans="1:160">
      <c r="B63" s="1" t="s">
        <v>577</v>
      </c>
      <c r="D63" s="134">
        <f>D59-D61</f>
        <v>1.7199999999999998</v>
      </c>
      <c r="F63" s="1" t="s">
        <v>577</v>
      </c>
      <c r="G63" s="134">
        <f>G59-G61</f>
        <v>2.8275233479289466E-2</v>
      </c>
    </row>
    <row r="64" spans="1:160">
      <c r="B64" s="1" t="s">
        <v>432</v>
      </c>
      <c r="D64" s="134">
        <f>D62-D63</f>
        <v>20.16</v>
      </c>
      <c r="F64" s="1" t="s">
        <v>432</v>
      </c>
      <c r="G64" s="134">
        <f>G62-G63</f>
        <v>0.75285403020917474</v>
      </c>
    </row>
  </sheetData>
  <phoneticPr fontId="0" type="noConversion"/>
  <pageMargins left="0.15748031496062992" right="0.15748031496062992" top="0.39370078740157483" bottom="0.39370078740157483" header="0.51181102362204722" footer="0.51181102362204722"/>
  <pageSetup scale="85" orientation="landscape" r:id="rId1"/>
  <headerFooter alignWithMargins="0"/>
  <colBreaks count="10" manualBreakCount="10">
    <brk id="8" max="45" man="1"/>
    <brk id="15" max="42" man="1"/>
    <brk id="22" max="45" man="1"/>
    <brk id="29" max="42" man="1"/>
    <brk id="36" max="45" man="1"/>
    <brk id="43" max="1048575" man="1"/>
    <brk id="50" max="45" man="1"/>
    <brk id="57" max="42" man="1"/>
    <brk id="64" max="45" man="1"/>
    <brk id="71" max="42" man="1"/>
  </colBreaks>
</worksheet>
</file>

<file path=xl/worksheets/sheet50.xml><?xml version="1.0" encoding="utf-8"?>
<worksheet xmlns="http://schemas.openxmlformats.org/spreadsheetml/2006/main" xmlns:r="http://schemas.openxmlformats.org/officeDocument/2006/relationships">
  <dimension ref="A1:EH48"/>
  <sheetViews>
    <sheetView view="pageBreakPreview" zoomScaleSheetLayoutView="100" workbookViewId="0">
      <selection activeCell="E9" sqref="E9"/>
    </sheetView>
  </sheetViews>
  <sheetFormatPr defaultRowHeight="12.75"/>
  <cols>
    <col min="1" max="6" width="9" style="1"/>
    <col min="7" max="7" width="9.875" style="1" customWidth="1"/>
    <col min="8" max="12" width="8.875" style="1"/>
    <col min="13" max="13" width="8.25" style="1" customWidth="1"/>
    <col min="14" max="16" width="8.875" style="1" customWidth="1"/>
    <col min="17" max="16384" width="9" style="1"/>
  </cols>
  <sheetData>
    <row r="1" spans="1:25" ht="15.75">
      <c r="B1" s="2" t="s">
        <v>631</v>
      </c>
    </row>
    <row r="2" spans="1:25">
      <c r="C2" s="1" t="s">
        <v>460</v>
      </c>
      <c r="O2" s="1" t="s">
        <v>459</v>
      </c>
    </row>
    <row r="3" spans="1:25" s="10" customFormat="1" ht="15">
      <c r="A3" s="284"/>
      <c r="B3" s="284" t="s">
        <v>321</v>
      </c>
      <c r="C3" s="284" t="s">
        <v>449</v>
      </c>
      <c r="D3" s="284" t="s">
        <v>450</v>
      </c>
      <c r="E3" s="284" t="s">
        <v>451</v>
      </c>
      <c r="F3" s="284" t="s">
        <v>452</v>
      </c>
      <c r="G3" s="284" t="s">
        <v>453</v>
      </c>
      <c r="H3" s="284" t="s">
        <v>454</v>
      </c>
      <c r="I3" s="284" t="s">
        <v>455</v>
      </c>
      <c r="J3" s="284" t="s">
        <v>456</v>
      </c>
      <c r="K3" s="284" t="s">
        <v>457</v>
      </c>
      <c r="L3" s="284" t="s">
        <v>458</v>
      </c>
      <c r="O3" s="10" t="s">
        <v>321</v>
      </c>
      <c r="P3" s="10" t="s">
        <v>449</v>
      </c>
      <c r="Q3" s="10" t="s">
        <v>450</v>
      </c>
      <c r="R3" s="10" t="s">
        <v>451</v>
      </c>
      <c r="S3" s="10" t="s">
        <v>452</v>
      </c>
      <c r="T3" s="10" t="s">
        <v>453</v>
      </c>
      <c r="U3" s="10" t="s">
        <v>454</v>
      </c>
      <c r="V3" s="10" t="s">
        <v>455</v>
      </c>
      <c r="W3" s="10" t="s">
        <v>456</v>
      </c>
      <c r="X3" s="10" t="s">
        <v>457</v>
      </c>
      <c r="Y3" s="10" t="s">
        <v>458</v>
      </c>
    </row>
    <row r="4" spans="1:25" hidden="1">
      <c r="A4" s="1">
        <v>1971</v>
      </c>
      <c r="B4" s="13">
        <f t="shared" ref="B4:B23" si="0">B5*O4/O5</f>
        <v>175.85030055148448</v>
      </c>
      <c r="C4" s="13">
        <f t="shared" ref="C4:C24" si="1">C5*P4/P5</f>
        <v>131.20704600289525</v>
      </c>
      <c r="D4" s="13">
        <f t="shared" ref="D4:D24" si="2">D5*Q4/Q5</f>
        <v>95.976522863332448</v>
      </c>
      <c r="E4" s="13">
        <f t="shared" ref="E4:E24" si="3">E5*R4/R5</f>
        <v>120.64052589439973</v>
      </c>
      <c r="F4" s="13">
        <f t="shared" ref="F4:F24" si="4">F5*S4/S5</f>
        <v>119.00261062502616</v>
      </c>
      <c r="G4" s="13">
        <f t="shared" ref="G4:G24" si="5">G5*T4/T5</f>
        <v>139.48949876045856</v>
      </c>
      <c r="H4" s="13">
        <f t="shared" ref="H4:H24" si="6">H5*U4/U5</f>
        <v>148.69786828422872</v>
      </c>
      <c r="I4" s="13">
        <f t="shared" ref="I4:I24" si="7">I5*V4/V5</f>
        <v>130.12613644930266</v>
      </c>
      <c r="J4" s="13">
        <f t="shared" ref="J4:J24" si="8">J5*W4/W5</f>
        <v>132.23300776196638</v>
      </c>
      <c r="K4" s="13">
        <f t="shared" ref="K4:K24" si="9">K5*X4/X5</f>
        <v>142.90308654100406</v>
      </c>
      <c r="L4" s="13">
        <f t="shared" ref="L4:L24" si="10">L5*Y4/Y5</f>
        <v>157.98575592327933</v>
      </c>
      <c r="N4" s="1">
        <v>1971</v>
      </c>
      <c r="O4" s="134">
        <v>168.32544000000001</v>
      </c>
      <c r="P4" s="134">
        <v>123.79</v>
      </c>
      <c r="Q4" s="134">
        <v>89.97</v>
      </c>
      <c r="R4" s="134">
        <v>112.82</v>
      </c>
      <c r="S4" s="134">
        <v>113.36</v>
      </c>
      <c r="T4" s="134">
        <v>132.04</v>
      </c>
      <c r="U4" s="134">
        <v>143.04</v>
      </c>
      <c r="V4" s="134">
        <v>123.84</v>
      </c>
      <c r="W4" s="134">
        <v>121.71</v>
      </c>
      <c r="X4" s="134">
        <v>138.78</v>
      </c>
      <c r="Y4" s="134">
        <v>152.5</v>
      </c>
    </row>
    <row r="5" spans="1:25" hidden="1">
      <c r="A5" s="1">
        <v>1972</v>
      </c>
      <c r="B5" s="13">
        <f t="shared" si="0"/>
        <v>143.32479060232711</v>
      </c>
      <c r="C5" s="13">
        <f t="shared" si="1"/>
        <v>142.66474183689877</v>
      </c>
      <c r="D5" s="13">
        <f t="shared" si="2"/>
        <v>107.76423629714176</v>
      </c>
      <c r="E5" s="13">
        <f t="shared" si="3"/>
        <v>131.74005309510767</v>
      </c>
      <c r="F5" s="13">
        <f t="shared" si="4"/>
        <v>131.30598568258884</v>
      </c>
      <c r="G5" s="13">
        <f t="shared" si="5"/>
        <v>150.91994693213505</v>
      </c>
      <c r="H5" s="13">
        <f t="shared" si="6"/>
        <v>161.04777512998263</v>
      </c>
      <c r="I5" s="13">
        <f t="shared" si="7"/>
        <v>142.47256816182937</v>
      </c>
      <c r="J5" s="13">
        <f t="shared" si="8"/>
        <v>144.69470030185428</v>
      </c>
      <c r="K5" s="13">
        <f t="shared" si="9"/>
        <v>154.39464473236885</v>
      </c>
      <c r="L5" s="13">
        <f t="shared" si="10"/>
        <v>171.01828582173741</v>
      </c>
      <c r="N5" s="1">
        <v>1972</v>
      </c>
      <c r="O5" s="134">
        <v>137.19173845814004</v>
      </c>
      <c r="P5" s="134">
        <v>134.6</v>
      </c>
      <c r="Q5" s="134">
        <v>101.02</v>
      </c>
      <c r="R5" s="134">
        <v>123.2</v>
      </c>
      <c r="S5" s="134">
        <v>125.08</v>
      </c>
      <c r="T5" s="134">
        <v>142.86000000000001</v>
      </c>
      <c r="U5" s="134">
        <v>154.91999999999999</v>
      </c>
      <c r="V5" s="134">
        <v>135.59</v>
      </c>
      <c r="W5" s="134">
        <v>133.18</v>
      </c>
      <c r="X5" s="134">
        <v>149.94</v>
      </c>
      <c r="Y5" s="134">
        <v>165.08</v>
      </c>
    </row>
    <row r="6" spans="1:25" hidden="1">
      <c r="A6" s="1">
        <v>1973</v>
      </c>
      <c r="B6" s="13">
        <f t="shared" si="0"/>
        <v>152.84354513622935</v>
      </c>
      <c r="C6" s="13">
        <f t="shared" si="1"/>
        <v>158.02292986971204</v>
      </c>
      <c r="D6" s="13">
        <f t="shared" si="2"/>
        <v>118.59186447389875</v>
      </c>
      <c r="E6" s="13">
        <f t="shared" si="3"/>
        <v>143.75919430281064</v>
      </c>
      <c r="F6" s="13">
        <f t="shared" si="4"/>
        <v>140.63849457864109</v>
      </c>
      <c r="G6" s="13">
        <f t="shared" si="5"/>
        <v>163.0053745739076</v>
      </c>
      <c r="H6" s="13">
        <f t="shared" si="6"/>
        <v>172.16061218226457</v>
      </c>
      <c r="I6" s="13">
        <f t="shared" si="7"/>
        <v>152.10803869832893</v>
      </c>
      <c r="J6" s="13">
        <f t="shared" si="8"/>
        <v>154.58148339801642</v>
      </c>
      <c r="K6" s="13">
        <f t="shared" si="9"/>
        <v>165.90679711404073</v>
      </c>
      <c r="L6" s="13">
        <f t="shared" si="10"/>
        <v>184.63096013538913</v>
      </c>
      <c r="N6" s="1">
        <v>1973</v>
      </c>
      <c r="O6" s="134">
        <v>146.30317324185251</v>
      </c>
      <c r="P6" s="134">
        <v>149.09</v>
      </c>
      <c r="Q6" s="134">
        <v>111.17</v>
      </c>
      <c r="R6" s="134">
        <v>134.44</v>
      </c>
      <c r="S6" s="134">
        <v>133.97</v>
      </c>
      <c r="T6" s="134">
        <v>154.30000000000001</v>
      </c>
      <c r="U6" s="134">
        <v>165.61</v>
      </c>
      <c r="V6" s="134">
        <v>144.76</v>
      </c>
      <c r="W6" s="134">
        <v>142.28</v>
      </c>
      <c r="X6" s="134">
        <v>161.12</v>
      </c>
      <c r="Y6" s="134">
        <v>178.22</v>
      </c>
    </row>
    <row r="7" spans="1:25" hidden="1">
      <c r="A7" s="1">
        <v>1974</v>
      </c>
      <c r="B7" s="13">
        <f t="shared" si="0"/>
        <v>169.5447281686304</v>
      </c>
      <c r="C7" s="13">
        <f t="shared" si="1"/>
        <v>178.57470805854908</v>
      </c>
      <c r="D7" s="13">
        <f t="shared" si="2"/>
        <v>135.39335647231474</v>
      </c>
      <c r="E7" s="13">
        <f t="shared" si="3"/>
        <v>160.37640554548898</v>
      </c>
      <c r="F7" s="13">
        <f t="shared" si="4"/>
        <v>162.27437853225604</v>
      </c>
      <c r="G7" s="13">
        <f t="shared" si="5"/>
        <v>182.64419449178794</v>
      </c>
      <c r="H7" s="13">
        <f t="shared" si="6"/>
        <v>188.60636355430384</v>
      </c>
      <c r="I7" s="13">
        <f t="shared" si="7"/>
        <v>170.96918331448674</v>
      </c>
      <c r="J7" s="13">
        <f t="shared" si="8"/>
        <v>174.90914402759813</v>
      </c>
      <c r="K7" s="13">
        <f t="shared" si="9"/>
        <v>184.02968458429345</v>
      </c>
      <c r="L7" s="13">
        <f t="shared" si="10"/>
        <v>207.76421869123718</v>
      </c>
      <c r="N7" s="1">
        <v>1974</v>
      </c>
      <c r="O7" s="134">
        <v>162.28969117007398</v>
      </c>
      <c r="P7" s="134">
        <v>168.48</v>
      </c>
      <c r="Q7" s="134">
        <v>126.92</v>
      </c>
      <c r="R7" s="134">
        <v>149.97999999999999</v>
      </c>
      <c r="S7" s="134">
        <v>154.58000000000001</v>
      </c>
      <c r="T7" s="134">
        <v>172.89</v>
      </c>
      <c r="U7" s="134">
        <v>181.43</v>
      </c>
      <c r="V7" s="134">
        <v>162.71</v>
      </c>
      <c r="W7" s="134">
        <v>160.99</v>
      </c>
      <c r="X7" s="134">
        <v>178.72</v>
      </c>
      <c r="Y7" s="134">
        <v>200.55</v>
      </c>
    </row>
    <row r="8" spans="1:25" hidden="1">
      <c r="A8" s="1">
        <v>1975</v>
      </c>
      <c r="B8" s="13">
        <f t="shared" si="0"/>
        <v>194.94373909422404</v>
      </c>
      <c r="C8" s="13">
        <f t="shared" si="1"/>
        <v>208.20996943863594</v>
      </c>
      <c r="D8" s="13">
        <f t="shared" si="2"/>
        <v>159.84352768524769</v>
      </c>
      <c r="E8" s="13">
        <f t="shared" si="3"/>
        <v>184.35052884412789</v>
      </c>
      <c r="F8" s="13">
        <f t="shared" si="4"/>
        <v>191.47914765353539</v>
      </c>
      <c r="G8" s="13">
        <f t="shared" si="5"/>
        <v>210.45969360086758</v>
      </c>
      <c r="H8" s="13">
        <f t="shared" si="6"/>
        <v>212.95272873339104</v>
      </c>
      <c r="I8" s="13">
        <f t="shared" si="7"/>
        <v>195.54646312350798</v>
      </c>
      <c r="J8" s="13">
        <f t="shared" si="8"/>
        <v>204.5912225097025</v>
      </c>
      <c r="K8" s="13">
        <f t="shared" si="9"/>
        <v>213.52056510406834</v>
      </c>
      <c r="L8" s="13">
        <f t="shared" si="10"/>
        <v>238.24251993230524</v>
      </c>
      <c r="N8" s="1">
        <v>1975</v>
      </c>
      <c r="O8" s="134">
        <v>186.6018457481872</v>
      </c>
      <c r="P8" s="134">
        <v>196.44</v>
      </c>
      <c r="Q8" s="134">
        <v>149.84</v>
      </c>
      <c r="R8" s="134">
        <v>172.4</v>
      </c>
      <c r="S8" s="134">
        <v>182.4</v>
      </c>
      <c r="T8" s="134">
        <v>199.22</v>
      </c>
      <c r="U8" s="134">
        <v>204.85</v>
      </c>
      <c r="V8" s="134">
        <v>186.1</v>
      </c>
      <c r="W8" s="134">
        <v>188.31</v>
      </c>
      <c r="X8" s="134">
        <v>207.36</v>
      </c>
      <c r="Y8" s="134">
        <v>229.97</v>
      </c>
    </row>
    <row r="9" spans="1:25" hidden="1">
      <c r="A9" s="1">
        <v>1976</v>
      </c>
      <c r="B9" s="13">
        <f t="shared" si="0"/>
        <v>218.56371619246153</v>
      </c>
      <c r="C9" s="13">
        <f t="shared" si="1"/>
        <v>234.90926250603178</v>
      </c>
      <c r="D9" s="13">
        <f t="shared" si="2"/>
        <v>182.28818747233797</v>
      </c>
      <c r="E9" s="13">
        <f t="shared" si="3"/>
        <v>206.60304917618302</v>
      </c>
      <c r="F9" s="13">
        <f t="shared" si="4"/>
        <v>212.64263239418929</v>
      </c>
      <c r="G9" s="13">
        <f t="shared" si="5"/>
        <v>234.95803861946067</v>
      </c>
      <c r="H9" s="13">
        <f t="shared" si="6"/>
        <v>237.76689341421135</v>
      </c>
      <c r="I9" s="13">
        <f t="shared" si="7"/>
        <v>219.13602839552712</v>
      </c>
      <c r="J9" s="13">
        <f t="shared" si="8"/>
        <v>233.44759163432522</v>
      </c>
      <c r="K9" s="13">
        <f t="shared" si="9"/>
        <v>243.92788709250937</v>
      </c>
      <c r="L9" s="13">
        <f t="shared" si="10"/>
        <v>268.8554975554718</v>
      </c>
      <c r="N9" s="1">
        <v>1976</v>
      </c>
      <c r="O9" s="134">
        <v>209.21109364473386</v>
      </c>
      <c r="P9" s="134">
        <v>221.63</v>
      </c>
      <c r="Q9" s="134">
        <v>170.88</v>
      </c>
      <c r="R9" s="134">
        <v>193.21</v>
      </c>
      <c r="S9" s="134">
        <v>202.56</v>
      </c>
      <c r="T9" s="134">
        <v>222.41</v>
      </c>
      <c r="U9" s="134">
        <v>228.72</v>
      </c>
      <c r="V9" s="134">
        <v>208.55</v>
      </c>
      <c r="W9" s="134">
        <v>214.87</v>
      </c>
      <c r="X9" s="134">
        <v>236.89</v>
      </c>
      <c r="Y9" s="134">
        <v>259.52</v>
      </c>
    </row>
    <row r="10" spans="1:25" hidden="1">
      <c r="A10" s="1">
        <v>1977</v>
      </c>
      <c r="B10" s="13">
        <f t="shared" si="0"/>
        <v>239.70026982750278</v>
      </c>
      <c r="C10" s="13">
        <f t="shared" si="1"/>
        <v>256.95552276017366</v>
      </c>
      <c r="D10" s="13">
        <f t="shared" si="2"/>
        <v>200.26311700715127</v>
      </c>
      <c r="E10" s="13">
        <f t="shared" si="3"/>
        <v>226.79178458556314</v>
      </c>
      <c r="F10" s="13">
        <f t="shared" si="4"/>
        <v>234.45697827270061</v>
      </c>
      <c r="G10" s="13">
        <f t="shared" si="5"/>
        <v>258.55842791292207</v>
      </c>
      <c r="H10" s="13">
        <f t="shared" si="6"/>
        <v>259.32725267186589</v>
      </c>
      <c r="I10" s="13">
        <f t="shared" si="7"/>
        <v>237.77651338107805</v>
      </c>
      <c r="J10" s="13">
        <f t="shared" si="8"/>
        <v>255.92644243208289</v>
      </c>
      <c r="K10" s="13">
        <f t="shared" si="9"/>
        <v>269.74270464246592</v>
      </c>
      <c r="L10" s="13">
        <f t="shared" si="10"/>
        <v>294.35077265889413</v>
      </c>
      <c r="N10" s="1">
        <v>1977</v>
      </c>
      <c r="O10" s="134">
        <v>229.44318696242644</v>
      </c>
      <c r="P10" s="134">
        <v>242.43</v>
      </c>
      <c r="Q10" s="134">
        <v>187.73</v>
      </c>
      <c r="R10" s="134">
        <v>212.09</v>
      </c>
      <c r="S10" s="134">
        <v>223.34</v>
      </c>
      <c r="T10" s="134">
        <v>244.75</v>
      </c>
      <c r="U10" s="134">
        <v>249.46</v>
      </c>
      <c r="V10" s="134">
        <v>226.29</v>
      </c>
      <c r="W10" s="134">
        <v>235.56</v>
      </c>
      <c r="X10" s="134">
        <v>261.95999999999998</v>
      </c>
      <c r="Y10" s="134">
        <v>284.13</v>
      </c>
    </row>
    <row r="11" spans="1:25" hidden="1">
      <c r="A11" s="1">
        <v>1978</v>
      </c>
      <c r="B11" s="13">
        <f t="shared" si="0"/>
        <v>252.91549991275457</v>
      </c>
      <c r="C11" s="13">
        <f t="shared" si="1"/>
        <v>263.24082676532083</v>
      </c>
      <c r="D11" s="13">
        <f t="shared" si="2"/>
        <v>209.85330196370742</v>
      </c>
      <c r="E11" s="13">
        <f t="shared" si="3"/>
        <v>239.22796005225229</v>
      </c>
      <c r="F11" s="13">
        <f t="shared" si="4"/>
        <v>245.55311089714067</v>
      </c>
      <c r="G11" s="13">
        <f t="shared" si="5"/>
        <v>277.66903858072499</v>
      </c>
      <c r="H11" s="13">
        <f t="shared" si="6"/>
        <v>274.48395652801844</v>
      </c>
      <c r="I11" s="13">
        <f t="shared" si="7"/>
        <v>251.87771453700219</v>
      </c>
      <c r="J11" s="13">
        <f t="shared" si="8"/>
        <v>272.09296248382935</v>
      </c>
      <c r="K11" s="13">
        <f t="shared" si="9"/>
        <v>284.52933328296757</v>
      </c>
      <c r="L11" s="13">
        <f t="shared" si="10"/>
        <v>312.09697593080085</v>
      </c>
      <c r="N11" s="1">
        <v>1978</v>
      </c>
      <c r="O11" s="134">
        <v>242.09292035398229</v>
      </c>
      <c r="P11" s="134">
        <v>248.36</v>
      </c>
      <c r="Q11" s="134">
        <v>196.72</v>
      </c>
      <c r="R11" s="134">
        <v>223.72</v>
      </c>
      <c r="S11" s="134">
        <v>233.91</v>
      </c>
      <c r="T11" s="134">
        <v>262.83999999999997</v>
      </c>
      <c r="U11" s="134">
        <v>264.04000000000002</v>
      </c>
      <c r="V11" s="134">
        <v>239.71</v>
      </c>
      <c r="W11" s="134">
        <v>250.44</v>
      </c>
      <c r="X11" s="134">
        <v>276.32</v>
      </c>
      <c r="Y11" s="134">
        <v>301.26</v>
      </c>
    </row>
    <row r="12" spans="1:25" hidden="1">
      <c r="A12" s="1">
        <v>1979</v>
      </c>
      <c r="B12" s="13">
        <f t="shared" si="0"/>
        <v>272.66298716896733</v>
      </c>
      <c r="C12" s="13">
        <f t="shared" si="1"/>
        <v>287.91567958822571</v>
      </c>
      <c r="D12" s="13">
        <f t="shared" si="2"/>
        <v>223.77453819096641</v>
      </c>
      <c r="E12" s="13">
        <f t="shared" si="3"/>
        <v>262.22900341325686</v>
      </c>
      <c r="F12" s="13">
        <f t="shared" si="4"/>
        <v>275.0203240256206</v>
      </c>
      <c r="G12" s="13">
        <f t="shared" si="5"/>
        <v>300.21300937403146</v>
      </c>
      <c r="H12" s="13">
        <f t="shared" si="6"/>
        <v>296.86556379982659</v>
      </c>
      <c r="I12" s="13">
        <f t="shared" si="7"/>
        <v>272.14687774846089</v>
      </c>
      <c r="J12" s="13">
        <f t="shared" si="8"/>
        <v>299.63471539456674</v>
      </c>
      <c r="K12" s="13">
        <f t="shared" si="9"/>
        <v>315.90458221584259</v>
      </c>
      <c r="L12" s="13">
        <f t="shared" si="10"/>
        <v>338.90793569010884</v>
      </c>
      <c r="N12" s="1">
        <v>1979</v>
      </c>
      <c r="O12" s="134">
        <v>260.99538722991019</v>
      </c>
      <c r="P12" s="134">
        <v>271.64</v>
      </c>
      <c r="Q12" s="134">
        <v>209.77</v>
      </c>
      <c r="R12" s="134">
        <v>245.23</v>
      </c>
      <c r="S12" s="134">
        <v>261.98</v>
      </c>
      <c r="T12" s="134">
        <v>284.18</v>
      </c>
      <c r="U12" s="134">
        <v>285.57</v>
      </c>
      <c r="V12" s="134">
        <v>259</v>
      </c>
      <c r="W12" s="134">
        <v>275.79000000000002</v>
      </c>
      <c r="X12" s="134">
        <v>306.79000000000002</v>
      </c>
      <c r="Y12" s="134">
        <v>327.14</v>
      </c>
    </row>
    <row r="13" spans="1:25" hidden="1">
      <c r="A13" s="1">
        <v>1980</v>
      </c>
      <c r="B13" s="13">
        <f t="shared" ref="B13:L13" si="11">B15*O13/O15</f>
        <v>300.75191419772557</v>
      </c>
      <c r="C13" s="13">
        <f t="shared" si="11"/>
        <v>306.20983593373001</v>
      </c>
      <c r="D13" s="13">
        <f t="shared" si="11"/>
        <v>245.38712408861136</v>
      </c>
      <c r="E13" s="13">
        <f t="shared" si="11"/>
        <v>284.38528507016133</v>
      </c>
      <c r="F13" s="13">
        <f t="shared" si="11"/>
        <v>298.51431155021555</v>
      </c>
      <c r="G13" s="13">
        <f t="shared" si="11"/>
        <v>333.1521382088626</v>
      </c>
      <c r="H13" s="13">
        <f t="shared" si="11"/>
        <v>323.76923292172148</v>
      </c>
      <c r="I13" s="13">
        <f t="shared" si="11"/>
        <v>297.57527327553714</v>
      </c>
      <c r="J13" s="13">
        <f t="shared" si="11"/>
        <v>329.96866968520919</v>
      </c>
      <c r="K13" s="13">
        <f t="shared" si="11"/>
        <v>352.08857458542673</v>
      </c>
      <c r="L13" s="13">
        <f t="shared" si="11"/>
        <v>376.58624351259851</v>
      </c>
      <c r="N13" s="1">
        <v>1980</v>
      </c>
      <c r="O13" s="134">
        <v>287.88235294117646</v>
      </c>
      <c r="P13" s="134">
        <v>288.89999999999998</v>
      </c>
      <c r="Q13" s="134">
        <v>230.03</v>
      </c>
      <c r="R13" s="134">
        <v>265.95</v>
      </c>
      <c r="S13" s="134">
        <v>284.36</v>
      </c>
      <c r="T13" s="134">
        <v>315.36</v>
      </c>
      <c r="U13" s="134">
        <v>311.45</v>
      </c>
      <c r="V13" s="134">
        <v>283.2</v>
      </c>
      <c r="W13" s="134">
        <v>303.70999999999998</v>
      </c>
      <c r="X13" s="134">
        <v>341.93</v>
      </c>
      <c r="Y13" s="134">
        <v>363.51</v>
      </c>
    </row>
    <row r="14" spans="1:25" hidden="1">
      <c r="B14" s="13"/>
      <c r="C14" s="13"/>
      <c r="D14" s="13"/>
      <c r="E14" s="13"/>
      <c r="F14" s="13"/>
      <c r="G14" s="13"/>
      <c r="H14" s="13"/>
      <c r="I14" s="13"/>
      <c r="J14" s="13"/>
      <c r="K14" s="13"/>
      <c r="L14" s="13"/>
      <c r="O14" s="134"/>
      <c r="P14" s="134"/>
      <c r="Q14" s="134"/>
      <c r="R14" s="134"/>
      <c r="S14" s="134"/>
      <c r="T14" s="134"/>
      <c r="U14" s="134"/>
      <c r="V14" s="134"/>
      <c r="W14" s="134"/>
      <c r="X14" s="134"/>
      <c r="Y14" s="134"/>
    </row>
    <row r="15" spans="1:25" ht="18" customHeight="1">
      <c r="A15" s="1">
        <v>1981</v>
      </c>
      <c r="B15" s="13">
        <f t="shared" si="0"/>
        <v>335.48435724454475</v>
      </c>
      <c r="C15" s="13">
        <f t="shared" si="1"/>
        <v>347.73735885475298</v>
      </c>
      <c r="D15" s="13">
        <f t="shared" si="2"/>
        <v>266.82902816278033</v>
      </c>
      <c r="E15" s="13">
        <f t="shared" si="3"/>
        <v>316.89257089882432</v>
      </c>
      <c r="F15" s="13">
        <f t="shared" si="4"/>
        <v>328.96831414576963</v>
      </c>
      <c r="G15" s="13">
        <f t="shared" si="5"/>
        <v>371.40505209947304</v>
      </c>
      <c r="H15" s="13">
        <f t="shared" si="6"/>
        <v>361.68178365106871</v>
      </c>
      <c r="I15" s="13">
        <f t="shared" si="7"/>
        <v>330.38000502575704</v>
      </c>
      <c r="J15" s="13">
        <f t="shared" si="8"/>
        <v>365.87616213885303</v>
      </c>
      <c r="K15" s="13">
        <f t="shared" si="9"/>
        <v>401.99859479469649</v>
      </c>
      <c r="L15" s="13">
        <f t="shared" si="10"/>
        <v>421.67175235050752</v>
      </c>
      <c r="N15" s="1">
        <v>1981</v>
      </c>
      <c r="O15" s="134">
        <v>321.12855007473843</v>
      </c>
      <c r="P15" s="134">
        <v>328.08</v>
      </c>
      <c r="Q15" s="134">
        <v>250.13</v>
      </c>
      <c r="R15" s="134">
        <v>296.35000000000002</v>
      </c>
      <c r="S15" s="134">
        <v>313.37</v>
      </c>
      <c r="T15" s="134">
        <v>351.57</v>
      </c>
      <c r="U15" s="134">
        <v>347.92</v>
      </c>
      <c r="V15" s="134">
        <v>314.42</v>
      </c>
      <c r="W15" s="134">
        <v>336.76</v>
      </c>
      <c r="X15" s="134">
        <v>390.4</v>
      </c>
      <c r="Y15" s="134">
        <v>407.03</v>
      </c>
    </row>
    <row r="16" spans="1:25" ht="18" customHeight="1">
      <c r="A16" s="1">
        <v>1982</v>
      </c>
      <c r="B16" s="13">
        <f t="shared" si="0"/>
        <v>378.20188575039697</v>
      </c>
      <c r="C16" s="13">
        <f t="shared" si="1"/>
        <v>383.49893678623118</v>
      </c>
      <c r="D16" s="13">
        <f t="shared" si="2"/>
        <v>297.12505182976531</v>
      </c>
      <c r="E16" s="13">
        <f t="shared" si="3"/>
        <v>351.93414183978757</v>
      </c>
      <c r="F16" s="13">
        <f t="shared" si="4"/>
        <v>359.17037049441109</v>
      </c>
      <c r="G16" s="13">
        <f t="shared" si="5"/>
        <v>407.89374709482473</v>
      </c>
      <c r="H16" s="13">
        <f t="shared" si="6"/>
        <v>396.98505271519349</v>
      </c>
      <c r="I16" s="13">
        <f t="shared" si="7"/>
        <v>364.07788289986183</v>
      </c>
      <c r="J16" s="13">
        <f t="shared" si="8"/>
        <v>406.11862871927565</v>
      </c>
      <c r="K16" s="13">
        <f t="shared" si="9"/>
        <v>448.4076026517584</v>
      </c>
      <c r="L16" s="13">
        <f t="shared" si="10"/>
        <v>461.45308367807434</v>
      </c>
      <c r="N16" s="1">
        <v>1982</v>
      </c>
      <c r="O16" s="134">
        <v>362.01814058956916</v>
      </c>
      <c r="P16" s="134">
        <v>361.82</v>
      </c>
      <c r="Q16" s="134">
        <v>278.52999999999997</v>
      </c>
      <c r="R16" s="134">
        <v>329.12</v>
      </c>
      <c r="S16" s="134">
        <v>342.14</v>
      </c>
      <c r="T16" s="134">
        <v>386.11</v>
      </c>
      <c r="U16" s="134">
        <v>381.88</v>
      </c>
      <c r="V16" s="134">
        <v>346.49</v>
      </c>
      <c r="W16" s="134">
        <v>373.8</v>
      </c>
      <c r="X16" s="134">
        <v>435.47</v>
      </c>
      <c r="Y16" s="134">
        <v>445.43</v>
      </c>
    </row>
    <row r="17" spans="1:25" ht="18" customHeight="1">
      <c r="A17" s="1">
        <v>1983</v>
      </c>
      <c r="B17" s="13">
        <f t="shared" si="0"/>
        <v>399.89188826773437</v>
      </c>
      <c r="C17" s="13">
        <f t="shared" si="1"/>
        <v>389.10589432202016</v>
      </c>
      <c r="D17" s="13">
        <f t="shared" si="2"/>
        <v>340.00885997810332</v>
      </c>
      <c r="E17" s="13">
        <f t="shared" si="3"/>
        <v>363.96397623361844</v>
      </c>
      <c r="F17" s="13">
        <f t="shared" si="4"/>
        <v>368.08296897894246</v>
      </c>
      <c r="G17" s="13">
        <f t="shared" si="5"/>
        <v>400.9847701038114</v>
      </c>
      <c r="H17" s="13">
        <f t="shared" si="6"/>
        <v>391.4650185947429</v>
      </c>
      <c r="I17" s="13">
        <f t="shared" si="7"/>
        <v>373.34558738534992</v>
      </c>
      <c r="J17" s="13">
        <f t="shared" si="8"/>
        <v>394.21103061664513</v>
      </c>
      <c r="K17" s="13">
        <f t="shared" si="9"/>
        <v>426.11439164431681</v>
      </c>
      <c r="L17" s="13">
        <f t="shared" si="10"/>
        <v>433.55435314027818</v>
      </c>
      <c r="N17" s="1">
        <v>1983</v>
      </c>
      <c r="O17" s="134">
        <v>382.78</v>
      </c>
      <c r="P17" s="134">
        <v>367.11</v>
      </c>
      <c r="Q17" s="134">
        <v>318.73</v>
      </c>
      <c r="R17" s="134">
        <v>340.37</v>
      </c>
      <c r="S17" s="134">
        <v>350.63</v>
      </c>
      <c r="T17" s="134">
        <v>379.57</v>
      </c>
      <c r="U17" s="134">
        <v>376.57</v>
      </c>
      <c r="V17" s="134">
        <v>355.31</v>
      </c>
      <c r="W17" s="134">
        <v>362.84</v>
      </c>
      <c r="X17" s="134">
        <v>413.82</v>
      </c>
      <c r="Y17" s="134">
        <v>418.5</v>
      </c>
    </row>
    <row r="18" spans="1:25" ht="18" customHeight="1">
      <c r="A18" s="1">
        <v>1984</v>
      </c>
      <c r="B18" s="13">
        <f t="shared" si="0"/>
        <v>416.48179156908668</v>
      </c>
      <c r="C18" s="13">
        <f t="shared" si="1"/>
        <v>412.00008766285976</v>
      </c>
      <c r="D18" s="13">
        <f t="shared" si="2"/>
        <v>351.62589158843667</v>
      </c>
      <c r="E18" s="13">
        <f t="shared" si="3"/>
        <v>386.2271897518014</v>
      </c>
      <c r="F18" s="13">
        <f t="shared" si="4"/>
        <v>389.84482605601374</v>
      </c>
      <c r="G18" s="13">
        <f t="shared" si="5"/>
        <v>416.10211884102864</v>
      </c>
      <c r="H18" s="13">
        <f t="shared" si="6"/>
        <v>411.37248627960719</v>
      </c>
      <c r="I18" s="13">
        <f t="shared" si="7"/>
        <v>393.39409096620176</v>
      </c>
      <c r="J18" s="13">
        <f t="shared" si="8"/>
        <v>410.1928525226391</v>
      </c>
      <c r="K18" s="13">
        <f t="shared" si="9"/>
        <v>438.46060873342651</v>
      </c>
      <c r="L18" s="13">
        <f t="shared" si="10"/>
        <v>442.25651936818338</v>
      </c>
      <c r="N18" s="1">
        <v>1984</v>
      </c>
      <c r="O18" s="134">
        <v>398.66</v>
      </c>
      <c r="P18" s="134">
        <v>388.71</v>
      </c>
      <c r="Q18" s="134">
        <v>329.62</v>
      </c>
      <c r="R18" s="134">
        <v>361.19</v>
      </c>
      <c r="S18" s="134">
        <v>371.36</v>
      </c>
      <c r="T18" s="134">
        <v>393.88</v>
      </c>
      <c r="U18" s="134">
        <v>395.72</v>
      </c>
      <c r="V18" s="134">
        <v>374.39</v>
      </c>
      <c r="W18" s="134">
        <v>377.55</v>
      </c>
      <c r="X18" s="134">
        <v>425.81</v>
      </c>
      <c r="Y18" s="134">
        <v>426.9</v>
      </c>
    </row>
    <row r="19" spans="1:25" ht="18" customHeight="1">
      <c r="A19" s="1">
        <v>1985</v>
      </c>
      <c r="B19" s="13">
        <f t="shared" si="0"/>
        <v>431.20167428420336</v>
      </c>
      <c r="C19" s="13">
        <f t="shared" si="1"/>
        <v>420.30983191249788</v>
      </c>
      <c r="D19" s="13">
        <f t="shared" si="2"/>
        <v>367.90467050245746</v>
      </c>
      <c r="E19" s="13">
        <f t="shared" si="3"/>
        <v>402.44875310774933</v>
      </c>
      <c r="F19" s="13">
        <f t="shared" si="4"/>
        <v>401.75978398291954</v>
      </c>
      <c r="G19" s="13">
        <f t="shared" si="5"/>
        <v>427.68046560272683</v>
      </c>
      <c r="H19" s="13">
        <f t="shared" si="6"/>
        <v>430.86413218515315</v>
      </c>
      <c r="I19" s="13">
        <f t="shared" si="7"/>
        <v>402.90347028521171</v>
      </c>
      <c r="J19" s="13">
        <f t="shared" si="8"/>
        <v>420.55767787839585</v>
      </c>
      <c r="K19" s="13">
        <f t="shared" si="9"/>
        <v>447.5838350394742</v>
      </c>
      <c r="L19" s="13">
        <f t="shared" si="10"/>
        <v>454.36703403535142</v>
      </c>
      <c r="N19" s="1">
        <v>1985</v>
      </c>
      <c r="O19" s="134">
        <v>412.75</v>
      </c>
      <c r="P19" s="134">
        <v>396.55</v>
      </c>
      <c r="Q19" s="134">
        <v>344.88</v>
      </c>
      <c r="R19" s="134">
        <v>376.36</v>
      </c>
      <c r="S19" s="134">
        <v>382.71</v>
      </c>
      <c r="T19" s="134">
        <v>404.84</v>
      </c>
      <c r="U19" s="134">
        <v>414.47</v>
      </c>
      <c r="V19" s="134">
        <v>383.44</v>
      </c>
      <c r="W19" s="134">
        <v>387.09</v>
      </c>
      <c r="X19" s="134">
        <v>434.67</v>
      </c>
      <c r="Y19" s="134">
        <v>438.59</v>
      </c>
    </row>
    <row r="20" spans="1:25" ht="18" customHeight="1">
      <c r="A20" s="1">
        <v>1986</v>
      </c>
      <c r="B20" s="13">
        <f t="shared" si="0"/>
        <v>444.16645387927781</v>
      </c>
      <c r="C20" s="13">
        <f t="shared" si="1"/>
        <v>432.43527505227593</v>
      </c>
      <c r="D20" s="13">
        <f t="shared" si="2"/>
        <v>375.25465652589145</v>
      </c>
      <c r="E20" s="13">
        <f t="shared" si="3"/>
        <v>419.81448737937717</v>
      </c>
      <c r="F20" s="13">
        <f t="shared" si="4"/>
        <v>418.19927659396325</v>
      </c>
      <c r="G20" s="13">
        <f t="shared" si="5"/>
        <v>437.80095483421121</v>
      </c>
      <c r="H20" s="13">
        <f t="shared" si="6"/>
        <v>450.49092016897754</v>
      </c>
      <c r="I20" s="13">
        <f t="shared" si="7"/>
        <v>418.04492398542533</v>
      </c>
      <c r="J20" s="13">
        <f t="shared" si="8"/>
        <v>430.69434670116431</v>
      </c>
      <c r="K20" s="13">
        <f t="shared" si="9"/>
        <v>450.1272175424017</v>
      </c>
      <c r="L20" s="13">
        <f t="shared" si="10"/>
        <v>456.27322282813071</v>
      </c>
      <c r="N20" s="1">
        <v>1986</v>
      </c>
      <c r="O20" s="134">
        <v>425.16</v>
      </c>
      <c r="P20" s="134">
        <v>407.99</v>
      </c>
      <c r="Q20" s="134">
        <v>351.77</v>
      </c>
      <c r="R20" s="134">
        <v>392.6</v>
      </c>
      <c r="S20" s="134">
        <v>398.37</v>
      </c>
      <c r="T20" s="134">
        <v>414.42</v>
      </c>
      <c r="U20" s="134">
        <v>433.35</v>
      </c>
      <c r="V20" s="134">
        <v>397.85</v>
      </c>
      <c r="W20" s="134">
        <v>396.42</v>
      </c>
      <c r="X20" s="134">
        <v>437.14</v>
      </c>
      <c r="Y20" s="134">
        <v>440.43</v>
      </c>
    </row>
    <row r="21" spans="1:25" ht="18" customHeight="1">
      <c r="A21" s="1">
        <v>1987</v>
      </c>
      <c r="B21" s="13">
        <f t="shared" si="0"/>
        <v>460.95485098587295</v>
      </c>
      <c r="C21" s="13">
        <f t="shared" si="1"/>
        <v>447.14691410648214</v>
      </c>
      <c r="D21" s="13">
        <f t="shared" si="2"/>
        <v>393.73096391716541</v>
      </c>
      <c r="E21" s="13">
        <f t="shared" si="3"/>
        <v>431.53421937550036</v>
      </c>
      <c r="F21" s="13">
        <f t="shared" si="4"/>
        <v>422.78679783982915</v>
      </c>
      <c r="G21" s="13">
        <f t="shared" si="5"/>
        <v>456.23545766191495</v>
      </c>
      <c r="H21" s="13">
        <f t="shared" si="6"/>
        <v>471.74980863662631</v>
      </c>
      <c r="I21" s="13">
        <f t="shared" si="7"/>
        <v>430.62252293001632</v>
      </c>
      <c r="J21" s="13">
        <f t="shared" si="8"/>
        <v>436.60468736524359</v>
      </c>
      <c r="K21" s="13">
        <f t="shared" si="9"/>
        <v>455.1830912627961</v>
      </c>
      <c r="L21" s="13">
        <f t="shared" si="10"/>
        <v>470.55927905227514</v>
      </c>
      <c r="N21" s="1">
        <v>1987</v>
      </c>
      <c r="O21" s="134">
        <v>441.23</v>
      </c>
      <c r="P21" s="134">
        <v>421.87</v>
      </c>
      <c r="Q21" s="134">
        <v>369.09</v>
      </c>
      <c r="R21" s="134">
        <v>403.56</v>
      </c>
      <c r="S21" s="134">
        <v>402.74</v>
      </c>
      <c r="T21" s="134">
        <v>431.87</v>
      </c>
      <c r="U21" s="134">
        <v>453.8</v>
      </c>
      <c r="V21" s="134">
        <v>409.82</v>
      </c>
      <c r="W21" s="134">
        <v>401.86</v>
      </c>
      <c r="X21" s="134">
        <v>442.05</v>
      </c>
      <c r="Y21" s="134">
        <v>454.22</v>
      </c>
    </row>
    <row r="22" spans="1:25" ht="18" customHeight="1">
      <c r="A22" s="1">
        <v>1988</v>
      </c>
      <c r="B22" s="13">
        <f t="shared" si="0"/>
        <v>481.26390137493394</v>
      </c>
      <c r="C22" s="13">
        <f t="shared" si="1"/>
        <v>469.6807358854752</v>
      </c>
      <c r="D22" s="13">
        <f t="shared" si="2"/>
        <v>412.21793892240669</v>
      </c>
      <c r="E22" s="13">
        <f t="shared" si="3"/>
        <v>447.25320298343934</v>
      </c>
      <c r="F22" s="13">
        <f t="shared" si="4"/>
        <v>437.37868464018078</v>
      </c>
      <c r="G22" s="13">
        <f t="shared" si="5"/>
        <v>477.93429365509752</v>
      </c>
      <c r="H22" s="13">
        <f t="shared" si="6"/>
        <v>496.59515995089555</v>
      </c>
      <c r="I22" s="13">
        <f t="shared" si="7"/>
        <v>443.70448674456588</v>
      </c>
      <c r="J22" s="13">
        <f t="shared" si="8"/>
        <v>445.40501078050875</v>
      </c>
      <c r="K22" s="13">
        <f t="shared" si="9"/>
        <v>471.07150908472789</v>
      </c>
      <c r="L22" s="13">
        <f t="shared" si="10"/>
        <v>481.14691462955983</v>
      </c>
      <c r="N22" s="1">
        <v>1988</v>
      </c>
      <c r="O22" s="134">
        <v>460.67</v>
      </c>
      <c r="P22" s="134">
        <v>443.13</v>
      </c>
      <c r="Q22" s="134">
        <v>386.42</v>
      </c>
      <c r="R22" s="134">
        <v>418.26</v>
      </c>
      <c r="S22" s="134">
        <v>416.64</v>
      </c>
      <c r="T22" s="134">
        <v>452.41</v>
      </c>
      <c r="U22" s="134">
        <v>477.7</v>
      </c>
      <c r="V22" s="134">
        <v>422.27</v>
      </c>
      <c r="W22" s="134">
        <v>409.96</v>
      </c>
      <c r="X22" s="134">
        <v>457.48</v>
      </c>
      <c r="Y22" s="134">
        <v>464.44</v>
      </c>
    </row>
    <row r="23" spans="1:25" ht="18" customHeight="1">
      <c r="A23" s="1">
        <v>1989</v>
      </c>
      <c r="B23" s="13">
        <f t="shared" si="0"/>
        <v>505.87713322505101</v>
      </c>
      <c r="C23" s="13">
        <f t="shared" si="1"/>
        <v>487.43433488820966</v>
      </c>
      <c r="D23" s="13">
        <f t="shared" si="2"/>
        <v>428.28336555708256</v>
      </c>
      <c r="E23" s="13">
        <f t="shared" si="3"/>
        <v>460.4806742235894</v>
      </c>
      <c r="F23" s="13">
        <f t="shared" si="4"/>
        <v>459.4974655670448</v>
      </c>
      <c r="G23" s="13">
        <f t="shared" si="5"/>
        <v>496.30541137279198</v>
      </c>
      <c r="H23" s="13">
        <f t="shared" si="6"/>
        <v>525.08934737868299</v>
      </c>
      <c r="I23" s="13">
        <f t="shared" si="7"/>
        <v>468.06110692298023</v>
      </c>
      <c r="J23" s="13">
        <f t="shared" si="8"/>
        <v>460.86533203967224</v>
      </c>
      <c r="K23" s="13">
        <f t="shared" si="9"/>
        <v>494.32234994144977</v>
      </c>
      <c r="L23" s="13">
        <f t="shared" si="10"/>
        <v>512.73370609251583</v>
      </c>
      <c r="N23" s="1">
        <v>1989</v>
      </c>
      <c r="O23" s="134">
        <v>484.23</v>
      </c>
      <c r="P23" s="134">
        <v>459.88</v>
      </c>
      <c r="Q23" s="134">
        <v>401.48</v>
      </c>
      <c r="R23" s="134">
        <v>430.63</v>
      </c>
      <c r="S23" s="134">
        <v>437.71</v>
      </c>
      <c r="T23" s="134">
        <v>469.8</v>
      </c>
      <c r="U23" s="134">
        <v>505.11</v>
      </c>
      <c r="V23" s="134">
        <v>445.45</v>
      </c>
      <c r="W23" s="134">
        <v>424.19</v>
      </c>
      <c r="X23" s="134">
        <v>480.06</v>
      </c>
      <c r="Y23" s="134">
        <v>494.93</v>
      </c>
    </row>
    <row r="24" spans="1:25" ht="18" customHeight="1">
      <c r="A24" s="1">
        <v>1990</v>
      </c>
      <c r="B24" s="13">
        <f>B25*O24/O25</f>
        <v>528.87107350608142</v>
      </c>
      <c r="C24" s="13">
        <f t="shared" si="1"/>
        <v>503.28008444587414</v>
      </c>
      <c r="D24" s="13">
        <f t="shared" si="2"/>
        <v>444.75416152251387</v>
      </c>
      <c r="E24" s="13">
        <f t="shared" si="3"/>
        <v>485.54550250726896</v>
      </c>
      <c r="F24" s="13">
        <f t="shared" si="4"/>
        <v>476.4513484322016</v>
      </c>
      <c r="G24" s="13">
        <f t="shared" si="5"/>
        <v>524.31106581189954</v>
      </c>
      <c r="H24" s="13">
        <f t="shared" si="6"/>
        <v>547.64767890670134</v>
      </c>
      <c r="I24" s="13">
        <f t="shared" si="7"/>
        <v>484.4214423922603</v>
      </c>
      <c r="J24" s="13">
        <f t="shared" si="8"/>
        <v>482.94219275549801</v>
      </c>
      <c r="K24" s="13">
        <f t="shared" si="9"/>
        <v>517.91299493823897</v>
      </c>
      <c r="L24" s="13">
        <f t="shared" si="10"/>
        <v>530.45918992102281</v>
      </c>
      <c r="N24" s="1">
        <v>1990</v>
      </c>
      <c r="O24" s="134">
        <v>506.24</v>
      </c>
      <c r="P24" s="134">
        <v>474.83</v>
      </c>
      <c r="Q24" s="134">
        <v>416.92</v>
      </c>
      <c r="R24" s="134">
        <v>454.07</v>
      </c>
      <c r="S24" s="134">
        <v>453.86</v>
      </c>
      <c r="T24" s="134">
        <v>496.31</v>
      </c>
      <c r="U24" s="134">
        <v>526.80999999999995</v>
      </c>
      <c r="V24" s="134">
        <v>461.02</v>
      </c>
      <c r="W24" s="134">
        <v>444.51</v>
      </c>
      <c r="X24" s="134">
        <v>502.97</v>
      </c>
      <c r="Y24" s="134">
        <v>512.04</v>
      </c>
    </row>
    <row r="25" spans="1:25" ht="18" customHeight="1">
      <c r="A25" s="1">
        <v>1991</v>
      </c>
      <c r="B25" s="249">
        <v>553.15</v>
      </c>
      <c r="C25" s="249">
        <v>527.16</v>
      </c>
      <c r="D25" s="249">
        <v>457.95</v>
      </c>
      <c r="E25" s="249">
        <v>507.52</v>
      </c>
      <c r="F25" s="249">
        <v>501.52</v>
      </c>
      <c r="G25" s="249">
        <v>545.45000000000005</v>
      </c>
      <c r="H25" s="249">
        <v>575.83000000000004</v>
      </c>
      <c r="I25" s="249">
        <v>501.78</v>
      </c>
      <c r="J25" s="249">
        <v>503.9</v>
      </c>
      <c r="K25" s="249">
        <v>545.19000000000005</v>
      </c>
      <c r="L25" s="249">
        <v>550.92999999999995</v>
      </c>
      <c r="N25" s="1">
        <v>1991</v>
      </c>
      <c r="O25" s="1">
        <v>529.48</v>
      </c>
      <c r="P25" s="1">
        <v>497.36</v>
      </c>
      <c r="Q25" s="1">
        <v>429.29</v>
      </c>
      <c r="R25" s="1">
        <v>474.62</v>
      </c>
      <c r="S25" s="1">
        <v>477.74</v>
      </c>
      <c r="T25" s="1">
        <v>516.32000000000005</v>
      </c>
      <c r="U25" s="1">
        <v>553.91999999999996</v>
      </c>
      <c r="V25" s="1">
        <v>477.54</v>
      </c>
      <c r="W25" s="1">
        <v>463.8</v>
      </c>
      <c r="X25" s="1">
        <v>529.46</v>
      </c>
      <c r="Y25" s="1">
        <v>531.79999999999995</v>
      </c>
    </row>
    <row r="26" spans="1:25" ht="18" customHeight="1">
      <c r="A26" s="1">
        <v>1992</v>
      </c>
      <c r="B26" s="249">
        <v>572.41</v>
      </c>
      <c r="C26" s="249">
        <v>542.78</v>
      </c>
      <c r="D26" s="249">
        <v>470.96</v>
      </c>
      <c r="E26" s="249">
        <v>524.08000000000004</v>
      </c>
      <c r="F26" s="249">
        <v>511.25</v>
      </c>
      <c r="G26" s="249">
        <v>566.03</v>
      </c>
      <c r="H26" s="249">
        <v>598.6</v>
      </c>
      <c r="I26" s="249">
        <v>512.63</v>
      </c>
      <c r="J26" s="249">
        <v>510.57</v>
      </c>
      <c r="K26" s="249">
        <v>561.54999999999995</v>
      </c>
      <c r="L26" s="249">
        <v>568.09</v>
      </c>
      <c r="N26" s="1">
        <v>1992</v>
      </c>
      <c r="O26" s="1">
        <v>547.98</v>
      </c>
      <c r="P26" s="1">
        <v>508.57</v>
      </c>
      <c r="Q26" s="1">
        <v>444.44</v>
      </c>
      <c r="R26" s="1">
        <v>490.31</v>
      </c>
      <c r="S26" s="1">
        <v>491.68</v>
      </c>
      <c r="T26" s="1">
        <v>535.49</v>
      </c>
      <c r="U26" s="1">
        <v>576.85</v>
      </c>
      <c r="V26" s="1">
        <v>489.44</v>
      </c>
      <c r="W26" s="1">
        <v>470.15</v>
      </c>
      <c r="X26" s="1">
        <v>543.77</v>
      </c>
      <c r="Y26" s="1">
        <v>545.89</v>
      </c>
    </row>
    <row r="27" spans="1:25" ht="18" customHeight="1">
      <c r="A27" s="1">
        <v>1993</v>
      </c>
      <c r="B27" s="249">
        <v>582.87</v>
      </c>
      <c r="C27" s="249">
        <v>555.34</v>
      </c>
      <c r="D27" s="249">
        <v>479.96</v>
      </c>
      <c r="E27" s="249">
        <v>529.53</v>
      </c>
      <c r="F27" s="249">
        <v>525.4</v>
      </c>
      <c r="G27" s="249">
        <v>572.63</v>
      </c>
      <c r="H27" s="249">
        <v>612.1</v>
      </c>
      <c r="I27" s="249">
        <v>518.59</v>
      </c>
      <c r="J27" s="249">
        <v>515.14</v>
      </c>
      <c r="K27" s="249">
        <v>570.67999999999995</v>
      </c>
      <c r="L27" s="249">
        <v>581.38</v>
      </c>
      <c r="N27" s="1">
        <v>1993</v>
      </c>
      <c r="O27" s="1">
        <v>557.94000000000005</v>
      </c>
      <c r="P27" s="1">
        <v>527.12</v>
      </c>
      <c r="Q27" s="1">
        <v>454</v>
      </c>
      <c r="R27" s="1">
        <v>494.14</v>
      </c>
      <c r="S27" s="1">
        <v>502.13</v>
      </c>
      <c r="T27" s="1">
        <v>542.41999999999996</v>
      </c>
      <c r="U27" s="1">
        <v>589.54999999999995</v>
      </c>
      <c r="V27" s="1">
        <v>493.57</v>
      </c>
      <c r="W27" s="1">
        <v>473.91</v>
      </c>
      <c r="X27" s="1">
        <v>552.87</v>
      </c>
      <c r="Y27" s="1">
        <v>558.17999999999995</v>
      </c>
    </row>
    <row r="28" spans="1:25" ht="18" customHeight="1">
      <c r="A28" s="1">
        <v>1994</v>
      </c>
      <c r="B28" s="249">
        <v>592.88</v>
      </c>
      <c r="C28" s="249">
        <v>558.65</v>
      </c>
      <c r="D28" s="249">
        <v>486.9</v>
      </c>
      <c r="E28" s="249">
        <v>532</v>
      </c>
      <c r="F28" s="249">
        <v>525.59</v>
      </c>
      <c r="G28" s="249">
        <v>575.46</v>
      </c>
      <c r="H28" s="249">
        <v>627.91999999999996</v>
      </c>
      <c r="I28" s="249">
        <v>526.25</v>
      </c>
      <c r="J28" s="249">
        <v>530.38</v>
      </c>
      <c r="K28" s="249">
        <v>573.63</v>
      </c>
      <c r="L28" s="249">
        <v>597.61</v>
      </c>
      <c r="N28" s="1">
        <v>1994</v>
      </c>
      <c r="O28" s="1">
        <v>568.27</v>
      </c>
      <c r="P28" s="1">
        <v>532.85</v>
      </c>
      <c r="Q28" s="1">
        <v>453.79</v>
      </c>
      <c r="R28" s="1">
        <v>495.55</v>
      </c>
      <c r="S28" s="1">
        <v>500.82</v>
      </c>
      <c r="T28" s="1">
        <v>546.80999999999995</v>
      </c>
      <c r="U28" s="1">
        <v>604.79</v>
      </c>
      <c r="V28" s="1">
        <v>500.93</v>
      </c>
      <c r="W28" s="1">
        <v>487.6</v>
      </c>
      <c r="X28" s="1">
        <v>553.75</v>
      </c>
      <c r="Y28" s="1">
        <v>577.91999999999996</v>
      </c>
    </row>
    <row r="29" spans="1:25" ht="18" customHeight="1">
      <c r="A29" s="1">
        <v>1995</v>
      </c>
      <c r="B29" s="249">
        <v>598.66999999999996</v>
      </c>
      <c r="C29" s="249">
        <v>556.55999999999995</v>
      </c>
      <c r="D29" s="249">
        <v>493.24</v>
      </c>
      <c r="E29" s="249">
        <v>526.1</v>
      </c>
      <c r="F29" s="249">
        <v>534.46</v>
      </c>
      <c r="G29" s="249">
        <v>579.41</v>
      </c>
      <c r="H29" s="249">
        <v>633.96</v>
      </c>
      <c r="I29" s="249">
        <v>530.52</v>
      </c>
      <c r="J29" s="249">
        <v>531.63</v>
      </c>
      <c r="K29" s="249">
        <v>572.49</v>
      </c>
      <c r="L29" s="249">
        <v>615.48</v>
      </c>
      <c r="N29" s="1">
        <v>1995</v>
      </c>
      <c r="O29" s="1">
        <v>573.75</v>
      </c>
      <c r="P29" s="1">
        <v>535.45000000000005</v>
      </c>
      <c r="Q29" s="1">
        <v>466.91</v>
      </c>
      <c r="R29" s="1">
        <v>489.15</v>
      </c>
      <c r="S29" s="1">
        <v>510.18</v>
      </c>
      <c r="T29" s="1">
        <v>549.64</v>
      </c>
      <c r="U29" s="1">
        <v>610.29</v>
      </c>
      <c r="V29" s="1">
        <v>505.52</v>
      </c>
      <c r="W29" s="1">
        <v>492.33</v>
      </c>
      <c r="X29" s="1">
        <v>554</v>
      </c>
      <c r="Y29" s="1">
        <v>594.69000000000005</v>
      </c>
    </row>
    <row r="30" spans="1:25" ht="18" customHeight="1">
      <c r="A30" s="1">
        <v>1996</v>
      </c>
      <c r="B30" s="249">
        <v>611.01</v>
      </c>
      <c r="C30" s="81">
        <v>556</v>
      </c>
      <c r="D30" s="249">
        <v>515.71</v>
      </c>
      <c r="E30" s="249">
        <v>532.58000000000004</v>
      </c>
      <c r="F30" s="249">
        <v>537</v>
      </c>
      <c r="G30" s="249">
        <v>585.52</v>
      </c>
      <c r="H30" s="249">
        <v>649.29999999999995</v>
      </c>
      <c r="I30" s="249">
        <v>539.76</v>
      </c>
      <c r="J30" s="249">
        <v>535.27</v>
      </c>
      <c r="K30" s="249">
        <v>596.80999999999995</v>
      </c>
      <c r="L30" s="249">
        <v>628.32000000000005</v>
      </c>
      <c r="N30" s="1">
        <v>1996</v>
      </c>
      <c r="O30" s="1">
        <v>586.05999999999995</v>
      </c>
      <c r="P30" s="1">
        <v>532.54</v>
      </c>
      <c r="Q30" s="1">
        <v>491.04</v>
      </c>
      <c r="R30" s="1">
        <v>494.47</v>
      </c>
      <c r="S30" s="1">
        <v>511.68</v>
      </c>
      <c r="T30" s="1">
        <v>554.35</v>
      </c>
      <c r="U30" s="1">
        <v>625.71</v>
      </c>
      <c r="V30" s="1">
        <v>515.95000000000005</v>
      </c>
      <c r="W30" s="1">
        <v>508.91</v>
      </c>
      <c r="X30" s="1">
        <v>577.65</v>
      </c>
      <c r="Y30" s="1">
        <v>607.54</v>
      </c>
    </row>
    <row r="31" spans="1:25" ht="18" customHeight="1">
      <c r="A31" s="1">
        <v>1997</v>
      </c>
      <c r="B31" s="13">
        <v>623.42999999999995</v>
      </c>
      <c r="C31" s="13">
        <v>556.16999999999996</v>
      </c>
      <c r="D31" s="13">
        <v>511.91</v>
      </c>
      <c r="E31" s="13">
        <v>538.15</v>
      </c>
      <c r="F31" s="13">
        <v>548.71</v>
      </c>
      <c r="G31" s="13">
        <v>594.29</v>
      </c>
      <c r="H31" s="13">
        <v>663.5</v>
      </c>
      <c r="I31" s="13">
        <v>550.16</v>
      </c>
      <c r="J31" s="13">
        <v>548.04999999999995</v>
      </c>
      <c r="K31" s="13">
        <v>618.23</v>
      </c>
      <c r="L31" s="13">
        <v>638.74</v>
      </c>
      <c r="N31" s="1">
        <v>1997</v>
      </c>
      <c r="O31" s="1">
        <v>598.26</v>
      </c>
      <c r="P31" s="1">
        <v>527.38</v>
      </c>
      <c r="Q31" s="1">
        <v>475.13</v>
      </c>
      <c r="R31" s="1">
        <v>501.47</v>
      </c>
      <c r="S31" s="1">
        <v>522.72</v>
      </c>
      <c r="T31" s="1">
        <v>564.98</v>
      </c>
      <c r="U31" s="1">
        <v>638.97</v>
      </c>
      <c r="V31" s="1">
        <v>524.37</v>
      </c>
      <c r="W31" s="1">
        <v>527.14</v>
      </c>
      <c r="X31" s="1">
        <v>600.47</v>
      </c>
      <c r="Y31" s="1">
        <v>614.16999999999996</v>
      </c>
    </row>
    <row r="32" spans="1:25" ht="18" customHeight="1">
      <c r="A32" s="1">
        <v>1998</v>
      </c>
      <c r="B32" s="13">
        <v>632.72</v>
      </c>
      <c r="C32" s="13">
        <v>566.12</v>
      </c>
      <c r="D32" s="13">
        <v>514.08000000000004</v>
      </c>
      <c r="E32" s="13">
        <v>548.79</v>
      </c>
      <c r="F32" s="13">
        <v>552.44000000000005</v>
      </c>
      <c r="G32" s="13">
        <v>602.16999999999996</v>
      </c>
      <c r="H32" s="13">
        <v>672.52</v>
      </c>
      <c r="I32" s="13">
        <v>564.63</v>
      </c>
      <c r="J32" s="13">
        <v>563.52</v>
      </c>
      <c r="K32" s="13">
        <v>635.01</v>
      </c>
      <c r="L32" s="13">
        <v>642.98</v>
      </c>
      <c r="N32" s="1">
        <v>1998</v>
      </c>
      <c r="O32" s="1">
        <v>606.32000000000005</v>
      </c>
      <c r="P32" s="1">
        <v>529.32000000000005</v>
      </c>
      <c r="Q32" s="1">
        <v>481.64</v>
      </c>
      <c r="R32" s="1">
        <v>510.35</v>
      </c>
      <c r="S32" s="1">
        <v>525.54</v>
      </c>
      <c r="T32" s="1">
        <v>571.67999999999995</v>
      </c>
      <c r="U32" s="1">
        <v>646.78</v>
      </c>
      <c r="V32" s="1">
        <v>541.38</v>
      </c>
      <c r="W32" s="1">
        <v>538.85</v>
      </c>
      <c r="X32" s="1">
        <v>615.01</v>
      </c>
      <c r="Y32" s="1">
        <v>618.62</v>
      </c>
    </row>
    <row r="33" spans="1:138" ht="18" customHeight="1">
      <c r="A33" s="1">
        <v>1999</v>
      </c>
      <c r="B33" s="13">
        <v>640.47</v>
      </c>
      <c r="C33" s="13">
        <v>576.24</v>
      </c>
      <c r="D33" s="13">
        <v>512.35</v>
      </c>
      <c r="E33" s="13">
        <v>548.69000000000005</v>
      </c>
      <c r="F33" s="13">
        <v>561.16999999999996</v>
      </c>
      <c r="G33" s="13">
        <v>605.74</v>
      </c>
      <c r="H33" s="13">
        <v>683.58</v>
      </c>
      <c r="I33" s="13">
        <v>564.9</v>
      </c>
      <c r="J33" s="13">
        <v>569.73</v>
      </c>
      <c r="K33" s="13">
        <v>644.07000000000005</v>
      </c>
      <c r="L33" s="13">
        <v>650.86</v>
      </c>
      <c r="N33" s="1">
        <v>1999</v>
      </c>
      <c r="O33" s="1">
        <v>610.4</v>
      </c>
      <c r="P33" s="1">
        <v>544.16999999999996</v>
      </c>
      <c r="Q33" s="1">
        <v>480.44</v>
      </c>
      <c r="R33" s="1">
        <v>518.05999999999995</v>
      </c>
      <c r="S33" s="1">
        <v>532.20000000000005</v>
      </c>
      <c r="T33" s="1">
        <v>571.35</v>
      </c>
      <c r="U33" s="1">
        <v>651.54999999999995</v>
      </c>
      <c r="V33" s="1">
        <v>543.87</v>
      </c>
      <c r="W33" s="1">
        <v>542.79</v>
      </c>
      <c r="X33" s="1">
        <v>621.99</v>
      </c>
      <c r="Y33" s="1">
        <v>624.75</v>
      </c>
    </row>
    <row r="34" spans="1:138" ht="18" customHeight="1">
      <c r="A34" s="1">
        <v>2000</v>
      </c>
      <c r="B34" s="13">
        <v>655.55</v>
      </c>
      <c r="C34" s="13">
        <v>594.17999999999995</v>
      </c>
      <c r="D34" s="13">
        <v>522.77</v>
      </c>
      <c r="E34" s="13">
        <v>562.22</v>
      </c>
      <c r="F34" s="13">
        <v>585.54</v>
      </c>
      <c r="G34" s="13">
        <v>616.25</v>
      </c>
      <c r="H34" s="13">
        <v>700.02</v>
      </c>
      <c r="I34" s="13">
        <v>584.41999999999996</v>
      </c>
      <c r="J34" s="13">
        <v>586.47</v>
      </c>
      <c r="K34" s="13">
        <v>663.09</v>
      </c>
      <c r="L34" s="13">
        <v>662.72</v>
      </c>
      <c r="N34" s="1">
        <v>2000</v>
      </c>
      <c r="O34" s="1">
        <v>626.45000000000005</v>
      </c>
      <c r="P34" s="1">
        <v>556.75</v>
      </c>
      <c r="Q34" s="1">
        <v>490.91</v>
      </c>
      <c r="R34" s="1">
        <v>526.91999999999996</v>
      </c>
      <c r="S34" s="1">
        <v>554.04999999999995</v>
      </c>
      <c r="T34" s="1">
        <v>584.53</v>
      </c>
      <c r="U34" s="1">
        <v>669.21</v>
      </c>
      <c r="V34" s="1">
        <v>561.82000000000005</v>
      </c>
      <c r="W34" s="1">
        <v>559.29</v>
      </c>
      <c r="X34" s="1">
        <v>642.80999999999995</v>
      </c>
      <c r="Y34" s="1">
        <v>636.36</v>
      </c>
    </row>
    <row r="35" spans="1:138" ht="18" customHeight="1">
      <c r="A35" s="1">
        <v>2001</v>
      </c>
      <c r="B35" s="13">
        <v>657.01</v>
      </c>
      <c r="C35" s="13">
        <v>593.15</v>
      </c>
      <c r="D35" s="13">
        <v>529.27</v>
      </c>
      <c r="E35" s="13">
        <v>575.13</v>
      </c>
      <c r="F35" s="13">
        <v>590.19000000000005</v>
      </c>
      <c r="G35" s="13">
        <v>623.42999999999995</v>
      </c>
      <c r="H35" s="13">
        <v>695.74</v>
      </c>
      <c r="I35" s="13">
        <v>585.04</v>
      </c>
      <c r="J35" s="13">
        <v>596.16</v>
      </c>
      <c r="K35" s="13">
        <v>676.66</v>
      </c>
      <c r="L35" s="13">
        <v>657.55</v>
      </c>
    </row>
    <row r="36" spans="1:138" ht="18" customHeight="1">
      <c r="A36" s="1">
        <v>2002</v>
      </c>
      <c r="B36" s="13">
        <v>672.85</v>
      </c>
      <c r="C36" s="13">
        <v>609.44000000000005</v>
      </c>
      <c r="D36" s="13">
        <v>556.27</v>
      </c>
      <c r="E36" s="13">
        <v>596.36</v>
      </c>
      <c r="F36" s="13">
        <v>604.4</v>
      </c>
      <c r="G36" s="13">
        <v>639.33000000000004</v>
      </c>
      <c r="H36" s="13">
        <v>710.78</v>
      </c>
      <c r="I36" s="13">
        <v>605.66999999999996</v>
      </c>
      <c r="J36" s="13">
        <v>610.26</v>
      </c>
      <c r="K36" s="13">
        <v>694.05</v>
      </c>
      <c r="L36" s="13">
        <v>670.6</v>
      </c>
    </row>
    <row r="37" spans="1:138" ht="18" customHeight="1">
      <c r="A37" s="1">
        <v>2003</v>
      </c>
      <c r="B37" s="13">
        <v>690.87</v>
      </c>
      <c r="C37" s="13">
        <v>640.35</v>
      </c>
      <c r="D37" s="13">
        <v>569.85</v>
      </c>
      <c r="E37" s="13">
        <v>612.9</v>
      </c>
      <c r="F37" s="13">
        <v>619.32000000000005</v>
      </c>
      <c r="G37" s="13">
        <v>656.76</v>
      </c>
      <c r="H37" s="13">
        <v>727.68</v>
      </c>
      <c r="I37" s="13">
        <v>620.98</v>
      </c>
      <c r="J37" s="13">
        <v>636.04999999999995</v>
      </c>
      <c r="K37" s="13">
        <v>718.3</v>
      </c>
      <c r="L37" s="13">
        <v>686.38</v>
      </c>
    </row>
    <row r="38" spans="1:138" ht="18" customHeight="1">
      <c r="A38" s="1">
        <v>2004</v>
      </c>
      <c r="B38" s="13">
        <v>709.37</v>
      </c>
      <c r="C38" s="13">
        <v>656.18</v>
      </c>
      <c r="D38" s="13">
        <v>585.65</v>
      </c>
      <c r="E38" s="13">
        <v>627.79</v>
      </c>
      <c r="F38" s="13">
        <v>628.04999999999995</v>
      </c>
      <c r="G38" s="13">
        <v>673.75</v>
      </c>
      <c r="H38" s="13">
        <v>748.21</v>
      </c>
      <c r="I38" s="13">
        <v>638.96</v>
      </c>
      <c r="J38" s="13">
        <v>655.23</v>
      </c>
      <c r="K38" s="13">
        <v>742.37</v>
      </c>
      <c r="L38" s="13">
        <v>698.38</v>
      </c>
    </row>
    <row r="39" spans="1:138" ht="18" customHeight="1">
      <c r="A39" s="1">
        <v>2005</v>
      </c>
      <c r="B39" s="13">
        <v>737.39</v>
      </c>
      <c r="C39" s="13">
        <v>682.94</v>
      </c>
      <c r="D39" s="13">
        <v>606.67999999999995</v>
      </c>
      <c r="E39" s="13">
        <v>659.3</v>
      </c>
      <c r="F39" s="13">
        <v>654.76</v>
      </c>
      <c r="G39" s="13">
        <v>696.1</v>
      </c>
      <c r="H39" s="13">
        <v>775.73</v>
      </c>
      <c r="I39" s="13">
        <v>668.56</v>
      </c>
      <c r="J39" s="13">
        <v>683.4</v>
      </c>
      <c r="K39" s="13">
        <v>785.01</v>
      </c>
      <c r="L39" s="13">
        <v>723.93</v>
      </c>
    </row>
    <row r="40" spans="1:138" ht="18" customHeight="1">
      <c r="A40" s="1">
        <v>2006</v>
      </c>
      <c r="B40" s="13">
        <v>755.53</v>
      </c>
      <c r="C40" s="13">
        <v>706.9</v>
      </c>
      <c r="D40" s="13">
        <v>626.38</v>
      </c>
      <c r="E40" s="13">
        <v>675.67</v>
      </c>
      <c r="F40" s="13">
        <v>673.67</v>
      </c>
      <c r="G40" s="13">
        <v>709.06</v>
      </c>
      <c r="H40" s="13">
        <v>788.1</v>
      </c>
      <c r="I40" s="13">
        <v>688.78</v>
      </c>
      <c r="J40" s="13">
        <v>710.25</v>
      </c>
      <c r="K40" s="13">
        <v>824.07</v>
      </c>
      <c r="L40" s="13">
        <v>745.06</v>
      </c>
    </row>
    <row r="41" spans="1:138" ht="18" customHeight="1">
      <c r="A41" s="1">
        <v>2007</v>
      </c>
      <c r="B41" s="13">
        <v>788.18</v>
      </c>
      <c r="C41" s="13">
        <v>736.25</v>
      </c>
      <c r="D41" s="13">
        <v>648.19000000000005</v>
      </c>
      <c r="E41" s="13">
        <v>696.76</v>
      </c>
      <c r="F41" s="13">
        <v>707.8</v>
      </c>
      <c r="G41" s="13">
        <v>739.33</v>
      </c>
      <c r="H41" s="13">
        <v>818.6</v>
      </c>
      <c r="I41" s="13">
        <v>729.15</v>
      </c>
      <c r="J41" s="13">
        <v>749.05</v>
      </c>
      <c r="K41" s="13">
        <v>872.61</v>
      </c>
      <c r="L41" s="13">
        <v>770.6</v>
      </c>
    </row>
    <row r="42" spans="1:138" ht="18" customHeight="1">
      <c r="A42" s="1">
        <v>2008</v>
      </c>
      <c r="B42" s="13">
        <v>810.96</v>
      </c>
      <c r="C42" s="13">
        <v>766.63</v>
      </c>
      <c r="D42" s="13">
        <v>662.42</v>
      </c>
      <c r="E42" s="13">
        <v>714.89</v>
      </c>
      <c r="F42" s="13">
        <v>730.83</v>
      </c>
      <c r="G42" s="13">
        <v>753</v>
      </c>
      <c r="H42" s="13">
        <v>837.71</v>
      </c>
      <c r="I42" s="13">
        <v>749.59</v>
      </c>
      <c r="J42" s="13">
        <v>784.67</v>
      </c>
      <c r="K42" s="13">
        <v>924.39</v>
      </c>
      <c r="L42" s="13">
        <v>790.58</v>
      </c>
      <c r="M42" s="30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row>
    <row r="43" spans="1:138" ht="18" customHeight="1">
      <c r="A43" s="1">
        <v>2009</v>
      </c>
      <c r="B43" s="13">
        <v>823.88</v>
      </c>
      <c r="C43" s="13">
        <v>801.68</v>
      </c>
      <c r="D43" s="13">
        <v>691.57</v>
      </c>
      <c r="E43" s="13">
        <v>731.2</v>
      </c>
      <c r="F43" s="13">
        <v>751.04</v>
      </c>
      <c r="G43" s="13">
        <v>761.21</v>
      </c>
      <c r="H43" s="13">
        <v>849.58</v>
      </c>
      <c r="I43" s="13">
        <v>771.29</v>
      </c>
      <c r="J43" s="13">
        <v>804.33</v>
      </c>
      <c r="K43" s="13">
        <v>950.06</v>
      </c>
      <c r="L43" s="13">
        <v>797.02</v>
      </c>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row>
    <row r="44" spans="1:138" ht="18" customHeight="1">
      <c r="A44" s="1">
        <v>2010</v>
      </c>
      <c r="B44" s="13">
        <v>853.19</v>
      </c>
      <c r="C44" s="13">
        <v>837.65</v>
      </c>
      <c r="D44" s="13">
        <v>709.59</v>
      </c>
      <c r="E44" s="13">
        <v>760.07</v>
      </c>
      <c r="F44" s="13">
        <v>761.7</v>
      </c>
      <c r="G44" s="13">
        <v>783.99</v>
      </c>
      <c r="H44" s="13">
        <v>882.38</v>
      </c>
      <c r="I44" s="13">
        <v>786.35</v>
      </c>
      <c r="J44" s="13">
        <v>846.25</v>
      </c>
      <c r="K44" s="13">
        <v>993.28</v>
      </c>
      <c r="L44" s="13">
        <v>818.78</v>
      </c>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row>
    <row r="45" spans="1:138" ht="18" customHeight="1">
      <c r="B45" s="172" t="s">
        <v>435</v>
      </c>
      <c r="C45" s="250"/>
      <c r="D45" s="250"/>
      <c r="E45" s="250"/>
      <c r="F45" s="250"/>
      <c r="G45" s="250"/>
      <c r="H45" s="250"/>
      <c r="I45" s="250"/>
      <c r="J45" s="250"/>
      <c r="K45" s="250"/>
      <c r="L45" s="250"/>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row>
    <row r="46" spans="1:138">
      <c r="A46" s="252" t="s">
        <v>988</v>
      </c>
      <c r="B46" s="271">
        <f t="shared" ref="B46:L46" si="12">(POWER(B44/B15, 1/28)-1)*100</f>
        <v>3.3897831276304968</v>
      </c>
      <c r="C46" s="271">
        <f t="shared" si="12"/>
        <v>3.1896443833070887</v>
      </c>
      <c r="D46" s="271">
        <f t="shared" si="12"/>
        <v>3.5548668801187011</v>
      </c>
      <c r="E46" s="271">
        <f t="shared" si="12"/>
        <v>3.1737795969775773</v>
      </c>
      <c r="F46" s="271">
        <f t="shared" si="12"/>
        <v>3.0439494610211559</v>
      </c>
      <c r="G46" s="271">
        <f t="shared" si="12"/>
        <v>2.704140899754659</v>
      </c>
      <c r="H46" s="271">
        <f t="shared" si="12"/>
        <v>3.236477878274191</v>
      </c>
      <c r="I46" s="271">
        <f t="shared" si="12"/>
        <v>3.1454503188101279</v>
      </c>
      <c r="J46" s="271">
        <f t="shared" si="12"/>
        <v>3.0400064936886073</v>
      </c>
      <c r="K46" s="271">
        <f t="shared" si="12"/>
        <v>3.2833356645259215</v>
      </c>
      <c r="L46" s="271">
        <f t="shared" si="12"/>
        <v>2.3982647329060747</v>
      </c>
    </row>
    <row r="47" spans="1:138">
      <c r="B47" s="1" t="s">
        <v>1004</v>
      </c>
    </row>
    <row r="48" spans="1:138">
      <c r="B48" s="1" t="s">
        <v>1000</v>
      </c>
    </row>
  </sheetData>
  <phoneticPr fontId="0" type="noConversion"/>
  <pageMargins left="0.75" right="0.75" top="1" bottom="1" header="0.5" footer="0.5"/>
  <pageSetup scale="77" orientation="landscape" r:id="rId1"/>
  <headerFooter alignWithMargins="0"/>
  <rowBreaks count="2" manualBreakCount="2">
    <brk id="53" max="16383" man="1"/>
    <brk id="59" max="16383" man="1"/>
  </rowBreaks>
  <colBreaks count="1" manualBreakCount="1">
    <brk id="16" max="1048575" man="1"/>
  </colBreaks>
</worksheet>
</file>

<file path=xl/worksheets/sheet51.xml><?xml version="1.0" encoding="utf-8"?>
<worksheet xmlns="http://schemas.openxmlformats.org/spreadsheetml/2006/main" xmlns:r="http://schemas.openxmlformats.org/officeDocument/2006/relationships">
  <dimension ref="A1:EH89"/>
  <sheetViews>
    <sheetView view="pageBreakPreview" zoomScaleSheetLayoutView="100" workbookViewId="0">
      <selection activeCell="E9" sqref="E9"/>
    </sheetView>
  </sheetViews>
  <sheetFormatPr defaultRowHeight="12.75"/>
  <cols>
    <col min="1" max="6" width="9" style="1"/>
    <col min="7" max="7" width="9.875" style="1" customWidth="1"/>
    <col min="8" max="16384" width="9" style="1"/>
  </cols>
  <sheetData>
    <row r="1" spans="1:12" ht="15.75">
      <c r="B1" s="2" t="s">
        <v>95</v>
      </c>
    </row>
    <row r="2" spans="1:12">
      <c r="C2" s="1" t="s">
        <v>460</v>
      </c>
    </row>
    <row r="3" spans="1:12" s="10" customFormat="1" ht="15">
      <c r="A3" s="284"/>
      <c r="B3" s="284" t="s">
        <v>321</v>
      </c>
      <c r="C3" s="284" t="s">
        <v>449</v>
      </c>
      <c r="D3" s="284" t="s">
        <v>450</v>
      </c>
      <c r="E3" s="284" t="s">
        <v>451</v>
      </c>
      <c r="F3" s="284" t="s">
        <v>452</v>
      </c>
      <c r="G3" s="284" t="s">
        <v>453</v>
      </c>
      <c r="H3" s="284" t="s">
        <v>454</v>
      </c>
      <c r="I3" s="284" t="s">
        <v>455</v>
      </c>
      <c r="J3" s="284" t="s">
        <v>456</v>
      </c>
      <c r="K3" s="284" t="s">
        <v>457</v>
      </c>
      <c r="L3" s="284" t="s">
        <v>458</v>
      </c>
    </row>
    <row r="4" spans="1:12" hidden="1">
      <c r="A4" s="1">
        <v>1971</v>
      </c>
      <c r="B4" s="133">
        <v>52.601666666666667</v>
      </c>
      <c r="C4" s="118">
        <f t="shared" ref="C4:L6" si="0">C5/($B5/$B4)</f>
        <v>49.377248236454683</v>
      </c>
      <c r="D4" s="118">
        <f t="shared" si="0"/>
        <v>43.829533232825206</v>
      </c>
      <c r="E4" s="118">
        <f t="shared" si="0"/>
        <v>47.555031808960116</v>
      </c>
      <c r="F4" s="118">
        <f t="shared" si="0"/>
        <v>46.679756993690333</v>
      </c>
      <c r="G4" s="118">
        <f t="shared" si="0"/>
        <v>52.156980065888661</v>
      </c>
      <c r="H4" s="118">
        <f t="shared" si="0"/>
        <v>53.831163437377853</v>
      </c>
      <c r="I4" s="118">
        <f t="shared" si="0"/>
        <v>52.067102853313976</v>
      </c>
      <c r="J4" s="118">
        <f t="shared" si="0"/>
        <v>50.593821486403499</v>
      </c>
      <c r="K4" s="118">
        <f t="shared" si="0"/>
        <v>54.946110819513464</v>
      </c>
      <c r="L4" s="118">
        <f t="shared" si="0"/>
        <v>57.83393027714186</v>
      </c>
    </row>
    <row r="5" spans="1:12" hidden="1">
      <c r="A5" s="1">
        <v>1972</v>
      </c>
      <c r="B5" s="133">
        <v>62.106666666666662</v>
      </c>
      <c r="C5" s="118">
        <f t="shared" si="0"/>
        <v>58.299603253485223</v>
      </c>
      <c r="D5" s="118">
        <f t="shared" si="0"/>
        <v>51.749428927727202</v>
      </c>
      <c r="E5" s="118">
        <f t="shared" si="0"/>
        <v>56.148116514973843</v>
      </c>
      <c r="F5" s="118">
        <f t="shared" si="0"/>
        <v>55.114681556759173</v>
      </c>
      <c r="G5" s="118">
        <f t="shared" si="0"/>
        <v>61.581626221452893</v>
      </c>
      <c r="H5" s="118">
        <f t="shared" si="0"/>
        <v>63.558330671729287</v>
      </c>
      <c r="I5" s="118">
        <f t="shared" si="0"/>
        <v>61.475508403595953</v>
      </c>
      <c r="J5" s="118">
        <f t="shared" si="0"/>
        <v>59.736008487352741</v>
      </c>
      <c r="K5" s="118">
        <f t="shared" si="0"/>
        <v>64.874746477562482</v>
      </c>
      <c r="L5" s="118">
        <f t="shared" si="0"/>
        <v>68.284388259162071</v>
      </c>
    </row>
    <row r="6" spans="1:12" hidden="1">
      <c r="A6" s="1">
        <v>1973</v>
      </c>
      <c r="B6" s="133">
        <v>68.235833333333332</v>
      </c>
      <c r="C6" s="118">
        <f t="shared" si="0"/>
        <v>64.053059430081717</v>
      </c>
      <c r="D6" s="118">
        <f t="shared" si="0"/>
        <v>56.856463193552578</v>
      </c>
      <c r="E6" s="118">
        <f t="shared" si="0"/>
        <v>61.689247324436494</v>
      </c>
      <c r="F6" s="118">
        <f t="shared" si="0"/>
        <v>60.553825004187836</v>
      </c>
      <c r="G6" s="118">
        <f t="shared" si="0"/>
        <v>67.658977832374774</v>
      </c>
      <c r="H6" s="118">
        <f t="shared" si="0"/>
        <v>69.830758780501412</v>
      </c>
      <c r="I6" s="118">
        <f t="shared" si="0"/>
        <v>67.542387486738505</v>
      </c>
      <c r="J6" s="118">
        <f t="shared" si="0"/>
        <v>65.631220252387081</v>
      </c>
      <c r="K6" s="118">
        <f t="shared" si="0"/>
        <v>71.277088689113469</v>
      </c>
      <c r="L6" s="118">
        <f t="shared" si="0"/>
        <v>75.023220317531226</v>
      </c>
    </row>
    <row r="7" spans="1:12" hidden="1">
      <c r="A7" s="1">
        <v>1974</v>
      </c>
      <c r="B7" s="133">
        <v>74.620833333333337</v>
      </c>
      <c r="C7" s="6">
        <v>70.046666666666681</v>
      </c>
      <c r="D7" s="6">
        <v>62.176666666666655</v>
      </c>
      <c r="E7" s="6">
        <v>67.461666666666659</v>
      </c>
      <c r="F7" s="6">
        <v>66.22</v>
      </c>
      <c r="G7" s="6">
        <v>73.989999999999995</v>
      </c>
      <c r="H7" s="6">
        <v>76.364999999999995</v>
      </c>
      <c r="I7" s="6">
        <v>73.862499999999997</v>
      </c>
      <c r="J7" s="6">
        <v>71.772500000000008</v>
      </c>
      <c r="K7" s="6">
        <v>77.946666666666658</v>
      </c>
      <c r="L7" s="6">
        <v>82.043333333333337</v>
      </c>
    </row>
    <row r="8" spans="1:12" hidden="1">
      <c r="A8" s="1">
        <v>1975</v>
      </c>
      <c r="B8" s="133">
        <v>84.922499999999999</v>
      </c>
      <c r="C8" s="6">
        <v>80.832499999999996</v>
      </c>
      <c r="D8" s="6">
        <v>72.116666666666674</v>
      </c>
      <c r="E8" s="6">
        <v>77.279999999999987</v>
      </c>
      <c r="F8" s="6">
        <v>78.073333333333323</v>
      </c>
      <c r="G8" s="6">
        <v>82.976666666666674</v>
      </c>
      <c r="H8" s="6">
        <v>86.492500000000007</v>
      </c>
      <c r="I8" s="6">
        <v>87.407500000000013</v>
      </c>
      <c r="J8" s="6">
        <v>85.958333333333314</v>
      </c>
      <c r="K8" s="6">
        <v>92.257500000000007</v>
      </c>
      <c r="L8" s="6">
        <v>93.060833333333321</v>
      </c>
    </row>
    <row r="9" spans="1:12" hidden="1">
      <c r="A9" s="1">
        <v>1976</v>
      </c>
      <c r="B9" s="133">
        <v>93.161666666666676</v>
      </c>
      <c r="C9" s="6">
        <v>89.91249999999998</v>
      </c>
      <c r="D9" s="6">
        <v>82.052500000000009</v>
      </c>
      <c r="E9" s="6">
        <v>87.351666666666674</v>
      </c>
      <c r="F9" s="6">
        <v>88.005833333333342</v>
      </c>
      <c r="G9" s="6">
        <v>92.59333333333332</v>
      </c>
      <c r="H9" s="6">
        <v>93.717499999999987</v>
      </c>
      <c r="I9" s="6">
        <v>94.118333333333339</v>
      </c>
      <c r="J9" s="6">
        <v>95.058333333333323</v>
      </c>
      <c r="K9" s="6">
        <v>103.24250000000001</v>
      </c>
      <c r="L9" s="6">
        <v>99.113333333333301</v>
      </c>
    </row>
    <row r="10" spans="1:12" hidden="1">
      <c r="A10" s="1">
        <v>1977</v>
      </c>
      <c r="B10" s="133">
        <v>101.36833333333334</v>
      </c>
      <c r="C10" s="6">
        <v>97.227500000000006</v>
      </c>
      <c r="D10" s="6">
        <v>89.712499999999991</v>
      </c>
      <c r="E10" s="6">
        <v>93.375</v>
      </c>
      <c r="F10" s="6">
        <v>97.015000000000001</v>
      </c>
      <c r="G10" s="6">
        <v>100.94999999999999</v>
      </c>
      <c r="H10" s="6">
        <v>101.66416666666667</v>
      </c>
      <c r="I10" s="6">
        <v>104.18166666666667</v>
      </c>
      <c r="J10" s="6">
        <v>105.645</v>
      </c>
      <c r="K10" s="6">
        <v>116.38000000000001</v>
      </c>
      <c r="L10" s="6">
        <v>107.65833333333335</v>
      </c>
    </row>
    <row r="11" spans="1:12" hidden="1">
      <c r="A11" s="1">
        <v>1978</v>
      </c>
      <c r="B11" s="133">
        <v>109.42583333333333</v>
      </c>
      <c r="C11" s="6">
        <v>102.90333333333335</v>
      </c>
      <c r="D11" s="6">
        <v>97.614166666666662</v>
      </c>
      <c r="E11" s="6">
        <v>100.05000000000001</v>
      </c>
      <c r="F11" s="6">
        <v>104.1425</v>
      </c>
      <c r="G11" s="6">
        <v>109.31166666666667</v>
      </c>
      <c r="H11" s="6">
        <v>109.95333333333336</v>
      </c>
      <c r="I11" s="6">
        <v>110.28750000000001</v>
      </c>
      <c r="J11" s="6">
        <v>114.61333333333334</v>
      </c>
      <c r="K11" s="6">
        <v>124.65083333333332</v>
      </c>
      <c r="L11" s="6">
        <v>116.08999999999999</v>
      </c>
    </row>
    <row r="12" spans="1:12" hidden="1">
      <c r="A12" s="1">
        <v>1979</v>
      </c>
      <c r="B12" s="133">
        <v>107.50416666666666</v>
      </c>
      <c r="C12" s="6">
        <v>99.412500000000009</v>
      </c>
      <c r="D12" s="6">
        <v>95.859166666666681</v>
      </c>
      <c r="E12" s="6">
        <v>96.349166666666676</v>
      </c>
      <c r="F12" s="6">
        <v>101.98</v>
      </c>
      <c r="G12" s="6">
        <v>107.44333333333333</v>
      </c>
      <c r="H12" s="6">
        <v>109.49666666666667</v>
      </c>
      <c r="I12" s="6">
        <v>108.24916666666667</v>
      </c>
      <c r="J12" s="6">
        <v>111.76416666666667</v>
      </c>
      <c r="K12" s="6">
        <v>122.30250000000001</v>
      </c>
      <c r="L12" s="6">
        <v>114.13249999999999</v>
      </c>
    </row>
    <row r="13" spans="1:12" hidden="1">
      <c r="A13" s="1">
        <v>1980</v>
      </c>
      <c r="B13" s="133">
        <v>119.90333333333335</v>
      </c>
      <c r="C13" s="6">
        <v>111.99416666666666</v>
      </c>
      <c r="D13" s="6">
        <v>107.03583333333334</v>
      </c>
      <c r="E13" s="6">
        <v>108.85583333333334</v>
      </c>
      <c r="F13" s="6">
        <v>114.66083333333331</v>
      </c>
      <c r="G13" s="6">
        <v>119.20166666666667</v>
      </c>
      <c r="H13" s="6">
        <v>122.07916666666667</v>
      </c>
      <c r="I13" s="6">
        <v>121.41166666666665</v>
      </c>
      <c r="J13" s="6">
        <v>125.045</v>
      </c>
      <c r="K13" s="6">
        <v>135.61416666666668</v>
      </c>
      <c r="L13" s="6">
        <v>127.72166666666665</v>
      </c>
    </row>
    <row r="14" spans="1:12" hidden="1">
      <c r="B14" s="133"/>
      <c r="C14" s="6"/>
      <c r="D14" s="6"/>
      <c r="E14" s="6"/>
      <c r="F14" s="6"/>
      <c r="G14" s="6"/>
      <c r="H14" s="6"/>
      <c r="I14" s="6"/>
      <c r="J14" s="6"/>
      <c r="K14" s="6"/>
      <c r="L14" s="6"/>
    </row>
    <row r="15" spans="1:12" ht="16.5" customHeight="1">
      <c r="A15" s="1">
        <v>1981</v>
      </c>
      <c r="B15" s="133">
        <v>128.90083333333334</v>
      </c>
      <c r="C15" s="133">
        <v>120.87666666666667</v>
      </c>
      <c r="D15" s="133">
        <v>113.61916666666667</v>
      </c>
      <c r="E15" s="133">
        <v>117.68583333333333</v>
      </c>
      <c r="F15" s="133">
        <v>124.31666666666668</v>
      </c>
      <c r="G15" s="133">
        <v>128.16333333333333</v>
      </c>
      <c r="H15" s="133">
        <v>129.26666666666665</v>
      </c>
      <c r="I15" s="133">
        <v>129.36249999999998</v>
      </c>
      <c r="J15" s="133">
        <v>135.67416666666665</v>
      </c>
      <c r="K15" s="133">
        <v>147.66749999999999</v>
      </c>
      <c r="L15" s="133">
        <v>141.89416666666668</v>
      </c>
    </row>
    <row r="16" spans="1:12" ht="16.5" customHeight="1">
      <c r="A16" s="1">
        <v>1982</v>
      </c>
      <c r="B16" s="133">
        <v>143.68499999999997</v>
      </c>
      <c r="C16" s="133">
        <v>133.65916666666666</v>
      </c>
      <c r="D16" s="133">
        <v>125.9575</v>
      </c>
      <c r="E16" s="133">
        <v>129.52083333333331</v>
      </c>
      <c r="F16" s="133">
        <v>135.91249999999999</v>
      </c>
      <c r="G16" s="133">
        <v>140.47666666666666</v>
      </c>
      <c r="H16" s="133">
        <v>144.03416666666666</v>
      </c>
      <c r="I16" s="133">
        <v>142.95916666666665</v>
      </c>
      <c r="J16" s="133">
        <v>150.81333333333336</v>
      </c>
      <c r="K16" s="133">
        <v>162.80666666666667</v>
      </c>
      <c r="L16" s="133">
        <v>155.92416666666668</v>
      </c>
    </row>
    <row r="17" spans="1:12" ht="16.5" customHeight="1">
      <c r="A17" s="1">
        <v>1983</v>
      </c>
      <c r="B17" s="133">
        <v>153.84916666666666</v>
      </c>
      <c r="C17" s="133">
        <v>143.08750000000001</v>
      </c>
      <c r="D17" s="133">
        <v>135.5275</v>
      </c>
      <c r="E17" s="133">
        <v>138.78416666666666</v>
      </c>
      <c r="F17" s="133">
        <v>147.79416666666665</v>
      </c>
      <c r="G17" s="133">
        <v>149.92583333333332</v>
      </c>
      <c r="H17" s="133">
        <v>153.87583333333333</v>
      </c>
      <c r="I17" s="133">
        <v>149.88000000000002</v>
      </c>
      <c r="J17" s="133">
        <v>159.76666666666668</v>
      </c>
      <c r="K17" s="133">
        <v>172.76249999999996</v>
      </c>
      <c r="L17" s="133">
        <v>162.6225</v>
      </c>
    </row>
    <row r="18" spans="1:12" ht="16.5" customHeight="1">
      <c r="A18" s="1">
        <v>1984</v>
      </c>
      <c r="B18" s="133">
        <v>160.035</v>
      </c>
      <c r="C18" s="133">
        <v>148.25416666666666</v>
      </c>
      <c r="D18" s="133">
        <v>143.92416666666668</v>
      </c>
      <c r="E18" s="133">
        <v>145.65249999999997</v>
      </c>
      <c r="F18" s="133">
        <v>156.08166666666668</v>
      </c>
      <c r="G18" s="133">
        <v>156.08666666666667</v>
      </c>
      <c r="H18" s="133">
        <v>159.04666666666665</v>
      </c>
      <c r="I18" s="133">
        <v>155.76666666666671</v>
      </c>
      <c r="J18" s="133">
        <v>165.73833333333334</v>
      </c>
      <c r="K18" s="133">
        <v>179.43749999999997</v>
      </c>
      <c r="L18" s="133">
        <v>169.7475</v>
      </c>
    </row>
    <row r="19" spans="1:12" ht="16.5" customHeight="1">
      <c r="A19" s="1">
        <v>1985</v>
      </c>
      <c r="B19" s="133">
        <v>169.07</v>
      </c>
      <c r="C19" s="133">
        <v>155.69750000000002</v>
      </c>
      <c r="D19" s="133">
        <v>150.84000000000003</v>
      </c>
      <c r="E19" s="133">
        <v>155.47416666666666</v>
      </c>
      <c r="F19" s="133">
        <v>164.45333333333332</v>
      </c>
      <c r="G19" s="133">
        <v>167.87833333333333</v>
      </c>
      <c r="H19" s="133">
        <v>168.92916666666667</v>
      </c>
      <c r="I19" s="133">
        <v>167.29249999999999</v>
      </c>
      <c r="J19" s="133">
        <v>171.995</v>
      </c>
      <c r="K19" s="133">
        <v>183.04999999999998</v>
      </c>
      <c r="L19" s="133">
        <v>176.78916666666669</v>
      </c>
    </row>
    <row r="20" spans="1:12" ht="16.5" customHeight="1">
      <c r="A20" s="1">
        <v>1986</v>
      </c>
      <c r="B20" s="133">
        <v>178.74333333333334</v>
      </c>
      <c r="C20" s="133">
        <v>164.26</v>
      </c>
      <c r="D20" s="133">
        <v>163.14583333333334</v>
      </c>
      <c r="E20" s="133">
        <v>164.78833333333333</v>
      </c>
      <c r="F20" s="133">
        <v>172.32249999999999</v>
      </c>
      <c r="G20" s="133">
        <v>176.39666666666665</v>
      </c>
      <c r="H20" s="133">
        <v>177.875</v>
      </c>
      <c r="I20" s="133">
        <v>176.96249999999998</v>
      </c>
      <c r="J20" s="133">
        <v>181.92666666666665</v>
      </c>
      <c r="K20" s="133">
        <v>197.72166666666666</v>
      </c>
      <c r="L20" s="133">
        <v>187.16500000000005</v>
      </c>
    </row>
    <row r="21" spans="1:12" ht="16.5" customHeight="1">
      <c r="A21" s="1">
        <v>1987</v>
      </c>
      <c r="B21" s="133">
        <v>187.17416666666668</v>
      </c>
      <c r="C21" s="133">
        <v>172.90583333333336</v>
      </c>
      <c r="D21" s="133">
        <v>175.33</v>
      </c>
      <c r="E21" s="133">
        <v>174.47</v>
      </c>
      <c r="F21" s="133">
        <v>184.12916666666669</v>
      </c>
      <c r="G21" s="133">
        <v>184.19000000000003</v>
      </c>
      <c r="H21" s="133">
        <v>191.77833333333331</v>
      </c>
      <c r="I21" s="133">
        <v>186.60166666666669</v>
      </c>
      <c r="J21" s="133">
        <v>187.43916666666667</v>
      </c>
      <c r="K21" s="133">
        <v>199.28833333333333</v>
      </c>
      <c r="L21" s="133">
        <v>191.76750000000001</v>
      </c>
    </row>
    <row r="22" spans="1:12" ht="16.5" customHeight="1">
      <c r="A22" s="1">
        <v>1988</v>
      </c>
      <c r="B22" s="133">
        <v>199.01916666666668</v>
      </c>
      <c r="C22" s="133">
        <v>185.16333333333333</v>
      </c>
      <c r="D22" s="133">
        <v>187.30333333333337</v>
      </c>
      <c r="E22" s="133">
        <v>184.08416666666668</v>
      </c>
      <c r="F22" s="133">
        <v>193.6525</v>
      </c>
      <c r="G22" s="133">
        <v>197.20500000000001</v>
      </c>
      <c r="H22" s="133">
        <v>207.63916666666668</v>
      </c>
      <c r="I22" s="133">
        <v>194.23083333333332</v>
      </c>
      <c r="J22" s="133">
        <v>195.07333333333335</v>
      </c>
      <c r="K22" s="133">
        <v>207.4341666666667</v>
      </c>
      <c r="L22" s="133">
        <v>203.1141666666667</v>
      </c>
    </row>
    <row r="23" spans="1:12" ht="16.5" customHeight="1">
      <c r="A23" s="1">
        <v>1989</v>
      </c>
      <c r="B23" s="133">
        <v>212.47166666666669</v>
      </c>
      <c r="C23" s="133">
        <v>200.02833333333339</v>
      </c>
      <c r="D23" s="133">
        <v>204.155</v>
      </c>
      <c r="E23" s="133">
        <v>198.37749999999997</v>
      </c>
      <c r="F23" s="133">
        <v>206.2508333333333</v>
      </c>
      <c r="G23" s="133">
        <v>210.0866666666667</v>
      </c>
      <c r="H23" s="133">
        <v>223.90583333333333</v>
      </c>
      <c r="I23" s="133">
        <v>204.72416666666666</v>
      </c>
      <c r="J23" s="133">
        <v>207.21166666666667</v>
      </c>
      <c r="K23" s="133">
        <v>220.05583333333334</v>
      </c>
      <c r="L23" s="133">
        <v>215.83666666666667</v>
      </c>
    </row>
    <row r="24" spans="1:12" ht="16.5" customHeight="1">
      <c r="A24" s="1">
        <v>1990</v>
      </c>
      <c r="B24" s="133">
        <v>229.9991666666667</v>
      </c>
      <c r="C24" s="133">
        <v>213.95333333333329</v>
      </c>
      <c r="D24" s="133">
        <v>214.99416666666664</v>
      </c>
      <c r="E24" s="133">
        <v>212.32416666666666</v>
      </c>
      <c r="F24" s="133">
        <v>219.7508333333333</v>
      </c>
      <c r="G24" s="133">
        <v>225.6358333333333</v>
      </c>
      <c r="H24" s="133">
        <v>246.16749999999999</v>
      </c>
      <c r="I24" s="133">
        <v>218.27083333333329</v>
      </c>
      <c r="J24" s="133">
        <v>216.09749999999997</v>
      </c>
      <c r="K24" s="133">
        <v>234.36083333333332</v>
      </c>
      <c r="L24" s="133">
        <v>235.42250000000001</v>
      </c>
    </row>
    <row r="25" spans="1:12" ht="16.5" customHeight="1">
      <c r="A25" s="1">
        <v>1991</v>
      </c>
      <c r="B25" s="133">
        <v>244.48249999999999</v>
      </c>
      <c r="C25" s="133">
        <v>224.88666666666668</v>
      </c>
      <c r="D25" s="133">
        <v>227.68416666666664</v>
      </c>
      <c r="E25" s="133">
        <v>221.51833333333335</v>
      </c>
      <c r="F25" s="133">
        <v>230.30083333333332</v>
      </c>
      <c r="G25" s="133">
        <v>239.6983333333333</v>
      </c>
      <c r="H25" s="133">
        <v>259.85833333333335</v>
      </c>
      <c r="I25" s="133">
        <v>231.16666666666666</v>
      </c>
      <c r="J25" s="133">
        <v>226.52000000000007</v>
      </c>
      <c r="K25" s="133">
        <v>250.00833333333333</v>
      </c>
      <c r="L25" s="133">
        <v>250.76666666666665</v>
      </c>
    </row>
    <row r="26" spans="1:12" ht="16.5" customHeight="1">
      <c r="A26" s="1">
        <v>1992</v>
      </c>
      <c r="B26" s="133">
        <v>252.81416666666667</v>
      </c>
      <c r="C26" s="133">
        <v>236.24750000000003</v>
      </c>
      <c r="D26" s="133">
        <v>236.26583333333335</v>
      </c>
      <c r="E26" s="133">
        <v>230.00500000000002</v>
      </c>
      <c r="F26" s="133">
        <v>238.99083333333331</v>
      </c>
      <c r="G26" s="133">
        <v>248.68249999999998</v>
      </c>
      <c r="H26" s="133">
        <v>267.57</v>
      </c>
      <c r="I26" s="133">
        <v>234.29499999999999</v>
      </c>
      <c r="J26" s="133">
        <v>237.69000000000003</v>
      </c>
      <c r="K26" s="133">
        <v>258.12416666666667</v>
      </c>
      <c r="L26" s="133">
        <v>256.85083333333336</v>
      </c>
    </row>
    <row r="27" spans="1:12" ht="16.5" customHeight="1">
      <c r="A27" s="1">
        <v>1993</v>
      </c>
      <c r="B27" s="133">
        <v>256.01916666666665</v>
      </c>
      <c r="C27" s="133">
        <v>236.69583333333333</v>
      </c>
      <c r="D27" s="133">
        <v>241.14916666666667</v>
      </c>
      <c r="E27" s="133">
        <v>236.50333333333333</v>
      </c>
      <c r="F27" s="133">
        <v>248.38416666666672</v>
      </c>
      <c r="G27" s="133">
        <v>252.55166666666665</v>
      </c>
      <c r="H27" s="133">
        <v>268.60500000000002</v>
      </c>
      <c r="I27" s="133">
        <v>238.0325</v>
      </c>
      <c r="J27" s="133">
        <v>239.13250000000002</v>
      </c>
      <c r="K27" s="133">
        <v>259.97999999999996</v>
      </c>
      <c r="L27" s="133">
        <v>261.78916666666663</v>
      </c>
    </row>
    <row r="28" spans="1:12" ht="16.5" customHeight="1">
      <c r="A28" s="1">
        <v>1994</v>
      </c>
      <c r="B28" s="133">
        <v>251.79999999999995</v>
      </c>
      <c r="C28" s="133">
        <v>232.61166666666665</v>
      </c>
      <c r="D28" s="133">
        <v>234.63833333333332</v>
      </c>
      <c r="E28" s="133">
        <v>232.36749999999998</v>
      </c>
      <c r="F28" s="133">
        <v>245.40833333333333</v>
      </c>
      <c r="G28" s="133">
        <v>247.31750000000002</v>
      </c>
      <c r="H28" s="133">
        <v>263.53833333333336</v>
      </c>
      <c r="I28" s="133">
        <v>235.86083333333329</v>
      </c>
      <c r="J28" s="133">
        <v>233.64833333333331</v>
      </c>
      <c r="K28" s="133">
        <v>260.81</v>
      </c>
      <c r="L28" s="133">
        <v>262.35833333333335</v>
      </c>
    </row>
    <row r="29" spans="1:12" ht="16.5" customHeight="1">
      <c r="A29" s="1">
        <v>1995</v>
      </c>
      <c r="B29" s="133">
        <v>252.96</v>
      </c>
      <c r="C29" s="133">
        <v>241.14333333333335</v>
      </c>
      <c r="D29" s="133">
        <v>232.15666666666667</v>
      </c>
      <c r="E29" s="133">
        <v>231.18083333333334</v>
      </c>
      <c r="F29" s="133">
        <v>245.03583333333333</v>
      </c>
      <c r="G29" s="133">
        <v>247.45249999999996</v>
      </c>
      <c r="H29" s="133">
        <v>264.05416666666667</v>
      </c>
      <c r="I29" s="133">
        <v>237.33916666666667</v>
      </c>
      <c r="J29" s="133">
        <v>242.14666666666668</v>
      </c>
      <c r="K29" s="133">
        <v>263.4933333333334</v>
      </c>
      <c r="L29" s="133">
        <v>265.02</v>
      </c>
    </row>
    <row r="30" spans="1:12" ht="16.5" customHeight="1">
      <c r="A30" s="1">
        <v>1996</v>
      </c>
      <c r="B30" s="133">
        <v>255.32416666666663</v>
      </c>
      <c r="C30" s="133">
        <v>248.13</v>
      </c>
      <c r="D30" s="133">
        <v>233.99500000000003</v>
      </c>
      <c r="E30" s="133">
        <v>234.05833333333337</v>
      </c>
      <c r="F30" s="133">
        <v>249.08333333333334</v>
      </c>
      <c r="G30" s="133">
        <v>248.97500000000002</v>
      </c>
      <c r="H30" s="133">
        <v>265.39166666666671</v>
      </c>
      <c r="I30" s="133">
        <v>240.51583333333335</v>
      </c>
      <c r="J30" s="133">
        <v>246.11833333333334</v>
      </c>
      <c r="K30" s="133">
        <v>262.5891666666667</v>
      </c>
      <c r="L30" s="133">
        <v>269.39833333333337</v>
      </c>
    </row>
    <row r="31" spans="1:12" ht="16.5" customHeight="1">
      <c r="A31" s="1">
        <v>1997</v>
      </c>
      <c r="B31" s="133">
        <v>249.71833333333333</v>
      </c>
      <c r="C31" s="133">
        <v>247.11416666666662</v>
      </c>
      <c r="D31" s="133">
        <v>239.17083333333332</v>
      </c>
      <c r="E31" s="133">
        <v>226.29916666666665</v>
      </c>
      <c r="F31" s="133">
        <v>239.00666666666666</v>
      </c>
      <c r="G31" s="133">
        <v>240.52416666666667</v>
      </c>
      <c r="H31" s="133">
        <v>263.03250000000003</v>
      </c>
      <c r="I31" s="133">
        <v>237.83916666666667</v>
      </c>
      <c r="J31" s="133">
        <v>242.25166666666667</v>
      </c>
      <c r="K31" s="133">
        <v>256.32833333333332</v>
      </c>
      <c r="L31" s="133">
        <v>265.85249999999991</v>
      </c>
    </row>
    <row r="32" spans="1:12" ht="16.5" customHeight="1">
      <c r="A32" s="1">
        <v>1998</v>
      </c>
      <c r="B32" s="133">
        <v>255.30416666666665</v>
      </c>
      <c r="C32" s="133">
        <v>242.3125</v>
      </c>
      <c r="D32" s="133">
        <v>230.92666666666662</v>
      </c>
      <c r="E32" s="133">
        <v>237.59583333333333</v>
      </c>
      <c r="F32" s="133">
        <v>237.84083333333334</v>
      </c>
      <c r="G32" s="133">
        <v>241.62833333333333</v>
      </c>
      <c r="H32" s="133">
        <v>270.05666666666667</v>
      </c>
      <c r="I32" s="133">
        <v>252.82833333333335</v>
      </c>
      <c r="J32" s="133">
        <v>267.69666666666666</v>
      </c>
      <c r="K32" s="133">
        <v>284.50583333333333</v>
      </c>
      <c r="L32" s="133">
        <v>274.91666666666669</v>
      </c>
    </row>
    <row r="33" spans="1:138" ht="16.5" customHeight="1">
      <c r="A33" s="1">
        <v>1999</v>
      </c>
      <c r="B33" s="133">
        <v>261.08166666666665</v>
      </c>
      <c r="C33" s="133">
        <v>239.91083333333336</v>
      </c>
      <c r="D33" s="133">
        <v>230.27833333333339</v>
      </c>
      <c r="E33" s="133">
        <v>242.46499999999995</v>
      </c>
      <c r="F33" s="133">
        <v>240.00333333333333</v>
      </c>
      <c r="G33" s="133">
        <v>251.05416666666667</v>
      </c>
      <c r="H33" s="133">
        <v>276.73333333333335</v>
      </c>
      <c r="I33" s="133">
        <v>262.69833333333327</v>
      </c>
      <c r="J33" s="133">
        <v>271.97250000000003</v>
      </c>
      <c r="K33" s="133">
        <v>290.54416666666663</v>
      </c>
      <c r="L33" s="133">
        <v>276.08249999999998</v>
      </c>
    </row>
    <row r="34" spans="1:138" ht="16.5" customHeight="1">
      <c r="A34" s="1">
        <v>2000</v>
      </c>
      <c r="B34" s="6">
        <v>265.14666666666665</v>
      </c>
      <c r="C34" s="6">
        <v>245.13416666666663</v>
      </c>
      <c r="D34" s="317">
        <v>236.28583333333336</v>
      </c>
      <c r="E34" s="317">
        <v>253.49166666666667</v>
      </c>
      <c r="F34" s="317">
        <v>248.54916666666668</v>
      </c>
      <c r="G34" s="317">
        <v>255.93166666666673</v>
      </c>
      <c r="H34" s="317">
        <v>284.7766666666667</v>
      </c>
      <c r="I34" s="317">
        <v>266.98666666666662</v>
      </c>
      <c r="J34" s="317">
        <v>272.20333333333332</v>
      </c>
      <c r="K34" s="317">
        <v>286.58749999999998</v>
      </c>
      <c r="L34" s="317">
        <v>274.61583333333334</v>
      </c>
    </row>
    <row r="35" spans="1:138" ht="16.5" customHeight="1">
      <c r="A35" s="1">
        <v>2001</v>
      </c>
      <c r="B35" s="6">
        <v>279.35833333333341</v>
      </c>
      <c r="C35" s="6">
        <v>262.03166666666669</v>
      </c>
      <c r="D35" s="317">
        <v>248.84833333333336</v>
      </c>
      <c r="E35" s="317">
        <v>261.99416666666667</v>
      </c>
      <c r="F35" s="317">
        <v>263.04249999999996</v>
      </c>
      <c r="G35" s="317">
        <v>269.28499999999991</v>
      </c>
      <c r="H35" s="317">
        <v>298.33</v>
      </c>
      <c r="I35" s="317">
        <v>272.71750000000003</v>
      </c>
      <c r="J35" s="317">
        <v>279.97000000000003</v>
      </c>
      <c r="K35" s="317">
        <v>302.29666666666668</v>
      </c>
      <c r="L35" s="317">
        <v>293.05749999999995</v>
      </c>
    </row>
    <row r="36" spans="1:138" ht="16.5" customHeight="1">
      <c r="A36" s="1">
        <v>2002</v>
      </c>
      <c r="B36" s="6">
        <v>288.01499999999999</v>
      </c>
      <c r="C36" s="6">
        <v>271.07666666666665</v>
      </c>
      <c r="D36" s="317">
        <v>260.52166666666665</v>
      </c>
      <c r="E36" s="317">
        <v>269.42333333333335</v>
      </c>
      <c r="F36" s="317">
        <v>271.01833333333337</v>
      </c>
      <c r="G36" s="317">
        <v>276.69083333333333</v>
      </c>
      <c r="H36" s="317">
        <v>304.77416666666664</v>
      </c>
      <c r="I36" s="317">
        <v>283.89249999999998</v>
      </c>
      <c r="J36" s="317">
        <v>289.55416666666667</v>
      </c>
      <c r="K36" s="317">
        <v>318.40666666666664</v>
      </c>
      <c r="L36" s="317">
        <v>297.76749999999998</v>
      </c>
    </row>
    <row r="37" spans="1:138" ht="16.5" customHeight="1">
      <c r="A37" s="1">
        <v>2003</v>
      </c>
      <c r="B37" s="6">
        <v>291.00333333333327</v>
      </c>
      <c r="C37" s="6">
        <v>271.59666666666669</v>
      </c>
      <c r="D37" s="317">
        <v>268.38416666666672</v>
      </c>
      <c r="E37" s="317">
        <v>273.14333333333332</v>
      </c>
      <c r="F37" s="317">
        <v>274.24749999999995</v>
      </c>
      <c r="G37" s="317">
        <v>281.35166666666663</v>
      </c>
      <c r="H37" s="317">
        <v>308.08666666666664</v>
      </c>
      <c r="I37" s="317">
        <v>280.28083333333331</v>
      </c>
      <c r="J37" s="317">
        <v>291.13666666666666</v>
      </c>
      <c r="K37" s="317">
        <v>317.35083333333336</v>
      </c>
      <c r="L37" s="317">
        <v>297.64333333333332</v>
      </c>
    </row>
    <row r="38" spans="1:138" ht="16.5" customHeight="1">
      <c r="A38" s="1">
        <v>2004</v>
      </c>
      <c r="B38" s="6">
        <v>293.23666666666662</v>
      </c>
      <c r="C38" s="6">
        <v>275.88750000000005</v>
      </c>
      <c r="D38" s="317">
        <v>271.82749999999999</v>
      </c>
      <c r="E38" s="317">
        <v>275.75083333333333</v>
      </c>
      <c r="F38" s="317">
        <v>280.18083333333334</v>
      </c>
      <c r="G38" s="317">
        <v>285.3366666666667</v>
      </c>
      <c r="H38" s="317">
        <v>309.64416666666665</v>
      </c>
      <c r="I38" s="317">
        <v>282.36</v>
      </c>
      <c r="J38" s="317">
        <v>291.5216666666667</v>
      </c>
      <c r="K38" s="317">
        <v>319.37</v>
      </c>
      <c r="L38" s="317">
        <v>296.19666666666666</v>
      </c>
    </row>
    <row r="39" spans="1:138" ht="16.5" customHeight="1">
      <c r="A39" s="1">
        <v>2005</v>
      </c>
      <c r="B39" s="6">
        <v>295.57583333333338</v>
      </c>
      <c r="C39" s="6">
        <v>281.45999999999998</v>
      </c>
      <c r="D39" s="317">
        <v>274.72916666666669</v>
      </c>
      <c r="E39" s="317">
        <v>278.18666666666667</v>
      </c>
      <c r="F39" s="317">
        <v>285.87916666666666</v>
      </c>
      <c r="G39" s="317">
        <v>290.24083333333328</v>
      </c>
      <c r="H39" s="317">
        <v>309.95083333333326</v>
      </c>
      <c r="I39" s="317">
        <v>286.52249999999998</v>
      </c>
      <c r="J39" s="317">
        <v>290.69666666666666</v>
      </c>
      <c r="K39" s="317">
        <v>318.19</v>
      </c>
      <c r="L39" s="317">
        <v>296.93333333333334</v>
      </c>
    </row>
    <row r="40" spans="1:138" ht="16.5" customHeight="1">
      <c r="A40" s="1">
        <v>2006</v>
      </c>
      <c r="B40" s="6">
        <v>305.77583333333331</v>
      </c>
      <c r="C40" s="6">
        <v>295.35416666666669</v>
      </c>
      <c r="D40" s="317">
        <v>300.2233333333333</v>
      </c>
      <c r="E40" s="317">
        <v>295.26333333333332</v>
      </c>
      <c r="F40" s="317">
        <v>296.72666666666674</v>
      </c>
      <c r="G40" s="317">
        <v>300.88666666666671</v>
      </c>
      <c r="H40" s="317">
        <v>315.40083333333331</v>
      </c>
      <c r="I40" s="317">
        <v>294.77833333333336</v>
      </c>
      <c r="J40" s="317">
        <v>307.53000000000003</v>
      </c>
      <c r="K40" s="317">
        <v>333.78083333333331</v>
      </c>
      <c r="L40" s="317">
        <v>306.89500000000004</v>
      </c>
    </row>
    <row r="41" spans="1:138" ht="16.5" customHeight="1">
      <c r="A41" s="1">
        <v>2007</v>
      </c>
      <c r="B41" s="6">
        <v>315.92916666666667</v>
      </c>
      <c r="C41" s="6">
        <v>305.07249999999993</v>
      </c>
      <c r="D41" s="317">
        <v>315.29000000000002</v>
      </c>
      <c r="E41" s="317">
        <v>306.45749999999992</v>
      </c>
      <c r="F41" s="317">
        <v>308.81333333333333</v>
      </c>
      <c r="G41" s="317">
        <v>310.30249999999995</v>
      </c>
      <c r="H41" s="317">
        <v>322.70499999999998</v>
      </c>
      <c r="I41" s="317">
        <v>305.59000000000003</v>
      </c>
      <c r="J41" s="317">
        <v>324.69</v>
      </c>
      <c r="K41" s="317">
        <v>349.49833333333339</v>
      </c>
      <c r="L41" s="317">
        <v>320.18416666666667</v>
      </c>
    </row>
    <row r="42" spans="1:138" ht="16.5" customHeight="1">
      <c r="A42" s="1">
        <v>2008</v>
      </c>
      <c r="B42" s="6">
        <v>329.46333333333337</v>
      </c>
      <c r="C42" s="6">
        <v>321.68166666666662</v>
      </c>
      <c r="D42" s="17">
        <v>325.8341666666667</v>
      </c>
      <c r="E42" s="17">
        <v>317.57833333333332</v>
      </c>
      <c r="F42" s="17">
        <v>319.76249999999999</v>
      </c>
      <c r="G42" s="17">
        <v>319.63500000000005</v>
      </c>
      <c r="H42" s="17">
        <v>337.20749999999998</v>
      </c>
      <c r="I42" s="17">
        <v>321.07916666666665</v>
      </c>
      <c r="J42" s="17">
        <v>339.67333333333335</v>
      </c>
      <c r="K42" s="17">
        <v>366.23749999999995</v>
      </c>
      <c r="L42" s="17">
        <v>341.37833333333333</v>
      </c>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row>
    <row r="43" spans="1:138" ht="16.5" customHeight="1">
      <c r="A43" s="1">
        <v>2009</v>
      </c>
      <c r="B43" s="316">
        <v>348.42</v>
      </c>
      <c r="C43" s="316">
        <v>340.1758333333334</v>
      </c>
      <c r="D43" s="318">
        <v>338.00666666666666</v>
      </c>
      <c r="E43" s="318">
        <v>333.42250000000001</v>
      </c>
      <c r="F43" s="318">
        <v>335.61083333333329</v>
      </c>
      <c r="G43" s="318">
        <v>332.61083333333335</v>
      </c>
      <c r="H43" s="318">
        <v>353.19166666666661</v>
      </c>
      <c r="I43" s="318">
        <v>336.64166666666665</v>
      </c>
      <c r="J43" s="318">
        <v>363.58250000000004</v>
      </c>
      <c r="K43" s="318">
        <v>393.21250000000003</v>
      </c>
      <c r="L43" s="318">
        <v>354.21416666666664</v>
      </c>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row>
    <row r="44" spans="1:138" ht="16.5" customHeight="1">
      <c r="A44" s="1">
        <v>2010</v>
      </c>
      <c r="B44" s="181">
        <v>346.94416666666666</v>
      </c>
      <c r="C44" s="6">
        <v>339.91416666666669</v>
      </c>
      <c r="D44" s="17">
        <v>338.13083333333333</v>
      </c>
      <c r="E44" s="17">
        <v>330.92000000000007</v>
      </c>
      <c r="F44" s="17">
        <v>335.58166666666671</v>
      </c>
      <c r="G44" s="17">
        <v>337.54916666666662</v>
      </c>
      <c r="H44" s="17">
        <v>349.3391666666667</v>
      </c>
      <c r="I44" s="17">
        <v>341.60916666666668</v>
      </c>
      <c r="J44" s="17">
        <v>356.91416666666669</v>
      </c>
      <c r="K44" s="17">
        <v>386.04250000000002</v>
      </c>
      <c r="L44" s="17">
        <v>350.37000000000006</v>
      </c>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row>
    <row r="45" spans="1:138" ht="16.5" customHeight="1">
      <c r="B45" s="172" t="s">
        <v>435</v>
      </c>
      <c r="C45" s="6"/>
      <c r="D45" s="17"/>
      <c r="E45" s="17"/>
      <c r="F45" s="17"/>
      <c r="G45" s="17"/>
      <c r="H45" s="17"/>
      <c r="I45" s="17"/>
      <c r="J45" s="17"/>
      <c r="K45" s="17"/>
      <c r="L45" s="6"/>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row>
    <row r="46" spans="1:138">
      <c r="A46" s="252" t="s">
        <v>988</v>
      </c>
      <c r="B46" s="271">
        <f t="shared" ref="B46:L46" si="1">(POWER(B44/B15, 1/29)-1)*100</f>
        <v>3.4731616986904745</v>
      </c>
      <c r="C46" s="271">
        <f t="shared" si="1"/>
        <v>3.6295667335185078</v>
      </c>
      <c r="D46" s="271">
        <f t="shared" si="1"/>
        <v>3.8322292871531882</v>
      </c>
      <c r="E46" s="271">
        <f t="shared" si="1"/>
        <v>3.6293366656726667</v>
      </c>
      <c r="F46" s="271">
        <f t="shared" si="1"/>
        <v>3.483555142443473</v>
      </c>
      <c r="G46" s="271">
        <f t="shared" si="1"/>
        <v>3.3957114137642241</v>
      </c>
      <c r="H46" s="271">
        <f t="shared" si="1"/>
        <v>3.4875966094737532</v>
      </c>
      <c r="I46" s="271">
        <f t="shared" si="1"/>
        <v>3.4051353586045163</v>
      </c>
      <c r="J46" s="271">
        <f t="shared" si="1"/>
        <v>3.3915523478320608</v>
      </c>
      <c r="K46" s="271">
        <f t="shared" si="1"/>
        <v>3.3692549657343029</v>
      </c>
      <c r="L46" s="271">
        <f t="shared" si="1"/>
        <v>3.1660098094889122</v>
      </c>
    </row>
    <row r="47" spans="1:138">
      <c r="B47" s="1" t="s">
        <v>1005</v>
      </c>
    </row>
    <row r="48" spans="1:138">
      <c r="B48" s="1" t="s">
        <v>766</v>
      </c>
    </row>
    <row r="49" spans="2:2">
      <c r="B49" s="1" t="s">
        <v>954</v>
      </c>
    </row>
    <row r="50" spans="2:2">
      <c r="B50" s="1" t="s">
        <v>1000</v>
      </c>
    </row>
    <row r="52" spans="2:2" hidden="1"/>
    <row r="53" spans="2:2" hidden="1"/>
    <row r="54" spans="2:2" hidden="1"/>
    <row r="55" spans="2:2" hidden="1"/>
    <row r="56" spans="2:2" hidden="1"/>
    <row r="57" spans="2:2" hidden="1"/>
    <row r="58" spans="2:2" hidden="1"/>
    <row r="59" spans="2:2" hidden="1"/>
    <row r="60" spans="2:2" hidden="1"/>
    <row r="61" spans="2:2" hidden="1"/>
    <row r="62" spans="2:2" hidden="1"/>
    <row r="63" spans="2:2" hidden="1"/>
    <row r="64" spans="2: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phoneticPr fontId="0" type="noConversion"/>
  <pageMargins left="0.75" right="0.75" top="1" bottom="1" header="0.5" footer="0.5"/>
  <pageSetup scale="81" orientation="landscape" r:id="rId1"/>
  <headerFooter alignWithMargins="0"/>
  <rowBreaks count="2" manualBreakCount="2">
    <brk id="51" max="16383" man="1"/>
    <brk id="57" max="16383" man="1"/>
  </rowBreaks>
</worksheet>
</file>

<file path=xl/worksheets/sheet52.xml><?xml version="1.0" encoding="utf-8"?>
<worksheet xmlns="http://schemas.openxmlformats.org/spreadsheetml/2006/main" xmlns:r="http://schemas.openxmlformats.org/officeDocument/2006/relationships">
  <dimension ref="A1:EH47"/>
  <sheetViews>
    <sheetView view="pageBreakPreview" zoomScaleSheetLayoutView="100" workbookViewId="0">
      <selection activeCell="E9" sqref="E9"/>
    </sheetView>
  </sheetViews>
  <sheetFormatPr defaultColWidth="8.875" defaultRowHeight="12.75"/>
  <cols>
    <col min="1" max="6" width="8.875" style="1"/>
    <col min="7" max="7" width="9.875" style="1" customWidth="1"/>
    <col min="8" max="16384" width="8.875" style="1"/>
  </cols>
  <sheetData>
    <row r="1" spans="1:12" ht="15.75">
      <c r="B1" s="2" t="s">
        <v>633</v>
      </c>
    </row>
    <row r="3" spans="1:12" s="10" customFormat="1" ht="15">
      <c r="A3" s="284"/>
      <c r="B3" s="284" t="s">
        <v>321</v>
      </c>
      <c r="C3" s="284" t="s">
        <v>449</v>
      </c>
      <c r="D3" s="284" t="s">
        <v>450</v>
      </c>
      <c r="E3" s="284" t="s">
        <v>451</v>
      </c>
      <c r="F3" s="284" t="s">
        <v>452</v>
      </c>
      <c r="G3" s="284" t="s">
        <v>453</v>
      </c>
      <c r="H3" s="284" t="s">
        <v>454</v>
      </c>
      <c r="I3" s="284" t="s">
        <v>455</v>
      </c>
      <c r="J3" s="284" t="s">
        <v>456</v>
      </c>
      <c r="K3" s="284" t="s">
        <v>457</v>
      </c>
      <c r="L3" s="284" t="s">
        <v>458</v>
      </c>
    </row>
    <row r="4" spans="1:12" hidden="1">
      <c r="A4" s="1">
        <v>1971</v>
      </c>
      <c r="B4" s="13">
        <f>'a22'!B4/'a21'!B4*100</f>
        <v>29.912753348559811</v>
      </c>
      <c r="C4" s="13">
        <f>'a22'!C4/'a21'!C4*100</f>
        <v>37.633076683522859</v>
      </c>
      <c r="D4" s="13">
        <f>'a22'!D4/'a21'!D4*100</f>
        <v>45.666931792514596</v>
      </c>
      <c r="E4" s="13">
        <f>'a22'!E4/'a21'!E4*100</f>
        <v>39.418786893043276</v>
      </c>
      <c r="F4" s="13">
        <f>'a22'!F4/'a21'!F4*100</f>
        <v>39.225826012151046</v>
      </c>
      <c r="G4" s="13">
        <f>'a22'!G4/'a21'!G4*100</f>
        <v>37.391330909760015</v>
      </c>
      <c r="H4" s="13">
        <f>'a22'!H4/'a21'!H4*100</f>
        <v>36.201704878836736</v>
      </c>
      <c r="I4" s="13">
        <f>'a22'!I4/'a21'!I4*100</f>
        <v>40.012793950583017</v>
      </c>
      <c r="J4" s="13">
        <f>'a22'!J4/'a21'!J4*100</f>
        <v>38.261113728485867</v>
      </c>
      <c r="K4" s="13">
        <f>'a22'!K4/'a21'!K4*100</f>
        <v>38.449911859494676</v>
      </c>
      <c r="L4" s="13">
        <f>'a22'!L4/'a21'!L4*100</f>
        <v>36.607053553123507</v>
      </c>
    </row>
    <row r="5" spans="1:12" hidden="1">
      <c r="A5" s="1">
        <v>1972</v>
      </c>
      <c r="B5" s="13">
        <f>'a22'!B5/'a21'!B5*100</f>
        <v>43.332815213377508</v>
      </c>
      <c r="C5" s="13">
        <f>'a22'!C5/'a21'!C5*100</f>
        <v>40.864759227010801</v>
      </c>
      <c r="D5" s="13">
        <f>'a22'!D5/'a21'!D5*100</f>
        <v>48.020967536054215</v>
      </c>
      <c r="E5" s="13">
        <f>'a22'!E5/'a21'!E5*100</f>
        <v>42.620384003062902</v>
      </c>
      <c r="F5" s="13">
        <f>'a22'!F5/'a21'!F5*100</f>
        <v>41.974233901255708</v>
      </c>
      <c r="G5" s="13">
        <f>'a22'!G5/'a21'!G5*100</f>
        <v>40.804166363207521</v>
      </c>
      <c r="H5" s="13">
        <f>'a22'!H5/'a21'!H5*100</f>
        <v>39.465513025827882</v>
      </c>
      <c r="I5" s="13">
        <f>'a22'!I5/'a21'!I5*100</f>
        <v>43.149014014942281</v>
      </c>
      <c r="J5" s="13">
        <f>'a22'!J5/'a21'!J5*100</f>
        <v>41.284171681986074</v>
      </c>
      <c r="K5" s="13">
        <f>'a22'!K5/'a21'!K5*100</f>
        <v>42.018780243328926</v>
      </c>
      <c r="L5" s="13">
        <f>'a22'!L5/'a21'!L5*100</f>
        <v>39.928121095973893</v>
      </c>
    </row>
    <row r="6" spans="1:12" hidden="1">
      <c r="A6" s="1">
        <v>1973</v>
      </c>
      <c r="B6" s="13">
        <f>'a22'!B6/'a21'!B6*100</f>
        <v>44.644236217181941</v>
      </c>
      <c r="C6" s="13">
        <f>'a22'!C6/'a21'!C6*100</f>
        <v>40.534028500099751</v>
      </c>
      <c r="D6" s="13">
        <f>'a22'!D6/'a21'!D6*100</f>
        <v>47.942971000397996</v>
      </c>
      <c r="E6" s="13">
        <f>'a22'!E6/'a21'!E6*100</f>
        <v>42.911514372079644</v>
      </c>
      <c r="F6" s="13">
        <f>'a22'!F6/'a21'!F6*100</f>
        <v>43.056366029521058</v>
      </c>
      <c r="G6" s="13">
        <f>'a22'!G6/'a21'!G6*100</f>
        <v>41.50720674654675</v>
      </c>
      <c r="H6" s="13">
        <f>'a22'!H6/'a21'!H6*100</f>
        <v>40.561402457475197</v>
      </c>
      <c r="I6" s="13">
        <f>'a22'!I6/'a21'!I6*100</f>
        <v>44.40421956967915</v>
      </c>
      <c r="J6" s="13">
        <f>'a22'!J6/'a21'!J6*100</f>
        <v>42.457362168921492</v>
      </c>
      <c r="K6" s="13">
        <f>'a22'!K6/'a21'!K6*100</f>
        <v>42.962126886289745</v>
      </c>
      <c r="L6" s="13">
        <f>'a22'!L6/'a21'!L6*100</f>
        <v>40.63414947445272</v>
      </c>
    </row>
    <row r="7" spans="1:12" hidden="1">
      <c r="A7" s="1">
        <v>1974</v>
      </c>
      <c r="B7" s="13">
        <f>'a22'!B7/'a21'!B7*100</f>
        <v>44.012476317821523</v>
      </c>
      <c r="C7" s="13">
        <f>'a22'!C7/'a21'!C7*100</f>
        <v>39.225412953608505</v>
      </c>
      <c r="D7" s="13">
        <f>'a22'!D7/'a21'!D7*100</f>
        <v>45.922981959148458</v>
      </c>
      <c r="E7" s="13">
        <f>'a22'!E7/'a21'!E7*100</f>
        <v>42.064583276579242</v>
      </c>
      <c r="F7" s="13">
        <f>'a22'!F7/'a21'!F7*100</f>
        <v>40.807427887845613</v>
      </c>
      <c r="G7" s="13">
        <f>'a22'!G7/'a21'!G7*100</f>
        <v>40.510458164782641</v>
      </c>
      <c r="H7" s="13">
        <f>'a22'!H7/'a21'!H7*100</f>
        <v>40.489089848770057</v>
      </c>
      <c r="I7" s="13">
        <f>'a22'!I7/'a21'!I7*100</f>
        <v>43.202230114262584</v>
      </c>
      <c r="J7" s="13">
        <f>'a22'!J7/'a21'!J7*100</f>
        <v>41.03416113492348</v>
      </c>
      <c r="K7" s="13">
        <f>'a22'!K7/'a21'!K7*100</f>
        <v>42.355485661316642</v>
      </c>
      <c r="L7" s="13">
        <f>'a22'!L7/'a21'!L7*100</f>
        <v>39.488673194136318</v>
      </c>
    </row>
    <row r="8" spans="1:12" hidden="1">
      <c r="A8" s="1">
        <v>1975</v>
      </c>
      <c r="B8" s="13">
        <f>'a22'!B8/'a21'!B8*100</f>
        <v>43.562568561872915</v>
      </c>
      <c r="C8" s="13">
        <f>'a22'!C8/'a21'!C8*100</f>
        <v>38.822588667553262</v>
      </c>
      <c r="D8" s="13">
        <f>'a22'!D8/'a21'!D8*100</f>
        <v>45.117038963675519</v>
      </c>
      <c r="E8" s="13">
        <f>'a22'!E8/'a21'!E8*100</f>
        <v>41.920140118145142</v>
      </c>
      <c r="F8" s="13">
        <f>'a22'!F8/'a21'!F8*100</f>
        <v>40.773804505647853</v>
      </c>
      <c r="G8" s="13">
        <f>'a22'!G8/'a21'!G8*100</f>
        <v>39.426393361585994</v>
      </c>
      <c r="H8" s="13">
        <f>'a22'!H8/'a21'!H8*100</f>
        <v>40.61582141466026</v>
      </c>
      <c r="I8" s="13">
        <f>'a22'!I8/'a21'!I8*100</f>
        <v>44.69909534737689</v>
      </c>
      <c r="J8" s="13">
        <f>'a22'!J8/'a21'!J8*100</f>
        <v>42.014673102242618</v>
      </c>
      <c r="K8" s="13">
        <f>'a22'!K8/'a21'!K8*100</f>
        <v>43.207781861683621</v>
      </c>
      <c r="L8" s="13">
        <f>'a22'!L8/'a21'!L8*100</f>
        <v>39.061387261927813</v>
      </c>
    </row>
    <row r="9" spans="1:12" hidden="1">
      <c r="A9" s="1">
        <v>1976</v>
      </c>
      <c r="B9" s="13">
        <f>'a22'!B9/'a21'!B9*100</f>
        <v>42.624488771334271</v>
      </c>
      <c r="C9" s="13">
        <f>'a22'!C9/'a21'!C9*100</f>
        <v>38.275417086923639</v>
      </c>
      <c r="D9" s="13">
        <f>'a22'!D9/'a21'!D9*100</f>
        <v>45.012516245711964</v>
      </c>
      <c r="E9" s="13">
        <f>'a22'!E9/'a21'!E9*100</f>
        <v>42.27995037584202</v>
      </c>
      <c r="F9" s="13">
        <f>'a22'!F9/'a21'!F9*100</f>
        <v>41.386730564072067</v>
      </c>
      <c r="G9" s="13">
        <f>'a22'!G9/'a21'!G9*100</f>
        <v>39.408455176670074</v>
      </c>
      <c r="H9" s="13">
        <f>'a22'!H9/'a21'!H9*100</f>
        <v>39.415706137328229</v>
      </c>
      <c r="I9" s="13">
        <f>'a22'!I9/'a21'!I9*100</f>
        <v>42.94973036722903</v>
      </c>
      <c r="J9" s="13">
        <f>'a22'!J9/'a21'!J9*100</f>
        <v>40.719346328589971</v>
      </c>
      <c r="K9" s="13">
        <f>'a22'!K9/'a21'!K9*100</f>
        <v>42.325008932187167</v>
      </c>
      <c r="L9" s="13">
        <f>'a22'!L9/'a21'!L9*100</f>
        <v>36.864908560362871</v>
      </c>
    </row>
    <row r="10" spans="1:12" hidden="1">
      <c r="A10" s="1">
        <v>1977</v>
      </c>
      <c r="B10" s="13">
        <f>'a22'!B10/'a21'!B10*100</f>
        <v>42.289620035172163</v>
      </c>
      <c r="C10" s="13">
        <f>'a22'!C10/'a21'!C10*100</f>
        <v>37.838260472317664</v>
      </c>
      <c r="D10" s="13">
        <f>'a22'!D10/'a21'!D10*100</f>
        <v>44.797315322319889</v>
      </c>
      <c r="E10" s="13">
        <f>'a22'!E10/'a21'!E10*100</f>
        <v>41.172126305471103</v>
      </c>
      <c r="F10" s="13">
        <f>'a22'!F10/'a21'!F10*100</f>
        <v>41.378593512008983</v>
      </c>
      <c r="G10" s="13">
        <f>'a22'!G10/'a21'!G10*100</f>
        <v>39.043399518966048</v>
      </c>
      <c r="H10" s="13">
        <f>'a22'!H10/'a21'!H10*100</f>
        <v>39.20304002730682</v>
      </c>
      <c r="I10" s="13">
        <f>'a22'!I10/'a21'!I10*100</f>
        <v>43.814952614641761</v>
      </c>
      <c r="J10" s="13">
        <f>'a22'!J10/'a21'!J10*100</f>
        <v>41.279439121667075</v>
      </c>
      <c r="K10" s="13">
        <f>'a22'!K10/'a21'!K10*100</f>
        <v>43.144818375813884</v>
      </c>
      <c r="L10" s="13">
        <f>'a22'!L10/'a21'!L10*100</f>
        <v>36.574843123680971</v>
      </c>
    </row>
    <row r="11" spans="1:12" hidden="1">
      <c r="A11" s="1">
        <v>1978</v>
      </c>
      <c r="B11" s="13">
        <f>'a22'!B11/'a21'!B11*100</f>
        <v>43.265767962454156</v>
      </c>
      <c r="C11" s="13">
        <f>'a22'!C11/'a21'!C11*100</f>
        <v>39.090947478702333</v>
      </c>
      <c r="D11" s="13">
        <f>'a22'!D11/'a21'!D11*100</f>
        <v>46.515430423652951</v>
      </c>
      <c r="E11" s="13">
        <f>'a22'!E11/'a21'!E11*100</f>
        <v>41.822034505559898</v>
      </c>
      <c r="F11" s="13">
        <f>'a22'!F11/'a21'!F11*100</f>
        <v>42.411395082518041</v>
      </c>
      <c r="G11" s="13">
        <f>'a22'!G11/'a21'!G11*100</f>
        <v>39.367610888632498</v>
      </c>
      <c r="H11" s="13">
        <f>'a22'!H11/'a21'!H11*100</f>
        <v>40.058200385970352</v>
      </c>
      <c r="I11" s="13">
        <f>'a22'!I11/'a21'!I11*100</f>
        <v>43.786128599240634</v>
      </c>
      <c r="J11" s="13">
        <f>'a22'!J11/'a21'!J11*100</f>
        <v>42.122858410990652</v>
      </c>
      <c r="K11" s="13">
        <f>'a22'!K11/'a21'!K11*100</f>
        <v>43.809484208563724</v>
      </c>
      <c r="L11" s="13">
        <f>'a22'!L11/'a21'!L11*100</f>
        <v>37.196771821890337</v>
      </c>
    </row>
    <row r="12" spans="1:12" hidden="1">
      <c r="A12" s="1">
        <v>1979</v>
      </c>
      <c r="B12" s="13">
        <f>'a22'!B12/'a21'!B12*100</f>
        <v>39.427488044076583</v>
      </c>
      <c r="C12" s="13">
        <f>'a22'!C12/'a21'!C12*100</f>
        <v>34.528338346205679</v>
      </c>
      <c r="D12" s="13">
        <f>'a22'!D12/'a21'!D12*100</f>
        <v>42.837387775038849</v>
      </c>
      <c r="E12" s="13">
        <f>'a22'!E12/'a21'!E12*100</f>
        <v>36.74237609591426</v>
      </c>
      <c r="F12" s="13">
        <f>'a22'!F12/'a21'!F12*100</f>
        <v>37.080895879716749</v>
      </c>
      <c r="G12" s="13">
        <f>'a22'!G12/'a21'!G12*100</f>
        <v>35.789033112642727</v>
      </c>
      <c r="H12" s="13">
        <f>'a22'!H12/'a21'!H12*100</f>
        <v>36.884260089021019</v>
      </c>
      <c r="I12" s="13">
        <f>'a22'!I12/'a21'!I12*100</f>
        <v>39.776009029476675</v>
      </c>
      <c r="J12" s="13">
        <f>'a22'!J12/'a21'!J12*100</f>
        <v>37.300139444621003</v>
      </c>
      <c r="K12" s="13">
        <f>'a22'!K12/'a21'!K12*100</f>
        <v>38.715012977062969</v>
      </c>
      <c r="L12" s="13">
        <f>'a22'!L12/'a21'!L12*100</f>
        <v>33.676549877061788</v>
      </c>
    </row>
    <row r="13" spans="1:12" hidden="1">
      <c r="A13" s="1">
        <v>1980</v>
      </c>
      <c r="B13" s="13">
        <f>'a22'!B13/'a21'!B13*100</f>
        <v>39.867853760193995</v>
      </c>
      <c r="C13" s="13">
        <f>'a22'!C13/'a21'!C13*100</f>
        <v>36.574320457460566</v>
      </c>
      <c r="D13" s="13">
        <f>'a22'!D13/'a21'!D13*100</f>
        <v>43.619172656623093</v>
      </c>
      <c r="E13" s="13">
        <f>'a22'!E13/'a21'!E13*100</f>
        <v>38.277589962672394</v>
      </c>
      <c r="F13" s="13">
        <f>'a22'!F13/'a21'!F13*100</f>
        <v>38.410497887986608</v>
      </c>
      <c r="G13" s="13">
        <f>'a22'!G13/'a21'!G13*100</f>
        <v>35.779949457186355</v>
      </c>
      <c r="H13" s="13">
        <f>'a22'!H13/'a21'!H13*100</f>
        <v>37.705610741642666</v>
      </c>
      <c r="I13" s="13">
        <f>'a22'!I13/'a21'!I13*100</f>
        <v>40.800320984414121</v>
      </c>
      <c r="J13" s="13">
        <f>'a22'!J13/'a21'!J13*100</f>
        <v>37.896022103944958</v>
      </c>
      <c r="K13" s="13">
        <f>'a22'!K13/'a21'!K13*100</f>
        <v>38.517059755871976</v>
      </c>
      <c r="L13" s="13">
        <f>'a22'!L13/'a21'!L13*100</f>
        <v>33.915648504668169</v>
      </c>
    </row>
    <row r="14" spans="1:12" hidden="1">
      <c r="B14" s="13"/>
      <c r="C14" s="13"/>
      <c r="D14" s="13"/>
      <c r="E14" s="13"/>
      <c r="F14" s="13"/>
      <c r="G14" s="13"/>
      <c r="H14" s="13"/>
      <c r="I14" s="13"/>
      <c r="J14" s="13"/>
      <c r="K14" s="13"/>
      <c r="L14" s="13"/>
    </row>
    <row r="15" spans="1:12" ht="16.5" customHeight="1">
      <c r="A15" s="1">
        <v>1981</v>
      </c>
      <c r="B15" s="13">
        <f>'a22'!B15/'a21'!B15*100</f>
        <v>38.422308089725213</v>
      </c>
      <c r="C15" s="13">
        <f>'a22'!C15/'a21'!C15*100</f>
        <v>34.760908941381771</v>
      </c>
      <c r="D15" s="13">
        <f>'a22'!D15/'a21'!D15*100</f>
        <v>42.581261659939315</v>
      </c>
      <c r="E15" s="13">
        <f>'a22'!E15/'a21'!E15*100</f>
        <v>37.137454185035921</v>
      </c>
      <c r="F15" s="13">
        <f>'a22'!F15/'a21'!F15*100</f>
        <v>37.789860397187233</v>
      </c>
      <c r="G15" s="13">
        <f>'a22'!G15/'a21'!G15*100</f>
        <v>34.507697891790521</v>
      </c>
      <c r="H15" s="13">
        <f>'a22'!H15/'a21'!H15*100</f>
        <v>35.740441600834458</v>
      </c>
      <c r="I15" s="13">
        <f>'a22'!I15/'a21'!I15*100</f>
        <v>39.155668633734244</v>
      </c>
      <c r="J15" s="13">
        <f>'a22'!J15/'a21'!J15*100</f>
        <v>37.08199131463973</v>
      </c>
      <c r="K15" s="13">
        <f>'a22'!K15/'a21'!K15*100</f>
        <v>36.733337357911616</v>
      </c>
      <c r="L15" s="13">
        <f>'a22'!L15/'a21'!L15*100</f>
        <v>33.650384659563244</v>
      </c>
    </row>
    <row r="16" spans="1:12" ht="16.5" customHeight="1">
      <c r="A16" s="1">
        <v>1982</v>
      </c>
      <c r="B16" s="13">
        <f>'a22'!B16/'a21'!B16*100</f>
        <v>37.991613847961666</v>
      </c>
      <c r="C16" s="13">
        <f>'a22'!C16/'a21'!C16*100</f>
        <v>34.85255207921751</v>
      </c>
      <c r="D16" s="13">
        <f>'a22'!D16/'a21'!D16*100</f>
        <v>42.392083476073246</v>
      </c>
      <c r="E16" s="13">
        <f>'a22'!E16/'a21'!E16*100</f>
        <v>36.802576941311827</v>
      </c>
      <c r="F16" s="13">
        <f>'a22'!F16/'a21'!F16*100</f>
        <v>37.840677061671734</v>
      </c>
      <c r="G16" s="13">
        <f>'a22'!G16/'a21'!G16*100</f>
        <v>34.439524426935989</v>
      </c>
      <c r="H16" s="13">
        <f>'a22'!H16/'a21'!H16*100</f>
        <v>36.282012554764925</v>
      </c>
      <c r="I16" s="13">
        <f>'a22'!I16/'a21'!I16*100</f>
        <v>39.266094805870701</v>
      </c>
      <c r="J16" s="13">
        <f>'a22'!J16/'a21'!J16*100</f>
        <v>37.135290693001224</v>
      </c>
      <c r="K16" s="13">
        <f>'a22'!K16/'a21'!K16*100</f>
        <v>36.307740034707962</v>
      </c>
      <c r="L16" s="13">
        <f>'a22'!L16/'a21'!L16*100</f>
        <v>33.789820066614787</v>
      </c>
    </row>
    <row r="17" spans="1:12" ht="16.5" customHeight="1">
      <c r="A17" s="1">
        <v>1983</v>
      </c>
      <c r="B17" s="13">
        <f>'a22'!B17/'a21'!B17*100</f>
        <v>38.472690039579412</v>
      </c>
      <c r="C17" s="13">
        <f>'a22'!C17/'a21'!C17*100</f>
        <v>36.773408495730017</v>
      </c>
      <c r="D17" s="13">
        <f>'a22'!D17/'a21'!D17*100</f>
        <v>39.859990709867979</v>
      </c>
      <c r="E17" s="13">
        <f>'a22'!E17/'a21'!E17*100</f>
        <v>38.131292031380859</v>
      </c>
      <c r="F17" s="13">
        <f>'a22'!F17/'a21'!F17*100</f>
        <v>40.152405604813993</v>
      </c>
      <c r="G17" s="13">
        <f>'a22'!G17/'a21'!G17*100</f>
        <v>37.389408404343847</v>
      </c>
      <c r="H17" s="13">
        <f>'a22'!H17/'a21'!H17*100</f>
        <v>39.307684218045168</v>
      </c>
      <c r="I17" s="13">
        <f>'a22'!I17/'a21'!I17*100</f>
        <v>40.145110874258407</v>
      </c>
      <c r="J17" s="13">
        <f>'a22'!J17/'a21'!J17*100</f>
        <v>40.528208055657764</v>
      </c>
      <c r="K17" s="13">
        <f>'a22'!K17/'a21'!K17*100</f>
        <v>40.543690470845931</v>
      </c>
      <c r="L17" s="13">
        <f>'a22'!L17/'a21'!L17*100</f>
        <v>37.509137855982473</v>
      </c>
    </row>
    <row r="18" spans="1:12" ht="16.5" customHeight="1">
      <c r="A18" s="1">
        <v>1984</v>
      </c>
      <c r="B18" s="13">
        <f>'a22'!B18/'a21'!B18*100</f>
        <v>38.425449380889233</v>
      </c>
      <c r="C18" s="13">
        <f>'a22'!C18/'a21'!C18*100</f>
        <v>35.984013379138709</v>
      </c>
      <c r="D18" s="13">
        <f>'a22'!D18/'a21'!D18*100</f>
        <v>40.931049194501256</v>
      </c>
      <c r="E18" s="13">
        <f>'a22'!E18/'a21'!E18*100</f>
        <v>37.711612197370073</v>
      </c>
      <c r="F18" s="13">
        <f>'a22'!F18/'a21'!F18*100</f>
        <v>40.036870117199022</v>
      </c>
      <c r="G18" s="13">
        <f>'a22'!G18/'a21'!G18*100</f>
        <v>37.511625055266641</v>
      </c>
      <c r="H18" s="13">
        <f>'a22'!H18/'a21'!H18*100</f>
        <v>38.662446316004633</v>
      </c>
      <c r="I18" s="13">
        <f>'a22'!I18/'a21'!I18*100</f>
        <v>39.595578643312493</v>
      </c>
      <c r="J18" s="13">
        <f>'a22'!J18/'a21'!J18*100</f>
        <v>40.404978369091893</v>
      </c>
      <c r="K18" s="13">
        <f>'a22'!K18/'a21'!K18*100</f>
        <v>40.924428882753674</v>
      </c>
      <c r="L18" s="13">
        <f>'a22'!L18/'a21'!L18*100</f>
        <v>38.382136286539023</v>
      </c>
    </row>
    <row r="19" spans="1:12" ht="16.5" customHeight="1">
      <c r="A19" s="1">
        <v>1985</v>
      </c>
      <c r="B19" s="13">
        <f>'a22'!B19/'a21'!B19*100</f>
        <v>39.209031430746862</v>
      </c>
      <c r="C19" s="13">
        <f>'a22'!C19/'a21'!C19*100</f>
        <v>37.043506522686783</v>
      </c>
      <c r="D19" s="13">
        <f>'a22'!D19/'a21'!D19*100</f>
        <v>40.999751319817094</v>
      </c>
      <c r="E19" s="13">
        <f>'a22'!E19/'a21'!E19*100</f>
        <v>38.632040841493406</v>
      </c>
      <c r="F19" s="13">
        <f>'a22'!F19/'a21'!F19*100</f>
        <v>40.933249142807412</v>
      </c>
      <c r="G19" s="13">
        <f>'a22'!G19/'a21'!G19*100</f>
        <v>39.253215153688089</v>
      </c>
      <c r="H19" s="13">
        <f>'a22'!H19/'a21'!H19*100</f>
        <v>39.207061820145562</v>
      </c>
      <c r="I19" s="13">
        <f>'a22'!I19/'a21'!I19*100</f>
        <v>41.52173221083828</v>
      </c>
      <c r="J19" s="13">
        <f>'a22'!J19/'a21'!J19*100</f>
        <v>40.896887406186487</v>
      </c>
      <c r="K19" s="13">
        <f>'a22'!K19/'a21'!K19*100</f>
        <v>40.89736618478549</v>
      </c>
      <c r="L19" s="13">
        <f>'a22'!L19/'a21'!L19*100</f>
        <v>38.908889383227532</v>
      </c>
    </row>
    <row r="20" spans="1:12" ht="16.5" customHeight="1">
      <c r="A20" s="1">
        <v>1986</v>
      </c>
      <c r="B20" s="13">
        <f>'a22'!B20/'a21'!B20*100</f>
        <v>40.242420779916635</v>
      </c>
      <c r="C20" s="13">
        <f>'a22'!C20/'a21'!C20*100</f>
        <v>37.984875304204323</v>
      </c>
      <c r="D20" s="13">
        <f>'a22'!D20/'a21'!D20*100</f>
        <v>43.47603167505978</v>
      </c>
      <c r="E20" s="13">
        <f>'a22'!E20/'a21'!E20*100</f>
        <v>39.252655229217403</v>
      </c>
      <c r="F20" s="13">
        <f>'a22'!F20/'a21'!F20*100</f>
        <v>41.205834071136096</v>
      </c>
      <c r="G20" s="13">
        <f>'a22'!G20/'a21'!G20*100</f>
        <v>40.291521687855955</v>
      </c>
      <c r="H20" s="13">
        <f>'a22'!H20/'a21'!H20*100</f>
        <v>39.484702584744596</v>
      </c>
      <c r="I20" s="13">
        <f>'a22'!I20/'a21'!I20*100</f>
        <v>42.330976851227021</v>
      </c>
      <c r="J20" s="13">
        <f>'a22'!J20/'a21'!J20*100</f>
        <v>42.240319163719093</v>
      </c>
      <c r="K20" s="13">
        <f>'a22'!K20/'a21'!K20*100</f>
        <v>43.925730096079207</v>
      </c>
      <c r="L20" s="13">
        <f>'a22'!L20/'a21'!L20*100</f>
        <v>41.020377842883292</v>
      </c>
    </row>
    <row r="21" spans="1:12" ht="16.5" customHeight="1">
      <c r="A21" s="1">
        <v>1987</v>
      </c>
      <c r="B21" s="13">
        <f>'a22'!B21/'a21'!B21*100</f>
        <v>40.605748321412733</v>
      </c>
      <c r="C21" s="13">
        <f>'a22'!C21/'a21'!C21*100</f>
        <v>38.668685364595426</v>
      </c>
      <c r="D21" s="13">
        <f>'a22'!D21/'a21'!D21*100</f>
        <v>44.530406817810395</v>
      </c>
      <c r="E21" s="13">
        <f>'a22'!E21/'a21'!E21*100</f>
        <v>40.430165712579239</v>
      </c>
      <c r="F21" s="13">
        <f>'a22'!F21/'a21'!F21*100</f>
        <v>43.551304725561273</v>
      </c>
      <c r="G21" s="13">
        <f>'a22'!G21/'a21'!G21*100</f>
        <v>40.371697750964962</v>
      </c>
      <c r="H21" s="13">
        <f>'a22'!H21/'a21'!H21*100</f>
        <v>40.652551378362929</v>
      </c>
      <c r="I21" s="13">
        <f>'a22'!I21/'a21'!I21*100</f>
        <v>43.333002044807749</v>
      </c>
      <c r="J21" s="13">
        <f>'a22'!J21/'a21'!J21*100</f>
        <v>42.931093524853431</v>
      </c>
      <c r="K21" s="13">
        <f>'a22'!K21/'a21'!K21*100</f>
        <v>43.782015887377476</v>
      </c>
      <c r="L21" s="13">
        <f>'a22'!L21/'a21'!L21*100</f>
        <v>40.753101370400621</v>
      </c>
    </row>
    <row r="22" spans="1:12" ht="16.5" customHeight="1">
      <c r="A22" s="1">
        <v>1988</v>
      </c>
      <c r="B22" s="13">
        <f>'a22'!B22/'a21'!B22*100</f>
        <v>41.35343750031619</v>
      </c>
      <c r="C22" s="13">
        <f>'a22'!C22/'a21'!C22*100</f>
        <v>39.423233525694933</v>
      </c>
      <c r="D22" s="13">
        <f>'a22'!D22/'a21'!D22*100</f>
        <v>45.437938441730495</v>
      </c>
      <c r="E22" s="13">
        <f>'a22'!E22/'a21'!E22*100</f>
        <v>41.158825792351642</v>
      </c>
      <c r="F22" s="13">
        <f>'a22'!F22/'a21'!F22*100</f>
        <v>44.275705881577771</v>
      </c>
      <c r="G22" s="13">
        <f>'a22'!G22/'a21'!G22*100</f>
        <v>41.261948058139033</v>
      </c>
      <c r="H22" s="13">
        <f>'a22'!H22/'a21'!H22*100</f>
        <v>41.812563514956231</v>
      </c>
      <c r="I22" s="13">
        <f>'a22'!I22/'a21'!I22*100</f>
        <v>43.774818406366293</v>
      </c>
      <c r="J22" s="13">
        <f>'a22'!J22/'a21'!J22*100</f>
        <v>43.796843010700563</v>
      </c>
      <c r="K22" s="13">
        <f>'a22'!K22/'a21'!K22*100</f>
        <v>44.034538847340301</v>
      </c>
      <c r="L22" s="13">
        <f>'a22'!L22/'a21'!L22*100</f>
        <v>42.214583631497774</v>
      </c>
    </row>
    <row r="23" spans="1:12" ht="16.5" customHeight="1">
      <c r="A23" s="1">
        <v>1989</v>
      </c>
      <c r="B23" s="13">
        <f>'a22'!B23/'a21'!B23*100</f>
        <v>42.000646542792794</v>
      </c>
      <c r="C23" s="13">
        <f>'a22'!C23/'a21'!C23*100</f>
        <v>41.036980576924023</v>
      </c>
      <c r="D23" s="13">
        <f>'a22'!D23/'a21'!D23*100</f>
        <v>47.668206710398088</v>
      </c>
      <c r="E23" s="13">
        <f>'a22'!E23/'a21'!E23*100</f>
        <v>43.080526741862023</v>
      </c>
      <c r="F23" s="13">
        <f>'a22'!F23/'a21'!F23*100</f>
        <v>44.886174307579388</v>
      </c>
      <c r="G23" s="13">
        <f>'a22'!G23/'a21'!G23*100</f>
        <v>42.330118079019577</v>
      </c>
      <c r="H23" s="13">
        <f>'a22'!H23/'a21'!H23*100</f>
        <v>42.641473199009184</v>
      </c>
      <c r="I23" s="13">
        <f>'a22'!I23/'a21'!I23*100</f>
        <v>43.73876907067055</v>
      </c>
      <c r="J23" s="13">
        <f>'a22'!J23/'a21'!J23*100</f>
        <v>44.961434992213619</v>
      </c>
      <c r="K23" s="13">
        <f>'a22'!K23/'a21'!K23*100</f>
        <v>44.516666778145463</v>
      </c>
      <c r="L23" s="13">
        <f>'a22'!L23/'a21'!L23*100</f>
        <v>42.095275598620759</v>
      </c>
    </row>
    <row r="24" spans="1:12" ht="16.5" customHeight="1">
      <c r="A24" s="1">
        <v>1990</v>
      </c>
      <c r="B24" s="13">
        <f>'a22'!B24/'a21'!B24*100</f>
        <v>43.488702292208451</v>
      </c>
      <c r="C24" s="13">
        <f>'a22'!C24/'a21'!C24*100</f>
        <v>42.511782195574469</v>
      </c>
      <c r="D24" s="13">
        <f>'a22'!D24/'a21'!D24*100</f>
        <v>48.340001121222436</v>
      </c>
      <c r="E24" s="13">
        <f>'a22'!E24/'a21'!E24*100</f>
        <v>43.728994619507986</v>
      </c>
      <c r="F24" s="13">
        <f>'a22'!F24/'a21'!F24*100</f>
        <v>46.122407682639512</v>
      </c>
      <c r="G24" s="13">
        <f>'a22'!G24/'a21'!G24*100</f>
        <v>43.034726528980379</v>
      </c>
      <c r="H24" s="13">
        <f>'a22'!H24/'a21'!H24*100</f>
        <v>44.949975957432606</v>
      </c>
      <c r="I24" s="13">
        <f>'a22'!I24/'a21'!I24*100</f>
        <v>45.058045377889869</v>
      </c>
      <c r="J24" s="13">
        <f>'a22'!J24/'a21'!J24*100</f>
        <v>44.746038602886145</v>
      </c>
      <c r="K24" s="13">
        <f>'a22'!K24/'a21'!K24*100</f>
        <v>45.251004632791805</v>
      </c>
      <c r="L24" s="13">
        <f>'a22'!L24/'a21'!L24*100</f>
        <v>44.380888195197599</v>
      </c>
    </row>
    <row r="25" spans="1:12" ht="16.5" customHeight="1">
      <c r="A25" s="1">
        <v>1991</v>
      </c>
      <c r="B25" s="13">
        <f>'a22'!B25/'a21'!B25*100</f>
        <v>44.198228328663106</v>
      </c>
      <c r="C25" s="13">
        <f>'a22'!C25/'a21'!C25*100</f>
        <v>42.660039962566714</v>
      </c>
      <c r="D25" s="13">
        <f>'a22'!D25/'a21'!D25*100</f>
        <v>49.718127888779698</v>
      </c>
      <c r="E25" s="13">
        <f>'a22'!E25/'a21'!E25*100</f>
        <v>43.647212589323246</v>
      </c>
      <c r="F25" s="13">
        <f>'a22'!F25/'a21'!F25*100</f>
        <v>45.920568139522516</v>
      </c>
      <c r="G25" s="13">
        <f>'a22'!G25/'a21'!G25*100</f>
        <v>43.945060653283214</v>
      </c>
      <c r="H25" s="13">
        <f>'a22'!H25/'a21'!H25*100</f>
        <v>45.12761289500952</v>
      </c>
      <c r="I25" s="13">
        <f>'a22'!I25/'a21'!I25*100</f>
        <v>46.069326530883387</v>
      </c>
      <c r="J25" s="13">
        <f>'a22'!J25/'a21'!J25*100</f>
        <v>44.953363762651335</v>
      </c>
      <c r="K25" s="13">
        <f>'a22'!K25/'a21'!K25*100</f>
        <v>45.857101805486764</v>
      </c>
      <c r="L25" s="13">
        <f>'a22'!L25/'a21'!L25*100</f>
        <v>45.516974328257071</v>
      </c>
    </row>
    <row r="26" spans="1:12" ht="16.5" customHeight="1">
      <c r="A26" s="1">
        <v>1992</v>
      </c>
      <c r="B26" s="13">
        <f>'a22'!B26/'a21'!B26*100</f>
        <v>44.166622991678459</v>
      </c>
      <c r="C26" s="13">
        <f>'a22'!C26/'a21'!C26*100</f>
        <v>43.52546151295185</v>
      </c>
      <c r="D26" s="13">
        <f>'a22'!D26/'a21'!D26*100</f>
        <v>50.166857765698438</v>
      </c>
      <c r="E26" s="13">
        <f>'a22'!E26/'a21'!E26*100</f>
        <v>43.887383605556408</v>
      </c>
      <c r="F26" s="13">
        <f>'a22'!F26/'a21'!F26*100</f>
        <v>46.746373268133659</v>
      </c>
      <c r="G26" s="13">
        <f>'a22'!G26/'a21'!G26*100</f>
        <v>43.934508771619882</v>
      </c>
      <c r="H26" s="13">
        <f>'a22'!H26/'a21'!H26*100</f>
        <v>44.69929836284664</v>
      </c>
      <c r="I26" s="13">
        <f>'a22'!I26/'a21'!I26*100</f>
        <v>45.704504223318956</v>
      </c>
      <c r="J26" s="13">
        <f>'a22'!J26/'a21'!J26*100</f>
        <v>46.553851577648516</v>
      </c>
      <c r="K26" s="13">
        <f>'a22'!K26/'a21'!K26*100</f>
        <v>45.966372837087825</v>
      </c>
      <c r="L26" s="13">
        <f>'a22'!L26/'a21'!L26*100</f>
        <v>45.213053096046991</v>
      </c>
    </row>
    <row r="27" spans="1:12" ht="16.5" customHeight="1">
      <c r="A27" s="1">
        <v>1993</v>
      </c>
      <c r="B27" s="13">
        <f>'a22'!B27/'a21'!B27*100</f>
        <v>43.923888116847095</v>
      </c>
      <c r="C27" s="13">
        <f>'a22'!C27/'a21'!C27*100</f>
        <v>42.621787253454336</v>
      </c>
      <c r="D27" s="13">
        <f>'a22'!D27/'a21'!D27*100</f>
        <v>50.243596688612946</v>
      </c>
      <c r="E27" s="13">
        <f>'a22'!E27/'a21'!E27*100</f>
        <v>44.662877142623337</v>
      </c>
      <c r="F27" s="13">
        <f>'a22'!F27/'a21'!F27*100</f>
        <v>47.275250602715403</v>
      </c>
      <c r="G27" s="13">
        <f>'a22'!G27/'a21'!G27*100</f>
        <v>44.103813398995278</v>
      </c>
      <c r="H27" s="13">
        <f>'a22'!H27/'a21'!H27*100</f>
        <v>43.882535533409573</v>
      </c>
      <c r="I27" s="13">
        <f>'a22'!I27/'a21'!I27*100</f>
        <v>45.899940222526467</v>
      </c>
      <c r="J27" s="13">
        <f>'a22'!J27/'a21'!J27*100</f>
        <v>46.420875878401993</v>
      </c>
      <c r="K27" s="13">
        <f>'a22'!K27/'a21'!K27*100</f>
        <v>45.55617859395808</v>
      </c>
      <c r="L27" s="13">
        <f>'a22'!L27/'a21'!L27*100</f>
        <v>45.028925430298024</v>
      </c>
    </row>
    <row r="28" spans="1:12" ht="16.5" customHeight="1">
      <c r="A28" s="1">
        <v>1994</v>
      </c>
      <c r="B28" s="13">
        <f>'a22'!B28/'a21'!B28*100</f>
        <v>42.470651733909051</v>
      </c>
      <c r="C28" s="13">
        <f>'a22'!C28/'a21'!C28*100</f>
        <v>41.638175363226829</v>
      </c>
      <c r="D28" s="13">
        <f>'a22'!D28/'a21'!D28*100</f>
        <v>48.190251249400973</v>
      </c>
      <c r="E28" s="13">
        <f>'a22'!E28/'a21'!E28*100</f>
        <v>43.678101503759393</v>
      </c>
      <c r="F28" s="13">
        <f>'a22'!F28/'a21'!F28*100</f>
        <v>46.691971562117487</v>
      </c>
      <c r="G28" s="13">
        <f>'a22'!G28/'a21'!G28*100</f>
        <v>42.977357244639073</v>
      </c>
      <c r="H28" s="13">
        <f>'a22'!H28/'a21'!H28*100</f>
        <v>41.970049263175788</v>
      </c>
      <c r="I28" s="13">
        <f>'a22'!I28/'a21'!I28*100</f>
        <v>44.819160728424379</v>
      </c>
      <c r="J28" s="13">
        <f>'a22'!J28/'a21'!J28*100</f>
        <v>44.0530060208404</v>
      </c>
      <c r="K28" s="13">
        <f>'a22'!K28/'a21'!K28*100</f>
        <v>45.466589962170737</v>
      </c>
      <c r="L28" s="13">
        <f>'a22'!L28/'a21'!L28*100</f>
        <v>43.901262250185461</v>
      </c>
    </row>
    <row r="29" spans="1:12" ht="16.5" customHeight="1">
      <c r="A29" s="1">
        <v>1995</v>
      </c>
      <c r="B29" s="13">
        <f>'a22'!B29/'a21'!B29*100</f>
        <v>42.253662284731156</v>
      </c>
      <c r="C29" s="13">
        <f>'a22'!C29/'a21'!C29*100</f>
        <v>43.327463945187105</v>
      </c>
      <c r="D29" s="13">
        <f>'a22'!D29/'a21'!D29*100</f>
        <v>47.067688481604627</v>
      </c>
      <c r="E29" s="13">
        <f>'a22'!E29/'a21'!E29*100</f>
        <v>43.942374706963186</v>
      </c>
      <c r="F29" s="13">
        <f>'a22'!F29/'a21'!F29*100</f>
        <v>45.847366188925889</v>
      </c>
      <c r="G29" s="13">
        <f>'a22'!G29/'a21'!G29*100</f>
        <v>42.707668145182168</v>
      </c>
      <c r="H29" s="13">
        <f>'a22'!H29/'a21'!H29*100</f>
        <v>41.651550045218414</v>
      </c>
      <c r="I29" s="13">
        <f>'a22'!I29/'a21'!I29*100</f>
        <v>44.737081856794589</v>
      </c>
      <c r="J29" s="13">
        <f>'a22'!J29/'a21'!J29*100</f>
        <v>45.547968825436243</v>
      </c>
      <c r="K29" s="13">
        <f>'a22'!K29/'a21'!K29*100</f>
        <v>46.025840334911244</v>
      </c>
      <c r="L29" s="13">
        <f>'a22'!L29/'a21'!L29*100</f>
        <v>43.059075843244294</v>
      </c>
    </row>
    <row r="30" spans="1:12" ht="16.5" customHeight="1">
      <c r="A30" s="1">
        <v>1996</v>
      </c>
      <c r="B30" s="13">
        <f>'a22'!B30/'a21'!B30*100</f>
        <v>41.787232069306008</v>
      </c>
      <c r="C30" s="13">
        <f>'a22'!C30/'a21'!C30*100</f>
        <v>44.627697841726615</v>
      </c>
      <c r="D30" s="13">
        <f>'a22'!D30/'a21'!D30*100</f>
        <v>45.373368753756957</v>
      </c>
      <c r="E30" s="13">
        <f>'a22'!E30/'a21'!E30*100</f>
        <v>43.9480140698737</v>
      </c>
      <c r="F30" s="13">
        <f>'a22'!F30/'a21'!F30*100</f>
        <v>46.384233395406582</v>
      </c>
      <c r="G30" s="13">
        <f>'a22'!G30/'a21'!G30*100</f>
        <v>42.522031698319445</v>
      </c>
      <c r="H30" s="13">
        <f>'a22'!H30/'a21'!H30*100</f>
        <v>40.873504800041076</v>
      </c>
      <c r="I30" s="13">
        <f>'a22'!I30/'a21'!I30*100</f>
        <v>44.55977347957117</v>
      </c>
      <c r="J30" s="13">
        <f>'a22'!J30/'a21'!J30*100</f>
        <v>45.98022181951788</v>
      </c>
      <c r="K30" s="13">
        <f>'a22'!K30/'a21'!K30*100</f>
        <v>43.998788000647899</v>
      </c>
      <c r="L30" s="13">
        <f>'a22'!L30/'a21'!L30*100</f>
        <v>42.875976148034972</v>
      </c>
    </row>
    <row r="31" spans="1:12" ht="16.5" customHeight="1">
      <c r="A31" s="1">
        <v>1997</v>
      </c>
      <c r="B31" s="13">
        <f>'a22'!B31/'a21'!B31*100</f>
        <v>40.055552882173359</v>
      </c>
      <c r="C31" s="13">
        <f>'a22'!C31/'a21'!C31*100</f>
        <v>44.431408861798843</v>
      </c>
      <c r="D31" s="13">
        <f>'a22'!D31/'a21'!D31*100</f>
        <v>46.721266107974699</v>
      </c>
      <c r="E31" s="13">
        <f>'a22'!E31/'a21'!E31*100</f>
        <v>42.05131778624299</v>
      </c>
      <c r="F31" s="13">
        <f>'a22'!F31/'a21'!F31*100</f>
        <v>43.557920698851241</v>
      </c>
      <c r="G31" s="13">
        <f>'a22'!G31/'a21'!G31*100</f>
        <v>40.472524637242202</v>
      </c>
      <c r="H31" s="13">
        <f>'a22'!H31/'a21'!H31*100</f>
        <v>39.643180105501138</v>
      </c>
      <c r="I31" s="13">
        <f>'a22'!I31/'a21'!I31*100</f>
        <v>43.230908584169455</v>
      </c>
      <c r="J31" s="13">
        <f>'a22'!J31/'a21'!J31*100</f>
        <v>44.20247544323815</v>
      </c>
      <c r="K31" s="13">
        <f>'a22'!K31/'a21'!K31*100</f>
        <v>41.461645881521974</v>
      </c>
      <c r="L31" s="13">
        <f>'a22'!L31/'a21'!L31*100</f>
        <v>41.621395246892305</v>
      </c>
    </row>
    <row r="32" spans="1:12" ht="16.5" customHeight="1">
      <c r="A32" s="1">
        <v>1998</v>
      </c>
      <c r="B32" s="13">
        <f>'a22'!B32/'a21'!B32*100</f>
        <v>40.350260252033543</v>
      </c>
      <c r="C32" s="13">
        <f>'a22'!C32/'a21'!C32*100</f>
        <v>42.802321062672227</v>
      </c>
      <c r="D32" s="13">
        <f>'a22'!D32/'a21'!D32*100</f>
        <v>44.92037555763045</v>
      </c>
      <c r="E32" s="13">
        <f>'a22'!E32/'a21'!E32*100</f>
        <v>43.294490302908827</v>
      </c>
      <c r="F32" s="13">
        <f>'a22'!F32/'a21'!F32*100</f>
        <v>43.052790046581222</v>
      </c>
      <c r="G32" s="13">
        <f>'a22'!G32/'a21'!G32*100</f>
        <v>40.126265561773813</v>
      </c>
      <c r="H32" s="13">
        <f>'a22'!H32/'a21'!H32*100</f>
        <v>40.155930926465629</v>
      </c>
      <c r="I32" s="13">
        <f>'a22'!I32/'a21'!I32*100</f>
        <v>44.777701031353864</v>
      </c>
      <c r="J32" s="13">
        <f>'a22'!J32/'a21'!J32*100</f>
        <v>47.504377247775885</v>
      </c>
      <c r="K32" s="13">
        <f>'a22'!K32/'a21'!K32*100</f>
        <v>44.803362676703252</v>
      </c>
      <c r="L32" s="13">
        <f>'a22'!L32/'a21'!L32*100</f>
        <v>42.75664354515952</v>
      </c>
    </row>
    <row r="33" spans="1:138" ht="16.5" customHeight="1">
      <c r="A33" s="1">
        <v>1999</v>
      </c>
      <c r="B33" s="13">
        <f>'a22'!B33/'a21'!B33*100</f>
        <v>40.764074299602896</v>
      </c>
      <c r="C33" s="13">
        <f>'a22'!C33/'a21'!C33*100</f>
        <v>41.633838909713546</v>
      </c>
      <c r="D33" s="13">
        <f>'a22'!D33/'a21'!D33*100</f>
        <v>44.945512507725851</v>
      </c>
      <c r="E33" s="13">
        <f>'a22'!E33/'a21'!E33*100</f>
        <v>44.189797517724024</v>
      </c>
      <c r="F33" s="13">
        <f>'a22'!F33/'a21'!F33*100</f>
        <v>42.768382724189344</v>
      </c>
      <c r="G33" s="13">
        <f>'a22'!G33/'a21'!G33*100</f>
        <v>41.445862361189064</v>
      </c>
      <c r="H33" s="13">
        <f>'a22'!H33/'a21'!H33*100</f>
        <v>40.482947618908291</v>
      </c>
      <c r="I33" s="13">
        <f>'a22'!I33/'a21'!I33*100</f>
        <v>46.50351094589012</v>
      </c>
      <c r="J33" s="13">
        <f>'a22'!J33/'a21'!J33*100</f>
        <v>47.737085988099629</v>
      </c>
      <c r="K33" s="13">
        <f>'a22'!K33/'a21'!K33*100</f>
        <v>45.110650498651793</v>
      </c>
      <c r="L33" s="13">
        <f>'a22'!L33/'a21'!L33*100</f>
        <v>42.418108348953687</v>
      </c>
    </row>
    <row r="34" spans="1:138" ht="16.5" customHeight="1">
      <c r="A34" s="1">
        <v>2000</v>
      </c>
      <c r="B34" s="13">
        <f>'a22'!B34/'a21'!B34*100</f>
        <v>40.446444461393739</v>
      </c>
      <c r="C34" s="13">
        <f>'a22'!C34/'a21'!C34*100</f>
        <v>41.255876445970351</v>
      </c>
      <c r="D34" s="13">
        <f>'a22'!D34/'a21'!D34*100</f>
        <v>45.198812734727198</v>
      </c>
      <c r="E34" s="13">
        <f>'a22'!E34/'a21'!E34*100</f>
        <v>45.087628804856934</v>
      </c>
      <c r="F34" s="13">
        <f>'a22'!F34/'a21'!F34*100</f>
        <v>42.447854402204236</v>
      </c>
      <c r="G34" s="13">
        <f>'a22'!G34/'a21'!G34*100</f>
        <v>41.530493576741051</v>
      </c>
      <c r="H34" s="13">
        <f>'a22'!H34/'a21'!H34*100</f>
        <v>40.681218631848623</v>
      </c>
      <c r="I34" s="13">
        <f>'a22'!I34/'a21'!I34*100</f>
        <v>45.684040016882832</v>
      </c>
      <c r="J34" s="13">
        <f>'a22'!J34/'a21'!J34*100</f>
        <v>46.413854644454673</v>
      </c>
      <c r="K34" s="13">
        <f>'a22'!K34/'a21'!K34*100</f>
        <v>43.220000301618178</v>
      </c>
      <c r="L34" s="13">
        <f>'a22'!L34/'a21'!L34*100</f>
        <v>41.437686101722193</v>
      </c>
    </row>
    <row r="35" spans="1:138" ht="16.5" customHeight="1">
      <c r="A35" s="1">
        <v>2001</v>
      </c>
      <c r="B35" s="13">
        <f>'a22'!B35/'a21'!B35*100</f>
        <v>42.51964708807072</v>
      </c>
      <c r="C35" s="13">
        <f>'a22'!C35/'a21'!C35*100</f>
        <v>44.176290426817282</v>
      </c>
      <c r="D35" s="13">
        <f>'a22'!D35/'a21'!D35*100</f>
        <v>47.017275366700048</v>
      </c>
      <c r="E35" s="13">
        <f>'a22'!E35/'a21'!E35*100</f>
        <v>45.553903755093053</v>
      </c>
      <c r="F35" s="13">
        <f>'a22'!F35/'a21'!F35*100</f>
        <v>44.569121808231237</v>
      </c>
      <c r="G35" s="13">
        <f>'a22'!G35/'a21'!G35*100</f>
        <v>43.194103588213586</v>
      </c>
      <c r="H35" s="13">
        <f>'a22'!H35/'a21'!H35*100</f>
        <v>42.879523960100038</v>
      </c>
      <c r="I35" s="13">
        <f>'a22'!I35/'a21'!I35*100</f>
        <v>46.615188705045817</v>
      </c>
      <c r="J35" s="13">
        <f>'a22'!J35/'a21'!J35*100</f>
        <v>46.962224906065494</v>
      </c>
      <c r="K35" s="13">
        <f>'a22'!K35/'a21'!K35*100</f>
        <v>44.674824382506237</v>
      </c>
      <c r="L35" s="13">
        <f>'a22'!L35/'a21'!L35*100</f>
        <v>44.568093681088889</v>
      </c>
    </row>
    <row r="36" spans="1:138" ht="16.5" customHeight="1">
      <c r="A36" s="1">
        <v>2002</v>
      </c>
      <c r="B36" s="13">
        <f>'a22'!B36/'a21'!B36*100</f>
        <v>42.805231478041165</v>
      </c>
      <c r="C36" s="13">
        <f>'a22'!C36/'a21'!C36*100</f>
        <v>44.479631574341468</v>
      </c>
      <c r="D36" s="13">
        <f>'a22'!D36/'a21'!D36*100</f>
        <v>46.833671897939247</v>
      </c>
      <c r="E36" s="13">
        <f>'a22'!E36/'a21'!E36*100</f>
        <v>45.177968564848975</v>
      </c>
      <c r="F36" s="13">
        <f>'a22'!F36/'a21'!F36*100</f>
        <v>44.84088903595854</v>
      </c>
      <c r="G36" s="13">
        <f>'a22'!G36/'a21'!G36*100</f>
        <v>43.278249625910455</v>
      </c>
      <c r="H36" s="13">
        <f>'a22'!H36/'a21'!H36*100</f>
        <v>42.878832643949835</v>
      </c>
      <c r="I36" s="13">
        <f>'a22'!I36/'a21'!I36*100</f>
        <v>46.872471808080306</v>
      </c>
      <c r="J36" s="13">
        <f>'a22'!J36/'a21'!J36*100</f>
        <v>47.447672576715938</v>
      </c>
      <c r="K36" s="13">
        <f>'a22'!K36/'a21'!K36*100</f>
        <v>45.876617918977978</v>
      </c>
      <c r="L36" s="13">
        <f>'a22'!L36/'a21'!L36*100</f>
        <v>44.403146436027434</v>
      </c>
    </row>
    <row r="37" spans="1:138" ht="16.5" customHeight="1">
      <c r="A37" s="1">
        <v>2003</v>
      </c>
      <c r="B37" s="13">
        <f>'a22'!B37/'a21'!B37*100</f>
        <v>42.121286686834466</v>
      </c>
      <c r="C37" s="13">
        <f>'a22'!C37/'a21'!C37*100</f>
        <v>42.413784128471413</v>
      </c>
      <c r="D37" s="13">
        <f>'a22'!D37/'a21'!D37*100</f>
        <v>47.097335556140514</v>
      </c>
      <c r="E37" s="13">
        <f>'a22'!E37/'a21'!E37*100</f>
        <v>44.565725784521668</v>
      </c>
      <c r="F37" s="13">
        <f>'a22'!F37/'a21'!F37*100</f>
        <v>44.282035135309684</v>
      </c>
      <c r="G37" s="13">
        <f>'a22'!G37/'a21'!G37*100</f>
        <v>42.839342631504145</v>
      </c>
      <c r="H37" s="13">
        <f>'a22'!H37/'a21'!H37*100</f>
        <v>42.338207270595134</v>
      </c>
      <c r="I37" s="13">
        <f>'a22'!I37/'a21'!I37*100</f>
        <v>45.135243217709636</v>
      </c>
      <c r="J37" s="13">
        <f>'a22'!J37/'a21'!J37*100</f>
        <v>45.772606975342612</v>
      </c>
      <c r="K37" s="13">
        <f>'a22'!K37/'a21'!K37*100</f>
        <v>44.180820455705607</v>
      </c>
      <c r="L37" s="13">
        <f>'a22'!L37/'a21'!L37*100</f>
        <v>43.364220014180674</v>
      </c>
    </row>
    <row r="38" spans="1:138" ht="16.5" customHeight="1">
      <c r="A38" s="1">
        <v>2004</v>
      </c>
      <c r="B38" s="13">
        <f>'a22'!B38/'a21'!B38*100</f>
        <v>41.337618826094506</v>
      </c>
      <c r="C38" s="13">
        <f>'a22'!C38/'a21'!C38*100</f>
        <v>42.044484745039476</v>
      </c>
      <c r="D38" s="13">
        <f>'a22'!D38/'a21'!D38*100</f>
        <v>46.414667463502091</v>
      </c>
      <c r="E38" s="13">
        <f>'a22'!E38/'a21'!E38*100</f>
        <v>43.92405634580566</v>
      </c>
      <c r="F38" s="13">
        <f>'a22'!F38/'a21'!F38*100</f>
        <v>44.611230528354966</v>
      </c>
      <c r="G38" s="13">
        <f>'a22'!G38/'a21'!G38*100</f>
        <v>42.350525664811386</v>
      </c>
      <c r="H38" s="13">
        <f>'a22'!H38/'a21'!H38*100</f>
        <v>41.384660278085917</v>
      </c>
      <c r="I38" s="13">
        <f>'a22'!I38/'a21'!I38*100</f>
        <v>44.190559659446599</v>
      </c>
      <c r="J38" s="13">
        <f>'a22'!J38/'a21'!J38*100</f>
        <v>44.49150171186708</v>
      </c>
      <c r="K38" s="13">
        <f>'a22'!K38/'a21'!K38*100</f>
        <v>43.020326791222708</v>
      </c>
      <c r="L38" s="13">
        <f>'a22'!L38/'a21'!L38*100</f>
        <v>42.411962923718697</v>
      </c>
    </row>
    <row r="39" spans="1:138" ht="16.5" customHeight="1">
      <c r="A39" s="1">
        <v>2005</v>
      </c>
      <c r="B39" s="13">
        <f>'a22'!B39/'a21'!B39*100</f>
        <v>40.084057735165025</v>
      </c>
      <c r="C39" s="13">
        <f>'a22'!C39/'a21'!C39*100</f>
        <v>41.212990892318501</v>
      </c>
      <c r="D39" s="13">
        <f>'a22'!D39/'a21'!D39*100</f>
        <v>45.284032219072117</v>
      </c>
      <c r="E39" s="13">
        <f>'a22'!E39/'a21'!E39*100</f>
        <v>42.194246422973862</v>
      </c>
      <c r="F39" s="13">
        <f>'a22'!F39/'a21'!F39*100</f>
        <v>43.661672470319914</v>
      </c>
      <c r="G39" s="13">
        <f>'a22'!G39/'a21'!G39*100</f>
        <v>41.695278456160509</v>
      </c>
      <c r="H39" s="13">
        <f>'a22'!H39/'a21'!H39*100</f>
        <v>39.956019921020619</v>
      </c>
      <c r="I39" s="13">
        <f>'a22'!I39/'a21'!I39*100</f>
        <v>42.85666207969367</v>
      </c>
      <c r="J39" s="13">
        <f>'a22'!J39/'a21'!J39*100</f>
        <v>42.536825675543852</v>
      </c>
      <c r="K39" s="13">
        <f>'a22'!K39/'a21'!K39*100</f>
        <v>40.533241614756498</v>
      </c>
      <c r="L39" s="13">
        <f>'a22'!L39/'a21'!L39*100</f>
        <v>41.01685706260735</v>
      </c>
    </row>
    <row r="40" spans="1:138" ht="16.5" customHeight="1">
      <c r="A40" s="1">
        <v>2006</v>
      </c>
      <c r="B40" s="13">
        <f>'a22'!B40/'a21'!B40*100</f>
        <v>40.471699778080726</v>
      </c>
      <c r="C40" s="13">
        <f>'a22'!C40/'a21'!C40*100</f>
        <v>41.781605130381486</v>
      </c>
      <c r="D40" s="13">
        <f>'a22'!D40/'a21'!D40*100</f>
        <v>47.92990410506934</v>
      </c>
      <c r="E40" s="13">
        <f>'a22'!E40/'a21'!E40*100</f>
        <v>43.699340407792761</v>
      </c>
      <c r="F40" s="13">
        <f>'a22'!F40/'a21'!F40*100</f>
        <v>44.046293684840762</v>
      </c>
      <c r="G40" s="13">
        <f>'a22'!G40/'a21'!G40*100</f>
        <v>42.434584755403876</v>
      </c>
      <c r="H40" s="13">
        <f>'a22'!H40/'a21'!H40*100</f>
        <v>40.020407731675334</v>
      </c>
      <c r="I40" s="13">
        <f>'a22'!I40/'a21'!I40*100</f>
        <v>42.797167939448499</v>
      </c>
      <c r="J40" s="13">
        <f>'a22'!J40/'a21'!J40*100</f>
        <v>43.298838437170019</v>
      </c>
      <c r="K40" s="13">
        <f>'a22'!K40/'a21'!K40*100</f>
        <v>40.503941817240438</v>
      </c>
      <c r="L40" s="13">
        <f>'a22'!L40/'a21'!L40*100</f>
        <v>41.190642364373346</v>
      </c>
    </row>
    <row r="41" spans="1:138" ht="16.5" customHeight="1">
      <c r="A41" s="1">
        <v>2007</v>
      </c>
      <c r="B41" s="13">
        <f>'a22'!B41/'a21'!B41*100</f>
        <v>40.083377739433466</v>
      </c>
      <c r="C41" s="13">
        <f>'a22'!C41/'a21'!C41*100</f>
        <v>41.435993208828513</v>
      </c>
      <c r="D41" s="13">
        <f>'a22'!D41/'a21'!D41*100</f>
        <v>48.641601999413751</v>
      </c>
      <c r="E41" s="13">
        <f>'a22'!E41/'a21'!E41*100</f>
        <v>43.983222343418099</v>
      </c>
      <c r="F41" s="13">
        <f>'a22'!F41/'a21'!F41*100</f>
        <v>43.630027314684</v>
      </c>
      <c r="G41" s="13">
        <f>'a22'!G41/'a21'!G41*100</f>
        <v>41.970770833051539</v>
      </c>
      <c r="H41" s="13">
        <f>'a22'!H41/'a21'!H41*100</f>
        <v>39.421573418030782</v>
      </c>
      <c r="I41" s="13">
        <f>'a22'!I41/'a21'!I41*100</f>
        <v>41.910443667283829</v>
      </c>
      <c r="J41" s="13">
        <f>'a22'!J41/'a21'!J41*100</f>
        <v>43.346906081035982</v>
      </c>
      <c r="K41" s="13">
        <f>'a22'!K41/'a21'!K41*100</f>
        <v>40.052066024149781</v>
      </c>
      <c r="L41" s="13">
        <f>'a22'!L41/'a21'!L41*100</f>
        <v>41.549982697465175</v>
      </c>
    </row>
    <row r="42" spans="1:138" ht="16.5" customHeight="1">
      <c r="A42" s="1">
        <v>2008</v>
      </c>
      <c r="B42" s="13">
        <f>'a22'!B42/'a21'!B42*100</f>
        <v>40.626335865311894</v>
      </c>
      <c r="C42" s="13">
        <f>'a22'!C42/'a21'!C42*100</f>
        <v>41.960485066677094</v>
      </c>
      <c r="D42" s="13">
        <f>'a22'!D42/'a21'!D42*100</f>
        <v>49.188455461288413</v>
      </c>
      <c r="E42" s="13">
        <f>'a22'!E42/'a21'!E42*100</f>
        <v>44.423384483393711</v>
      </c>
      <c r="F42" s="13">
        <f>'a22'!F42/'a21'!F42*100</f>
        <v>43.753335248963502</v>
      </c>
      <c r="G42" s="13">
        <f>'a22'!G42/'a21'!G42*100</f>
        <v>42.448207171314742</v>
      </c>
      <c r="H42" s="13">
        <f>'a22'!H42/'a21'!H42*100</f>
        <v>40.253488677465945</v>
      </c>
      <c r="I42" s="13">
        <f>'a22'!I42/'a21'!I42*100</f>
        <v>42.833971459953659</v>
      </c>
      <c r="J42" s="13">
        <f>'a22'!J42/'a21'!J42*100</f>
        <v>43.28868611433257</v>
      </c>
      <c r="K42" s="13">
        <f>'a22'!K42/'a21'!K42*100</f>
        <v>39.619370611971135</v>
      </c>
      <c r="L42" s="13">
        <f>'a22'!L42/'a21'!L42*100</f>
        <v>43.180744938315328</v>
      </c>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row>
    <row r="43" spans="1:138" ht="16.5" customHeight="1">
      <c r="A43" s="1">
        <v>2009</v>
      </c>
      <c r="B43" s="13">
        <f>'a22'!B43/'a21'!B43*100</f>
        <v>42.290139340680682</v>
      </c>
      <c r="C43" s="13">
        <f>'a22'!C43/'a21'!C43*100</f>
        <v>42.432870139373989</v>
      </c>
      <c r="D43" s="13">
        <f>'a22'!D43/'a21'!D43*100</f>
        <v>48.875264494796859</v>
      </c>
      <c r="E43" s="13">
        <f>'a22'!E43/'a21'!E43*100</f>
        <v>45.599357221006564</v>
      </c>
      <c r="F43" s="13">
        <f>'a22'!F43/'a21'!F43*100</f>
        <v>44.68614632154523</v>
      </c>
      <c r="G43" s="13">
        <f>'a22'!G43/'a21'!G43*100</f>
        <v>43.695016267959346</v>
      </c>
      <c r="H43" s="13">
        <f>'a22'!H43/'a21'!H43*100</f>
        <v>41.57250249142713</v>
      </c>
      <c r="I43" s="13">
        <f>'a22'!I43/'a21'!I43*100</f>
        <v>43.646574785964638</v>
      </c>
      <c r="J43" s="13">
        <f>'a22'!J43/'a21'!J43*100</f>
        <v>45.203150448199125</v>
      </c>
      <c r="K43" s="13">
        <f>'a22'!K43/'a21'!K43*100</f>
        <v>41.388175483653669</v>
      </c>
      <c r="L43" s="13">
        <f>'a22'!L43/'a21'!L43*100</f>
        <v>44.44231846963271</v>
      </c>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row>
    <row r="44" spans="1:138" ht="16.5" customHeight="1">
      <c r="A44" s="1">
        <v>2010</v>
      </c>
      <c r="B44" s="13">
        <f>'a22'!B44/'a21'!B44*100</f>
        <v>40.664349871267433</v>
      </c>
      <c r="C44" s="13">
        <f>'a22'!C44/'a21'!C44*100</f>
        <v>40.579498199327482</v>
      </c>
      <c r="D44" s="13">
        <f>'a22'!D44/'a21'!D44*100</f>
        <v>47.65157814136802</v>
      </c>
      <c r="E44" s="13">
        <f>'a22'!E44/'a21'!E44*100</f>
        <v>43.538095175444376</v>
      </c>
      <c r="F44" s="13">
        <f>'a22'!F44/'a21'!F44*100</f>
        <v>44.056934051026211</v>
      </c>
      <c r="G44" s="13">
        <f>'a22'!G44/'a21'!G44*100</f>
        <v>43.055289820873561</v>
      </c>
      <c r="H44" s="13">
        <f>'a22'!H44/'a21'!H44*100</f>
        <v>39.590558111773468</v>
      </c>
      <c r="I44" s="13">
        <f>'a22'!I44/'a21'!I44*100</f>
        <v>43.442381467116</v>
      </c>
      <c r="J44" s="13">
        <f>'a22'!J44/'a21'!J44*100</f>
        <v>42.175972427375683</v>
      </c>
      <c r="K44" s="13">
        <f>'a22'!K44/'a21'!K44*100</f>
        <v>38.865425660438149</v>
      </c>
      <c r="L44" s="13">
        <f>'a22'!L44/'a21'!L44*100</f>
        <v>42.791714502064053</v>
      </c>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row>
    <row r="45" spans="1:138" ht="16.5" customHeight="1">
      <c r="B45" s="172" t="s">
        <v>435</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row>
    <row r="46" spans="1:138">
      <c r="A46" s="252" t="s">
        <v>988</v>
      </c>
      <c r="B46" s="271">
        <f t="shared" ref="B46:L46" si="0">(POWER(B44/B15, 1/29)-1)*100</f>
        <v>0.19575532800624185</v>
      </c>
      <c r="C46" s="271">
        <f t="shared" si="0"/>
        <v>0.53511464946616183</v>
      </c>
      <c r="D46" s="271">
        <f t="shared" si="0"/>
        <v>0.38868951361670234</v>
      </c>
      <c r="E46" s="271">
        <f t="shared" si="0"/>
        <v>0.54981735348749172</v>
      </c>
      <c r="F46" s="271">
        <f t="shared" si="0"/>
        <v>0.53051236304140215</v>
      </c>
      <c r="G46" s="271">
        <f t="shared" si="0"/>
        <v>0.7660317912101533</v>
      </c>
      <c r="H46" s="271">
        <f t="shared" si="0"/>
        <v>0.35340851261009831</v>
      </c>
      <c r="I46" s="271">
        <f t="shared" si="0"/>
        <v>0.35888483935060389</v>
      </c>
      <c r="J46" s="271">
        <f t="shared" si="0"/>
        <v>0.44484597262350878</v>
      </c>
      <c r="K46" s="271">
        <f t="shared" si="0"/>
        <v>0.19474226413431772</v>
      </c>
      <c r="L46" s="271">
        <f t="shared" si="0"/>
        <v>0.83213282787073517</v>
      </c>
    </row>
    <row r="47" spans="1:138">
      <c r="B47" s="1" t="s">
        <v>1006</v>
      </c>
    </row>
  </sheetData>
  <phoneticPr fontId="0" type="noConversion"/>
  <pageMargins left="0.75" right="0.75" top="1" bottom="1" header="0.5" footer="0.5"/>
  <pageSetup scale="86" orientation="landscape" r:id="rId1"/>
  <headerFooter alignWithMargins="0"/>
  <rowBreaks count="2" manualBreakCount="2">
    <brk id="52" max="16383" man="1"/>
    <brk id="58" max="16383" man="1"/>
  </rowBreaks>
</worksheet>
</file>

<file path=xl/worksheets/sheet53.xml><?xml version="1.0" encoding="utf-8"?>
<worksheet xmlns="http://schemas.openxmlformats.org/spreadsheetml/2006/main" xmlns:r="http://schemas.openxmlformats.org/officeDocument/2006/relationships">
  <dimension ref="A1:EH52"/>
  <sheetViews>
    <sheetView view="pageBreakPreview" topLeftCell="A33" zoomScaleSheetLayoutView="100" workbookViewId="0">
      <selection activeCell="E9" sqref="E9"/>
    </sheetView>
  </sheetViews>
  <sheetFormatPr defaultRowHeight="12.75"/>
  <cols>
    <col min="1" max="1" width="9.125" style="1" bestFit="1" customWidth="1"/>
    <col min="2" max="2" width="10" style="1" customWidth="1"/>
    <col min="3" max="6" width="9.125" style="1" bestFit="1" customWidth="1"/>
    <col min="7" max="7" width="9.875" style="1" customWidth="1"/>
    <col min="8" max="8" width="9.75" style="1" bestFit="1" customWidth="1"/>
    <col min="9" max="10" width="9.125" style="1" bestFit="1" customWidth="1"/>
    <col min="11" max="11" width="9.25" style="1" bestFit="1" customWidth="1"/>
    <col min="12" max="12" width="9.125" style="1" bestFit="1" customWidth="1"/>
    <col min="13" max="16384" width="9" style="1"/>
  </cols>
  <sheetData>
    <row r="1" spans="1:12" ht="15.75">
      <c r="B1" s="2" t="s">
        <v>637</v>
      </c>
    </row>
    <row r="3" spans="1:12" s="10" customFormat="1" ht="15">
      <c r="A3" s="284"/>
      <c r="B3" s="284" t="s">
        <v>321</v>
      </c>
      <c r="C3" s="284" t="s">
        <v>449</v>
      </c>
      <c r="D3" s="284" t="s">
        <v>450</v>
      </c>
      <c r="E3" s="284" t="s">
        <v>451</v>
      </c>
      <c r="F3" s="284" t="s">
        <v>452</v>
      </c>
      <c r="G3" s="284" t="s">
        <v>453</v>
      </c>
      <c r="H3" s="284" t="s">
        <v>454</v>
      </c>
      <c r="I3" s="284" t="s">
        <v>455</v>
      </c>
      <c r="J3" s="284" t="s">
        <v>456</v>
      </c>
      <c r="K3" s="284" t="s">
        <v>457</v>
      </c>
      <c r="L3" s="284" t="s">
        <v>458</v>
      </c>
    </row>
    <row r="4" spans="1:12" hidden="1">
      <c r="A4" s="1">
        <v>1971</v>
      </c>
      <c r="B4" s="117">
        <v>61100.845233816712</v>
      </c>
      <c r="C4" s="117">
        <v>969.60100376411549</v>
      </c>
      <c r="D4" s="117">
        <v>218.99770114942521</v>
      </c>
      <c r="E4" s="117">
        <v>1787.6408187658744</v>
      </c>
      <c r="F4" s="117">
        <v>1362.6853214562357</v>
      </c>
      <c r="G4" s="117">
        <v>15743.246433850374</v>
      </c>
      <c r="H4" s="117">
        <v>25606.235209711765</v>
      </c>
      <c r="I4" s="117">
        <v>2629.2599620493361</v>
      </c>
      <c r="J4" s="117">
        <v>2057.73512154233</v>
      </c>
      <c r="K4" s="117">
        <v>4535.4804063860665</v>
      </c>
      <c r="L4" s="117">
        <v>6597.4024270252557</v>
      </c>
    </row>
    <row r="5" spans="1:12" hidden="1">
      <c r="A5" s="1">
        <v>1972</v>
      </c>
      <c r="B5" s="117">
        <v>69528.685561452628</v>
      </c>
      <c r="C5" s="117">
        <v>1107.1468005018821</v>
      </c>
      <c r="D5" s="117">
        <v>260.05977011494247</v>
      </c>
      <c r="E5" s="117">
        <v>2067.8320633497683</v>
      </c>
      <c r="F5" s="117">
        <v>1568.161502711077</v>
      </c>
      <c r="G5" s="117">
        <v>18014.149057040591</v>
      </c>
      <c r="H5" s="117">
        <v>29140.725877168006</v>
      </c>
      <c r="I5" s="117">
        <v>2947.5918195235085</v>
      </c>
      <c r="J5" s="117">
        <v>2221.5255658005026</v>
      </c>
      <c r="K5" s="117">
        <v>5214.2322206095796</v>
      </c>
      <c r="L5" s="117">
        <v>7734.9545424729431</v>
      </c>
    </row>
    <row r="6" spans="1:12" hidden="1">
      <c r="A6" s="1">
        <v>1973</v>
      </c>
      <c r="B6" s="117">
        <v>81201.224472397516</v>
      </c>
      <c r="C6" s="117">
        <v>1302.8105395232121</v>
      </c>
      <c r="D6" s="117">
        <v>326.39080459770105</v>
      </c>
      <c r="E6" s="117">
        <v>2415.2278499925287</v>
      </c>
      <c r="F6" s="117">
        <v>1831.9070487993804</v>
      </c>
      <c r="G6" s="117">
        <v>20575.08270261607</v>
      </c>
      <c r="H6" s="117">
        <v>33713.994602043014</v>
      </c>
      <c r="I6" s="117">
        <v>3583.2481551760493</v>
      </c>
      <c r="J6" s="117">
        <v>2923.7535624476109</v>
      </c>
      <c r="K6" s="117">
        <v>6243.5036284470252</v>
      </c>
      <c r="L6" s="117">
        <v>9296.3397835355863</v>
      </c>
    </row>
    <row r="7" spans="1:12" hidden="1">
      <c r="A7" s="1">
        <v>1974</v>
      </c>
      <c r="B7" s="117">
        <v>96440.538685277279</v>
      </c>
      <c r="C7" s="117">
        <v>1574.9962358845673</v>
      </c>
      <c r="D7" s="117">
        <v>390.61609195402286</v>
      </c>
      <c r="E7" s="117">
        <v>2844.3030031376065</v>
      </c>
      <c r="F7" s="117">
        <v>2165.1669248644462</v>
      </c>
      <c r="G7" s="117">
        <v>24201.477534592992</v>
      </c>
      <c r="H7" s="117">
        <v>39486.792543075462</v>
      </c>
      <c r="I7" s="117">
        <v>4130.2551127978077</v>
      </c>
      <c r="J7" s="117">
        <v>3556.3235540653804</v>
      </c>
      <c r="K7" s="117">
        <v>7498.6879535558783</v>
      </c>
      <c r="L7" s="117">
        <v>11096.63096097081</v>
      </c>
    </row>
    <row r="8" spans="1:12" hidden="1">
      <c r="A8" s="1">
        <v>1975</v>
      </c>
      <c r="B8" s="117">
        <v>112661.04017719085</v>
      </c>
      <c r="C8" s="117">
        <v>1889.8017565872021</v>
      </c>
      <c r="D8" s="117">
        <v>429.57241379310335</v>
      </c>
      <c r="E8" s="117">
        <v>3295.0903929478554</v>
      </c>
      <c r="F8" s="117">
        <v>2562.8297831138652</v>
      </c>
      <c r="G8" s="117">
        <v>28413.976724306805</v>
      </c>
      <c r="H8" s="117">
        <v>45832.393663663999</v>
      </c>
      <c r="I8" s="117">
        <v>4845.4944128188918</v>
      </c>
      <c r="J8" s="117">
        <v>4391.2782900251459</v>
      </c>
      <c r="K8" s="117">
        <v>9155.0449927431055</v>
      </c>
      <c r="L8" s="117">
        <v>13104.840275500163</v>
      </c>
    </row>
    <row r="9" spans="1:12" hidden="1">
      <c r="A9" s="1">
        <v>1976</v>
      </c>
      <c r="B9" s="117">
        <v>127726.85176146099</v>
      </c>
      <c r="C9" s="117">
        <v>2113.5558343789212</v>
      </c>
      <c r="D9" s="117">
        <v>514.85517241379307</v>
      </c>
      <c r="E9" s="117">
        <v>3683.8428208576115</v>
      </c>
      <c r="F9" s="117">
        <v>2929.8245546088301</v>
      </c>
      <c r="G9" s="117">
        <v>32757.392694958417</v>
      </c>
      <c r="H9" s="117">
        <v>51627.574677432196</v>
      </c>
      <c r="I9" s="117">
        <v>5263.5568205776935</v>
      </c>
      <c r="J9" s="117">
        <v>4708.5046102263195</v>
      </c>
      <c r="K9" s="117">
        <v>10418.333817126269</v>
      </c>
      <c r="L9" s="117">
        <v>14910.129485077074</v>
      </c>
    </row>
    <row r="10" spans="1:12" hidden="1">
      <c r="A10" s="1">
        <v>1977</v>
      </c>
      <c r="B10" s="117">
        <v>141673.87053366206</v>
      </c>
      <c r="C10" s="117">
        <v>2399.3023839397742</v>
      </c>
      <c r="D10" s="117">
        <v>558.02298850574709</v>
      </c>
      <c r="E10" s="117">
        <v>4130.4945465411611</v>
      </c>
      <c r="F10" s="117">
        <v>3207.8818745158787</v>
      </c>
      <c r="G10" s="117">
        <v>35811.781899453279</v>
      </c>
      <c r="H10" s="117">
        <v>56246.626960175825</v>
      </c>
      <c r="I10" s="117">
        <v>5830.7113641155374</v>
      </c>
      <c r="J10" s="117">
        <v>4743.3336127409893</v>
      </c>
      <c r="K10" s="117">
        <v>11890.313497822932</v>
      </c>
      <c r="L10" s="117">
        <v>16774.395473925873</v>
      </c>
    </row>
    <row r="11" spans="1:12" hidden="1">
      <c r="A11" s="1">
        <v>1978</v>
      </c>
      <c r="B11" s="117">
        <v>160065.14916628358</v>
      </c>
      <c r="C11" s="117">
        <v>2624.0250941028858</v>
      </c>
      <c r="D11" s="117">
        <v>660.15172413793107</v>
      </c>
      <c r="E11" s="117">
        <v>4703.2840280890468</v>
      </c>
      <c r="F11" s="117">
        <v>3598.3888458559254</v>
      </c>
      <c r="G11" s="117">
        <v>39972.921428953043</v>
      </c>
      <c r="H11" s="117">
        <v>63415.314710002152</v>
      </c>
      <c r="I11" s="117">
        <v>6656.7623866751001</v>
      </c>
      <c r="J11" s="117">
        <v>5508.630343671417</v>
      </c>
      <c r="K11" s="117">
        <v>14206.174165457185</v>
      </c>
      <c r="L11" s="117">
        <v>18977.528041980975</v>
      </c>
    </row>
    <row r="12" spans="1:12" hidden="1">
      <c r="A12" s="1">
        <v>1979</v>
      </c>
      <c r="B12" s="117">
        <v>180714.95339546158</v>
      </c>
      <c r="C12" s="117">
        <v>2975.6386449184438</v>
      </c>
      <c r="D12" s="117">
        <v>725.42988505747121</v>
      </c>
      <c r="E12" s="117">
        <v>5239.886448528312</v>
      </c>
      <c r="F12" s="117">
        <v>3980.7176607281172</v>
      </c>
      <c r="G12" s="117">
        <v>44631.544726016422</v>
      </c>
      <c r="H12" s="117">
        <v>70996.054480645922</v>
      </c>
      <c r="I12" s="117">
        <v>7278.315412186379</v>
      </c>
      <c r="J12" s="117">
        <v>6189.2078792958928</v>
      </c>
      <c r="K12" s="117">
        <v>17074.153846153848</v>
      </c>
      <c r="L12" s="117">
        <v>21739.440603476552</v>
      </c>
    </row>
    <row r="13" spans="1:12" hidden="1">
      <c r="A13" s="1">
        <v>1980</v>
      </c>
      <c r="B13" s="117">
        <v>205676.39765974341</v>
      </c>
      <c r="C13" s="117">
        <v>3241.04391468005</v>
      </c>
      <c r="D13" s="117">
        <v>793.86666666666667</v>
      </c>
      <c r="E13" s="117">
        <v>5689.6399223068875</v>
      </c>
      <c r="F13" s="117">
        <v>4416.2044926413628</v>
      </c>
      <c r="G13" s="117">
        <v>50601.349936779872</v>
      </c>
      <c r="H13" s="117">
        <v>79253.373495347958</v>
      </c>
      <c r="I13" s="117">
        <v>7906.9200927682896</v>
      </c>
      <c r="J13" s="117">
        <v>6841.5456831517195</v>
      </c>
      <c r="K13" s="117">
        <v>20493.23947750363</v>
      </c>
      <c r="L13" s="117">
        <v>25532.946999016069</v>
      </c>
    </row>
    <row r="14" spans="1:12" hidden="1">
      <c r="B14" s="117"/>
      <c r="C14" s="117"/>
      <c r="D14" s="117"/>
      <c r="E14" s="117"/>
      <c r="F14" s="117"/>
      <c r="G14" s="117"/>
      <c r="H14" s="117"/>
      <c r="I14" s="117"/>
      <c r="J14" s="117"/>
      <c r="K14" s="117"/>
      <c r="L14" s="117"/>
    </row>
    <row r="15" spans="1:12" ht="18" customHeight="1">
      <c r="A15" s="1">
        <v>1981</v>
      </c>
      <c r="B15" s="7">
        <v>238606</v>
      </c>
      <c r="C15" s="7">
        <v>3860</v>
      </c>
      <c r="D15" s="7">
        <v>916</v>
      </c>
      <c r="E15" s="7">
        <v>6920</v>
      </c>
      <c r="F15" s="7">
        <v>5279</v>
      </c>
      <c r="G15" s="7">
        <v>56549</v>
      </c>
      <c r="H15" s="7">
        <v>89340</v>
      </c>
      <c r="I15" s="7">
        <v>9556</v>
      </c>
      <c r="J15" s="7">
        <v>8984</v>
      </c>
      <c r="K15" s="7">
        <v>25826</v>
      </c>
      <c r="L15" s="7">
        <v>30478</v>
      </c>
    </row>
    <row r="16" spans="1:12" ht="18" customHeight="1">
      <c r="A16" s="1">
        <v>1982</v>
      </c>
      <c r="B16" s="7">
        <v>263452</v>
      </c>
      <c r="C16" s="7">
        <v>4273</v>
      </c>
      <c r="D16" s="7">
        <v>1036</v>
      </c>
      <c r="E16" s="7">
        <v>7716</v>
      </c>
      <c r="F16" s="7">
        <v>5925</v>
      </c>
      <c r="G16" s="7">
        <v>61237</v>
      </c>
      <c r="H16" s="7">
        <v>100176</v>
      </c>
      <c r="I16" s="7">
        <v>10665</v>
      </c>
      <c r="J16" s="7">
        <v>10148</v>
      </c>
      <c r="K16" s="7">
        <v>28299</v>
      </c>
      <c r="L16" s="7">
        <v>32987</v>
      </c>
    </row>
    <row r="17" spans="1:12" ht="18" customHeight="1">
      <c r="A17" s="1">
        <v>1983</v>
      </c>
      <c r="B17" s="7">
        <v>275529</v>
      </c>
      <c r="C17" s="7">
        <v>4441</v>
      </c>
      <c r="D17" s="7">
        <v>1120</v>
      </c>
      <c r="E17" s="7">
        <v>8194</v>
      </c>
      <c r="F17" s="7">
        <v>6319</v>
      </c>
      <c r="G17" s="7">
        <v>63810</v>
      </c>
      <c r="H17" s="7">
        <v>107263</v>
      </c>
      <c r="I17" s="7">
        <v>10825</v>
      </c>
      <c r="J17" s="7">
        <v>10065</v>
      </c>
      <c r="K17" s="7">
        <v>28793</v>
      </c>
      <c r="L17" s="7">
        <v>33668</v>
      </c>
    </row>
    <row r="18" spans="1:12" ht="18" customHeight="1">
      <c r="A18" s="1">
        <v>1984</v>
      </c>
      <c r="B18" s="7">
        <v>299169</v>
      </c>
      <c r="C18" s="7">
        <v>4656</v>
      </c>
      <c r="D18" s="7">
        <v>1184</v>
      </c>
      <c r="E18" s="7">
        <v>8922</v>
      </c>
      <c r="F18" s="7">
        <v>6849</v>
      </c>
      <c r="G18" s="7">
        <v>70124</v>
      </c>
      <c r="H18" s="7">
        <v>117448</v>
      </c>
      <c r="I18" s="7">
        <v>12346</v>
      </c>
      <c r="J18" s="7">
        <v>10891</v>
      </c>
      <c r="K18" s="7">
        <v>29825</v>
      </c>
      <c r="L18" s="7">
        <v>35762</v>
      </c>
    </row>
    <row r="19" spans="1:12" ht="18" customHeight="1">
      <c r="A19" s="1">
        <v>1985</v>
      </c>
      <c r="B19" s="7">
        <v>322989</v>
      </c>
      <c r="C19" s="7">
        <v>4964</v>
      </c>
      <c r="D19" s="7">
        <v>1248</v>
      </c>
      <c r="E19" s="7">
        <v>9721</v>
      </c>
      <c r="F19" s="7">
        <v>7282</v>
      </c>
      <c r="G19" s="7">
        <v>74845</v>
      </c>
      <c r="H19" s="7">
        <v>127274</v>
      </c>
      <c r="I19" s="7">
        <v>13452</v>
      </c>
      <c r="J19" s="7">
        <v>11685</v>
      </c>
      <c r="K19" s="7">
        <v>33210</v>
      </c>
      <c r="L19" s="7">
        <v>38012</v>
      </c>
    </row>
    <row r="20" spans="1:12" ht="18" customHeight="1">
      <c r="A20" s="1">
        <v>1986</v>
      </c>
      <c r="B20" s="7">
        <v>340403</v>
      </c>
      <c r="C20" s="7">
        <v>5274</v>
      </c>
      <c r="D20" s="7">
        <v>1397</v>
      </c>
      <c r="E20" s="7">
        <v>10151</v>
      </c>
      <c r="F20" s="7">
        <v>7815</v>
      </c>
      <c r="G20" s="7">
        <v>78973</v>
      </c>
      <c r="H20" s="7">
        <v>135236</v>
      </c>
      <c r="I20" s="7">
        <v>13939</v>
      </c>
      <c r="J20" s="7">
        <v>12896</v>
      </c>
      <c r="K20" s="7">
        <v>33888</v>
      </c>
      <c r="L20" s="7">
        <v>39452</v>
      </c>
    </row>
    <row r="21" spans="1:12" ht="18" customHeight="1">
      <c r="A21" s="1">
        <v>1987</v>
      </c>
      <c r="B21" s="7">
        <v>362185</v>
      </c>
      <c r="C21" s="7">
        <v>5826</v>
      </c>
      <c r="D21" s="7">
        <v>1466</v>
      </c>
      <c r="E21" s="7">
        <v>10836</v>
      </c>
      <c r="F21" s="7">
        <v>8336</v>
      </c>
      <c r="G21" s="7">
        <v>84819</v>
      </c>
      <c r="H21" s="7">
        <v>146620</v>
      </c>
      <c r="I21" s="7">
        <v>14411</v>
      </c>
      <c r="J21" s="7">
        <v>11957</v>
      </c>
      <c r="K21" s="7">
        <v>34166</v>
      </c>
      <c r="L21" s="7">
        <v>42254</v>
      </c>
    </row>
    <row r="22" spans="1:12" ht="18" customHeight="1">
      <c r="A22" s="1">
        <v>1988</v>
      </c>
      <c r="B22" s="7">
        <v>395217</v>
      </c>
      <c r="C22" s="7">
        <v>6306</v>
      </c>
      <c r="D22" s="7">
        <v>1613</v>
      </c>
      <c r="E22" s="7">
        <v>11681</v>
      </c>
      <c r="F22" s="7">
        <v>9000</v>
      </c>
      <c r="G22" s="7">
        <v>91103</v>
      </c>
      <c r="H22" s="7">
        <v>161853</v>
      </c>
      <c r="I22" s="7">
        <v>15355</v>
      </c>
      <c r="J22" s="7">
        <v>12775</v>
      </c>
      <c r="K22" s="7">
        <v>37625</v>
      </c>
      <c r="L22" s="7">
        <v>46242</v>
      </c>
    </row>
    <row r="23" spans="1:12" ht="18" customHeight="1">
      <c r="A23" s="1">
        <v>1989</v>
      </c>
      <c r="B23" s="7">
        <v>432772</v>
      </c>
      <c r="C23" s="7">
        <v>6805</v>
      </c>
      <c r="D23" s="7">
        <v>1724</v>
      </c>
      <c r="E23" s="7">
        <v>12682</v>
      </c>
      <c r="F23" s="7">
        <v>9699</v>
      </c>
      <c r="G23" s="7">
        <v>99387</v>
      </c>
      <c r="H23" s="7">
        <v>178681</v>
      </c>
      <c r="I23" s="7">
        <v>16375</v>
      </c>
      <c r="J23" s="7">
        <v>13412</v>
      </c>
      <c r="K23" s="7">
        <v>40559</v>
      </c>
      <c r="L23" s="7">
        <v>51646</v>
      </c>
    </row>
    <row r="24" spans="1:12" ht="18" customHeight="1">
      <c r="A24" s="1">
        <v>1990</v>
      </c>
      <c r="B24" s="7">
        <v>457400</v>
      </c>
      <c r="C24" s="7">
        <v>7257</v>
      </c>
      <c r="D24" s="7">
        <v>1814</v>
      </c>
      <c r="E24" s="7">
        <v>13292</v>
      </c>
      <c r="F24" s="7">
        <v>10134</v>
      </c>
      <c r="G24" s="7">
        <v>105125</v>
      </c>
      <c r="H24" s="7">
        <v>187079</v>
      </c>
      <c r="I24" s="7">
        <v>17368</v>
      </c>
      <c r="J24" s="7">
        <v>14343</v>
      </c>
      <c r="K24" s="7">
        <v>43015</v>
      </c>
      <c r="L24" s="7">
        <v>55976</v>
      </c>
    </row>
    <row r="25" spans="1:12" ht="18" customHeight="1">
      <c r="A25" s="1">
        <v>1991</v>
      </c>
      <c r="B25" s="7">
        <v>472509</v>
      </c>
      <c r="C25" s="7">
        <v>7579</v>
      </c>
      <c r="D25" s="7">
        <v>1886</v>
      </c>
      <c r="E25" s="7">
        <v>13764</v>
      </c>
      <c r="F25" s="7">
        <v>10556</v>
      </c>
      <c r="G25" s="7">
        <v>108569</v>
      </c>
      <c r="H25" s="7">
        <v>192713</v>
      </c>
      <c r="I25" s="7">
        <v>17531</v>
      </c>
      <c r="J25" s="7">
        <v>14535</v>
      </c>
      <c r="K25" s="7">
        <v>44883</v>
      </c>
      <c r="L25" s="7">
        <v>58398</v>
      </c>
    </row>
    <row r="26" spans="1:12" ht="18" customHeight="1">
      <c r="A26" s="1">
        <v>1992</v>
      </c>
      <c r="B26" s="7">
        <v>483370</v>
      </c>
      <c r="C26" s="7">
        <v>7750</v>
      </c>
      <c r="D26" s="7">
        <v>1914</v>
      </c>
      <c r="E26" s="7">
        <v>14115</v>
      </c>
      <c r="F26" s="7">
        <v>10881</v>
      </c>
      <c r="G26" s="7">
        <v>110254</v>
      </c>
      <c r="H26" s="7">
        <v>197670</v>
      </c>
      <c r="I26" s="7">
        <v>17828</v>
      </c>
      <c r="J26" s="7">
        <v>14246</v>
      </c>
      <c r="K26" s="7">
        <v>46131</v>
      </c>
      <c r="L26" s="7">
        <v>60545</v>
      </c>
    </row>
    <row r="27" spans="1:12" ht="18" customHeight="1">
      <c r="A27" s="1">
        <v>1993</v>
      </c>
      <c r="B27" s="7">
        <v>494944</v>
      </c>
      <c r="C27" s="7">
        <v>7944</v>
      </c>
      <c r="D27" s="7">
        <v>2020</v>
      </c>
      <c r="E27" s="7">
        <v>14449</v>
      </c>
      <c r="F27" s="7">
        <v>11154</v>
      </c>
      <c r="G27" s="7">
        <v>113342</v>
      </c>
      <c r="H27" s="7">
        <v>199925</v>
      </c>
      <c r="I27" s="7">
        <v>17926</v>
      </c>
      <c r="J27" s="7">
        <v>14717</v>
      </c>
      <c r="K27" s="7">
        <v>47920</v>
      </c>
      <c r="L27" s="7">
        <v>63513</v>
      </c>
    </row>
    <row r="28" spans="1:12" ht="18" customHeight="1">
      <c r="A28" s="1">
        <v>1994</v>
      </c>
      <c r="B28" s="7">
        <v>501678</v>
      </c>
      <c r="C28" s="7">
        <v>8010</v>
      </c>
      <c r="D28" s="7">
        <v>1997</v>
      </c>
      <c r="E28" s="7">
        <v>14498</v>
      </c>
      <c r="F28" s="7">
        <v>11278</v>
      </c>
      <c r="G28" s="7">
        <v>114606</v>
      </c>
      <c r="H28" s="7">
        <v>202019</v>
      </c>
      <c r="I28" s="7">
        <v>18269</v>
      </c>
      <c r="J28" s="7">
        <v>14728</v>
      </c>
      <c r="K28" s="7">
        <v>48202</v>
      </c>
      <c r="L28" s="7">
        <v>66053</v>
      </c>
    </row>
    <row r="29" spans="1:12" ht="18" customHeight="1">
      <c r="A29" s="1">
        <v>1995</v>
      </c>
      <c r="B29" s="7">
        <v>519588</v>
      </c>
      <c r="C29" s="7">
        <v>8108</v>
      </c>
      <c r="D29" s="7">
        <v>2062</v>
      </c>
      <c r="E29" s="7">
        <v>14806</v>
      </c>
      <c r="F29" s="7">
        <v>11708</v>
      </c>
      <c r="G29" s="7">
        <v>117642</v>
      </c>
      <c r="H29" s="7">
        <v>209272</v>
      </c>
      <c r="I29" s="7">
        <v>18905</v>
      </c>
      <c r="J29" s="7">
        <v>15823</v>
      </c>
      <c r="K29" s="7">
        <v>50047</v>
      </c>
      <c r="L29" s="7">
        <v>69126</v>
      </c>
    </row>
    <row r="30" spans="1:12" ht="18" customHeight="1">
      <c r="A30" s="1">
        <v>1996</v>
      </c>
      <c r="B30" s="7">
        <v>527783</v>
      </c>
      <c r="C30" s="7">
        <v>7987</v>
      </c>
      <c r="D30" s="7">
        <v>2070</v>
      </c>
      <c r="E30" s="7">
        <v>14811</v>
      </c>
      <c r="F30" s="7">
        <v>11813</v>
      </c>
      <c r="G30" s="7">
        <v>119859</v>
      </c>
      <c r="H30" s="7">
        <v>210778</v>
      </c>
      <c r="I30" s="7">
        <v>19553</v>
      </c>
      <c r="J30" s="7">
        <v>16799</v>
      </c>
      <c r="K30" s="7">
        <v>51359</v>
      </c>
      <c r="L30" s="7">
        <v>70595</v>
      </c>
    </row>
    <row r="31" spans="1:12" ht="18" customHeight="1">
      <c r="A31" s="1">
        <v>1997</v>
      </c>
      <c r="B31" s="7">
        <v>546166</v>
      </c>
      <c r="C31" s="7">
        <v>7949</v>
      </c>
      <c r="D31" s="7">
        <v>2118</v>
      </c>
      <c r="E31" s="7">
        <v>15367</v>
      </c>
      <c r="F31" s="7">
        <v>12034</v>
      </c>
      <c r="G31" s="7">
        <v>121990</v>
      </c>
      <c r="H31" s="7">
        <v>220394</v>
      </c>
      <c r="I31" s="7">
        <v>19535</v>
      </c>
      <c r="J31" s="7">
        <v>16029</v>
      </c>
      <c r="K31" s="7">
        <v>55500</v>
      </c>
      <c r="L31" s="7">
        <v>72985</v>
      </c>
    </row>
    <row r="32" spans="1:12" ht="18" customHeight="1">
      <c r="A32" s="1">
        <v>1998</v>
      </c>
      <c r="B32" s="7">
        <v>568766</v>
      </c>
      <c r="C32" s="7">
        <v>8097</v>
      </c>
      <c r="D32" s="7">
        <v>2155</v>
      </c>
      <c r="E32" s="7">
        <v>16045</v>
      </c>
      <c r="F32" s="7">
        <v>12579</v>
      </c>
      <c r="G32" s="7">
        <v>125486</v>
      </c>
      <c r="H32" s="7">
        <v>231462</v>
      </c>
      <c r="I32" s="7">
        <v>20509</v>
      </c>
      <c r="J32" s="7">
        <v>16776</v>
      </c>
      <c r="K32" s="7">
        <v>59073</v>
      </c>
      <c r="L32" s="7">
        <v>74388</v>
      </c>
    </row>
    <row r="33" spans="1:138" ht="18" customHeight="1">
      <c r="A33" s="1">
        <v>1999</v>
      </c>
      <c r="B33" s="7">
        <v>596227</v>
      </c>
      <c r="C33" s="7">
        <v>8378</v>
      </c>
      <c r="D33" s="7">
        <v>2266</v>
      </c>
      <c r="E33" s="7">
        <v>16827</v>
      </c>
      <c r="F33" s="7">
        <v>13189</v>
      </c>
      <c r="G33" s="7">
        <v>131076</v>
      </c>
      <c r="H33" s="7">
        <v>244136</v>
      </c>
      <c r="I33" s="7">
        <v>21133</v>
      </c>
      <c r="J33" s="7">
        <v>17517</v>
      </c>
      <c r="K33" s="7">
        <v>61845</v>
      </c>
      <c r="L33" s="7">
        <v>77412</v>
      </c>
    </row>
    <row r="34" spans="1:138" ht="18" customHeight="1">
      <c r="A34" s="1">
        <v>2000</v>
      </c>
      <c r="B34" s="7">
        <v>639567</v>
      </c>
      <c r="C34" s="7">
        <v>8740</v>
      </c>
      <c r="D34" s="7">
        <v>2420</v>
      </c>
      <c r="E34" s="7">
        <v>17526</v>
      </c>
      <c r="F34" s="7">
        <v>13730</v>
      </c>
      <c r="G34" s="7">
        <v>139159</v>
      </c>
      <c r="H34" s="7">
        <v>265316</v>
      </c>
      <c r="I34" s="7">
        <v>22102</v>
      </c>
      <c r="J34" s="7">
        <v>18187</v>
      </c>
      <c r="K34" s="7">
        <v>67790</v>
      </c>
      <c r="L34" s="7">
        <v>81901</v>
      </c>
    </row>
    <row r="35" spans="1:138" ht="18" customHeight="1">
      <c r="A35" s="1">
        <v>2001</v>
      </c>
      <c r="B35" s="7">
        <v>669196</v>
      </c>
      <c r="C35" s="7">
        <v>9116</v>
      </c>
      <c r="D35" s="7">
        <v>2467</v>
      </c>
      <c r="E35" s="7">
        <v>18126</v>
      </c>
      <c r="F35" s="7">
        <v>14167</v>
      </c>
      <c r="G35" s="7">
        <v>145505</v>
      </c>
      <c r="H35" s="7">
        <v>274607</v>
      </c>
      <c r="I35" s="7">
        <v>22974</v>
      </c>
      <c r="J35" s="7">
        <v>18494</v>
      </c>
      <c r="K35" s="7">
        <v>75535</v>
      </c>
      <c r="L35" s="7">
        <v>85332</v>
      </c>
    </row>
    <row r="36" spans="1:138" ht="18" customHeight="1">
      <c r="A36" s="1">
        <v>2002</v>
      </c>
      <c r="B36" s="7">
        <v>694010</v>
      </c>
      <c r="C36" s="7">
        <v>9381</v>
      </c>
      <c r="D36" s="7">
        <v>2606</v>
      </c>
      <c r="E36" s="7">
        <v>18674</v>
      </c>
      <c r="F36" s="7">
        <v>14480</v>
      </c>
      <c r="G36" s="7">
        <v>151871</v>
      </c>
      <c r="H36" s="7">
        <v>284156</v>
      </c>
      <c r="I36" s="7">
        <v>23678</v>
      </c>
      <c r="J36" s="7">
        <v>19049</v>
      </c>
      <c r="K36" s="7">
        <v>78323</v>
      </c>
      <c r="L36" s="7">
        <v>88594</v>
      </c>
    </row>
    <row r="37" spans="1:138" ht="18" customHeight="1">
      <c r="A37" s="1">
        <v>2003</v>
      </c>
      <c r="B37" s="7">
        <v>720855</v>
      </c>
      <c r="C37" s="7">
        <v>9773</v>
      </c>
      <c r="D37" s="7">
        <v>2635</v>
      </c>
      <c r="E37" s="7">
        <v>19202</v>
      </c>
      <c r="F37" s="7">
        <v>15027</v>
      </c>
      <c r="G37" s="7">
        <v>158823</v>
      </c>
      <c r="H37" s="7">
        <v>293943</v>
      </c>
      <c r="I37" s="7">
        <v>24436</v>
      </c>
      <c r="J37" s="7">
        <v>20238</v>
      </c>
      <c r="K37" s="7">
        <v>81942</v>
      </c>
      <c r="L37" s="7">
        <v>91505</v>
      </c>
    </row>
    <row r="38" spans="1:138" ht="18" customHeight="1">
      <c r="A38" s="1">
        <v>2004</v>
      </c>
      <c r="B38" s="7">
        <v>760462</v>
      </c>
      <c r="C38" s="7">
        <v>10064</v>
      </c>
      <c r="D38" s="7">
        <v>2724</v>
      </c>
      <c r="E38" s="7">
        <v>20086</v>
      </c>
      <c r="F38" s="7">
        <v>15803</v>
      </c>
      <c r="G38" s="7">
        <v>165791</v>
      </c>
      <c r="H38" s="7">
        <v>308383</v>
      </c>
      <c r="I38" s="7">
        <v>25733</v>
      </c>
      <c r="J38" s="7">
        <v>21892</v>
      </c>
      <c r="K38" s="7">
        <v>89556</v>
      </c>
      <c r="L38" s="7">
        <v>96903</v>
      </c>
    </row>
    <row r="39" spans="1:138" ht="18" customHeight="1">
      <c r="A39" s="1">
        <v>2005</v>
      </c>
      <c r="B39" s="7">
        <v>794269</v>
      </c>
      <c r="C39" s="7">
        <v>10343</v>
      </c>
      <c r="D39" s="7">
        <v>2838</v>
      </c>
      <c r="E39" s="7">
        <v>20978</v>
      </c>
      <c r="F39" s="7">
        <v>16303</v>
      </c>
      <c r="G39" s="7">
        <v>171359</v>
      </c>
      <c r="H39" s="7">
        <v>319919</v>
      </c>
      <c r="I39" s="7">
        <v>26443</v>
      </c>
      <c r="J39" s="7">
        <v>22145</v>
      </c>
      <c r="K39" s="7">
        <v>98547</v>
      </c>
      <c r="L39" s="7">
        <v>101619</v>
      </c>
    </row>
    <row r="40" spans="1:138" ht="18" customHeight="1">
      <c r="A40" s="1">
        <v>2006</v>
      </c>
      <c r="B40" s="7">
        <v>853190</v>
      </c>
      <c r="C40" s="7">
        <v>12970</v>
      </c>
      <c r="D40" s="7">
        <v>2982</v>
      </c>
      <c r="E40" s="7">
        <v>21898</v>
      </c>
      <c r="F40" s="7">
        <v>17005</v>
      </c>
      <c r="G40" s="7">
        <v>179211</v>
      </c>
      <c r="H40" s="7">
        <v>340552</v>
      </c>
      <c r="I40" s="7">
        <v>28157</v>
      </c>
      <c r="J40" s="7">
        <v>23244</v>
      </c>
      <c r="K40" s="7">
        <v>112433</v>
      </c>
      <c r="L40" s="7">
        <v>110794</v>
      </c>
    </row>
    <row r="41" spans="1:138" ht="18" customHeight="1">
      <c r="A41" s="1">
        <v>2007</v>
      </c>
      <c r="B41" s="7">
        <v>901634</v>
      </c>
      <c r="C41" s="7">
        <v>12619</v>
      </c>
      <c r="D41" s="7">
        <v>3115</v>
      </c>
      <c r="E41" s="7">
        <v>22905</v>
      </c>
      <c r="F41" s="7">
        <v>17807</v>
      </c>
      <c r="G41" s="7">
        <v>189804</v>
      </c>
      <c r="H41" s="7">
        <v>356073</v>
      </c>
      <c r="I41" s="7">
        <v>29973</v>
      </c>
      <c r="J41" s="7">
        <v>25403</v>
      </c>
      <c r="K41" s="7">
        <v>122060</v>
      </c>
      <c r="L41" s="7">
        <v>117596</v>
      </c>
    </row>
    <row r="42" spans="1:138" ht="18" customHeight="1">
      <c r="A42" s="1">
        <v>2008</v>
      </c>
      <c r="B42" s="7">
        <v>949484</v>
      </c>
      <c r="C42" s="7">
        <v>12446</v>
      </c>
      <c r="D42" s="7">
        <v>3264</v>
      </c>
      <c r="E42" s="7">
        <v>23912</v>
      </c>
      <c r="F42" s="7">
        <v>18914</v>
      </c>
      <c r="G42" s="7">
        <v>198825</v>
      </c>
      <c r="H42" s="7">
        <v>368853</v>
      </c>
      <c r="I42" s="7">
        <v>32016</v>
      </c>
      <c r="J42" s="7">
        <v>29911</v>
      </c>
      <c r="K42" s="7">
        <v>132949</v>
      </c>
      <c r="L42" s="7">
        <v>123854</v>
      </c>
    </row>
    <row r="43" spans="1:138" ht="18" customHeight="1">
      <c r="A43" s="1">
        <v>2009</v>
      </c>
      <c r="B43" s="7">
        <v>965628</v>
      </c>
      <c r="C43" s="7">
        <v>13190</v>
      </c>
      <c r="D43" s="7">
        <v>3394</v>
      </c>
      <c r="E43" s="7">
        <v>24589</v>
      </c>
      <c r="F43" s="7">
        <v>19561</v>
      </c>
      <c r="G43" s="7">
        <v>203781</v>
      </c>
      <c r="H43" s="7">
        <v>373205</v>
      </c>
      <c r="I43" s="7">
        <v>32825</v>
      </c>
      <c r="J43" s="7">
        <v>30283</v>
      </c>
      <c r="K43" s="7">
        <v>135148</v>
      </c>
      <c r="L43" s="7">
        <v>125058</v>
      </c>
    </row>
    <row r="44" spans="1:138" ht="18" customHeight="1">
      <c r="A44" s="1">
        <v>2010</v>
      </c>
      <c r="B44" s="117">
        <f>B43*POWER(B43/B38,1/5)</f>
        <v>1012876.0845944028</v>
      </c>
      <c r="C44" s="117">
        <f t="shared" ref="C44:L44" si="0">C43*POWER(C43/C38,1/5)</f>
        <v>13923.21819121885</v>
      </c>
      <c r="D44" s="117">
        <f t="shared" si="0"/>
        <v>3546.6046972646627</v>
      </c>
      <c r="E44" s="117">
        <f t="shared" si="0"/>
        <v>25604.149166319618</v>
      </c>
      <c r="F44" s="117">
        <f t="shared" si="0"/>
        <v>20413.682495083242</v>
      </c>
      <c r="G44" s="117">
        <f t="shared" si="0"/>
        <v>212365.63310144324</v>
      </c>
      <c r="H44" s="117">
        <f t="shared" si="0"/>
        <v>387720.58422294341</v>
      </c>
      <c r="I44" s="117">
        <f t="shared" si="0"/>
        <v>34462.564958239534</v>
      </c>
      <c r="J44" s="117">
        <f t="shared" si="0"/>
        <v>32313.32048378231</v>
      </c>
      <c r="K44" s="117">
        <f t="shared" si="0"/>
        <v>146741.38379636753</v>
      </c>
      <c r="L44" s="117">
        <f t="shared" si="0"/>
        <v>131603.16384678177</v>
      </c>
    </row>
    <row r="45" spans="1:138" ht="18" customHeight="1">
      <c r="B45" s="172" t="s">
        <v>435</v>
      </c>
      <c r="C45" s="117"/>
      <c r="D45" s="117"/>
      <c r="E45" s="117"/>
      <c r="F45" s="117"/>
      <c r="G45" s="117"/>
      <c r="H45" s="117"/>
      <c r="I45" s="117"/>
      <c r="J45" s="117"/>
      <c r="K45" s="117"/>
      <c r="L45" s="117"/>
    </row>
    <row r="46" spans="1:138" ht="18" customHeight="1">
      <c r="A46" s="252" t="s">
        <v>988</v>
      </c>
      <c r="B46" s="271">
        <f t="shared" ref="B46:L46" si="1">(POWER(B44/B15, 1/29)-1)*100</f>
        <v>5.1116517078328538</v>
      </c>
      <c r="C46" s="271">
        <f t="shared" si="1"/>
        <v>4.5230680722775585</v>
      </c>
      <c r="D46" s="271">
        <f t="shared" si="1"/>
        <v>4.7787011878955621</v>
      </c>
      <c r="E46" s="271">
        <f t="shared" si="1"/>
        <v>4.6148291538941733</v>
      </c>
      <c r="F46" s="271">
        <f t="shared" si="1"/>
        <v>4.7741454508457126</v>
      </c>
      <c r="G46" s="271">
        <f t="shared" si="1"/>
        <v>4.6684609152312539</v>
      </c>
      <c r="H46" s="271">
        <f t="shared" si="1"/>
        <v>5.1917849457554732</v>
      </c>
      <c r="I46" s="271">
        <f t="shared" si="1"/>
        <v>4.5223969468568548</v>
      </c>
      <c r="J46" s="271">
        <f t="shared" si="1"/>
        <v>4.5127737420344483</v>
      </c>
      <c r="K46" s="271">
        <f t="shared" si="1"/>
        <v>6.173732464608106</v>
      </c>
      <c r="L46" s="271">
        <f t="shared" si="1"/>
        <v>5.1734698489143804</v>
      </c>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row>
    <row r="47" spans="1:138">
      <c r="B47" s="1" t="s">
        <v>986</v>
      </c>
    </row>
    <row r="48" spans="1:138">
      <c r="B48" s="1" t="s">
        <v>1007</v>
      </c>
    </row>
    <row r="49" spans="2:2">
      <c r="B49" s="1" t="s">
        <v>767</v>
      </c>
    </row>
    <row r="50" spans="2:2" ht="14.25" customHeight="1">
      <c r="B50" s="1" t="s">
        <v>1000</v>
      </c>
    </row>
    <row r="51" spans="2:2" ht="18" customHeight="1"/>
    <row r="52" spans="2:2" ht="18" customHeight="1"/>
  </sheetData>
  <phoneticPr fontId="0" type="noConversion"/>
  <pageMargins left="0.75" right="0.75" top="1" bottom="1" header="0.5" footer="0.5"/>
  <pageSetup scale="75" orientation="landscape" r:id="rId1"/>
  <headerFooter alignWithMargins="0"/>
  <rowBreaks count="2" manualBreakCount="2">
    <brk id="52" max="16383" man="1"/>
    <brk id="58" max="16383" man="1"/>
  </rowBreaks>
</worksheet>
</file>

<file path=xl/worksheets/sheet54.xml><?xml version="1.0" encoding="utf-8"?>
<worksheet xmlns="http://schemas.openxmlformats.org/spreadsheetml/2006/main" xmlns:r="http://schemas.openxmlformats.org/officeDocument/2006/relationships">
  <dimension ref="A1:EH89"/>
  <sheetViews>
    <sheetView view="pageBreakPreview" topLeftCell="A24" zoomScaleSheetLayoutView="100" workbookViewId="0">
      <selection activeCell="E9" sqref="E9"/>
    </sheetView>
  </sheetViews>
  <sheetFormatPr defaultColWidth="8.875" defaultRowHeight="12.75"/>
  <cols>
    <col min="1" max="6" width="8.875" style="1" customWidth="1"/>
    <col min="7" max="7" width="9.875" style="1" customWidth="1"/>
    <col min="8" max="12" width="8.875" style="1" customWidth="1"/>
    <col min="13" max="13" width="9" style="1" bestFit="1" customWidth="1"/>
    <col min="14" max="16384" width="8.875" style="1"/>
  </cols>
  <sheetData>
    <row r="1" spans="1:12" ht="15.75">
      <c r="B1" s="2" t="s">
        <v>636</v>
      </c>
    </row>
    <row r="3" spans="1:12" s="10" customFormat="1" ht="15">
      <c r="A3" s="284"/>
      <c r="B3" s="284" t="s">
        <v>321</v>
      </c>
      <c r="C3" s="284" t="s">
        <v>449</v>
      </c>
      <c r="D3" s="284" t="s">
        <v>450</v>
      </c>
      <c r="E3" s="284" t="s">
        <v>451</v>
      </c>
      <c r="F3" s="284" t="s">
        <v>452</v>
      </c>
      <c r="G3" s="284" t="s">
        <v>453</v>
      </c>
      <c r="H3" s="284" t="s">
        <v>454</v>
      </c>
      <c r="I3" s="284" t="s">
        <v>455</v>
      </c>
      <c r="J3" s="284" t="s">
        <v>456</v>
      </c>
      <c r="K3" s="284" t="s">
        <v>457</v>
      </c>
      <c r="L3" s="284" t="s">
        <v>458</v>
      </c>
    </row>
    <row r="4" spans="1:12" hidden="1">
      <c r="A4" s="1">
        <v>1971</v>
      </c>
      <c r="B4" s="117">
        <f t="shared" ref="B4:L7" si="0">B5/POWER(B$13/B$8,1/5)</f>
        <v>1748.1125438301221</v>
      </c>
      <c r="C4" s="117">
        <f t="shared" si="0"/>
        <v>24.582836902676696</v>
      </c>
      <c r="D4" s="117">
        <f t="shared" si="0"/>
        <v>6.7452685207864693</v>
      </c>
      <c r="E4" s="117">
        <f t="shared" si="0"/>
        <v>50.176225716201905</v>
      </c>
      <c r="F4" s="117">
        <f t="shared" si="0"/>
        <v>31.677822827783274</v>
      </c>
      <c r="G4" s="117">
        <f t="shared" si="0"/>
        <v>511.29911942015605</v>
      </c>
      <c r="H4" s="117">
        <f t="shared" si="0"/>
        <v>643.0546182958509</v>
      </c>
      <c r="I4" s="117">
        <f t="shared" si="0"/>
        <v>72.879993859646618</v>
      </c>
      <c r="J4" s="117">
        <f t="shared" si="0"/>
        <v>82.069178163995218</v>
      </c>
      <c r="K4" s="117">
        <f t="shared" si="0"/>
        <v>129.49184298343286</v>
      </c>
      <c r="L4" s="117">
        <f t="shared" si="0"/>
        <v>216.58140900184412</v>
      </c>
    </row>
    <row r="5" spans="1:12" hidden="1">
      <c r="A5" s="1">
        <v>1972</v>
      </c>
      <c r="B5" s="117">
        <f t="shared" si="0"/>
        <v>1983.7940615315133</v>
      </c>
      <c r="C5" s="117">
        <f t="shared" si="0"/>
        <v>30.643119372892592</v>
      </c>
      <c r="D5" s="117">
        <f t="shared" si="0"/>
        <v>8.3710402084564723</v>
      </c>
      <c r="E5" s="117">
        <f t="shared" si="0"/>
        <v>56.575539794048694</v>
      </c>
      <c r="F5" s="117">
        <f t="shared" si="0"/>
        <v>37.573649458768109</v>
      </c>
      <c r="G5" s="117">
        <f t="shared" si="0"/>
        <v>556.10742422986198</v>
      </c>
      <c r="H5" s="117">
        <f t="shared" si="0"/>
        <v>734.46312473091962</v>
      </c>
      <c r="I5" s="117">
        <f t="shared" si="0"/>
        <v>82.898410454672657</v>
      </c>
      <c r="J5" s="117">
        <f t="shared" si="0"/>
        <v>88.821818596982069</v>
      </c>
      <c r="K5" s="117">
        <f t="shared" si="0"/>
        <v>150.2324711443726</v>
      </c>
      <c r="L5" s="117">
        <f t="shared" si="0"/>
        <v>250.6960233986587</v>
      </c>
    </row>
    <row r="6" spans="1:12" hidden="1">
      <c r="A6" s="1">
        <v>1973</v>
      </c>
      <c r="B6" s="117">
        <f t="shared" si="0"/>
        <v>2251.250294185942</v>
      </c>
      <c r="C6" s="117">
        <f t="shared" si="0"/>
        <v>38.19741263462975</v>
      </c>
      <c r="D6" s="117">
        <f t="shared" si="0"/>
        <v>10.388661912517103</v>
      </c>
      <c r="E6" s="117">
        <f t="shared" si="0"/>
        <v>63.791001760310792</v>
      </c>
      <c r="F6" s="117">
        <f t="shared" si="0"/>
        <v>44.566798082227216</v>
      </c>
      <c r="G6" s="117">
        <f t="shared" si="0"/>
        <v>604.84255798110109</v>
      </c>
      <c r="H6" s="117">
        <f t="shared" si="0"/>
        <v>838.86510763122669</v>
      </c>
      <c r="I6" s="117">
        <f t="shared" si="0"/>
        <v>94.294004320937006</v>
      </c>
      <c r="J6" s="117">
        <f t="shared" si="0"/>
        <v>96.130065334763302</v>
      </c>
      <c r="K6" s="117">
        <f t="shared" si="0"/>
        <v>174.29511285148916</v>
      </c>
      <c r="L6" s="117">
        <f t="shared" si="0"/>
        <v>290.18416879615779</v>
      </c>
    </row>
    <row r="7" spans="1:12" hidden="1">
      <c r="A7" s="1">
        <v>1974</v>
      </c>
      <c r="B7" s="117">
        <f t="shared" si="0"/>
        <v>2554.7651267589908</v>
      </c>
      <c r="C7" s="117">
        <f t="shared" si="0"/>
        <v>47.614027613352746</v>
      </c>
      <c r="D7" s="117">
        <f t="shared" si="0"/>
        <v>12.892578896414543</v>
      </c>
      <c r="E7" s="117">
        <f t="shared" si="0"/>
        <v>71.92670048571118</v>
      </c>
      <c r="F7" s="117">
        <f t="shared" si="0"/>
        <v>52.861500543927491</v>
      </c>
      <c r="G7" s="117">
        <f t="shared" si="0"/>
        <v>657.8486529859872</v>
      </c>
      <c r="H7" s="117">
        <f t="shared" si="0"/>
        <v>958.10755517366181</v>
      </c>
      <c r="I7" s="117">
        <f t="shared" si="0"/>
        <v>107.25608853186058</v>
      </c>
      <c r="J7" s="117">
        <f t="shared" si="0"/>
        <v>104.03963358592891</v>
      </c>
      <c r="K7" s="117">
        <f t="shared" si="0"/>
        <v>202.21185295367667</v>
      </c>
      <c r="L7" s="117">
        <f t="shared" si="0"/>
        <v>335.89225181290823</v>
      </c>
    </row>
    <row r="8" spans="1:12" hidden="1">
      <c r="A8" s="1">
        <v>1975</v>
      </c>
      <c r="B8" s="7">
        <v>2899.2</v>
      </c>
      <c r="C8" s="7">
        <v>59.3520730644926</v>
      </c>
      <c r="D8" s="7">
        <v>16</v>
      </c>
      <c r="E8" s="7">
        <v>81.099999999999994</v>
      </c>
      <c r="F8" s="7">
        <v>62.7</v>
      </c>
      <c r="G8" s="7">
        <v>715.5</v>
      </c>
      <c r="H8" s="7">
        <v>1094.3</v>
      </c>
      <c r="I8" s="7">
        <v>122</v>
      </c>
      <c r="J8" s="7">
        <v>112.6</v>
      </c>
      <c r="K8" s="7">
        <v>234.6</v>
      </c>
      <c r="L8" s="7">
        <v>388.8</v>
      </c>
    </row>
    <row r="9" spans="1:12" hidden="1">
      <c r="A9" s="1">
        <v>1976</v>
      </c>
      <c r="B9" s="7">
        <v>3232.6</v>
      </c>
      <c r="C9" s="7">
        <v>86.873360378289092</v>
      </c>
      <c r="D9" s="7">
        <v>15.6</v>
      </c>
      <c r="E9" s="7">
        <v>100.8</v>
      </c>
      <c r="F9" s="7">
        <v>67.5</v>
      </c>
      <c r="G9" s="7">
        <v>755</v>
      </c>
      <c r="H9" s="7">
        <v>1205.4000000000001</v>
      </c>
      <c r="I9" s="7">
        <v>129.69999999999999</v>
      </c>
      <c r="J9" s="7">
        <v>126.5</v>
      </c>
      <c r="K9" s="7">
        <v>260.39999999999998</v>
      </c>
      <c r="L9" s="7">
        <v>471.2</v>
      </c>
    </row>
    <row r="10" spans="1:12" hidden="1">
      <c r="A10" s="1">
        <v>1977</v>
      </c>
      <c r="B10" s="7">
        <v>3605.4</v>
      </c>
      <c r="C10" s="7">
        <v>121.775571146179</v>
      </c>
      <c r="D10" s="7">
        <v>16.100000000000001</v>
      </c>
      <c r="E10" s="7">
        <v>99.6</v>
      </c>
      <c r="F10" s="7">
        <v>74.5</v>
      </c>
      <c r="G10" s="7">
        <v>772.8</v>
      </c>
      <c r="H10" s="7">
        <v>1360</v>
      </c>
      <c r="I10" s="7">
        <v>151.9</v>
      </c>
      <c r="J10" s="7">
        <v>143.69999999999999</v>
      </c>
      <c r="K10" s="7">
        <v>293.3</v>
      </c>
      <c r="L10" s="7">
        <v>556.79999999999995</v>
      </c>
    </row>
    <row r="11" spans="1:12" hidden="1">
      <c r="A11" s="1">
        <v>1978</v>
      </c>
      <c r="B11" s="7">
        <v>4066.3</v>
      </c>
      <c r="C11" s="7">
        <v>146.28237758366902</v>
      </c>
      <c r="D11" s="7">
        <v>20.9</v>
      </c>
      <c r="E11" s="7">
        <v>109.5</v>
      </c>
      <c r="F11" s="7">
        <v>91.1</v>
      </c>
      <c r="G11" s="7">
        <v>843.2</v>
      </c>
      <c r="H11" s="7">
        <v>1596.7</v>
      </c>
      <c r="I11" s="7">
        <v>160</v>
      </c>
      <c r="J11" s="7">
        <v>144.6</v>
      </c>
      <c r="K11" s="7">
        <v>337.7</v>
      </c>
      <c r="L11" s="7">
        <v>599.9</v>
      </c>
    </row>
    <row r="12" spans="1:12" hidden="1">
      <c r="A12" s="1">
        <v>1979</v>
      </c>
      <c r="B12" s="7">
        <v>4617.3999999999996</v>
      </c>
      <c r="C12" s="7">
        <v>164.42390160099799</v>
      </c>
      <c r="D12" s="7">
        <v>31.8</v>
      </c>
      <c r="E12" s="7">
        <v>127.8</v>
      </c>
      <c r="F12" s="7">
        <v>118.7</v>
      </c>
      <c r="G12" s="7">
        <v>901.6</v>
      </c>
      <c r="H12" s="7">
        <v>1874.6</v>
      </c>
      <c r="I12" s="7">
        <v>189</v>
      </c>
      <c r="J12" s="7">
        <v>159.19999999999999</v>
      </c>
      <c r="K12" s="7">
        <v>389.1</v>
      </c>
      <c r="L12" s="7">
        <v>643.4</v>
      </c>
    </row>
    <row r="13" spans="1:12" hidden="1">
      <c r="A13" s="1">
        <v>1980</v>
      </c>
      <c r="B13" s="7">
        <v>5456.5</v>
      </c>
      <c r="C13" s="7">
        <v>178.624390064376</v>
      </c>
      <c r="D13" s="7">
        <v>47.1</v>
      </c>
      <c r="E13" s="7">
        <v>147.80000000000001</v>
      </c>
      <c r="F13" s="7">
        <v>147.19999999999999</v>
      </c>
      <c r="G13" s="7">
        <v>1089</v>
      </c>
      <c r="H13" s="7">
        <v>2126.9</v>
      </c>
      <c r="I13" s="7">
        <v>232.3</v>
      </c>
      <c r="J13" s="7">
        <v>167.2</v>
      </c>
      <c r="K13" s="7">
        <v>493.1</v>
      </c>
      <c r="L13" s="7">
        <v>807.9</v>
      </c>
    </row>
    <row r="14" spans="1:12" hidden="1">
      <c r="B14" s="7"/>
      <c r="C14" s="7"/>
      <c r="D14" s="7"/>
      <c r="E14" s="7"/>
      <c r="F14" s="7"/>
      <c r="G14" s="7"/>
      <c r="H14" s="7"/>
      <c r="I14" s="7"/>
      <c r="J14" s="7"/>
      <c r="K14" s="7"/>
      <c r="L14" s="7"/>
    </row>
    <row r="15" spans="1:12" ht="16.5" customHeight="1">
      <c r="A15" s="1">
        <v>1981</v>
      </c>
      <c r="B15" s="7">
        <v>6334.1</v>
      </c>
      <c r="C15" s="7">
        <v>210.81648997835001</v>
      </c>
      <c r="D15" s="7">
        <v>49.3</v>
      </c>
      <c r="E15" s="7">
        <v>166.8</v>
      </c>
      <c r="F15" s="7">
        <v>177.7</v>
      </c>
      <c r="G15" s="7">
        <v>1397.1</v>
      </c>
      <c r="H15" s="7">
        <v>2377.6</v>
      </c>
      <c r="I15" s="7">
        <v>287.60000000000002</v>
      </c>
      <c r="J15" s="7">
        <v>185.9</v>
      </c>
      <c r="K15" s="7">
        <v>581.5</v>
      </c>
      <c r="L15" s="7">
        <v>879.1</v>
      </c>
    </row>
    <row r="16" spans="1:12" ht="16.5" customHeight="1">
      <c r="A16" s="1">
        <v>1982</v>
      </c>
      <c r="B16" s="7">
        <v>7312.3</v>
      </c>
      <c r="C16" s="7">
        <v>218.43317335618602</v>
      </c>
      <c r="D16" s="7">
        <v>50.4</v>
      </c>
      <c r="E16" s="7">
        <v>199.2</v>
      </c>
      <c r="F16" s="7">
        <v>210.1</v>
      </c>
      <c r="G16" s="7">
        <v>1528.6</v>
      </c>
      <c r="H16" s="7">
        <v>2834.2</v>
      </c>
      <c r="I16" s="7">
        <v>315.10000000000002</v>
      </c>
      <c r="J16" s="7">
        <v>204.1</v>
      </c>
      <c r="K16" s="7">
        <v>786.9</v>
      </c>
      <c r="L16" s="7">
        <v>943.1</v>
      </c>
    </row>
    <row r="17" spans="1:12" ht="16.5" customHeight="1">
      <c r="A17" s="1">
        <v>1983</v>
      </c>
      <c r="B17" s="7">
        <v>7958.6</v>
      </c>
      <c r="C17" s="7">
        <v>234.73746579904702</v>
      </c>
      <c r="D17" s="7">
        <v>51.1</v>
      </c>
      <c r="E17" s="7">
        <v>215.9</v>
      </c>
      <c r="F17" s="7">
        <v>232.6</v>
      </c>
      <c r="G17" s="7">
        <v>1643.1</v>
      </c>
      <c r="H17" s="7">
        <v>3253.5</v>
      </c>
      <c r="I17" s="7">
        <v>337.6</v>
      </c>
      <c r="J17" s="7">
        <v>219.1</v>
      </c>
      <c r="K17" s="7">
        <v>720.5</v>
      </c>
      <c r="L17" s="7">
        <v>1026.9000000000001</v>
      </c>
    </row>
    <row r="18" spans="1:12" ht="16.5" customHeight="1">
      <c r="A18" s="1">
        <v>1984</v>
      </c>
      <c r="B18" s="7">
        <v>8786.2999999999993</v>
      </c>
      <c r="C18" s="7">
        <v>191.81100252136301</v>
      </c>
      <c r="D18" s="7">
        <v>49.9</v>
      </c>
      <c r="E18" s="7">
        <v>248.5</v>
      </c>
      <c r="F18" s="7">
        <v>265.60000000000002</v>
      </c>
      <c r="G18" s="7">
        <v>1827.6</v>
      </c>
      <c r="H18" s="7">
        <v>3624.8</v>
      </c>
      <c r="I18" s="7">
        <v>367.8</v>
      </c>
      <c r="J18" s="7">
        <v>258.60000000000002</v>
      </c>
      <c r="K18" s="7">
        <v>767.5</v>
      </c>
      <c r="L18" s="7">
        <v>1159.2</v>
      </c>
    </row>
    <row r="19" spans="1:12" ht="16.5" customHeight="1">
      <c r="A19" s="1">
        <v>1985</v>
      </c>
      <c r="B19" s="7">
        <v>9746.9</v>
      </c>
      <c r="C19" s="7">
        <v>197.05406535629399</v>
      </c>
      <c r="D19" s="7">
        <v>52.9</v>
      </c>
      <c r="E19" s="7">
        <v>285.3</v>
      </c>
      <c r="F19" s="7">
        <v>274.10000000000002</v>
      </c>
      <c r="G19" s="7">
        <v>2104.4</v>
      </c>
      <c r="H19" s="7">
        <v>3999.5</v>
      </c>
      <c r="I19" s="7">
        <v>415.6</v>
      </c>
      <c r="J19" s="7">
        <v>333.2</v>
      </c>
      <c r="K19" s="7">
        <v>831.3</v>
      </c>
      <c r="L19" s="7">
        <v>1227.0999999999999</v>
      </c>
    </row>
    <row r="20" spans="1:12" ht="16.5" customHeight="1">
      <c r="A20" s="1">
        <v>1986</v>
      </c>
      <c r="B20" s="7">
        <v>10808.7</v>
      </c>
      <c r="C20" s="7">
        <v>169.57687913036102</v>
      </c>
      <c r="D20" s="7">
        <v>49.6</v>
      </c>
      <c r="E20" s="7">
        <v>353.7</v>
      </c>
      <c r="F20" s="7">
        <v>285.89999999999998</v>
      </c>
      <c r="G20" s="7">
        <v>2486.1</v>
      </c>
      <c r="H20" s="7">
        <v>4367.1000000000004</v>
      </c>
      <c r="I20" s="7">
        <v>463.9</v>
      </c>
      <c r="J20" s="7">
        <v>377.7</v>
      </c>
      <c r="K20" s="7">
        <v>910.6</v>
      </c>
      <c r="L20" s="7">
        <v>1317.2</v>
      </c>
    </row>
    <row r="21" spans="1:12" ht="16.5" customHeight="1">
      <c r="A21" s="1">
        <v>1987</v>
      </c>
      <c r="B21" s="7">
        <v>11733.5</v>
      </c>
      <c r="C21" s="7">
        <v>188.01119656761199</v>
      </c>
      <c r="D21" s="7">
        <v>53.3</v>
      </c>
      <c r="E21" s="7">
        <v>395</v>
      </c>
      <c r="F21" s="7">
        <v>305.10000000000002</v>
      </c>
      <c r="G21" s="7">
        <v>2632.2</v>
      </c>
      <c r="H21" s="7">
        <v>4854.5</v>
      </c>
      <c r="I21" s="7">
        <v>449.9</v>
      </c>
      <c r="J21" s="7">
        <v>395.5</v>
      </c>
      <c r="K21" s="7">
        <v>985.5</v>
      </c>
      <c r="L21" s="7">
        <v>1444.9</v>
      </c>
    </row>
    <row r="22" spans="1:12" ht="16.5" customHeight="1">
      <c r="A22" s="1">
        <v>1988</v>
      </c>
      <c r="B22" s="7">
        <v>12796.4</v>
      </c>
      <c r="C22" s="7">
        <v>197.11370362093703</v>
      </c>
      <c r="D22" s="7">
        <v>56.5</v>
      </c>
      <c r="E22" s="7">
        <v>420.3</v>
      </c>
      <c r="F22" s="7">
        <v>330.5</v>
      </c>
      <c r="G22" s="7">
        <v>2850.8</v>
      </c>
      <c r="H22" s="7">
        <v>5321.9</v>
      </c>
      <c r="I22" s="7">
        <v>435.4</v>
      </c>
      <c r="J22" s="7">
        <v>369.3</v>
      </c>
      <c r="K22" s="7">
        <v>1184.9000000000001</v>
      </c>
      <c r="L22" s="7">
        <v>1597.1</v>
      </c>
    </row>
    <row r="23" spans="1:12" ht="16.5" customHeight="1">
      <c r="A23" s="1">
        <v>1989</v>
      </c>
      <c r="B23" s="7">
        <v>14184.3</v>
      </c>
      <c r="C23" s="7">
        <v>203.89898389336</v>
      </c>
      <c r="D23" s="7">
        <v>64.900000000000006</v>
      </c>
      <c r="E23" s="7">
        <v>470.3</v>
      </c>
      <c r="F23" s="7">
        <v>352.4</v>
      </c>
      <c r="G23" s="7">
        <v>3181.7</v>
      </c>
      <c r="H23" s="7">
        <v>5876.9</v>
      </c>
      <c r="I23" s="7">
        <v>484.2</v>
      </c>
      <c r="J23" s="7">
        <v>423.7</v>
      </c>
      <c r="K23" s="7">
        <v>1318.8</v>
      </c>
      <c r="L23" s="7">
        <v>1773</v>
      </c>
    </row>
    <row r="24" spans="1:12" ht="16.5" customHeight="1">
      <c r="A24" s="1">
        <v>1990</v>
      </c>
      <c r="B24" s="7">
        <v>15577.1</v>
      </c>
      <c r="C24" s="7">
        <v>220.55034426221101</v>
      </c>
      <c r="D24" s="7">
        <v>70</v>
      </c>
      <c r="E24" s="7">
        <v>490.4</v>
      </c>
      <c r="F24" s="7">
        <v>397.4</v>
      </c>
      <c r="G24" s="7">
        <v>3497.4</v>
      </c>
      <c r="H24" s="7">
        <v>6466.2</v>
      </c>
      <c r="I24" s="7">
        <v>533.20000000000005</v>
      </c>
      <c r="J24" s="7">
        <v>460.1</v>
      </c>
      <c r="K24" s="7">
        <v>1422.5</v>
      </c>
      <c r="L24" s="7">
        <v>1986</v>
      </c>
    </row>
    <row r="25" spans="1:12" ht="16.5" customHeight="1">
      <c r="A25" s="1">
        <v>1991</v>
      </c>
      <c r="B25" s="7">
        <v>16906.900000000001</v>
      </c>
      <c r="C25" s="7">
        <v>247.52985945936601</v>
      </c>
      <c r="D25" s="7">
        <v>76.8</v>
      </c>
      <c r="E25" s="7">
        <v>518.79999999999995</v>
      </c>
      <c r="F25" s="7">
        <v>442.4</v>
      </c>
      <c r="G25" s="7">
        <v>3819.3</v>
      </c>
      <c r="H25" s="7">
        <v>7038.2</v>
      </c>
      <c r="I25" s="7">
        <v>570</v>
      </c>
      <c r="J25" s="7">
        <v>490.9</v>
      </c>
      <c r="K25" s="7">
        <v>1505.1</v>
      </c>
      <c r="L25" s="7">
        <v>2159.5</v>
      </c>
    </row>
    <row r="26" spans="1:12" ht="16.5" customHeight="1">
      <c r="A26" s="1">
        <v>1992</v>
      </c>
      <c r="B26" s="7">
        <v>18111.96</v>
      </c>
      <c r="C26" s="7">
        <v>269.14</v>
      </c>
      <c r="D26" s="7">
        <v>85.77</v>
      </c>
      <c r="E26" s="7">
        <v>554.54999999999995</v>
      </c>
      <c r="F26" s="7">
        <v>466.76</v>
      </c>
      <c r="G26" s="7">
        <v>4141.54</v>
      </c>
      <c r="H26" s="7">
        <v>7573.72</v>
      </c>
      <c r="I26" s="7">
        <v>602.59</v>
      </c>
      <c r="J26" s="7">
        <v>505.84</v>
      </c>
      <c r="K26" s="7">
        <v>1584.22</v>
      </c>
      <c r="L26" s="7">
        <v>2291.19</v>
      </c>
    </row>
    <row r="27" spans="1:12" ht="16.5" customHeight="1">
      <c r="A27" s="1">
        <v>1993</v>
      </c>
      <c r="B27" s="7">
        <v>19578.05</v>
      </c>
      <c r="C27" s="7">
        <v>284.17</v>
      </c>
      <c r="D27" s="7">
        <v>93.49</v>
      </c>
      <c r="E27" s="7">
        <v>579.54</v>
      </c>
      <c r="F27" s="7">
        <v>502.95</v>
      </c>
      <c r="G27" s="7">
        <v>4444.55</v>
      </c>
      <c r="H27" s="7">
        <v>8253.18</v>
      </c>
      <c r="I27" s="7">
        <v>660.25</v>
      </c>
      <c r="J27" s="7">
        <v>574.1</v>
      </c>
      <c r="K27" s="7">
        <v>1719.91</v>
      </c>
      <c r="L27" s="7">
        <v>2427.02</v>
      </c>
    </row>
    <row r="28" spans="1:12" ht="16.5" customHeight="1">
      <c r="A28" s="1">
        <v>1994</v>
      </c>
      <c r="B28" s="7">
        <v>20574.23</v>
      </c>
      <c r="C28" s="7">
        <v>301.14</v>
      </c>
      <c r="D28" s="7">
        <v>96.69</v>
      </c>
      <c r="E28" s="7">
        <v>610.22</v>
      </c>
      <c r="F28" s="7">
        <v>520.77</v>
      </c>
      <c r="G28" s="7">
        <v>4653.54</v>
      </c>
      <c r="H28" s="7">
        <v>8740.66</v>
      </c>
      <c r="I28" s="7">
        <v>689.23</v>
      </c>
      <c r="J28" s="7">
        <v>606.39</v>
      </c>
      <c r="K28" s="7">
        <v>1785.67</v>
      </c>
      <c r="L28" s="7">
        <v>2533.1999999999998</v>
      </c>
    </row>
    <row r="29" spans="1:12" ht="16.5" customHeight="1">
      <c r="A29" s="1">
        <v>1995</v>
      </c>
      <c r="B29" s="7">
        <v>21370.1</v>
      </c>
      <c r="C29" s="7">
        <v>296.37</v>
      </c>
      <c r="D29" s="7">
        <v>104.61</v>
      </c>
      <c r="E29" s="7">
        <v>621.29</v>
      </c>
      <c r="F29" s="7">
        <v>496.36</v>
      </c>
      <c r="G29" s="7">
        <v>4663.63</v>
      </c>
      <c r="H29" s="7">
        <v>9411.7099999999991</v>
      </c>
      <c r="I29" s="7">
        <v>736.09</v>
      </c>
      <c r="J29" s="7">
        <v>621.49</v>
      </c>
      <c r="K29" s="7">
        <v>1809.01</v>
      </c>
      <c r="L29" s="7">
        <v>2574.3200000000002</v>
      </c>
    </row>
    <row r="30" spans="1:12" ht="16.5" customHeight="1">
      <c r="A30" s="1">
        <v>1996</v>
      </c>
      <c r="B30" s="7">
        <v>21910.54</v>
      </c>
      <c r="C30" s="7">
        <v>278.95999999999998</v>
      </c>
      <c r="D30" s="7">
        <v>106.07</v>
      </c>
      <c r="E30" s="7">
        <v>650.80999999999995</v>
      </c>
      <c r="F30" s="7">
        <v>488.4</v>
      </c>
      <c r="G30" s="7">
        <v>4727.93</v>
      </c>
      <c r="H30" s="7">
        <v>9655.33</v>
      </c>
      <c r="I30" s="7">
        <v>786.78</v>
      </c>
      <c r="J30" s="7">
        <v>627.73</v>
      </c>
      <c r="K30" s="7">
        <v>1854.16</v>
      </c>
      <c r="L30" s="7">
        <v>2689.38</v>
      </c>
    </row>
    <row r="31" spans="1:12" ht="16.5" customHeight="1">
      <c r="A31" s="1">
        <v>1997</v>
      </c>
      <c r="B31" s="7">
        <v>23532.03</v>
      </c>
      <c r="C31" s="7">
        <v>284.24</v>
      </c>
      <c r="D31" s="7">
        <v>110.4</v>
      </c>
      <c r="E31" s="7">
        <v>694.52</v>
      </c>
      <c r="F31" s="7">
        <v>551.07000000000005</v>
      </c>
      <c r="G31" s="7">
        <v>4976.04</v>
      </c>
      <c r="H31" s="7">
        <v>10313.969999999999</v>
      </c>
      <c r="I31" s="7">
        <v>848.6</v>
      </c>
      <c r="J31" s="7">
        <v>680.13</v>
      </c>
      <c r="K31" s="7">
        <v>2140.09</v>
      </c>
      <c r="L31" s="7">
        <v>2889.34</v>
      </c>
    </row>
    <row r="32" spans="1:12" ht="16.5" customHeight="1">
      <c r="A32" s="1">
        <v>1998</v>
      </c>
      <c r="B32" s="7">
        <v>24768.28</v>
      </c>
      <c r="C32" s="7">
        <v>324.12</v>
      </c>
      <c r="D32" s="7">
        <v>115.88</v>
      </c>
      <c r="E32" s="7">
        <v>757.31</v>
      </c>
      <c r="F32" s="7">
        <v>553.63</v>
      </c>
      <c r="G32" s="7">
        <v>5000.5200000000004</v>
      </c>
      <c r="H32" s="7">
        <v>11053.95</v>
      </c>
      <c r="I32" s="7">
        <v>893.28</v>
      </c>
      <c r="J32" s="7">
        <v>673.33</v>
      </c>
      <c r="K32" s="7">
        <v>2251.1</v>
      </c>
      <c r="L32" s="7">
        <v>3102.8</v>
      </c>
    </row>
    <row r="33" spans="1:138" ht="16.5" customHeight="1">
      <c r="A33" s="1">
        <v>1999</v>
      </c>
      <c r="B33" s="7">
        <v>26998.84</v>
      </c>
      <c r="C33" s="7">
        <v>330.43</v>
      </c>
      <c r="D33" s="7">
        <v>119.7</v>
      </c>
      <c r="E33" s="7">
        <v>765.63</v>
      </c>
      <c r="F33" s="7">
        <v>606.99</v>
      </c>
      <c r="G33" s="7">
        <v>5550.97</v>
      </c>
      <c r="H33" s="7">
        <v>12033.57</v>
      </c>
      <c r="I33" s="7">
        <v>979.74</v>
      </c>
      <c r="J33" s="7">
        <v>725.05</v>
      </c>
      <c r="K33" s="7">
        <v>2539.89</v>
      </c>
      <c r="L33" s="7">
        <v>3299.78</v>
      </c>
    </row>
    <row r="34" spans="1:138" ht="16.5" customHeight="1">
      <c r="A34" s="1">
        <v>2000</v>
      </c>
      <c r="B34" s="7">
        <v>29160.73</v>
      </c>
      <c r="C34" s="7">
        <v>366.45</v>
      </c>
      <c r="D34" s="7">
        <v>123.65</v>
      </c>
      <c r="E34" s="7">
        <v>855.96</v>
      </c>
      <c r="F34" s="7">
        <v>638.62</v>
      </c>
      <c r="G34" s="7">
        <v>5905.39</v>
      </c>
      <c r="H34" s="7">
        <v>13023.24</v>
      </c>
      <c r="I34" s="7">
        <v>1040.4100000000001</v>
      </c>
      <c r="J34" s="7">
        <v>773.9</v>
      </c>
      <c r="K34" s="7">
        <v>2822.87</v>
      </c>
      <c r="L34" s="7">
        <v>3556.54</v>
      </c>
    </row>
    <row r="35" spans="1:138" ht="16.5" customHeight="1">
      <c r="A35" s="1">
        <v>2001</v>
      </c>
      <c r="B35" s="7">
        <v>32060.97</v>
      </c>
      <c r="C35" s="7">
        <v>385.68</v>
      </c>
      <c r="D35" s="7">
        <v>147.46</v>
      </c>
      <c r="E35" s="7">
        <v>921.8</v>
      </c>
      <c r="F35" s="7">
        <v>727.81</v>
      </c>
      <c r="G35" s="7">
        <v>6561.46</v>
      </c>
      <c r="H35" s="7">
        <v>14136.13</v>
      </c>
      <c r="I35" s="7">
        <v>1173.01</v>
      </c>
      <c r="J35" s="7">
        <v>869.61</v>
      </c>
      <c r="K35" s="7">
        <v>3258.14</v>
      </c>
      <c r="L35" s="7">
        <v>3815.43</v>
      </c>
    </row>
    <row r="36" spans="1:138" ht="16.5" customHeight="1">
      <c r="A36" s="1">
        <v>2002</v>
      </c>
      <c r="B36" s="7">
        <v>34997.07</v>
      </c>
      <c r="C36" s="7">
        <v>414.95</v>
      </c>
      <c r="D36" s="7">
        <v>139.77000000000001</v>
      </c>
      <c r="E36" s="7">
        <v>1035.31</v>
      </c>
      <c r="F36" s="7">
        <v>786.48</v>
      </c>
      <c r="G36" s="7">
        <v>7079.23</v>
      </c>
      <c r="H36" s="7">
        <v>15796.5</v>
      </c>
      <c r="I36" s="7">
        <v>1224.82</v>
      </c>
      <c r="J36" s="7">
        <v>898.98</v>
      </c>
      <c r="K36" s="7">
        <v>3385.41</v>
      </c>
      <c r="L36" s="7">
        <v>4162.57</v>
      </c>
    </row>
    <row r="37" spans="1:138" ht="16.5" customHeight="1">
      <c r="A37" s="1">
        <v>2003</v>
      </c>
      <c r="B37" s="7">
        <v>36869.26</v>
      </c>
      <c r="C37" s="7">
        <v>469.32</v>
      </c>
      <c r="D37" s="7">
        <v>161.32</v>
      </c>
      <c r="E37" s="7">
        <v>1106.33</v>
      </c>
      <c r="F37" s="7">
        <v>840.9</v>
      </c>
      <c r="G37" s="7">
        <v>7606.88</v>
      </c>
      <c r="H37" s="7">
        <v>16404.91</v>
      </c>
      <c r="I37" s="7">
        <v>1264.52</v>
      </c>
      <c r="J37" s="7">
        <v>971.24</v>
      </c>
      <c r="K37" s="7">
        <v>3563.16</v>
      </c>
      <c r="L37" s="7">
        <v>4405.16</v>
      </c>
    </row>
    <row r="38" spans="1:138" ht="16.5" customHeight="1">
      <c r="A38" s="1">
        <v>2004</v>
      </c>
      <c r="B38" s="7">
        <v>39357.440000000002</v>
      </c>
      <c r="C38" s="7">
        <v>507.36</v>
      </c>
      <c r="D38" s="7">
        <v>162.27000000000001</v>
      </c>
      <c r="E38" s="7">
        <v>1130.97</v>
      </c>
      <c r="F38" s="7">
        <v>864.55</v>
      </c>
      <c r="G38" s="7">
        <v>7833.01</v>
      </c>
      <c r="H38" s="7">
        <v>17667.22</v>
      </c>
      <c r="I38" s="7">
        <v>1322.01</v>
      </c>
      <c r="J38" s="7">
        <v>1021.36</v>
      </c>
      <c r="K38" s="7">
        <v>3928.71</v>
      </c>
      <c r="L38" s="7">
        <v>4840.2</v>
      </c>
    </row>
    <row r="39" spans="1:138" ht="16.5" customHeight="1">
      <c r="A39" s="1">
        <v>2005</v>
      </c>
      <c r="B39" s="7">
        <v>41892.71</v>
      </c>
      <c r="C39" s="7">
        <v>548.66999999999996</v>
      </c>
      <c r="D39" s="7">
        <v>163.19</v>
      </c>
      <c r="E39" s="7">
        <v>1202.48</v>
      </c>
      <c r="F39" s="7">
        <v>984.18</v>
      </c>
      <c r="G39" s="7">
        <v>8513.4599999999991</v>
      </c>
      <c r="H39" s="7">
        <v>18698.53</v>
      </c>
      <c r="I39" s="7">
        <v>1408.5</v>
      </c>
      <c r="J39" s="7">
        <v>1049.82</v>
      </c>
      <c r="K39" s="7">
        <v>4177.22</v>
      </c>
      <c r="L39" s="7">
        <v>5042.9799999999996</v>
      </c>
    </row>
    <row r="40" spans="1:138" ht="16.5" customHeight="1">
      <c r="A40" s="1">
        <v>2006</v>
      </c>
      <c r="B40" s="7">
        <v>45645.64</v>
      </c>
      <c r="C40" s="7">
        <v>560.4</v>
      </c>
      <c r="D40" s="7">
        <v>187.73</v>
      </c>
      <c r="E40" s="7">
        <v>1328.53</v>
      </c>
      <c r="F40" s="7">
        <v>1054.68</v>
      </c>
      <c r="G40" s="7">
        <v>9051.41</v>
      </c>
      <c r="H40" s="7">
        <v>19924.45</v>
      </c>
      <c r="I40" s="7">
        <v>1523.73</v>
      </c>
      <c r="J40" s="7">
        <v>1159.5</v>
      </c>
      <c r="K40" s="7">
        <v>4889.32</v>
      </c>
      <c r="L40" s="7">
        <v>5850.65</v>
      </c>
    </row>
    <row r="41" spans="1:138" ht="16.5" customHeight="1">
      <c r="A41" s="1">
        <v>2007</v>
      </c>
      <c r="B41" s="7">
        <v>47760.08</v>
      </c>
      <c r="C41" s="7">
        <v>631.46</v>
      </c>
      <c r="D41" s="7">
        <v>188.38</v>
      </c>
      <c r="E41" s="7">
        <v>1408.89</v>
      </c>
      <c r="F41" s="7">
        <v>1075.46</v>
      </c>
      <c r="G41" s="7">
        <v>9506.92</v>
      </c>
      <c r="H41" s="7">
        <v>20980.35</v>
      </c>
      <c r="I41" s="7">
        <v>1578.03</v>
      </c>
      <c r="J41" s="7">
        <v>1213.1400000000001</v>
      </c>
      <c r="K41" s="7">
        <v>5177.87</v>
      </c>
      <c r="L41" s="7">
        <v>5857.8</v>
      </c>
    </row>
    <row r="42" spans="1:138" ht="16.5" customHeight="1">
      <c r="A42" s="1">
        <v>2008</v>
      </c>
      <c r="B42" s="7">
        <v>50724.75</v>
      </c>
      <c r="C42" s="7">
        <v>636.26</v>
      </c>
      <c r="D42" s="7">
        <v>196.23</v>
      </c>
      <c r="E42" s="7">
        <v>1488.39</v>
      </c>
      <c r="F42" s="7">
        <v>1143.8399999999999</v>
      </c>
      <c r="G42" s="7">
        <v>10220.07</v>
      </c>
      <c r="H42" s="7">
        <v>21815.61</v>
      </c>
      <c r="I42" s="7">
        <v>1707.72</v>
      </c>
      <c r="J42" s="7">
        <v>1235.47</v>
      </c>
      <c r="K42" s="7">
        <v>5603.88</v>
      </c>
      <c r="L42" s="7">
        <v>6543.87</v>
      </c>
    </row>
    <row r="43" spans="1:138" ht="16.5" customHeight="1">
      <c r="A43" s="1">
        <v>2009</v>
      </c>
      <c r="B43" s="117">
        <v>53523.96</v>
      </c>
      <c r="C43" s="117">
        <v>651.04</v>
      </c>
      <c r="D43" s="117">
        <v>207.42</v>
      </c>
      <c r="E43" s="117">
        <v>1613.7</v>
      </c>
      <c r="F43" s="117">
        <v>1256.83</v>
      </c>
      <c r="G43" s="117">
        <v>10912.29</v>
      </c>
      <c r="H43" s="117">
        <v>23054.07</v>
      </c>
      <c r="I43" s="117">
        <v>1789.32</v>
      </c>
      <c r="J43" s="117">
        <v>1325.2</v>
      </c>
      <c r="K43" s="117">
        <v>5859.83</v>
      </c>
      <c r="L43" s="117">
        <v>6710.91</v>
      </c>
    </row>
    <row r="44" spans="1:138" ht="16.5" customHeight="1">
      <c r="A44" s="1">
        <v>2010</v>
      </c>
      <c r="B44" s="117">
        <v>56569.71</v>
      </c>
      <c r="C44" s="117">
        <v>683.6</v>
      </c>
      <c r="D44" s="117">
        <v>210.31</v>
      </c>
      <c r="E44" s="117">
        <v>1698.86</v>
      </c>
      <c r="F44" s="117">
        <v>1323.41</v>
      </c>
      <c r="G44" s="117">
        <v>11486.68</v>
      </c>
      <c r="H44" s="117">
        <v>24360.240000000002</v>
      </c>
      <c r="I44" s="117">
        <v>1888.49</v>
      </c>
      <c r="J44" s="117">
        <v>1391.44</v>
      </c>
      <c r="K44" s="117">
        <v>6298.72</v>
      </c>
      <c r="L44" s="117">
        <v>7077.49</v>
      </c>
    </row>
    <row r="45" spans="1:138" ht="16.5" customHeight="1">
      <c r="B45" s="172" t="s">
        <v>435</v>
      </c>
      <c r="C45" s="117"/>
      <c r="D45" s="117"/>
      <c r="E45" s="117"/>
      <c r="F45" s="117"/>
      <c r="G45" s="117"/>
      <c r="H45" s="117"/>
      <c r="I45" s="117"/>
      <c r="J45" s="117"/>
      <c r="K45" s="117"/>
      <c r="L45" s="117"/>
    </row>
    <row r="46" spans="1:138" ht="16.5" customHeight="1">
      <c r="A46" s="252" t="s">
        <v>988</v>
      </c>
      <c r="B46" s="271">
        <f t="shared" ref="B46:L46" si="1">(POWER(B44/B15, 1/29)-1)*100</f>
        <v>7.842419261521294</v>
      </c>
      <c r="C46" s="271">
        <f t="shared" si="1"/>
        <v>4.1398995274885442</v>
      </c>
      <c r="D46" s="271">
        <f t="shared" si="1"/>
        <v>5.1294969623360442</v>
      </c>
      <c r="E46" s="271">
        <f t="shared" si="1"/>
        <v>8.3321330978242116</v>
      </c>
      <c r="F46" s="271">
        <f t="shared" si="1"/>
        <v>7.1690069205056828</v>
      </c>
      <c r="G46" s="271">
        <f t="shared" si="1"/>
        <v>7.535185160456237</v>
      </c>
      <c r="H46" s="271">
        <f t="shared" si="1"/>
        <v>8.3543378291449635</v>
      </c>
      <c r="I46" s="271">
        <f t="shared" si="1"/>
        <v>6.704724426695341</v>
      </c>
      <c r="J46" s="271">
        <f t="shared" si="1"/>
        <v>7.1875424188318382</v>
      </c>
      <c r="K46" s="271">
        <f t="shared" si="1"/>
        <v>8.562390923909069</v>
      </c>
      <c r="L46" s="271">
        <f t="shared" si="1"/>
        <v>7.4572930319676711</v>
      </c>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row>
    <row r="47" spans="1:138">
      <c r="A47" s="1" t="s">
        <v>1012</v>
      </c>
    </row>
    <row r="48" spans="1:138">
      <c r="A48" s="1" t="s">
        <v>982</v>
      </c>
    </row>
    <row r="49" spans="1:1">
      <c r="A49" s="1" t="s">
        <v>1011</v>
      </c>
    </row>
    <row r="50" spans="1:1">
      <c r="A50" s="1" t="s">
        <v>983</v>
      </c>
    </row>
    <row r="51" spans="1:1">
      <c r="A51" s="1" t="s">
        <v>1013</v>
      </c>
    </row>
    <row r="52" spans="1:1" hidden="1"/>
    <row r="53" spans="1:1" hidden="1"/>
    <row r="54" spans="1:1" hidden="1"/>
    <row r="55" spans="1:1" hidden="1"/>
    <row r="56" spans="1:1" hidden="1"/>
    <row r="57" spans="1:1" hidden="1"/>
    <row r="58" spans="1:1" hidden="1"/>
    <row r="59" spans="1:1" hidden="1"/>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phoneticPr fontId="0" type="noConversion"/>
  <pageMargins left="0.75" right="0.75" top="1" bottom="1" header="0.5" footer="0.5"/>
  <pageSetup scale="71" orientation="landscape" r:id="rId1"/>
  <headerFooter alignWithMargins="0"/>
  <rowBreaks count="2" manualBreakCount="2">
    <brk id="51" max="16383" man="1"/>
    <brk id="57" max="16383" man="1"/>
  </rowBreaks>
</worksheet>
</file>

<file path=xl/worksheets/sheet55.xml><?xml version="1.0" encoding="utf-8"?>
<worksheet xmlns="http://schemas.openxmlformats.org/spreadsheetml/2006/main" xmlns:r="http://schemas.openxmlformats.org/officeDocument/2006/relationships">
  <dimension ref="A1:EH53"/>
  <sheetViews>
    <sheetView view="pageBreakPreview" zoomScaleSheetLayoutView="100" workbookViewId="0">
      <selection activeCell="E9" sqref="E9"/>
    </sheetView>
  </sheetViews>
  <sheetFormatPr defaultColWidth="8.875" defaultRowHeight="12.75"/>
  <cols>
    <col min="1" max="6" width="8.875" style="1" customWidth="1"/>
    <col min="7" max="7" width="9.875" style="1" customWidth="1"/>
    <col min="8" max="12" width="8.875" style="1" customWidth="1"/>
    <col min="13" max="13" width="9" style="1" bestFit="1" customWidth="1"/>
    <col min="14" max="16384" width="8.875" style="1"/>
  </cols>
  <sheetData>
    <row r="1" spans="1:12" ht="15.75">
      <c r="B1" s="2" t="s">
        <v>645</v>
      </c>
    </row>
    <row r="3" spans="1:12" s="10" customFormat="1" ht="15">
      <c r="A3" s="284"/>
      <c r="B3" s="284" t="s">
        <v>321</v>
      </c>
      <c r="C3" s="284" t="s">
        <v>449</v>
      </c>
      <c r="D3" s="284" t="s">
        <v>450</v>
      </c>
      <c r="E3" s="284" t="s">
        <v>451</v>
      </c>
      <c r="F3" s="284" t="s">
        <v>452</v>
      </c>
      <c r="G3" s="284" t="s">
        <v>453</v>
      </c>
      <c r="H3" s="284" t="s">
        <v>454</v>
      </c>
      <c r="I3" s="284" t="s">
        <v>455</v>
      </c>
      <c r="J3" s="284" t="s">
        <v>456</v>
      </c>
      <c r="K3" s="284" t="s">
        <v>457</v>
      </c>
      <c r="L3" s="284" t="s">
        <v>458</v>
      </c>
    </row>
    <row r="4" spans="1:12" hidden="1">
      <c r="A4" s="1">
        <v>1971</v>
      </c>
      <c r="B4" s="11">
        <f>'a25'!B4/'a24'!B4*100</f>
        <v>2.8610284148125276</v>
      </c>
      <c r="C4" s="11">
        <f>'a25'!C4/'a24'!C4*100</f>
        <v>2.5353559667577663</v>
      </c>
      <c r="D4" s="11">
        <f>'a25'!D4/'a24'!D4*100</f>
        <v>3.0800636195646995</v>
      </c>
      <c r="E4" s="11">
        <f>'a25'!E4/'a24'!E4*100</f>
        <v>2.806840456397826</v>
      </c>
      <c r="F4" s="11">
        <f>'a25'!F4/'a24'!F4*100</f>
        <v>2.3246616316326589</v>
      </c>
      <c r="G4" s="11">
        <f>'a25'!G4/'a24'!G4*100</f>
        <v>3.247736237684657</v>
      </c>
      <c r="H4" s="11">
        <f>'a25'!H4/'a24'!H4*100</f>
        <v>2.5113204382812095</v>
      </c>
      <c r="I4" s="11">
        <f>'a25'!I4/'a24'!I4*100</f>
        <v>2.7718823894021276</v>
      </c>
      <c r="J4" s="11">
        <f>'a25'!J4/'a24'!J4*100</f>
        <v>3.9883256744182929</v>
      </c>
      <c r="K4" s="11">
        <f>'a25'!K4/'a24'!K4*100</f>
        <v>2.8550854899759948</v>
      </c>
      <c r="L4" s="11">
        <f>'a25'!L4/'a24'!L4*100</f>
        <v>3.2828285283106475</v>
      </c>
    </row>
    <row r="5" spans="1:12" hidden="1">
      <c r="A5" s="1">
        <v>1972</v>
      </c>
      <c r="B5" s="11">
        <f>'a25'!B5/'a24'!B5*100</f>
        <v>2.8532023085322757</v>
      </c>
      <c r="C5" s="11">
        <f>'a25'!C5/'a24'!C5*100</f>
        <v>2.7677557627409231</v>
      </c>
      <c r="D5" s="11">
        <f>'a25'!D5/'a24'!D5*100</f>
        <v>3.2188908744926596</v>
      </c>
      <c r="E5" s="11">
        <f>'a25'!E5/'a24'!E5*100</f>
        <v>2.7359832936529478</v>
      </c>
      <c r="F5" s="11">
        <f>'a25'!F5/'a24'!F5*100</f>
        <v>2.3960318751486911</v>
      </c>
      <c r="G5" s="11">
        <f>'a25'!G5/'a24'!G5*100</f>
        <v>3.0870590804427409</v>
      </c>
      <c r="H5" s="11">
        <f>'a25'!H5/'a24'!H5*100</f>
        <v>2.520400925587023</v>
      </c>
      <c r="I5" s="11">
        <f>'a25'!I5/'a24'!I5*100</f>
        <v>2.8124114711403139</v>
      </c>
      <c r="J5" s="11">
        <f>'a25'!J5/'a24'!J5*100</f>
        <v>3.9982352651870605</v>
      </c>
      <c r="K5" s="11">
        <f>'a25'!K5/'a24'!K5*100</f>
        <v>2.8812002378906203</v>
      </c>
      <c r="L5" s="11">
        <f>'a25'!L5/'a24'!L5*100</f>
        <v>3.2410794662344409</v>
      </c>
    </row>
    <row r="6" spans="1:12" hidden="1">
      <c r="A6" s="1">
        <v>1973</v>
      </c>
      <c r="B6" s="11">
        <f>'a25'!B6/'a24'!B6*100</f>
        <v>2.7724339242583746</v>
      </c>
      <c r="C6" s="11">
        <f>'a25'!C6/'a24'!C6*100</f>
        <v>2.931923827436091</v>
      </c>
      <c r="D6" s="11">
        <f>'a25'!D6/'a24'!D6*100</f>
        <v>3.182890500031653</v>
      </c>
      <c r="E6" s="11">
        <f>'a25'!E6/'a24'!E6*100</f>
        <v>2.641200156768154</v>
      </c>
      <c r="F6" s="11">
        <f>'a25'!F6/'a24'!F6*100</f>
        <v>2.4328089196139069</v>
      </c>
      <c r="G6" s="11">
        <f>'a25'!G6/'a24'!G6*100</f>
        <v>2.9396846988332976</v>
      </c>
      <c r="H6" s="11">
        <f>'a25'!H6/'a24'!H6*100</f>
        <v>2.4881807022072455</v>
      </c>
      <c r="I6" s="11">
        <f>'a25'!I6/'a24'!I6*100</f>
        <v>2.6315231387122342</v>
      </c>
      <c r="J6" s="11">
        <f>'a25'!J6/'a24'!J6*100</f>
        <v>3.2878990407894819</v>
      </c>
      <c r="K6" s="11">
        <f>'a25'!K6/'a24'!K6*100</f>
        <v>2.7916234733548535</v>
      </c>
      <c r="L6" s="11">
        <f>'a25'!L6/'a24'!L6*100</f>
        <v>3.1214884089122106</v>
      </c>
    </row>
    <row r="7" spans="1:12" hidden="1">
      <c r="A7" s="1">
        <v>1974</v>
      </c>
      <c r="B7" s="11">
        <f>'a25'!B7/'a24'!B7*100</f>
        <v>2.6490572964302661</v>
      </c>
      <c r="C7" s="11">
        <f>'a25'!C7/'a24'!C7*100</f>
        <v>3.0231200893385766</v>
      </c>
      <c r="D7" s="11">
        <f>'a25'!D7/'a24'!D7*100</f>
        <v>3.3005754657778033</v>
      </c>
      <c r="E7" s="11">
        <f>'a25'!E7/'a24'!E7*100</f>
        <v>2.528798809633412</v>
      </c>
      <c r="F7" s="11">
        <f>'a25'!F7/'a24'!F7*100</f>
        <v>2.4414515082820678</v>
      </c>
      <c r="G7" s="11">
        <f>'a25'!G7/'a24'!G7*100</f>
        <v>2.7182169024419052</v>
      </c>
      <c r="H7" s="11">
        <f>'a25'!H7/'a24'!H7*100</f>
        <v>2.4264000529505623</v>
      </c>
      <c r="I7" s="11">
        <f>'a25'!I7/'a24'!I7*100</f>
        <v>2.5968393138603494</v>
      </c>
      <c r="J7" s="11">
        <f>'a25'!J7/'a24'!J7*100</f>
        <v>2.9254827915473807</v>
      </c>
      <c r="K7" s="11">
        <f>'a25'!K7/'a24'!K7*100</f>
        <v>2.6966297865186908</v>
      </c>
      <c r="L7" s="11">
        <f>'a25'!L7/'a24'!L7*100</f>
        <v>3.0269750611182085</v>
      </c>
    </row>
    <row r="8" spans="1:12" hidden="1">
      <c r="A8" s="1">
        <v>1975</v>
      </c>
      <c r="B8" s="11">
        <f>'a25'!B8/'a24'!B8*100</f>
        <v>2.5733829506990178</v>
      </c>
      <c r="C8" s="11">
        <f>'a25'!C8/'a24'!C8*100</f>
        <v>3.1406507512024255</v>
      </c>
      <c r="D8" s="11">
        <f>'a25'!D8/'a24'!D8*100</f>
        <v>3.7246339583868493</v>
      </c>
      <c r="E8" s="11">
        <f>'a25'!E8/'a24'!E8*100</f>
        <v>2.461237487553301</v>
      </c>
      <c r="F8" s="11">
        <f>'a25'!F8/'a24'!F8*100</f>
        <v>2.4465144120425681</v>
      </c>
      <c r="G8" s="11">
        <f>'a25'!G8/'a24'!G8*100</f>
        <v>2.5181269307788368</v>
      </c>
      <c r="H8" s="11">
        <f>'a25'!H8/'a24'!H8*100</f>
        <v>2.3876125869192006</v>
      </c>
      <c r="I8" s="11">
        <f>'a25'!I8/'a24'!I8*100</f>
        <v>2.5178029238305499</v>
      </c>
      <c r="J8" s="11">
        <f>'a25'!J8/'a24'!J8*100</f>
        <v>2.5641736315316788</v>
      </c>
      <c r="K8" s="11">
        <f>'a25'!K8/'a24'!K8*100</f>
        <v>2.562521540701979</v>
      </c>
      <c r="L8" s="11">
        <f>'a25'!L8/'a24'!L8*100</f>
        <v>2.9668427224318914</v>
      </c>
    </row>
    <row r="9" spans="1:12" hidden="1">
      <c r="A9" s="1">
        <v>1976</v>
      </c>
      <c r="B9" s="11">
        <f>'a25'!B9/'a24'!B9*100</f>
        <v>2.5308695512491854</v>
      </c>
      <c r="C9" s="11">
        <f>'a25'!C9/'a24'!C9*100</f>
        <v>4.1102940819075764</v>
      </c>
      <c r="D9" s="11">
        <f>'a25'!D9/'a24'!D9*100</f>
        <v>3.0299782998901601</v>
      </c>
      <c r="E9" s="11">
        <f>'a25'!E9/'a24'!E9*100</f>
        <v>2.7362730958356525</v>
      </c>
      <c r="F9" s="11">
        <f>'a25'!F9/'a24'!F9*100</f>
        <v>2.3038922209119148</v>
      </c>
      <c r="G9" s="11">
        <f>'a25'!G9/'a24'!G9*100</f>
        <v>2.3048232410639922</v>
      </c>
      <c r="H9" s="11">
        <f>'a25'!H9/'a24'!H9*100</f>
        <v>2.3347988115484979</v>
      </c>
      <c r="I9" s="11">
        <f>'a25'!I9/'a24'!I9*100</f>
        <v>2.4641132302959536</v>
      </c>
      <c r="J9" s="11">
        <f>'a25'!J9/'a24'!J9*100</f>
        <v>2.6866279311961772</v>
      </c>
      <c r="K9" s="11">
        <f>'a25'!K9/'a24'!K9*100</f>
        <v>2.4994399735199417</v>
      </c>
      <c r="L9" s="11">
        <f>'a25'!L9/'a24'!L9*100</f>
        <v>3.1602676587859575</v>
      </c>
    </row>
    <row r="10" spans="1:12" hidden="1">
      <c r="A10" s="1">
        <v>1977</v>
      </c>
      <c r="B10" s="11">
        <f>'a25'!B10/'a24'!B10*100</f>
        <v>2.5448588271210872</v>
      </c>
      <c r="C10" s="11">
        <f>'a25'!C10/'a24'!C10*100</f>
        <v>5.0754574313479166</v>
      </c>
      <c r="D10" s="11">
        <f>'a25'!D10/'a24'!D10*100</f>
        <v>2.8851857955013598</v>
      </c>
      <c r="E10" s="11">
        <f>'a25'!E10/'a24'!E10*100</f>
        <v>2.4113335310756949</v>
      </c>
      <c r="F10" s="11">
        <f>'a25'!F10/'a24'!F10*100</f>
        <v>2.3224047179493867</v>
      </c>
      <c r="G10" s="11">
        <f>'a25'!G10/'a24'!G10*100</f>
        <v>2.1579490296510428</v>
      </c>
      <c r="H10" s="11">
        <f>'a25'!H10/'a24'!H10*100</f>
        <v>2.4179227688851777</v>
      </c>
      <c r="I10" s="11">
        <f>'a25'!I10/'a24'!I10*100</f>
        <v>2.6051709733884549</v>
      </c>
      <c r="J10" s="11">
        <f>'a25'!J10/'a24'!J10*100</f>
        <v>3.0295149304702038</v>
      </c>
      <c r="K10" s="11">
        <f>'a25'!K10/'a24'!K10*100</f>
        <v>2.4667137670819366</v>
      </c>
      <c r="L10" s="11">
        <f>'a25'!L10/'a24'!L10*100</f>
        <v>3.3193446575495971</v>
      </c>
    </row>
    <row r="11" spans="1:12" hidden="1">
      <c r="A11" s="1">
        <v>1978</v>
      </c>
      <c r="B11" s="11">
        <f>'a25'!B11/'a24'!B11*100</f>
        <v>2.5404030928529777</v>
      </c>
      <c r="C11" s="11">
        <f>'a25'!C11/'a24'!C11*100</f>
        <v>5.5747324182385816</v>
      </c>
      <c r="D11" s="11">
        <f>'a25'!D11/'a24'!D11*100</f>
        <v>3.1659388646288207</v>
      </c>
      <c r="E11" s="11">
        <f>'a25'!E11/'a24'!E11*100</f>
        <v>2.3281604799123743</v>
      </c>
      <c r="F11" s="11">
        <f>'a25'!F11/'a24'!F11*100</f>
        <v>2.5316885946029726</v>
      </c>
      <c r="G11" s="11">
        <f>'a25'!G11/'a24'!G11*100</f>
        <v>2.1094280074041736</v>
      </c>
      <c r="H11" s="11">
        <f>'a25'!H11/'a24'!H11*100</f>
        <v>2.51784605548628</v>
      </c>
      <c r="I11" s="11">
        <f>'a25'!I11/'a24'!I11*100</f>
        <v>2.4035708457954486</v>
      </c>
      <c r="J11" s="11">
        <f>'a25'!J11/'a24'!J11*100</f>
        <v>2.6249719254827752</v>
      </c>
      <c r="K11" s="11">
        <f>'a25'!K11/'a24'!K11*100</f>
        <v>2.3771354346839524</v>
      </c>
      <c r="L11" s="11">
        <f>'a25'!L11/'a24'!L11*100</f>
        <v>3.1611071719822323</v>
      </c>
    </row>
    <row r="12" spans="1:12" hidden="1">
      <c r="A12" s="1">
        <v>1979</v>
      </c>
      <c r="B12" s="11">
        <f>'a25'!B12/'a24'!B12*100</f>
        <v>2.5550735637773512</v>
      </c>
      <c r="C12" s="11">
        <f>'a25'!C12/'a24'!C12*100</f>
        <v>5.5256676371570821</v>
      </c>
      <c r="D12" s="11">
        <f>'a25'!D12/'a24'!D12*100</f>
        <v>4.3836076587168291</v>
      </c>
      <c r="E12" s="11">
        <f>'a25'!E12/'a24'!E12*100</f>
        <v>2.4389841508091119</v>
      </c>
      <c r="F12" s="11">
        <f>'a25'!F12/'a24'!F12*100</f>
        <v>2.9818743783574058</v>
      </c>
      <c r="G12" s="11">
        <f>'a25'!G12/'a24'!G12*100</f>
        <v>2.0200958885351854</v>
      </c>
      <c r="H12" s="11">
        <f>'a25'!H12/'a24'!H12*100</f>
        <v>2.6404284205836124</v>
      </c>
      <c r="I12" s="11">
        <f>'a25'!I12/'a24'!I12*100</f>
        <v>2.5967547337059567</v>
      </c>
      <c r="J12" s="11">
        <f>'a25'!J12/'a24'!J12*100</f>
        <v>2.5722193066507755</v>
      </c>
      <c r="K12" s="11">
        <f>'a25'!K12/'a24'!K12*100</f>
        <v>2.2788830621181813</v>
      </c>
      <c r="L12" s="11">
        <f>'a25'!L12/'a24'!L12*100</f>
        <v>2.959597773169508</v>
      </c>
    </row>
    <row r="13" spans="1:12" hidden="1">
      <c r="A13" s="1">
        <v>1980</v>
      </c>
      <c r="B13" s="11">
        <f>'a25'!B13/'a24'!B13*100</f>
        <v>2.6529538936338484</v>
      </c>
      <c r="C13" s="11">
        <f>'a25'!C13/'a24'!C13*100</f>
        <v>5.5113227332499592</v>
      </c>
      <c r="D13" s="11">
        <f>'a25'!D13/'a24'!D13*100</f>
        <v>5.9329862277460528</v>
      </c>
      <c r="E13" s="11">
        <f>'a25'!E13/'a24'!E13*100</f>
        <v>2.5977039323795013</v>
      </c>
      <c r="F13" s="11">
        <f>'a25'!F13/'a24'!F13*100</f>
        <v>3.3331789831126826</v>
      </c>
      <c r="G13" s="11">
        <f>'a25'!G13/'a24'!G13*100</f>
        <v>2.1521164976044527</v>
      </c>
      <c r="H13" s="11">
        <f>'a25'!H13/'a24'!H13*100</f>
        <v>2.6836712510727958</v>
      </c>
      <c r="I13" s="11">
        <f>'a25'!I13/'a24'!I13*100</f>
        <v>2.9379328142251344</v>
      </c>
      <c r="J13" s="11">
        <f>'a25'!J13/'a24'!J13*100</f>
        <v>2.4438921808525493</v>
      </c>
      <c r="K13" s="11">
        <f>'a25'!K13/'a24'!K13*100</f>
        <v>2.4061593607067273</v>
      </c>
      <c r="L13" s="11">
        <f>'a25'!L13/'a24'!L13*100</f>
        <v>3.1641470921125285</v>
      </c>
    </row>
    <row r="14" spans="1:12" hidden="1">
      <c r="B14" s="11"/>
      <c r="C14" s="11"/>
      <c r="D14" s="11"/>
      <c r="E14" s="11"/>
      <c r="F14" s="11"/>
      <c r="G14" s="11"/>
      <c r="H14" s="11"/>
      <c r="I14" s="11"/>
      <c r="J14" s="11"/>
      <c r="K14" s="11"/>
      <c r="L14" s="11"/>
    </row>
    <row r="15" spans="1:12" ht="16.5" customHeight="1">
      <c r="A15" s="1">
        <v>1981</v>
      </c>
      <c r="B15" s="11">
        <f>'a25'!B15/'a24'!B15*100</f>
        <v>2.65462729352992</v>
      </c>
      <c r="C15" s="11">
        <f>'a25'!C15/'a24'!C15*100</f>
        <v>5.4615670978847151</v>
      </c>
      <c r="D15" s="11">
        <f>'a25'!D15/'a24'!D15*100</f>
        <v>5.3820960698689957</v>
      </c>
      <c r="E15" s="11">
        <f>'a25'!E15/'a24'!E15*100</f>
        <v>2.4104046242774571</v>
      </c>
      <c r="F15" s="11">
        <f>'a25'!F15/'a24'!F15*100</f>
        <v>3.3661678348171997</v>
      </c>
      <c r="G15" s="11">
        <f>'a25'!G15/'a24'!G15*100</f>
        <v>2.470600717961414</v>
      </c>
      <c r="H15" s="11">
        <f>'a25'!H15/'a24'!H15*100</f>
        <v>2.6612939332885603</v>
      </c>
      <c r="I15" s="11">
        <f>'a25'!I15/'a24'!I15*100</f>
        <v>3.0096274591879451</v>
      </c>
      <c r="J15" s="11">
        <f>'a25'!J15/'a24'!J15*100</f>
        <v>2.0692341941228851</v>
      </c>
      <c r="K15" s="11">
        <f>'a25'!K15/'a24'!K15*100</f>
        <v>2.2516069077673664</v>
      </c>
      <c r="L15" s="11">
        <f>'a25'!L15/'a24'!L15*100</f>
        <v>2.8843756151978477</v>
      </c>
    </row>
    <row r="16" spans="1:12" ht="16.5" customHeight="1">
      <c r="A16" s="1">
        <v>1982</v>
      </c>
      <c r="B16" s="11">
        <f>'a25'!B16/'a24'!B16*100</f>
        <v>2.7755720207096548</v>
      </c>
      <c r="C16" s="11">
        <f>'a25'!C16/'a24'!C16*100</f>
        <v>5.1119394653916688</v>
      </c>
      <c r="D16" s="11">
        <f>'a25'!D16/'a24'!D16*100</f>
        <v>4.864864864864864</v>
      </c>
      <c r="E16" s="11">
        <f>'a25'!E16/'a24'!E16*100</f>
        <v>2.5816485225505441</v>
      </c>
      <c r="F16" s="11">
        <f>'a25'!F16/'a24'!F16*100</f>
        <v>3.5459915611814345</v>
      </c>
      <c r="G16" s="11">
        <f>'a25'!G16/'a24'!G16*100</f>
        <v>2.496203275797312</v>
      </c>
      <c r="H16" s="11">
        <f>'a25'!H16/'a24'!H16*100</f>
        <v>2.8292205717936429</v>
      </c>
      <c r="I16" s="11">
        <f>'a25'!I16/'a24'!I16*100</f>
        <v>2.9545241443975625</v>
      </c>
      <c r="J16" s="11">
        <f>'a25'!J16/'a24'!J16*100</f>
        <v>2.0112337406385494</v>
      </c>
      <c r="K16" s="11">
        <f>'a25'!K16/'a24'!K16*100</f>
        <v>2.7806636276900241</v>
      </c>
      <c r="L16" s="11">
        <f>'a25'!L16/'a24'!L16*100</f>
        <v>2.8590050626004184</v>
      </c>
    </row>
    <row r="17" spans="1:12" ht="16.5" customHeight="1">
      <c r="A17" s="1">
        <v>1983</v>
      </c>
      <c r="B17" s="11">
        <f>'a25'!B17/'a24'!B17*100</f>
        <v>2.8884799785140589</v>
      </c>
      <c r="C17" s="11">
        <f>'a25'!C17/'a24'!C17*100</f>
        <v>5.2856893897556185</v>
      </c>
      <c r="D17" s="11">
        <f>'a25'!D17/'a24'!D17*100</f>
        <v>4.5625</v>
      </c>
      <c r="E17" s="11">
        <f>'a25'!E17/'a24'!E17*100</f>
        <v>2.6348547717842323</v>
      </c>
      <c r="F17" s="11">
        <f>'a25'!F17/'a24'!F17*100</f>
        <v>3.6809621775597408</v>
      </c>
      <c r="G17" s="11">
        <f>'a25'!G17/'a24'!G17*100</f>
        <v>2.5749882463563702</v>
      </c>
      <c r="H17" s="11">
        <f>'a25'!H17/'a24'!H17*100</f>
        <v>3.033198773109087</v>
      </c>
      <c r="I17" s="11">
        <f>'a25'!I17/'a24'!I17*100</f>
        <v>3.1187066974595843</v>
      </c>
      <c r="J17" s="11">
        <f>'a25'!J17/'a24'!J17*100</f>
        <v>2.1768504719324389</v>
      </c>
      <c r="K17" s="11">
        <f>'a25'!K17/'a24'!K17*100</f>
        <v>2.5023443197999518</v>
      </c>
      <c r="L17" s="11">
        <f>'a25'!L17/'a24'!L17*100</f>
        <v>3.0500772246643701</v>
      </c>
    </row>
    <row r="18" spans="1:12" ht="16.5" customHeight="1">
      <c r="A18" s="1">
        <v>1984</v>
      </c>
      <c r="B18" s="11">
        <f>'a25'!B18/'a24'!B18*100</f>
        <v>2.9369018848878055</v>
      </c>
      <c r="C18" s="11">
        <f>'a25'!C18/'a24'!C18*100</f>
        <v>4.1196521160086554</v>
      </c>
      <c r="D18" s="11">
        <f>'a25'!D18/'a24'!D18*100</f>
        <v>4.2145270270270272</v>
      </c>
      <c r="E18" s="11">
        <f>'a25'!E18/'a24'!E18*100</f>
        <v>2.7852499439587537</v>
      </c>
      <c r="F18" s="11">
        <f>'a25'!F18/'a24'!F18*100</f>
        <v>3.8779383851657183</v>
      </c>
      <c r="G18" s="11">
        <f>'a25'!G18/'a24'!G18*100</f>
        <v>2.6062403741942841</v>
      </c>
      <c r="H18" s="11">
        <f>'a25'!H18/'a24'!H18*100</f>
        <v>3.086302023022955</v>
      </c>
      <c r="I18" s="11">
        <f>'a25'!I18/'a24'!I18*100</f>
        <v>2.9791025433338736</v>
      </c>
      <c r="J18" s="11">
        <f>'a25'!J18/'a24'!J18*100</f>
        <v>2.3744376090349832</v>
      </c>
      <c r="K18" s="11">
        <f>'a25'!K18/'a24'!K18*100</f>
        <v>2.5733445096395644</v>
      </c>
      <c r="L18" s="11">
        <f>'a25'!L18/'a24'!L18*100</f>
        <v>3.2414294502544601</v>
      </c>
    </row>
    <row r="19" spans="1:12" ht="16.5" customHeight="1">
      <c r="A19" s="1">
        <v>1985</v>
      </c>
      <c r="B19" s="11">
        <f>'a25'!B19/'a24'!B19*100</f>
        <v>3.0177188696828683</v>
      </c>
      <c r="C19" s="11">
        <f>'a25'!C19/'a24'!C19*100</f>
        <v>3.969662879860878</v>
      </c>
      <c r="D19" s="11">
        <f>'a25'!D19/'a24'!D19*100</f>
        <v>4.2387820512820511</v>
      </c>
      <c r="E19" s="11">
        <f>'a25'!E19/'a24'!E19*100</f>
        <v>2.9348832424647671</v>
      </c>
      <c r="F19" s="11">
        <f>'a25'!F19/'a24'!F19*100</f>
        <v>3.7640758033507282</v>
      </c>
      <c r="G19" s="11">
        <f>'a25'!G19/'a24'!G19*100</f>
        <v>2.8116774667646469</v>
      </c>
      <c r="H19" s="11">
        <f>'a25'!H19/'a24'!H19*100</f>
        <v>3.1424328613856716</v>
      </c>
      <c r="I19" s="11">
        <f>'a25'!I19/'a24'!I19*100</f>
        <v>3.0895034195658639</v>
      </c>
      <c r="J19" s="11">
        <f>'a25'!J19/'a24'!J19*100</f>
        <v>2.8515190415062044</v>
      </c>
      <c r="K19" s="11">
        <f>'a25'!K19/'a24'!K19*100</f>
        <v>2.5031616982836491</v>
      </c>
      <c r="L19" s="11">
        <f>'a25'!L19/'a24'!L19*100</f>
        <v>3.2281910975481423</v>
      </c>
    </row>
    <row r="20" spans="1:12" ht="16.5" customHeight="1">
      <c r="A20" s="1">
        <v>1986</v>
      </c>
      <c r="B20" s="11">
        <f>'a25'!B20/'a24'!B20*100</f>
        <v>3.1752657879043369</v>
      </c>
      <c r="C20" s="11">
        <f>'a25'!C20/'a24'!C20*100</f>
        <v>3.2153371090322529</v>
      </c>
      <c r="D20" s="11">
        <f>'a25'!D20/'a24'!D20*100</f>
        <v>3.5504652827487471</v>
      </c>
      <c r="E20" s="11">
        <f>'a25'!E20/'a24'!E20*100</f>
        <v>3.4843857748005123</v>
      </c>
      <c r="F20" s="11">
        <f>'a25'!F20/'a24'!F20*100</f>
        <v>3.6583493282149706</v>
      </c>
      <c r="G20" s="11">
        <f>'a25'!G20/'a24'!G20*100</f>
        <v>3.1480379370164484</v>
      </c>
      <c r="H20" s="11">
        <f>'a25'!H20/'a24'!H20*100</f>
        <v>3.2292436925079127</v>
      </c>
      <c r="I20" s="11">
        <f>'a25'!I20/'a24'!I20*100</f>
        <v>3.3280723150871654</v>
      </c>
      <c r="J20" s="11">
        <f>'a25'!J20/'a24'!J20*100</f>
        <v>2.9288151364764268</v>
      </c>
      <c r="K20" s="11">
        <f>'a25'!K20/'a24'!K20*100</f>
        <v>2.6870868744098204</v>
      </c>
      <c r="L20" s="11">
        <f>'a25'!L20/'a24'!L20*100</f>
        <v>3.3387407482510394</v>
      </c>
    </row>
    <row r="21" spans="1:12" ht="16.5" customHeight="1">
      <c r="A21" s="1">
        <v>1987</v>
      </c>
      <c r="B21" s="11">
        <f>'a25'!B21/'a24'!B21*100</f>
        <v>3.2396427240222536</v>
      </c>
      <c r="C21" s="11">
        <f>'a25'!C21/'a24'!C21*100</f>
        <v>3.2271060172950907</v>
      </c>
      <c r="D21" s="11">
        <f>'a25'!D21/'a24'!D21*100</f>
        <v>3.6357435197817187</v>
      </c>
      <c r="E21" s="11">
        <f>'a25'!E21/'a24'!E21*100</f>
        <v>3.6452565522332963</v>
      </c>
      <c r="F21" s="11">
        <f>'a25'!F21/'a24'!F21*100</f>
        <v>3.6600287907869484</v>
      </c>
      <c r="G21" s="11">
        <f>'a25'!G21/'a24'!G21*100</f>
        <v>3.1033141159410036</v>
      </c>
      <c r="H21" s="11">
        <f>'a25'!H21/'a24'!H21*100</f>
        <v>3.3109398444959761</v>
      </c>
      <c r="I21" s="11">
        <f>'a25'!I21/'a24'!I21*100</f>
        <v>3.1219207549788357</v>
      </c>
      <c r="J21" s="11">
        <f>'a25'!J21/'a24'!J21*100</f>
        <v>3.3076858743832065</v>
      </c>
      <c r="K21" s="11">
        <f>'a25'!K21/'a24'!K21*100</f>
        <v>2.8844465257858687</v>
      </c>
      <c r="L21" s="11">
        <f>'a25'!L21/'a24'!L21*100</f>
        <v>3.4195579116770016</v>
      </c>
    </row>
    <row r="22" spans="1:12" ht="16.5" customHeight="1">
      <c r="A22" s="1">
        <v>1988</v>
      </c>
      <c r="B22" s="11">
        <f>'a25'!B22/'a24'!B22*100</f>
        <v>3.237816187056731</v>
      </c>
      <c r="C22" s="11">
        <f>'a25'!C22/'a24'!C22*100</f>
        <v>3.1258119825711548</v>
      </c>
      <c r="D22" s="11">
        <f>'a25'!D22/'a24'!D22*100</f>
        <v>3.5027898326100435</v>
      </c>
      <c r="E22" s="11">
        <f>'a25'!E22/'a24'!E22*100</f>
        <v>3.598150843249722</v>
      </c>
      <c r="F22" s="11">
        <f>'a25'!F22/'a24'!F22*100</f>
        <v>3.6722222222222225</v>
      </c>
      <c r="G22" s="11">
        <f>'a25'!G22/'a24'!G22*100</f>
        <v>3.1292054048714095</v>
      </c>
      <c r="H22" s="11">
        <f>'a25'!H22/'a24'!H22*100</f>
        <v>3.288107109537667</v>
      </c>
      <c r="I22" s="11">
        <f>'a25'!I22/'a24'!I22*100</f>
        <v>2.8355584500162814</v>
      </c>
      <c r="J22" s="11">
        <f>'a25'!J22/'a24'!J22*100</f>
        <v>2.890802348336595</v>
      </c>
      <c r="K22" s="11">
        <f>'a25'!K22/'a24'!K22*100</f>
        <v>3.1492358803986717</v>
      </c>
      <c r="L22" s="11">
        <f>'a25'!L22/'a24'!L22*100</f>
        <v>3.4537866009255653</v>
      </c>
    </row>
    <row r="23" spans="1:12" ht="16.5" customHeight="1">
      <c r="A23" s="1">
        <v>1989</v>
      </c>
      <c r="B23" s="11">
        <f>'a25'!B23/'a24'!B23*100</f>
        <v>3.2775456822530109</v>
      </c>
      <c r="C23" s="11">
        <f>'a25'!C23/'a24'!C23*100</f>
        <v>2.9963112989472447</v>
      </c>
      <c r="D23" s="11">
        <f>'a25'!D23/'a24'!D23*100</f>
        <v>3.7645011600928076</v>
      </c>
      <c r="E23" s="11">
        <f>'a25'!E23/'a24'!E23*100</f>
        <v>3.7084056142564261</v>
      </c>
      <c r="F23" s="11">
        <f>'a25'!F23/'a24'!F23*100</f>
        <v>3.6333642643571502</v>
      </c>
      <c r="G23" s="11">
        <f>'a25'!G23/'a24'!G23*100</f>
        <v>3.2013241168362057</v>
      </c>
      <c r="H23" s="11">
        <f>'a25'!H23/'a24'!H23*100</f>
        <v>3.289045841471673</v>
      </c>
      <c r="I23" s="11">
        <f>'a25'!I23/'a24'!I23*100</f>
        <v>2.9569465648854965</v>
      </c>
      <c r="J23" s="11">
        <f>'a25'!J23/'a24'!J23*100</f>
        <v>3.1591112436623914</v>
      </c>
      <c r="K23" s="11">
        <f>'a25'!K23/'a24'!K23*100</f>
        <v>3.2515594565940975</v>
      </c>
      <c r="L23" s="11">
        <f>'a25'!L23/'a24'!L23*100</f>
        <v>3.4329860976648723</v>
      </c>
    </row>
    <row r="24" spans="1:12" ht="16.5" customHeight="1">
      <c r="A24" s="1">
        <v>1990</v>
      </c>
      <c r="B24" s="11">
        <f>'a25'!B24/'a24'!B24*100</f>
        <v>3.4055749890686493</v>
      </c>
      <c r="C24" s="11">
        <f>'a25'!C24/'a24'!C24*100</f>
        <v>3.0391393724984295</v>
      </c>
      <c r="D24" s="11">
        <f>'a25'!D24/'a24'!D24*100</f>
        <v>3.8588754134509373</v>
      </c>
      <c r="E24" s="11">
        <f>'a25'!E24/'a24'!E24*100</f>
        <v>3.6894372554920252</v>
      </c>
      <c r="F24" s="11">
        <f>'a25'!F24/'a24'!F24*100</f>
        <v>3.9214525360173669</v>
      </c>
      <c r="G24" s="11">
        <f>'a25'!G24/'a24'!G24*100</f>
        <v>3.326896551724138</v>
      </c>
      <c r="H24" s="11">
        <f>'a25'!H24/'a24'!H24*100</f>
        <v>3.4564007718664311</v>
      </c>
      <c r="I24" s="11">
        <f>'a25'!I24/'a24'!I24*100</f>
        <v>3.0700138185168129</v>
      </c>
      <c r="J24" s="11">
        <f>'a25'!J24/'a24'!J24*100</f>
        <v>3.2078365753329154</v>
      </c>
      <c r="K24" s="11">
        <f>'a25'!K24/'a24'!K24*100</f>
        <v>3.306985935138905</v>
      </c>
      <c r="L24" s="11">
        <f>'a25'!L24/'a24'!L24*100</f>
        <v>3.5479491210518792</v>
      </c>
    </row>
    <row r="25" spans="1:12" ht="16.5" customHeight="1">
      <c r="A25" s="1">
        <v>1991</v>
      </c>
      <c r="B25" s="11">
        <f>'a25'!B25/'a24'!B25*100</f>
        <v>3.5781117396705677</v>
      </c>
      <c r="C25" s="11">
        <f>'a25'!C25/'a24'!C25*100</f>
        <v>3.2659962984478956</v>
      </c>
      <c r="D25" s="11">
        <f>'a25'!D25/'a24'!D25*100</f>
        <v>4.072110286320255</v>
      </c>
      <c r="E25" s="11">
        <f>'a25'!E25/'a24'!E25*100</f>
        <v>3.7692531240918337</v>
      </c>
      <c r="F25" s="11">
        <f>'a25'!F25/'a24'!F25*100</f>
        <v>4.1909814323607426</v>
      </c>
      <c r="G25" s="11">
        <f>'a25'!G25/'a24'!G25*100</f>
        <v>3.5178550046514196</v>
      </c>
      <c r="H25" s="11">
        <f>'a25'!H25/'a24'!H25*100</f>
        <v>3.6521666934768287</v>
      </c>
      <c r="I25" s="11">
        <f>'a25'!I25/'a24'!I25*100</f>
        <v>3.2513832639324627</v>
      </c>
      <c r="J25" s="11">
        <f>'a25'!J25/'a24'!J25*100</f>
        <v>3.3773649810801514</v>
      </c>
      <c r="K25" s="11">
        <f>'a25'!K25/'a24'!K25*100</f>
        <v>3.3533854688857696</v>
      </c>
      <c r="L25" s="11">
        <f>'a25'!L25/'a24'!L25*100</f>
        <v>3.697900613034693</v>
      </c>
    </row>
    <row r="26" spans="1:12" ht="16.5" customHeight="1">
      <c r="A26" s="1">
        <v>1992</v>
      </c>
      <c r="B26" s="11">
        <f>'a25'!B26/'a24'!B26*100</f>
        <v>3.7470178124418148</v>
      </c>
      <c r="C26" s="11">
        <f>'a25'!C26/'a24'!C26*100</f>
        <v>3.4727741935483869</v>
      </c>
      <c r="D26" s="11">
        <f>'a25'!D26/'a24'!D26*100</f>
        <v>4.4811912225705326</v>
      </c>
      <c r="E26" s="11">
        <f>'a25'!E26/'a24'!E26*100</f>
        <v>3.9287991498405948</v>
      </c>
      <c r="F26" s="11">
        <f>'a25'!F26/'a24'!F26*100</f>
        <v>4.2896792574211933</v>
      </c>
      <c r="G26" s="11">
        <f>'a25'!G26/'a24'!G26*100</f>
        <v>3.7563625809494439</v>
      </c>
      <c r="H26" s="11">
        <f>'a25'!H26/'a24'!H26*100</f>
        <v>3.8314969393433498</v>
      </c>
      <c r="I26" s="11">
        <f>'a25'!I26/'a24'!I26*100</f>
        <v>3.3800201929549023</v>
      </c>
      <c r="J26" s="11">
        <f>'a25'!J26/'a24'!J26*100</f>
        <v>3.5507510880247084</v>
      </c>
      <c r="K26" s="11">
        <f>'a25'!K26/'a24'!K26*100</f>
        <v>3.4341765840757841</v>
      </c>
      <c r="L26" s="11">
        <f>'a25'!L26/'a24'!L26*100</f>
        <v>3.784276158229416</v>
      </c>
    </row>
    <row r="27" spans="1:12" ht="16.5" customHeight="1">
      <c r="A27" s="1">
        <v>1993</v>
      </c>
      <c r="B27" s="11">
        <f>'a25'!B27/'a24'!B27*100</f>
        <v>3.9556091194155298</v>
      </c>
      <c r="C27" s="11">
        <f>'a25'!C27/'a24'!C27*100</f>
        <v>3.577165156092649</v>
      </c>
      <c r="D27" s="11">
        <f>'a25'!D27/'a24'!D27*100</f>
        <v>4.6282178217821786</v>
      </c>
      <c r="E27" s="11">
        <f>'a25'!E27/'a24'!E27*100</f>
        <v>4.0109350128036541</v>
      </c>
      <c r="F27" s="11">
        <f>'a25'!F27/'a24'!F27*100</f>
        <v>4.509144701452394</v>
      </c>
      <c r="G27" s="11">
        <f>'a25'!G27/'a24'!G27*100</f>
        <v>3.9213618958550231</v>
      </c>
      <c r="H27" s="11">
        <f>'a25'!H27/'a24'!H27*100</f>
        <v>4.1281380517694135</v>
      </c>
      <c r="I27" s="11">
        <f>'a25'!I27/'a24'!I27*100</f>
        <v>3.6831975900926031</v>
      </c>
      <c r="J27" s="11">
        <f>'a25'!J27/'a24'!J27*100</f>
        <v>3.9009308962424409</v>
      </c>
      <c r="K27" s="11">
        <f>'a25'!K27/'a24'!K27*100</f>
        <v>3.5891277128547583</v>
      </c>
      <c r="L27" s="11">
        <f>'a25'!L27/'a24'!L27*100</f>
        <v>3.8212964275030306</v>
      </c>
    </row>
    <row r="28" spans="1:12" ht="16.5" customHeight="1">
      <c r="A28" s="1">
        <v>1994</v>
      </c>
      <c r="B28" s="11">
        <f>'a25'!B28/'a24'!B28*100</f>
        <v>4.1010827662365097</v>
      </c>
      <c r="C28" s="11">
        <f>'a25'!C28/'a24'!C28*100</f>
        <v>3.7595505617977523</v>
      </c>
      <c r="D28" s="11">
        <f>'a25'!D28/'a24'!D28*100</f>
        <v>4.8417626439659491</v>
      </c>
      <c r="E28" s="11">
        <f>'a25'!E28/'a24'!E28*100</f>
        <v>4.2089943440474551</v>
      </c>
      <c r="F28" s="11">
        <f>'a25'!F28/'a24'!F28*100</f>
        <v>4.617574037949991</v>
      </c>
      <c r="G28" s="11">
        <f>'a25'!G28/'a24'!G28*100</f>
        <v>4.0604680383226013</v>
      </c>
      <c r="H28" s="11">
        <f>'a25'!H28/'a24'!H28*100</f>
        <v>4.3266524435820397</v>
      </c>
      <c r="I28" s="11">
        <f>'a25'!I28/'a24'!I28*100</f>
        <v>3.7726750232634521</v>
      </c>
      <c r="J28" s="11">
        <f>'a25'!J28/'a24'!J28*100</f>
        <v>4.1172596414991851</v>
      </c>
      <c r="K28" s="11">
        <f>'a25'!K28/'a24'!K28*100</f>
        <v>3.7045558275590222</v>
      </c>
      <c r="L28" s="11">
        <f>'a25'!L28/'a24'!L28*100</f>
        <v>3.8351021149682829</v>
      </c>
    </row>
    <row r="29" spans="1:12" ht="16.5" customHeight="1">
      <c r="A29" s="1">
        <v>1995</v>
      </c>
      <c r="B29" s="11">
        <f>'a25'!B29/'a24'!B29*100</f>
        <v>4.112893292377807</v>
      </c>
      <c r="C29" s="11">
        <f>'a25'!C29/'a24'!C29*100</f>
        <v>3.6552787370498274</v>
      </c>
      <c r="D29" s="11">
        <f>'a25'!D29/'a24'!D29*100</f>
        <v>5.0732298739088266</v>
      </c>
      <c r="E29" s="11">
        <f>'a25'!E29/'a24'!E29*100</f>
        <v>4.1962042415237066</v>
      </c>
      <c r="F29" s="11">
        <f>'a25'!F29/'a24'!F29*100</f>
        <v>4.2394943628288351</v>
      </c>
      <c r="G29" s="11">
        <f>'a25'!G29/'a24'!G29*100</f>
        <v>3.9642559630064094</v>
      </c>
      <c r="H29" s="11">
        <f>'a25'!H29/'a24'!H29*100</f>
        <v>4.4973575060208724</v>
      </c>
      <c r="I29" s="11">
        <f>'a25'!I29/'a24'!I29*100</f>
        <v>3.8936260248611481</v>
      </c>
      <c r="J29" s="11">
        <f>'a25'!J29/'a24'!J29*100</f>
        <v>3.9277633824179996</v>
      </c>
      <c r="K29" s="11">
        <f>'a25'!K29/'a24'!K29*100</f>
        <v>3.6146222550802243</v>
      </c>
      <c r="L29" s="11">
        <f>'a25'!L29/'a24'!L29*100</f>
        <v>3.7240980238983887</v>
      </c>
    </row>
    <row r="30" spans="1:12" ht="16.5" customHeight="1">
      <c r="A30" s="1">
        <v>1996</v>
      </c>
      <c r="B30" s="11">
        <f>'a25'!B30/'a24'!B30*100</f>
        <v>4.1514296595381053</v>
      </c>
      <c r="C30" s="11">
        <f>'a25'!C30/'a24'!C30*100</f>
        <v>3.4926755978465001</v>
      </c>
      <c r="D30" s="11">
        <f>'a25'!D30/'a24'!D30*100</f>
        <v>5.1241545893719804</v>
      </c>
      <c r="E30" s="11">
        <f>'a25'!E30/'a24'!E30*100</f>
        <v>4.3940989804874748</v>
      </c>
      <c r="F30" s="11">
        <f>'a25'!F30/'a24'!F30*100</f>
        <v>4.1344281723524929</v>
      </c>
      <c r="G30" s="11">
        <f>'a25'!G30/'a24'!G30*100</f>
        <v>3.944576544105991</v>
      </c>
      <c r="H30" s="11">
        <f>'a25'!H30/'a24'!H30*100</f>
        <v>4.5808053971477101</v>
      </c>
      <c r="I30" s="11">
        <f>'a25'!I30/'a24'!I30*100</f>
        <v>4.0238326599498793</v>
      </c>
      <c r="J30" s="11">
        <f>'a25'!J30/'a24'!J30*100</f>
        <v>3.736710518483243</v>
      </c>
      <c r="K30" s="11">
        <f>'a25'!K30/'a24'!K30*100</f>
        <v>3.6101949025487259</v>
      </c>
      <c r="L30" s="11">
        <f>'a25'!L30/'a24'!L30*100</f>
        <v>3.8095899142998797</v>
      </c>
    </row>
    <row r="31" spans="1:12" ht="16.5" customHeight="1">
      <c r="A31" s="1">
        <v>1997</v>
      </c>
      <c r="B31" s="11">
        <f>'a25'!B31/'a24'!B31*100</f>
        <v>4.308585668093583</v>
      </c>
      <c r="C31" s="11">
        <f>'a25'!C31/'a24'!C31*100</f>
        <v>3.5757956975720222</v>
      </c>
      <c r="D31" s="11">
        <f>'a25'!D31/'a24'!D31*100</f>
        <v>5.212464589235128</v>
      </c>
      <c r="E31" s="11">
        <f>'a25'!E31/'a24'!E31*100</f>
        <v>4.5195548903494505</v>
      </c>
      <c r="F31" s="11">
        <f>'a25'!F31/'a24'!F31*100</f>
        <v>4.5792753864051861</v>
      </c>
      <c r="G31" s="11">
        <f>'a25'!G31/'a24'!G31*100</f>
        <v>4.0790556603000248</v>
      </c>
      <c r="H31" s="11">
        <f>'a25'!H31/'a24'!H31*100</f>
        <v>4.6797871085419747</v>
      </c>
      <c r="I31" s="11">
        <f>'a25'!I31/'a24'!I31*100</f>
        <v>4.3439979523931411</v>
      </c>
      <c r="J31" s="11">
        <f>'a25'!J31/'a24'!J31*100</f>
        <v>4.2431218416619876</v>
      </c>
      <c r="K31" s="11">
        <f>'a25'!K31/'a24'!K31*100</f>
        <v>3.8560180180180184</v>
      </c>
      <c r="L31" s="11">
        <f>'a25'!L31/'a24'!L31*100</f>
        <v>3.9588134548194835</v>
      </c>
    </row>
    <row r="32" spans="1:12" ht="16.5" customHeight="1">
      <c r="A32" s="1">
        <v>1998</v>
      </c>
      <c r="B32" s="11">
        <f>'a25'!B32/'a24'!B32*100</f>
        <v>4.3547399106135032</v>
      </c>
      <c r="C32" s="11">
        <f>'a25'!C32/'a24'!C32*100</f>
        <v>4.0029640607632455</v>
      </c>
      <c r="D32" s="11">
        <f>'a25'!D32/'a24'!D32*100</f>
        <v>5.3772621809744781</v>
      </c>
      <c r="E32" s="11">
        <f>'a25'!E32/'a24'!E32*100</f>
        <v>4.7199127454035521</v>
      </c>
      <c r="F32" s="11">
        <f>'a25'!F32/'a24'!F32*100</f>
        <v>4.4012242626599889</v>
      </c>
      <c r="G32" s="11">
        <f>'a25'!G32/'a24'!G32*100</f>
        <v>3.9849226208501349</v>
      </c>
      <c r="H32" s="11">
        <f>'a25'!H32/'a24'!H32*100</f>
        <v>4.7757083236125153</v>
      </c>
      <c r="I32" s="11">
        <f>'a25'!I32/'a24'!I32*100</f>
        <v>4.3555512214149879</v>
      </c>
      <c r="J32" s="11">
        <f>'a25'!J32/'a24'!J32*100</f>
        <v>4.0136504530281361</v>
      </c>
      <c r="K32" s="11">
        <f>'a25'!K32/'a24'!K32*100</f>
        <v>3.8107087840468576</v>
      </c>
      <c r="L32" s="11">
        <f>'a25'!L32/'a24'!L32*100</f>
        <v>4.1711028660536646</v>
      </c>
    </row>
    <row r="33" spans="1:138" ht="16.5" customHeight="1">
      <c r="A33" s="1">
        <v>1999</v>
      </c>
      <c r="B33" s="11">
        <f>'a25'!B33/'a24'!B33*100</f>
        <v>4.5282820133942279</v>
      </c>
      <c r="C33" s="11">
        <f>'a25'!C33/'a24'!C33*100</f>
        <v>3.9440200525185007</v>
      </c>
      <c r="D33" s="11">
        <f>'a25'!D33/'a24'!D33*100</f>
        <v>5.2824360105913506</v>
      </c>
      <c r="E33" s="11">
        <f>'a25'!E33/'a24'!E33*100</f>
        <v>4.5500089142449633</v>
      </c>
      <c r="F33" s="11">
        <f>'a25'!F33/'a24'!F33*100</f>
        <v>4.6022442944878312</v>
      </c>
      <c r="G33" s="11">
        <f>'a25'!G33/'a24'!G33*100</f>
        <v>4.2349247764655624</v>
      </c>
      <c r="H33" s="11">
        <f>'a25'!H33/'a24'!H33*100</f>
        <v>4.9290436478028639</v>
      </c>
      <c r="I33" s="11">
        <f>'a25'!I33/'a24'!I33*100</f>
        <v>4.6360668149339892</v>
      </c>
      <c r="J33" s="11">
        <f>'a25'!J33/'a24'!J33*100</f>
        <v>4.1391219957755316</v>
      </c>
      <c r="K33" s="11">
        <f>'a25'!K33/'a24'!K33*100</f>
        <v>4.1068639340286195</v>
      </c>
      <c r="L33" s="11">
        <f>'a25'!L33/'a24'!L33*100</f>
        <v>4.2626207823076534</v>
      </c>
    </row>
    <row r="34" spans="1:138" ht="16.5" customHeight="1">
      <c r="A34" s="1">
        <v>2000</v>
      </c>
      <c r="B34" s="11">
        <f>'a25'!B34/'a24'!B34*100</f>
        <v>4.5594488145886203</v>
      </c>
      <c r="C34" s="11">
        <f>'a25'!C34/'a24'!C34*100</f>
        <v>4.1927917620137301</v>
      </c>
      <c r="D34" s="11">
        <f>'a25'!D34/'a24'!D34*100</f>
        <v>5.1095041322314048</v>
      </c>
      <c r="E34" s="11">
        <f>'a25'!E34/'a24'!E34*100</f>
        <v>4.8839438548442322</v>
      </c>
      <c r="F34" s="11">
        <f>'a25'!F34/'a24'!F34*100</f>
        <v>4.651274581209031</v>
      </c>
      <c r="G34" s="11">
        <f>'a25'!G34/'a24'!G34*100</f>
        <v>4.2436277926688177</v>
      </c>
      <c r="H34" s="11">
        <f>'a25'!H34/'a24'!H34*100</f>
        <v>4.9085769422123056</v>
      </c>
      <c r="I34" s="11">
        <f>'a25'!I34/'a24'!I34*100</f>
        <v>4.7073115555153384</v>
      </c>
      <c r="J34" s="11">
        <f>'a25'!J34/'a24'!J34*100</f>
        <v>4.2552372573816459</v>
      </c>
      <c r="K34" s="11">
        <f>'a25'!K34/'a24'!K34*100</f>
        <v>4.1641392535772237</v>
      </c>
      <c r="L34" s="11">
        <f>'a25'!L34/'a24'!L34*100</f>
        <v>4.3424866607245329</v>
      </c>
    </row>
    <row r="35" spans="1:138" ht="16.5" customHeight="1">
      <c r="A35" s="1">
        <v>2001</v>
      </c>
      <c r="B35" s="11">
        <f>'a25'!B35/'a24'!B35*100</f>
        <v>4.7909685652633902</v>
      </c>
      <c r="C35" s="11">
        <f>'a25'!C35/'a24'!C35*100</f>
        <v>4.2308029837648098</v>
      </c>
      <c r="D35" s="11">
        <f>'a25'!D35/'a24'!D35*100</f>
        <v>5.9773003648155658</v>
      </c>
      <c r="E35" s="11">
        <f>'a25'!E35/'a24'!E35*100</f>
        <v>5.0855125234469822</v>
      </c>
      <c r="F35" s="11">
        <f>'a25'!F35/'a24'!F35*100</f>
        <v>5.1373614738476734</v>
      </c>
      <c r="G35" s="11">
        <f>'a25'!G35/'a24'!G35*100</f>
        <v>4.5094395381602013</v>
      </c>
      <c r="H35" s="11">
        <f>'a25'!H35/'a24'!H35*100</f>
        <v>5.1477675368799778</v>
      </c>
      <c r="I35" s="11">
        <f>'a25'!I35/'a24'!I35*100</f>
        <v>5.1058152694350136</v>
      </c>
      <c r="J35" s="11">
        <f>'a25'!J35/'a24'!J35*100</f>
        <v>4.7021196063588189</v>
      </c>
      <c r="K35" s="11">
        <f>'a25'!K35/'a24'!K35*100</f>
        <v>4.3134176209704114</v>
      </c>
      <c r="L35" s="11">
        <f>'a25'!L35/'a24'!L35*100</f>
        <v>4.4712768949514832</v>
      </c>
    </row>
    <row r="36" spans="1:138" ht="16.5" customHeight="1">
      <c r="A36" s="1">
        <v>2002</v>
      </c>
      <c r="B36" s="11">
        <f>'a25'!B36/'a24'!B36*100</f>
        <v>5.0427328136482181</v>
      </c>
      <c r="C36" s="11">
        <f>'a25'!C36/'a24'!C36*100</f>
        <v>4.4233024197846706</v>
      </c>
      <c r="D36" s="11">
        <f>'a25'!D36/'a24'!D36*100</f>
        <v>5.3633921719109754</v>
      </c>
      <c r="E36" s="11">
        <f>'a25'!E36/'a24'!E36*100</f>
        <v>5.5441255221163113</v>
      </c>
      <c r="F36" s="11">
        <f>'a25'!F36/'a24'!F36*100</f>
        <v>5.4314917127071825</v>
      </c>
      <c r="G36" s="11">
        <f>'a25'!G36/'a24'!G36*100</f>
        <v>4.6613441670891742</v>
      </c>
      <c r="H36" s="11">
        <f>'a25'!H36/'a24'!H36*100</f>
        <v>5.5590943003139115</v>
      </c>
      <c r="I36" s="11">
        <f>'a25'!I36/'a24'!I36*100</f>
        <v>5.172818650223836</v>
      </c>
      <c r="J36" s="11">
        <f>'a25'!J36/'a24'!J36*100</f>
        <v>4.7193028505433361</v>
      </c>
      <c r="K36" s="11">
        <f>'a25'!K36/'a24'!K36*100</f>
        <v>4.3223701850031278</v>
      </c>
      <c r="L36" s="11">
        <f>'a25'!L36/'a24'!L36*100</f>
        <v>4.6984784522653902</v>
      </c>
    </row>
    <row r="37" spans="1:138" ht="16.5" customHeight="1">
      <c r="A37" s="1">
        <v>2003</v>
      </c>
      <c r="B37" s="11">
        <f>'a25'!B37/'a24'!B37*100</f>
        <v>5.1146569004862288</v>
      </c>
      <c r="C37" s="11">
        <f>'a25'!C37/'a24'!C37*100</f>
        <v>4.8022101708789524</v>
      </c>
      <c r="D37" s="11">
        <f>'a25'!D37/'a24'!D37*100</f>
        <v>6.122201138519924</v>
      </c>
      <c r="E37" s="11">
        <f>'a25'!E37/'a24'!E37*100</f>
        <v>5.7615352567440885</v>
      </c>
      <c r="F37" s="11">
        <f>'a25'!F37/'a24'!F37*100</f>
        <v>5.5959273308045514</v>
      </c>
      <c r="G37" s="11">
        <f>'a25'!G37/'a24'!G37*100</f>
        <v>4.7895330021470439</v>
      </c>
      <c r="H37" s="11">
        <f>'a25'!H37/'a24'!H37*100</f>
        <v>5.5809833879357562</v>
      </c>
      <c r="I37" s="11">
        <f>'a25'!I37/'a24'!I37*100</f>
        <v>5.1748240301194954</v>
      </c>
      <c r="J37" s="11">
        <f>'a25'!J37/'a24'!J37*100</f>
        <v>4.7990908192509139</v>
      </c>
      <c r="K37" s="11">
        <f>'a25'!K37/'a24'!K37*100</f>
        <v>4.3483927656147028</v>
      </c>
      <c r="L37" s="11">
        <f>'a25'!L37/'a24'!L37*100</f>
        <v>4.814119447024753</v>
      </c>
    </row>
    <row r="38" spans="1:138" ht="16.5" customHeight="1">
      <c r="A38" s="1">
        <v>2004</v>
      </c>
      <c r="B38" s="11">
        <f>'a25'!B38/'a24'!B38*100</f>
        <v>5.1754643887531531</v>
      </c>
      <c r="C38" s="11">
        <f>'a25'!C38/'a24'!C38*100</f>
        <v>5.0413354531001593</v>
      </c>
      <c r="D38" s="11">
        <f>'a25'!D38/'a24'!D38*100</f>
        <v>5.9570484581497798</v>
      </c>
      <c r="E38" s="11">
        <f>'a25'!E38/'a24'!E38*100</f>
        <v>5.6306382555013448</v>
      </c>
      <c r="F38" s="11">
        <f>'a25'!F38/'a24'!F38*100</f>
        <v>5.4707966841738909</v>
      </c>
      <c r="G38" s="11">
        <f>'a25'!G38/'a24'!G38*100</f>
        <v>4.7246292018263958</v>
      </c>
      <c r="H38" s="11">
        <f>'a25'!H38/'a24'!H38*100</f>
        <v>5.7289863578731648</v>
      </c>
      <c r="I38" s="11">
        <f>'a25'!I38/'a24'!I38*100</f>
        <v>5.1374111063614816</v>
      </c>
      <c r="J38" s="11">
        <f>'a25'!J38/'a24'!J38*100</f>
        <v>4.6654485656860958</v>
      </c>
      <c r="K38" s="11">
        <f>'a25'!K38/'a24'!K38*100</f>
        <v>4.3868752512394478</v>
      </c>
      <c r="L38" s="11">
        <f>'a25'!L38/'a24'!L38*100</f>
        <v>4.9948917990155097</v>
      </c>
    </row>
    <row r="39" spans="1:138" ht="16.5" customHeight="1">
      <c r="A39" s="1">
        <v>2005</v>
      </c>
      <c r="B39" s="11">
        <f>'a25'!B39/'a24'!B39*100</f>
        <v>5.2743730398643285</v>
      </c>
      <c r="C39" s="11">
        <f>'a25'!C39/'a24'!C39*100</f>
        <v>5.3047471720003863</v>
      </c>
      <c r="D39" s="11">
        <f>'a25'!D39/'a24'!D39*100</f>
        <v>5.7501761804087383</v>
      </c>
      <c r="E39" s="11">
        <f>'a25'!E39/'a24'!E39*100</f>
        <v>5.7321002955477169</v>
      </c>
      <c r="F39" s="11">
        <f>'a25'!F39/'a24'!F39*100</f>
        <v>6.0368030423848369</v>
      </c>
      <c r="G39" s="11">
        <f>'a25'!G39/'a24'!G39*100</f>
        <v>4.968201261678697</v>
      </c>
      <c r="H39" s="11">
        <f>'a25'!H39/'a24'!H39*100</f>
        <v>5.8447700824271145</v>
      </c>
      <c r="I39" s="11">
        <f>'a25'!I39/'a24'!I39*100</f>
        <v>5.3265514502893012</v>
      </c>
      <c r="J39" s="11">
        <f>'a25'!J39/'a24'!J39*100</f>
        <v>4.7406638067283815</v>
      </c>
      <c r="K39" s="11">
        <f>'a25'!K39/'a24'!K39*100</f>
        <v>4.2388099079626986</v>
      </c>
      <c r="L39" s="11">
        <f>'a25'!L39/'a24'!L39*100</f>
        <v>4.9626349403162786</v>
      </c>
    </row>
    <row r="40" spans="1:138" ht="16.5" customHeight="1">
      <c r="A40" s="1">
        <v>2006</v>
      </c>
      <c r="B40" s="11">
        <f>'a25'!B40/'a24'!B40*100</f>
        <v>5.3499970698203212</v>
      </c>
      <c r="C40" s="11">
        <f>'a25'!C40/'a24'!C40*100</f>
        <v>4.320740169622205</v>
      </c>
      <c r="D40" s="11">
        <f>'a25'!D40/'a24'!D40*100</f>
        <v>6.2954393024815554</v>
      </c>
      <c r="E40" s="11">
        <f>'a25'!E40/'a24'!E40*100</f>
        <v>6.0669010868572473</v>
      </c>
      <c r="F40" s="11">
        <f>'a25'!F40/'a24'!F40*100</f>
        <v>6.2021758306380477</v>
      </c>
      <c r="G40" s="11">
        <f>'a25'!G40/'a24'!G40*100</f>
        <v>5.0507000128340334</v>
      </c>
      <c r="H40" s="11">
        <f>'a25'!H40/'a24'!H40*100</f>
        <v>5.8506336770889611</v>
      </c>
      <c r="I40" s="11">
        <f>'a25'!I40/'a24'!I40*100</f>
        <v>5.4115495258727853</v>
      </c>
      <c r="J40" s="11">
        <f>'a25'!J40/'a24'!J40*100</f>
        <v>4.9883840991223538</v>
      </c>
      <c r="K40" s="11">
        <f>'a25'!K40/'a24'!K40*100</f>
        <v>4.3486520861312963</v>
      </c>
      <c r="L40" s="11">
        <f>'a25'!L40/'a24'!L40*100</f>
        <v>5.2806559922017442</v>
      </c>
    </row>
    <row r="41" spans="1:138" ht="16.5" customHeight="1">
      <c r="A41" s="1">
        <v>2007</v>
      </c>
      <c r="B41" s="11">
        <f>'a25'!B41/'a24'!B41*100</f>
        <v>5.2970584516555501</v>
      </c>
      <c r="C41" s="11">
        <f>'a25'!C41/'a24'!C41*100</f>
        <v>5.0040415246849985</v>
      </c>
      <c r="D41" s="11">
        <f>'a25'!D41/'a24'!D41*100</f>
        <v>6.0475120385232746</v>
      </c>
      <c r="E41" s="11">
        <f>'a25'!E41/'a24'!E41*100</f>
        <v>6.1510150622134914</v>
      </c>
      <c r="F41" s="11">
        <f>'a25'!F41/'a24'!F41*100</f>
        <v>6.0395350143202107</v>
      </c>
      <c r="G41" s="11">
        <f>'a25'!G41/'a24'!G41*100</f>
        <v>5.0088090872689719</v>
      </c>
      <c r="H41" s="11">
        <f>'a25'!H41/'a24'!H41*100</f>
        <v>5.892148520106832</v>
      </c>
      <c r="I41" s="11">
        <f>'a25'!I41/'a24'!I41*100</f>
        <v>5.2648383545190667</v>
      </c>
      <c r="J41" s="11">
        <f>'a25'!J41/'a24'!J41*100</f>
        <v>4.7755776876746845</v>
      </c>
      <c r="K41" s="11">
        <f>'a25'!K41/'a24'!K41*100</f>
        <v>4.242069474029166</v>
      </c>
      <c r="L41" s="11">
        <f>'a25'!L41/'a24'!L41*100</f>
        <v>4.9812918806762134</v>
      </c>
    </row>
    <row r="42" spans="1:138" ht="16.5" customHeight="1">
      <c r="A42" s="1">
        <v>2008</v>
      </c>
      <c r="B42" s="11">
        <f>'a25'!B42/'a24'!B42*100</f>
        <v>5.3423491075152398</v>
      </c>
      <c r="C42" s="11">
        <f>'a25'!C42/'a24'!C42*100</f>
        <v>5.1121645508597133</v>
      </c>
      <c r="D42" s="11">
        <f>'a25'!D42/'a24'!D42*100</f>
        <v>6.0119485294117645</v>
      </c>
      <c r="E42" s="11">
        <f>'a25'!E42/'a24'!E42*100</f>
        <v>6.2244479759116764</v>
      </c>
      <c r="F42" s="11">
        <f>'a25'!F42/'a24'!F42*100</f>
        <v>6.0475838003595221</v>
      </c>
      <c r="G42" s="11">
        <f>'a25'!G42/'a24'!G42*100</f>
        <v>5.140233874009807</v>
      </c>
      <c r="H42" s="11">
        <f>'a25'!H42/'a24'!H42*100</f>
        <v>5.9144455921464649</v>
      </c>
      <c r="I42" s="11">
        <f>'a25'!I42/'a24'!I42*100</f>
        <v>5.3339580209895052</v>
      </c>
      <c r="J42" s="11">
        <f>'a25'!J42/'a24'!J42*100</f>
        <v>4.1304871117649027</v>
      </c>
      <c r="K42" s="11">
        <f>'a25'!K42/'a24'!K42*100</f>
        <v>4.2150599101911261</v>
      </c>
      <c r="L42" s="11">
        <f>'a25'!L42/'a24'!L42*100</f>
        <v>5.2835354530334104</v>
      </c>
    </row>
    <row r="43" spans="1:138" ht="16.5" customHeight="1">
      <c r="A43" s="1">
        <v>2009</v>
      </c>
      <c r="B43" s="11">
        <f>'a25'!B43/'a24'!B43*100</f>
        <v>5.5429171482185691</v>
      </c>
      <c r="C43" s="11">
        <f>'a25'!C43/'a24'!C43*100</f>
        <v>4.935860500379075</v>
      </c>
      <c r="D43" s="11">
        <f>'a25'!D43/'a24'!D43*100</f>
        <v>6.1113730111962283</v>
      </c>
      <c r="E43" s="11">
        <f>'a25'!E43/'a24'!E43*100</f>
        <v>6.562690634023344</v>
      </c>
      <c r="F43" s="11">
        <f>'a25'!F43/'a24'!F43*100</f>
        <v>6.4251827616175037</v>
      </c>
      <c r="G43" s="11">
        <f>'a25'!G43/'a24'!G43*100</f>
        <v>5.354910418537548</v>
      </c>
      <c r="H43" s="11">
        <f>'a25'!H43/'a24'!H43*100</f>
        <v>6.1773207754451303</v>
      </c>
      <c r="I43" s="11">
        <f>'a25'!I43/'a24'!I43*100</f>
        <v>5.4510891089108906</v>
      </c>
      <c r="J43" s="11">
        <f>'a25'!J43/'a24'!J43*100</f>
        <v>4.3760525707492652</v>
      </c>
      <c r="K43" s="11">
        <f>'a25'!K43/'a24'!K43*100</f>
        <v>4.3358614259922454</v>
      </c>
      <c r="L43" s="11">
        <f>'a25'!L43/'a24'!L43*100</f>
        <v>5.3662380655375905</v>
      </c>
    </row>
    <row r="44" spans="1:138" ht="16.5" customHeight="1">
      <c r="A44" s="1">
        <v>2010</v>
      </c>
      <c r="B44" s="11">
        <f>'a25'!B44/'a24'!B44*100</f>
        <v>5.5850573293625381</v>
      </c>
      <c r="C44" s="11">
        <f>'a25'!C44/'a24'!C44*100</f>
        <v>4.9097844378473905</v>
      </c>
      <c r="D44" s="11">
        <f>'a25'!D44/'a24'!D44*100</f>
        <v>5.9298968436545145</v>
      </c>
      <c r="E44" s="11">
        <f>'a25'!E44/'a24'!E44*100</f>
        <v>6.6350964797327689</v>
      </c>
      <c r="F44" s="11">
        <f>'a25'!F44/'a24'!F44*100</f>
        <v>6.4829557348055715</v>
      </c>
      <c r="G44" s="11">
        <f>'a25'!G44/'a24'!G44*100</f>
        <v>5.408916608702417</v>
      </c>
      <c r="H44" s="11">
        <f>'a25'!H44/'a24'!H44*100</f>
        <v>6.2829369889715752</v>
      </c>
      <c r="I44" s="11">
        <f>'a25'!I44/'a24'!I44*100</f>
        <v>5.4798300773271009</v>
      </c>
      <c r="J44" s="11">
        <f>'a25'!J44/'a24'!J44*100</f>
        <v>4.3060879512470649</v>
      </c>
      <c r="K44" s="11">
        <f>'a25'!K44/'a24'!K44*100</f>
        <v>4.2923951219791618</v>
      </c>
      <c r="L44" s="11">
        <f>'a25'!L44/'a24'!L44*100</f>
        <v>5.3779026226450961</v>
      </c>
    </row>
    <row r="45" spans="1:138" ht="16.5" customHeight="1">
      <c r="B45" s="172" t="s">
        <v>435</v>
      </c>
      <c r="C45" s="11"/>
      <c r="D45" s="11"/>
      <c r="E45" s="11"/>
      <c r="F45" s="11"/>
      <c r="G45" s="11"/>
      <c r="H45" s="11"/>
      <c r="I45" s="11"/>
      <c r="J45" s="11"/>
      <c r="K45" s="11"/>
      <c r="L45" s="11"/>
    </row>
    <row r="46" spans="1:138" ht="16.5" customHeight="1">
      <c r="A46" s="252" t="s">
        <v>988</v>
      </c>
      <c r="B46" s="271">
        <f>(POWER(B44/B15, 1/29)-1)*100</f>
        <v>2.5979684547997151</v>
      </c>
      <c r="C46" s="271">
        <f t="shared" ref="C46:L46" si="0">(POWER(C44/C15, 1/29)-1)*100</f>
        <v>-0.36658754077526501</v>
      </c>
      <c r="D46" s="271">
        <f t="shared" si="0"/>
        <v>0.33479683414991968</v>
      </c>
      <c r="E46" s="271">
        <f t="shared" si="0"/>
        <v>3.553324107103073</v>
      </c>
      <c r="F46" s="271">
        <f t="shared" si="0"/>
        <v>2.2857370578923009</v>
      </c>
      <c r="G46" s="271">
        <f t="shared" si="0"/>
        <v>2.7388615636057434</v>
      </c>
      <c r="H46" s="271">
        <f t="shared" si="0"/>
        <v>3.006463750967181</v>
      </c>
      <c r="I46" s="271">
        <f t="shared" si="0"/>
        <v>2.0879041656000741</v>
      </c>
      <c r="J46" s="271">
        <f t="shared" si="0"/>
        <v>2.5592744130965794</v>
      </c>
      <c r="K46" s="271">
        <f t="shared" si="0"/>
        <v>2.2497640460150237</v>
      </c>
      <c r="L46" s="271">
        <f t="shared" si="0"/>
        <v>2.1714822058586547</v>
      </c>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row>
    <row r="47" spans="1:138">
      <c r="A47" s="1" t="s">
        <v>1014</v>
      </c>
    </row>
    <row r="48" spans="1:138">
      <c r="C48" s="1">
        <f t="shared" ref="C48:L48" si="1">(C44-C15)/C15</f>
        <v>-0.10103009816560379</v>
      </c>
      <c r="D48" s="1">
        <f t="shared" si="1"/>
        <v>0.1017820504640031</v>
      </c>
      <c r="E48" s="1">
        <f t="shared" si="1"/>
        <v>1.7526899064598773</v>
      </c>
      <c r="F48" s="1">
        <f t="shared" si="1"/>
        <v>0.92591577512879109</v>
      </c>
      <c r="G48" s="1">
        <f t="shared" si="1"/>
        <v>1.1893123277182234</v>
      </c>
      <c r="H48" s="1">
        <f t="shared" si="1"/>
        <v>1.3608579685174991</v>
      </c>
      <c r="I48" s="1">
        <f t="shared" si="1"/>
        <v>0.82076690608267633</v>
      </c>
      <c r="J48" s="1">
        <f t="shared" si="1"/>
        <v>1.0810056026898134</v>
      </c>
      <c r="K48" s="1">
        <f t="shared" si="1"/>
        <v>0.90636967188708217</v>
      </c>
      <c r="L48" s="1">
        <f t="shared" si="1"/>
        <v>0.86449455275824405</v>
      </c>
    </row>
    <row r="51" spans="1:2">
      <c r="A51" s="1" t="s">
        <v>1472</v>
      </c>
      <c r="B51" s="1">
        <f>(POWER(B$23/B$15, 1/8)-1)*100</f>
        <v>2.6699025451818681</v>
      </c>
    </row>
    <row r="52" spans="1:2">
      <c r="A52" s="1" t="s">
        <v>1473</v>
      </c>
      <c r="B52" s="1">
        <f>(POWER(B$34/B$23, 1/11)-1)*100</f>
        <v>3.0464545104798679</v>
      </c>
    </row>
    <row r="53" spans="1:2">
      <c r="A53" s="1" t="s">
        <v>1474</v>
      </c>
      <c r="B53" s="1">
        <f>(POWER(B$42/B$34, 1/8)-1)*100</f>
        <v>2.0005444700489372</v>
      </c>
    </row>
  </sheetData>
  <phoneticPr fontId="0" type="noConversion"/>
  <pageMargins left="0.75" right="0.75" top="1" bottom="1" header="0.5" footer="0.5"/>
  <pageSetup scale="85" orientation="landscape" r:id="rId1"/>
  <headerFooter alignWithMargins="0"/>
  <rowBreaks count="2" manualBreakCount="2">
    <brk id="53" max="16383" man="1"/>
    <brk id="59" max="16383" man="1"/>
  </rowBreaks>
</worksheet>
</file>

<file path=xl/worksheets/sheet56.xml><?xml version="1.0" encoding="utf-8"?>
<worksheet xmlns="http://schemas.openxmlformats.org/spreadsheetml/2006/main" xmlns:r="http://schemas.openxmlformats.org/officeDocument/2006/relationships">
  <dimension ref="A1:FC60"/>
  <sheetViews>
    <sheetView view="pageBreakPreview" zoomScaleSheetLayoutView="100" workbookViewId="0">
      <pane xSplit="1" ySplit="4" topLeftCell="BI5" activePane="bottomRight" state="frozen"/>
      <selection activeCell="E9" sqref="E9"/>
      <selection pane="topRight" activeCell="E9" sqref="E9"/>
      <selection pane="bottomLeft" activeCell="E9" sqref="E9"/>
      <selection pane="bottomRight" activeCell="E9" sqref="E9"/>
    </sheetView>
  </sheetViews>
  <sheetFormatPr defaultColWidth="8.875" defaultRowHeight="12.75"/>
  <cols>
    <col min="1" max="1" width="8.75" style="35" customWidth="1"/>
    <col min="2" max="2" width="12.25" style="35" customWidth="1"/>
    <col min="3" max="6" width="10" style="35" customWidth="1"/>
    <col min="7" max="7" width="9.875" style="35" customWidth="1"/>
    <col min="8" max="57" width="10" style="35" customWidth="1"/>
    <col min="58" max="58" width="10" style="206" customWidth="1"/>
    <col min="59" max="83" width="10" style="35" customWidth="1"/>
    <col min="84" max="16384" width="8.875" style="35"/>
  </cols>
  <sheetData>
    <row r="1" spans="1:159" ht="15.75">
      <c r="B1" s="40" t="s">
        <v>117</v>
      </c>
      <c r="J1" s="31"/>
      <c r="K1" s="31"/>
      <c r="P1" s="40" t="s">
        <v>118</v>
      </c>
      <c r="AD1" s="40" t="s">
        <v>119</v>
      </c>
      <c r="AR1" s="40" t="s">
        <v>120</v>
      </c>
      <c r="BF1" s="40" t="s">
        <v>132</v>
      </c>
      <c r="BT1" s="40" t="s">
        <v>133</v>
      </c>
      <c r="CD1" s="40" t="s">
        <v>117</v>
      </c>
      <c r="CL1" s="31"/>
      <c r="CM1" s="31"/>
      <c r="CR1" s="40" t="s">
        <v>118</v>
      </c>
      <c r="DF1" s="40" t="s">
        <v>119</v>
      </c>
      <c r="DT1" s="40" t="s">
        <v>120</v>
      </c>
      <c r="EH1" s="40" t="s">
        <v>132</v>
      </c>
      <c r="EV1" s="40" t="s">
        <v>133</v>
      </c>
    </row>
    <row r="2" spans="1:159" s="38" customFormat="1" ht="15">
      <c r="B2" s="38" t="s">
        <v>321</v>
      </c>
      <c r="I2" s="39" t="s">
        <v>370</v>
      </c>
      <c r="J2" s="39"/>
      <c r="K2" s="39"/>
      <c r="M2" s="39"/>
      <c r="N2" s="39"/>
      <c r="O2" s="39"/>
      <c r="P2" s="39" t="s">
        <v>371</v>
      </c>
      <c r="Q2" s="39"/>
      <c r="R2" s="39"/>
      <c r="T2" s="39"/>
      <c r="U2" s="39"/>
      <c r="V2" s="39"/>
      <c r="W2" s="39" t="s">
        <v>372</v>
      </c>
      <c r="X2" s="39"/>
      <c r="Y2" s="39"/>
      <c r="AA2" s="39"/>
      <c r="AB2" s="39"/>
      <c r="AC2" s="39"/>
      <c r="AD2" s="39" t="s">
        <v>373</v>
      </c>
      <c r="AE2" s="39"/>
      <c r="AF2" s="39"/>
      <c r="AH2" s="39"/>
      <c r="AI2" s="39"/>
      <c r="AJ2" s="39"/>
      <c r="AK2" s="39" t="s">
        <v>374</v>
      </c>
      <c r="AL2" s="39"/>
      <c r="AM2" s="39"/>
      <c r="AO2" s="39"/>
      <c r="AP2" s="39"/>
      <c r="AQ2" s="39"/>
      <c r="AR2" s="39" t="s">
        <v>375</v>
      </c>
      <c r="AS2" s="39"/>
      <c r="AT2" s="39"/>
      <c r="AV2" s="39"/>
      <c r="AW2" s="39"/>
      <c r="AX2" s="39"/>
      <c r="AY2" s="39" t="s">
        <v>376</v>
      </c>
      <c r="AZ2" s="39"/>
      <c r="BA2" s="39"/>
      <c r="BC2" s="39"/>
      <c r="BD2" s="39"/>
      <c r="BE2" s="39"/>
      <c r="BF2" s="39" t="s">
        <v>377</v>
      </c>
      <c r="BK2" s="39"/>
      <c r="BL2" s="39"/>
      <c r="BM2" s="39" t="s">
        <v>378</v>
      </c>
      <c r="BN2" s="39"/>
      <c r="BO2" s="39"/>
      <c r="BQ2" s="39"/>
      <c r="BR2" s="39"/>
      <c r="BS2" s="39"/>
      <c r="BT2" s="39" t="s">
        <v>379</v>
      </c>
      <c r="BU2" s="39"/>
      <c r="BV2" s="39"/>
      <c r="CD2" s="38" t="s">
        <v>321</v>
      </c>
      <c r="CK2" s="39" t="s">
        <v>370</v>
      </c>
      <c r="CL2" s="39"/>
      <c r="CM2" s="39"/>
      <c r="CO2" s="39"/>
      <c r="CP2" s="39"/>
      <c r="CQ2" s="39"/>
      <c r="CR2" s="39" t="s">
        <v>371</v>
      </c>
      <c r="CS2" s="39"/>
      <c r="CT2" s="39"/>
      <c r="CV2" s="39"/>
      <c r="CW2" s="39"/>
      <c r="CX2" s="39"/>
      <c r="CY2" s="39" t="s">
        <v>372</v>
      </c>
      <c r="CZ2" s="39"/>
      <c r="DA2" s="39"/>
      <c r="DC2" s="39"/>
      <c r="DD2" s="39"/>
      <c r="DE2" s="39"/>
      <c r="DF2" s="39" t="s">
        <v>373</v>
      </c>
      <c r="DG2" s="39"/>
      <c r="DH2" s="39"/>
      <c r="DJ2" s="39"/>
      <c r="DK2" s="39"/>
      <c r="DL2" s="39"/>
      <c r="DM2" s="39" t="s">
        <v>374</v>
      </c>
      <c r="DN2" s="39"/>
      <c r="DO2" s="39"/>
      <c r="DQ2" s="39"/>
      <c r="DR2" s="39"/>
      <c r="DS2" s="39"/>
      <c r="DT2" s="39" t="s">
        <v>375</v>
      </c>
      <c r="DU2" s="39"/>
      <c r="DV2" s="39"/>
      <c r="DX2" s="39"/>
      <c r="DY2" s="39"/>
      <c r="DZ2" s="39"/>
      <c r="EA2" s="39" t="s">
        <v>376</v>
      </c>
      <c r="EB2" s="39"/>
      <c r="EC2" s="39"/>
      <c r="EE2" s="39"/>
      <c r="EF2" s="39"/>
      <c r="EG2" s="39"/>
      <c r="EH2" s="39" t="s">
        <v>377</v>
      </c>
      <c r="EM2" s="39"/>
      <c r="EN2" s="39"/>
      <c r="EO2" s="39" t="s">
        <v>378</v>
      </c>
      <c r="EP2" s="39"/>
      <c r="EQ2" s="39"/>
      <c r="ES2" s="39"/>
      <c r="ET2" s="39"/>
      <c r="EU2" s="39"/>
      <c r="EV2" s="39" t="s">
        <v>379</v>
      </c>
      <c r="EW2" s="39"/>
      <c r="EX2" s="39"/>
    </row>
    <row r="3" spans="1:159" s="41" customFormat="1" ht="114.75" customHeight="1">
      <c r="B3" s="41" t="s">
        <v>659</v>
      </c>
      <c r="C3" s="41" t="s">
        <v>649</v>
      </c>
      <c r="D3" s="41" t="s">
        <v>650</v>
      </c>
      <c r="E3" s="41" t="s">
        <v>651</v>
      </c>
      <c r="F3" s="41" t="s">
        <v>1141</v>
      </c>
      <c r="G3" s="41" t="s">
        <v>1142</v>
      </c>
      <c r="H3" s="41" t="s">
        <v>101</v>
      </c>
      <c r="I3" s="41" t="s">
        <v>659</v>
      </c>
      <c r="J3" s="41" t="s">
        <v>649</v>
      </c>
      <c r="K3" s="41" t="s">
        <v>650</v>
      </c>
      <c r="L3" s="41" t="s">
        <v>651</v>
      </c>
      <c r="M3" s="41" t="s">
        <v>1141</v>
      </c>
      <c r="N3" s="41" t="s">
        <v>1142</v>
      </c>
      <c r="O3" s="41" t="s">
        <v>101</v>
      </c>
      <c r="P3" s="41" t="s">
        <v>659</v>
      </c>
      <c r="Q3" s="41" t="s">
        <v>649</v>
      </c>
      <c r="R3" s="41" t="s">
        <v>650</v>
      </c>
      <c r="S3" s="41" t="s">
        <v>651</v>
      </c>
      <c r="T3" s="41" t="s">
        <v>1141</v>
      </c>
      <c r="U3" s="41" t="s">
        <v>1142</v>
      </c>
      <c r="V3" s="41" t="s">
        <v>101</v>
      </c>
      <c r="W3" s="41" t="s">
        <v>659</v>
      </c>
      <c r="X3" s="41" t="s">
        <v>649</v>
      </c>
      <c r="Y3" s="41" t="s">
        <v>650</v>
      </c>
      <c r="Z3" s="41" t="s">
        <v>651</v>
      </c>
      <c r="AA3" s="41" t="s">
        <v>1141</v>
      </c>
      <c r="AB3" s="41" t="s">
        <v>1142</v>
      </c>
      <c r="AC3" s="41" t="s">
        <v>101</v>
      </c>
      <c r="AD3" s="41" t="s">
        <v>659</v>
      </c>
      <c r="AE3" s="41" t="s">
        <v>649</v>
      </c>
      <c r="AF3" s="41" t="s">
        <v>650</v>
      </c>
      <c r="AG3" s="41" t="s">
        <v>651</v>
      </c>
      <c r="AH3" s="41" t="s">
        <v>1141</v>
      </c>
      <c r="AI3" s="41" t="s">
        <v>1142</v>
      </c>
      <c r="AJ3" s="41" t="s">
        <v>101</v>
      </c>
      <c r="AK3" s="41" t="s">
        <v>659</v>
      </c>
      <c r="AL3" s="41" t="s">
        <v>649</v>
      </c>
      <c r="AM3" s="41" t="s">
        <v>650</v>
      </c>
      <c r="AN3" s="41" t="s">
        <v>651</v>
      </c>
      <c r="AO3" s="41" t="s">
        <v>1141</v>
      </c>
      <c r="AP3" s="41" t="s">
        <v>1142</v>
      </c>
      <c r="AQ3" s="41" t="s">
        <v>101</v>
      </c>
      <c r="AR3" s="41" t="s">
        <v>659</v>
      </c>
      <c r="AS3" s="41" t="s">
        <v>649</v>
      </c>
      <c r="AT3" s="41" t="s">
        <v>650</v>
      </c>
      <c r="AU3" s="41" t="s">
        <v>651</v>
      </c>
      <c r="AV3" s="41" t="s">
        <v>1141</v>
      </c>
      <c r="AW3" s="41" t="s">
        <v>1142</v>
      </c>
      <c r="AX3" s="41" t="s">
        <v>101</v>
      </c>
      <c r="AY3" s="41" t="s">
        <v>659</v>
      </c>
      <c r="AZ3" s="41" t="s">
        <v>649</v>
      </c>
      <c r="BA3" s="41" t="s">
        <v>650</v>
      </c>
      <c r="BB3" s="41" t="s">
        <v>651</v>
      </c>
      <c r="BC3" s="41" t="s">
        <v>1141</v>
      </c>
      <c r="BD3" s="41" t="s">
        <v>1142</v>
      </c>
      <c r="BE3" s="41" t="s">
        <v>101</v>
      </c>
      <c r="BF3" s="41" t="s">
        <v>659</v>
      </c>
      <c r="BG3" s="41" t="s">
        <v>649</v>
      </c>
      <c r="BH3" s="41" t="s">
        <v>650</v>
      </c>
      <c r="BI3" s="41" t="s">
        <v>651</v>
      </c>
      <c r="BJ3" s="41" t="s">
        <v>1141</v>
      </c>
      <c r="BK3" s="41" t="s">
        <v>1142</v>
      </c>
      <c r="BL3" s="41" t="s">
        <v>101</v>
      </c>
      <c r="BM3" s="41" t="s">
        <v>659</v>
      </c>
      <c r="BN3" s="41" t="s">
        <v>649</v>
      </c>
      <c r="BO3" s="41" t="s">
        <v>650</v>
      </c>
      <c r="BP3" s="41" t="s">
        <v>651</v>
      </c>
      <c r="BQ3" s="41" t="s">
        <v>1141</v>
      </c>
      <c r="BR3" s="41" t="s">
        <v>1142</v>
      </c>
      <c r="BS3" s="41" t="s">
        <v>101</v>
      </c>
      <c r="BT3" s="41" t="s">
        <v>659</v>
      </c>
      <c r="BU3" s="41" t="s">
        <v>649</v>
      </c>
      <c r="BV3" s="41" t="s">
        <v>650</v>
      </c>
      <c r="BW3" s="41" t="s">
        <v>651</v>
      </c>
      <c r="BX3" s="41" t="s">
        <v>1141</v>
      </c>
      <c r="BY3" s="41" t="s">
        <v>1142</v>
      </c>
      <c r="BZ3" s="41" t="s">
        <v>101</v>
      </c>
      <c r="CD3" s="41" t="s">
        <v>659</v>
      </c>
      <c r="CE3" s="41" t="s">
        <v>649</v>
      </c>
      <c r="CF3" s="41" t="s">
        <v>650</v>
      </c>
      <c r="CG3" s="41" t="s">
        <v>651</v>
      </c>
      <c r="CH3" s="41" t="s">
        <v>1140</v>
      </c>
      <c r="CI3" s="41" t="s">
        <v>150</v>
      </c>
      <c r="CJ3" s="41" t="s">
        <v>101</v>
      </c>
      <c r="CK3" s="41" t="s">
        <v>659</v>
      </c>
      <c r="CL3" s="41" t="s">
        <v>649</v>
      </c>
      <c r="CM3" s="41" t="s">
        <v>650</v>
      </c>
      <c r="CN3" s="41" t="s">
        <v>651</v>
      </c>
      <c r="CO3" s="41" t="s">
        <v>102</v>
      </c>
      <c r="CP3" s="41" t="s">
        <v>150</v>
      </c>
      <c r="CQ3" s="41" t="s">
        <v>101</v>
      </c>
      <c r="CR3" s="41" t="s">
        <v>659</v>
      </c>
      <c r="CS3" s="41" t="s">
        <v>649</v>
      </c>
      <c r="CT3" s="41" t="s">
        <v>650</v>
      </c>
      <c r="CU3" s="41" t="s">
        <v>651</v>
      </c>
      <c r="CV3" s="41" t="s">
        <v>102</v>
      </c>
      <c r="CW3" s="41" t="s">
        <v>150</v>
      </c>
      <c r="CX3" s="41" t="s">
        <v>101</v>
      </c>
      <c r="CY3" s="41" t="s">
        <v>659</v>
      </c>
      <c r="CZ3" s="41" t="s">
        <v>649</v>
      </c>
      <c r="DA3" s="41" t="s">
        <v>650</v>
      </c>
      <c r="DB3" s="41" t="s">
        <v>651</v>
      </c>
      <c r="DC3" s="41" t="s">
        <v>102</v>
      </c>
      <c r="DD3" s="41" t="s">
        <v>150</v>
      </c>
      <c r="DE3" s="41" t="s">
        <v>101</v>
      </c>
      <c r="DF3" s="41" t="s">
        <v>659</v>
      </c>
      <c r="DG3" s="41" t="s">
        <v>649</v>
      </c>
      <c r="DH3" s="41" t="s">
        <v>650</v>
      </c>
      <c r="DI3" s="41" t="s">
        <v>651</v>
      </c>
      <c r="DJ3" s="41" t="s">
        <v>102</v>
      </c>
      <c r="DK3" s="41" t="s">
        <v>150</v>
      </c>
      <c r="DL3" s="41" t="s">
        <v>101</v>
      </c>
      <c r="DM3" s="41" t="s">
        <v>659</v>
      </c>
      <c r="DN3" s="41" t="s">
        <v>649</v>
      </c>
      <c r="DO3" s="41" t="s">
        <v>650</v>
      </c>
      <c r="DP3" s="41" t="s">
        <v>651</v>
      </c>
      <c r="DQ3" s="41" t="s">
        <v>102</v>
      </c>
      <c r="DR3" s="41" t="s">
        <v>150</v>
      </c>
      <c r="DS3" s="41" t="s">
        <v>101</v>
      </c>
      <c r="DT3" s="41" t="s">
        <v>659</v>
      </c>
      <c r="DU3" s="41" t="s">
        <v>649</v>
      </c>
      <c r="DV3" s="41" t="s">
        <v>650</v>
      </c>
      <c r="DW3" s="41" t="s">
        <v>651</v>
      </c>
      <c r="DX3" s="41" t="s">
        <v>102</v>
      </c>
      <c r="DY3" s="41" t="s">
        <v>150</v>
      </c>
      <c r="DZ3" s="41" t="s">
        <v>101</v>
      </c>
      <c r="EA3" s="41" t="s">
        <v>659</v>
      </c>
      <c r="EB3" s="41" t="s">
        <v>649</v>
      </c>
      <c r="EC3" s="41" t="s">
        <v>650</v>
      </c>
      <c r="ED3" s="41" t="s">
        <v>651</v>
      </c>
      <c r="EE3" s="41" t="s">
        <v>102</v>
      </c>
      <c r="EF3" s="41" t="s">
        <v>150</v>
      </c>
      <c r="EG3" s="41" t="s">
        <v>101</v>
      </c>
      <c r="EH3" s="41" t="s">
        <v>659</v>
      </c>
      <c r="EI3" s="41" t="s">
        <v>649</v>
      </c>
      <c r="EJ3" s="41" t="s">
        <v>650</v>
      </c>
      <c r="EK3" s="41" t="s">
        <v>651</v>
      </c>
      <c r="EL3" s="41" t="s">
        <v>102</v>
      </c>
      <c r="EM3" s="41" t="s">
        <v>150</v>
      </c>
      <c r="EN3" s="41" t="s">
        <v>101</v>
      </c>
      <c r="EO3" s="41" t="s">
        <v>659</v>
      </c>
      <c r="EP3" s="41" t="s">
        <v>649</v>
      </c>
      <c r="EQ3" s="41" t="s">
        <v>650</v>
      </c>
      <c r="ER3" s="41" t="s">
        <v>651</v>
      </c>
      <c r="ES3" s="41" t="s">
        <v>102</v>
      </c>
      <c r="ET3" s="41" t="s">
        <v>150</v>
      </c>
      <c r="EU3" s="41" t="s">
        <v>101</v>
      </c>
      <c r="EV3" s="41" t="s">
        <v>659</v>
      </c>
      <c r="EW3" s="41" t="s">
        <v>649</v>
      </c>
      <c r="EX3" s="41" t="s">
        <v>650</v>
      </c>
      <c r="EY3" s="41" t="s">
        <v>651</v>
      </c>
      <c r="EZ3" s="41" t="s">
        <v>102</v>
      </c>
      <c r="FA3" s="41" t="s">
        <v>150</v>
      </c>
      <c r="FB3" s="41" t="s">
        <v>101</v>
      </c>
    </row>
    <row r="4" spans="1:159" hidden="1">
      <c r="A4" s="32">
        <v>1970</v>
      </c>
      <c r="B4" s="32"/>
      <c r="C4" s="32"/>
      <c r="D4" s="32"/>
      <c r="E4" s="32"/>
      <c r="F4" s="32"/>
      <c r="G4" s="32"/>
      <c r="H4" s="32"/>
      <c r="I4" s="32"/>
      <c r="J4" s="32"/>
      <c r="K4" s="32"/>
      <c r="L4" s="33">
        <v>27.1</v>
      </c>
      <c r="M4" s="33">
        <v>69.5</v>
      </c>
      <c r="N4" s="34">
        <f>1-M4</f>
        <v>-68.5</v>
      </c>
      <c r="O4" s="34">
        <v>0.49</v>
      </c>
      <c r="P4" s="34"/>
      <c r="Q4" s="34"/>
      <c r="R4" s="34"/>
      <c r="S4" s="33">
        <v>59.1</v>
      </c>
      <c r="T4" s="33">
        <v>57.1</v>
      </c>
      <c r="U4" s="34">
        <f>1-T4</f>
        <v>-56.1</v>
      </c>
      <c r="V4" s="34">
        <v>0.52</v>
      </c>
      <c r="W4" s="37"/>
      <c r="X4" s="37"/>
      <c r="Y4" s="37"/>
      <c r="Z4" s="33">
        <v>105.2</v>
      </c>
      <c r="AA4" s="33">
        <v>63.6</v>
      </c>
      <c r="AB4" s="34">
        <f>1-AA4</f>
        <v>-62.6</v>
      </c>
      <c r="AC4" s="34" t="e">
        <f>1-#REF!</f>
        <v>#REF!</v>
      </c>
      <c r="AD4" s="37"/>
      <c r="AE4" s="37"/>
      <c r="AF4" s="37"/>
      <c r="AG4" s="33">
        <v>61.6</v>
      </c>
      <c r="AH4" s="33">
        <v>73.099999999999994</v>
      </c>
      <c r="AI4" s="34">
        <f>1-AH4</f>
        <v>-72.099999999999994</v>
      </c>
      <c r="AJ4" s="34">
        <v>0.6</v>
      </c>
      <c r="AK4" s="37"/>
      <c r="AL4" s="37"/>
      <c r="AM4" s="37"/>
      <c r="AN4" s="33">
        <v>80.900000000000006</v>
      </c>
      <c r="AO4" s="33">
        <v>43.6</v>
      </c>
      <c r="AP4" s="34">
        <f>1-AO4</f>
        <v>-42.6</v>
      </c>
      <c r="AQ4" s="34">
        <v>0.62</v>
      </c>
      <c r="AR4" s="37"/>
      <c r="AS4" s="37"/>
      <c r="AT4" s="37"/>
      <c r="AU4" s="33">
        <v>164.9</v>
      </c>
      <c r="AV4" s="33">
        <v>51.3</v>
      </c>
      <c r="AW4" s="34">
        <f>1-AV4</f>
        <v>-50.3</v>
      </c>
      <c r="AX4" s="34">
        <v>0.6</v>
      </c>
      <c r="AY4" s="37"/>
      <c r="AZ4" s="37"/>
      <c r="BA4" s="37"/>
      <c r="BB4" s="33">
        <v>125.5</v>
      </c>
      <c r="BC4" s="33">
        <v>53.2</v>
      </c>
      <c r="BD4" s="34">
        <f>1-BC4</f>
        <v>-52.2</v>
      </c>
      <c r="BE4" s="34">
        <v>0.6</v>
      </c>
      <c r="BG4" s="33"/>
      <c r="BH4" s="33"/>
      <c r="BI4" s="33">
        <v>92.6</v>
      </c>
      <c r="BJ4" s="33">
        <v>55.6</v>
      </c>
      <c r="BK4" s="34">
        <f>1-BJ4</f>
        <v>-54.6</v>
      </c>
      <c r="BL4" s="34">
        <v>0.68</v>
      </c>
      <c r="BM4" s="37"/>
      <c r="BN4" s="37"/>
      <c r="BO4" s="37"/>
      <c r="BP4" s="33">
        <v>236.4</v>
      </c>
      <c r="BQ4" s="33">
        <v>53.9</v>
      </c>
      <c r="BR4" s="34">
        <f>1-BQ4</f>
        <v>-52.9</v>
      </c>
      <c r="BS4" s="34">
        <v>0.61</v>
      </c>
      <c r="BT4" s="37"/>
      <c r="BU4" s="37"/>
      <c r="BV4" s="37"/>
      <c r="BW4" s="33">
        <v>240.2</v>
      </c>
      <c r="BX4" s="33">
        <v>40.799999999999997</v>
      </c>
      <c r="BY4" s="34">
        <f>1-BX4</f>
        <v>-39.799999999999997</v>
      </c>
      <c r="BZ4" s="34">
        <v>0.49</v>
      </c>
      <c r="CC4" s="32">
        <v>1970</v>
      </c>
      <c r="CD4" s="32"/>
      <c r="CE4" s="32"/>
      <c r="CF4" s="32"/>
      <c r="CG4" s="32"/>
      <c r="CH4" s="32"/>
      <c r="CI4" s="32"/>
      <c r="CJ4" s="32"/>
      <c r="CK4" s="32"/>
      <c r="CL4" s="32"/>
      <c r="CM4" s="32"/>
      <c r="CN4" s="33">
        <v>27.1</v>
      </c>
      <c r="CO4" s="33">
        <v>69.5</v>
      </c>
      <c r="CP4" s="34">
        <f>1-CO4</f>
        <v>-68.5</v>
      </c>
      <c r="CQ4" s="34">
        <v>0.49</v>
      </c>
      <c r="CR4" s="34"/>
      <c r="CS4" s="34"/>
      <c r="CT4" s="34"/>
      <c r="CU4" s="33">
        <v>59.1</v>
      </c>
      <c r="CV4" s="33">
        <v>57.1</v>
      </c>
      <c r="CW4" s="34">
        <f>1-CV4</f>
        <v>-56.1</v>
      </c>
      <c r="CX4" s="34">
        <v>0.52</v>
      </c>
      <c r="CY4" s="37"/>
      <c r="CZ4" s="37"/>
      <c r="DA4" s="37"/>
      <c r="DB4" s="33">
        <v>105.2</v>
      </c>
      <c r="DC4" s="33">
        <v>63.6</v>
      </c>
      <c r="DD4" s="34">
        <f>1-DC4</f>
        <v>-62.6</v>
      </c>
      <c r="DE4" s="34" t="e">
        <f>1-#REF!</f>
        <v>#REF!</v>
      </c>
      <c r="DF4" s="37"/>
      <c r="DG4" s="37"/>
      <c r="DH4" s="37"/>
      <c r="DI4" s="33">
        <v>61.6</v>
      </c>
      <c r="DJ4" s="33">
        <v>73.099999999999994</v>
      </c>
      <c r="DK4" s="34">
        <f>1-DJ4</f>
        <v>-72.099999999999994</v>
      </c>
      <c r="DL4" s="34">
        <v>0.6</v>
      </c>
      <c r="DM4" s="37"/>
      <c r="DN4" s="37"/>
      <c r="DO4" s="37"/>
      <c r="DP4" s="33">
        <v>80.900000000000006</v>
      </c>
      <c r="DQ4" s="33">
        <v>43.6</v>
      </c>
      <c r="DR4" s="34">
        <f>1-DQ4</f>
        <v>-42.6</v>
      </c>
      <c r="DS4" s="34">
        <v>0.62</v>
      </c>
      <c r="DT4" s="37"/>
      <c r="DU4" s="37"/>
      <c r="DV4" s="37"/>
      <c r="DW4" s="33">
        <v>164.9</v>
      </c>
      <c r="DX4" s="33">
        <v>51.3</v>
      </c>
      <c r="DY4" s="34">
        <f>1-DX4</f>
        <v>-50.3</v>
      </c>
      <c r="DZ4" s="34">
        <v>0.6</v>
      </c>
      <c r="EA4" s="37"/>
      <c r="EB4" s="37"/>
      <c r="EC4" s="37"/>
      <c r="ED4" s="33">
        <v>125.5</v>
      </c>
      <c r="EE4" s="33">
        <v>53.2</v>
      </c>
      <c r="EF4" s="34">
        <f>1-EE4</f>
        <v>-52.2</v>
      </c>
      <c r="EG4" s="34">
        <v>0.6</v>
      </c>
      <c r="EH4" s="206"/>
      <c r="EI4" s="33"/>
      <c r="EJ4" s="33"/>
      <c r="EK4" s="33">
        <v>92.6</v>
      </c>
      <c r="EL4" s="33">
        <v>55.6</v>
      </c>
      <c r="EM4" s="34">
        <f>1-EL4</f>
        <v>-54.6</v>
      </c>
      <c r="EN4" s="34">
        <v>0.68</v>
      </c>
      <c r="EO4" s="37"/>
      <c r="EP4" s="37"/>
      <c r="EQ4" s="37"/>
      <c r="ER4" s="33">
        <v>236.4</v>
      </c>
      <c r="ES4" s="33">
        <v>53.9</v>
      </c>
      <c r="ET4" s="34">
        <f>1-ES4</f>
        <v>-52.9</v>
      </c>
      <c r="EU4" s="34">
        <v>0.61</v>
      </c>
      <c r="EV4" s="37"/>
      <c r="EW4" s="37"/>
      <c r="EX4" s="37"/>
      <c r="EY4" s="33">
        <v>240.2</v>
      </c>
      <c r="EZ4" s="33">
        <v>40.799999999999997</v>
      </c>
      <c r="FA4" s="34">
        <f>1-EZ4</f>
        <v>-39.799999999999997</v>
      </c>
      <c r="FB4" s="34">
        <v>0.49</v>
      </c>
    </row>
    <row r="5" spans="1:159" hidden="1">
      <c r="A5" s="32"/>
      <c r="B5" s="32"/>
      <c r="C5" s="32"/>
      <c r="D5" s="32"/>
      <c r="E5" s="32"/>
      <c r="F5" s="32"/>
      <c r="G5" s="32"/>
      <c r="H5" s="32"/>
      <c r="I5" s="32"/>
      <c r="J5" s="32"/>
      <c r="K5" s="32"/>
      <c r="L5" s="33"/>
      <c r="M5" s="33"/>
      <c r="N5" s="34"/>
      <c r="O5" s="34"/>
      <c r="P5" s="34"/>
      <c r="Q5" s="34"/>
      <c r="R5" s="34"/>
      <c r="S5" s="33"/>
      <c r="T5" s="33"/>
      <c r="U5" s="34"/>
      <c r="V5" s="34"/>
      <c r="W5" s="37"/>
      <c r="X5" s="37"/>
      <c r="Y5" s="37"/>
      <c r="Z5" s="33"/>
      <c r="AA5" s="33"/>
      <c r="AB5" s="34"/>
      <c r="AC5" s="34"/>
      <c r="AD5" s="37"/>
      <c r="AE5" s="37"/>
      <c r="AF5" s="37"/>
      <c r="AG5" s="33"/>
      <c r="AH5" s="33"/>
      <c r="AI5" s="34"/>
      <c r="AJ5" s="34"/>
      <c r="AK5" s="37"/>
      <c r="AL5" s="37"/>
      <c r="AM5" s="37"/>
      <c r="AN5" s="33"/>
      <c r="AO5" s="33"/>
      <c r="AP5" s="34"/>
      <c r="AQ5" s="34"/>
      <c r="AR5" s="37"/>
      <c r="AS5" s="37"/>
      <c r="AT5" s="37"/>
      <c r="AU5" s="33"/>
      <c r="AV5" s="33"/>
      <c r="AW5" s="34"/>
      <c r="AX5" s="34"/>
      <c r="AY5" s="37"/>
      <c r="AZ5" s="37"/>
      <c r="BA5" s="37"/>
      <c r="BB5" s="33"/>
      <c r="BC5" s="33"/>
      <c r="BD5" s="34"/>
      <c r="BE5" s="34"/>
      <c r="BG5" s="33"/>
      <c r="BH5" s="33"/>
      <c r="BI5" s="33"/>
      <c r="BJ5" s="33"/>
      <c r="BK5" s="34"/>
      <c r="BL5" s="34"/>
      <c r="BM5" s="37"/>
      <c r="BN5" s="37"/>
      <c r="BO5" s="37"/>
      <c r="BP5" s="33"/>
      <c r="BQ5" s="33"/>
      <c r="BR5" s="34"/>
      <c r="BS5" s="34"/>
      <c r="BT5" s="37"/>
      <c r="BU5" s="37"/>
      <c r="BV5" s="37"/>
      <c r="BW5" s="33"/>
      <c r="BX5" s="33"/>
      <c r="BY5" s="34"/>
      <c r="BZ5" s="34"/>
      <c r="CC5" s="32"/>
      <c r="CD5" s="32"/>
      <c r="CE5" s="32"/>
      <c r="CF5" s="32"/>
      <c r="CG5" s="32"/>
      <c r="CH5" s="32"/>
      <c r="CI5" s="32"/>
      <c r="CJ5" s="32"/>
      <c r="CK5" s="32"/>
      <c r="CL5" s="32"/>
      <c r="CM5" s="32"/>
      <c r="CN5" s="33"/>
      <c r="CO5" s="33"/>
      <c r="CP5" s="34"/>
      <c r="CQ5" s="34"/>
      <c r="CR5" s="34"/>
      <c r="CS5" s="34"/>
      <c r="CT5" s="34"/>
      <c r="CU5" s="33"/>
      <c r="CV5" s="33"/>
      <c r="CW5" s="34"/>
      <c r="CX5" s="34"/>
      <c r="CY5" s="37"/>
      <c r="CZ5" s="37"/>
      <c r="DA5" s="37"/>
      <c r="DB5" s="33"/>
      <c r="DC5" s="33"/>
      <c r="DD5" s="34"/>
      <c r="DE5" s="34"/>
      <c r="DF5" s="37"/>
      <c r="DG5" s="37"/>
      <c r="DH5" s="37"/>
      <c r="DI5" s="33"/>
      <c r="DJ5" s="33"/>
      <c r="DK5" s="34"/>
      <c r="DL5" s="34"/>
      <c r="DM5" s="37"/>
      <c r="DN5" s="37"/>
      <c r="DO5" s="37"/>
      <c r="DP5" s="33"/>
      <c r="DQ5" s="33"/>
      <c r="DR5" s="34"/>
      <c r="DS5" s="34"/>
      <c r="DT5" s="37"/>
      <c r="DU5" s="37"/>
      <c r="DV5" s="37"/>
      <c r="DW5" s="33"/>
      <c r="DX5" s="33"/>
      <c r="DY5" s="34"/>
      <c r="DZ5" s="34"/>
      <c r="EA5" s="37"/>
      <c r="EB5" s="37"/>
      <c r="EC5" s="37"/>
      <c r="ED5" s="33"/>
      <c r="EE5" s="33"/>
      <c r="EF5" s="34"/>
      <c r="EG5" s="34"/>
      <c r="EH5" s="206"/>
      <c r="EI5" s="33"/>
      <c r="EJ5" s="33"/>
      <c r="EK5" s="33"/>
      <c r="EL5" s="33"/>
      <c r="EM5" s="34"/>
      <c r="EN5" s="34"/>
      <c r="EO5" s="37"/>
      <c r="EP5" s="37"/>
      <c r="EQ5" s="37"/>
      <c r="ER5" s="33"/>
      <c r="ES5" s="33"/>
      <c r="ET5" s="34"/>
      <c r="EU5" s="34"/>
      <c r="EV5" s="37"/>
      <c r="EW5" s="37"/>
      <c r="EX5" s="37"/>
      <c r="EY5" s="33"/>
      <c r="EZ5" s="33"/>
      <c r="FA5" s="34"/>
      <c r="FB5" s="34"/>
    </row>
    <row r="6" spans="1:159">
      <c r="A6" s="32"/>
      <c r="B6" s="32" t="s">
        <v>105</v>
      </c>
      <c r="C6" s="32" t="s">
        <v>136</v>
      </c>
      <c r="D6" s="32" t="s">
        <v>107</v>
      </c>
      <c r="E6" s="32" t="s">
        <v>135</v>
      </c>
      <c r="F6" s="32" t="s">
        <v>109</v>
      </c>
      <c r="G6" s="32" t="s">
        <v>110</v>
      </c>
      <c r="H6" s="32" t="s">
        <v>919</v>
      </c>
      <c r="I6" s="32" t="s">
        <v>112</v>
      </c>
      <c r="J6" s="32" t="s">
        <v>137</v>
      </c>
      <c r="K6" s="32" t="s">
        <v>113</v>
      </c>
      <c r="L6" s="85" t="s">
        <v>134</v>
      </c>
      <c r="M6" s="85" t="s">
        <v>115</v>
      </c>
      <c r="N6" s="36" t="s">
        <v>116</v>
      </c>
      <c r="O6" s="36" t="s">
        <v>920</v>
      </c>
      <c r="P6" s="32" t="s">
        <v>105</v>
      </c>
      <c r="Q6" s="32" t="s">
        <v>136</v>
      </c>
      <c r="R6" s="32" t="s">
        <v>107</v>
      </c>
      <c r="S6" s="32" t="s">
        <v>135</v>
      </c>
      <c r="T6" s="32" t="s">
        <v>109</v>
      </c>
      <c r="U6" s="32" t="s">
        <v>110</v>
      </c>
      <c r="V6" s="32" t="s">
        <v>919</v>
      </c>
      <c r="W6" s="32" t="s">
        <v>112</v>
      </c>
      <c r="X6" s="32" t="s">
        <v>137</v>
      </c>
      <c r="Y6" s="32" t="s">
        <v>113</v>
      </c>
      <c r="Z6" s="85" t="s">
        <v>134</v>
      </c>
      <c r="AA6" s="85" t="s">
        <v>115</v>
      </c>
      <c r="AB6" s="36" t="s">
        <v>116</v>
      </c>
      <c r="AC6" s="36" t="s">
        <v>927</v>
      </c>
      <c r="AD6" s="32" t="s">
        <v>105</v>
      </c>
      <c r="AE6" s="32" t="s">
        <v>921</v>
      </c>
      <c r="AF6" s="32" t="s">
        <v>107</v>
      </c>
      <c r="AG6" s="32" t="s">
        <v>135</v>
      </c>
      <c r="AH6" s="32" t="s">
        <v>109</v>
      </c>
      <c r="AI6" s="32" t="s">
        <v>110</v>
      </c>
      <c r="AJ6" s="32" t="s">
        <v>919</v>
      </c>
      <c r="AK6" s="32" t="s">
        <v>112</v>
      </c>
      <c r="AL6" s="32" t="s">
        <v>922</v>
      </c>
      <c r="AM6" s="32" t="s">
        <v>113</v>
      </c>
      <c r="AN6" s="85" t="s">
        <v>134</v>
      </c>
      <c r="AO6" s="85" t="s">
        <v>115</v>
      </c>
      <c r="AP6" s="36" t="s">
        <v>116</v>
      </c>
      <c r="AQ6" s="36" t="s">
        <v>927</v>
      </c>
      <c r="AR6" s="32" t="s">
        <v>105</v>
      </c>
      <c r="AS6" s="32" t="s">
        <v>923</v>
      </c>
      <c r="AT6" s="32" t="s">
        <v>107</v>
      </c>
      <c r="AU6" s="32" t="s">
        <v>135</v>
      </c>
      <c r="AV6" s="32" t="s">
        <v>109</v>
      </c>
      <c r="AW6" s="32" t="s">
        <v>110</v>
      </c>
      <c r="AX6" s="32" t="s">
        <v>919</v>
      </c>
      <c r="AY6" s="32" t="s">
        <v>112</v>
      </c>
      <c r="AZ6" s="32" t="s">
        <v>924</v>
      </c>
      <c r="BA6" s="32" t="s">
        <v>113</v>
      </c>
      <c r="BB6" s="85" t="s">
        <v>134</v>
      </c>
      <c r="BC6" s="85" t="s">
        <v>115</v>
      </c>
      <c r="BD6" s="36" t="s">
        <v>116</v>
      </c>
      <c r="BE6" s="36" t="s">
        <v>927</v>
      </c>
      <c r="BF6" s="32" t="s">
        <v>105</v>
      </c>
      <c r="BG6" s="32" t="s">
        <v>925</v>
      </c>
      <c r="BH6" s="32" t="s">
        <v>107</v>
      </c>
      <c r="BI6" s="32" t="s">
        <v>135</v>
      </c>
      <c r="BJ6" s="32" t="s">
        <v>109</v>
      </c>
      <c r="BK6" s="32" t="s">
        <v>110</v>
      </c>
      <c r="BL6" s="32" t="s">
        <v>919</v>
      </c>
      <c r="BM6" s="32" t="s">
        <v>112</v>
      </c>
      <c r="BN6" s="32" t="s">
        <v>926</v>
      </c>
      <c r="BO6" s="32" t="s">
        <v>113</v>
      </c>
      <c r="BP6" s="85" t="s">
        <v>134</v>
      </c>
      <c r="BQ6" s="85" t="s">
        <v>115</v>
      </c>
      <c r="BR6" s="36" t="s">
        <v>116</v>
      </c>
      <c r="BS6" s="36" t="s">
        <v>927</v>
      </c>
      <c r="BT6" s="32" t="s">
        <v>105</v>
      </c>
      <c r="BU6" s="32" t="s">
        <v>136</v>
      </c>
      <c r="BV6" s="32" t="s">
        <v>107</v>
      </c>
      <c r="BW6" s="32" t="s">
        <v>135</v>
      </c>
      <c r="BX6" s="32" t="s">
        <v>109</v>
      </c>
      <c r="BY6" s="32" t="s">
        <v>110</v>
      </c>
      <c r="BZ6" s="32" t="s">
        <v>919</v>
      </c>
      <c r="CA6" s="32"/>
      <c r="CB6" s="32"/>
      <c r="CC6" s="32"/>
      <c r="CD6" s="32" t="s">
        <v>105</v>
      </c>
      <c r="CE6" s="32" t="s">
        <v>136</v>
      </c>
      <c r="CF6" s="32" t="s">
        <v>107</v>
      </c>
      <c r="CG6" s="32" t="s">
        <v>135</v>
      </c>
      <c r="CH6" s="32" t="s">
        <v>109</v>
      </c>
      <c r="CI6" s="32" t="s">
        <v>110</v>
      </c>
      <c r="CJ6" s="32" t="s">
        <v>919</v>
      </c>
      <c r="CK6" s="32" t="s">
        <v>112</v>
      </c>
      <c r="CL6" s="32" t="s">
        <v>137</v>
      </c>
      <c r="CM6" s="32" t="s">
        <v>113</v>
      </c>
      <c r="CN6" s="85" t="s">
        <v>134</v>
      </c>
      <c r="CO6" s="85" t="s">
        <v>115</v>
      </c>
      <c r="CP6" s="36" t="s">
        <v>116</v>
      </c>
      <c r="CQ6" s="36" t="s">
        <v>920</v>
      </c>
      <c r="CR6" s="32" t="s">
        <v>105</v>
      </c>
      <c r="CS6" s="32" t="s">
        <v>136</v>
      </c>
      <c r="CT6" s="32" t="s">
        <v>107</v>
      </c>
      <c r="CU6" s="32" t="s">
        <v>135</v>
      </c>
      <c r="CV6" s="32" t="s">
        <v>109</v>
      </c>
      <c r="CW6" s="32" t="s">
        <v>110</v>
      </c>
      <c r="CX6" s="32" t="s">
        <v>919</v>
      </c>
      <c r="CY6" s="32" t="s">
        <v>112</v>
      </c>
      <c r="CZ6" s="32" t="s">
        <v>137</v>
      </c>
      <c r="DA6" s="32" t="s">
        <v>113</v>
      </c>
      <c r="DB6" s="85" t="s">
        <v>134</v>
      </c>
      <c r="DC6" s="85" t="s">
        <v>115</v>
      </c>
      <c r="DD6" s="36" t="s">
        <v>116</v>
      </c>
      <c r="DE6" s="36" t="s">
        <v>927</v>
      </c>
      <c r="DF6" s="32" t="s">
        <v>105</v>
      </c>
      <c r="DG6" s="32" t="s">
        <v>921</v>
      </c>
      <c r="DH6" s="32" t="s">
        <v>107</v>
      </c>
      <c r="DI6" s="32" t="s">
        <v>135</v>
      </c>
      <c r="DJ6" s="32" t="s">
        <v>109</v>
      </c>
      <c r="DK6" s="32" t="s">
        <v>110</v>
      </c>
      <c r="DL6" s="32" t="s">
        <v>919</v>
      </c>
      <c r="DM6" s="32" t="s">
        <v>112</v>
      </c>
      <c r="DN6" s="32" t="s">
        <v>922</v>
      </c>
      <c r="DO6" s="32" t="s">
        <v>113</v>
      </c>
      <c r="DP6" s="85" t="s">
        <v>134</v>
      </c>
      <c r="DQ6" s="85" t="s">
        <v>115</v>
      </c>
      <c r="DR6" s="36" t="s">
        <v>116</v>
      </c>
      <c r="DS6" s="36" t="s">
        <v>927</v>
      </c>
      <c r="DT6" s="32" t="s">
        <v>105</v>
      </c>
      <c r="DU6" s="32" t="s">
        <v>923</v>
      </c>
      <c r="DV6" s="32" t="s">
        <v>107</v>
      </c>
      <c r="DW6" s="32" t="s">
        <v>135</v>
      </c>
      <c r="DX6" s="32" t="s">
        <v>109</v>
      </c>
      <c r="DY6" s="32" t="s">
        <v>110</v>
      </c>
      <c r="DZ6" s="32" t="s">
        <v>919</v>
      </c>
      <c r="EA6" s="32" t="s">
        <v>112</v>
      </c>
      <c r="EB6" s="32" t="s">
        <v>924</v>
      </c>
      <c r="EC6" s="32" t="s">
        <v>113</v>
      </c>
      <c r="ED6" s="85" t="s">
        <v>134</v>
      </c>
      <c r="EE6" s="85" t="s">
        <v>115</v>
      </c>
      <c r="EF6" s="36" t="s">
        <v>116</v>
      </c>
      <c r="EG6" s="36" t="s">
        <v>927</v>
      </c>
      <c r="EH6" s="32" t="s">
        <v>105</v>
      </c>
      <c r="EI6" s="32" t="s">
        <v>925</v>
      </c>
      <c r="EJ6" s="32" t="s">
        <v>107</v>
      </c>
      <c r="EK6" s="32" t="s">
        <v>135</v>
      </c>
      <c r="EL6" s="32" t="s">
        <v>109</v>
      </c>
      <c r="EM6" s="32" t="s">
        <v>110</v>
      </c>
      <c r="EN6" s="32" t="s">
        <v>919</v>
      </c>
      <c r="EO6" s="32" t="s">
        <v>112</v>
      </c>
      <c r="EP6" s="32" t="s">
        <v>926</v>
      </c>
      <c r="EQ6" s="32" t="s">
        <v>113</v>
      </c>
      <c r="ER6" s="85" t="s">
        <v>134</v>
      </c>
      <c r="ES6" s="85" t="s">
        <v>115</v>
      </c>
      <c r="ET6" s="36" t="s">
        <v>116</v>
      </c>
      <c r="EU6" s="36" t="s">
        <v>927</v>
      </c>
      <c r="EV6" s="32" t="s">
        <v>105</v>
      </c>
      <c r="EW6" s="32" t="s">
        <v>136</v>
      </c>
      <c r="EX6" s="32" t="s">
        <v>107</v>
      </c>
      <c r="EY6" s="32" t="s">
        <v>135</v>
      </c>
      <c r="EZ6" s="32" t="s">
        <v>109</v>
      </c>
      <c r="FA6" s="32" t="s">
        <v>110</v>
      </c>
      <c r="FB6" s="32" t="s">
        <v>919</v>
      </c>
      <c r="FC6" s="32"/>
    </row>
    <row r="7" spans="1:159" hidden="1">
      <c r="A7" s="32"/>
      <c r="B7" s="32"/>
      <c r="C7" s="32"/>
      <c r="D7" s="32"/>
      <c r="E7" s="32"/>
      <c r="F7" s="32"/>
      <c r="G7" s="32"/>
      <c r="H7" s="32"/>
      <c r="I7" s="32"/>
      <c r="J7" s="32"/>
      <c r="K7" s="32"/>
      <c r="L7" s="33"/>
      <c r="M7" s="33"/>
      <c r="N7" s="34"/>
      <c r="O7" s="34"/>
      <c r="P7" s="34"/>
      <c r="Q7" s="34"/>
      <c r="R7" s="34"/>
      <c r="S7" s="33"/>
      <c r="T7" s="33"/>
      <c r="U7" s="34"/>
      <c r="V7" s="34"/>
      <c r="W7" s="37"/>
      <c r="X7" s="37"/>
      <c r="Y7" s="37"/>
      <c r="Z7" s="33"/>
      <c r="AA7" s="33"/>
      <c r="AB7" s="34"/>
      <c r="AC7" s="34"/>
      <c r="AD7" s="37"/>
      <c r="AE7" s="37"/>
      <c r="AF7" s="37"/>
      <c r="AG7" s="33"/>
      <c r="AH7" s="33"/>
      <c r="AI7" s="34"/>
      <c r="AJ7" s="34"/>
      <c r="AK7" s="37"/>
      <c r="AL7" s="37"/>
      <c r="AM7" s="37"/>
      <c r="AN7" s="33"/>
      <c r="AO7" s="33"/>
      <c r="AP7" s="34"/>
      <c r="AQ7" s="34"/>
      <c r="AR7" s="37"/>
      <c r="AS7" s="37"/>
      <c r="AT7" s="37"/>
      <c r="AU7" s="33"/>
      <c r="AV7" s="33"/>
      <c r="AW7" s="34"/>
      <c r="AX7" s="34"/>
      <c r="AY7" s="37"/>
      <c r="AZ7" s="37"/>
      <c r="BA7" s="37"/>
      <c r="BB7" s="33"/>
      <c r="BC7" s="33"/>
      <c r="BD7" s="34"/>
      <c r="BE7" s="34"/>
      <c r="BG7" s="33"/>
      <c r="BH7" s="33"/>
      <c r="BI7" s="33"/>
      <c r="BJ7" s="33"/>
      <c r="BK7" s="34"/>
      <c r="BL7" s="34"/>
      <c r="BM7" s="37"/>
      <c r="BN7" s="37"/>
      <c r="BO7" s="37"/>
      <c r="BP7" s="33"/>
      <c r="BQ7" s="33"/>
      <c r="BR7" s="34"/>
      <c r="BS7" s="34"/>
      <c r="BT7" s="37"/>
      <c r="BU7" s="37"/>
      <c r="BV7" s="37"/>
      <c r="BW7" s="33"/>
      <c r="BX7" s="33"/>
      <c r="BY7" s="34"/>
      <c r="BZ7" s="34"/>
      <c r="CC7" s="32"/>
      <c r="CD7" s="32"/>
      <c r="CE7" s="32"/>
      <c r="CF7" s="32"/>
      <c r="CG7" s="32"/>
      <c r="CH7" s="32"/>
      <c r="CI7" s="32"/>
      <c r="CJ7" s="32"/>
      <c r="CK7" s="32"/>
      <c r="CL7" s="32"/>
      <c r="CM7" s="32"/>
      <c r="CN7" s="33"/>
      <c r="CO7" s="33"/>
      <c r="CP7" s="34"/>
      <c r="CQ7" s="34"/>
      <c r="CR7" s="34"/>
      <c r="CS7" s="34"/>
      <c r="CT7" s="34"/>
      <c r="CU7" s="33"/>
      <c r="CV7" s="33"/>
      <c r="CW7" s="34"/>
      <c r="CX7" s="34"/>
      <c r="CY7" s="37"/>
      <c r="CZ7" s="37"/>
      <c r="DA7" s="37"/>
      <c r="DB7" s="33"/>
      <c r="DC7" s="33"/>
      <c r="DD7" s="34"/>
      <c r="DE7" s="34"/>
      <c r="DF7" s="37"/>
      <c r="DG7" s="37"/>
      <c r="DH7" s="37"/>
      <c r="DI7" s="33"/>
      <c r="DJ7" s="33"/>
      <c r="DK7" s="34"/>
      <c r="DL7" s="34"/>
      <c r="DM7" s="37"/>
      <c r="DN7" s="37"/>
      <c r="DO7" s="37"/>
      <c r="DP7" s="33"/>
      <c r="DQ7" s="33"/>
      <c r="DR7" s="34"/>
      <c r="DS7" s="34"/>
      <c r="DT7" s="37"/>
      <c r="DU7" s="37"/>
      <c r="DV7" s="37"/>
      <c r="DW7" s="33"/>
      <c r="DX7" s="33"/>
      <c r="DY7" s="34"/>
      <c r="DZ7" s="34"/>
      <c r="EA7" s="37"/>
      <c r="EB7" s="37"/>
      <c r="EC7" s="37"/>
      <c r="ED7" s="33"/>
      <c r="EE7" s="33"/>
      <c r="EF7" s="34"/>
      <c r="EG7" s="34"/>
      <c r="EH7" s="206"/>
      <c r="EI7" s="33"/>
      <c r="EJ7" s="33"/>
      <c r="EK7" s="33"/>
      <c r="EL7" s="33"/>
      <c r="EM7" s="34"/>
      <c r="EN7" s="34"/>
      <c r="EO7" s="37"/>
      <c r="EP7" s="37"/>
      <c r="EQ7" s="37"/>
      <c r="ER7" s="33"/>
      <c r="ES7" s="33"/>
      <c r="ET7" s="34"/>
      <c r="EU7" s="34"/>
      <c r="EV7" s="37"/>
      <c r="EW7" s="37"/>
      <c r="EX7" s="37"/>
      <c r="EY7" s="33"/>
      <c r="EZ7" s="33"/>
      <c r="FA7" s="34"/>
      <c r="FB7" s="34"/>
    </row>
    <row r="8" spans="1:159" hidden="1">
      <c r="A8" s="32">
        <v>1971</v>
      </c>
      <c r="B8" s="42">
        <v>9939362</v>
      </c>
      <c r="C8" s="42">
        <f>B8/2</f>
        <v>4969681</v>
      </c>
      <c r="D8" s="42">
        <v>29685</v>
      </c>
      <c r="E8" s="36">
        <f>D8/C8*100</f>
        <v>0.59732204139460865</v>
      </c>
      <c r="F8" s="247">
        <f t="shared" ref="F8:F11" si="0">F9</f>
        <v>52.2</v>
      </c>
      <c r="G8" s="247">
        <f t="shared" ref="G8:G11" si="1">G9</f>
        <v>0.34799999999999998</v>
      </c>
      <c r="H8" s="43">
        <f t="shared" ref="H8:H12" si="2">F8*G8/100</f>
        <v>0.18165600000000001</v>
      </c>
      <c r="I8" s="42">
        <v>211204</v>
      </c>
      <c r="J8" s="42">
        <f>I8/2</f>
        <v>105602</v>
      </c>
      <c r="K8" s="42">
        <v>150</v>
      </c>
      <c r="L8" s="36">
        <f>K8/J8*100</f>
        <v>0.14204276434158444</v>
      </c>
      <c r="M8" s="247">
        <f t="shared" ref="M8:M11" si="3">M9</f>
        <v>59.1</v>
      </c>
      <c r="N8" s="247">
        <f t="shared" ref="N8:N11" si="4">N9</f>
        <v>0.34770000000000001</v>
      </c>
      <c r="O8" s="43">
        <f t="shared" ref="O8:O12" si="5">M8*N8/100</f>
        <v>0.2054907</v>
      </c>
      <c r="P8" s="42">
        <v>46419</v>
      </c>
      <c r="Q8" s="42">
        <f>P8/2</f>
        <v>23209.5</v>
      </c>
      <c r="R8" s="42">
        <v>61</v>
      </c>
      <c r="S8" s="36">
        <f>R8/Q8*100</f>
        <v>0.26282341282664429</v>
      </c>
      <c r="T8" s="247">
        <f t="shared" ref="T8:T11" si="6">T9</f>
        <v>46.2</v>
      </c>
      <c r="U8" s="247">
        <f t="shared" ref="U8:U11" si="7">U9</f>
        <v>0.376</v>
      </c>
      <c r="V8" s="43">
        <f t="shared" ref="V8:V13" si="8">T8*U8/100</f>
        <v>0.17371200000000001</v>
      </c>
      <c r="W8" s="42">
        <v>348187</v>
      </c>
      <c r="X8" s="42">
        <f>W8/2</f>
        <v>174093.5</v>
      </c>
      <c r="Y8" s="42">
        <v>721</v>
      </c>
      <c r="Z8" s="36">
        <f>Y8/X8*100</f>
        <v>0.4141452725116101</v>
      </c>
      <c r="AA8" s="247">
        <f t="shared" ref="AA8:AA11" si="9">AA9</f>
        <v>65.599999999999994</v>
      </c>
      <c r="AB8" s="247">
        <f t="shared" ref="AB8:AB11" si="10">AB9</f>
        <v>0.29830000000000001</v>
      </c>
      <c r="AC8" s="43">
        <f t="shared" ref="AC8:AC12" si="11">AA8*AB8/100</f>
        <v>0.19568479999999996</v>
      </c>
      <c r="AD8" s="42">
        <v>272550</v>
      </c>
      <c r="AE8" s="42">
        <f>AD8/2</f>
        <v>136275</v>
      </c>
      <c r="AF8" s="42">
        <v>483</v>
      </c>
      <c r="AG8" s="36">
        <f>AF8/AE8*100</f>
        <v>0.35443037974683544</v>
      </c>
      <c r="AH8" s="247">
        <f t="shared" ref="AH8:AH11" si="12">AH9</f>
        <v>59.9</v>
      </c>
      <c r="AI8" s="247">
        <f t="shared" ref="AI8:AI11" si="13">AI9</f>
        <v>0.39710000000000001</v>
      </c>
      <c r="AJ8" s="43">
        <f t="shared" ref="AJ8:AJ12" si="14">AH8*AI8/100</f>
        <v>0.23786290000000002</v>
      </c>
      <c r="AK8" s="42">
        <v>2634754</v>
      </c>
      <c r="AL8" s="42">
        <f>AK8/2</f>
        <v>1317377</v>
      </c>
      <c r="AM8" s="42">
        <v>5203</v>
      </c>
      <c r="AN8" s="36">
        <f>AM8/AL8*100</f>
        <v>0.39495148313656608</v>
      </c>
      <c r="AO8" s="247">
        <f t="shared" ref="AO8:AO11" si="15">AO9</f>
        <v>55.1</v>
      </c>
      <c r="AP8" s="247">
        <f t="shared" ref="AP8:AP11" si="16">AP9</f>
        <v>0.33759999999999996</v>
      </c>
      <c r="AQ8" s="43">
        <f t="shared" ref="AQ8:AQ12" si="17">AO8*AP8/100</f>
        <v>0.18601759999999998</v>
      </c>
      <c r="AR8" s="42">
        <v>3710286</v>
      </c>
      <c r="AS8" s="42">
        <f>AR8/2</f>
        <v>1855143</v>
      </c>
      <c r="AT8" s="42">
        <v>12211</v>
      </c>
      <c r="AU8" s="36">
        <f>AT8/AS8*100</f>
        <v>0.65822419080362005</v>
      </c>
      <c r="AV8" s="247">
        <f t="shared" ref="AV8:AV11" si="18">AV9</f>
        <v>47.6</v>
      </c>
      <c r="AW8" s="247">
        <f t="shared" ref="AW8:AW11" si="19">AW9</f>
        <v>0.39280000000000004</v>
      </c>
      <c r="AX8" s="43">
        <f t="shared" ref="AX8:AX12" si="20">AV8*AW8/100</f>
        <v>0.18697280000000002</v>
      </c>
      <c r="AY8" s="42">
        <v>456450</v>
      </c>
      <c r="AZ8" s="42">
        <f>AY8/2</f>
        <v>228225</v>
      </c>
      <c r="BA8" s="42">
        <v>1384</v>
      </c>
      <c r="BB8" s="36">
        <f>BA8/AZ8*100</f>
        <v>0.60641910395443099</v>
      </c>
      <c r="BC8" s="247">
        <f t="shared" ref="BC8:BC11" si="21">BC9</f>
        <v>78</v>
      </c>
      <c r="BD8" s="247">
        <f t="shared" ref="BD8:BD11" si="22">BD9</f>
        <v>0.30280000000000001</v>
      </c>
      <c r="BE8" s="43">
        <f t="shared" ref="BE8:BE12" si="23">BC8*BD8/100</f>
        <v>0.23618400000000001</v>
      </c>
      <c r="BF8" s="42">
        <v>420091</v>
      </c>
      <c r="BG8" s="42">
        <f>BF8/2</f>
        <v>210045.5</v>
      </c>
      <c r="BH8" s="42">
        <v>816</v>
      </c>
      <c r="BI8" s="36">
        <f>BH8/BG8*100</f>
        <v>0.38848725633255654</v>
      </c>
      <c r="BJ8" s="247">
        <f t="shared" ref="BJ8:BJ11" si="24">BJ9</f>
        <v>48.7</v>
      </c>
      <c r="BK8" s="247">
        <f t="shared" ref="BK8:BK11" si="25">BK9</f>
        <v>0.21190000000000001</v>
      </c>
      <c r="BL8" s="43">
        <f t="shared" ref="BL8:BL12" si="26">BJ8*BK8/100</f>
        <v>0.1031953</v>
      </c>
      <c r="BM8" s="42">
        <v>753195</v>
      </c>
      <c r="BN8" s="42">
        <f>BM8/2</f>
        <v>376597.5</v>
      </c>
      <c r="BO8" s="42">
        <v>3656</v>
      </c>
      <c r="BP8" s="36">
        <f>BO8/BN8*100</f>
        <v>0.9707977349823087</v>
      </c>
      <c r="BQ8" s="247">
        <f t="shared" ref="BQ8:BQ11" si="27">BQ9</f>
        <v>38.6</v>
      </c>
      <c r="BR8" s="247">
        <f t="shared" ref="BR8:BR11" si="28">BR9</f>
        <v>0.36340000000000006</v>
      </c>
      <c r="BS8" s="43">
        <f t="shared" ref="BS8:BS12" si="29">BQ8*BR8/100</f>
        <v>0.14027240000000002</v>
      </c>
      <c r="BT8" s="42">
        <v>1064695</v>
      </c>
      <c r="BU8" s="42">
        <f>BT8/2</f>
        <v>532347.5</v>
      </c>
      <c r="BV8" s="42">
        <v>4928</v>
      </c>
      <c r="BW8" s="36">
        <f>BV8/BU8*100</f>
        <v>0.92571111914679793</v>
      </c>
      <c r="BX8" s="247">
        <f t="shared" ref="BX8:BX11" si="30">BX9</f>
        <v>56</v>
      </c>
      <c r="BY8" s="247">
        <f t="shared" ref="BY8:BY11" si="31">BY9</f>
        <v>0.27250000000000002</v>
      </c>
      <c r="BZ8" s="43">
        <f t="shared" ref="BZ8:BZ12" si="32">BX8*BY8/100</f>
        <v>0.15260000000000001</v>
      </c>
      <c r="CC8" s="32">
        <v>1971</v>
      </c>
      <c r="CD8" s="42">
        <v>9939362</v>
      </c>
      <c r="CE8" s="42">
        <f>CD8/2</f>
        <v>4969681</v>
      </c>
      <c r="CF8" s="42">
        <v>29685</v>
      </c>
      <c r="CG8" s="36">
        <f>CF8/CE8*100</f>
        <v>0.59732204139460865</v>
      </c>
      <c r="CH8" s="36">
        <f t="shared" ref="CH8:CH11" si="33">CH9</f>
        <v>53.7</v>
      </c>
      <c r="CI8" s="43">
        <f t="shared" ref="CI8:CI11" si="34">CI9</f>
        <v>0.34799999999999998</v>
      </c>
      <c r="CJ8" s="43">
        <f t="shared" ref="CJ8:CJ20" si="35">CH8*CI8/100</f>
        <v>0.18687599999999999</v>
      </c>
      <c r="CK8" s="42">
        <v>211204</v>
      </c>
      <c r="CL8" s="42">
        <f>CK8/2</f>
        <v>105602</v>
      </c>
      <c r="CM8" s="42">
        <v>150</v>
      </c>
      <c r="CN8" s="36">
        <f>CM8/CL8*100</f>
        <v>0.14204276434158444</v>
      </c>
      <c r="CO8" s="247">
        <f t="shared" ref="CO8:CO11" si="36">CO9</f>
        <v>46</v>
      </c>
      <c r="CP8" s="244">
        <f t="shared" ref="CP8:CP11" si="37">CP9</f>
        <v>0.4153</v>
      </c>
      <c r="CQ8" s="43">
        <f t="shared" ref="CQ8:CQ20" si="38">CO8*CP8/100</f>
        <v>0.19103799999999999</v>
      </c>
      <c r="CR8" s="42">
        <v>46419</v>
      </c>
      <c r="CS8" s="42">
        <f>CR8/2</f>
        <v>23209.5</v>
      </c>
      <c r="CT8" s="42">
        <v>61</v>
      </c>
      <c r="CU8" s="36">
        <f>CT8/CS8*100</f>
        <v>0.26282341282664429</v>
      </c>
      <c r="CV8" s="36">
        <f t="shared" ref="CV8:CV11" si="39">CV9</f>
        <v>39.1</v>
      </c>
      <c r="CW8" s="43">
        <f t="shared" ref="CW8:CW11" si="40">CW9</f>
        <v>0.31159999999999999</v>
      </c>
      <c r="CX8" s="43">
        <f t="shared" ref="CX8:CX12" si="41">CV8*CW8/100</f>
        <v>0.1218356</v>
      </c>
      <c r="CY8" s="42">
        <v>348187</v>
      </c>
      <c r="CZ8" s="42">
        <f>CY8/2</f>
        <v>174093.5</v>
      </c>
      <c r="DA8" s="42">
        <v>721</v>
      </c>
      <c r="DB8" s="36">
        <f>DA8/CZ8*100</f>
        <v>0.4141452725116101</v>
      </c>
      <c r="DC8" s="36">
        <f t="shared" ref="DC8:DC11" si="42">DC9</f>
        <v>51.1</v>
      </c>
      <c r="DD8" s="43">
        <f t="shared" ref="DD8:DD11" si="43">DD9</f>
        <v>0.28639999999999999</v>
      </c>
      <c r="DE8" s="43">
        <f t="shared" ref="DE8:DE12" si="44">DC8*DD8/100</f>
        <v>0.14635039999999999</v>
      </c>
      <c r="DF8" s="42">
        <v>272550</v>
      </c>
      <c r="DG8" s="42">
        <f>DF8/2</f>
        <v>136275</v>
      </c>
      <c r="DH8" s="42">
        <v>483</v>
      </c>
      <c r="DI8" s="36">
        <f>DH8/DG8*100</f>
        <v>0.35443037974683544</v>
      </c>
      <c r="DJ8" s="36">
        <f t="shared" ref="DJ8:DJ11" si="45">DJ9</f>
        <v>69.400000000000006</v>
      </c>
      <c r="DK8" s="43">
        <f t="shared" ref="DK8:DK11" si="46">DK9</f>
        <v>0.26850000000000002</v>
      </c>
      <c r="DL8" s="43">
        <f t="shared" ref="DL8:DL12" si="47">DJ8*DK8/100</f>
        <v>0.18633900000000003</v>
      </c>
      <c r="DM8" s="42">
        <v>2634754</v>
      </c>
      <c r="DN8" s="42">
        <f>DM8/2</f>
        <v>1317377</v>
      </c>
      <c r="DO8" s="42">
        <v>5203</v>
      </c>
      <c r="DP8" s="36">
        <f>DO8/DN8*100</f>
        <v>0.39495148313656608</v>
      </c>
      <c r="DQ8" s="36">
        <f t="shared" ref="DQ8:DQ11" si="48">DQ9</f>
        <v>59.7</v>
      </c>
      <c r="DR8" s="43">
        <f t="shared" ref="DR8:DR11" si="49">DR9</f>
        <v>0.33810000000000001</v>
      </c>
      <c r="DS8" s="43">
        <f t="shared" ref="DS8:DS12" si="50">DQ8*DR8/100</f>
        <v>0.20184570000000002</v>
      </c>
      <c r="DT8" s="42">
        <v>3710286</v>
      </c>
      <c r="DU8" s="42">
        <f>DT8/2</f>
        <v>1855143</v>
      </c>
      <c r="DV8" s="42">
        <v>12211</v>
      </c>
      <c r="DW8" s="36">
        <f>DV8/DU8*100</f>
        <v>0.65822419080362005</v>
      </c>
      <c r="DX8" s="36">
        <f t="shared" ref="DX8:DX11" si="51">DX9</f>
        <v>49.7</v>
      </c>
      <c r="DY8" s="43">
        <f t="shared" ref="DY8:DY11" si="52">DY9</f>
        <v>0.39179999999999998</v>
      </c>
      <c r="DZ8" s="43">
        <f t="shared" ref="DZ8:DZ12" si="53">DX8*DY8/100</f>
        <v>0.19472460000000003</v>
      </c>
      <c r="EA8" s="42">
        <v>456450</v>
      </c>
      <c r="EB8" s="42">
        <f>EA8/2</f>
        <v>228225</v>
      </c>
      <c r="EC8" s="42">
        <v>1384</v>
      </c>
      <c r="ED8" s="36">
        <f>EC8/EB8*100</f>
        <v>0.60641910395443099</v>
      </c>
      <c r="EE8" s="36">
        <f t="shared" ref="EE8:EE11" si="54">EE9</f>
        <v>89.4</v>
      </c>
      <c r="EF8" s="43">
        <f t="shared" ref="EF8:EF11" si="55">EF9</f>
        <v>0.36090000000000005</v>
      </c>
      <c r="EG8" s="43">
        <f t="shared" ref="EG8:EG12" si="56">EE8*EF8/100</f>
        <v>0.32264460000000006</v>
      </c>
      <c r="EH8" s="42">
        <v>420091</v>
      </c>
      <c r="EI8" s="42">
        <f>EH8/2</f>
        <v>210045.5</v>
      </c>
      <c r="EJ8" s="42">
        <v>816</v>
      </c>
      <c r="EK8" s="36">
        <f>EJ8/EI8*100</f>
        <v>0.38848725633255654</v>
      </c>
      <c r="EL8" s="36">
        <f t="shared" ref="EL8:EL11" si="57">EL9</f>
        <v>38.299999999999997</v>
      </c>
      <c r="EM8" s="43">
        <f t="shared" ref="EM8:EM11" si="58">EM9</f>
        <v>0.19870000000000002</v>
      </c>
      <c r="EN8" s="43">
        <f t="shared" ref="EN8:EN12" si="59">EL8*EM8/100</f>
        <v>7.6102100000000006E-2</v>
      </c>
      <c r="EO8" s="42">
        <v>753195</v>
      </c>
      <c r="EP8" s="42">
        <f>EO8/2</f>
        <v>376597.5</v>
      </c>
      <c r="EQ8" s="42">
        <v>3656</v>
      </c>
      <c r="ER8" s="36">
        <f>EQ8/EP8*100</f>
        <v>0.9707977349823087</v>
      </c>
      <c r="ES8" s="36">
        <f t="shared" ref="ES8:ES11" si="60">ES9</f>
        <v>37.799999999999997</v>
      </c>
      <c r="ET8" s="43">
        <f t="shared" ref="ET8:ET11" si="61">ET9</f>
        <v>0.32650000000000001</v>
      </c>
      <c r="EU8" s="43">
        <f t="shared" ref="EU8:EU12" si="62">ES8*ET8/100</f>
        <v>0.123417</v>
      </c>
      <c r="EV8" s="42">
        <v>1064695</v>
      </c>
      <c r="EW8" s="42">
        <f>EV8/2</f>
        <v>532347.5</v>
      </c>
      <c r="EX8" s="42">
        <v>4928</v>
      </c>
      <c r="EY8" s="36">
        <f>EX8/EW8*100</f>
        <v>0.92571111914679793</v>
      </c>
      <c r="EZ8" s="36">
        <f t="shared" ref="EZ8:EZ11" si="63">EZ9</f>
        <v>55.3</v>
      </c>
      <c r="FA8" s="43">
        <f t="shared" ref="FA8:FA11" si="64">FA9</f>
        <v>0.27449999999999997</v>
      </c>
      <c r="FB8" s="43">
        <f t="shared" ref="FB8:FB12" si="65">EZ8*FA8/100</f>
        <v>0.15179849999999998</v>
      </c>
    </row>
    <row r="9" spans="1:159" hidden="1">
      <c r="A9" s="32">
        <v>1972</v>
      </c>
      <c r="B9" s="42">
        <v>10146438</v>
      </c>
      <c r="C9" s="42">
        <f t="shared" ref="C9:C45" si="66">B9/2</f>
        <v>5073219</v>
      </c>
      <c r="D9" s="42">
        <v>32389</v>
      </c>
      <c r="E9" s="36">
        <f t="shared" ref="E9:E38" si="67">D9/C9*100</f>
        <v>0.63843094492865382</v>
      </c>
      <c r="F9" s="247">
        <f t="shared" si="0"/>
        <v>52.2</v>
      </c>
      <c r="G9" s="247">
        <f t="shared" si="1"/>
        <v>0.34799999999999998</v>
      </c>
      <c r="H9" s="43">
        <f t="shared" si="2"/>
        <v>0.18165600000000001</v>
      </c>
      <c r="I9" s="42">
        <v>217508</v>
      </c>
      <c r="J9" s="42">
        <f t="shared" ref="J9:J43" si="68">I9/2</f>
        <v>108754</v>
      </c>
      <c r="K9" s="42">
        <v>177</v>
      </c>
      <c r="L9" s="36">
        <f t="shared" ref="L9:L38" si="69">K9/J9*100</f>
        <v>0.16275263438586168</v>
      </c>
      <c r="M9" s="247">
        <f t="shared" si="3"/>
        <v>59.1</v>
      </c>
      <c r="N9" s="247">
        <f t="shared" si="4"/>
        <v>0.34770000000000001</v>
      </c>
      <c r="O9" s="43">
        <f t="shared" si="5"/>
        <v>0.2054907</v>
      </c>
      <c r="P9" s="42">
        <v>47354</v>
      </c>
      <c r="Q9" s="42">
        <f t="shared" ref="Q9:Q43" si="70">P9/2</f>
        <v>23677</v>
      </c>
      <c r="R9" s="42">
        <v>65</v>
      </c>
      <c r="S9" s="36">
        <f t="shared" ref="S9:S38" si="71">R9/Q9*100</f>
        <v>0.27452802297588375</v>
      </c>
      <c r="T9" s="247">
        <f t="shared" si="6"/>
        <v>46.2</v>
      </c>
      <c r="U9" s="247">
        <f t="shared" si="7"/>
        <v>0.376</v>
      </c>
      <c r="V9" s="43">
        <f t="shared" si="8"/>
        <v>0.17371200000000001</v>
      </c>
      <c r="W9" s="42">
        <v>353487</v>
      </c>
      <c r="X9" s="42">
        <f t="shared" ref="X9:X43" si="72">W9/2</f>
        <v>176743.5</v>
      </c>
      <c r="Y9" s="42">
        <v>927</v>
      </c>
      <c r="Z9" s="36">
        <f t="shared" ref="Z9:Z38" si="73">Y9/X9*100</f>
        <v>0.5244888779502499</v>
      </c>
      <c r="AA9" s="247">
        <f t="shared" si="9"/>
        <v>65.599999999999994</v>
      </c>
      <c r="AB9" s="247">
        <f t="shared" si="10"/>
        <v>0.29830000000000001</v>
      </c>
      <c r="AC9" s="43">
        <f t="shared" si="11"/>
        <v>0.19568479999999996</v>
      </c>
      <c r="AD9" s="42">
        <v>278873</v>
      </c>
      <c r="AE9" s="42">
        <f t="shared" ref="AE9:AE43" si="74">AD9/2</f>
        <v>139436.5</v>
      </c>
      <c r="AF9" s="42">
        <v>466</v>
      </c>
      <c r="AG9" s="36">
        <f t="shared" ref="AG9:AG38" si="75">AF9/AE9*100</f>
        <v>0.33420230714339505</v>
      </c>
      <c r="AH9" s="247">
        <f t="shared" si="12"/>
        <v>59.9</v>
      </c>
      <c r="AI9" s="247">
        <f t="shared" si="13"/>
        <v>0.39710000000000001</v>
      </c>
      <c r="AJ9" s="43">
        <f t="shared" si="14"/>
        <v>0.23786290000000002</v>
      </c>
      <c r="AK9" s="42">
        <v>2691061</v>
      </c>
      <c r="AL9" s="42">
        <f t="shared" ref="AL9:AL43" si="76">AK9/2</f>
        <v>1345530.5</v>
      </c>
      <c r="AM9" s="42">
        <v>6426</v>
      </c>
      <c r="AN9" s="36">
        <f t="shared" ref="AN9:AN38" si="77">AM9/AL9*100</f>
        <v>0.47758114736157975</v>
      </c>
      <c r="AO9" s="247">
        <f t="shared" si="15"/>
        <v>55.1</v>
      </c>
      <c r="AP9" s="247">
        <f t="shared" si="16"/>
        <v>0.33759999999999996</v>
      </c>
      <c r="AQ9" s="43">
        <f t="shared" si="17"/>
        <v>0.18601759999999998</v>
      </c>
      <c r="AR9" s="42">
        <v>3787091</v>
      </c>
      <c r="AS9" s="42">
        <f t="shared" ref="AS9:AS43" si="78">AR9/2</f>
        <v>1893545.5</v>
      </c>
      <c r="AT9" s="42">
        <v>13190</v>
      </c>
      <c r="AU9" s="36">
        <f t="shared" ref="AU9:AU38" si="79">AT9/AS9*100</f>
        <v>0.69657687127137957</v>
      </c>
      <c r="AV9" s="247">
        <f t="shared" si="18"/>
        <v>47.6</v>
      </c>
      <c r="AW9" s="247">
        <f t="shared" si="19"/>
        <v>0.39280000000000004</v>
      </c>
      <c r="AX9" s="43">
        <f t="shared" si="20"/>
        <v>0.18697280000000002</v>
      </c>
      <c r="AY9" s="42">
        <v>460627</v>
      </c>
      <c r="AZ9" s="42">
        <f t="shared" ref="AZ9:AZ43" si="80">AY9/2</f>
        <v>230313.5</v>
      </c>
      <c r="BA9" s="42">
        <v>1415</v>
      </c>
      <c r="BB9" s="36">
        <f t="shared" ref="BB9:BB38" si="81">BA9/AZ9*100</f>
        <v>0.61437996470028899</v>
      </c>
      <c r="BC9" s="247">
        <f t="shared" si="21"/>
        <v>78</v>
      </c>
      <c r="BD9" s="247">
        <f t="shared" si="22"/>
        <v>0.30280000000000001</v>
      </c>
      <c r="BE9" s="43">
        <f t="shared" si="23"/>
        <v>0.23618400000000001</v>
      </c>
      <c r="BF9" s="42">
        <v>418416</v>
      </c>
      <c r="BG9" s="42">
        <f t="shared" ref="BG9:BG43" si="82">BF9/2</f>
        <v>209208</v>
      </c>
      <c r="BH9" s="42">
        <v>827</v>
      </c>
      <c r="BI9" s="36">
        <f t="shared" ref="BI9:BI38" si="83">BH9/BG9*100</f>
        <v>0.39530037092271808</v>
      </c>
      <c r="BJ9" s="247">
        <f t="shared" si="24"/>
        <v>48.7</v>
      </c>
      <c r="BK9" s="247">
        <f t="shared" si="25"/>
        <v>0.21190000000000001</v>
      </c>
      <c r="BL9" s="43">
        <f t="shared" si="26"/>
        <v>0.1031953</v>
      </c>
      <c r="BM9" s="42">
        <v>770001</v>
      </c>
      <c r="BN9" s="42">
        <f t="shared" ref="BN9:BN43" si="84">BM9/2</f>
        <v>385000.5</v>
      </c>
      <c r="BO9" s="42">
        <v>3772</v>
      </c>
      <c r="BP9" s="36">
        <f t="shared" ref="BP9:BP38" si="85">BO9/BN9*100</f>
        <v>0.97973898735196452</v>
      </c>
      <c r="BQ9" s="247">
        <f t="shared" si="27"/>
        <v>38.6</v>
      </c>
      <c r="BR9" s="247">
        <f t="shared" si="28"/>
        <v>0.36340000000000006</v>
      </c>
      <c r="BS9" s="43">
        <f t="shared" si="29"/>
        <v>0.14027240000000002</v>
      </c>
      <c r="BT9" s="42">
        <v>1099087</v>
      </c>
      <c r="BU9" s="42">
        <f t="shared" ref="BU9:BU43" si="86">BT9/2</f>
        <v>549543.5</v>
      </c>
      <c r="BV9" s="42">
        <v>5041</v>
      </c>
      <c r="BW9" s="36">
        <f t="shared" ref="BW9:BW38" si="87">BV9/BU9*100</f>
        <v>0.91730681920539503</v>
      </c>
      <c r="BX9" s="247">
        <f t="shared" si="30"/>
        <v>56</v>
      </c>
      <c r="BY9" s="247">
        <f t="shared" si="31"/>
        <v>0.27250000000000002</v>
      </c>
      <c r="BZ9" s="43">
        <f t="shared" si="32"/>
        <v>0.15260000000000001</v>
      </c>
      <c r="CC9" s="32">
        <v>1972</v>
      </c>
      <c r="CD9" s="42">
        <v>10146438</v>
      </c>
      <c r="CE9" s="42">
        <f t="shared" ref="CE9:CE17" si="88">CD9/2</f>
        <v>5073219</v>
      </c>
      <c r="CF9" s="42">
        <v>32389</v>
      </c>
      <c r="CG9" s="36">
        <f t="shared" ref="CG9:CG17" si="89">CF9/CE9*100</f>
        <v>0.63843094492865382</v>
      </c>
      <c r="CH9" s="36">
        <f t="shared" si="33"/>
        <v>53.7</v>
      </c>
      <c r="CI9" s="43">
        <f t="shared" si="34"/>
        <v>0.34799999999999998</v>
      </c>
      <c r="CJ9" s="43">
        <f t="shared" si="35"/>
        <v>0.18687599999999999</v>
      </c>
      <c r="CK9" s="42">
        <v>217508</v>
      </c>
      <c r="CL9" s="42">
        <f t="shared" ref="CL9:CL17" si="90">CK9/2</f>
        <v>108754</v>
      </c>
      <c r="CM9" s="42">
        <v>177</v>
      </c>
      <c r="CN9" s="36">
        <f t="shared" ref="CN9:CN17" si="91">CM9/CL9*100</f>
        <v>0.16275263438586168</v>
      </c>
      <c r="CO9" s="247">
        <f t="shared" si="36"/>
        <v>46</v>
      </c>
      <c r="CP9" s="244">
        <f t="shared" si="37"/>
        <v>0.4153</v>
      </c>
      <c r="CQ9" s="43">
        <f t="shared" si="38"/>
        <v>0.19103799999999999</v>
      </c>
      <c r="CR9" s="42">
        <v>47354</v>
      </c>
      <c r="CS9" s="42">
        <f t="shared" ref="CS9:CS17" si="92">CR9/2</f>
        <v>23677</v>
      </c>
      <c r="CT9" s="42">
        <v>65</v>
      </c>
      <c r="CU9" s="36">
        <f t="shared" ref="CU9:CU17" si="93">CT9/CS9*100</f>
        <v>0.27452802297588375</v>
      </c>
      <c r="CV9" s="36">
        <f t="shared" si="39"/>
        <v>39.1</v>
      </c>
      <c r="CW9" s="43">
        <f t="shared" si="40"/>
        <v>0.31159999999999999</v>
      </c>
      <c r="CX9" s="43">
        <f t="shared" si="41"/>
        <v>0.1218356</v>
      </c>
      <c r="CY9" s="42">
        <v>353487</v>
      </c>
      <c r="CZ9" s="42">
        <f t="shared" ref="CZ9:CZ17" si="94">CY9/2</f>
        <v>176743.5</v>
      </c>
      <c r="DA9" s="42">
        <v>927</v>
      </c>
      <c r="DB9" s="36">
        <f t="shared" ref="DB9:DB17" si="95">DA9/CZ9*100</f>
        <v>0.5244888779502499</v>
      </c>
      <c r="DC9" s="36">
        <f t="shared" si="42"/>
        <v>51.1</v>
      </c>
      <c r="DD9" s="43">
        <f t="shared" si="43"/>
        <v>0.28639999999999999</v>
      </c>
      <c r="DE9" s="43">
        <f t="shared" si="44"/>
        <v>0.14635039999999999</v>
      </c>
      <c r="DF9" s="42">
        <v>278873</v>
      </c>
      <c r="DG9" s="42">
        <f t="shared" ref="DG9:DG17" si="96">DF9/2</f>
        <v>139436.5</v>
      </c>
      <c r="DH9" s="42">
        <v>466</v>
      </c>
      <c r="DI9" s="36">
        <f t="shared" ref="DI9:DI17" si="97">DH9/DG9*100</f>
        <v>0.33420230714339505</v>
      </c>
      <c r="DJ9" s="36">
        <f t="shared" si="45"/>
        <v>69.400000000000006</v>
      </c>
      <c r="DK9" s="43">
        <f t="shared" si="46"/>
        <v>0.26850000000000002</v>
      </c>
      <c r="DL9" s="43">
        <f t="shared" si="47"/>
        <v>0.18633900000000003</v>
      </c>
      <c r="DM9" s="42">
        <v>2691061</v>
      </c>
      <c r="DN9" s="42">
        <f t="shared" ref="DN9:DN17" si="98">DM9/2</f>
        <v>1345530.5</v>
      </c>
      <c r="DO9" s="42">
        <v>6426</v>
      </c>
      <c r="DP9" s="36">
        <f t="shared" ref="DP9:DP17" si="99">DO9/DN9*100</f>
        <v>0.47758114736157975</v>
      </c>
      <c r="DQ9" s="36">
        <f t="shared" si="48"/>
        <v>59.7</v>
      </c>
      <c r="DR9" s="43">
        <f t="shared" si="49"/>
        <v>0.33810000000000001</v>
      </c>
      <c r="DS9" s="43">
        <f t="shared" si="50"/>
        <v>0.20184570000000002</v>
      </c>
      <c r="DT9" s="42">
        <v>3787091</v>
      </c>
      <c r="DU9" s="42">
        <f t="shared" ref="DU9:DU17" si="100">DT9/2</f>
        <v>1893545.5</v>
      </c>
      <c r="DV9" s="42">
        <v>13190</v>
      </c>
      <c r="DW9" s="36">
        <f t="shared" ref="DW9:DW17" si="101">DV9/DU9*100</f>
        <v>0.69657687127137957</v>
      </c>
      <c r="DX9" s="36">
        <f t="shared" si="51"/>
        <v>49.7</v>
      </c>
      <c r="DY9" s="43">
        <f t="shared" si="52"/>
        <v>0.39179999999999998</v>
      </c>
      <c r="DZ9" s="43">
        <f t="shared" si="53"/>
        <v>0.19472460000000003</v>
      </c>
      <c r="EA9" s="42">
        <v>460627</v>
      </c>
      <c r="EB9" s="42">
        <f t="shared" ref="EB9:EB17" si="102">EA9/2</f>
        <v>230313.5</v>
      </c>
      <c r="EC9" s="42">
        <v>1415</v>
      </c>
      <c r="ED9" s="36">
        <f t="shared" ref="ED9:ED17" si="103">EC9/EB9*100</f>
        <v>0.61437996470028899</v>
      </c>
      <c r="EE9" s="36">
        <f t="shared" si="54"/>
        <v>89.4</v>
      </c>
      <c r="EF9" s="43">
        <f t="shared" si="55"/>
        <v>0.36090000000000005</v>
      </c>
      <c r="EG9" s="43">
        <f t="shared" si="56"/>
        <v>0.32264460000000006</v>
      </c>
      <c r="EH9" s="42">
        <v>418416</v>
      </c>
      <c r="EI9" s="42">
        <f t="shared" ref="EI9:EI17" si="104">EH9/2</f>
        <v>209208</v>
      </c>
      <c r="EJ9" s="42">
        <v>827</v>
      </c>
      <c r="EK9" s="36">
        <f t="shared" ref="EK9:EK17" si="105">EJ9/EI9*100</f>
        <v>0.39530037092271808</v>
      </c>
      <c r="EL9" s="36">
        <f t="shared" si="57"/>
        <v>38.299999999999997</v>
      </c>
      <c r="EM9" s="43">
        <f t="shared" si="58"/>
        <v>0.19870000000000002</v>
      </c>
      <c r="EN9" s="43">
        <f t="shared" si="59"/>
        <v>7.6102100000000006E-2</v>
      </c>
      <c r="EO9" s="42">
        <v>770001</v>
      </c>
      <c r="EP9" s="42">
        <f t="shared" ref="EP9:EP17" si="106">EO9/2</f>
        <v>385000.5</v>
      </c>
      <c r="EQ9" s="42">
        <v>3772</v>
      </c>
      <c r="ER9" s="36">
        <f t="shared" ref="ER9:ER17" si="107">EQ9/EP9*100</f>
        <v>0.97973898735196452</v>
      </c>
      <c r="ES9" s="36">
        <f t="shared" si="60"/>
        <v>37.799999999999997</v>
      </c>
      <c r="ET9" s="43">
        <f t="shared" si="61"/>
        <v>0.32650000000000001</v>
      </c>
      <c r="EU9" s="43">
        <f t="shared" si="62"/>
        <v>0.123417</v>
      </c>
      <c r="EV9" s="42">
        <v>1099087</v>
      </c>
      <c r="EW9" s="42">
        <f t="shared" ref="EW9:EW17" si="108">EV9/2</f>
        <v>549543.5</v>
      </c>
      <c r="EX9" s="42">
        <v>5041</v>
      </c>
      <c r="EY9" s="36">
        <f t="shared" ref="EY9:EY17" si="109">EX9/EW9*100</f>
        <v>0.91730681920539503</v>
      </c>
      <c r="EZ9" s="36">
        <f t="shared" si="63"/>
        <v>55.3</v>
      </c>
      <c r="FA9" s="43">
        <f t="shared" si="64"/>
        <v>0.27449999999999997</v>
      </c>
      <c r="FB9" s="43">
        <f t="shared" si="65"/>
        <v>0.15179849999999998</v>
      </c>
    </row>
    <row r="10" spans="1:159" hidden="1">
      <c r="A10" s="32">
        <v>1973</v>
      </c>
      <c r="B10" s="42">
        <v>10371498</v>
      </c>
      <c r="C10" s="42">
        <f t="shared" si="66"/>
        <v>5185749</v>
      </c>
      <c r="D10" s="42">
        <v>36704</v>
      </c>
      <c r="E10" s="36">
        <f t="shared" si="67"/>
        <v>0.70778589553794446</v>
      </c>
      <c r="F10" s="247">
        <f t="shared" si="0"/>
        <v>52.2</v>
      </c>
      <c r="G10" s="247">
        <f t="shared" si="1"/>
        <v>0.34799999999999998</v>
      </c>
      <c r="H10" s="43">
        <f t="shared" si="2"/>
        <v>0.18165600000000001</v>
      </c>
      <c r="I10" s="42">
        <v>223126</v>
      </c>
      <c r="J10" s="42">
        <f t="shared" si="68"/>
        <v>111563</v>
      </c>
      <c r="K10" s="42">
        <v>224</v>
      </c>
      <c r="L10" s="36">
        <f t="shared" si="69"/>
        <v>0.20078341385584828</v>
      </c>
      <c r="M10" s="247">
        <f t="shared" si="3"/>
        <v>59.1</v>
      </c>
      <c r="N10" s="247">
        <f t="shared" si="4"/>
        <v>0.34770000000000001</v>
      </c>
      <c r="O10" s="43">
        <f t="shared" si="5"/>
        <v>0.2054907</v>
      </c>
      <c r="P10" s="42">
        <v>48583</v>
      </c>
      <c r="Q10" s="42">
        <f t="shared" si="70"/>
        <v>24291.5</v>
      </c>
      <c r="R10" s="42">
        <v>54</v>
      </c>
      <c r="S10" s="36">
        <f t="shared" si="71"/>
        <v>0.22229998147500155</v>
      </c>
      <c r="T10" s="247">
        <f t="shared" si="6"/>
        <v>46.2</v>
      </c>
      <c r="U10" s="247">
        <f t="shared" si="7"/>
        <v>0.376</v>
      </c>
      <c r="V10" s="43">
        <f t="shared" si="8"/>
        <v>0.17371200000000001</v>
      </c>
      <c r="W10" s="42">
        <v>361549</v>
      </c>
      <c r="X10" s="42">
        <f t="shared" si="72"/>
        <v>180774.5</v>
      </c>
      <c r="Y10" s="42">
        <v>1249</v>
      </c>
      <c r="Z10" s="36">
        <f t="shared" si="73"/>
        <v>0.6909160307454868</v>
      </c>
      <c r="AA10" s="247">
        <f t="shared" si="9"/>
        <v>65.599999999999994</v>
      </c>
      <c r="AB10" s="247">
        <f t="shared" si="10"/>
        <v>0.29830000000000001</v>
      </c>
      <c r="AC10" s="43">
        <f t="shared" si="11"/>
        <v>0.19568479999999996</v>
      </c>
      <c r="AD10" s="42">
        <v>286286</v>
      </c>
      <c r="AE10" s="42">
        <f t="shared" si="74"/>
        <v>143143</v>
      </c>
      <c r="AF10" s="42">
        <v>574</v>
      </c>
      <c r="AG10" s="36">
        <f t="shared" si="75"/>
        <v>0.40099760379480659</v>
      </c>
      <c r="AH10" s="247">
        <f t="shared" si="12"/>
        <v>59.9</v>
      </c>
      <c r="AI10" s="247">
        <f t="shared" si="13"/>
        <v>0.39710000000000001</v>
      </c>
      <c r="AJ10" s="43">
        <f t="shared" si="14"/>
        <v>0.23786290000000002</v>
      </c>
      <c r="AK10" s="42">
        <v>2750678</v>
      </c>
      <c r="AL10" s="42">
        <f t="shared" si="76"/>
        <v>1375339</v>
      </c>
      <c r="AM10" s="42">
        <v>8091</v>
      </c>
      <c r="AN10" s="36">
        <f t="shared" si="77"/>
        <v>0.58829132308470855</v>
      </c>
      <c r="AO10" s="247">
        <f t="shared" si="15"/>
        <v>55.1</v>
      </c>
      <c r="AP10" s="247">
        <f t="shared" si="16"/>
        <v>0.33759999999999996</v>
      </c>
      <c r="AQ10" s="43">
        <f t="shared" si="17"/>
        <v>0.18601759999999998</v>
      </c>
      <c r="AR10" s="42">
        <v>3866262</v>
      </c>
      <c r="AS10" s="42">
        <f t="shared" si="78"/>
        <v>1933131</v>
      </c>
      <c r="AT10" s="42">
        <v>13781</v>
      </c>
      <c r="AU10" s="36">
        <f t="shared" si="79"/>
        <v>0.71288495192514112</v>
      </c>
      <c r="AV10" s="247">
        <f t="shared" si="18"/>
        <v>47.6</v>
      </c>
      <c r="AW10" s="247">
        <f t="shared" si="19"/>
        <v>0.39280000000000004</v>
      </c>
      <c r="AX10" s="43">
        <f t="shared" si="20"/>
        <v>0.18697280000000002</v>
      </c>
      <c r="AY10" s="42">
        <v>466465</v>
      </c>
      <c r="AZ10" s="42">
        <f t="shared" si="80"/>
        <v>233232.5</v>
      </c>
      <c r="BA10" s="42">
        <v>1620</v>
      </c>
      <c r="BB10" s="36">
        <f t="shared" si="81"/>
        <v>0.69458587461009935</v>
      </c>
      <c r="BC10" s="247">
        <f t="shared" si="21"/>
        <v>78</v>
      </c>
      <c r="BD10" s="247">
        <f t="shared" si="22"/>
        <v>0.30280000000000001</v>
      </c>
      <c r="BE10" s="43">
        <f t="shared" si="23"/>
        <v>0.23618400000000001</v>
      </c>
      <c r="BF10" s="42">
        <v>418010</v>
      </c>
      <c r="BG10" s="42">
        <f t="shared" si="82"/>
        <v>209005</v>
      </c>
      <c r="BH10" s="42">
        <v>887</v>
      </c>
      <c r="BI10" s="36">
        <f t="shared" si="83"/>
        <v>0.42439176096265641</v>
      </c>
      <c r="BJ10" s="247">
        <f t="shared" si="24"/>
        <v>48.7</v>
      </c>
      <c r="BK10" s="247">
        <f t="shared" si="25"/>
        <v>0.21190000000000001</v>
      </c>
      <c r="BL10" s="43">
        <f t="shared" si="26"/>
        <v>0.1031953</v>
      </c>
      <c r="BM10" s="42">
        <v>789290</v>
      </c>
      <c r="BN10" s="42">
        <f t="shared" si="84"/>
        <v>394645</v>
      </c>
      <c r="BO10" s="42">
        <v>4435</v>
      </c>
      <c r="BP10" s="36">
        <f t="shared" si="85"/>
        <v>1.1237948029241469</v>
      </c>
      <c r="BQ10" s="247">
        <f t="shared" si="27"/>
        <v>38.6</v>
      </c>
      <c r="BR10" s="247">
        <f t="shared" si="28"/>
        <v>0.36340000000000006</v>
      </c>
      <c r="BS10" s="43">
        <f t="shared" si="29"/>
        <v>0.14027240000000002</v>
      </c>
      <c r="BT10" s="42">
        <v>1136956</v>
      </c>
      <c r="BU10" s="42">
        <f t="shared" si="86"/>
        <v>568478</v>
      </c>
      <c r="BV10" s="42">
        <v>5687</v>
      </c>
      <c r="BW10" s="36">
        <f t="shared" si="87"/>
        <v>1.0003905164315945</v>
      </c>
      <c r="BX10" s="247">
        <f t="shared" si="30"/>
        <v>56</v>
      </c>
      <c r="BY10" s="247">
        <f t="shared" si="31"/>
        <v>0.27250000000000002</v>
      </c>
      <c r="BZ10" s="43">
        <f t="shared" si="32"/>
        <v>0.15260000000000001</v>
      </c>
      <c r="CC10" s="32">
        <v>1973</v>
      </c>
      <c r="CD10" s="42">
        <v>10371498</v>
      </c>
      <c r="CE10" s="42">
        <f t="shared" si="88"/>
        <v>5185749</v>
      </c>
      <c r="CF10" s="42">
        <v>36704</v>
      </c>
      <c r="CG10" s="36">
        <f t="shared" si="89"/>
        <v>0.70778589553794446</v>
      </c>
      <c r="CH10" s="36">
        <f t="shared" si="33"/>
        <v>53.7</v>
      </c>
      <c r="CI10" s="43">
        <f t="shared" si="34"/>
        <v>0.34799999999999998</v>
      </c>
      <c r="CJ10" s="43">
        <f t="shared" si="35"/>
        <v>0.18687599999999999</v>
      </c>
      <c r="CK10" s="42">
        <v>223126</v>
      </c>
      <c r="CL10" s="42">
        <f t="shared" si="90"/>
        <v>111563</v>
      </c>
      <c r="CM10" s="42">
        <v>224</v>
      </c>
      <c r="CN10" s="36">
        <f t="shared" si="91"/>
        <v>0.20078341385584828</v>
      </c>
      <c r="CO10" s="247">
        <f t="shared" si="36"/>
        <v>46</v>
      </c>
      <c r="CP10" s="244">
        <f t="shared" si="37"/>
        <v>0.4153</v>
      </c>
      <c r="CQ10" s="43">
        <f t="shared" si="38"/>
        <v>0.19103799999999999</v>
      </c>
      <c r="CR10" s="42">
        <v>48583</v>
      </c>
      <c r="CS10" s="42">
        <f t="shared" si="92"/>
        <v>24291.5</v>
      </c>
      <c r="CT10" s="42">
        <v>54</v>
      </c>
      <c r="CU10" s="36">
        <f t="shared" si="93"/>
        <v>0.22229998147500155</v>
      </c>
      <c r="CV10" s="36">
        <f t="shared" si="39"/>
        <v>39.1</v>
      </c>
      <c r="CW10" s="43">
        <f t="shared" si="40"/>
        <v>0.31159999999999999</v>
      </c>
      <c r="CX10" s="43">
        <f t="shared" si="41"/>
        <v>0.1218356</v>
      </c>
      <c r="CY10" s="42">
        <v>361549</v>
      </c>
      <c r="CZ10" s="42">
        <f t="shared" si="94"/>
        <v>180774.5</v>
      </c>
      <c r="DA10" s="42">
        <v>1249</v>
      </c>
      <c r="DB10" s="36">
        <f t="shared" si="95"/>
        <v>0.6909160307454868</v>
      </c>
      <c r="DC10" s="36">
        <f t="shared" si="42"/>
        <v>51.1</v>
      </c>
      <c r="DD10" s="43">
        <f t="shared" si="43"/>
        <v>0.28639999999999999</v>
      </c>
      <c r="DE10" s="43">
        <f t="shared" si="44"/>
        <v>0.14635039999999999</v>
      </c>
      <c r="DF10" s="42">
        <v>286286</v>
      </c>
      <c r="DG10" s="42">
        <f t="shared" si="96"/>
        <v>143143</v>
      </c>
      <c r="DH10" s="42">
        <v>574</v>
      </c>
      <c r="DI10" s="36">
        <f t="shared" si="97"/>
        <v>0.40099760379480659</v>
      </c>
      <c r="DJ10" s="36">
        <f t="shared" si="45"/>
        <v>69.400000000000006</v>
      </c>
      <c r="DK10" s="43">
        <f t="shared" si="46"/>
        <v>0.26850000000000002</v>
      </c>
      <c r="DL10" s="43">
        <f t="shared" si="47"/>
        <v>0.18633900000000003</v>
      </c>
      <c r="DM10" s="42">
        <v>2750678</v>
      </c>
      <c r="DN10" s="42">
        <f t="shared" si="98"/>
        <v>1375339</v>
      </c>
      <c r="DO10" s="42">
        <v>8091</v>
      </c>
      <c r="DP10" s="36">
        <f t="shared" si="99"/>
        <v>0.58829132308470855</v>
      </c>
      <c r="DQ10" s="36">
        <f t="shared" si="48"/>
        <v>59.7</v>
      </c>
      <c r="DR10" s="43">
        <f t="shared" si="49"/>
        <v>0.33810000000000001</v>
      </c>
      <c r="DS10" s="43">
        <f t="shared" si="50"/>
        <v>0.20184570000000002</v>
      </c>
      <c r="DT10" s="42">
        <v>3866262</v>
      </c>
      <c r="DU10" s="42">
        <f t="shared" si="100"/>
        <v>1933131</v>
      </c>
      <c r="DV10" s="42">
        <v>13781</v>
      </c>
      <c r="DW10" s="36">
        <f t="shared" si="101"/>
        <v>0.71288495192514112</v>
      </c>
      <c r="DX10" s="36">
        <f t="shared" si="51"/>
        <v>49.7</v>
      </c>
      <c r="DY10" s="43">
        <f t="shared" si="52"/>
        <v>0.39179999999999998</v>
      </c>
      <c r="DZ10" s="43">
        <f t="shared" si="53"/>
        <v>0.19472460000000003</v>
      </c>
      <c r="EA10" s="42">
        <v>466465</v>
      </c>
      <c r="EB10" s="42">
        <f t="shared" si="102"/>
        <v>233232.5</v>
      </c>
      <c r="EC10" s="42">
        <v>1620</v>
      </c>
      <c r="ED10" s="36">
        <f t="shared" si="103"/>
        <v>0.69458587461009935</v>
      </c>
      <c r="EE10" s="36">
        <f t="shared" si="54"/>
        <v>89.4</v>
      </c>
      <c r="EF10" s="43">
        <f t="shared" si="55"/>
        <v>0.36090000000000005</v>
      </c>
      <c r="EG10" s="43">
        <f t="shared" si="56"/>
        <v>0.32264460000000006</v>
      </c>
      <c r="EH10" s="42">
        <v>418010</v>
      </c>
      <c r="EI10" s="42">
        <f t="shared" si="104"/>
        <v>209005</v>
      </c>
      <c r="EJ10" s="42">
        <v>887</v>
      </c>
      <c r="EK10" s="36">
        <f t="shared" si="105"/>
        <v>0.42439176096265641</v>
      </c>
      <c r="EL10" s="36">
        <f t="shared" si="57"/>
        <v>38.299999999999997</v>
      </c>
      <c r="EM10" s="43">
        <f t="shared" si="58"/>
        <v>0.19870000000000002</v>
      </c>
      <c r="EN10" s="43">
        <f t="shared" si="59"/>
        <v>7.6102100000000006E-2</v>
      </c>
      <c r="EO10" s="42">
        <v>789290</v>
      </c>
      <c r="EP10" s="42">
        <f t="shared" si="106"/>
        <v>394645</v>
      </c>
      <c r="EQ10" s="42">
        <v>4435</v>
      </c>
      <c r="ER10" s="36">
        <f t="shared" si="107"/>
        <v>1.1237948029241469</v>
      </c>
      <c r="ES10" s="36">
        <f t="shared" si="60"/>
        <v>37.799999999999997</v>
      </c>
      <c r="ET10" s="43">
        <f t="shared" si="61"/>
        <v>0.32650000000000001</v>
      </c>
      <c r="EU10" s="43">
        <f t="shared" si="62"/>
        <v>0.123417</v>
      </c>
      <c r="EV10" s="42">
        <v>1136956</v>
      </c>
      <c r="EW10" s="42">
        <f t="shared" si="108"/>
        <v>568478</v>
      </c>
      <c r="EX10" s="42">
        <v>5687</v>
      </c>
      <c r="EY10" s="36">
        <f t="shared" si="109"/>
        <v>1.0003905164315945</v>
      </c>
      <c r="EZ10" s="36">
        <f t="shared" si="63"/>
        <v>55.3</v>
      </c>
      <c r="FA10" s="43">
        <f t="shared" si="64"/>
        <v>0.27449999999999997</v>
      </c>
      <c r="FB10" s="43">
        <f t="shared" si="65"/>
        <v>0.15179849999999998</v>
      </c>
    </row>
    <row r="11" spans="1:159" hidden="1">
      <c r="A11" s="32">
        <v>1974</v>
      </c>
      <c r="B11" s="42">
        <v>10626029</v>
      </c>
      <c r="C11" s="42">
        <f t="shared" si="66"/>
        <v>5313014.5</v>
      </c>
      <c r="D11" s="42">
        <v>45019</v>
      </c>
      <c r="E11" s="36">
        <f t="shared" si="67"/>
        <v>0.84733440874290855</v>
      </c>
      <c r="F11" s="247">
        <f t="shared" si="0"/>
        <v>52.2</v>
      </c>
      <c r="G11" s="247">
        <f t="shared" si="1"/>
        <v>0.34799999999999998</v>
      </c>
      <c r="H11" s="43">
        <f t="shared" si="2"/>
        <v>0.18165600000000001</v>
      </c>
      <c r="I11" s="42">
        <v>227995</v>
      </c>
      <c r="J11" s="42">
        <f t="shared" si="68"/>
        <v>113997.5</v>
      </c>
      <c r="K11" s="42">
        <v>301</v>
      </c>
      <c r="L11" s="36">
        <f t="shared" si="69"/>
        <v>0.26404087808943177</v>
      </c>
      <c r="M11" s="247">
        <f t="shared" si="3"/>
        <v>59.1</v>
      </c>
      <c r="N11" s="247">
        <f t="shared" si="4"/>
        <v>0.34770000000000001</v>
      </c>
      <c r="O11" s="43">
        <f t="shared" si="5"/>
        <v>0.2054907</v>
      </c>
      <c r="P11" s="42">
        <v>49873</v>
      </c>
      <c r="Q11" s="42">
        <f t="shared" si="70"/>
        <v>24936.5</v>
      </c>
      <c r="R11" s="42">
        <v>96</v>
      </c>
      <c r="S11" s="36">
        <f t="shared" si="71"/>
        <v>0.38497784372305655</v>
      </c>
      <c r="T11" s="247">
        <f t="shared" si="6"/>
        <v>46.2</v>
      </c>
      <c r="U11" s="247">
        <f t="shared" si="7"/>
        <v>0.376</v>
      </c>
      <c r="V11" s="43">
        <f t="shared" si="8"/>
        <v>0.17371200000000001</v>
      </c>
      <c r="W11" s="42">
        <v>368320</v>
      </c>
      <c r="X11" s="42">
        <f t="shared" si="72"/>
        <v>184160</v>
      </c>
      <c r="Y11" s="42">
        <v>1591</v>
      </c>
      <c r="Z11" s="36">
        <f t="shared" si="73"/>
        <v>0.86392267593397043</v>
      </c>
      <c r="AA11" s="247">
        <f t="shared" si="9"/>
        <v>65.599999999999994</v>
      </c>
      <c r="AB11" s="247">
        <f t="shared" si="10"/>
        <v>0.29830000000000001</v>
      </c>
      <c r="AC11" s="43">
        <f t="shared" si="11"/>
        <v>0.19568479999999996</v>
      </c>
      <c r="AD11" s="42">
        <v>294075</v>
      </c>
      <c r="AE11" s="42">
        <f t="shared" si="74"/>
        <v>147037.5</v>
      </c>
      <c r="AF11" s="42">
        <v>755</v>
      </c>
      <c r="AG11" s="36">
        <f t="shared" si="75"/>
        <v>0.51347445379580037</v>
      </c>
      <c r="AH11" s="247">
        <f t="shared" si="12"/>
        <v>59.9</v>
      </c>
      <c r="AI11" s="247">
        <f t="shared" si="13"/>
        <v>0.39710000000000001</v>
      </c>
      <c r="AJ11" s="43">
        <f t="shared" si="14"/>
        <v>0.23786290000000002</v>
      </c>
      <c r="AK11" s="42">
        <v>2818594</v>
      </c>
      <c r="AL11" s="42">
        <f t="shared" si="76"/>
        <v>1409297</v>
      </c>
      <c r="AM11" s="42">
        <v>12272</v>
      </c>
      <c r="AN11" s="36">
        <f t="shared" si="77"/>
        <v>0.87078876915227954</v>
      </c>
      <c r="AO11" s="247">
        <f t="shared" si="15"/>
        <v>55.1</v>
      </c>
      <c r="AP11" s="247">
        <f t="shared" si="16"/>
        <v>0.33759999999999996</v>
      </c>
      <c r="AQ11" s="43">
        <f t="shared" si="17"/>
        <v>0.18601759999999998</v>
      </c>
      <c r="AR11" s="42">
        <v>3956750</v>
      </c>
      <c r="AS11" s="42">
        <f t="shared" si="78"/>
        <v>1978375</v>
      </c>
      <c r="AT11" s="42">
        <v>15277</v>
      </c>
      <c r="AU11" s="36">
        <f t="shared" si="79"/>
        <v>0.7721994060782208</v>
      </c>
      <c r="AV11" s="247">
        <f t="shared" si="18"/>
        <v>47.6</v>
      </c>
      <c r="AW11" s="247">
        <f t="shared" si="19"/>
        <v>0.39280000000000004</v>
      </c>
      <c r="AX11" s="43">
        <f t="shared" si="20"/>
        <v>0.18697280000000002</v>
      </c>
      <c r="AY11" s="42">
        <v>475049</v>
      </c>
      <c r="AZ11" s="42">
        <f t="shared" si="80"/>
        <v>237524.5</v>
      </c>
      <c r="BA11" s="42">
        <v>1796</v>
      </c>
      <c r="BB11" s="36">
        <f t="shared" si="81"/>
        <v>0.7561325252763399</v>
      </c>
      <c r="BC11" s="247">
        <f t="shared" si="21"/>
        <v>78</v>
      </c>
      <c r="BD11" s="247">
        <f t="shared" si="22"/>
        <v>0.30280000000000001</v>
      </c>
      <c r="BE11" s="43">
        <f t="shared" si="23"/>
        <v>0.23618400000000001</v>
      </c>
      <c r="BF11" s="42">
        <v>420247</v>
      </c>
      <c r="BG11" s="42">
        <f t="shared" si="82"/>
        <v>210123.5</v>
      </c>
      <c r="BH11" s="42">
        <v>1039</v>
      </c>
      <c r="BI11" s="36">
        <f t="shared" si="83"/>
        <v>0.49447110865752758</v>
      </c>
      <c r="BJ11" s="247">
        <f t="shared" si="24"/>
        <v>48.7</v>
      </c>
      <c r="BK11" s="247">
        <f t="shared" si="25"/>
        <v>0.21190000000000001</v>
      </c>
      <c r="BL11" s="43">
        <f t="shared" si="26"/>
        <v>0.1031953</v>
      </c>
      <c r="BM11" s="42">
        <v>809159</v>
      </c>
      <c r="BN11" s="42">
        <f t="shared" si="84"/>
        <v>404579.5</v>
      </c>
      <c r="BO11" s="42">
        <v>4947</v>
      </c>
      <c r="BP11" s="36">
        <f t="shared" si="85"/>
        <v>1.2227510291549621</v>
      </c>
      <c r="BQ11" s="247">
        <f t="shared" si="27"/>
        <v>38.6</v>
      </c>
      <c r="BR11" s="247">
        <f t="shared" si="28"/>
        <v>0.36340000000000006</v>
      </c>
      <c r="BS11" s="43">
        <f t="shared" si="29"/>
        <v>0.14027240000000002</v>
      </c>
      <c r="BT11" s="42">
        <v>1181457</v>
      </c>
      <c r="BU11" s="42">
        <f t="shared" si="86"/>
        <v>590728.5</v>
      </c>
      <c r="BV11" s="42">
        <v>6840</v>
      </c>
      <c r="BW11" s="36">
        <f t="shared" si="87"/>
        <v>1.1578923312486193</v>
      </c>
      <c r="BX11" s="247">
        <f t="shared" si="30"/>
        <v>56</v>
      </c>
      <c r="BY11" s="247">
        <f t="shared" si="31"/>
        <v>0.27250000000000002</v>
      </c>
      <c r="BZ11" s="43">
        <f t="shared" si="32"/>
        <v>0.15260000000000001</v>
      </c>
      <c r="CC11" s="32">
        <v>1974</v>
      </c>
      <c r="CD11" s="42">
        <v>10626029</v>
      </c>
      <c r="CE11" s="42">
        <f t="shared" si="88"/>
        <v>5313014.5</v>
      </c>
      <c r="CF11" s="42">
        <v>45019</v>
      </c>
      <c r="CG11" s="36">
        <f t="shared" si="89"/>
        <v>0.84733440874290855</v>
      </c>
      <c r="CH11" s="36">
        <f t="shared" si="33"/>
        <v>53.7</v>
      </c>
      <c r="CI11" s="43">
        <f t="shared" si="34"/>
        <v>0.34799999999999998</v>
      </c>
      <c r="CJ11" s="43">
        <f t="shared" si="35"/>
        <v>0.18687599999999999</v>
      </c>
      <c r="CK11" s="42">
        <v>227995</v>
      </c>
      <c r="CL11" s="42">
        <f t="shared" si="90"/>
        <v>113997.5</v>
      </c>
      <c r="CM11" s="42">
        <v>301</v>
      </c>
      <c r="CN11" s="36">
        <f t="shared" si="91"/>
        <v>0.26404087808943177</v>
      </c>
      <c r="CO11" s="247">
        <f t="shared" si="36"/>
        <v>46</v>
      </c>
      <c r="CP11" s="244">
        <f t="shared" si="37"/>
        <v>0.4153</v>
      </c>
      <c r="CQ11" s="43">
        <f t="shared" si="38"/>
        <v>0.19103799999999999</v>
      </c>
      <c r="CR11" s="42">
        <v>49873</v>
      </c>
      <c r="CS11" s="42">
        <f t="shared" si="92"/>
        <v>24936.5</v>
      </c>
      <c r="CT11" s="42">
        <v>96</v>
      </c>
      <c r="CU11" s="36">
        <f t="shared" si="93"/>
        <v>0.38497784372305655</v>
      </c>
      <c r="CV11" s="36">
        <f t="shared" si="39"/>
        <v>39.1</v>
      </c>
      <c r="CW11" s="43">
        <f t="shared" si="40"/>
        <v>0.31159999999999999</v>
      </c>
      <c r="CX11" s="43">
        <f t="shared" si="41"/>
        <v>0.1218356</v>
      </c>
      <c r="CY11" s="42">
        <v>368320</v>
      </c>
      <c r="CZ11" s="42">
        <f t="shared" si="94"/>
        <v>184160</v>
      </c>
      <c r="DA11" s="42">
        <v>1591</v>
      </c>
      <c r="DB11" s="36">
        <f t="shared" si="95"/>
        <v>0.86392267593397043</v>
      </c>
      <c r="DC11" s="36">
        <f t="shared" si="42"/>
        <v>51.1</v>
      </c>
      <c r="DD11" s="43">
        <f t="shared" si="43"/>
        <v>0.28639999999999999</v>
      </c>
      <c r="DE11" s="43">
        <f t="shared" si="44"/>
        <v>0.14635039999999999</v>
      </c>
      <c r="DF11" s="42">
        <v>294075</v>
      </c>
      <c r="DG11" s="42">
        <f t="shared" si="96"/>
        <v>147037.5</v>
      </c>
      <c r="DH11" s="42">
        <v>755</v>
      </c>
      <c r="DI11" s="36">
        <f t="shared" si="97"/>
        <v>0.51347445379580037</v>
      </c>
      <c r="DJ11" s="36">
        <f t="shared" si="45"/>
        <v>69.400000000000006</v>
      </c>
      <c r="DK11" s="43">
        <f t="shared" si="46"/>
        <v>0.26850000000000002</v>
      </c>
      <c r="DL11" s="43">
        <f t="shared" si="47"/>
        <v>0.18633900000000003</v>
      </c>
      <c r="DM11" s="42">
        <v>2818594</v>
      </c>
      <c r="DN11" s="42">
        <f t="shared" si="98"/>
        <v>1409297</v>
      </c>
      <c r="DO11" s="42">
        <v>12272</v>
      </c>
      <c r="DP11" s="36">
        <f t="shared" si="99"/>
        <v>0.87078876915227954</v>
      </c>
      <c r="DQ11" s="36">
        <f t="shared" si="48"/>
        <v>59.7</v>
      </c>
      <c r="DR11" s="43">
        <f t="shared" si="49"/>
        <v>0.33810000000000001</v>
      </c>
      <c r="DS11" s="43">
        <f t="shared" si="50"/>
        <v>0.20184570000000002</v>
      </c>
      <c r="DT11" s="42">
        <v>3956750</v>
      </c>
      <c r="DU11" s="42">
        <f t="shared" si="100"/>
        <v>1978375</v>
      </c>
      <c r="DV11" s="42">
        <v>15277</v>
      </c>
      <c r="DW11" s="36">
        <f t="shared" si="101"/>
        <v>0.7721994060782208</v>
      </c>
      <c r="DX11" s="36">
        <f t="shared" si="51"/>
        <v>49.7</v>
      </c>
      <c r="DY11" s="43">
        <f t="shared" si="52"/>
        <v>0.39179999999999998</v>
      </c>
      <c r="DZ11" s="43">
        <f t="shared" si="53"/>
        <v>0.19472460000000003</v>
      </c>
      <c r="EA11" s="42">
        <v>475049</v>
      </c>
      <c r="EB11" s="42">
        <f t="shared" si="102"/>
        <v>237524.5</v>
      </c>
      <c r="EC11" s="42">
        <v>1796</v>
      </c>
      <c r="ED11" s="36">
        <f t="shared" si="103"/>
        <v>0.7561325252763399</v>
      </c>
      <c r="EE11" s="36">
        <f t="shared" si="54"/>
        <v>89.4</v>
      </c>
      <c r="EF11" s="43">
        <f t="shared" si="55"/>
        <v>0.36090000000000005</v>
      </c>
      <c r="EG11" s="43">
        <f t="shared" si="56"/>
        <v>0.32264460000000006</v>
      </c>
      <c r="EH11" s="42">
        <v>420247</v>
      </c>
      <c r="EI11" s="42">
        <f t="shared" si="104"/>
        <v>210123.5</v>
      </c>
      <c r="EJ11" s="42">
        <v>1039</v>
      </c>
      <c r="EK11" s="36">
        <f t="shared" si="105"/>
        <v>0.49447110865752758</v>
      </c>
      <c r="EL11" s="36">
        <f t="shared" si="57"/>
        <v>38.299999999999997</v>
      </c>
      <c r="EM11" s="43">
        <f t="shared" si="58"/>
        <v>0.19870000000000002</v>
      </c>
      <c r="EN11" s="43">
        <f t="shared" si="59"/>
        <v>7.6102100000000006E-2</v>
      </c>
      <c r="EO11" s="42">
        <v>809159</v>
      </c>
      <c r="EP11" s="42">
        <f t="shared" si="106"/>
        <v>404579.5</v>
      </c>
      <c r="EQ11" s="42">
        <v>4947</v>
      </c>
      <c r="ER11" s="36">
        <f t="shared" si="107"/>
        <v>1.2227510291549621</v>
      </c>
      <c r="ES11" s="36">
        <f t="shared" si="60"/>
        <v>37.799999999999997</v>
      </c>
      <c r="ET11" s="43">
        <f t="shared" si="61"/>
        <v>0.32650000000000001</v>
      </c>
      <c r="EU11" s="43">
        <f t="shared" si="62"/>
        <v>0.123417</v>
      </c>
      <c r="EV11" s="42">
        <v>1181457</v>
      </c>
      <c r="EW11" s="42">
        <f t="shared" si="108"/>
        <v>590728.5</v>
      </c>
      <c r="EX11" s="42">
        <v>6840</v>
      </c>
      <c r="EY11" s="36">
        <f t="shared" si="109"/>
        <v>1.1578923312486193</v>
      </c>
      <c r="EZ11" s="36">
        <f t="shared" si="63"/>
        <v>55.3</v>
      </c>
      <c r="FA11" s="43">
        <f t="shared" si="64"/>
        <v>0.27449999999999997</v>
      </c>
      <c r="FB11" s="43">
        <f t="shared" si="65"/>
        <v>0.15179849999999998</v>
      </c>
    </row>
    <row r="12" spans="1:159" hidden="1">
      <c r="A12" s="32">
        <v>1975</v>
      </c>
      <c r="B12" s="42">
        <v>10888443</v>
      </c>
      <c r="C12" s="42">
        <f t="shared" si="66"/>
        <v>5444221.5</v>
      </c>
      <c r="D12" s="42">
        <v>50611</v>
      </c>
      <c r="E12" s="36">
        <f t="shared" si="67"/>
        <v>0.92962786323076674</v>
      </c>
      <c r="F12" s="247">
        <f>F13</f>
        <v>52.2</v>
      </c>
      <c r="G12" s="247">
        <f>G13</f>
        <v>0.34799999999999998</v>
      </c>
      <c r="H12" s="43">
        <f t="shared" si="2"/>
        <v>0.18165600000000001</v>
      </c>
      <c r="I12" s="42">
        <v>234630</v>
      </c>
      <c r="J12" s="42">
        <f t="shared" si="68"/>
        <v>117315</v>
      </c>
      <c r="K12" s="42">
        <v>380</v>
      </c>
      <c r="L12" s="36">
        <f t="shared" si="69"/>
        <v>0.32391424796488089</v>
      </c>
      <c r="M12" s="247">
        <f>M13</f>
        <v>59.1</v>
      </c>
      <c r="N12" s="247">
        <f>N13</f>
        <v>0.34770000000000001</v>
      </c>
      <c r="O12" s="43">
        <f t="shared" si="5"/>
        <v>0.2054907</v>
      </c>
      <c r="P12" s="42">
        <v>51401</v>
      </c>
      <c r="Q12" s="42">
        <f t="shared" si="70"/>
        <v>25700.5</v>
      </c>
      <c r="R12" s="42">
        <v>75</v>
      </c>
      <c r="S12" s="36">
        <f t="shared" si="71"/>
        <v>0.29182311628178442</v>
      </c>
      <c r="T12" s="247">
        <f>T13</f>
        <v>46.2</v>
      </c>
      <c r="U12" s="247">
        <f>U13</f>
        <v>0.376</v>
      </c>
      <c r="V12" s="43">
        <f t="shared" si="8"/>
        <v>0.17371200000000001</v>
      </c>
      <c r="W12" s="42">
        <v>375421</v>
      </c>
      <c r="X12" s="42">
        <f t="shared" si="72"/>
        <v>187710.5</v>
      </c>
      <c r="Y12" s="42">
        <v>1597</v>
      </c>
      <c r="Z12" s="36">
        <f t="shared" si="73"/>
        <v>0.85077819301530822</v>
      </c>
      <c r="AA12" s="247">
        <f>AA13</f>
        <v>65.599999999999994</v>
      </c>
      <c r="AB12" s="247">
        <f>AB13</f>
        <v>0.29830000000000001</v>
      </c>
      <c r="AC12" s="43">
        <f t="shared" si="11"/>
        <v>0.19568479999999996</v>
      </c>
      <c r="AD12" s="42">
        <v>303748</v>
      </c>
      <c r="AE12" s="42">
        <f t="shared" si="74"/>
        <v>151874</v>
      </c>
      <c r="AF12" s="42">
        <v>758</v>
      </c>
      <c r="AG12" s="36">
        <f t="shared" si="75"/>
        <v>0.4990979364473182</v>
      </c>
      <c r="AH12" s="247">
        <f>AH13</f>
        <v>59.9</v>
      </c>
      <c r="AI12" s="247">
        <f>AI13</f>
        <v>0.39710000000000001</v>
      </c>
      <c r="AJ12" s="43">
        <f t="shared" si="14"/>
        <v>0.23786290000000002</v>
      </c>
      <c r="AK12" s="42">
        <v>2888989</v>
      </c>
      <c r="AL12" s="42">
        <f t="shared" si="76"/>
        <v>1444494.5</v>
      </c>
      <c r="AM12" s="42">
        <v>14093</v>
      </c>
      <c r="AN12" s="36">
        <f t="shared" si="77"/>
        <v>0.97563542124944058</v>
      </c>
      <c r="AO12" s="247">
        <f>AO13</f>
        <v>55.1</v>
      </c>
      <c r="AP12" s="247">
        <f>AP13</f>
        <v>0.33759999999999996</v>
      </c>
      <c r="AQ12" s="43">
        <f t="shared" si="17"/>
        <v>0.18601759999999998</v>
      </c>
      <c r="AR12" s="42">
        <v>4038668</v>
      </c>
      <c r="AS12" s="42">
        <f t="shared" si="78"/>
        <v>2019334</v>
      </c>
      <c r="AT12" s="42">
        <v>17485</v>
      </c>
      <c r="AU12" s="36">
        <f t="shared" si="79"/>
        <v>0.86587954246301002</v>
      </c>
      <c r="AV12" s="247">
        <f>AV13</f>
        <v>47.6</v>
      </c>
      <c r="AW12" s="247">
        <f>AW13</f>
        <v>0.39280000000000004</v>
      </c>
      <c r="AX12" s="43">
        <f t="shared" si="20"/>
        <v>0.18697280000000002</v>
      </c>
      <c r="AY12" s="42">
        <v>481836</v>
      </c>
      <c r="AZ12" s="42">
        <f t="shared" si="80"/>
        <v>240918</v>
      </c>
      <c r="BA12" s="42">
        <v>1984</v>
      </c>
      <c r="BB12" s="36">
        <f t="shared" si="81"/>
        <v>0.82351671523090841</v>
      </c>
      <c r="BC12" s="247">
        <f>BC13</f>
        <v>78</v>
      </c>
      <c r="BD12" s="247">
        <f>BD13</f>
        <v>0.30280000000000001</v>
      </c>
      <c r="BE12" s="43">
        <f t="shared" si="23"/>
        <v>0.23618400000000001</v>
      </c>
      <c r="BF12" s="42">
        <v>428796</v>
      </c>
      <c r="BG12" s="42">
        <f t="shared" si="82"/>
        <v>214398</v>
      </c>
      <c r="BH12" s="42">
        <v>1131</v>
      </c>
      <c r="BI12" s="36">
        <f t="shared" si="83"/>
        <v>0.52752357764531388</v>
      </c>
      <c r="BJ12" s="247">
        <f>BJ13</f>
        <v>48.7</v>
      </c>
      <c r="BK12" s="247">
        <f>BK13</f>
        <v>0.21190000000000001</v>
      </c>
      <c r="BL12" s="43">
        <f t="shared" si="26"/>
        <v>0.1031953</v>
      </c>
      <c r="BM12" s="42">
        <v>841684</v>
      </c>
      <c r="BN12" s="42">
        <f t="shared" si="84"/>
        <v>420842</v>
      </c>
      <c r="BO12" s="42">
        <v>5475</v>
      </c>
      <c r="BP12" s="36">
        <f t="shared" si="85"/>
        <v>1.3009633068942739</v>
      </c>
      <c r="BQ12" s="247">
        <f>BQ13</f>
        <v>38.6</v>
      </c>
      <c r="BR12" s="247">
        <f>BR13</f>
        <v>0.36340000000000006</v>
      </c>
      <c r="BS12" s="43">
        <f t="shared" si="29"/>
        <v>0.14027240000000002</v>
      </c>
      <c r="BT12" s="42">
        <v>1217521</v>
      </c>
      <c r="BU12" s="42">
        <f t="shared" si="86"/>
        <v>608760.5</v>
      </c>
      <c r="BV12" s="42">
        <v>7534</v>
      </c>
      <c r="BW12" s="36">
        <f t="shared" si="87"/>
        <v>1.2375967231776701</v>
      </c>
      <c r="BX12" s="247">
        <f>BX13</f>
        <v>56</v>
      </c>
      <c r="BY12" s="247">
        <f>BY13</f>
        <v>0.27250000000000002</v>
      </c>
      <c r="BZ12" s="43">
        <f t="shared" si="32"/>
        <v>0.15260000000000001</v>
      </c>
      <c r="CC12" s="32">
        <v>1975</v>
      </c>
      <c r="CD12" s="42">
        <v>10888443</v>
      </c>
      <c r="CE12" s="42">
        <f t="shared" si="88"/>
        <v>5444221.5</v>
      </c>
      <c r="CF12" s="42">
        <v>50611</v>
      </c>
      <c r="CG12" s="36">
        <f t="shared" si="89"/>
        <v>0.92962786323076674</v>
      </c>
      <c r="CH12" s="36">
        <f>CH13</f>
        <v>53.7</v>
      </c>
      <c r="CI12" s="43">
        <f>CI13</f>
        <v>0.34799999999999998</v>
      </c>
      <c r="CJ12" s="43">
        <f t="shared" si="35"/>
        <v>0.18687599999999999</v>
      </c>
      <c r="CK12" s="42">
        <v>234630</v>
      </c>
      <c r="CL12" s="42">
        <f t="shared" si="90"/>
        <v>117315</v>
      </c>
      <c r="CM12" s="42">
        <v>380</v>
      </c>
      <c r="CN12" s="36">
        <f t="shared" si="91"/>
        <v>0.32391424796488089</v>
      </c>
      <c r="CO12" s="247">
        <f>CO13</f>
        <v>46</v>
      </c>
      <c r="CP12" s="244">
        <f>CP13</f>
        <v>0.4153</v>
      </c>
      <c r="CQ12" s="43">
        <f t="shared" si="38"/>
        <v>0.19103799999999999</v>
      </c>
      <c r="CR12" s="42">
        <v>51401</v>
      </c>
      <c r="CS12" s="42">
        <f t="shared" si="92"/>
        <v>25700.5</v>
      </c>
      <c r="CT12" s="42">
        <v>75</v>
      </c>
      <c r="CU12" s="36">
        <f t="shared" si="93"/>
        <v>0.29182311628178442</v>
      </c>
      <c r="CV12" s="36">
        <f>CV13</f>
        <v>39.1</v>
      </c>
      <c r="CW12" s="43">
        <f>CW13</f>
        <v>0.31159999999999999</v>
      </c>
      <c r="CX12" s="43">
        <f t="shared" si="41"/>
        <v>0.1218356</v>
      </c>
      <c r="CY12" s="42">
        <v>375421</v>
      </c>
      <c r="CZ12" s="42">
        <f t="shared" si="94"/>
        <v>187710.5</v>
      </c>
      <c r="DA12" s="42">
        <v>1597</v>
      </c>
      <c r="DB12" s="36">
        <f t="shared" si="95"/>
        <v>0.85077819301530822</v>
      </c>
      <c r="DC12" s="36">
        <f>DC13</f>
        <v>51.1</v>
      </c>
      <c r="DD12" s="43">
        <f>DD13</f>
        <v>0.28639999999999999</v>
      </c>
      <c r="DE12" s="43">
        <f t="shared" si="44"/>
        <v>0.14635039999999999</v>
      </c>
      <c r="DF12" s="42">
        <v>303748</v>
      </c>
      <c r="DG12" s="42">
        <f t="shared" si="96"/>
        <v>151874</v>
      </c>
      <c r="DH12" s="42">
        <v>758</v>
      </c>
      <c r="DI12" s="36">
        <f t="shared" si="97"/>
        <v>0.4990979364473182</v>
      </c>
      <c r="DJ12" s="36">
        <f>DJ13</f>
        <v>69.400000000000006</v>
      </c>
      <c r="DK12" s="43">
        <f>DK13</f>
        <v>0.26850000000000002</v>
      </c>
      <c r="DL12" s="43">
        <f t="shared" si="47"/>
        <v>0.18633900000000003</v>
      </c>
      <c r="DM12" s="42">
        <v>2888989</v>
      </c>
      <c r="DN12" s="42">
        <f t="shared" si="98"/>
        <v>1444494.5</v>
      </c>
      <c r="DO12" s="42">
        <v>14093</v>
      </c>
      <c r="DP12" s="36">
        <f t="shared" si="99"/>
        <v>0.97563542124944058</v>
      </c>
      <c r="DQ12" s="36">
        <f>DQ13</f>
        <v>59.7</v>
      </c>
      <c r="DR12" s="43">
        <f>DR13</f>
        <v>0.33810000000000001</v>
      </c>
      <c r="DS12" s="43">
        <f t="shared" si="50"/>
        <v>0.20184570000000002</v>
      </c>
      <c r="DT12" s="42">
        <v>4038668</v>
      </c>
      <c r="DU12" s="42">
        <f t="shared" si="100"/>
        <v>2019334</v>
      </c>
      <c r="DV12" s="42">
        <v>17485</v>
      </c>
      <c r="DW12" s="36">
        <f t="shared" si="101"/>
        <v>0.86587954246301002</v>
      </c>
      <c r="DX12" s="36">
        <f>DX13</f>
        <v>49.7</v>
      </c>
      <c r="DY12" s="43">
        <f>DY13</f>
        <v>0.39179999999999998</v>
      </c>
      <c r="DZ12" s="43">
        <f t="shared" si="53"/>
        <v>0.19472460000000003</v>
      </c>
      <c r="EA12" s="42">
        <v>481836</v>
      </c>
      <c r="EB12" s="42">
        <f t="shared" si="102"/>
        <v>240918</v>
      </c>
      <c r="EC12" s="42">
        <v>1984</v>
      </c>
      <c r="ED12" s="36">
        <f t="shared" si="103"/>
        <v>0.82351671523090841</v>
      </c>
      <c r="EE12" s="36">
        <f>EE13</f>
        <v>89.4</v>
      </c>
      <c r="EF12" s="43">
        <f>EF13</f>
        <v>0.36090000000000005</v>
      </c>
      <c r="EG12" s="43">
        <f t="shared" si="56"/>
        <v>0.32264460000000006</v>
      </c>
      <c r="EH12" s="42">
        <v>428796</v>
      </c>
      <c r="EI12" s="42">
        <f t="shared" si="104"/>
        <v>214398</v>
      </c>
      <c r="EJ12" s="42">
        <v>1131</v>
      </c>
      <c r="EK12" s="36">
        <f t="shared" si="105"/>
        <v>0.52752357764531388</v>
      </c>
      <c r="EL12" s="36">
        <f>EL13</f>
        <v>38.299999999999997</v>
      </c>
      <c r="EM12" s="43">
        <f>EM13</f>
        <v>0.19870000000000002</v>
      </c>
      <c r="EN12" s="43">
        <f t="shared" si="59"/>
        <v>7.6102100000000006E-2</v>
      </c>
      <c r="EO12" s="42">
        <v>841684</v>
      </c>
      <c r="EP12" s="42">
        <f t="shared" si="106"/>
        <v>420842</v>
      </c>
      <c r="EQ12" s="42">
        <v>5475</v>
      </c>
      <c r="ER12" s="36">
        <f t="shared" si="107"/>
        <v>1.3009633068942739</v>
      </c>
      <c r="ES12" s="36">
        <f>ES13</f>
        <v>37.799999999999997</v>
      </c>
      <c r="ET12" s="43">
        <f>ET13</f>
        <v>0.32650000000000001</v>
      </c>
      <c r="EU12" s="43">
        <f t="shared" si="62"/>
        <v>0.123417</v>
      </c>
      <c r="EV12" s="42">
        <v>1217521</v>
      </c>
      <c r="EW12" s="42">
        <f t="shared" si="108"/>
        <v>608760.5</v>
      </c>
      <c r="EX12" s="42">
        <v>7534</v>
      </c>
      <c r="EY12" s="36">
        <f t="shared" si="109"/>
        <v>1.2375967231776701</v>
      </c>
      <c r="EZ12" s="36">
        <f>EZ13</f>
        <v>55.3</v>
      </c>
      <c r="FA12" s="43">
        <f>FA13</f>
        <v>0.27449999999999997</v>
      </c>
      <c r="FB12" s="43">
        <f t="shared" si="65"/>
        <v>0.15179849999999998</v>
      </c>
    </row>
    <row r="13" spans="1:159" hidden="1">
      <c r="A13" s="32">
        <v>1976</v>
      </c>
      <c r="B13" s="42">
        <v>11143375</v>
      </c>
      <c r="C13" s="42">
        <f t="shared" si="66"/>
        <v>5571687.5</v>
      </c>
      <c r="D13" s="42">
        <v>54207</v>
      </c>
      <c r="E13" s="36">
        <f t="shared" si="67"/>
        <v>0.97290093889867302</v>
      </c>
      <c r="F13" s="13">
        <v>52.2</v>
      </c>
      <c r="G13" s="13">
        <v>0.34799999999999998</v>
      </c>
      <c r="H13" s="43">
        <f t="shared" ref="H13:H17" si="110">F13*G13/100</f>
        <v>0.18165600000000001</v>
      </c>
      <c r="I13" s="42">
        <v>240915</v>
      </c>
      <c r="J13" s="42">
        <f t="shared" si="68"/>
        <v>120457.5</v>
      </c>
      <c r="K13" s="42">
        <v>424</v>
      </c>
      <c r="L13" s="36">
        <f t="shared" si="69"/>
        <v>0.35199136624950711</v>
      </c>
      <c r="M13" s="13">
        <v>59.1</v>
      </c>
      <c r="N13" s="13">
        <v>0.34770000000000001</v>
      </c>
      <c r="O13" s="43">
        <f t="shared" ref="O13:O16" si="111">M13*N13/100</f>
        <v>0.2054907</v>
      </c>
      <c r="P13" s="42">
        <v>52531</v>
      </c>
      <c r="Q13" s="42">
        <f t="shared" si="70"/>
        <v>26265.5</v>
      </c>
      <c r="R13" s="42">
        <v>116</v>
      </c>
      <c r="S13" s="36">
        <f t="shared" si="71"/>
        <v>0.44164398164893115</v>
      </c>
      <c r="T13" s="122">
        <f>T14</f>
        <v>46.2</v>
      </c>
      <c r="U13" s="122">
        <f>U14</f>
        <v>0.376</v>
      </c>
      <c r="V13" s="43">
        <f t="shared" si="8"/>
        <v>0.17371200000000001</v>
      </c>
      <c r="W13" s="42">
        <v>383183</v>
      </c>
      <c r="X13" s="42">
        <f t="shared" si="72"/>
        <v>191591.5</v>
      </c>
      <c r="Y13" s="42">
        <v>1753</v>
      </c>
      <c r="Z13" s="36">
        <f t="shared" si="73"/>
        <v>0.91496752204560228</v>
      </c>
      <c r="AA13" s="13">
        <v>65.599999999999994</v>
      </c>
      <c r="AB13" s="13">
        <v>0.29830000000000001</v>
      </c>
      <c r="AC13" s="43">
        <f t="shared" ref="AC13:AC17" si="112">AA13*AB13/100</f>
        <v>0.19568479999999996</v>
      </c>
      <c r="AD13" s="42">
        <v>313834</v>
      </c>
      <c r="AE13" s="42">
        <f t="shared" si="74"/>
        <v>156917</v>
      </c>
      <c r="AF13" s="42">
        <v>938</v>
      </c>
      <c r="AG13" s="36">
        <f t="shared" si="75"/>
        <v>0.59776824690760089</v>
      </c>
      <c r="AH13" s="13">
        <v>59.9</v>
      </c>
      <c r="AI13" s="13">
        <v>0.39710000000000001</v>
      </c>
      <c r="AJ13" s="43">
        <f t="shared" ref="AJ13:AJ17" si="113">AH13*AI13/100</f>
        <v>0.23786290000000002</v>
      </c>
      <c r="AK13" s="42">
        <v>2960841</v>
      </c>
      <c r="AL13" s="42">
        <f t="shared" si="76"/>
        <v>1480420.5</v>
      </c>
      <c r="AM13" s="42">
        <v>15186</v>
      </c>
      <c r="AN13" s="36">
        <f t="shared" si="77"/>
        <v>1.0257896320673754</v>
      </c>
      <c r="AO13" s="13">
        <v>55.1</v>
      </c>
      <c r="AP13" s="13">
        <v>0.33759999999999996</v>
      </c>
      <c r="AQ13" s="43">
        <f t="shared" ref="AQ13:AQ17" si="114">AO13*AP13/100</f>
        <v>0.18601759999999998</v>
      </c>
      <c r="AR13" s="42">
        <v>4113503</v>
      </c>
      <c r="AS13" s="42">
        <f t="shared" si="78"/>
        <v>2056751.5</v>
      </c>
      <c r="AT13" s="42">
        <v>18589</v>
      </c>
      <c r="AU13" s="36">
        <f t="shared" si="79"/>
        <v>0.90380388685750312</v>
      </c>
      <c r="AV13" s="13">
        <v>47.6</v>
      </c>
      <c r="AW13" s="13">
        <v>0.39280000000000004</v>
      </c>
      <c r="AX13" s="43">
        <f t="shared" ref="AX13:AX17" si="115">AV13*AW13/100</f>
        <v>0.18697280000000002</v>
      </c>
      <c r="AY13" s="42">
        <v>488953</v>
      </c>
      <c r="AZ13" s="42">
        <f t="shared" si="80"/>
        <v>244476.5</v>
      </c>
      <c r="BA13" s="42">
        <v>1941</v>
      </c>
      <c r="BB13" s="36">
        <f t="shared" si="81"/>
        <v>0.79394133996519101</v>
      </c>
      <c r="BC13" s="13">
        <v>78</v>
      </c>
      <c r="BD13" s="13">
        <v>0.30280000000000001</v>
      </c>
      <c r="BE13" s="43">
        <f t="shared" ref="BE13:BE17" si="116">BC13*BD13/100</f>
        <v>0.23618400000000001</v>
      </c>
      <c r="BF13" s="42">
        <v>439963</v>
      </c>
      <c r="BG13" s="42">
        <f t="shared" si="82"/>
        <v>219981.5</v>
      </c>
      <c r="BH13" s="42">
        <v>1207</v>
      </c>
      <c r="BI13" s="36">
        <f t="shared" si="83"/>
        <v>0.54868250284683029</v>
      </c>
      <c r="BJ13" s="13">
        <v>48.7</v>
      </c>
      <c r="BK13" s="13">
        <v>0.21190000000000001</v>
      </c>
      <c r="BL13" s="43">
        <f t="shared" ref="BL13:BL17" si="117">BJ13*BK13/100</f>
        <v>0.1031953</v>
      </c>
      <c r="BM13" s="42">
        <v>878696</v>
      </c>
      <c r="BN13" s="42">
        <f t="shared" si="84"/>
        <v>439348</v>
      </c>
      <c r="BO13" s="42">
        <v>5697</v>
      </c>
      <c r="BP13" s="36">
        <f t="shared" si="85"/>
        <v>1.2966941923031401</v>
      </c>
      <c r="BQ13" s="13">
        <v>38.6</v>
      </c>
      <c r="BR13" s="13">
        <v>0.36340000000000006</v>
      </c>
      <c r="BS13" s="43">
        <f t="shared" ref="BS13:BS17" si="118">BQ13*BR13/100</f>
        <v>0.14027240000000002</v>
      </c>
      <c r="BT13" s="42">
        <v>1244123</v>
      </c>
      <c r="BU13" s="42">
        <f t="shared" si="86"/>
        <v>622061.5</v>
      </c>
      <c r="BV13" s="42">
        <v>8231</v>
      </c>
      <c r="BW13" s="36">
        <f t="shared" si="87"/>
        <v>1.3231810681098251</v>
      </c>
      <c r="BX13" s="13">
        <v>56</v>
      </c>
      <c r="BY13" s="13">
        <v>0.27250000000000002</v>
      </c>
      <c r="BZ13" s="43">
        <f t="shared" ref="BZ13:BZ17" si="119">BX13*BY13/100</f>
        <v>0.15260000000000001</v>
      </c>
      <c r="CC13" s="32">
        <v>1976</v>
      </c>
      <c r="CD13" s="42">
        <v>11143375</v>
      </c>
      <c r="CE13" s="42">
        <f t="shared" si="88"/>
        <v>5571687.5</v>
      </c>
      <c r="CF13" s="42">
        <v>54207</v>
      </c>
      <c r="CG13" s="36">
        <f t="shared" si="89"/>
        <v>0.97290093889867302</v>
      </c>
      <c r="CH13">
        <v>53.7</v>
      </c>
      <c r="CI13">
        <v>0.34799999999999998</v>
      </c>
      <c r="CJ13" s="43">
        <f t="shared" si="35"/>
        <v>0.18687599999999999</v>
      </c>
      <c r="CK13" s="42">
        <v>240915</v>
      </c>
      <c r="CL13" s="42">
        <f t="shared" si="90"/>
        <v>120457.5</v>
      </c>
      <c r="CM13" s="42">
        <v>424</v>
      </c>
      <c r="CN13" s="36">
        <f t="shared" si="91"/>
        <v>0.35199136624950711</v>
      </c>
      <c r="CO13">
        <v>46</v>
      </c>
      <c r="CP13">
        <v>0.4153</v>
      </c>
      <c r="CQ13" s="43">
        <f t="shared" si="38"/>
        <v>0.19103799999999999</v>
      </c>
      <c r="CR13" s="42">
        <v>52531</v>
      </c>
      <c r="CS13" s="42">
        <f t="shared" si="92"/>
        <v>26265.5</v>
      </c>
      <c r="CT13" s="42">
        <v>116</v>
      </c>
      <c r="CU13" s="36">
        <f t="shared" si="93"/>
        <v>0.44164398164893115</v>
      </c>
      <c r="CV13" s="370">
        <f>CV14</f>
        <v>39.1</v>
      </c>
      <c r="CW13" s="370">
        <f>CW14</f>
        <v>0.31159999999999999</v>
      </c>
      <c r="CX13" s="43">
        <f t="shared" ref="CX13:CX21" si="120">CV13*CW13/100</f>
        <v>0.1218356</v>
      </c>
      <c r="CY13" s="42">
        <v>383183</v>
      </c>
      <c r="CZ13" s="42">
        <f t="shared" si="94"/>
        <v>191591.5</v>
      </c>
      <c r="DA13" s="42">
        <v>1753</v>
      </c>
      <c r="DB13" s="36">
        <f t="shared" si="95"/>
        <v>0.91496752204560228</v>
      </c>
      <c r="DC13">
        <v>51.1</v>
      </c>
      <c r="DD13">
        <v>0.28639999999999999</v>
      </c>
      <c r="DE13" s="43">
        <f t="shared" ref="DE13:DE21" si="121">DC13*DD13/100</f>
        <v>0.14635039999999999</v>
      </c>
      <c r="DF13" s="42">
        <v>313834</v>
      </c>
      <c r="DG13" s="42">
        <f t="shared" si="96"/>
        <v>156917</v>
      </c>
      <c r="DH13" s="42">
        <v>938</v>
      </c>
      <c r="DI13" s="36">
        <f t="shared" si="97"/>
        <v>0.59776824690760089</v>
      </c>
      <c r="DJ13">
        <v>69.400000000000006</v>
      </c>
      <c r="DK13">
        <v>0.26850000000000002</v>
      </c>
      <c r="DL13" s="43">
        <f t="shared" ref="DL13:DL20" si="122">DJ13*DK13/100</f>
        <v>0.18633900000000003</v>
      </c>
      <c r="DM13" s="42">
        <v>2960841</v>
      </c>
      <c r="DN13" s="42">
        <f t="shared" si="98"/>
        <v>1480420.5</v>
      </c>
      <c r="DO13" s="42">
        <v>15186</v>
      </c>
      <c r="DP13" s="36">
        <f t="shared" si="99"/>
        <v>1.0257896320673754</v>
      </c>
      <c r="DQ13">
        <v>59.7</v>
      </c>
      <c r="DR13">
        <v>0.33810000000000001</v>
      </c>
      <c r="DS13" s="43">
        <f t="shared" ref="DS13:DS20" si="123">DQ13*DR13/100</f>
        <v>0.20184570000000002</v>
      </c>
      <c r="DT13" s="42">
        <v>4113503</v>
      </c>
      <c r="DU13" s="42">
        <f t="shared" si="100"/>
        <v>2056751.5</v>
      </c>
      <c r="DV13" s="42">
        <v>18589</v>
      </c>
      <c r="DW13" s="36">
        <f t="shared" si="101"/>
        <v>0.90380388685750312</v>
      </c>
      <c r="DX13">
        <v>49.7</v>
      </c>
      <c r="DY13">
        <v>0.39179999999999998</v>
      </c>
      <c r="DZ13" s="43">
        <f t="shared" ref="DZ13:DZ21" si="124">DX13*DY13/100</f>
        <v>0.19472460000000003</v>
      </c>
      <c r="EA13" s="42">
        <v>488953</v>
      </c>
      <c r="EB13" s="42">
        <f t="shared" si="102"/>
        <v>244476.5</v>
      </c>
      <c r="EC13" s="42">
        <v>1941</v>
      </c>
      <c r="ED13" s="36">
        <f t="shared" si="103"/>
        <v>0.79394133996519101</v>
      </c>
      <c r="EE13">
        <v>89.4</v>
      </c>
      <c r="EF13">
        <v>0.36090000000000005</v>
      </c>
      <c r="EG13" s="43">
        <f t="shared" ref="EG13:EG20" si="125">EE13*EF13/100</f>
        <v>0.32264460000000006</v>
      </c>
      <c r="EH13" s="42">
        <v>439963</v>
      </c>
      <c r="EI13" s="42">
        <f t="shared" si="104"/>
        <v>219981.5</v>
      </c>
      <c r="EJ13" s="42">
        <v>1207</v>
      </c>
      <c r="EK13" s="36">
        <f t="shared" si="105"/>
        <v>0.54868250284683029</v>
      </c>
      <c r="EL13">
        <v>38.299999999999997</v>
      </c>
      <c r="EM13">
        <v>0.19870000000000002</v>
      </c>
      <c r="EN13" s="43">
        <f t="shared" ref="EN13:EN30" si="126">EL13*EM13/100</f>
        <v>7.6102100000000006E-2</v>
      </c>
      <c r="EO13" s="42">
        <v>878696</v>
      </c>
      <c r="EP13" s="42">
        <f t="shared" si="106"/>
        <v>439348</v>
      </c>
      <c r="EQ13" s="42">
        <v>5697</v>
      </c>
      <c r="ER13" s="36">
        <f t="shared" si="107"/>
        <v>1.2966941923031401</v>
      </c>
      <c r="ES13">
        <v>37.799999999999997</v>
      </c>
      <c r="ET13">
        <v>0.32650000000000001</v>
      </c>
      <c r="EU13" s="43">
        <f t="shared" ref="EU13:EU21" si="127">ES13*ET13/100</f>
        <v>0.123417</v>
      </c>
      <c r="EV13" s="42">
        <v>1244123</v>
      </c>
      <c r="EW13" s="42">
        <f t="shared" si="108"/>
        <v>622061.5</v>
      </c>
      <c r="EX13" s="42">
        <v>8231</v>
      </c>
      <c r="EY13" s="36">
        <f t="shared" si="109"/>
        <v>1.3231810681098251</v>
      </c>
      <c r="EZ13">
        <v>55.3</v>
      </c>
      <c r="FA13">
        <v>0.27449999999999997</v>
      </c>
      <c r="FB13" s="43">
        <f t="shared" ref="FB13:FB23" si="128">EZ13*FA13/100</f>
        <v>0.15179849999999998</v>
      </c>
    </row>
    <row r="14" spans="1:159" hidden="1">
      <c r="A14" s="32">
        <v>1977</v>
      </c>
      <c r="B14" s="42">
        <v>11340225</v>
      </c>
      <c r="C14" s="42">
        <f t="shared" si="66"/>
        <v>5670112.5</v>
      </c>
      <c r="D14" s="42">
        <v>55370</v>
      </c>
      <c r="E14" s="36">
        <f t="shared" si="67"/>
        <v>0.97652383440363832</v>
      </c>
      <c r="F14" s="13">
        <v>48.2</v>
      </c>
      <c r="G14" s="13">
        <v>0.40369999999999995</v>
      </c>
      <c r="H14" s="43">
        <f t="shared" si="110"/>
        <v>0.19458339999999999</v>
      </c>
      <c r="I14" s="42">
        <v>244191</v>
      </c>
      <c r="J14" s="42">
        <f t="shared" si="68"/>
        <v>122095.5</v>
      </c>
      <c r="K14" s="42">
        <v>456</v>
      </c>
      <c r="L14" s="36">
        <f t="shared" si="69"/>
        <v>0.37347813801491458</v>
      </c>
      <c r="M14" s="13">
        <v>53.1</v>
      </c>
      <c r="N14" s="13">
        <v>0.43459999999999999</v>
      </c>
      <c r="O14" s="43">
        <f t="shared" si="111"/>
        <v>0.23077259999999999</v>
      </c>
      <c r="P14" s="42">
        <v>53592</v>
      </c>
      <c r="Q14" s="42">
        <f t="shared" si="70"/>
        <v>26796</v>
      </c>
      <c r="R14" s="42">
        <v>136</v>
      </c>
      <c r="S14" s="36">
        <f t="shared" si="71"/>
        <v>0.50753843857292125</v>
      </c>
      <c r="T14" s="13">
        <v>46.2</v>
      </c>
      <c r="U14" s="13">
        <v>0.376</v>
      </c>
      <c r="V14" s="43">
        <f t="shared" ref="V14:V16" si="129">T14*U14/100</f>
        <v>0.17371200000000001</v>
      </c>
      <c r="W14" s="42">
        <v>388028</v>
      </c>
      <c r="X14" s="42">
        <f t="shared" si="72"/>
        <v>194014</v>
      </c>
      <c r="Y14" s="42">
        <v>1802</v>
      </c>
      <c r="Z14" s="36">
        <f t="shared" si="73"/>
        <v>0.92879895265290136</v>
      </c>
      <c r="AA14" s="13">
        <v>42.8</v>
      </c>
      <c r="AB14" s="13">
        <v>0.37020000000000003</v>
      </c>
      <c r="AC14" s="43">
        <f t="shared" si="112"/>
        <v>0.15844559999999999</v>
      </c>
      <c r="AD14" s="42">
        <v>318945</v>
      </c>
      <c r="AE14" s="42">
        <f t="shared" si="74"/>
        <v>159472.5</v>
      </c>
      <c r="AF14" s="42">
        <v>961</v>
      </c>
      <c r="AG14" s="36">
        <f t="shared" si="75"/>
        <v>0.60261173556569314</v>
      </c>
      <c r="AH14" s="13">
        <v>53.5</v>
      </c>
      <c r="AI14" s="13">
        <v>0.39990000000000003</v>
      </c>
      <c r="AJ14" s="43">
        <f t="shared" si="113"/>
        <v>0.21394650000000001</v>
      </c>
      <c r="AK14" s="42">
        <v>2999724</v>
      </c>
      <c r="AL14" s="42">
        <f t="shared" si="76"/>
        <v>1499862</v>
      </c>
      <c r="AM14" s="42">
        <v>14501</v>
      </c>
      <c r="AN14" s="36">
        <f t="shared" si="77"/>
        <v>0.96682228098318379</v>
      </c>
      <c r="AO14" s="13">
        <v>53.2</v>
      </c>
      <c r="AP14" s="13">
        <v>0.35369999999999996</v>
      </c>
      <c r="AQ14" s="43">
        <f t="shared" si="114"/>
        <v>0.18816839999999999</v>
      </c>
      <c r="AR14" s="42">
        <v>4176662</v>
      </c>
      <c r="AS14" s="42">
        <f t="shared" si="78"/>
        <v>2088331</v>
      </c>
      <c r="AT14" s="42">
        <v>19735</v>
      </c>
      <c r="AU14" s="36">
        <f t="shared" si="79"/>
        <v>0.94501302714943181</v>
      </c>
      <c r="AV14" s="13">
        <v>50.9</v>
      </c>
      <c r="AW14" s="13">
        <v>0.41159999999999997</v>
      </c>
      <c r="AX14" s="43">
        <f t="shared" si="115"/>
        <v>0.20950439999999998</v>
      </c>
      <c r="AY14" s="42">
        <v>494343</v>
      </c>
      <c r="AZ14" s="42">
        <f t="shared" si="80"/>
        <v>247171.5</v>
      </c>
      <c r="BA14" s="42">
        <v>2085</v>
      </c>
      <c r="BB14" s="36">
        <f t="shared" si="81"/>
        <v>0.84354385517747799</v>
      </c>
      <c r="BC14" s="13">
        <v>45.3</v>
      </c>
      <c r="BD14" s="13">
        <v>0.43560000000000004</v>
      </c>
      <c r="BE14" s="43">
        <f t="shared" si="116"/>
        <v>0.19732680000000002</v>
      </c>
      <c r="BF14" s="42">
        <v>448605</v>
      </c>
      <c r="BG14" s="42">
        <f t="shared" si="82"/>
        <v>224302.5</v>
      </c>
      <c r="BH14" s="42">
        <v>1474</v>
      </c>
      <c r="BI14" s="36">
        <f t="shared" si="83"/>
        <v>0.65714827075043747</v>
      </c>
      <c r="BJ14" s="13">
        <v>45.6</v>
      </c>
      <c r="BK14" s="13">
        <v>0.39710000000000001</v>
      </c>
      <c r="BL14" s="43">
        <f t="shared" si="117"/>
        <v>0.18107760000000003</v>
      </c>
      <c r="BM14" s="42">
        <v>919525</v>
      </c>
      <c r="BN14" s="42">
        <f t="shared" si="84"/>
        <v>459762.5</v>
      </c>
      <c r="BO14" s="42">
        <v>5843</v>
      </c>
      <c r="BP14" s="36">
        <f t="shared" si="85"/>
        <v>1.2708735488431526</v>
      </c>
      <c r="BQ14" s="13">
        <v>38.5</v>
      </c>
      <c r="BR14" s="13">
        <v>0.51270000000000004</v>
      </c>
      <c r="BS14" s="43">
        <f t="shared" si="118"/>
        <v>0.19738950000000002</v>
      </c>
      <c r="BT14" s="42">
        <v>1269308</v>
      </c>
      <c r="BU14" s="42">
        <f t="shared" si="86"/>
        <v>634654</v>
      </c>
      <c r="BV14" s="42">
        <v>8251</v>
      </c>
      <c r="BW14" s="36">
        <f t="shared" si="87"/>
        <v>1.3000784679526167</v>
      </c>
      <c r="BX14" s="13">
        <v>32.700000000000003</v>
      </c>
      <c r="BY14" s="13">
        <v>0.4869</v>
      </c>
      <c r="BZ14" s="43">
        <f t="shared" si="119"/>
        <v>0.15921630000000003</v>
      </c>
      <c r="CC14" s="32">
        <v>1977</v>
      </c>
      <c r="CD14" s="42">
        <v>11340225</v>
      </c>
      <c r="CE14" s="42">
        <f t="shared" si="88"/>
        <v>5670112.5</v>
      </c>
      <c r="CF14" s="42">
        <v>55370</v>
      </c>
      <c r="CG14" s="36">
        <f t="shared" si="89"/>
        <v>0.97652383440363832</v>
      </c>
      <c r="CH14">
        <v>49.5</v>
      </c>
      <c r="CI14">
        <v>0.40130000000000005</v>
      </c>
      <c r="CJ14" s="43">
        <f t="shared" si="35"/>
        <v>0.19864350000000003</v>
      </c>
      <c r="CK14" s="42">
        <v>244191</v>
      </c>
      <c r="CL14" s="42">
        <f t="shared" si="90"/>
        <v>122095.5</v>
      </c>
      <c r="CM14" s="42">
        <v>456</v>
      </c>
      <c r="CN14" s="36">
        <f t="shared" si="91"/>
        <v>0.37347813801491458</v>
      </c>
      <c r="CO14">
        <v>46.9</v>
      </c>
      <c r="CP14">
        <v>0.4294</v>
      </c>
      <c r="CQ14" s="43">
        <f t="shared" si="38"/>
        <v>0.2013886</v>
      </c>
      <c r="CR14" s="42">
        <v>53592</v>
      </c>
      <c r="CS14" s="42">
        <f t="shared" si="92"/>
        <v>26796</v>
      </c>
      <c r="CT14" s="42">
        <v>136</v>
      </c>
      <c r="CU14" s="36">
        <f t="shared" si="93"/>
        <v>0.50753843857292125</v>
      </c>
      <c r="CV14">
        <v>39.1</v>
      </c>
      <c r="CW14">
        <v>0.31159999999999999</v>
      </c>
      <c r="CX14" s="43">
        <f t="shared" si="120"/>
        <v>0.1218356</v>
      </c>
      <c r="CY14" s="42">
        <v>388028</v>
      </c>
      <c r="CZ14" s="42">
        <f t="shared" si="94"/>
        <v>194014</v>
      </c>
      <c r="DA14" s="42">
        <v>1802</v>
      </c>
      <c r="DB14" s="36">
        <f t="shared" si="95"/>
        <v>0.92879895265290136</v>
      </c>
      <c r="DC14">
        <v>43.1</v>
      </c>
      <c r="DD14">
        <v>0.32329999999999998</v>
      </c>
      <c r="DE14" s="43">
        <f t="shared" si="121"/>
        <v>0.1393423</v>
      </c>
      <c r="DF14" s="42">
        <v>318945</v>
      </c>
      <c r="DG14" s="42">
        <f t="shared" si="96"/>
        <v>159472.5</v>
      </c>
      <c r="DH14" s="42">
        <v>961</v>
      </c>
      <c r="DI14" s="36">
        <f t="shared" si="97"/>
        <v>0.60261173556569314</v>
      </c>
      <c r="DJ14">
        <v>48.4</v>
      </c>
      <c r="DK14">
        <v>0.36780000000000002</v>
      </c>
      <c r="DL14" s="43">
        <f t="shared" si="122"/>
        <v>0.17801520000000001</v>
      </c>
      <c r="DM14" s="42">
        <v>2999724</v>
      </c>
      <c r="DN14" s="42">
        <f t="shared" si="98"/>
        <v>1499862</v>
      </c>
      <c r="DO14" s="42">
        <v>14501</v>
      </c>
      <c r="DP14" s="36">
        <f t="shared" si="99"/>
        <v>0.96682228098318379</v>
      </c>
      <c r="DQ14">
        <v>53.6</v>
      </c>
      <c r="DR14">
        <v>0.36219999999999997</v>
      </c>
      <c r="DS14" s="43">
        <f t="shared" si="123"/>
        <v>0.19413919999999998</v>
      </c>
      <c r="DT14" s="42">
        <v>4176662</v>
      </c>
      <c r="DU14" s="42">
        <f t="shared" si="100"/>
        <v>2088331</v>
      </c>
      <c r="DV14" s="42">
        <v>19735</v>
      </c>
      <c r="DW14" s="36">
        <f t="shared" si="101"/>
        <v>0.94501302714943181</v>
      </c>
      <c r="DX14">
        <v>52.9</v>
      </c>
      <c r="DY14">
        <v>0.41320000000000001</v>
      </c>
      <c r="DZ14" s="43">
        <f t="shared" si="124"/>
        <v>0.21858279999999999</v>
      </c>
      <c r="EA14" s="42">
        <v>494343</v>
      </c>
      <c r="EB14" s="42">
        <f t="shared" si="102"/>
        <v>247171.5</v>
      </c>
      <c r="EC14" s="42">
        <v>2085</v>
      </c>
      <c r="ED14" s="36">
        <f t="shared" si="103"/>
        <v>0.84354385517747799</v>
      </c>
      <c r="EE14">
        <v>46.7</v>
      </c>
      <c r="EF14">
        <v>0.46939999999999998</v>
      </c>
      <c r="EG14" s="43">
        <f t="shared" si="125"/>
        <v>0.21920980000000001</v>
      </c>
      <c r="EH14" s="42">
        <v>448605</v>
      </c>
      <c r="EI14" s="42">
        <f t="shared" si="104"/>
        <v>224302.5</v>
      </c>
      <c r="EJ14" s="42">
        <v>1474</v>
      </c>
      <c r="EK14" s="36">
        <f t="shared" si="105"/>
        <v>0.65714827075043747</v>
      </c>
      <c r="EL14">
        <v>43.3</v>
      </c>
      <c r="EM14">
        <v>0.40950000000000003</v>
      </c>
      <c r="EN14" s="43">
        <f t="shared" si="126"/>
        <v>0.17731349999999999</v>
      </c>
      <c r="EO14" s="42">
        <v>919525</v>
      </c>
      <c r="EP14" s="42">
        <f t="shared" si="106"/>
        <v>459762.5</v>
      </c>
      <c r="EQ14" s="42">
        <v>5843</v>
      </c>
      <c r="ER14" s="36">
        <f t="shared" si="107"/>
        <v>1.2708735488431526</v>
      </c>
      <c r="ES14">
        <v>40.299999999999997</v>
      </c>
      <c r="ET14">
        <v>0.4914</v>
      </c>
      <c r="EU14" s="43">
        <f t="shared" si="127"/>
        <v>0.19803419999999999</v>
      </c>
      <c r="EV14" s="42">
        <v>1269308</v>
      </c>
      <c r="EW14" s="42">
        <f t="shared" si="108"/>
        <v>634654</v>
      </c>
      <c r="EX14" s="42">
        <v>8251</v>
      </c>
      <c r="EY14" s="36">
        <f t="shared" si="109"/>
        <v>1.3000784679526167</v>
      </c>
      <c r="EZ14">
        <v>38</v>
      </c>
      <c r="FA14">
        <v>0.42950000000000005</v>
      </c>
      <c r="FB14" s="43">
        <f t="shared" si="128"/>
        <v>0.16321000000000002</v>
      </c>
    </row>
    <row r="15" spans="1:159" hidden="1">
      <c r="A15" s="32">
        <v>1978</v>
      </c>
      <c r="B15" s="42">
        <v>11521214</v>
      </c>
      <c r="C15" s="42">
        <f t="shared" si="66"/>
        <v>5760607</v>
      </c>
      <c r="D15" s="42">
        <v>57155</v>
      </c>
      <c r="E15" s="36">
        <f t="shared" si="67"/>
        <v>0.99216974877821029</v>
      </c>
      <c r="F15" s="13">
        <v>44.7</v>
      </c>
      <c r="G15" s="13">
        <v>0.3906</v>
      </c>
      <c r="H15" s="43">
        <f t="shared" si="110"/>
        <v>0.17459820000000001</v>
      </c>
      <c r="I15" s="42">
        <v>247303</v>
      </c>
      <c r="J15" s="42">
        <f t="shared" si="68"/>
        <v>123651.5</v>
      </c>
      <c r="K15" s="42">
        <v>427</v>
      </c>
      <c r="L15" s="36">
        <f t="shared" si="69"/>
        <v>0.34532537009255854</v>
      </c>
      <c r="M15" s="13">
        <v>62.2</v>
      </c>
      <c r="N15" s="13">
        <v>0.37390000000000001</v>
      </c>
      <c r="O15" s="43">
        <f t="shared" si="111"/>
        <v>0.23256580000000004</v>
      </c>
      <c r="P15" s="42">
        <v>54753</v>
      </c>
      <c r="Q15" s="42">
        <f t="shared" si="70"/>
        <v>27376.5</v>
      </c>
      <c r="R15" s="42">
        <v>135</v>
      </c>
      <c r="S15" s="36">
        <f t="shared" si="71"/>
        <v>0.49312366445674205</v>
      </c>
      <c r="T15" s="13"/>
      <c r="U15" s="13">
        <v>0</v>
      </c>
      <c r="V15" s="43"/>
      <c r="W15" s="42">
        <v>392870</v>
      </c>
      <c r="X15" s="42">
        <f t="shared" si="72"/>
        <v>196435</v>
      </c>
      <c r="Y15" s="42">
        <v>1960</v>
      </c>
      <c r="Z15" s="36">
        <f t="shared" si="73"/>
        <v>0.99778552701911571</v>
      </c>
      <c r="AA15" s="13">
        <v>43</v>
      </c>
      <c r="AB15" s="13">
        <v>0.40210000000000001</v>
      </c>
      <c r="AC15" s="43">
        <f t="shared" si="112"/>
        <v>0.17290300000000003</v>
      </c>
      <c r="AD15" s="42">
        <v>323151</v>
      </c>
      <c r="AE15" s="42">
        <f t="shared" si="74"/>
        <v>161575.5</v>
      </c>
      <c r="AF15" s="42">
        <v>1153</v>
      </c>
      <c r="AG15" s="36">
        <f t="shared" si="75"/>
        <v>0.71359828686898696</v>
      </c>
      <c r="AH15" s="13">
        <v>76.400000000000006</v>
      </c>
      <c r="AI15" s="13">
        <v>0.42420000000000002</v>
      </c>
      <c r="AJ15" s="43">
        <f t="shared" si="113"/>
        <v>0.32408880000000001</v>
      </c>
      <c r="AK15" s="42">
        <v>3024982</v>
      </c>
      <c r="AL15" s="42">
        <f t="shared" si="76"/>
        <v>1512491</v>
      </c>
      <c r="AM15" s="42">
        <v>14865</v>
      </c>
      <c r="AN15" s="36">
        <f t="shared" si="77"/>
        <v>0.98281576551529892</v>
      </c>
      <c r="AO15" s="13">
        <v>40.1</v>
      </c>
      <c r="AP15" s="13">
        <v>0.35780000000000001</v>
      </c>
      <c r="AQ15" s="43">
        <f t="shared" si="114"/>
        <v>0.14347779999999999</v>
      </c>
      <c r="AR15" s="42">
        <v>4238963</v>
      </c>
      <c r="AS15" s="42">
        <f t="shared" si="78"/>
        <v>2119481.5</v>
      </c>
      <c r="AT15" s="42">
        <v>20534</v>
      </c>
      <c r="AU15" s="36">
        <f t="shared" si="79"/>
        <v>0.96882185572273216</v>
      </c>
      <c r="AV15" s="13">
        <v>48.4</v>
      </c>
      <c r="AW15" s="13">
        <v>0.39799999999999996</v>
      </c>
      <c r="AX15" s="43">
        <f t="shared" si="115"/>
        <v>0.19263199999999997</v>
      </c>
      <c r="AY15" s="42">
        <v>498283</v>
      </c>
      <c r="AZ15" s="42">
        <f t="shared" si="80"/>
        <v>249141.5</v>
      </c>
      <c r="BA15" s="42">
        <v>2187</v>
      </c>
      <c r="BB15" s="36">
        <f t="shared" si="81"/>
        <v>0.87781441470008004</v>
      </c>
      <c r="BC15" s="13">
        <v>67.5</v>
      </c>
      <c r="BD15" s="13">
        <v>0.48780000000000001</v>
      </c>
      <c r="BE15" s="43">
        <f t="shared" si="116"/>
        <v>0.32926500000000003</v>
      </c>
      <c r="BF15" s="42">
        <v>454724</v>
      </c>
      <c r="BG15" s="42">
        <f t="shared" si="82"/>
        <v>227362</v>
      </c>
      <c r="BH15" s="42">
        <v>1428</v>
      </c>
      <c r="BI15" s="36">
        <f t="shared" si="83"/>
        <v>0.62807329281058399</v>
      </c>
      <c r="BJ15" s="13">
        <v>30.3</v>
      </c>
      <c r="BK15" s="13">
        <v>0</v>
      </c>
      <c r="BL15" s="43"/>
      <c r="BM15" s="42">
        <v>959509</v>
      </c>
      <c r="BN15" s="42">
        <f t="shared" si="84"/>
        <v>479754.5</v>
      </c>
      <c r="BO15" s="42">
        <v>6059</v>
      </c>
      <c r="BP15" s="36">
        <f t="shared" si="85"/>
        <v>1.2629376066300577</v>
      </c>
      <c r="BQ15" s="13">
        <v>50.4</v>
      </c>
      <c r="BR15" s="13">
        <v>0.3206</v>
      </c>
      <c r="BS15" s="43">
        <f t="shared" si="118"/>
        <v>0.16158239999999999</v>
      </c>
      <c r="BT15" s="42">
        <v>1298492</v>
      </c>
      <c r="BU15" s="42">
        <f t="shared" si="86"/>
        <v>649246</v>
      </c>
      <c r="BV15" s="42">
        <v>8265</v>
      </c>
      <c r="BW15" s="36">
        <f t="shared" si="87"/>
        <v>1.2730151591230443</v>
      </c>
      <c r="BX15" s="13">
        <v>26.2</v>
      </c>
      <c r="BY15" s="13">
        <v>0.4844</v>
      </c>
      <c r="BZ15" s="43">
        <f t="shared" si="119"/>
        <v>0.12691279999999999</v>
      </c>
      <c r="CC15" s="32">
        <v>1978</v>
      </c>
      <c r="CD15" s="42">
        <v>11521214</v>
      </c>
      <c r="CE15" s="42">
        <f t="shared" si="88"/>
        <v>5760607</v>
      </c>
      <c r="CF15" s="42">
        <v>57155</v>
      </c>
      <c r="CG15" s="36">
        <f t="shared" si="89"/>
        <v>0.99216974877821029</v>
      </c>
      <c r="CH15">
        <v>45.8</v>
      </c>
      <c r="CI15">
        <v>0.38069999999999998</v>
      </c>
      <c r="CJ15" s="43">
        <f t="shared" si="35"/>
        <v>0.17436059999999998</v>
      </c>
      <c r="CK15" s="42">
        <v>247303</v>
      </c>
      <c r="CL15" s="42">
        <f t="shared" si="90"/>
        <v>123651.5</v>
      </c>
      <c r="CM15" s="42">
        <v>427</v>
      </c>
      <c r="CN15" s="36">
        <f t="shared" si="91"/>
        <v>0.34532537009255854</v>
      </c>
      <c r="CO15">
        <v>47</v>
      </c>
      <c r="CP15">
        <v>0.39679999999999999</v>
      </c>
      <c r="CQ15" s="43">
        <f t="shared" si="38"/>
        <v>0.186496</v>
      </c>
      <c r="CR15" s="42">
        <v>54753</v>
      </c>
      <c r="CS15" s="42">
        <f t="shared" si="92"/>
        <v>27376.5</v>
      </c>
      <c r="CT15" s="42">
        <v>135</v>
      </c>
      <c r="CU15" s="36">
        <f t="shared" si="93"/>
        <v>0.49312366445674205</v>
      </c>
      <c r="CV15"/>
      <c r="CW15">
        <f>(CW14+CW16)/2</f>
        <v>0.38080000000000003</v>
      </c>
      <c r="CX15" s="43">
        <f t="shared" si="120"/>
        <v>0</v>
      </c>
      <c r="CY15" s="42">
        <v>392870</v>
      </c>
      <c r="CZ15" s="42">
        <f t="shared" si="94"/>
        <v>196435</v>
      </c>
      <c r="DA15" s="42">
        <v>1960</v>
      </c>
      <c r="DB15" s="36">
        <f t="shared" si="95"/>
        <v>0.99778552701911571</v>
      </c>
      <c r="DC15">
        <v>39.799999999999997</v>
      </c>
      <c r="DD15">
        <v>0.33090000000000003</v>
      </c>
      <c r="DE15" s="43">
        <f t="shared" si="121"/>
        <v>0.13169819999999999</v>
      </c>
      <c r="DF15" s="42">
        <v>323151</v>
      </c>
      <c r="DG15" s="42">
        <f t="shared" si="96"/>
        <v>161575.5</v>
      </c>
      <c r="DH15" s="42">
        <v>1153</v>
      </c>
      <c r="DI15" s="36">
        <f t="shared" si="97"/>
        <v>0.71359828686898696</v>
      </c>
      <c r="DJ15">
        <v>77.8</v>
      </c>
      <c r="DK15">
        <v>0.4546</v>
      </c>
      <c r="DL15" s="43">
        <f t="shared" si="122"/>
        <v>0.35367880000000002</v>
      </c>
      <c r="DM15" s="42">
        <v>3024982</v>
      </c>
      <c r="DN15" s="42">
        <f t="shared" si="98"/>
        <v>1512491</v>
      </c>
      <c r="DO15" s="42">
        <v>14865</v>
      </c>
      <c r="DP15" s="36">
        <f t="shared" si="99"/>
        <v>0.98281576551529892</v>
      </c>
      <c r="DQ15">
        <v>42.2</v>
      </c>
      <c r="DR15">
        <v>0.34259999999999996</v>
      </c>
      <c r="DS15" s="43">
        <f t="shared" si="123"/>
        <v>0.14457719999999999</v>
      </c>
      <c r="DT15" s="42">
        <v>4238963</v>
      </c>
      <c r="DU15" s="42">
        <f t="shared" si="100"/>
        <v>2119481.5</v>
      </c>
      <c r="DV15" s="42">
        <v>20534</v>
      </c>
      <c r="DW15" s="36">
        <f t="shared" si="101"/>
        <v>0.96882185572273216</v>
      </c>
      <c r="DX15">
        <v>49.2</v>
      </c>
      <c r="DY15">
        <v>0.38240000000000002</v>
      </c>
      <c r="DZ15" s="43">
        <f t="shared" si="124"/>
        <v>0.1881408</v>
      </c>
      <c r="EA15" s="42">
        <v>498283</v>
      </c>
      <c r="EB15" s="42">
        <f t="shared" si="102"/>
        <v>249141.5</v>
      </c>
      <c r="EC15" s="42">
        <v>2187</v>
      </c>
      <c r="ED15" s="36">
        <f t="shared" si="103"/>
        <v>0.87781441470008004</v>
      </c>
      <c r="EE15">
        <v>70.7</v>
      </c>
      <c r="EF15">
        <v>0.53139999999999998</v>
      </c>
      <c r="EG15" s="43">
        <f t="shared" si="125"/>
        <v>0.37569980000000003</v>
      </c>
      <c r="EH15" s="42">
        <v>454724</v>
      </c>
      <c r="EI15" s="42">
        <f t="shared" si="104"/>
        <v>227362</v>
      </c>
      <c r="EJ15" s="42">
        <v>1428</v>
      </c>
      <c r="EK15" s="36">
        <f t="shared" si="105"/>
        <v>0.62807329281058399</v>
      </c>
      <c r="EL15">
        <v>29.8</v>
      </c>
      <c r="EM15">
        <f>(EM14+EM16)/2</f>
        <v>0.41089999999999999</v>
      </c>
      <c r="EN15" s="43">
        <f t="shared" si="126"/>
        <v>0.12244820000000001</v>
      </c>
      <c r="EO15" s="42">
        <v>959509</v>
      </c>
      <c r="EP15" s="42">
        <f t="shared" si="106"/>
        <v>479754.5</v>
      </c>
      <c r="EQ15" s="42">
        <v>6059</v>
      </c>
      <c r="ER15" s="36">
        <f t="shared" si="107"/>
        <v>1.2629376066300577</v>
      </c>
      <c r="ES15">
        <v>44.1</v>
      </c>
      <c r="ET15">
        <v>0.3125</v>
      </c>
      <c r="EU15" s="43">
        <f t="shared" si="127"/>
        <v>0.1378125</v>
      </c>
      <c r="EV15" s="42">
        <v>1298492</v>
      </c>
      <c r="EW15" s="42">
        <f t="shared" si="108"/>
        <v>649246</v>
      </c>
      <c r="EX15" s="42">
        <v>8265</v>
      </c>
      <c r="EY15" s="36">
        <f t="shared" si="109"/>
        <v>1.2730151591230443</v>
      </c>
      <c r="EZ15">
        <v>33.5</v>
      </c>
      <c r="FA15">
        <v>0.4143</v>
      </c>
      <c r="FB15" s="43">
        <f t="shared" si="128"/>
        <v>0.13879049999999998</v>
      </c>
    </row>
    <row r="16" spans="1:159" hidden="1">
      <c r="A16" s="32">
        <v>1979</v>
      </c>
      <c r="B16" s="42">
        <v>11703885</v>
      </c>
      <c r="C16" s="42">
        <f t="shared" si="66"/>
        <v>5851942.5</v>
      </c>
      <c r="D16" s="42">
        <v>59474</v>
      </c>
      <c r="E16" s="36">
        <f t="shared" si="67"/>
        <v>1.0163121049121724</v>
      </c>
      <c r="F16" s="13">
        <v>47.4</v>
      </c>
      <c r="G16" s="13">
        <v>0.42149999999999999</v>
      </c>
      <c r="H16" s="43">
        <f t="shared" si="110"/>
        <v>0.199791</v>
      </c>
      <c r="I16" s="42">
        <v>250606</v>
      </c>
      <c r="J16" s="42">
        <f t="shared" si="68"/>
        <v>125303</v>
      </c>
      <c r="K16" s="42">
        <v>483</v>
      </c>
      <c r="L16" s="36">
        <f t="shared" si="69"/>
        <v>0.38546563130970529</v>
      </c>
      <c r="M16" s="13">
        <v>67.7</v>
      </c>
      <c r="N16" s="13">
        <v>0.49609999999999999</v>
      </c>
      <c r="O16" s="43">
        <f t="shared" si="111"/>
        <v>0.33585970000000004</v>
      </c>
      <c r="P16" s="42">
        <v>55696</v>
      </c>
      <c r="Q16" s="42">
        <f t="shared" si="70"/>
        <v>27848</v>
      </c>
      <c r="R16" s="42">
        <v>144</v>
      </c>
      <c r="S16" s="36">
        <f t="shared" si="71"/>
        <v>0.51709278942832526</v>
      </c>
      <c r="T16" s="13">
        <v>47.1</v>
      </c>
      <c r="U16" s="13">
        <v>0.45549999999999996</v>
      </c>
      <c r="V16" s="43">
        <f t="shared" si="129"/>
        <v>0.2145405</v>
      </c>
      <c r="W16" s="42">
        <v>397579</v>
      </c>
      <c r="X16" s="42">
        <f t="shared" si="72"/>
        <v>198789.5</v>
      </c>
      <c r="Y16" s="42">
        <v>2275</v>
      </c>
      <c r="Z16" s="36">
        <f t="shared" si="73"/>
        <v>1.1444266422522316</v>
      </c>
      <c r="AA16" s="13">
        <v>54.2</v>
      </c>
      <c r="AB16" s="13">
        <v>0.42299999999999999</v>
      </c>
      <c r="AC16" s="43">
        <f t="shared" si="112"/>
        <v>0.229266</v>
      </c>
      <c r="AD16" s="42">
        <v>327450</v>
      </c>
      <c r="AE16" s="42">
        <f t="shared" si="74"/>
        <v>163725</v>
      </c>
      <c r="AF16" s="42">
        <v>1223</v>
      </c>
      <c r="AG16" s="36">
        <f t="shared" si="75"/>
        <v>0.74698427240800125</v>
      </c>
      <c r="AH16" s="13">
        <v>60.9</v>
      </c>
      <c r="AI16" s="13">
        <v>0.41759999999999997</v>
      </c>
      <c r="AJ16" s="43">
        <f t="shared" si="113"/>
        <v>0.2543184</v>
      </c>
      <c r="AK16" s="42">
        <v>3057416</v>
      </c>
      <c r="AL16" s="42">
        <f t="shared" si="76"/>
        <v>1528708</v>
      </c>
      <c r="AM16" s="42">
        <v>14379</v>
      </c>
      <c r="AN16" s="36">
        <f t="shared" si="77"/>
        <v>0.94059820449686926</v>
      </c>
      <c r="AO16" s="13">
        <v>51.7</v>
      </c>
      <c r="AP16" s="13">
        <v>0.38329999999999997</v>
      </c>
      <c r="AQ16" s="43">
        <f t="shared" si="114"/>
        <v>0.19816610000000001</v>
      </c>
      <c r="AR16" s="42">
        <v>4295258</v>
      </c>
      <c r="AS16" s="42">
        <f t="shared" si="78"/>
        <v>2147629</v>
      </c>
      <c r="AT16" s="42">
        <v>21793</v>
      </c>
      <c r="AU16" s="36">
        <f t="shared" si="79"/>
        <v>1.0147469604852606</v>
      </c>
      <c r="AV16" s="13">
        <v>47.4</v>
      </c>
      <c r="AW16" s="13">
        <v>0.433</v>
      </c>
      <c r="AX16" s="43">
        <f t="shared" si="115"/>
        <v>0.20524200000000001</v>
      </c>
      <c r="AY16" s="42">
        <v>499071</v>
      </c>
      <c r="AZ16" s="42">
        <f t="shared" si="80"/>
        <v>249535.5</v>
      </c>
      <c r="BA16" s="42">
        <v>2152</v>
      </c>
      <c r="BB16" s="36">
        <f t="shared" si="81"/>
        <v>0.86240234355432399</v>
      </c>
      <c r="BC16" s="13">
        <v>53.3</v>
      </c>
      <c r="BD16" s="13">
        <v>0.44969999999999999</v>
      </c>
      <c r="BE16" s="43">
        <f t="shared" si="116"/>
        <v>0.23969009999999996</v>
      </c>
      <c r="BF16" s="42">
        <v>460911</v>
      </c>
      <c r="BG16" s="42">
        <f t="shared" si="82"/>
        <v>230455.5</v>
      </c>
      <c r="BH16" s="42">
        <v>1528</v>
      </c>
      <c r="BI16" s="36">
        <f t="shared" si="83"/>
        <v>0.6630347290474734</v>
      </c>
      <c r="BJ16" s="13">
        <v>43.4</v>
      </c>
      <c r="BK16" s="13">
        <v>0.43119999999999997</v>
      </c>
      <c r="BL16" s="43">
        <f t="shared" si="117"/>
        <v>0.1871408</v>
      </c>
      <c r="BM16" s="42">
        <v>1000646</v>
      </c>
      <c r="BN16" s="42">
        <f t="shared" si="84"/>
        <v>500323</v>
      </c>
      <c r="BO16" s="42">
        <v>6531</v>
      </c>
      <c r="BP16" s="36">
        <f t="shared" si="85"/>
        <v>1.3053567395462531</v>
      </c>
      <c r="BQ16" s="13">
        <v>43.7</v>
      </c>
      <c r="BR16" s="13">
        <v>0.4017</v>
      </c>
      <c r="BS16" s="43">
        <f t="shared" si="118"/>
        <v>0.17554290000000003</v>
      </c>
      <c r="BT16" s="42">
        <v>1330594</v>
      </c>
      <c r="BU16" s="42">
        <f t="shared" si="86"/>
        <v>665297</v>
      </c>
      <c r="BV16" s="42">
        <v>8826</v>
      </c>
      <c r="BW16" s="36">
        <f t="shared" si="87"/>
        <v>1.3266255521969887</v>
      </c>
      <c r="BX16" s="13">
        <v>32.9</v>
      </c>
      <c r="BY16" s="13">
        <v>0.49570000000000003</v>
      </c>
      <c r="BZ16" s="43">
        <f t="shared" si="119"/>
        <v>0.16308530000000002</v>
      </c>
      <c r="CC16" s="32">
        <v>1979</v>
      </c>
      <c r="CD16" s="42">
        <v>11703885</v>
      </c>
      <c r="CE16" s="42">
        <f t="shared" si="88"/>
        <v>5851942.5</v>
      </c>
      <c r="CF16" s="42">
        <v>59474</v>
      </c>
      <c r="CG16" s="36">
        <f t="shared" si="89"/>
        <v>1.0163121049121724</v>
      </c>
      <c r="CH16">
        <v>47</v>
      </c>
      <c r="CI16">
        <v>0.42430000000000001</v>
      </c>
      <c r="CJ16" s="43">
        <f t="shared" si="35"/>
        <v>0.19942099999999999</v>
      </c>
      <c r="CK16" s="42">
        <v>250606</v>
      </c>
      <c r="CL16" s="42">
        <f t="shared" si="90"/>
        <v>125303</v>
      </c>
      <c r="CM16" s="42">
        <v>483</v>
      </c>
      <c r="CN16" s="36">
        <f t="shared" si="91"/>
        <v>0.38546563130970529</v>
      </c>
      <c r="CO16">
        <v>68.900000000000006</v>
      </c>
      <c r="CP16">
        <v>0.47270000000000001</v>
      </c>
      <c r="CQ16" s="43">
        <f t="shared" si="38"/>
        <v>0.32569030000000004</v>
      </c>
      <c r="CR16" s="42">
        <v>55696</v>
      </c>
      <c r="CS16" s="42">
        <f t="shared" si="92"/>
        <v>27848</v>
      </c>
      <c r="CT16" s="42">
        <v>144</v>
      </c>
      <c r="CU16" s="36">
        <f t="shared" si="93"/>
        <v>0.51709278942832526</v>
      </c>
      <c r="CV16">
        <v>39.4</v>
      </c>
      <c r="CW16">
        <v>0.45</v>
      </c>
      <c r="CX16" s="43">
        <f t="shared" si="120"/>
        <v>0.17730000000000001</v>
      </c>
      <c r="CY16" s="42">
        <v>397579</v>
      </c>
      <c r="CZ16" s="42">
        <f t="shared" si="94"/>
        <v>198789.5</v>
      </c>
      <c r="DA16" s="42">
        <v>2275</v>
      </c>
      <c r="DB16" s="36">
        <f t="shared" si="95"/>
        <v>1.1444266422522316</v>
      </c>
      <c r="DC16">
        <v>43.7</v>
      </c>
      <c r="DD16">
        <v>0.42310000000000003</v>
      </c>
      <c r="DE16" s="43">
        <f t="shared" si="121"/>
        <v>0.18489470000000005</v>
      </c>
      <c r="DF16" s="42">
        <v>327450</v>
      </c>
      <c r="DG16" s="42">
        <f t="shared" si="96"/>
        <v>163725</v>
      </c>
      <c r="DH16" s="42">
        <v>1223</v>
      </c>
      <c r="DI16" s="36">
        <f t="shared" si="97"/>
        <v>0.74698427240800125</v>
      </c>
      <c r="DJ16">
        <v>60.6</v>
      </c>
      <c r="DK16">
        <v>0.36119999999999997</v>
      </c>
      <c r="DL16" s="43">
        <f t="shared" si="122"/>
        <v>0.2188872</v>
      </c>
      <c r="DM16" s="42">
        <v>3057416</v>
      </c>
      <c r="DN16" s="42">
        <f t="shared" si="98"/>
        <v>1528708</v>
      </c>
      <c r="DO16" s="42">
        <v>14379</v>
      </c>
      <c r="DP16" s="36">
        <f t="shared" si="99"/>
        <v>0.94059820449686926</v>
      </c>
      <c r="DQ16">
        <v>50.8</v>
      </c>
      <c r="DR16">
        <v>0.37409999999999999</v>
      </c>
      <c r="DS16" s="43">
        <f t="shared" si="123"/>
        <v>0.19004279999999998</v>
      </c>
      <c r="DT16" s="42">
        <v>4295258</v>
      </c>
      <c r="DU16" s="42">
        <f t="shared" si="100"/>
        <v>2147629</v>
      </c>
      <c r="DV16" s="42">
        <v>21793</v>
      </c>
      <c r="DW16" s="36">
        <f t="shared" si="101"/>
        <v>1.0147469604852606</v>
      </c>
      <c r="DX16">
        <v>47.7</v>
      </c>
      <c r="DY16">
        <v>0.43579999999999997</v>
      </c>
      <c r="DZ16" s="43">
        <f t="shared" si="124"/>
        <v>0.20787659999999999</v>
      </c>
      <c r="EA16" s="42">
        <v>499071</v>
      </c>
      <c r="EB16" s="42">
        <f t="shared" si="102"/>
        <v>249535.5</v>
      </c>
      <c r="EC16" s="42">
        <v>2152</v>
      </c>
      <c r="ED16" s="36">
        <f t="shared" si="103"/>
        <v>0.86240234355432399</v>
      </c>
      <c r="EE16">
        <v>58.1</v>
      </c>
      <c r="EF16">
        <v>0.43709999999999999</v>
      </c>
      <c r="EG16" s="43">
        <f t="shared" si="125"/>
        <v>0.25395509999999999</v>
      </c>
      <c r="EH16" s="42">
        <v>460911</v>
      </c>
      <c r="EI16" s="42">
        <f t="shared" si="104"/>
        <v>230455.5</v>
      </c>
      <c r="EJ16" s="42">
        <v>1528</v>
      </c>
      <c r="EK16" s="36">
        <f t="shared" si="105"/>
        <v>0.6630347290474734</v>
      </c>
      <c r="EL16">
        <v>43</v>
      </c>
      <c r="EM16">
        <v>0.41229999999999994</v>
      </c>
      <c r="EN16" s="43">
        <f t="shared" si="126"/>
        <v>0.17728899999999995</v>
      </c>
      <c r="EO16" s="42">
        <v>1000646</v>
      </c>
      <c r="EP16" s="42">
        <f t="shared" si="106"/>
        <v>500323</v>
      </c>
      <c r="EQ16" s="42">
        <v>6531</v>
      </c>
      <c r="ER16" s="36">
        <f t="shared" si="107"/>
        <v>1.3053567395462531</v>
      </c>
      <c r="ES16">
        <v>40.6</v>
      </c>
      <c r="ET16">
        <v>0.47759999999999997</v>
      </c>
      <c r="EU16" s="43">
        <f t="shared" si="127"/>
        <v>0.19390560000000001</v>
      </c>
      <c r="EV16" s="42">
        <v>1330594</v>
      </c>
      <c r="EW16" s="42">
        <f t="shared" si="108"/>
        <v>665297</v>
      </c>
      <c r="EX16" s="42">
        <v>8826</v>
      </c>
      <c r="EY16" s="36">
        <f t="shared" si="109"/>
        <v>1.3266255521969887</v>
      </c>
      <c r="EZ16">
        <v>35.1</v>
      </c>
      <c r="FA16">
        <v>0.50280000000000002</v>
      </c>
      <c r="FB16" s="43">
        <f t="shared" si="128"/>
        <v>0.17648280000000002</v>
      </c>
    </row>
    <row r="17" spans="1:158" hidden="1">
      <c r="A17" s="32">
        <v>1980</v>
      </c>
      <c r="B17" s="42">
        <v>11918402</v>
      </c>
      <c r="C17" s="42">
        <f t="shared" si="66"/>
        <v>5959201</v>
      </c>
      <c r="D17" s="42">
        <v>62019</v>
      </c>
      <c r="E17" s="36">
        <f t="shared" si="67"/>
        <v>1.0407267685718269</v>
      </c>
      <c r="F17" s="13">
        <v>47</v>
      </c>
      <c r="G17" s="13">
        <v>0.38159999999999994</v>
      </c>
      <c r="H17" s="43">
        <f t="shared" si="110"/>
        <v>0.17935199999999998</v>
      </c>
      <c r="I17" s="42">
        <v>254225</v>
      </c>
      <c r="J17" s="42">
        <f t="shared" si="68"/>
        <v>127112.5</v>
      </c>
      <c r="K17" s="42">
        <v>555</v>
      </c>
      <c r="L17" s="36">
        <f t="shared" si="69"/>
        <v>0.43662110335332871</v>
      </c>
      <c r="M17" s="13">
        <v>46.7</v>
      </c>
      <c r="N17" s="13">
        <v>0</v>
      </c>
      <c r="O17" s="43"/>
      <c r="P17" s="42">
        <v>56465</v>
      </c>
      <c r="Q17" s="42">
        <f t="shared" si="70"/>
        <v>28232.5</v>
      </c>
      <c r="R17" s="42">
        <v>163</v>
      </c>
      <c r="S17" s="36">
        <f t="shared" si="71"/>
        <v>0.57734880014168066</v>
      </c>
      <c r="T17" s="13">
        <v>40.9</v>
      </c>
      <c r="U17" s="13">
        <v>0</v>
      </c>
      <c r="V17" s="43"/>
      <c r="W17" s="42">
        <v>401902</v>
      </c>
      <c r="X17" s="42">
        <f t="shared" si="72"/>
        <v>200951</v>
      </c>
      <c r="Y17" s="42">
        <v>2314</v>
      </c>
      <c r="Z17" s="36">
        <f t="shared" si="73"/>
        <v>1.1515245009977557</v>
      </c>
      <c r="AA17" s="13">
        <v>43.9</v>
      </c>
      <c r="AB17" s="13">
        <v>0.3518</v>
      </c>
      <c r="AC17" s="43">
        <f t="shared" si="112"/>
        <v>0.1544402</v>
      </c>
      <c r="AD17" s="42">
        <v>331282</v>
      </c>
      <c r="AE17" s="42">
        <f t="shared" si="74"/>
        <v>165641</v>
      </c>
      <c r="AF17" s="42">
        <v>1326</v>
      </c>
      <c r="AG17" s="36">
        <f t="shared" si="75"/>
        <v>0.80052643970997517</v>
      </c>
      <c r="AH17" s="13">
        <v>36.299999999999997</v>
      </c>
      <c r="AI17" s="13">
        <v>0.40289999999999998</v>
      </c>
      <c r="AJ17" s="43">
        <f t="shared" si="113"/>
        <v>0.14625269999999999</v>
      </c>
      <c r="AK17" s="42">
        <v>3094386</v>
      </c>
      <c r="AL17" s="42">
        <f t="shared" si="76"/>
        <v>1547193</v>
      </c>
      <c r="AM17" s="42">
        <v>13899</v>
      </c>
      <c r="AN17" s="36">
        <f t="shared" si="77"/>
        <v>0.89833653590728502</v>
      </c>
      <c r="AO17" s="13">
        <v>55.9</v>
      </c>
      <c r="AP17" s="13">
        <v>0.33409999999999995</v>
      </c>
      <c r="AQ17" s="43">
        <f t="shared" si="114"/>
        <v>0.18676189999999998</v>
      </c>
      <c r="AR17" s="42">
        <v>4355962</v>
      </c>
      <c r="AS17" s="42">
        <f t="shared" si="78"/>
        <v>2177981</v>
      </c>
      <c r="AT17" s="42">
        <v>22442</v>
      </c>
      <c r="AU17" s="36">
        <f t="shared" si="79"/>
        <v>1.0304038464982017</v>
      </c>
      <c r="AV17" s="13">
        <v>44.4</v>
      </c>
      <c r="AW17" s="13">
        <v>0.42119999999999996</v>
      </c>
      <c r="AX17" s="43">
        <f t="shared" si="115"/>
        <v>0.18701279999999998</v>
      </c>
      <c r="AY17" s="42">
        <v>499815</v>
      </c>
      <c r="AZ17" s="42">
        <f t="shared" si="80"/>
        <v>249907.5</v>
      </c>
      <c r="BA17" s="42">
        <v>2282</v>
      </c>
      <c r="BB17" s="36">
        <f t="shared" si="81"/>
        <v>0.91313786100857308</v>
      </c>
      <c r="BC17" s="13">
        <v>38.299999999999997</v>
      </c>
      <c r="BD17" s="13">
        <v>0.37209999999999999</v>
      </c>
      <c r="BE17" s="43">
        <f t="shared" si="116"/>
        <v>0.14251429999999998</v>
      </c>
      <c r="BF17" s="42">
        <v>467099</v>
      </c>
      <c r="BG17" s="42">
        <f t="shared" si="82"/>
        <v>233549.5</v>
      </c>
      <c r="BH17" s="42">
        <v>1836</v>
      </c>
      <c r="BI17" s="36">
        <f t="shared" si="83"/>
        <v>0.78612885062909577</v>
      </c>
      <c r="BJ17" s="13">
        <v>48.5</v>
      </c>
      <c r="BK17" s="13">
        <v>0.45779999999999998</v>
      </c>
      <c r="BL17" s="43">
        <f t="shared" si="117"/>
        <v>0.22203299999999998</v>
      </c>
      <c r="BM17" s="42">
        <v>1050771</v>
      </c>
      <c r="BN17" s="42">
        <f t="shared" si="84"/>
        <v>525385.5</v>
      </c>
      <c r="BO17" s="42">
        <v>7580</v>
      </c>
      <c r="BP17" s="36">
        <f t="shared" si="85"/>
        <v>1.4427501329975798</v>
      </c>
      <c r="BQ17" s="13">
        <v>35.799999999999997</v>
      </c>
      <c r="BR17" s="13">
        <v>0.32630000000000003</v>
      </c>
      <c r="BS17" s="43">
        <f t="shared" si="118"/>
        <v>0.1168154</v>
      </c>
      <c r="BT17" s="42">
        <v>1377217</v>
      </c>
      <c r="BU17" s="42">
        <f t="shared" si="86"/>
        <v>688608.5</v>
      </c>
      <c r="BV17" s="42">
        <v>9464</v>
      </c>
      <c r="BW17" s="36">
        <f t="shared" si="87"/>
        <v>1.3743658406772499</v>
      </c>
      <c r="BX17" s="13">
        <v>48.1</v>
      </c>
      <c r="BY17" s="13">
        <v>0.46829999999999999</v>
      </c>
      <c r="BZ17" s="43">
        <f t="shared" si="119"/>
        <v>0.22525230000000002</v>
      </c>
      <c r="CC17" s="32">
        <v>1980</v>
      </c>
      <c r="CD17" s="42">
        <v>11918402</v>
      </c>
      <c r="CE17" s="42">
        <f t="shared" si="88"/>
        <v>5959201</v>
      </c>
      <c r="CF17" s="42">
        <v>62019</v>
      </c>
      <c r="CG17" s="36">
        <f t="shared" si="89"/>
        <v>1.0407267685718269</v>
      </c>
      <c r="CH17">
        <v>45.5</v>
      </c>
      <c r="CI17">
        <v>0.37890000000000001</v>
      </c>
      <c r="CJ17" s="43">
        <f t="shared" si="35"/>
        <v>0.17239950000000001</v>
      </c>
      <c r="CK17" s="42">
        <v>254225</v>
      </c>
      <c r="CL17" s="42">
        <f t="shared" si="90"/>
        <v>127112.5</v>
      </c>
      <c r="CM17" s="42">
        <v>555</v>
      </c>
      <c r="CN17" s="36">
        <f t="shared" si="91"/>
        <v>0.43662110335332871</v>
      </c>
      <c r="CO17">
        <v>37.6</v>
      </c>
      <c r="CP17">
        <f>(CP16+CP18)/2</f>
        <v>0.43459999999999999</v>
      </c>
      <c r="CQ17" s="43">
        <f t="shared" si="38"/>
        <v>0.16340959999999999</v>
      </c>
      <c r="CR17" s="42">
        <v>56465</v>
      </c>
      <c r="CS17" s="42">
        <f t="shared" si="92"/>
        <v>28232.5</v>
      </c>
      <c r="CT17" s="42">
        <v>163</v>
      </c>
      <c r="CU17" s="36">
        <f t="shared" si="93"/>
        <v>0.57734880014168066</v>
      </c>
      <c r="CV17">
        <v>13</v>
      </c>
      <c r="CW17">
        <f>(CW16+CW18)/2</f>
        <v>0.33730000000000004</v>
      </c>
      <c r="CX17" s="43">
        <f t="shared" si="120"/>
        <v>4.3849000000000006E-2</v>
      </c>
      <c r="CY17" s="42">
        <v>401902</v>
      </c>
      <c r="CZ17" s="42">
        <f t="shared" si="94"/>
        <v>200951</v>
      </c>
      <c r="DA17" s="42">
        <v>2314</v>
      </c>
      <c r="DB17" s="36">
        <f t="shared" si="95"/>
        <v>1.1515245009977557</v>
      </c>
      <c r="DC17">
        <v>42.9</v>
      </c>
      <c r="DD17">
        <v>0.30469999999999997</v>
      </c>
      <c r="DE17" s="43">
        <f t="shared" si="121"/>
        <v>0.13071629999999998</v>
      </c>
      <c r="DF17" s="42">
        <v>331282</v>
      </c>
      <c r="DG17" s="42">
        <f t="shared" si="96"/>
        <v>165641</v>
      </c>
      <c r="DH17" s="42">
        <v>1326</v>
      </c>
      <c r="DI17" s="36">
        <f t="shared" si="97"/>
        <v>0.80052643970997517</v>
      </c>
      <c r="DJ17">
        <v>35.4</v>
      </c>
      <c r="DK17">
        <v>0.35060000000000002</v>
      </c>
      <c r="DL17" s="43">
        <f t="shared" si="122"/>
        <v>0.12411240000000001</v>
      </c>
      <c r="DM17" s="42">
        <v>3094386</v>
      </c>
      <c r="DN17" s="42">
        <f t="shared" si="98"/>
        <v>1547193</v>
      </c>
      <c r="DO17" s="42">
        <v>13899</v>
      </c>
      <c r="DP17" s="36">
        <f t="shared" si="99"/>
        <v>0.89833653590728502</v>
      </c>
      <c r="DQ17">
        <v>55.2</v>
      </c>
      <c r="DR17">
        <v>0.32130000000000003</v>
      </c>
      <c r="DS17" s="43">
        <f t="shared" si="123"/>
        <v>0.17735760000000003</v>
      </c>
      <c r="DT17" s="42">
        <v>4355962</v>
      </c>
      <c r="DU17" s="42">
        <f t="shared" si="100"/>
        <v>2177981</v>
      </c>
      <c r="DV17" s="42">
        <v>22442</v>
      </c>
      <c r="DW17" s="36">
        <f t="shared" si="101"/>
        <v>1.0304038464982017</v>
      </c>
      <c r="DX17">
        <v>43.8</v>
      </c>
      <c r="DY17">
        <v>0.42130000000000001</v>
      </c>
      <c r="DZ17" s="43">
        <f t="shared" si="124"/>
        <v>0.18452939999999998</v>
      </c>
      <c r="EA17" s="42">
        <v>499815</v>
      </c>
      <c r="EB17" s="42">
        <f t="shared" si="102"/>
        <v>249907.5</v>
      </c>
      <c r="EC17" s="42">
        <v>2282</v>
      </c>
      <c r="ED17" s="36">
        <f t="shared" si="103"/>
        <v>0.91313786100857308</v>
      </c>
      <c r="EE17">
        <v>50</v>
      </c>
      <c r="EF17">
        <v>0.4007</v>
      </c>
      <c r="EG17" s="43">
        <f t="shared" si="125"/>
        <v>0.20035</v>
      </c>
      <c r="EH17" s="42">
        <v>467099</v>
      </c>
      <c r="EI17" s="42">
        <f t="shared" si="104"/>
        <v>233549.5</v>
      </c>
      <c r="EJ17" s="42">
        <v>1836</v>
      </c>
      <c r="EK17" s="36">
        <f t="shared" si="105"/>
        <v>0.78612885062909577</v>
      </c>
      <c r="EL17">
        <v>44.7</v>
      </c>
      <c r="EM17">
        <v>0.37310000000000004</v>
      </c>
      <c r="EN17" s="43">
        <f t="shared" si="126"/>
        <v>0.16677570000000003</v>
      </c>
      <c r="EO17" s="42">
        <v>1050771</v>
      </c>
      <c r="EP17" s="42">
        <f t="shared" si="106"/>
        <v>525385.5</v>
      </c>
      <c r="EQ17" s="42">
        <v>7580</v>
      </c>
      <c r="ER17" s="36">
        <f t="shared" si="107"/>
        <v>1.4427501329975798</v>
      </c>
      <c r="ES17">
        <v>26.9</v>
      </c>
      <c r="ET17">
        <v>0.42299999999999999</v>
      </c>
      <c r="EU17" s="43">
        <f t="shared" si="127"/>
        <v>0.11378699999999999</v>
      </c>
      <c r="EV17" s="42">
        <v>1377217</v>
      </c>
      <c r="EW17" s="42">
        <f t="shared" si="108"/>
        <v>688608.5</v>
      </c>
      <c r="EX17" s="42">
        <v>9464</v>
      </c>
      <c r="EY17" s="36">
        <f t="shared" si="109"/>
        <v>1.3743658406772499</v>
      </c>
      <c r="EZ17">
        <v>46.3</v>
      </c>
      <c r="FA17">
        <v>0.45799999999999996</v>
      </c>
      <c r="FB17" s="43">
        <f t="shared" si="128"/>
        <v>0.21205399999999996</v>
      </c>
    </row>
    <row r="18" spans="1:158" ht="16.5" customHeight="1">
      <c r="A18" s="32">
        <v>1981</v>
      </c>
      <c r="B18" s="42">
        <v>12132128</v>
      </c>
      <c r="C18" s="42">
        <f t="shared" si="66"/>
        <v>6066064</v>
      </c>
      <c r="D18" s="42">
        <v>67671</v>
      </c>
      <c r="E18" s="36">
        <f t="shared" si="67"/>
        <v>1.1155668651039621</v>
      </c>
      <c r="F18" s="13">
        <v>45.1</v>
      </c>
      <c r="G18" s="13">
        <v>0.3821</v>
      </c>
      <c r="H18" s="43">
        <f>F18*G18/100</f>
        <v>0.17232710000000001</v>
      </c>
      <c r="I18" s="42">
        <v>257363</v>
      </c>
      <c r="J18" s="42">
        <f t="shared" si="68"/>
        <v>128681.5</v>
      </c>
      <c r="K18" s="42">
        <v>569</v>
      </c>
      <c r="L18" s="36">
        <f t="shared" si="69"/>
        <v>0.44217700291028628</v>
      </c>
      <c r="M18" s="13">
        <v>52.8</v>
      </c>
      <c r="N18" s="13">
        <v>0.46869999999999995</v>
      </c>
      <c r="O18" s="43">
        <f>M18*N18/100</f>
        <v>0.24747359999999996</v>
      </c>
      <c r="P18" s="42">
        <v>56949</v>
      </c>
      <c r="Q18" s="42">
        <f t="shared" si="70"/>
        <v>28474.5</v>
      </c>
      <c r="R18" s="42">
        <v>187</v>
      </c>
      <c r="S18" s="36">
        <f t="shared" si="71"/>
        <v>0.65672794956891256</v>
      </c>
      <c r="T18" s="13">
        <v>52.1</v>
      </c>
      <c r="U18" s="13">
        <v>0.31709999999999999</v>
      </c>
      <c r="V18" s="43">
        <f>T18*U18/100</f>
        <v>0.1652091</v>
      </c>
      <c r="W18" s="42">
        <v>405442</v>
      </c>
      <c r="X18" s="42">
        <f t="shared" si="72"/>
        <v>202721</v>
      </c>
      <c r="Y18" s="42">
        <v>2285</v>
      </c>
      <c r="Z18" s="36">
        <f t="shared" si="73"/>
        <v>1.1271649212464421</v>
      </c>
      <c r="AA18" s="13">
        <v>62</v>
      </c>
      <c r="AB18" s="13">
        <v>0.40720000000000001</v>
      </c>
      <c r="AC18" s="43">
        <f>AA18*AB18/100</f>
        <v>0.25246400000000002</v>
      </c>
      <c r="AD18" s="42">
        <v>333830</v>
      </c>
      <c r="AE18" s="42">
        <f t="shared" si="74"/>
        <v>166915</v>
      </c>
      <c r="AF18" s="42">
        <v>1334</v>
      </c>
      <c r="AG18" s="36">
        <f t="shared" si="75"/>
        <v>0.79920917832429683</v>
      </c>
      <c r="AH18" s="13">
        <v>64.599999999999994</v>
      </c>
      <c r="AI18" s="13">
        <v>0.40279999999999999</v>
      </c>
      <c r="AJ18" s="43">
        <f>AH18*AI18/100</f>
        <v>0.26020879999999996</v>
      </c>
      <c r="AK18" s="42">
        <v>3132100</v>
      </c>
      <c r="AL18" s="42">
        <f t="shared" si="76"/>
        <v>1566050</v>
      </c>
      <c r="AM18" s="42">
        <v>19193</v>
      </c>
      <c r="AN18" s="36">
        <f t="shared" si="77"/>
        <v>1.2255675106158808</v>
      </c>
      <c r="AO18" s="13">
        <v>49.2</v>
      </c>
      <c r="AP18" s="13">
        <v>0.42270000000000002</v>
      </c>
      <c r="AQ18" s="43">
        <f>AO18*AP18/100</f>
        <v>0.20796840000000003</v>
      </c>
      <c r="AR18" s="42">
        <v>4410017</v>
      </c>
      <c r="AS18" s="42">
        <f t="shared" si="78"/>
        <v>2205008.5</v>
      </c>
      <c r="AT18" s="42">
        <v>21680</v>
      </c>
      <c r="AU18" s="36">
        <f t="shared" si="79"/>
        <v>0.98321616447283533</v>
      </c>
      <c r="AV18" s="13">
        <v>39.700000000000003</v>
      </c>
      <c r="AW18" s="13">
        <v>0.35439999999999999</v>
      </c>
      <c r="AX18" s="43">
        <f>AV18*AW18/100</f>
        <v>0.14069680000000001</v>
      </c>
      <c r="AY18" s="42">
        <v>502755</v>
      </c>
      <c r="AZ18" s="42">
        <f t="shared" si="80"/>
        <v>251377.5</v>
      </c>
      <c r="BA18" s="42">
        <v>2399</v>
      </c>
      <c r="BB18" s="36">
        <f t="shared" si="81"/>
        <v>0.95434157790573948</v>
      </c>
      <c r="BC18" s="13">
        <v>49.4</v>
      </c>
      <c r="BD18" s="13">
        <v>0.41049999999999998</v>
      </c>
      <c r="BE18" s="43">
        <f>BC18*BD18/100</f>
        <v>0.20278699999999997</v>
      </c>
      <c r="BF18" s="42">
        <v>473622</v>
      </c>
      <c r="BG18" s="42">
        <f t="shared" si="82"/>
        <v>236811</v>
      </c>
      <c r="BH18" s="42">
        <v>1932</v>
      </c>
      <c r="BI18" s="36">
        <f t="shared" si="83"/>
        <v>0.81584048038309043</v>
      </c>
      <c r="BJ18" s="13">
        <v>56.8</v>
      </c>
      <c r="BK18" s="13">
        <v>0.30640000000000001</v>
      </c>
      <c r="BL18" s="43">
        <f>BJ18*BK18/100</f>
        <v>0.1740352</v>
      </c>
      <c r="BM18" s="42">
        <v>1105587</v>
      </c>
      <c r="BN18" s="42">
        <f t="shared" si="84"/>
        <v>552793.5</v>
      </c>
      <c r="BO18" s="42">
        <v>8418</v>
      </c>
      <c r="BP18" s="36">
        <f t="shared" si="85"/>
        <v>1.5228109592460837</v>
      </c>
      <c r="BQ18" s="13">
        <v>28.4</v>
      </c>
      <c r="BR18" s="13">
        <v>0.40130000000000005</v>
      </c>
      <c r="BS18" s="43">
        <f>BQ18*BR18/100</f>
        <v>0.11396920000000002</v>
      </c>
      <c r="BT18" s="42">
        <v>1424508</v>
      </c>
      <c r="BU18" s="42">
        <f t="shared" si="86"/>
        <v>712254</v>
      </c>
      <c r="BV18" s="42">
        <v>9533</v>
      </c>
      <c r="BW18" s="36">
        <f t="shared" si="87"/>
        <v>1.3384270218208674</v>
      </c>
      <c r="BX18" s="13">
        <v>48.3</v>
      </c>
      <c r="BY18" s="13">
        <v>0.34250000000000003</v>
      </c>
      <c r="BZ18" s="43">
        <f>BX18*BY18/100</f>
        <v>0.16542750000000001</v>
      </c>
      <c r="CC18" s="32">
        <v>1981</v>
      </c>
      <c r="CD18" s="42">
        <v>12132128</v>
      </c>
      <c r="CE18" s="42">
        <f t="shared" ref="CE18:CE47" si="130">CD18/2</f>
        <v>6066064</v>
      </c>
      <c r="CF18" s="42">
        <v>67671</v>
      </c>
      <c r="CG18" s="36">
        <f t="shared" ref="CG18:CG47" si="131">CF18/CE18*100</f>
        <v>1.1155668651039621</v>
      </c>
      <c r="CH18">
        <v>44.2</v>
      </c>
      <c r="CI18">
        <v>0.38</v>
      </c>
      <c r="CJ18" s="43">
        <f t="shared" si="35"/>
        <v>0.16796000000000003</v>
      </c>
      <c r="CK18" s="42">
        <v>257363</v>
      </c>
      <c r="CL18" s="42">
        <f t="shared" ref="CL18:CL43" si="132">CK18/2</f>
        <v>128681.5</v>
      </c>
      <c r="CM18" s="42">
        <v>569</v>
      </c>
      <c r="CN18" s="36">
        <f t="shared" ref="CN18:CN43" si="133">CM18/CL18*100</f>
        <v>0.44217700291028628</v>
      </c>
      <c r="CO18">
        <v>54</v>
      </c>
      <c r="CP18">
        <v>0.39649999999999996</v>
      </c>
      <c r="CQ18" s="43">
        <f t="shared" si="38"/>
        <v>0.21410999999999997</v>
      </c>
      <c r="CR18" s="42">
        <v>56949</v>
      </c>
      <c r="CS18" s="42">
        <f t="shared" ref="CS18:CS43" si="134">CR18/2</f>
        <v>28474.5</v>
      </c>
      <c r="CT18" s="42">
        <v>187</v>
      </c>
      <c r="CU18" s="36">
        <f t="shared" ref="CU18:CU44" si="135">CT18/CS18*100</f>
        <v>0.65672794956891256</v>
      </c>
      <c r="CV18">
        <v>41.4</v>
      </c>
      <c r="CW18">
        <v>0.22460000000000002</v>
      </c>
      <c r="CX18" s="43">
        <f t="shared" si="120"/>
        <v>9.2984400000000009E-2</v>
      </c>
      <c r="CY18" s="42">
        <v>405442</v>
      </c>
      <c r="CZ18" s="42">
        <f t="shared" ref="CZ18:CZ43" si="136">CY18/2</f>
        <v>202721</v>
      </c>
      <c r="DA18" s="42">
        <v>2285</v>
      </c>
      <c r="DB18" s="36">
        <f t="shared" ref="DB18:DB44" si="137">DA18/CZ18*100</f>
        <v>1.1271649212464421</v>
      </c>
      <c r="DC18">
        <v>57.6</v>
      </c>
      <c r="DD18">
        <v>0.33610000000000001</v>
      </c>
      <c r="DE18" s="43">
        <f t="shared" si="121"/>
        <v>0.19359360000000003</v>
      </c>
      <c r="DF18" s="42">
        <v>333830</v>
      </c>
      <c r="DG18" s="42">
        <f t="shared" ref="DG18:DG43" si="138">DF18/2</f>
        <v>166915</v>
      </c>
      <c r="DH18" s="42">
        <v>1334</v>
      </c>
      <c r="DI18" s="36">
        <f t="shared" ref="DI18:DI44" si="139">DH18/DG18*100</f>
        <v>0.79920917832429683</v>
      </c>
      <c r="DJ18">
        <v>59.5</v>
      </c>
      <c r="DK18">
        <v>0.34200000000000003</v>
      </c>
      <c r="DL18" s="43">
        <f t="shared" si="122"/>
        <v>0.20349</v>
      </c>
      <c r="DM18" s="42">
        <v>3132100</v>
      </c>
      <c r="DN18" s="42">
        <f t="shared" ref="DN18:DN43" si="140">DM18/2</f>
        <v>1566050</v>
      </c>
      <c r="DO18" s="42">
        <v>19193</v>
      </c>
      <c r="DP18" s="36">
        <f t="shared" ref="DP18:DP47" si="141">DO18/DN18*100</f>
        <v>1.2255675106158808</v>
      </c>
      <c r="DQ18">
        <v>49.9</v>
      </c>
      <c r="DR18">
        <v>0.41009999999999996</v>
      </c>
      <c r="DS18" s="43">
        <f t="shared" si="123"/>
        <v>0.20463989999999999</v>
      </c>
      <c r="DT18" s="42">
        <v>4410017</v>
      </c>
      <c r="DU18" s="42">
        <f t="shared" ref="DU18:DU43" si="142">DT18/2</f>
        <v>2205008.5</v>
      </c>
      <c r="DV18" s="42">
        <v>21680</v>
      </c>
      <c r="DW18" s="36">
        <f t="shared" ref="DW18:DW47" si="143">DV18/DU18*100</f>
        <v>0.98321616447283533</v>
      </c>
      <c r="DX18">
        <v>40</v>
      </c>
      <c r="DY18">
        <v>0.36609999999999998</v>
      </c>
      <c r="DZ18" s="43">
        <f t="shared" si="124"/>
        <v>0.14643999999999999</v>
      </c>
      <c r="EA18" s="42">
        <v>502755</v>
      </c>
      <c r="EB18" s="42">
        <f t="shared" ref="EB18:EB43" si="144">EA18/2</f>
        <v>251377.5</v>
      </c>
      <c r="EC18" s="42">
        <v>2399</v>
      </c>
      <c r="ED18" s="36">
        <f t="shared" ref="ED18:ED47" si="145">EC18/EB18*100</f>
        <v>0.95434157790573948</v>
      </c>
      <c r="EE18">
        <v>54.2</v>
      </c>
      <c r="EF18">
        <v>0.43259999999999998</v>
      </c>
      <c r="EG18" s="43">
        <f t="shared" si="125"/>
        <v>0.23446919999999999</v>
      </c>
      <c r="EH18" s="42">
        <v>473622</v>
      </c>
      <c r="EI18" s="42">
        <f t="shared" ref="EI18:EI43" si="146">EH18/2</f>
        <v>236811</v>
      </c>
      <c r="EJ18" s="42">
        <v>1932</v>
      </c>
      <c r="EK18" s="36">
        <f t="shared" ref="EK18:EK47" si="147">EJ18/EI18*100</f>
        <v>0.81584048038309043</v>
      </c>
      <c r="EL18">
        <v>43.8</v>
      </c>
      <c r="EM18">
        <v>0.26479999999999998</v>
      </c>
      <c r="EN18" s="43">
        <f t="shared" si="126"/>
        <v>0.11598239999999999</v>
      </c>
      <c r="EO18" s="42">
        <v>1105587</v>
      </c>
      <c r="EP18" s="42">
        <f t="shared" ref="EP18:EP43" si="148">EO18/2</f>
        <v>552793.5</v>
      </c>
      <c r="EQ18" s="42">
        <v>8418</v>
      </c>
      <c r="ER18" s="36">
        <f t="shared" ref="ER18:ER47" si="149">EQ18/EP18*100</f>
        <v>1.5228109592460837</v>
      </c>
      <c r="ES18">
        <v>28.5</v>
      </c>
      <c r="ET18">
        <v>0.45990000000000003</v>
      </c>
      <c r="EU18" s="43">
        <f t="shared" si="127"/>
        <v>0.13107150000000001</v>
      </c>
      <c r="EV18" s="42">
        <v>1424508</v>
      </c>
      <c r="EW18" s="42">
        <f t="shared" ref="EW18:EW43" si="150">EV18/2</f>
        <v>712254</v>
      </c>
      <c r="EX18" s="42">
        <v>9533</v>
      </c>
      <c r="EY18" s="36">
        <f t="shared" ref="EY18:EY47" si="151">EX18/EW18*100</f>
        <v>1.3384270218208674</v>
      </c>
      <c r="EZ18">
        <v>44.4</v>
      </c>
      <c r="FA18">
        <v>0.34970000000000001</v>
      </c>
      <c r="FB18" s="43">
        <f t="shared" si="128"/>
        <v>0.15526680000000001</v>
      </c>
    </row>
    <row r="19" spans="1:158" ht="16.5" customHeight="1">
      <c r="A19" s="32">
        <v>1982</v>
      </c>
      <c r="B19" s="42">
        <v>12296778</v>
      </c>
      <c r="C19" s="42">
        <f t="shared" si="66"/>
        <v>6148389</v>
      </c>
      <c r="D19" s="42">
        <v>70436</v>
      </c>
      <c r="E19" s="36">
        <f t="shared" si="67"/>
        <v>1.1456009045621545</v>
      </c>
      <c r="F19" s="13">
        <v>48.1</v>
      </c>
      <c r="G19" s="13">
        <v>0.35229999999999995</v>
      </c>
      <c r="H19" s="43">
        <f t="shared" ref="H19:H45" si="152">F19*G19/100</f>
        <v>0.16945629999999998</v>
      </c>
      <c r="I19" s="42">
        <v>259147</v>
      </c>
      <c r="J19" s="42">
        <f t="shared" si="68"/>
        <v>129573.5</v>
      </c>
      <c r="K19" s="42">
        <v>625</v>
      </c>
      <c r="L19" s="36">
        <f t="shared" si="69"/>
        <v>0.48235171543564082</v>
      </c>
      <c r="M19" s="13">
        <v>62.1</v>
      </c>
      <c r="N19" s="13">
        <v>0.379</v>
      </c>
      <c r="O19" s="43">
        <f>M19*N19/100</f>
        <v>0.23535900000000001</v>
      </c>
      <c r="P19" s="42">
        <v>57268</v>
      </c>
      <c r="Q19" s="42">
        <f t="shared" si="70"/>
        <v>28634</v>
      </c>
      <c r="R19" s="42">
        <v>206</v>
      </c>
      <c r="S19" s="36">
        <f t="shared" si="71"/>
        <v>0.71942446043165476</v>
      </c>
      <c r="T19" s="13">
        <v>46.7</v>
      </c>
      <c r="U19" s="13">
        <v>0.252</v>
      </c>
      <c r="V19" s="43">
        <f t="shared" ref="V19:V45" si="153">T19*U19/100</f>
        <v>0.11768400000000001</v>
      </c>
      <c r="W19" s="42">
        <v>409224</v>
      </c>
      <c r="X19" s="42">
        <f t="shared" si="72"/>
        <v>204612</v>
      </c>
      <c r="Y19" s="42">
        <v>2281</v>
      </c>
      <c r="Z19" s="36">
        <f t="shared" si="73"/>
        <v>1.1147928762731414</v>
      </c>
      <c r="AA19" s="13">
        <v>52.5</v>
      </c>
      <c r="AB19" s="13">
        <v>0.34740000000000004</v>
      </c>
      <c r="AC19" s="43">
        <f t="shared" ref="AC19:AC45" si="154">AA19*AB19/100</f>
        <v>0.18238500000000002</v>
      </c>
      <c r="AD19" s="42">
        <v>336417</v>
      </c>
      <c r="AE19" s="42">
        <f t="shared" si="74"/>
        <v>168208.5</v>
      </c>
      <c r="AF19" s="42">
        <v>1663</v>
      </c>
      <c r="AG19" s="36">
        <f t="shared" si="75"/>
        <v>0.98865396219572732</v>
      </c>
      <c r="AH19" s="13">
        <v>64.2</v>
      </c>
      <c r="AI19" s="13">
        <v>0.34619999999999995</v>
      </c>
      <c r="AJ19" s="43">
        <f t="shared" ref="AJ19:AJ45" si="155">AH19*AI19/100</f>
        <v>0.22226039999999997</v>
      </c>
      <c r="AK19" s="42">
        <v>3154039</v>
      </c>
      <c r="AL19" s="42">
        <f t="shared" si="76"/>
        <v>1577019.5</v>
      </c>
      <c r="AM19" s="42">
        <v>18579</v>
      </c>
      <c r="AN19" s="36">
        <f t="shared" si="77"/>
        <v>1.1781084507832655</v>
      </c>
      <c r="AO19" s="13">
        <v>57.6</v>
      </c>
      <c r="AP19" s="13">
        <v>0.3397</v>
      </c>
      <c r="AQ19" s="43">
        <f t="shared" ref="AQ19:AQ45" si="156">AO19*AP19/100</f>
        <v>0.19566720000000001</v>
      </c>
      <c r="AR19" s="42">
        <v>4470355</v>
      </c>
      <c r="AS19" s="42">
        <f t="shared" si="78"/>
        <v>2235177.5</v>
      </c>
      <c r="AT19" s="42">
        <v>23644</v>
      </c>
      <c r="AU19" s="36">
        <f t="shared" si="79"/>
        <v>1.0578130819588154</v>
      </c>
      <c r="AV19" s="13">
        <v>42.3</v>
      </c>
      <c r="AW19" s="13">
        <v>0.3614</v>
      </c>
      <c r="AX19" s="43">
        <f t="shared" ref="AX19:AX45" si="157">AV19*AW19/100</f>
        <v>0.15287219999999999</v>
      </c>
      <c r="AY19" s="42">
        <v>507983</v>
      </c>
      <c r="AZ19" s="42">
        <f t="shared" si="80"/>
        <v>253991.5</v>
      </c>
      <c r="BA19" s="42">
        <v>2392</v>
      </c>
      <c r="BB19" s="36">
        <f t="shared" si="81"/>
        <v>0.94176379918225606</v>
      </c>
      <c r="BC19" s="13">
        <v>48.9</v>
      </c>
      <c r="BD19" s="13">
        <v>0.34860000000000002</v>
      </c>
      <c r="BE19" s="43">
        <f t="shared" ref="BE19:BE45" si="158">BC19*BD19/100</f>
        <v>0.17046539999999999</v>
      </c>
      <c r="BF19" s="42">
        <v>479101</v>
      </c>
      <c r="BG19" s="42">
        <f t="shared" si="82"/>
        <v>239550.5</v>
      </c>
      <c r="BH19" s="42">
        <v>1815</v>
      </c>
      <c r="BI19" s="36">
        <f t="shared" si="83"/>
        <v>0.75766905099342308</v>
      </c>
      <c r="BJ19" s="13">
        <v>41.5</v>
      </c>
      <c r="BK19" s="13">
        <v>0.35350000000000004</v>
      </c>
      <c r="BL19" s="43">
        <f t="shared" ref="BL19:BL45" si="159">BJ19*BK19/100</f>
        <v>0.14670250000000001</v>
      </c>
      <c r="BM19" s="42">
        <v>1143562</v>
      </c>
      <c r="BN19" s="42">
        <f t="shared" si="84"/>
        <v>571781</v>
      </c>
      <c r="BO19" s="42">
        <v>8882</v>
      </c>
      <c r="BP19" s="36">
        <f t="shared" si="85"/>
        <v>1.553391945517602</v>
      </c>
      <c r="BQ19" s="13">
        <v>35.6</v>
      </c>
      <c r="BR19" s="13">
        <v>0.34090000000000004</v>
      </c>
      <c r="BS19" s="43">
        <f t="shared" ref="BS19:BS45" si="160">BQ19*BR19/100</f>
        <v>0.12136040000000001</v>
      </c>
      <c r="BT19" s="42">
        <v>1448762</v>
      </c>
      <c r="BU19" s="42">
        <f t="shared" si="86"/>
        <v>724381</v>
      </c>
      <c r="BV19" s="42">
        <v>10165</v>
      </c>
      <c r="BW19" s="36">
        <f t="shared" si="87"/>
        <v>1.4032670652598564</v>
      </c>
      <c r="BX19" s="13">
        <v>47.1</v>
      </c>
      <c r="BY19" s="13">
        <v>0.37009999999999998</v>
      </c>
      <c r="BZ19" s="43">
        <f t="shared" ref="BZ19:BZ45" si="161">BX19*BY19/100</f>
        <v>0.1743171</v>
      </c>
      <c r="CC19" s="32">
        <v>1982</v>
      </c>
      <c r="CD19" s="42">
        <v>12296778</v>
      </c>
      <c r="CE19" s="42">
        <f t="shared" si="130"/>
        <v>6148389</v>
      </c>
      <c r="CF19" s="42">
        <v>70436</v>
      </c>
      <c r="CG19" s="36">
        <f t="shared" si="131"/>
        <v>1.1456009045621545</v>
      </c>
      <c r="CH19">
        <v>49.3</v>
      </c>
      <c r="CI19">
        <v>0.3528</v>
      </c>
      <c r="CJ19" s="43">
        <f t="shared" si="35"/>
        <v>0.17393039999999999</v>
      </c>
      <c r="CK19" s="42">
        <v>259147</v>
      </c>
      <c r="CL19" s="42">
        <f t="shared" si="132"/>
        <v>129573.5</v>
      </c>
      <c r="CM19" s="42">
        <v>625</v>
      </c>
      <c r="CN19" s="36">
        <f t="shared" si="133"/>
        <v>0.48235171543564082</v>
      </c>
      <c r="CO19">
        <v>58.7</v>
      </c>
      <c r="CP19">
        <v>0.34350000000000003</v>
      </c>
      <c r="CQ19" s="43">
        <f t="shared" si="38"/>
        <v>0.20163450000000002</v>
      </c>
      <c r="CR19" s="42">
        <v>57268</v>
      </c>
      <c r="CS19" s="42">
        <f t="shared" si="134"/>
        <v>28634</v>
      </c>
      <c r="CT19" s="42">
        <v>206</v>
      </c>
      <c r="CU19" s="36">
        <f t="shared" si="135"/>
        <v>0.71942446043165476</v>
      </c>
      <c r="CV19">
        <v>23.7</v>
      </c>
      <c r="CW19">
        <v>0.25559999999999999</v>
      </c>
      <c r="CX19" s="43">
        <f t="shared" si="120"/>
        <v>6.0577199999999998E-2</v>
      </c>
      <c r="CY19" s="42">
        <v>409224</v>
      </c>
      <c r="CZ19" s="42">
        <f t="shared" si="136"/>
        <v>204612</v>
      </c>
      <c r="DA19" s="42">
        <v>2281</v>
      </c>
      <c r="DB19" s="36">
        <f t="shared" si="137"/>
        <v>1.1147928762731414</v>
      </c>
      <c r="DC19">
        <v>48.7</v>
      </c>
      <c r="DD19">
        <v>0.31319999999999998</v>
      </c>
      <c r="DE19" s="43">
        <f t="shared" si="121"/>
        <v>0.15252839999999998</v>
      </c>
      <c r="DF19" s="42">
        <v>336417</v>
      </c>
      <c r="DG19" s="42">
        <f t="shared" si="138"/>
        <v>168208.5</v>
      </c>
      <c r="DH19" s="42">
        <v>1663</v>
      </c>
      <c r="DI19" s="36">
        <f t="shared" si="139"/>
        <v>0.98865396219572732</v>
      </c>
      <c r="DJ19">
        <v>55.6</v>
      </c>
      <c r="DK19">
        <v>0.32090000000000002</v>
      </c>
      <c r="DL19" s="43">
        <f t="shared" si="122"/>
        <v>0.17842040000000001</v>
      </c>
      <c r="DM19" s="42">
        <v>3154039</v>
      </c>
      <c r="DN19" s="42">
        <f t="shared" si="140"/>
        <v>1577019.5</v>
      </c>
      <c r="DO19" s="42">
        <v>18579</v>
      </c>
      <c r="DP19" s="36">
        <f t="shared" si="141"/>
        <v>1.1781084507832655</v>
      </c>
      <c r="DQ19">
        <v>59.5</v>
      </c>
      <c r="DR19">
        <v>0.34360000000000002</v>
      </c>
      <c r="DS19" s="43">
        <f t="shared" si="123"/>
        <v>0.20444200000000001</v>
      </c>
      <c r="DT19" s="42">
        <v>4470355</v>
      </c>
      <c r="DU19" s="42">
        <f t="shared" si="142"/>
        <v>2235177.5</v>
      </c>
      <c r="DV19" s="42">
        <v>23644</v>
      </c>
      <c r="DW19" s="36">
        <f t="shared" si="143"/>
        <v>1.0578130819588154</v>
      </c>
      <c r="DX19">
        <v>45.3</v>
      </c>
      <c r="DY19">
        <v>0.34939999999999999</v>
      </c>
      <c r="DZ19" s="43">
        <f t="shared" si="124"/>
        <v>0.15827819999999998</v>
      </c>
      <c r="EA19" s="42">
        <v>507983</v>
      </c>
      <c r="EB19" s="42">
        <f t="shared" si="144"/>
        <v>253991.5</v>
      </c>
      <c r="EC19" s="42">
        <v>2392</v>
      </c>
      <c r="ED19" s="36">
        <f t="shared" si="145"/>
        <v>0.94176379918225606</v>
      </c>
      <c r="EE19">
        <v>53.3</v>
      </c>
      <c r="EF19">
        <v>0.38</v>
      </c>
      <c r="EG19" s="43">
        <f t="shared" si="125"/>
        <v>0.20253999999999997</v>
      </c>
      <c r="EH19" s="42">
        <v>479101</v>
      </c>
      <c r="EI19" s="42">
        <f t="shared" si="146"/>
        <v>239550.5</v>
      </c>
      <c r="EJ19" s="42">
        <v>1815</v>
      </c>
      <c r="EK19" s="36">
        <f t="shared" si="147"/>
        <v>0.75766905099342308</v>
      </c>
      <c r="EL19">
        <v>39.5</v>
      </c>
      <c r="EM19">
        <v>0.33539999999999998</v>
      </c>
      <c r="EN19" s="43">
        <f t="shared" si="126"/>
        <v>0.13248299999999999</v>
      </c>
      <c r="EO19" s="42">
        <v>1143562</v>
      </c>
      <c r="EP19" s="42">
        <f t="shared" si="148"/>
        <v>571781</v>
      </c>
      <c r="EQ19" s="42">
        <v>8882</v>
      </c>
      <c r="ER19" s="36">
        <f t="shared" si="149"/>
        <v>1.553391945517602</v>
      </c>
      <c r="ES19">
        <v>38.299999999999997</v>
      </c>
      <c r="ET19">
        <v>0.37219999999999998</v>
      </c>
      <c r="EU19" s="43">
        <f t="shared" si="127"/>
        <v>0.14255259999999997</v>
      </c>
      <c r="EV19" s="42">
        <v>1448762</v>
      </c>
      <c r="EW19" s="42">
        <f t="shared" si="150"/>
        <v>724381</v>
      </c>
      <c r="EX19" s="42">
        <v>10165</v>
      </c>
      <c r="EY19" s="36">
        <f t="shared" si="151"/>
        <v>1.4032670652598564</v>
      </c>
      <c r="EZ19">
        <v>46.4</v>
      </c>
      <c r="FA19">
        <v>0.39460000000000001</v>
      </c>
      <c r="FB19" s="43">
        <f t="shared" si="128"/>
        <v>0.18309439999999999</v>
      </c>
    </row>
    <row r="20" spans="1:158" ht="16.5" customHeight="1">
      <c r="A20" s="32">
        <v>1983</v>
      </c>
      <c r="B20" s="42">
        <v>12435616</v>
      </c>
      <c r="C20" s="42">
        <f t="shared" si="66"/>
        <v>6217808</v>
      </c>
      <c r="D20" s="42">
        <v>68567</v>
      </c>
      <c r="E20" s="36">
        <f t="shared" si="67"/>
        <v>1.1027519666094547</v>
      </c>
      <c r="F20" s="13">
        <v>51.7</v>
      </c>
      <c r="G20" s="13">
        <v>0.34520000000000001</v>
      </c>
      <c r="H20" s="43">
        <f t="shared" si="152"/>
        <v>0.1784684</v>
      </c>
      <c r="I20" s="42">
        <v>262948</v>
      </c>
      <c r="J20" s="42">
        <f t="shared" si="68"/>
        <v>131474</v>
      </c>
      <c r="K20" s="42">
        <v>711</v>
      </c>
      <c r="L20" s="36">
        <f t="shared" si="69"/>
        <v>0.54079133516893074</v>
      </c>
      <c r="M20" s="13">
        <v>61.3</v>
      </c>
      <c r="N20" s="13">
        <v>0.49020000000000002</v>
      </c>
      <c r="O20" s="43">
        <f t="shared" ref="O20:O45" si="162">M20*N20/100</f>
        <v>0.3004926</v>
      </c>
      <c r="P20" s="42">
        <v>58195</v>
      </c>
      <c r="Q20" s="42">
        <f t="shared" si="70"/>
        <v>29097.5</v>
      </c>
      <c r="R20" s="42">
        <v>215</v>
      </c>
      <c r="S20" s="36">
        <f t="shared" si="71"/>
        <v>0.73889509408024745</v>
      </c>
      <c r="T20" s="13">
        <v>40.200000000000003</v>
      </c>
      <c r="U20" s="13">
        <v>0.30930000000000002</v>
      </c>
      <c r="V20" s="43">
        <f t="shared" si="153"/>
        <v>0.12433860000000001</v>
      </c>
      <c r="W20" s="42">
        <v>414681</v>
      </c>
      <c r="X20" s="42">
        <f t="shared" si="72"/>
        <v>207340.5</v>
      </c>
      <c r="Y20" s="42">
        <v>2340</v>
      </c>
      <c r="Z20" s="36">
        <f t="shared" si="73"/>
        <v>1.1285783529990523</v>
      </c>
      <c r="AA20" s="13">
        <v>50.3</v>
      </c>
      <c r="AB20" s="13">
        <v>0.3553</v>
      </c>
      <c r="AC20" s="43">
        <f t="shared" si="154"/>
        <v>0.17871589999999998</v>
      </c>
      <c r="AD20" s="42">
        <v>341096</v>
      </c>
      <c r="AE20" s="42">
        <f t="shared" si="74"/>
        <v>170548</v>
      </c>
      <c r="AF20" s="42">
        <v>1942</v>
      </c>
      <c r="AG20" s="36">
        <f t="shared" si="75"/>
        <v>1.1386823650819711</v>
      </c>
      <c r="AH20" s="13">
        <v>60.5</v>
      </c>
      <c r="AI20" s="13">
        <v>0.40950000000000003</v>
      </c>
      <c r="AJ20" s="43">
        <f t="shared" si="155"/>
        <v>0.24774750000000001</v>
      </c>
      <c r="AK20" s="42">
        <v>3171911</v>
      </c>
      <c r="AL20" s="42">
        <f t="shared" si="76"/>
        <v>1585955.5</v>
      </c>
      <c r="AM20" s="42">
        <v>17365</v>
      </c>
      <c r="AN20" s="36">
        <f t="shared" si="77"/>
        <v>1.0949235334787135</v>
      </c>
      <c r="AO20" s="13">
        <v>53.4</v>
      </c>
      <c r="AP20" s="13">
        <v>0.33329999999999999</v>
      </c>
      <c r="AQ20" s="43">
        <f t="shared" si="156"/>
        <v>0.17798219999999998</v>
      </c>
      <c r="AR20" s="42">
        <v>4533647</v>
      </c>
      <c r="AS20" s="42">
        <f t="shared" si="78"/>
        <v>2266823.5</v>
      </c>
      <c r="AT20" s="42">
        <v>23073</v>
      </c>
      <c r="AU20" s="36">
        <f t="shared" si="79"/>
        <v>1.017856043931078</v>
      </c>
      <c r="AV20" s="13">
        <v>51.1</v>
      </c>
      <c r="AW20" s="13">
        <v>0.36080000000000001</v>
      </c>
      <c r="AX20" s="43">
        <f t="shared" si="157"/>
        <v>0.18436880000000003</v>
      </c>
      <c r="AY20" s="42">
        <v>514740</v>
      </c>
      <c r="AZ20" s="42">
        <f t="shared" si="80"/>
        <v>257370</v>
      </c>
      <c r="BA20" s="42">
        <v>2642</v>
      </c>
      <c r="BB20" s="36">
        <f t="shared" si="81"/>
        <v>1.0265376695030501</v>
      </c>
      <c r="BC20" s="13">
        <v>86.1</v>
      </c>
      <c r="BD20" s="13">
        <v>0.31879999999999997</v>
      </c>
      <c r="BE20" s="43">
        <f t="shared" si="158"/>
        <v>0.27448679999999998</v>
      </c>
      <c r="BF20" s="42">
        <v>485638</v>
      </c>
      <c r="BG20" s="42">
        <f t="shared" si="82"/>
        <v>242819</v>
      </c>
      <c r="BH20" s="42">
        <v>2000</v>
      </c>
      <c r="BI20" s="36">
        <f t="shared" si="83"/>
        <v>0.8236587746428411</v>
      </c>
      <c r="BJ20" s="13">
        <v>39.5</v>
      </c>
      <c r="BK20" s="13">
        <v>0.19579999999999997</v>
      </c>
      <c r="BL20" s="43">
        <f t="shared" si="159"/>
        <v>7.7340999999999993E-2</v>
      </c>
      <c r="BM20" s="42">
        <v>1156766</v>
      </c>
      <c r="BN20" s="42">
        <f t="shared" si="84"/>
        <v>578383</v>
      </c>
      <c r="BO20" s="42">
        <v>8758</v>
      </c>
      <c r="BP20" s="36">
        <f t="shared" si="85"/>
        <v>1.5142215452390544</v>
      </c>
      <c r="BQ20" s="13">
        <v>51</v>
      </c>
      <c r="BR20" s="13">
        <v>0.35479999999999995</v>
      </c>
      <c r="BS20" s="43">
        <f t="shared" si="160"/>
        <v>0.18094799999999997</v>
      </c>
      <c r="BT20" s="42">
        <v>1465040</v>
      </c>
      <c r="BU20" s="42">
        <f t="shared" si="86"/>
        <v>732520</v>
      </c>
      <c r="BV20" s="42">
        <v>9348</v>
      </c>
      <c r="BW20" s="36">
        <f t="shared" si="87"/>
        <v>1.2761426309179271</v>
      </c>
      <c r="BX20" s="13">
        <v>37.6</v>
      </c>
      <c r="BY20" s="13">
        <v>0.32650000000000001</v>
      </c>
      <c r="BZ20" s="43">
        <f t="shared" si="161"/>
        <v>0.12276400000000001</v>
      </c>
      <c r="CC20" s="32">
        <v>1983</v>
      </c>
      <c r="CD20" s="42">
        <v>12435616</v>
      </c>
      <c r="CE20" s="42">
        <f t="shared" si="130"/>
        <v>6217808</v>
      </c>
      <c r="CF20" s="42">
        <v>68567</v>
      </c>
      <c r="CG20" s="36">
        <f t="shared" si="131"/>
        <v>1.1027519666094547</v>
      </c>
      <c r="CH20">
        <v>52.1</v>
      </c>
      <c r="CI20">
        <v>0.36560000000000004</v>
      </c>
      <c r="CJ20" s="43">
        <f t="shared" si="35"/>
        <v>0.19047760000000002</v>
      </c>
      <c r="CK20" s="42">
        <v>262948</v>
      </c>
      <c r="CL20" s="42">
        <f t="shared" si="132"/>
        <v>131474</v>
      </c>
      <c r="CM20" s="42">
        <v>711</v>
      </c>
      <c r="CN20" s="36">
        <f t="shared" si="133"/>
        <v>0.54079133516893074</v>
      </c>
      <c r="CO20">
        <v>59.9</v>
      </c>
      <c r="CP20">
        <v>0.42920000000000003</v>
      </c>
      <c r="CQ20" s="43">
        <f t="shared" si="38"/>
        <v>0.25709080000000001</v>
      </c>
      <c r="CR20" s="42">
        <v>58195</v>
      </c>
      <c r="CS20" s="42">
        <f t="shared" si="134"/>
        <v>29097.5</v>
      </c>
      <c r="CT20" s="42">
        <v>215</v>
      </c>
      <c r="CU20" s="36">
        <f t="shared" si="135"/>
        <v>0.73889509408024745</v>
      </c>
      <c r="CV20">
        <v>37.200000000000003</v>
      </c>
      <c r="CW20">
        <v>0.21329999999999999</v>
      </c>
      <c r="CX20" s="43">
        <f t="shared" si="120"/>
        <v>7.9347600000000004E-2</v>
      </c>
      <c r="CY20" s="42">
        <v>414681</v>
      </c>
      <c r="CZ20" s="42">
        <f t="shared" si="136"/>
        <v>207340.5</v>
      </c>
      <c r="DA20" s="42">
        <v>2340</v>
      </c>
      <c r="DB20" s="36">
        <f t="shared" si="137"/>
        <v>1.1285783529990523</v>
      </c>
      <c r="DC20">
        <v>47.9</v>
      </c>
      <c r="DD20">
        <v>0.29160000000000003</v>
      </c>
      <c r="DE20" s="43">
        <f t="shared" si="121"/>
        <v>0.13967640000000001</v>
      </c>
      <c r="DF20" s="42">
        <v>341096</v>
      </c>
      <c r="DG20" s="42">
        <f t="shared" si="138"/>
        <v>170548</v>
      </c>
      <c r="DH20" s="42">
        <v>1942</v>
      </c>
      <c r="DI20" s="36">
        <f t="shared" si="139"/>
        <v>1.1386823650819711</v>
      </c>
      <c r="DJ20">
        <v>55.2</v>
      </c>
      <c r="DK20">
        <v>0.37</v>
      </c>
      <c r="DL20" s="43">
        <f t="shared" si="122"/>
        <v>0.20424</v>
      </c>
      <c r="DM20" s="42">
        <v>3171911</v>
      </c>
      <c r="DN20" s="42">
        <f t="shared" si="140"/>
        <v>1585955.5</v>
      </c>
      <c r="DO20" s="42">
        <v>17365</v>
      </c>
      <c r="DP20" s="36">
        <f t="shared" si="141"/>
        <v>1.0949235334787135</v>
      </c>
      <c r="DQ20">
        <v>59.3</v>
      </c>
      <c r="DR20">
        <v>0.34539999999999998</v>
      </c>
      <c r="DS20" s="43">
        <f t="shared" si="123"/>
        <v>0.20482219999999998</v>
      </c>
      <c r="DT20" s="42">
        <v>4533647</v>
      </c>
      <c r="DU20" s="42">
        <f t="shared" si="142"/>
        <v>2266823.5</v>
      </c>
      <c r="DV20" s="42">
        <v>23073</v>
      </c>
      <c r="DW20" s="36">
        <f t="shared" si="143"/>
        <v>1.017856043931078</v>
      </c>
      <c r="DX20">
        <v>52.5</v>
      </c>
      <c r="DY20">
        <v>0.37530000000000002</v>
      </c>
      <c r="DZ20" s="43">
        <f t="shared" si="124"/>
        <v>0.1970325</v>
      </c>
      <c r="EA20" s="42">
        <v>514740</v>
      </c>
      <c r="EB20" s="42">
        <f t="shared" si="144"/>
        <v>257370</v>
      </c>
      <c r="EC20" s="42">
        <v>2642</v>
      </c>
      <c r="ED20" s="36">
        <f t="shared" si="145"/>
        <v>1.0265376695030501</v>
      </c>
      <c r="EE20">
        <v>83.3</v>
      </c>
      <c r="EF20">
        <v>0.3881</v>
      </c>
      <c r="EG20" s="43">
        <f t="shared" si="125"/>
        <v>0.3232873</v>
      </c>
      <c r="EH20" s="42">
        <v>485638</v>
      </c>
      <c r="EI20" s="42">
        <f t="shared" si="146"/>
        <v>242819</v>
      </c>
      <c r="EJ20" s="42">
        <v>2000</v>
      </c>
      <c r="EK20" s="36">
        <f t="shared" si="147"/>
        <v>0.8236587746428411</v>
      </c>
      <c r="EL20">
        <v>30.7</v>
      </c>
      <c r="EM20">
        <v>0.18629999999999999</v>
      </c>
      <c r="EN20" s="43">
        <f t="shared" si="126"/>
        <v>5.7194099999999998E-2</v>
      </c>
      <c r="EO20" s="42">
        <v>1156766</v>
      </c>
      <c r="EP20" s="42">
        <f t="shared" si="148"/>
        <v>578383</v>
      </c>
      <c r="EQ20" s="42">
        <v>8758</v>
      </c>
      <c r="ER20" s="36">
        <f t="shared" si="149"/>
        <v>1.5142215452390544</v>
      </c>
      <c r="ES20">
        <v>49.6</v>
      </c>
      <c r="ET20">
        <v>0.38840000000000002</v>
      </c>
      <c r="EU20" s="43">
        <f t="shared" si="127"/>
        <v>0.1926464</v>
      </c>
      <c r="EV20" s="42">
        <v>1465040</v>
      </c>
      <c r="EW20" s="42">
        <f t="shared" si="150"/>
        <v>732520</v>
      </c>
      <c r="EX20" s="42">
        <v>9348</v>
      </c>
      <c r="EY20" s="36">
        <f t="shared" si="151"/>
        <v>1.2761426309179271</v>
      </c>
      <c r="EZ20">
        <v>29.2</v>
      </c>
      <c r="FA20">
        <v>0.44780000000000003</v>
      </c>
      <c r="FB20" s="43">
        <f t="shared" si="128"/>
        <v>0.1307576</v>
      </c>
    </row>
    <row r="21" spans="1:158" ht="16.5" customHeight="1">
      <c r="A21" s="32">
        <v>1984</v>
      </c>
      <c r="B21" s="42">
        <v>12566684</v>
      </c>
      <c r="C21" s="42">
        <f t="shared" si="66"/>
        <v>6283342</v>
      </c>
      <c r="D21" s="42">
        <v>65172</v>
      </c>
      <c r="E21" s="36">
        <f t="shared" si="67"/>
        <v>1.0372187285046714</v>
      </c>
      <c r="F21" s="13">
        <v>50.9</v>
      </c>
      <c r="G21" s="13">
        <v>0.33460000000000001</v>
      </c>
      <c r="H21" s="43">
        <f t="shared" si="152"/>
        <v>0.1703114</v>
      </c>
      <c r="I21" s="42">
        <v>264880</v>
      </c>
      <c r="J21" s="42">
        <f t="shared" si="68"/>
        <v>132440</v>
      </c>
      <c r="K21" s="42">
        <v>590</v>
      </c>
      <c r="L21" s="36">
        <f t="shared" si="69"/>
        <v>0.44548474781032921</v>
      </c>
      <c r="M21" s="13">
        <v>52.1</v>
      </c>
      <c r="N21" s="13">
        <v>0.40490000000000004</v>
      </c>
      <c r="O21" s="43">
        <f t="shared" si="162"/>
        <v>0.21095290000000003</v>
      </c>
      <c r="P21" s="42">
        <v>59019</v>
      </c>
      <c r="Q21" s="42">
        <f t="shared" si="70"/>
        <v>29509.5</v>
      </c>
      <c r="R21" s="42">
        <v>195</v>
      </c>
      <c r="S21" s="36">
        <f t="shared" si="71"/>
        <v>0.66080414781680474</v>
      </c>
      <c r="T21" s="13">
        <v>28.4</v>
      </c>
      <c r="U21" s="13">
        <v>0.1875</v>
      </c>
      <c r="V21" s="43">
        <f t="shared" si="153"/>
        <v>5.3249999999999992E-2</v>
      </c>
      <c r="W21" s="42">
        <v>419582</v>
      </c>
      <c r="X21" s="42">
        <f t="shared" si="72"/>
        <v>209791</v>
      </c>
      <c r="Y21" s="42">
        <v>2264</v>
      </c>
      <c r="Z21" s="36">
        <f t="shared" si="73"/>
        <v>1.0791692684624221</v>
      </c>
      <c r="AA21" s="13">
        <v>60.4</v>
      </c>
      <c r="AB21" s="13">
        <v>0.38850000000000001</v>
      </c>
      <c r="AC21" s="43">
        <f t="shared" si="154"/>
        <v>0.234654</v>
      </c>
      <c r="AD21" s="42">
        <v>345445</v>
      </c>
      <c r="AE21" s="42">
        <f t="shared" si="74"/>
        <v>172722.5</v>
      </c>
      <c r="AF21" s="42">
        <v>1427</v>
      </c>
      <c r="AG21" s="36">
        <f t="shared" si="75"/>
        <v>0.82618072341472604</v>
      </c>
      <c r="AH21" s="13">
        <v>67</v>
      </c>
      <c r="AI21" s="13">
        <v>0.36430000000000001</v>
      </c>
      <c r="AJ21" s="43">
        <f t="shared" si="155"/>
        <v>0.24408100000000002</v>
      </c>
      <c r="AK21" s="42">
        <v>3191298</v>
      </c>
      <c r="AL21" s="42">
        <f t="shared" si="76"/>
        <v>1595649</v>
      </c>
      <c r="AM21" s="42">
        <v>16845</v>
      </c>
      <c r="AN21" s="36">
        <f t="shared" si="77"/>
        <v>1.0556832987705944</v>
      </c>
      <c r="AO21" s="13">
        <v>54.7</v>
      </c>
      <c r="AP21" s="13">
        <v>0.29530000000000001</v>
      </c>
      <c r="AQ21" s="43">
        <f t="shared" si="156"/>
        <v>0.16152910000000001</v>
      </c>
      <c r="AR21" s="42">
        <v>4602005</v>
      </c>
      <c r="AS21" s="42">
        <f t="shared" si="78"/>
        <v>2301002.5</v>
      </c>
      <c r="AT21" s="42">
        <v>21636</v>
      </c>
      <c r="AU21" s="36">
        <f t="shared" si="79"/>
        <v>0.94028581020663815</v>
      </c>
      <c r="AV21" s="13">
        <v>46</v>
      </c>
      <c r="AW21" s="13">
        <v>0.37729999999999997</v>
      </c>
      <c r="AX21" s="43">
        <f t="shared" si="157"/>
        <v>0.17355799999999999</v>
      </c>
      <c r="AY21" s="42">
        <v>519957</v>
      </c>
      <c r="AZ21" s="42">
        <f t="shared" si="80"/>
        <v>259978.5</v>
      </c>
      <c r="BA21" s="42">
        <v>2611</v>
      </c>
      <c r="BB21" s="36">
        <f t="shared" si="81"/>
        <v>1.0043138182580482</v>
      </c>
      <c r="BC21" s="13">
        <v>40.4</v>
      </c>
      <c r="BD21" s="13">
        <v>0.34909999999999997</v>
      </c>
      <c r="BE21" s="43">
        <f t="shared" si="158"/>
        <v>0.14103639999999998</v>
      </c>
      <c r="BF21" s="42">
        <v>491740</v>
      </c>
      <c r="BG21" s="42">
        <f t="shared" si="82"/>
        <v>245870</v>
      </c>
      <c r="BH21" s="42">
        <v>1988</v>
      </c>
      <c r="BI21" s="36">
        <f t="shared" si="83"/>
        <v>0.80855736771464592</v>
      </c>
      <c r="BJ21" s="13">
        <v>51.5</v>
      </c>
      <c r="BK21" s="13">
        <v>0.34710000000000002</v>
      </c>
      <c r="BL21" s="43">
        <f t="shared" si="159"/>
        <v>0.17875650000000001</v>
      </c>
      <c r="BM21" s="42">
        <v>1157942</v>
      </c>
      <c r="BN21" s="42">
        <f t="shared" si="84"/>
        <v>578971</v>
      </c>
      <c r="BO21" s="42">
        <v>8454</v>
      </c>
      <c r="BP21" s="36">
        <f t="shared" si="85"/>
        <v>1.4601767618758108</v>
      </c>
      <c r="BQ21" s="13">
        <v>48.8</v>
      </c>
      <c r="BR21" s="13">
        <v>0.32679999999999998</v>
      </c>
      <c r="BS21" s="43">
        <f t="shared" si="160"/>
        <v>0.15947839999999996</v>
      </c>
      <c r="BT21" s="42">
        <v>1483135</v>
      </c>
      <c r="BU21" s="42">
        <f t="shared" si="86"/>
        <v>741567.5</v>
      </c>
      <c r="BV21" s="42">
        <v>8988</v>
      </c>
      <c r="BW21" s="36">
        <f t="shared" si="87"/>
        <v>1.2120272261122553</v>
      </c>
      <c r="BX21" s="13">
        <v>53.7</v>
      </c>
      <c r="BY21" s="13">
        <v>0.2868</v>
      </c>
      <c r="BZ21" s="43">
        <f t="shared" si="161"/>
        <v>0.1540116</v>
      </c>
      <c r="CC21" s="32">
        <v>1984</v>
      </c>
      <c r="CD21" s="42">
        <v>12566684</v>
      </c>
      <c r="CE21" s="42">
        <f t="shared" si="130"/>
        <v>6283342</v>
      </c>
      <c r="CF21" s="42">
        <v>65172</v>
      </c>
      <c r="CG21" s="36">
        <f t="shared" si="131"/>
        <v>1.0372187285046714</v>
      </c>
      <c r="CH21">
        <v>52.2</v>
      </c>
      <c r="CI21">
        <v>0.34409999999999996</v>
      </c>
      <c r="CJ21" s="43">
        <f t="shared" ref="CJ21:CJ24" si="163">CH21*CI21/100</f>
        <v>0.17962019999999998</v>
      </c>
      <c r="CK21" s="42">
        <v>264880</v>
      </c>
      <c r="CL21" s="42">
        <f t="shared" si="132"/>
        <v>132440</v>
      </c>
      <c r="CM21" s="42">
        <v>590</v>
      </c>
      <c r="CN21" s="36">
        <f t="shared" si="133"/>
        <v>0.44548474781032921</v>
      </c>
      <c r="CO21">
        <v>50</v>
      </c>
      <c r="CP21">
        <v>0.3367</v>
      </c>
      <c r="CQ21" s="43">
        <f t="shared" ref="CQ21:CQ47" si="164">CO21*CP21/100</f>
        <v>0.16835</v>
      </c>
      <c r="CR21" s="42">
        <v>59019</v>
      </c>
      <c r="CS21" s="42">
        <f t="shared" si="134"/>
        <v>29509.5</v>
      </c>
      <c r="CT21" s="42">
        <v>195</v>
      </c>
      <c r="CU21" s="36">
        <f t="shared" si="135"/>
        <v>0.66080414781680474</v>
      </c>
      <c r="CV21">
        <v>21.3</v>
      </c>
      <c r="CW21">
        <v>0.14249999999999999</v>
      </c>
      <c r="CX21" s="43">
        <f t="shared" si="120"/>
        <v>3.0352500000000001E-2</v>
      </c>
      <c r="CY21" s="42">
        <v>419582</v>
      </c>
      <c r="CZ21" s="42">
        <f t="shared" si="136"/>
        <v>209791</v>
      </c>
      <c r="DA21" s="42">
        <v>2264</v>
      </c>
      <c r="DB21" s="36">
        <f t="shared" si="137"/>
        <v>1.0791692684624221</v>
      </c>
      <c r="DC21">
        <v>58.2</v>
      </c>
      <c r="DD21">
        <v>0.34520000000000001</v>
      </c>
      <c r="DE21" s="43">
        <f t="shared" si="121"/>
        <v>0.20090640000000001</v>
      </c>
      <c r="DF21" s="42">
        <v>345445</v>
      </c>
      <c r="DG21" s="42">
        <f t="shared" si="138"/>
        <v>172722.5</v>
      </c>
      <c r="DH21" s="42">
        <v>1427</v>
      </c>
      <c r="DI21" s="36">
        <f t="shared" si="139"/>
        <v>0.82618072341472604</v>
      </c>
      <c r="DJ21">
        <v>61.4</v>
      </c>
      <c r="DK21">
        <v>0.3569</v>
      </c>
      <c r="DL21" s="43">
        <f t="shared" ref="DL21:DL47" si="165">DJ21*DK21/100</f>
        <v>0.21913660000000001</v>
      </c>
      <c r="DM21" s="42">
        <v>3191298</v>
      </c>
      <c r="DN21" s="42">
        <f t="shared" si="140"/>
        <v>1595649</v>
      </c>
      <c r="DO21" s="42">
        <v>16845</v>
      </c>
      <c r="DP21" s="36">
        <f t="shared" si="141"/>
        <v>1.0556832987705944</v>
      </c>
      <c r="DQ21">
        <v>56.3</v>
      </c>
      <c r="DR21">
        <v>0.29189999999999999</v>
      </c>
      <c r="DS21" s="43">
        <f t="shared" ref="DS21:DS47" si="166">DQ21*DR21/100</f>
        <v>0.16433969999999998</v>
      </c>
      <c r="DT21" s="42">
        <v>4602005</v>
      </c>
      <c r="DU21" s="42">
        <f t="shared" si="142"/>
        <v>2301002.5</v>
      </c>
      <c r="DV21" s="42">
        <v>21636</v>
      </c>
      <c r="DW21" s="36">
        <f t="shared" si="143"/>
        <v>0.94028581020663815</v>
      </c>
      <c r="DX21">
        <v>49.2</v>
      </c>
      <c r="DY21">
        <v>0.39630000000000004</v>
      </c>
      <c r="DZ21" s="43">
        <f t="shared" si="124"/>
        <v>0.19497960000000003</v>
      </c>
      <c r="EA21" s="42">
        <v>519957</v>
      </c>
      <c r="EB21" s="42">
        <f t="shared" si="144"/>
        <v>259978.5</v>
      </c>
      <c r="EC21" s="42">
        <v>2611</v>
      </c>
      <c r="ED21" s="36">
        <f t="shared" si="145"/>
        <v>1.0043138182580482</v>
      </c>
      <c r="EE21">
        <v>43.1</v>
      </c>
      <c r="EF21">
        <v>0.34920000000000001</v>
      </c>
      <c r="EG21" s="43">
        <f t="shared" ref="EG21:EG47" si="167">EE21*EF21/100</f>
        <v>0.15050520000000001</v>
      </c>
      <c r="EH21" s="42">
        <v>491740</v>
      </c>
      <c r="EI21" s="42">
        <f t="shared" si="146"/>
        <v>245870</v>
      </c>
      <c r="EJ21" s="42">
        <v>1988</v>
      </c>
      <c r="EK21" s="36">
        <f t="shared" si="147"/>
        <v>0.80855736771464592</v>
      </c>
      <c r="EL21">
        <v>46.2</v>
      </c>
      <c r="EM21">
        <v>0.34759999999999996</v>
      </c>
      <c r="EN21" s="43">
        <f t="shared" si="126"/>
        <v>0.16059119999999999</v>
      </c>
      <c r="EO21" s="42">
        <v>1157942</v>
      </c>
      <c r="EP21" s="42">
        <f t="shared" si="148"/>
        <v>578971</v>
      </c>
      <c r="EQ21" s="42">
        <v>8454</v>
      </c>
      <c r="ER21" s="36">
        <f t="shared" si="149"/>
        <v>1.4601767618758108</v>
      </c>
      <c r="ES21">
        <v>57.1</v>
      </c>
      <c r="ET21">
        <v>0.36399999999999999</v>
      </c>
      <c r="EU21" s="43">
        <f t="shared" si="127"/>
        <v>0.20784400000000003</v>
      </c>
      <c r="EV21" s="42">
        <v>1483135</v>
      </c>
      <c r="EW21" s="42">
        <f t="shared" si="150"/>
        <v>741567.5</v>
      </c>
      <c r="EX21" s="42">
        <v>8988</v>
      </c>
      <c r="EY21" s="36">
        <f t="shared" si="151"/>
        <v>1.2120272261122553</v>
      </c>
      <c r="EZ21">
        <v>47.3</v>
      </c>
      <c r="FA21">
        <v>0.31620000000000004</v>
      </c>
      <c r="FB21" s="43">
        <f t="shared" si="128"/>
        <v>0.14956259999999999</v>
      </c>
    </row>
    <row r="22" spans="1:158" ht="16.5" customHeight="1">
      <c r="A22" s="32">
        <v>1985</v>
      </c>
      <c r="B22" s="42">
        <v>12691563</v>
      </c>
      <c r="C22" s="42">
        <f t="shared" si="66"/>
        <v>6345781.5</v>
      </c>
      <c r="D22" s="42">
        <v>61976</v>
      </c>
      <c r="E22" s="36">
        <f t="shared" si="67"/>
        <v>0.97664881780124335</v>
      </c>
      <c r="F22" s="13">
        <v>51.2</v>
      </c>
      <c r="G22" s="13">
        <v>0.35119999999999996</v>
      </c>
      <c r="H22" s="43">
        <f t="shared" si="152"/>
        <v>0.17981439999999999</v>
      </c>
      <c r="I22" s="42">
        <v>266332</v>
      </c>
      <c r="J22" s="42">
        <f t="shared" si="68"/>
        <v>133166</v>
      </c>
      <c r="K22" s="42">
        <v>561</v>
      </c>
      <c r="L22" s="36">
        <f t="shared" si="69"/>
        <v>0.42127870477449197</v>
      </c>
      <c r="M22" s="13">
        <v>53.3</v>
      </c>
      <c r="N22" s="13">
        <v>0.44750000000000001</v>
      </c>
      <c r="O22" s="43">
        <f t="shared" si="162"/>
        <v>0.23851749999999999</v>
      </c>
      <c r="P22" s="42">
        <v>59682</v>
      </c>
      <c r="Q22" s="42">
        <f t="shared" si="70"/>
        <v>29841</v>
      </c>
      <c r="R22" s="42">
        <v>213</v>
      </c>
      <c r="S22" s="36">
        <f t="shared" si="71"/>
        <v>0.71378305016587917</v>
      </c>
      <c r="T22" s="13">
        <v>49.7</v>
      </c>
      <c r="U22" s="13">
        <v>0.20499999999999999</v>
      </c>
      <c r="V22" s="43">
        <f t="shared" si="153"/>
        <v>0.10188499999999999</v>
      </c>
      <c r="W22" s="42">
        <v>424523</v>
      </c>
      <c r="X22" s="42">
        <f t="shared" si="72"/>
        <v>212261.5</v>
      </c>
      <c r="Y22" s="42">
        <v>2337</v>
      </c>
      <c r="Z22" s="36">
        <f t="shared" si="73"/>
        <v>1.1010004169385403</v>
      </c>
      <c r="AA22" s="13">
        <v>58.1</v>
      </c>
      <c r="AB22" s="13">
        <v>0.40549999999999997</v>
      </c>
      <c r="AC22" s="43">
        <f t="shared" si="154"/>
        <v>0.23559549999999999</v>
      </c>
      <c r="AD22" s="42">
        <v>348351</v>
      </c>
      <c r="AE22" s="42">
        <f t="shared" si="74"/>
        <v>174175.5</v>
      </c>
      <c r="AF22" s="42">
        <v>1360</v>
      </c>
      <c r="AG22" s="36">
        <f t="shared" si="75"/>
        <v>0.78082164253870379</v>
      </c>
      <c r="AH22" s="13">
        <v>62.3</v>
      </c>
      <c r="AI22" s="13">
        <v>0.39640000000000003</v>
      </c>
      <c r="AJ22" s="43">
        <f t="shared" si="155"/>
        <v>0.24695720000000002</v>
      </c>
      <c r="AK22" s="42">
        <v>3212155</v>
      </c>
      <c r="AL22" s="42">
        <f t="shared" si="76"/>
        <v>1606077.5</v>
      </c>
      <c r="AM22" s="42">
        <v>15814</v>
      </c>
      <c r="AN22" s="36">
        <f t="shared" si="77"/>
        <v>0.98463492577412981</v>
      </c>
      <c r="AO22" s="13">
        <v>52.9</v>
      </c>
      <c r="AP22" s="13">
        <v>0.3579</v>
      </c>
      <c r="AQ22" s="43">
        <f t="shared" si="156"/>
        <v>0.1893291</v>
      </c>
      <c r="AR22" s="42">
        <v>4666620</v>
      </c>
      <c r="AS22" s="42">
        <f t="shared" si="78"/>
        <v>2333310</v>
      </c>
      <c r="AT22" s="42">
        <v>20851</v>
      </c>
      <c r="AU22" s="36">
        <f t="shared" si="79"/>
        <v>0.89362322194650523</v>
      </c>
      <c r="AV22" s="13">
        <v>48.8</v>
      </c>
      <c r="AW22" s="13">
        <v>0.33479999999999999</v>
      </c>
      <c r="AX22" s="43">
        <f t="shared" si="157"/>
        <v>0.16338239999999998</v>
      </c>
      <c r="AY22" s="42">
        <v>525049</v>
      </c>
      <c r="AZ22" s="42">
        <f t="shared" si="80"/>
        <v>262524.5</v>
      </c>
      <c r="BA22" s="42">
        <v>2313</v>
      </c>
      <c r="BB22" s="36">
        <f t="shared" si="81"/>
        <v>0.88106062481787417</v>
      </c>
      <c r="BC22" s="13">
        <v>51.1</v>
      </c>
      <c r="BD22" s="13">
        <v>0.37920000000000004</v>
      </c>
      <c r="BE22" s="43">
        <f t="shared" si="158"/>
        <v>0.1937712</v>
      </c>
      <c r="BF22" s="42">
        <v>496081</v>
      </c>
      <c r="BG22" s="42">
        <f t="shared" si="82"/>
        <v>248040.5</v>
      </c>
      <c r="BH22" s="42">
        <v>1927</v>
      </c>
      <c r="BI22" s="36">
        <f t="shared" si="83"/>
        <v>0.77688925800423725</v>
      </c>
      <c r="BJ22" s="13">
        <v>49.8</v>
      </c>
      <c r="BK22" s="13">
        <v>0.33529999999999999</v>
      </c>
      <c r="BL22" s="43">
        <f t="shared" si="159"/>
        <v>0.1669794</v>
      </c>
      <c r="BM22" s="42">
        <v>1164522</v>
      </c>
      <c r="BN22" s="42">
        <f t="shared" si="84"/>
        <v>582261</v>
      </c>
      <c r="BO22" s="42">
        <v>8102</v>
      </c>
      <c r="BP22" s="36">
        <f t="shared" si="85"/>
        <v>1.3914722091982805</v>
      </c>
      <c r="BQ22" s="13">
        <v>43.1</v>
      </c>
      <c r="BR22" s="13">
        <v>0.34490000000000004</v>
      </c>
      <c r="BS22" s="43">
        <f t="shared" si="160"/>
        <v>0.14865190000000003</v>
      </c>
      <c r="BT22" s="42">
        <v>1495721</v>
      </c>
      <c r="BU22" s="42">
        <f t="shared" si="86"/>
        <v>747860.5</v>
      </c>
      <c r="BV22" s="42">
        <v>8330</v>
      </c>
      <c r="BW22" s="36">
        <f t="shared" si="87"/>
        <v>1.1138440925814372</v>
      </c>
      <c r="BX22" s="13">
        <v>55.4</v>
      </c>
      <c r="BY22" s="13">
        <v>0.33829999999999999</v>
      </c>
      <c r="BZ22" s="43">
        <f t="shared" si="161"/>
        <v>0.18741820000000001</v>
      </c>
      <c r="CC22" s="32">
        <v>1985</v>
      </c>
      <c r="CD22" s="42">
        <v>12691563</v>
      </c>
      <c r="CE22" s="42">
        <f t="shared" si="130"/>
        <v>6345781.5</v>
      </c>
      <c r="CF22" s="42">
        <v>61976</v>
      </c>
      <c r="CG22" s="36">
        <f t="shared" si="131"/>
        <v>0.97664881780124335</v>
      </c>
      <c r="CH22">
        <v>52.5</v>
      </c>
      <c r="CI22">
        <v>0.35460000000000003</v>
      </c>
      <c r="CJ22" s="43">
        <f t="shared" si="163"/>
        <v>0.18616500000000002</v>
      </c>
      <c r="CK22" s="42">
        <v>266332</v>
      </c>
      <c r="CL22" s="42">
        <f t="shared" si="132"/>
        <v>133166</v>
      </c>
      <c r="CM22" s="42">
        <v>561</v>
      </c>
      <c r="CN22" s="36">
        <f t="shared" si="133"/>
        <v>0.42127870477449197</v>
      </c>
      <c r="CO22">
        <v>57.9</v>
      </c>
      <c r="CP22">
        <v>0.37909999999999999</v>
      </c>
      <c r="CQ22" s="43">
        <f t="shared" si="164"/>
        <v>0.2194989</v>
      </c>
      <c r="CR22" s="42">
        <v>59682</v>
      </c>
      <c r="CS22" s="42">
        <f t="shared" si="134"/>
        <v>29841</v>
      </c>
      <c r="CT22" s="42">
        <v>213</v>
      </c>
      <c r="CU22" s="36">
        <f t="shared" si="135"/>
        <v>0.71378305016587917</v>
      </c>
      <c r="CV22">
        <v>26.9</v>
      </c>
      <c r="CW22">
        <f>(CW21+CW23)/2</f>
        <v>0.20355000000000001</v>
      </c>
      <c r="CX22" s="43">
        <f t="shared" ref="CX22:CX47" si="168">CV22*CW22/100</f>
        <v>5.4754949999999997E-2</v>
      </c>
      <c r="CY22" s="42">
        <v>424523</v>
      </c>
      <c r="CZ22" s="42">
        <f t="shared" si="136"/>
        <v>212261.5</v>
      </c>
      <c r="DA22" s="42">
        <v>2337</v>
      </c>
      <c r="DB22" s="36">
        <f t="shared" si="137"/>
        <v>1.1010004169385403</v>
      </c>
      <c r="DC22">
        <v>55.7</v>
      </c>
      <c r="DD22">
        <v>0.36670000000000003</v>
      </c>
      <c r="DE22" s="43">
        <f t="shared" ref="DE22:DE47" si="169">DC22*DD22/100</f>
        <v>0.20425190000000004</v>
      </c>
      <c r="DF22" s="42">
        <v>348351</v>
      </c>
      <c r="DG22" s="42">
        <f t="shared" si="138"/>
        <v>174175.5</v>
      </c>
      <c r="DH22" s="42">
        <v>1360</v>
      </c>
      <c r="DI22" s="36">
        <f t="shared" si="139"/>
        <v>0.78082164253870379</v>
      </c>
      <c r="DJ22">
        <v>56.7</v>
      </c>
      <c r="DK22">
        <v>0.33250000000000002</v>
      </c>
      <c r="DL22" s="43">
        <f t="shared" si="165"/>
        <v>0.18852750000000001</v>
      </c>
      <c r="DM22" s="42">
        <v>3212155</v>
      </c>
      <c r="DN22" s="42">
        <f t="shared" si="140"/>
        <v>1606077.5</v>
      </c>
      <c r="DO22" s="42">
        <v>15814</v>
      </c>
      <c r="DP22" s="36">
        <f t="shared" si="141"/>
        <v>0.98463492577412981</v>
      </c>
      <c r="DQ22">
        <v>53.8</v>
      </c>
      <c r="DR22">
        <v>0.36249999999999999</v>
      </c>
      <c r="DS22" s="43">
        <f t="shared" si="166"/>
        <v>0.19502499999999998</v>
      </c>
      <c r="DT22" s="42">
        <v>4666620</v>
      </c>
      <c r="DU22" s="42">
        <f t="shared" si="142"/>
        <v>2333310</v>
      </c>
      <c r="DV22" s="42">
        <v>20851</v>
      </c>
      <c r="DW22" s="36">
        <f t="shared" si="143"/>
        <v>0.89362322194650523</v>
      </c>
      <c r="DX22">
        <v>51.4</v>
      </c>
      <c r="DY22">
        <v>0.34229999999999999</v>
      </c>
      <c r="DZ22" s="43">
        <f t="shared" ref="DZ22:DZ47" si="170">DX22*DY22/100</f>
        <v>0.17594219999999999</v>
      </c>
      <c r="EA22" s="42">
        <v>525049</v>
      </c>
      <c r="EB22" s="42">
        <f t="shared" si="144"/>
        <v>262524.5</v>
      </c>
      <c r="EC22" s="42">
        <v>2313</v>
      </c>
      <c r="ED22" s="36">
        <f t="shared" si="145"/>
        <v>0.88106062481787417</v>
      </c>
      <c r="EE22">
        <v>56.5</v>
      </c>
      <c r="EF22">
        <v>0.38619999999999999</v>
      </c>
      <c r="EG22" s="43">
        <f t="shared" si="167"/>
        <v>0.21820300000000001</v>
      </c>
      <c r="EH22" s="42">
        <v>496081</v>
      </c>
      <c r="EI22" s="42">
        <f t="shared" si="146"/>
        <v>248040.5</v>
      </c>
      <c r="EJ22" s="42">
        <v>1927</v>
      </c>
      <c r="EK22" s="36">
        <f t="shared" si="147"/>
        <v>0.77688925800423725</v>
      </c>
      <c r="EL22">
        <v>45.1</v>
      </c>
      <c r="EM22">
        <v>0.32299999999999995</v>
      </c>
      <c r="EN22" s="43">
        <f t="shared" si="126"/>
        <v>0.14567299999999997</v>
      </c>
      <c r="EO22" s="42">
        <v>1164522</v>
      </c>
      <c r="EP22" s="42">
        <f t="shared" si="148"/>
        <v>582261</v>
      </c>
      <c r="EQ22" s="42">
        <v>8102</v>
      </c>
      <c r="ER22" s="36">
        <f t="shared" si="149"/>
        <v>1.3914722091982805</v>
      </c>
      <c r="ES22">
        <v>47.7</v>
      </c>
      <c r="ET22">
        <v>0.36109999999999998</v>
      </c>
      <c r="EU22" s="43">
        <f t="shared" ref="EU22:EU47" si="171">ES22*ET22/100</f>
        <v>0.1722447</v>
      </c>
      <c r="EV22" s="42">
        <v>1495721</v>
      </c>
      <c r="EW22" s="42">
        <f t="shared" si="150"/>
        <v>747860.5</v>
      </c>
      <c r="EX22" s="42">
        <v>8330</v>
      </c>
      <c r="EY22" s="36">
        <f t="shared" si="151"/>
        <v>1.1138440925814372</v>
      </c>
      <c r="EZ22">
        <v>55</v>
      </c>
      <c r="FA22">
        <v>0.36149999999999999</v>
      </c>
      <c r="FB22" s="43">
        <f t="shared" si="128"/>
        <v>0.198825</v>
      </c>
    </row>
    <row r="23" spans="1:158" ht="16.5" customHeight="1">
      <c r="A23" s="32">
        <v>1986</v>
      </c>
      <c r="B23" s="42">
        <v>12826037</v>
      </c>
      <c r="C23" s="42">
        <f t="shared" si="66"/>
        <v>6413018.5</v>
      </c>
      <c r="D23" s="42">
        <v>78304</v>
      </c>
      <c r="E23" s="36">
        <f t="shared" si="67"/>
        <v>1.221016281178668</v>
      </c>
      <c r="F23" s="13">
        <v>49.1</v>
      </c>
      <c r="G23" s="13">
        <v>0.32950000000000002</v>
      </c>
      <c r="H23" s="43">
        <f t="shared" si="152"/>
        <v>0.16178450000000003</v>
      </c>
      <c r="I23" s="42">
        <v>266945</v>
      </c>
      <c r="J23" s="42">
        <f t="shared" si="68"/>
        <v>133472.5</v>
      </c>
      <c r="K23" s="42">
        <v>687</v>
      </c>
      <c r="L23" s="36">
        <f t="shared" si="69"/>
        <v>0.51471276854782821</v>
      </c>
      <c r="M23" s="13">
        <v>54.6</v>
      </c>
      <c r="N23" s="13">
        <v>0.4279</v>
      </c>
      <c r="O23" s="43">
        <f t="shared" si="162"/>
        <v>0.23363340000000002</v>
      </c>
      <c r="P23" s="42">
        <v>60268</v>
      </c>
      <c r="Q23" s="42">
        <f t="shared" si="70"/>
        <v>30134</v>
      </c>
      <c r="R23" s="42">
        <v>199</v>
      </c>
      <c r="S23" s="36">
        <f t="shared" si="71"/>
        <v>0.66038361983141969</v>
      </c>
      <c r="T23" s="13">
        <v>42.1</v>
      </c>
      <c r="U23" s="13">
        <v>0.36859999999999998</v>
      </c>
      <c r="V23" s="43">
        <f t="shared" si="153"/>
        <v>0.1551806</v>
      </c>
      <c r="W23" s="42">
        <v>427755</v>
      </c>
      <c r="X23" s="42">
        <f t="shared" si="72"/>
        <v>213877.5</v>
      </c>
      <c r="Y23" s="42">
        <v>2609</v>
      </c>
      <c r="Z23" s="36">
        <f t="shared" si="73"/>
        <v>1.2198571612254678</v>
      </c>
      <c r="AA23" s="13">
        <v>62.5</v>
      </c>
      <c r="AB23" s="13">
        <v>0.34619999999999995</v>
      </c>
      <c r="AC23" s="43">
        <f t="shared" si="154"/>
        <v>0.21637499999999996</v>
      </c>
      <c r="AD23" s="42">
        <v>350566</v>
      </c>
      <c r="AE23" s="42">
        <f t="shared" si="74"/>
        <v>175283</v>
      </c>
      <c r="AF23" s="42">
        <v>1729</v>
      </c>
      <c r="AG23" s="36">
        <f t="shared" si="75"/>
        <v>0.98640484245477311</v>
      </c>
      <c r="AH23" s="13">
        <v>59.8</v>
      </c>
      <c r="AI23" s="13">
        <v>0.3508</v>
      </c>
      <c r="AJ23" s="43">
        <f t="shared" si="155"/>
        <v>0.2097784</v>
      </c>
      <c r="AK23" s="42">
        <v>3236115</v>
      </c>
      <c r="AL23" s="42">
        <f t="shared" si="76"/>
        <v>1618057.5</v>
      </c>
      <c r="AM23" s="42">
        <v>19026</v>
      </c>
      <c r="AN23" s="36">
        <f t="shared" si="77"/>
        <v>1.175854380947525</v>
      </c>
      <c r="AO23" s="13">
        <v>53.6</v>
      </c>
      <c r="AP23" s="13">
        <v>0.32619999999999999</v>
      </c>
      <c r="AQ23" s="43">
        <f t="shared" si="156"/>
        <v>0.1748432</v>
      </c>
      <c r="AR23" s="42">
        <v>4737900</v>
      </c>
      <c r="AS23" s="42">
        <f t="shared" si="78"/>
        <v>2368950</v>
      </c>
      <c r="AT23" s="42">
        <v>27549</v>
      </c>
      <c r="AU23" s="36">
        <f t="shared" si="79"/>
        <v>1.1629202811372128</v>
      </c>
      <c r="AV23" s="13">
        <v>43.4</v>
      </c>
      <c r="AW23" s="13">
        <v>0.31590000000000001</v>
      </c>
      <c r="AX23" s="43">
        <f t="shared" si="157"/>
        <v>0.13710060000000002</v>
      </c>
      <c r="AY23" s="42">
        <v>529731</v>
      </c>
      <c r="AZ23" s="42">
        <f t="shared" si="80"/>
        <v>264865.5</v>
      </c>
      <c r="BA23" s="42">
        <v>2982</v>
      </c>
      <c r="BB23" s="36">
        <f t="shared" si="81"/>
        <v>1.1258544431041415</v>
      </c>
      <c r="BC23" s="13">
        <v>55.2</v>
      </c>
      <c r="BD23" s="13">
        <v>0.37530000000000002</v>
      </c>
      <c r="BE23" s="43">
        <f t="shared" si="158"/>
        <v>0.20716560000000001</v>
      </c>
      <c r="BF23" s="42">
        <v>497526</v>
      </c>
      <c r="BG23" s="42">
        <f t="shared" si="82"/>
        <v>248763</v>
      </c>
      <c r="BH23" s="42">
        <v>2479</v>
      </c>
      <c r="BI23" s="36">
        <f t="shared" si="83"/>
        <v>0.99653083456944969</v>
      </c>
      <c r="BJ23" s="13">
        <v>53</v>
      </c>
      <c r="BK23" s="13">
        <v>0.30969999999999998</v>
      </c>
      <c r="BL23" s="43">
        <f t="shared" si="159"/>
        <v>0.16414099999999998</v>
      </c>
      <c r="BM23" s="42">
        <v>1177155</v>
      </c>
      <c r="BN23" s="42">
        <f t="shared" si="84"/>
        <v>588577.5</v>
      </c>
      <c r="BO23" s="42">
        <v>9556</v>
      </c>
      <c r="BP23" s="36">
        <f t="shared" si="85"/>
        <v>1.6235754849616237</v>
      </c>
      <c r="BQ23" s="13">
        <v>35.9</v>
      </c>
      <c r="BR23" s="13">
        <v>0.3417</v>
      </c>
      <c r="BS23" s="43">
        <f t="shared" si="160"/>
        <v>0.1226703</v>
      </c>
      <c r="BT23" s="42">
        <v>1509383</v>
      </c>
      <c r="BU23" s="42">
        <f t="shared" si="86"/>
        <v>754691.5</v>
      </c>
      <c r="BV23" s="42">
        <v>11299</v>
      </c>
      <c r="BW23" s="36">
        <f t="shared" si="87"/>
        <v>1.4971680481362251</v>
      </c>
      <c r="BX23" s="13">
        <v>55.5</v>
      </c>
      <c r="BY23" s="13">
        <v>0.31690000000000002</v>
      </c>
      <c r="BZ23" s="43">
        <f t="shared" si="161"/>
        <v>0.17587949999999999</v>
      </c>
      <c r="CC23" s="32">
        <v>1986</v>
      </c>
      <c r="CD23" s="42">
        <v>12826037</v>
      </c>
      <c r="CE23" s="42">
        <f t="shared" si="130"/>
        <v>6413018.5</v>
      </c>
      <c r="CF23" s="42">
        <v>78304</v>
      </c>
      <c r="CG23" s="36">
        <f t="shared" si="131"/>
        <v>1.221016281178668</v>
      </c>
      <c r="CH23">
        <v>48.7</v>
      </c>
      <c r="CI23">
        <v>0.32659999999999995</v>
      </c>
      <c r="CJ23" s="43">
        <f t="shared" si="163"/>
        <v>0.15905419999999998</v>
      </c>
      <c r="CK23" s="42">
        <v>266945</v>
      </c>
      <c r="CL23" s="42">
        <f t="shared" si="132"/>
        <v>133472.5</v>
      </c>
      <c r="CM23" s="42">
        <v>687</v>
      </c>
      <c r="CN23" s="36">
        <f t="shared" si="133"/>
        <v>0.51471276854782821</v>
      </c>
      <c r="CO23">
        <v>48.2</v>
      </c>
      <c r="CP23">
        <v>0.40810000000000002</v>
      </c>
      <c r="CQ23" s="43">
        <f t="shared" si="164"/>
        <v>0.19670420000000002</v>
      </c>
      <c r="CR23" s="42">
        <v>60268</v>
      </c>
      <c r="CS23" s="42">
        <f t="shared" si="134"/>
        <v>30134</v>
      </c>
      <c r="CT23" s="42">
        <v>199</v>
      </c>
      <c r="CU23" s="36">
        <f t="shared" si="135"/>
        <v>0.66038361983141969</v>
      </c>
      <c r="CV23">
        <v>35</v>
      </c>
      <c r="CW23">
        <v>0.2646</v>
      </c>
      <c r="CX23" s="43">
        <f t="shared" si="168"/>
        <v>9.2609999999999998E-2</v>
      </c>
      <c r="CY23" s="42">
        <v>427755</v>
      </c>
      <c r="CZ23" s="42">
        <f t="shared" si="136"/>
        <v>213877.5</v>
      </c>
      <c r="DA23" s="42">
        <v>2609</v>
      </c>
      <c r="DB23" s="36">
        <f t="shared" si="137"/>
        <v>1.2198571612254678</v>
      </c>
      <c r="DC23">
        <v>53.5</v>
      </c>
      <c r="DD23">
        <v>0.32130000000000003</v>
      </c>
      <c r="DE23" s="43">
        <f t="shared" si="169"/>
        <v>0.17189550000000001</v>
      </c>
      <c r="DF23" s="42">
        <v>350566</v>
      </c>
      <c r="DG23" s="42">
        <f t="shared" si="138"/>
        <v>175283</v>
      </c>
      <c r="DH23" s="42">
        <v>1729</v>
      </c>
      <c r="DI23" s="36">
        <f t="shared" si="139"/>
        <v>0.98640484245477311</v>
      </c>
      <c r="DJ23">
        <v>54.4</v>
      </c>
      <c r="DK23">
        <v>0.2767</v>
      </c>
      <c r="DL23" s="43">
        <f t="shared" si="165"/>
        <v>0.15052479999999999</v>
      </c>
      <c r="DM23" s="42">
        <v>3236115</v>
      </c>
      <c r="DN23" s="42">
        <f t="shared" si="140"/>
        <v>1618057.5</v>
      </c>
      <c r="DO23" s="42">
        <v>19026</v>
      </c>
      <c r="DP23" s="36">
        <f t="shared" si="141"/>
        <v>1.175854380947525</v>
      </c>
      <c r="DQ23">
        <v>55</v>
      </c>
      <c r="DR23">
        <v>0.31409999999999999</v>
      </c>
      <c r="DS23" s="43">
        <f t="shared" si="166"/>
        <v>0.17275500000000002</v>
      </c>
      <c r="DT23" s="42">
        <v>4737900</v>
      </c>
      <c r="DU23" s="42">
        <f t="shared" si="142"/>
        <v>2368950</v>
      </c>
      <c r="DV23" s="42">
        <v>27549</v>
      </c>
      <c r="DW23" s="36">
        <f t="shared" si="143"/>
        <v>1.1629202811372128</v>
      </c>
      <c r="DX23">
        <v>45.4</v>
      </c>
      <c r="DY23">
        <v>0.32789999999999997</v>
      </c>
      <c r="DZ23" s="43">
        <f t="shared" si="170"/>
        <v>0.14886659999999996</v>
      </c>
      <c r="EA23" s="42">
        <v>529731</v>
      </c>
      <c r="EB23" s="42">
        <f t="shared" si="144"/>
        <v>264865.5</v>
      </c>
      <c r="EC23" s="42">
        <v>2982</v>
      </c>
      <c r="ED23" s="36">
        <f t="shared" si="145"/>
        <v>1.1258544431041415</v>
      </c>
      <c r="EE23">
        <v>56.5</v>
      </c>
      <c r="EF23">
        <v>0.40029999999999999</v>
      </c>
      <c r="EG23" s="43">
        <f t="shared" si="167"/>
        <v>0.2261695</v>
      </c>
      <c r="EH23" s="42">
        <v>497526</v>
      </c>
      <c r="EI23" s="42">
        <f t="shared" si="146"/>
        <v>248763</v>
      </c>
      <c r="EJ23" s="42">
        <v>2479</v>
      </c>
      <c r="EK23" s="36">
        <f t="shared" si="147"/>
        <v>0.99653083456944969</v>
      </c>
      <c r="EL23">
        <v>50.4</v>
      </c>
      <c r="EM23">
        <v>0.30980000000000002</v>
      </c>
      <c r="EN23" s="43">
        <f t="shared" si="126"/>
        <v>0.15613920000000001</v>
      </c>
      <c r="EO23" s="42">
        <v>1177155</v>
      </c>
      <c r="EP23" s="42">
        <f t="shared" si="148"/>
        <v>588577.5</v>
      </c>
      <c r="EQ23" s="42">
        <v>9556</v>
      </c>
      <c r="ER23" s="36">
        <f t="shared" si="149"/>
        <v>1.6235754849616237</v>
      </c>
      <c r="ES23">
        <v>36.5</v>
      </c>
      <c r="ET23">
        <v>0.3407</v>
      </c>
      <c r="EU23" s="43">
        <f t="shared" si="171"/>
        <v>0.12435549999999999</v>
      </c>
      <c r="EV23" s="42">
        <v>1509383</v>
      </c>
      <c r="EW23" s="42">
        <f t="shared" si="150"/>
        <v>754691.5</v>
      </c>
      <c r="EX23" s="42">
        <v>11299</v>
      </c>
      <c r="EY23" s="36">
        <f t="shared" si="151"/>
        <v>1.4971680481362251</v>
      </c>
      <c r="EZ23">
        <v>50.7</v>
      </c>
      <c r="FA23">
        <v>0.31989999999999996</v>
      </c>
      <c r="FB23" s="43">
        <f t="shared" si="128"/>
        <v>0.16218930000000001</v>
      </c>
    </row>
    <row r="24" spans="1:158" ht="16.5" customHeight="1">
      <c r="A24" s="32">
        <v>1987</v>
      </c>
      <c r="B24" s="42">
        <v>13045693</v>
      </c>
      <c r="C24" s="42">
        <f t="shared" si="66"/>
        <v>6522846.5</v>
      </c>
      <c r="D24" s="42">
        <v>96200</v>
      </c>
      <c r="E24" s="36">
        <f t="shared" si="67"/>
        <v>1.4748162477838471</v>
      </c>
      <c r="F24" s="13">
        <v>48.5</v>
      </c>
      <c r="G24" s="13">
        <v>0.32319999999999999</v>
      </c>
      <c r="H24" s="43">
        <f t="shared" si="152"/>
        <v>0.156752</v>
      </c>
      <c r="I24" s="42">
        <v>269258</v>
      </c>
      <c r="J24" s="42">
        <f t="shared" si="68"/>
        <v>134629</v>
      </c>
      <c r="K24" s="42">
        <v>1117</v>
      </c>
      <c r="L24" s="36">
        <f t="shared" si="69"/>
        <v>0.82968751160596899</v>
      </c>
      <c r="M24" s="13">
        <v>64.900000000000006</v>
      </c>
      <c r="N24" s="13">
        <v>0.4022</v>
      </c>
      <c r="O24" s="43">
        <f t="shared" si="162"/>
        <v>0.26102780000000003</v>
      </c>
      <c r="P24" s="42">
        <v>60885</v>
      </c>
      <c r="Q24" s="42">
        <f t="shared" si="70"/>
        <v>30442.5</v>
      </c>
      <c r="R24" s="42">
        <v>275</v>
      </c>
      <c r="S24" s="36">
        <f t="shared" si="71"/>
        <v>0.90334236675700086</v>
      </c>
      <c r="T24" s="13">
        <v>52</v>
      </c>
      <c r="U24" s="13">
        <v>0.33850000000000002</v>
      </c>
      <c r="V24" s="43">
        <f t="shared" si="153"/>
        <v>0.17602000000000001</v>
      </c>
      <c r="W24" s="42">
        <v>433148</v>
      </c>
      <c r="X24" s="42">
        <f t="shared" si="72"/>
        <v>216574</v>
      </c>
      <c r="Y24" s="42">
        <v>2759</v>
      </c>
      <c r="Z24" s="36">
        <f t="shared" si="73"/>
        <v>1.2739294652174316</v>
      </c>
      <c r="AA24" s="13">
        <v>56.8</v>
      </c>
      <c r="AB24" s="13">
        <v>0.37459999999999999</v>
      </c>
      <c r="AC24" s="43">
        <f t="shared" si="154"/>
        <v>0.21277279999999998</v>
      </c>
      <c r="AD24" s="42">
        <v>354896</v>
      </c>
      <c r="AE24" s="42">
        <f t="shared" si="74"/>
        <v>177448</v>
      </c>
      <c r="AF24" s="42">
        <v>1995</v>
      </c>
      <c r="AG24" s="36">
        <f t="shared" si="75"/>
        <v>1.124273026464091</v>
      </c>
      <c r="AH24" s="13">
        <v>66.099999999999994</v>
      </c>
      <c r="AI24" s="13">
        <v>0.3528</v>
      </c>
      <c r="AJ24" s="43">
        <f t="shared" si="155"/>
        <v>0.23320079999999999</v>
      </c>
      <c r="AK24" s="42">
        <v>3294273</v>
      </c>
      <c r="AL24" s="42">
        <f t="shared" si="76"/>
        <v>1647136.5</v>
      </c>
      <c r="AM24" s="42">
        <v>22098</v>
      </c>
      <c r="AN24" s="36">
        <f t="shared" si="77"/>
        <v>1.3416010148521389</v>
      </c>
      <c r="AO24" s="13">
        <v>54.9</v>
      </c>
      <c r="AP24" s="13">
        <v>0.32069999999999999</v>
      </c>
      <c r="AQ24" s="43">
        <f t="shared" si="156"/>
        <v>0.17606430000000001</v>
      </c>
      <c r="AR24" s="42">
        <v>4844546</v>
      </c>
      <c r="AS24" s="42">
        <f t="shared" si="78"/>
        <v>2422273</v>
      </c>
      <c r="AT24" s="42">
        <v>39095</v>
      </c>
      <c r="AU24" s="36">
        <f t="shared" si="79"/>
        <v>1.6139799271180415</v>
      </c>
      <c r="AV24" s="13">
        <v>37.6</v>
      </c>
      <c r="AW24" s="13">
        <v>0.2959</v>
      </c>
      <c r="AX24" s="43">
        <f t="shared" si="157"/>
        <v>0.11125840000000001</v>
      </c>
      <c r="AY24" s="42">
        <v>533425</v>
      </c>
      <c r="AZ24" s="42">
        <f t="shared" si="80"/>
        <v>266712.5</v>
      </c>
      <c r="BA24" s="42">
        <v>3923</v>
      </c>
      <c r="BB24" s="36">
        <f t="shared" si="81"/>
        <v>1.4708721938416836</v>
      </c>
      <c r="BC24" s="13">
        <v>46.7</v>
      </c>
      <c r="BD24" s="13">
        <v>0.33860000000000001</v>
      </c>
      <c r="BE24" s="43">
        <f t="shared" si="158"/>
        <v>0.15812619999999999</v>
      </c>
      <c r="BF24" s="42">
        <v>500066</v>
      </c>
      <c r="BG24" s="42">
        <f t="shared" si="82"/>
        <v>250033</v>
      </c>
      <c r="BH24" s="42">
        <v>2968</v>
      </c>
      <c r="BI24" s="36">
        <f t="shared" si="83"/>
        <v>1.1870433102830427</v>
      </c>
      <c r="BJ24" s="13">
        <v>53.9</v>
      </c>
      <c r="BK24" s="13">
        <v>0.34970000000000001</v>
      </c>
      <c r="BL24" s="43">
        <f t="shared" si="159"/>
        <v>0.1884883</v>
      </c>
      <c r="BM24" s="42">
        <v>1183350</v>
      </c>
      <c r="BN24" s="42">
        <f t="shared" si="84"/>
        <v>591675</v>
      </c>
      <c r="BO24" s="42">
        <v>9535</v>
      </c>
      <c r="BP24" s="36">
        <f t="shared" si="85"/>
        <v>1.6115265982169267</v>
      </c>
      <c r="BQ24" s="13">
        <v>44.2</v>
      </c>
      <c r="BR24" s="13">
        <v>0.31319999999999998</v>
      </c>
      <c r="BS24" s="43">
        <f t="shared" si="160"/>
        <v>0.13843439999999999</v>
      </c>
      <c r="BT24" s="42">
        <v>1538310</v>
      </c>
      <c r="BU24" s="42">
        <f t="shared" si="86"/>
        <v>769155</v>
      </c>
      <c r="BV24" s="42">
        <v>12184</v>
      </c>
      <c r="BW24" s="36">
        <f t="shared" si="87"/>
        <v>1.5840760314891018</v>
      </c>
      <c r="BX24" s="13">
        <v>52.1</v>
      </c>
      <c r="BY24" s="13">
        <v>0.32909999999999995</v>
      </c>
      <c r="BZ24" s="43">
        <f t="shared" si="161"/>
        <v>0.17146109999999998</v>
      </c>
      <c r="CC24" s="32">
        <v>1987</v>
      </c>
      <c r="CD24" s="42">
        <v>13045693</v>
      </c>
      <c r="CE24" s="42">
        <f t="shared" si="130"/>
        <v>6522846.5</v>
      </c>
      <c r="CF24" s="42">
        <v>96200</v>
      </c>
      <c r="CG24" s="36">
        <f t="shared" si="131"/>
        <v>1.4748162477838471</v>
      </c>
      <c r="CH24">
        <v>48.4</v>
      </c>
      <c r="CI24">
        <v>0.32340000000000002</v>
      </c>
      <c r="CJ24" s="43">
        <f t="shared" si="163"/>
        <v>0.15652560000000001</v>
      </c>
      <c r="CK24" s="42">
        <v>269258</v>
      </c>
      <c r="CL24" s="42">
        <f t="shared" si="132"/>
        <v>134629</v>
      </c>
      <c r="CM24" s="42">
        <v>1117</v>
      </c>
      <c r="CN24" s="36">
        <f t="shared" si="133"/>
        <v>0.82968751160596899</v>
      </c>
      <c r="CO24">
        <v>58.9</v>
      </c>
      <c r="CP24">
        <v>0.36969999999999997</v>
      </c>
      <c r="CQ24" s="43">
        <f t="shared" si="164"/>
        <v>0.21775329999999996</v>
      </c>
      <c r="CR24" s="42">
        <v>60885</v>
      </c>
      <c r="CS24" s="42">
        <f t="shared" si="134"/>
        <v>30442.5</v>
      </c>
      <c r="CT24" s="42">
        <v>275</v>
      </c>
      <c r="CU24" s="36">
        <f t="shared" si="135"/>
        <v>0.90334236675700086</v>
      </c>
      <c r="CV24">
        <v>36.5</v>
      </c>
      <c r="CW24">
        <v>0.30680000000000002</v>
      </c>
      <c r="CX24" s="43">
        <f t="shared" si="168"/>
        <v>0.111982</v>
      </c>
      <c r="CY24" s="42">
        <v>433148</v>
      </c>
      <c r="CZ24" s="42">
        <f t="shared" si="136"/>
        <v>216574</v>
      </c>
      <c r="DA24" s="42">
        <v>2759</v>
      </c>
      <c r="DB24" s="36">
        <f t="shared" si="137"/>
        <v>1.2739294652174316</v>
      </c>
      <c r="DC24">
        <v>49.9</v>
      </c>
      <c r="DD24">
        <v>0.3201</v>
      </c>
      <c r="DE24" s="43">
        <f t="shared" si="169"/>
        <v>0.15972989999999998</v>
      </c>
      <c r="DF24" s="42">
        <v>354896</v>
      </c>
      <c r="DG24" s="42">
        <f t="shared" si="138"/>
        <v>177448</v>
      </c>
      <c r="DH24" s="42">
        <v>1995</v>
      </c>
      <c r="DI24" s="36">
        <f t="shared" si="139"/>
        <v>1.124273026464091</v>
      </c>
      <c r="DJ24">
        <v>60.4</v>
      </c>
      <c r="DK24">
        <v>0.2989</v>
      </c>
      <c r="DL24" s="43">
        <f t="shared" si="165"/>
        <v>0.18053560000000002</v>
      </c>
      <c r="DM24" s="42">
        <v>3294273</v>
      </c>
      <c r="DN24" s="42">
        <f t="shared" si="140"/>
        <v>1647136.5</v>
      </c>
      <c r="DO24" s="42">
        <v>22098</v>
      </c>
      <c r="DP24" s="36">
        <f t="shared" si="141"/>
        <v>1.3416010148521389</v>
      </c>
      <c r="DQ24">
        <v>55.9</v>
      </c>
      <c r="DR24">
        <v>0.3306</v>
      </c>
      <c r="DS24" s="43">
        <f t="shared" si="166"/>
        <v>0.18480540000000001</v>
      </c>
      <c r="DT24" s="42">
        <v>4844546</v>
      </c>
      <c r="DU24" s="42">
        <f t="shared" si="142"/>
        <v>2422273</v>
      </c>
      <c r="DV24" s="42">
        <v>39095</v>
      </c>
      <c r="DW24" s="36">
        <f t="shared" si="143"/>
        <v>1.6139799271180415</v>
      </c>
      <c r="DX24">
        <v>37.6</v>
      </c>
      <c r="DY24">
        <v>0.30559999999999998</v>
      </c>
      <c r="DZ24" s="43">
        <f t="shared" si="170"/>
        <v>0.1149056</v>
      </c>
      <c r="EA24" s="42">
        <v>533425</v>
      </c>
      <c r="EB24" s="42">
        <f t="shared" si="144"/>
        <v>266712.5</v>
      </c>
      <c r="EC24" s="42">
        <v>3923</v>
      </c>
      <c r="ED24" s="36">
        <f t="shared" si="145"/>
        <v>1.4708721938416836</v>
      </c>
      <c r="EE24">
        <v>52.9</v>
      </c>
      <c r="EF24">
        <v>0.33710000000000001</v>
      </c>
      <c r="EG24" s="43">
        <f t="shared" si="167"/>
        <v>0.17832590000000001</v>
      </c>
      <c r="EH24" s="42">
        <v>500066</v>
      </c>
      <c r="EI24" s="42">
        <f t="shared" si="146"/>
        <v>250033</v>
      </c>
      <c r="EJ24" s="42">
        <v>2968</v>
      </c>
      <c r="EK24" s="36">
        <f t="shared" si="147"/>
        <v>1.1870433102830427</v>
      </c>
      <c r="EL24">
        <v>48</v>
      </c>
      <c r="EM24">
        <v>0.3422</v>
      </c>
      <c r="EN24" s="43">
        <f t="shared" si="126"/>
        <v>0.16425599999999999</v>
      </c>
      <c r="EO24" s="42">
        <v>1183350</v>
      </c>
      <c r="EP24" s="42">
        <f t="shared" si="148"/>
        <v>591675</v>
      </c>
      <c r="EQ24" s="42">
        <v>9535</v>
      </c>
      <c r="ER24" s="36">
        <f t="shared" si="149"/>
        <v>1.6115265982169267</v>
      </c>
      <c r="ES24">
        <v>43.8</v>
      </c>
      <c r="ET24">
        <v>0.34279999999999999</v>
      </c>
      <c r="EU24" s="43">
        <f t="shared" si="171"/>
        <v>0.15014639999999999</v>
      </c>
      <c r="EV24" s="42">
        <v>1538310</v>
      </c>
      <c r="EW24" s="42">
        <f t="shared" si="150"/>
        <v>769155</v>
      </c>
      <c r="EX24" s="42">
        <v>12184</v>
      </c>
      <c r="EY24" s="36">
        <f t="shared" si="151"/>
        <v>1.5840760314891018</v>
      </c>
      <c r="EZ24">
        <v>53.8</v>
      </c>
      <c r="FA24">
        <v>0.31340000000000001</v>
      </c>
      <c r="FB24" s="43">
        <f t="shared" ref="FB24:FB47" si="172">EZ24*FA24/100</f>
        <v>0.16860920000000001</v>
      </c>
    </row>
    <row r="25" spans="1:158" ht="16.5" customHeight="1">
      <c r="A25" s="32">
        <v>1988</v>
      </c>
      <c r="B25" s="42">
        <v>13254203</v>
      </c>
      <c r="C25" s="42">
        <f t="shared" si="66"/>
        <v>6627101.5</v>
      </c>
      <c r="D25" s="42">
        <v>83507</v>
      </c>
      <c r="E25" s="36">
        <f t="shared" si="67"/>
        <v>1.2600833109316343</v>
      </c>
      <c r="F25" s="13">
        <v>46.5</v>
      </c>
      <c r="G25" s="13">
        <v>0.32229999999999998</v>
      </c>
      <c r="H25" s="43">
        <f>F25*G25/100</f>
        <v>0.14986949999999999</v>
      </c>
      <c r="I25" s="42">
        <v>271913</v>
      </c>
      <c r="J25" s="42">
        <f t="shared" si="68"/>
        <v>135956.5</v>
      </c>
      <c r="K25" s="42">
        <v>906</v>
      </c>
      <c r="L25" s="36">
        <f t="shared" si="69"/>
        <v>0.66638961726728763</v>
      </c>
      <c r="M25" s="13">
        <v>63</v>
      </c>
      <c r="N25" s="13">
        <v>0.40189999999999998</v>
      </c>
      <c r="O25" s="43">
        <f t="shared" si="162"/>
        <v>0.25319699999999995</v>
      </c>
      <c r="P25" s="42">
        <v>61656</v>
      </c>
      <c r="Q25" s="42">
        <f t="shared" si="70"/>
        <v>30828</v>
      </c>
      <c r="R25" s="42">
        <v>269</v>
      </c>
      <c r="S25" s="36">
        <f t="shared" si="71"/>
        <v>0.87258336577137663</v>
      </c>
      <c r="T25" s="13">
        <v>55</v>
      </c>
      <c r="U25" s="13">
        <v>0.26119999999999999</v>
      </c>
      <c r="V25" s="43">
        <f t="shared" si="153"/>
        <v>0.14366000000000001</v>
      </c>
      <c r="W25" s="42">
        <v>438145</v>
      </c>
      <c r="X25" s="42">
        <f t="shared" si="72"/>
        <v>219072.5</v>
      </c>
      <c r="Y25" s="42">
        <v>2494</v>
      </c>
      <c r="Z25" s="36">
        <f t="shared" si="73"/>
        <v>1.1384359059215556</v>
      </c>
      <c r="AA25" s="13">
        <v>53.1</v>
      </c>
      <c r="AB25" s="13">
        <v>0.31069999999999998</v>
      </c>
      <c r="AC25" s="43">
        <f t="shared" si="154"/>
        <v>0.16498169999999998</v>
      </c>
      <c r="AD25" s="42">
        <v>358871</v>
      </c>
      <c r="AE25" s="42">
        <f t="shared" si="74"/>
        <v>179435.5</v>
      </c>
      <c r="AF25" s="42">
        <v>1673</v>
      </c>
      <c r="AG25" s="36">
        <f t="shared" si="75"/>
        <v>0.9323684555174423</v>
      </c>
      <c r="AH25" s="13">
        <v>62.1</v>
      </c>
      <c r="AI25" s="13">
        <v>0.36649999999999999</v>
      </c>
      <c r="AJ25" s="43">
        <f t="shared" si="155"/>
        <v>0.22759650000000001</v>
      </c>
      <c r="AK25" s="42">
        <v>3340371</v>
      </c>
      <c r="AL25" s="42">
        <f t="shared" si="76"/>
        <v>1670185.5</v>
      </c>
      <c r="AM25" s="42">
        <v>20340</v>
      </c>
      <c r="AN25" s="36">
        <f t="shared" si="77"/>
        <v>1.2178287980586586</v>
      </c>
      <c r="AO25" s="13">
        <v>48.9</v>
      </c>
      <c r="AP25" s="13">
        <v>0.32240000000000002</v>
      </c>
      <c r="AQ25" s="43">
        <f t="shared" si="156"/>
        <v>0.1576536</v>
      </c>
      <c r="AR25" s="42">
        <v>4943310</v>
      </c>
      <c r="AS25" s="42">
        <f t="shared" si="78"/>
        <v>2471655</v>
      </c>
      <c r="AT25" s="42">
        <v>32524</v>
      </c>
      <c r="AU25" s="36">
        <f t="shared" si="79"/>
        <v>1.3158794411032284</v>
      </c>
      <c r="AV25" s="13">
        <v>39.4</v>
      </c>
      <c r="AW25" s="13">
        <v>0.312</v>
      </c>
      <c r="AX25" s="43">
        <f t="shared" si="157"/>
        <v>0.122928</v>
      </c>
      <c r="AY25" s="42">
        <v>535722</v>
      </c>
      <c r="AZ25" s="42">
        <f t="shared" si="80"/>
        <v>267861</v>
      </c>
      <c r="BA25" s="42">
        <v>3102</v>
      </c>
      <c r="BB25" s="36">
        <f t="shared" si="81"/>
        <v>1.1580633238881362</v>
      </c>
      <c r="BC25" s="13">
        <v>54.8</v>
      </c>
      <c r="BD25" s="13">
        <v>0.31950000000000001</v>
      </c>
      <c r="BE25" s="43">
        <f t="shared" si="158"/>
        <v>0.17508599999999996</v>
      </c>
      <c r="BF25" s="42">
        <v>498905</v>
      </c>
      <c r="BG25" s="42">
        <f t="shared" si="82"/>
        <v>249452.5</v>
      </c>
      <c r="BH25" s="42">
        <v>2501</v>
      </c>
      <c r="BI25" s="36">
        <f t="shared" si="83"/>
        <v>1.0025956845491628</v>
      </c>
      <c r="BJ25" s="13">
        <v>58.8</v>
      </c>
      <c r="BK25" s="13">
        <v>0.36049999999999999</v>
      </c>
      <c r="BL25" s="43">
        <f t="shared" si="159"/>
        <v>0.211974</v>
      </c>
      <c r="BM25" s="42">
        <v>1195643</v>
      </c>
      <c r="BN25" s="42">
        <f t="shared" si="84"/>
        <v>597821.5</v>
      </c>
      <c r="BO25" s="42">
        <v>8744</v>
      </c>
      <c r="BP25" s="36">
        <f t="shared" si="85"/>
        <v>1.4626439497408508</v>
      </c>
      <c r="BQ25" s="13">
        <v>47.6</v>
      </c>
      <c r="BR25" s="13">
        <v>0.28989999999999999</v>
      </c>
      <c r="BS25" s="43">
        <f t="shared" si="160"/>
        <v>0.13799239999999999</v>
      </c>
      <c r="BT25" s="42">
        <v>1575340</v>
      </c>
      <c r="BU25" s="42">
        <f t="shared" si="86"/>
        <v>787670</v>
      </c>
      <c r="BV25" s="42">
        <v>10760</v>
      </c>
      <c r="BW25" s="36">
        <f t="shared" si="87"/>
        <v>1.3660543120850102</v>
      </c>
      <c r="BX25" s="13">
        <v>45.9</v>
      </c>
      <c r="BY25" s="13">
        <v>0.33210000000000001</v>
      </c>
      <c r="BZ25" s="43">
        <f t="shared" si="161"/>
        <v>0.15243390000000001</v>
      </c>
      <c r="CC25" s="32">
        <v>1988</v>
      </c>
      <c r="CD25" s="42">
        <v>13254203</v>
      </c>
      <c r="CE25" s="42">
        <f t="shared" si="130"/>
        <v>6627101.5</v>
      </c>
      <c r="CF25" s="42">
        <v>83507</v>
      </c>
      <c r="CG25" s="36">
        <f t="shared" si="131"/>
        <v>1.2600833109316343</v>
      </c>
      <c r="CH25">
        <v>45</v>
      </c>
      <c r="CI25">
        <v>0.30909999999999999</v>
      </c>
      <c r="CJ25" s="43">
        <f>CH25*CI25/100</f>
        <v>0.139095</v>
      </c>
      <c r="CK25" s="42">
        <v>271913</v>
      </c>
      <c r="CL25" s="42">
        <f t="shared" si="132"/>
        <v>135956.5</v>
      </c>
      <c r="CM25" s="42">
        <v>906</v>
      </c>
      <c r="CN25" s="36">
        <f t="shared" si="133"/>
        <v>0.66638961726728763</v>
      </c>
      <c r="CO25">
        <v>51.8</v>
      </c>
      <c r="CP25">
        <v>0.36759999999999998</v>
      </c>
      <c r="CQ25" s="43">
        <f t="shared" si="164"/>
        <v>0.1904168</v>
      </c>
      <c r="CR25" s="42">
        <v>61656</v>
      </c>
      <c r="CS25" s="42">
        <f t="shared" si="134"/>
        <v>30828</v>
      </c>
      <c r="CT25" s="42">
        <v>269</v>
      </c>
      <c r="CU25" s="36">
        <f t="shared" si="135"/>
        <v>0.87258336577137663</v>
      </c>
      <c r="CV25">
        <v>31</v>
      </c>
      <c r="CW25">
        <v>0.24390000000000001</v>
      </c>
      <c r="CX25" s="43">
        <f t="shared" si="168"/>
        <v>7.5608999999999996E-2</v>
      </c>
      <c r="CY25" s="42">
        <v>438145</v>
      </c>
      <c r="CZ25" s="42">
        <f t="shared" si="136"/>
        <v>219072.5</v>
      </c>
      <c r="DA25" s="42">
        <v>2494</v>
      </c>
      <c r="DB25" s="36">
        <f t="shared" si="137"/>
        <v>1.1384359059215556</v>
      </c>
      <c r="DC25">
        <v>40.9</v>
      </c>
      <c r="DD25">
        <v>0.25690000000000002</v>
      </c>
      <c r="DE25" s="43">
        <f t="shared" si="169"/>
        <v>0.1050721</v>
      </c>
      <c r="DF25" s="42">
        <v>358871</v>
      </c>
      <c r="DG25" s="42">
        <f t="shared" si="138"/>
        <v>179435.5</v>
      </c>
      <c r="DH25" s="42">
        <v>1673</v>
      </c>
      <c r="DI25" s="36">
        <f t="shared" si="139"/>
        <v>0.9323684555174423</v>
      </c>
      <c r="DJ25">
        <v>57.4</v>
      </c>
      <c r="DK25">
        <v>0.26150000000000001</v>
      </c>
      <c r="DL25" s="43">
        <f t="shared" si="165"/>
        <v>0.15010099999999998</v>
      </c>
      <c r="DM25" s="42">
        <v>3340371</v>
      </c>
      <c r="DN25" s="42">
        <f t="shared" si="140"/>
        <v>1670185.5</v>
      </c>
      <c r="DO25" s="42">
        <v>20340</v>
      </c>
      <c r="DP25" s="36">
        <f t="shared" si="141"/>
        <v>1.2178287980586586</v>
      </c>
      <c r="DQ25">
        <v>47.5</v>
      </c>
      <c r="DR25">
        <v>0.30469999999999997</v>
      </c>
      <c r="DS25" s="43">
        <f t="shared" si="166"/>
        <v>0.14473249999999999</v>
      </c>
      <c r="DT25" s="42">
        <v>4943310</v>
      </c>
      <c r="DU25" s="42">
        <f t="shared" si="142"/>
        <v>2471655</v>
      </c>
      <c r="DV25" s="42">
        <v>32524</v>
      </c>
      <c r="DW25" s="36">
        <f t="shared" si="143"/>
        <v>1.3158794411032284</v>
      </c>
      <c r="DX25">
        <v>38.6</v>
      </c>
      <c r="DY25">
        <v>0.31869999999999998</v>
      </c>
      <c r="DZ25" s="43">
        <f t="shared" si="170"/>
        <v>0.12301819999999999</v>
      </c>
      <c r="EA25" s="42">
        <v>535722</v>
      </c>
      <c r="EB25" s="42">
        <f t="shared" si="144"/>
        <v>267861</v>
      </c>
      <c r="EC25" s="42">
        <v>3102</v>
      </c>
      <c r="ED25" s="36">
        <f t="shared" si="145"/>
        <v>1.1580633238881362</v>
      </c>
      <c r="EE25">
        <v>56.7</v>
      </c>
      <c r="EF25">
        <v>0.32569999999999999</v>
      </c>
      <c r="EG25" s="43">
        <f t="shared" si="167"/>
        <v>0.1846719</v>
      </c>
      <c r="EH25" s="42">
        <v>498905</v>
      </c>
      <c r="EI25" s="42">
        <f t="shared" si="146"/>
        <v>249452.5</v>
      </c>
      <c r="EJ25" s="42">
        <v>2501</v>
      </c>
      <c r="EK25" s="36">
        <f t="shared" si="147"/>
        <v>1.0025956845491628</v>
      </c>
      <c r="EL25">
        <v>45.9</v>
      </c>
      <c r="EM25">
        <v>0.34450000000000003</v>
      </c>
      <c r="EN25" s="43">
        <f t="shared" si="126"/>
        <v>0.15812550000000003</v>
      </c>
      <c r="EO25" s="42">
        <v>1195643</v>
      </c>
      <c r="EP25" s="42">
        <f t="shared" si="148"/>
        <v>597821.5</v>
      </c>
      <c r="EQ25" s="42">
        <v>8744</v>
      </c>
      <c r="ER25" s="36">
        <f t="shared" si="149"/>
        <v>1.4626439497408508</v>
      </c>
      <c r="ES25">
        <v>44.6</v>
      </c>
      <c r="ET25">
        <v>0.32090000000000002</v>
      </c>
      <c r="EU25" s="43">
        <f t="shared" si="171"/>
        <v>0.14312140000000001</v>
      </c>
      <c r="EV25" s="42">
        <v>1575340</v>
      </c>
      <c r="EW25" s="42">
        <f t="shared" si="150"/>
        <v>787670</v>
      </c>
      <c r="EX25" s="42">
        <v>10760</v>
      </c>
      <c r="EY25" s="36">
        <f t="shared" si="151"/>
        <v>1.3660543120850102</v>
      </c>
      <c r="EZ25">
        <v>51.9</v>
      </c>
      <c r="FA25">
        <v>0.28859999999999997</v>
      </c>
      <c r="FB25" s="43">
        <f t="shared" si="172"/>
        <v>0.14978339999999998</v>
      </c>
    </row>
    <row r="26" spans="1:158" ht="16.5" customHeight="1">
      <c r="A26" s="32">
        <v>1989</v>
      </c>
      <c r="B26" s="42">
        <v>13514771</v>
      </c>
      <c r="C26" s="42">
        <f t="shared" si="66"/>
        <v>6757385.5</v>
      </c>
      <c r="D26" s="42">
        <v>80998</v>
      </c>
      <c r="E26" s="36">
        <f t="shared" si="67"/>
        <v>1.1986588599984418</v>
      </c>
      <c r="F26" s="13">
        <v>45.6</v>
      </c>
      <c r="G26" s="13">
        <v>0.31950000000000001</v>
      </c>
      <c r="H26" s="43">
        <f t="shared" si="152"/>
        <v>0.14569200000000002</v>
      </c>
      <c r="I26" s="42">
        <v>275158</v>
      </c>
      <c r="J26" s="42">
        <f t="shared" si="68"/>
        <v>137579</v>
      </c>
      <c r="K26" s="42">
        <v>1005</v>
      </c>
      <c r="L26" s="36">
        <f t="shared" si="69"/>
        <v>0.73048939154958237</v>
      </c>
      <c r="M26" s="13">
        <v>54.6</v>
      </c>
      <c r="N26" s="13">
        <v>0.44990000000000002</v>
      </c>
      <c r="O26" s="43">
        <f t="shared" si="162"/>
        <v>0.24564540000000001</v>
      </c>
      <c r="P26" s="42">
        <v>62374</v>
      </c>
      <c r="Q26" s="42">
        <f t="shared" si="70"/>
        <v>31187</v>
      </c>
      <c r="R26" s="42">
        <v>248</v>
      </c>
      <c r="S26" s="36">
        <f t="shared" si="71"/>
        <v>0.79520312950909033</v>
      </c>
      <c r="T26" s="13">
        <v>56.9</v>
      </c>
      <c r="U26" s="13">
        <v>0.27390000000000003</v>
      </c>
      <c r="V26" s="43">
        <f t="shared" si="153"/>
        <v>0.15584910000000002</v>
      </c>
      <c r="W26" s="42">
        <v>443828</v>
      </c>
      <c r="X26" s="42">
        <f t="shared" si="72"/>
        <v>221914</v>
      </c>
      <c r="Y26" s="42">
        <v>2527</v>
      </c>
      <c r="Z26" s="36">
        <f t="shared" si="73"/>
        <v>1.1387294177023533</v>
      </c>
      <c r="AA26" s="13">
        <v>57</v>
      </c>
      <c r="AB26" s="13">
        <v>0.31840000000000002</v>
      </c>
      <c r="AC26" s="43">
        <f t="shared" si="154"/>
        <v>0.18148800000000001</v>
      </c>
      <c r="AD26" s="42">
        <v>363467</v>
      </c>
      <c r="AE26" s="42">
        <f t="shared" si="74"/>
        <v>181733.5</v>
      </c>
      <c r="AF26" s="42">
        <v>1649</v>
      </c>
      <c r="AG26" s="36">
        <f t="shared" si="75"/>
        <v>0.90737260879254511</v>
      </c>
      <c r="AH26" s="13">
        <v>62.1</v>
      </c>
      <c r="AI26" s="13">
        <v>0.36130000000000001</v>
      </c>
      <c r="AJ26" s="43">
        <f t="shared" si="155"/>
        <v>0.22436730000000002</v>
      </c>
      <c r="AK26" s="42">
        <v>3396396</v>
      </c>
      <c r="AL26" s="42">
        <f t="shared" si="76"/>
        <v>1698198</v>
      </c>
      <c r="AM26" s="42">
        <v>19829</v>
      </c>
      <c r="AN26" s="36">
        <f t="shared" si="77"/>
        <v>1.1676494731474185</v>
      </c>
      <c r="AO26" s="13">
        <v>46.6</v>
      </c>
      <c r="AP26" s="13">
        <v>0.34889999999999999</v>
      </c>
      <c r="AQ26" s="43">
        <f t="shared" si="156"/>
        <v>0.16258739999999999</v>
      </c>
      <c r="AR26" s="42">
        <v>5071687</v>
      </c>
      <c r="AS26" s="42">
        <f t="shared" si="78"/>
        <v>2535843.5</v>
      </c>
      <c r="AT26" s="42">
        <v>31298</v>
      </c>
      <c r="AU26" s="36">
        <f t="shared" si="79"/>
        <v>1.234224430648027</v>
      </c>
      <c r="AV26" s="13">
        <v>36.299999999999997</v>
      </c>
      <c r="AW26" s="13">
        <v>0.2777</v>
      </c>
      <c r="AX26" s="43">
        <f t="shared" si="157"/>
        <v>0.10080509999999998</v>
      </c>
      <c r="AY26" s="42">
        <v>536186</v>
      </c>
      <c r="AZ26" s="42">
        <f t="shared" si="80"/>
        <v>268093</v>
      </c>
      <c r="BA26" s="42">
        <v>2912</v>
      </c>
      <c r="BB26" s="36">
        <f t="shared" si="81"/>
        <v>1.0861902399540457</v>
      </c>
      <c r="BC26" s="13">
        <v>60.3</v>
      </c>
      <c r="BD26" s="13">
        <v>0.315</v>
      </c>
      <c r="BE26" s="43">
        <f t="shared" si="158"/>
        <v>0.18994499999999997</v>
      </c>
      <c r="BF26" s="42">
        <v>494905</v>
      </c>
      <c r="BG26" s="42">
        <f t="shared" si="82"/>
        <v>247452.5</v>
      </c>
      <c r="BH26" s="42">
        <v>2460</v>
      </c>
      <c r="BI26" s="36">
        <f t="shared" si="83"/>
        <v>0.99413018660146901</v>
      </c>
      <c r="BJ26" s="13">
        <v>59.4</v>
      </c>
      <c r="BK26" s="13">
        <v>0.3765</v>
      </c>
      <c r="BL26" s="43">
        <f t="shared" si="159"/>
        <v>0.22364100000000001</v>
      </c>
      <c r="BM26" s="42">
        <v>1216112</v>
      </c>
      <c r="BN26" s="42">
        <f t="shared" si="84"/>
        <v>608056</v>
      </c>
      <c r="BO26" s="42">
        <v>8237</v>
      </c>
      <c r="BP26" s="36">
        <f t="shared" si="85"/>
        <v>1.3546449669109424</v>
      </c>
      <c r="BQ26" s="13">
        <v>46.7</v>
      </c>
      <c r="BR26" s="13">
        <v>0.3004</v>
      </c>
      <c r="BS26" s="43">
        <f t="shared" si="160"/>
        <v>0.14028680000000002</v>
      </c>
      <c r="BT26" s="42">
        <v>1619487</v>
      </c>
      <c r="BU26" s="42">
        <f t="shared" si="86"/>
        <v>809743.5</v>
      </c>
      <c r="BV26" s="42">
        <v>10658</v>
      </c>
      <c r="BW26" s="36">
        <f t="shared" si="87"/>
        <v>1.3162192719052392</v>
      </c>
      <c r="BX26" s="13">
        <v>52.5</v>
      </c>
      <c r="BY26" s="13">
        <v>0.31230000000000002</v>
      </c>
      <c r="BZ26" s="43">
        <f t="shared" si="161"/>
        <v>0.16395750000000001</v>
      </c>
      <c r="CC26" s="32">
        <v>1989</v>
      </c>
      <c r="CD26" s="42">
        <v>13514771</v>
      </c>
      <c r="CE26" s="42">
        <f t="shared" si="130"/>
        <v>6757385.5</v>
      </c>
      <c r="CF26" s="42">
        <v>80998</v>
      </c>
      <c r="CG26" s="36">
        <f t="shared" si="131"/>
        <v>1.1986588599984418</v>
      </c>
      <c r="CH26">
        <v>42.1</v>
      </c>
      <c r="CI26">
        <v>0.3</v>
      </c>
      <c r="CJ26" s="43">
        <f t="shared" ref="CJ26:CJ47" si="173">CH26*CI26/100</f>
        <v>0.1263</v>
      </c>
      <c r="CK26" s="42">
        <v>275158</v>
      </c>
      <c r="CL26" s="42">
        <f t="shared" si="132"/>
        <v>137579</v>
      </c>
      <c r="CM26" s="42">
        <v>1005</v>
      </c>
      <c r="CN26" s="36">
        <f t="shared" si="133"/>
        <v>0.73048939154958237</v>
      </c>
      <c r="CO26">
        <v>50.5</v>
      </c>
      <c r="CP26">
        <v>0.40110000000000001</v>
      </c>
      <c r="CQ26" s="43">
        <f t="shared" si="164"/>
        <v>0.2025555</v>
      </c>
      <c r="CR26" s="42">
        <v>62374</v>
      </c>
      <c r="CS26" s="42">
        <f t="shared" si="134"/>
        <v>31187</v>
      </c>
      <c r="CT26" s="42">
        <v>248</v>
      </c>
      <c r="CU26" s="36">
        <f t="shared" si="135"/>
        <v>0.79520312950909033</v>
      </c>
      <c r="CV26">
        <v>24.6</v>
      </c>
      <c r="CW26">
        <f>(CW25+CW27)/2</f>
        <v>0.2366</v>
      </c>
      <c r="CX26" s="43">
        <f t="shared" si="168"/>
        <v>5.8203600000000008E-2</v>
      </c>
      <c r="CY26" s="42">
        <v>443828</v>
      </c>
      <c r="CZ26" s="42">
        <f t="shared" si="136"/>
        <v>221914</v>
      </c>
      <c r="DA26" s="42">
        <v>2527</v>
      </c>
      <c r="DB26" s="36">
        <f t="shared" si="137"/>
        <v>1.1387294177023533</v>
      </c>
      <c r="DC26">
        <v>43.9</v>
      </c>
      <c r="DD26">
        <v>0.2616</v>
      </c>
      <c r="DE26" s="43">
        <f t="shared" si="169"/>
        <v>0.1148424</v>
      </c>
      <c r="DF26" s="42">
        <v>363467</v>
      </c>
      <c r="DG26" s="42">
        <f t="shared" si="138"/>
        <v>181733.5</v>
      </c>
      <c r="DH26" s="42">
        <v>1649</v>
      </c>
      <c r="DI26" s="36">
        <f t="shared" si="139"/>
        <v>0.90737260879254511</v>
      </c>
      <c r="DJ26">
        <v>50.6</v>
      </c>
      <c r="DK26">
        <v>0.29420000000000002</v>
      </c>
      <c r="DL26" s="43">
        <f t="shared" si="165"/>
        <v>0.1488652</v>
      </c>
      <c r="DM26" s="42">
        <v>3396396</v>
      </c>
      <c r="DN26" s="42">
        <f t="shared" si="140"/>
        <v>1698198</v>
      </c>
      <c r="DO26" s="42">
        <v>19829</v>
      </c>
      <c r="DP26" s="36">
        <f t="shared" si="141"/>
        <v>1.1676494731474185</v>
      </c>
      <c r="DQ26">
        <v>43.4</v>
      </c>
      <c r="DR26">
        <v>0.32280000000000003</v>
      </c>
      <c r="DS26" s="43">
        <f t="shared" si="166"/>
        <v>0.1400952</v>
      </c>
      <c r="DT26" s="42">
        <v>5071687</v>
      </c>
      <c r="DU26" s="42">
        <f t="shared" si="142"/>
        <v>2535843.5</v>
      </c>
      <c r="DV26" s="42">
        <v>31298</v>
      </c>
      <c r="DW26" s="36">
        <f t="shared" si="143"/>
        <v>1.234224430648027</v>
      </c>
      <c r="DX26">
        <v>34.6</v>
      </c>
      <c r="DY26">
        <v>0.26289999999999997</v>
      </c>
      <c r="DZ26" s="43">
        <f t="shared" si="170"/>
        <v>9.09634E-2</v>
      </c>
      <c r="EA26" s="42">
        <v>536186</v>
      </c>
      <c r="EB26" s="42">
        <f t="shared" si="144"/>
        <v>268093</v>
      </c>
      <c r="EC26" s="42">
        <v>2912</v>
      </c>
      <c r="ED26" s="36">
        <f t="shared" si="145"/>
        <v>1.0861902399540457</v>
      </c>
      <c r="EE26">
        <v>56.2</v>
      </c>
      <c r="EF26">
        <v>0.33710000000000001</v>
      </c>
      <c r="EG26" s="43">
        <f t="shared" si="167"/>
        <v>0.18945020000000004</v>
      </c>
      <c r="EH26" s="42">
        <v>494905</v>
      </c>
      <c r="EI26" s="42">
        <f t="shared" si="146"/>
        <v>247452.5</v>
      </c>
      <c r="EJ26" s="42">
        <v>2460</v>
      </c>
      <c r="EK26" s="36">
        <f t="shared" si="147"/>
        <v>0.99413018660146901</v>
      </c>
      <c r="EL26">
        <v>53.1</v>
      </c>
      <c r="EM26">
        <v>0.3422</v>
      </c>
      <c r="EN26" s="43">
        <f t="shared" si="126"/>
        <v>0.18170819999999999</v>
      </c>
      <c r="EO26" s="42">
        <v>1216112</v>
      </c>
      <c r="EP26" s="42">
        <f t="shared" si="148"/>
        <v>608056</v>
      </c>
      <c r="EQ26" s="42">
        <v>8237</v>
      </c>
      <c r="ER26" s="36">
        <f t="shared" si="149"/>
        <v>1.3546449669109424</v>
      </c>
      <c r="ES26">
        <v>48.4</v>
      </c>
      <c r="ET26">
        <v>0.30609999999999998</v>
      </c>
      <c r="EU26" s="43">
        <f t="shared" si="171"/>
        <v>0.14815239999999999</v>
      </c>
      <c r="EV26" s="42">
        <v>1619487</v>
      </c>
      <c r="EW26" s="42">
        <f t="shared" si="150"/>
        <v>809743.5</v>
      </c>
      <c r="EX26" s="42">
        <v>10658</v>
      </c>
      <c r="EY26" s="36">
        <f t="shared" si="151"/>
        <v>1.3162192719052392</v>
      </c>
      <c r="EZ26">
        <v>45.9</v>
      </c>
      <c r="FA26">
        <v>0.29210000000000003</v>
      </c>
      <c r="FB26" s="43">
        <f t="shared" si="172"/>
        <v>0.13407390000000002</v>
      </c>
    </row>
    <row r="27" spans="1:158" ht="16.5" customHeight="1">
      <c r="A27" s="32">
        <v>1990</v>
      </c>
      <c r="B27" s="42">
        <v>13718995</v>
      </c>
      <c r="C27" s="42">
        <f t="shared" si="66"/>
        <v>6859497.5</v>
      </c>
      <c r="D27" s="42">
        <v>78463</v>
      </c>
      <c r="E27" s="36">
        <f t="shared" si="67"/>
        <v>1.1438592987314304</v>
      </c>
      <c r="F27" s="13">
        <v>52.1</v>
      </c>
      <c r="G27" s="13">
        <v>0.3075</v>
      </c>
      <c r="H27" s="43">
        <f t="shared" si="152"/>
        <v>0.1602075</v>
      </c>
      <c r="I27" s="42">
        <v>278331</v>
      </c>
      <c r="J27" s="42">
        <f t="shared" si="68"/>
        <v>139165.5</v>
      </c>
      <c r="K27" s="42">
        <v>1016</v>
      </c>
      <c r="L27" s="36">
        <f t="shared" si="69"/>
        <v>0.73006600055329807</v>
      </c>
      <c r="M27" s="13">
        <v>70.900000000000006</v>
      </c>
      <c r="N27" s="13">
        <v>0.4017</v>
      </c>
      <c r="O27" s="43">
        <f t="shared" si="162"/>
        <v>0.28480530000000004</v>
      </c>
      <c r="P27" s="42">
        <v>62890</v>
      </c>
      <c r="Q27" s="42">
        <f t="shared" si="70"/>
        <v>31445</v>
      </c>
      <c r="R27" s="42">
        <v>281</v>
      </c>
      <c r="S27" s="36">
        <f t="shared" si="71"/>
        <v>0.89362378756559069</v>
      </c>
      <c r="T27" s="13">
        <v>45.3</v>
      </c>
      <c r="U27" s="13">
        <v>0.23079999999999998</v>
      </c>
      <c r="V27" s="43">
        <f t="shared" si="153"/>
        <v>0.10455239999999998</v>
      </c>
      <c r="W27" s="42">
        <v>448493</v>
      </c>
      <c r="X27" s="42">
        <f t="shared" si="72"/>
        <v>224246.5</v>
      </c>
      <c r="Y27" s="42">
        <v>2419</v>
      </c>
      <c r="Z27" s="36">
        <f t="shared" si="73"/>
        <v>1.0787236367122788</v>
      </c>
      <c r="AA27" s="13">
        <v>62</v>
      </c>
      <c r="AB27" s="13">
        <v>0.317</v>
      </c>
      <c r="AC27" s="43">
        <f t="shared" si="154"/>
        <v>0.19653999999999999</v>
      </c>
      <c r="AD27" s="42">
        <v>367562</v>
      </c>
      <c r="AE27" s="42">
        <f t="shared" si="74"/>
        <v>183781</v>
      </c>
      <c r="AF27" s="42">
        <v>1699</v>
      </c>
      <c r="AG27" s="36">
        <f t="shared" si="75"/>
        <v>0.92446988535267516</v>
      </c>
      <c r="AH27" s="13">
        <v>61.4</v>
      </c>
      <c r="AI27" s="13">
        <v>0.34380000000000005</v>
      </c>
      <c r="AJ27" s="43">
        <f t="shared" si="155"/>
        <v>0.21109320000000004</v>
      </c>
      <c r="AK27" s="42">
        <v>3437556</v>
      </c>
      <c r="AL27" s="42">
        <f t="shared" si="76"/>
        <v>1718778</v>
      </c>
      <c r="AM27" s="42">
        <v>20474</v>
      </c>
      <c r="AN27" s="36">
        <f t="shared" si="77"/>
        <v>1.1911951398028133</v>
      </c>
      <c r="AO27" s="13">
        <v>55.3</v>
      </c>
      <c r="AP27" s="13">
        <v>0.31780000000000003</v>
      </c>
      <c r="AQ27" s="43">
        <f t="shared" si="156"/>
        <v>0.17574339999999999</v>
      </c>
      <c r="AR27" s="42">
        <v>5155347</v>
      </c>
      <c r="AS27" s="42">
        <f t="shared" si="78"/>
        <v>2577673.5</v>
      </c>
      <c r="AT27" s="42">
        <v>28977</v>
      </c>
      <c r="AU27" s="36">
        <f t="shared" si="79"/>
        <v>1.1241532335262787</v>
      </c>
      <c r="AV27" s="13">
        <v>45.7</v>
      </c>
      <c r="AW27" s="13">
        <v>0.29039999999999999</v>
      </c>
      <c r="AX27" s="43">
        <f t="shared" si="157"/>
        <v>0.13271280000000002</v>
      </c>
      <c r="AY27" s="42">
        <v>536153</v>
      </c>
      <c r="AZ27" s="42">
        <f t="shared" si="80"/>
        <v>268076.5</v>
      </c>
      <c r="BA27" s="42">
        <v>2798</v>
      </c>
      <c r="BB27" s="36">
        <f t="shared" si="81"/>
        <v>1.0437319198064732</v>
      </c>
      <c r="BC27" s="13">
        <v>60.8</v>
      </c>
      <c r="BD27" s="13">
        <v>0.35509999999999997</v>
      </c>
      <c r="BE27" s="43">
        <f t="shared" si="158"/>
        <v>0.21590079999999998</v>
      </c>
      <c r="BF27" s="42">
        <v>488936</v>
      </c>
      <c r="BG27" s="42">
        <f t="shared" si="82"/>
        <v>244468</v>
      </c>
      <c r="BH27" s="42">
        <v>2364</v>
      </c>
      <c r="BI27" s="36">
        <f t="shared" si="83"/>
        <v>0.96699772567370779</v>
      </c>
      <c r="BJ27" s="13">
        <v>55</v>
      </c>
      <c r="BK27" s="13">
        <v>0.39520000000000005</v>
      </c>
      <c r="BL27" s="43">
        <f t="shared" si="159"/>
        <v>0.21736000000000005</v>
      </c>
      <c r="BM27" s="42">
        <v>1240469</v>
      </c>
      <c r="BN27" s="42">
        <f t="shared" si="84"/>
        <v>620234.5</v>
      </c>
      <c r="BO27" s="42">
        <v>8489</v>
      </c>
      <c r="BP27" s="36">
        <f t="shared" si="85"/>
        <v>1.36867587984867</v>
      </c>
      <c r="BQ27" s="13">
        <v>53.3</v>
      </c>
      <c r="BR27" s="13">
        <v>0.27050000000000002</v>
      </c>
      <c r="BS27" s="43">
        <f t="shared" si="160"/>
        <v>0.14417650000000001</v>
      </c>
      <c r="BT27" s="42">
        <v>1666957</v>
      </c>
      <c r="BU27" s="42">
        <f t="shared" si="86"/>
        <v>833478.5</v>
      </c>
      <c r="BV27" s="42">
        <v>9773</v>
      </c>
      <c r="BW27" s="36">
        <f t="shared" si="87"/>
        <v>1.1725557407899543</v>
      </c>
      <c r="BX27" s="13">
        <v>52.4</v>
      </c>
      <c r="BY27" s="13">
        <v>0.28820000000000001</v>
      </c>
      <c r="BZ27" s="43">
        <f t="shared" si="161"/>
        <v>0.15101680000000001</v>
      </c>
      <c r="CC27" s="32">
        <v>1990</v>
      </c>
      <c r="CD27" s="42">
        <v>13718995</v>
      </c>
      <c r="CE27" s="42">
        <f t="shared" si="130"/>
        <v>6859497.5</v>
      </c>
      <c r="CF27" s="42">
        <v>78463</v>
      </c>
      <c r="CG27" s="36">
        <f t="shared" si="131"/>
        <v>1.1438592987314304</v>
      </c>
      <c r="CH27">
        <v>48.2</v>
      </c>
      <c r="CI27">
        <v>0.31809999999999999</v>
      </c>
      <c r="CJ27" s="43">
        <f t="shared" si="173"/>
        <v>0.15332420000000002</v>
      </c>
      <c r="CK27" s="42">
        <v>278331</v>
      </c>
      <c r="CL27" s="42">
        <f t="shared" si="132"/>
        <v>139165.5</v>
      </c>
      <c r="CM27" s="42">
        <v>1016</v>
      </c>
      <c r="CN27" s="36">
        <f t="shared" si="133"/>
        <v>0.73006600055329807</v>
      </c>
      <c r="CO27">
        <v>63.8</v>
      </c>
      <c r="CP27">
        <v>0.33329999999999999</v>
      </c>
      <c r="CQ27" s="43">
        <f t="shared" si="164"/>
        <v>0.21264539999999996</v>
      </c>
      <c r="CR27" s="42">
        <v>62890</v>
      </c>
      <c r="CS27" s="42">
        <f t="shared" si="134"/>
        <v>31445</v>
      </c>
      <c r="CT27" s="42">
        <v>281</v>
      </c>
      <c r="CU27" s="36">
        <f t="shared" si="135"/>
        <v>0.89362378756559069</v>
      </c>
      <c r="CV27">
        <v>22.2</v>
      </c>
      <c r="CW27">
        <v>0.2293</v>
      </c>
      <c r="CX27" s="43">
        <f t="shared" si="168"/>
        <v>5.0904600000000001E-2</v>
      </c>
      <c r="CY27" s="42">
        <v>448493</v>
      </c>
      <c r="CZ27" s="42">
        <f t="shared" si="136"/>
        <v>224246.5</v>
      </c>
      <c r="DA27" s="42">
        <v>2419</v>
      </c>
      <c r="DB27" s="36">
        <f t="shared" si="137"/>
        <v>1.0787236367122788</v>
      </c>
      <c r="DC27">
        <v>50.7</v>
      </c>
      <c r="DD27">
        <v>0.27289999999999998</v>
      </c>
      <c r="DE27" s="43">
        <f t="shared" si="169"/>
        <v>0.13836029999999999</v>
      </c>
      <c r="DF27" s="42">
        <v>367562</v>
      </c>
      <c r="DG27" s="42">
        <f t="shared" si="138"/>
        <v>183781</v>
      </c>
      <c r="DH27" s="42">
        <v>1699</v>
      </c>
      <c r="DI27" s="36">
        <f t="shared" si="139"/>
        <v>0.92446988535267516</v>
      </c>
      <c r="DJ27">
        <v>52.2</v>
      </c>
      <c r="DK27">
        <v>0.27949999999999997</v>
      </c>
      <c r="DL27" s="43">
        <f t="shared" si="165"/>
        <v>0.145899</v>
      </c>
      <c r="DM27" s="42">
        <v>3437556</v>
      </c>
      <c r="DN27" s="42">
        <f t="shared" si="140"/>
        <v>1718778</v>
      </c>
      <c r="DO27" s="42">
        <v>20474</v>
      </c>
      <c r="DP27" s="36">
        <f t="shared" si="141"/>
        <v>1.1911951398028133</v>
      </c>
      <c r="DQ27">
        <v>52.4</v>
      </c>
      <c r="DR27">
        <v>0.31290000000000001</v>
      </c>
      <c r="DS27" s="43">
        <f t="shared" si="166"/>
        <v>0.16395959999999998</v>
      </c>
      <c r="DT27" s="42">
        <v>5155347</v>
      </c>
      <c r="DU27" s="42">
        <f t="shared" si="142"/>
        <v>2577673.5</v>
      </c>
      <c r="DV27" s="42">
        <v>28977</v>
      </c>
      <c r="DW27" s="36">
        <f t="shared" si="143"/>
        <v>1.1241532335262787</v>
      </c>
      <c r="DX27">
        <v>42.1</v>
      </c>
      <c r="DY27">
        <v>0.33649999999999997</v>
      </c>
      <c r="DZ27" s="43">
        <f t="shared" si="170"/>
        <v>0.1416665</v>
      </c>
      <c r="EA27" s="42">
        <v>536153</v>
      </c>
      <c r="EB27" s="42">
        <f t="shared" si="144"/>
        <v>268076.5</v>
      </c>
      <c r="EC27" s="42">
        <v>2798</v>
      </c>
      <c r="ED27" s="36">
        <f t="shared" si="145"/>
        <v>1.0437319198064732</v>
      </c>
      <c r="EE27">
        <v>57.8</v>
      </c>
      <c r="EF27">
        <v>0.36149999999999999</v>
      </c>
      <c r="EG27" s="43">
        <f t="shared" si="167"/>
        <v>0.20894699999999997</v>
      </c>
      <c r="EH27" s="42">
        <v>488936</v>
      </c>
      <c r="EI27" s="42">
        <f t="shared" si="146"/>
        <v>244468</v>
      </c>
      <c r="EJ27" s="42">
        <v>2364</v>
      </c>
      <c r="EK27" s="36">
        <f t="shared" si="147"/>
        <v>0.96699772567370779</v>
      </c>
      <c r="EL27">
        <v>46.8</v>
      </c>
      <c r="EM27">
        <v>0.36</v>
      </c>
      <c r="EN27" s="43">
        <f t="shared" si="126"/>
        <v>0.16847999999999999</v>
      </c>
      <c r="EO27" s="42">
        <v>1240469</v>
      </c>
      <c r="EP27" s="42">
        <f t="shared" si="148"/>
        <v>620234.5</v>
      </c>
      <c r="EQ27" s="42">
        <v>8489</v>
      </c>
      <c r="ER27" s="36">
        <f t="shared" si="149"/>
        <v>1.36867587984867</v>
      </c>
      <c r="ES27">
        <v>53.7</v>
      </c>
      <c r="ET27">
        <v>0.28989999999999999</v>
      </c>
      <c r="EU27" s="43">
        <f t="shared" si="171"/>
        <v>0.15567630000000002</v>
      </c>
      <c r="EV27" s="42">
        <v>1666957</v>
      </c>
      <c r="EW27" s="42">
        <f t="shared" si="150"/>
        <v>833478.5</v>
      </c>
      <c r="EX27" s="42">
        <v>9773</v>
      </c>
      <c r="EY27" s="36">
        <f t="shared" si="151"/>
        <v>1.1725557407899543</v>
      </c>
      <c r="EZ27">
        <v>47.7</v>
      </c>
      <c r="FA27">
        <v>0.3039</v>
      </c>
      <c r="FB27" s="43">
        <f t="shared" si="172"/>
        <v>0.14496030000000001</v>
      </c>
    </row>
    <row r="28" spans="1:158" ht="16.5" customHeight="1">
      <c r="A28" s="32">
        <v>1991</v>
      </c>
      <c r="B28" s="42">
        <v>13882734</v>
      </c>
      <c r="C28" s="42">
        <f t="shared" si="66"/>
        <v>6941367</v>
      </c>
      <c r="D28" s="42">
        <v>77020</v>
      </c>
      <c r="E28" s="36">
        <f t="shared" si="67"/>
        <v>1.1095797124687401</v>
      </c>
      <c r="F28" s="13">
        <v>49.6</v>
      </c>
      <c r="G28" s="13">
        <v>0.30670000000000003</v>
      </c>
      <c r="H28" s="43">
        <f t="shared" si="152"/>
        <v>0.15212320000000001</v>
      </c>
      <c r="I28" s="42">
        <v>281269</v>
      </c>
      <c r="J28" s="42">
        <f t="shared" si="68"/>
        <v>140634.5</v>
      </c>
      <c r="K28" s="42">
        <v>912</v>
      </c>
      <c r="L28" s="36">
        <f t="shared" si="69"/>
        <v>0.64848952426324979</v>
      </c>
      <c r="M28" s="13">
        <v>62.5</v>
      </c>
      <c r="N28" s="13">
        <v>0.45689999999999997</v>
      </c>
      <c r="O28" s="43">
        <f t="shared" si="162"/>
        <v>0.2855625</v>
      </c>
      <c r="P28" s="42">
        <v>63040</v>
      </c>
      <c r="Q28" s="42">
        <f t="shared" si="70"/>
        <v>31520</v>
      </c>
      <c r="R28" s="42">
        <v>269</v>
      </c>
      <c r="S28" s="36">
        <f t="shared" si="71"/>
        <v>0.8534263959390862</v>
      </c>
      <c r="T28" s="13">
        <v>44.1</v>
      </c>
      <c r="U28" s="13">
        <v>0.31209999999999999</v>
      </c>
      <c r="V28" s="43">
        <f t="shared" si="153"/>
        <v>0.13763610000000001</v>
      </c>
      <c r="W28" s="42">
        <v>452783</v>
      </c>
      <c r="X28" s="42">
        <f t="shared" si="72"/>
        <v>226391.5</v>
      </c>
      <c r="Y28" s="42">
        <v>2280</v>
      </c>
      <c r="Z28" s="36">
        <f t="shared" si="73"/>
        <v>1.0071049487281987</v>
      </c>
      <c r="AA28" s="13">
        <v>62.7</v>
      </c>
      <c r="AB28" s="13">
        <v>0.29389999999999999</v>
      </c>
      <c r="AC28" s="43">
        <f t="shared" si="154"/>
        <v>0.1842753</v>
      </c>
      <c r="AD28" s="42">
        <v>371694</v>
      </c>
      <c r="AE28" s="42">
        <f t="shared" si="74"/>
        <v>185847</v>
      </c>
      <c r="AF28" s="42">
        <v>1652</v>
      </c>
      <c r="AG28" s="36">
        <f t="shared" si="75"/>
        <v>0.88890323760943135</v>
      </c>
      <c r="AH28" s="13">
        <v>61.4</v>
      </c>
      <c r="AI28" s="13">
        <v>0.32069999999999999</v>
      </c>
      <c r="AJ28" s="43">
        <f t="shared" si="155"/>
        <v>0.1969098</v>
      </c>
      <c r="AK28" s="42">
        <v>3468308</v>
      </c>
      <c r="AL28" s="42">
        <f t="shared" si="76"/>
        <v>1734154</v>
      </c>
      <c r="AM28" s="42">
        <v>20274</v>
      </c>
      <c r="AN28" s="36">
        <f t="shared" si="77"/>
        <v>1.1691003221167209</v>
      </c>
      <c r="AO28" s="13">
        <v>49.3</v>
      </c>
      <c r="AP28" s="13">
        <v>0.29160000000000003</v>
      </c>
      <c r="AQ28" s="43">
        <f t="shared" si="156"/>
        <v>0.14375879999999999</v>
      </c>
      <c r="AR28" s="42">
        <v>5212437</v>
      </c>
      <c r="AS28" s="42">
        <f t="shared" si="78"/>
        <v>2606218.5</v>
      </c>
      <c r="AT28" s="42">
        <v>27694</v>
      </c>
      <c r="AU28" s="36">
        <f t="shared" si="79"/>
        <v>1.0626123634683737</v>
      </c>
      <c r="AV28" s="13">
        <v>47.6</v>
      </c>
      <c r="AW28" s="13">
        <v>0.30030000000000001</v>
      </c>
      <c r="AX28" s="43">
        <f t="shared" si="157"/>
        <v>0.14294280000000001</v>
      </c>
      <c r="AY28" s="42">
        <v>536811</v>
      </c>
      <c r="AZ28" s="42">
        <f t="shared" si="80"/>
        <v>268405.5</v>
      </c>
      <c r="BA28" s="42">
        <v>2790</v>
      </c>
      <c r="BB28" s="36">
        <f t="shared" si="81"/>
        <v>1.0394719929360612</v>
      </c>
      <c r="BC28" s="13">
        <v>50.7</v>
      </c>
      <c r="BD28" s="13">
        <v>0.34619999999999995</v>
      </c>
      <c r="BE28" s="43">
        <f t="shared" si="158"/>
        <v>0.17552339999999997</v>
      </c>
      <c r="BF28" s="42">
        <v>486147</v>
      </c>
      <c r="BG28" s="42">
        <f t="shared" si="82"/>
        <v>243073.5</v>
      </c>
      <c r="BH28" s="42">
        <v>2240</v>
      </c>
      <c r="BI28" s="36">
        <f t="shared" si="83"/>
        <v>0.92153196461152698</v>
      </c>
      <c r="BJ28" s="13">
        <v>63.6</v>
      </c>
      <c r="BK28" s="13">
        <v>0.38450000000000001</v>
      </c>
      <c r="BL28" s="43">
        <f t="shared" si="159"/>
        <v>0.24454200000000001</v>
      </c>
      <c r="BM28" s="42">
        <v>1262226</v>
      </c>
      <c r="BN28" s="42">
        <f t="shared" si="84"/>
        <v>631113</v>
      </c>
      <c r="BO28" s="42">
        <v>8388</v>
      </c>
      <c r="BP28" s="36">
        <f t="shared" si="85"/>
        <v>1.329080529160388</v>
      </c>
      <c r="BQ28" s="13">
        <v>47.3</v>
      </c>
      <c r="BR28" s="13">
        <v>0.32289999999999996</v>
      </c>
      <c r="BS28" s="43">
        <f t="shared" si="160"/>
        <v>0.15273169999999997</v>
      </c>
      <c r="BT28" s="42">
        <v>1710233</v>
      </c>
      <c r="BU28" s="42">
        <f t="shared" si="86"/>
        <v>855116.5</v>
      </c>
      <c r="BV28" s="42">
        <v>10368</v>
      </c>
      <c r="BW28" s="36">
        <f t="shared" si="87"/>
        <v>1.2124663715411876</v>
      </c>
      <c r="BX28" s="13">
        <v>45.6</v>
      </c>
      <c r="BY28" s="13">
        <v>0.27479999999999999</v>
      </c>
      <c r="BZ28" s="43">
        <f t="shared" si="161"/>
        <v>0.1253088</v>
      </c>
      <c r="CC28" s="32">
        <v>1991</v>
      </c>
      <c r="CD28" s="42">
        <v>13882734</v>
      </c>
      <c r="CE28" s="42">
        <f t="shared" si="130"/>
        <v>6941367</v>
      </c>
      <c r="CF28" s="42">
        <v>77020</v>
      </c>
      <c r="CG28" s="36">
        <f t="shared" si="131"/>
        <v>1.1095797124687401</v>
      </c>
      <c r="CH28">
        <v>49.8</v>
      </c>
      <c r="CI28">
        <v>0.32909999999999995</v>
      </c>
      <c r="CJ28" s="43">
        <f t="shared" si="173"/>
        <v>0.16389179999999995</v>
      </c>
      <c r="CK28" s="42">
        <v>281269</v>
      </c>
      <c r="CL28" s="42">
        <f t="shared" si="132"/>
        <v>140634.5</v>
      </c>
      <c r="CM28" s="42">
        <v>912</v>
      </c>
      <c r="CN28" s="36">
        <f t="shared" si="133"/>
        <v>0.64848952426324979</v>
      </c>
      <c r="CO28">
        <v>57.1</v>
      </c>
      <c r="CP28">
        <v>0.43049999999999999</v>
      </c>
      <c r="CQ28" s="43">
        <f t="shared" si="164"/>
        <v>0.24581549999999999</v>
      </c>
      <c r="CR28" s="42">
        <v>63040</v>
      </c>
      <c r="CS28" s="42">
        <f t="shared" si="134"/>
        <v>31520</v>
      </c>
      <c r="CT28" s="42">
        <v>269</v>
      </c>
      <c r="CU28" s="36">
        <f t="shared" si="135"/>
        <v>0.8534263959390862</v>
      </c>
      <c r="CV28">
        <v>34.6</v>
      </c>
      <c r="CW28">
        <v>0.28470000000000001</v>
      </c>
      <c r="CX28" s="43">
        <f t="shared" si="168"/>
        <v>9.8506200000000016E-2</v>
      </c>
      <c r="CY28" s="42">
        <v>452783</v>
      </c>
      <c r="CZ28" s="42">
        <f t="shared" si="136"/>
        <v>226391.5</v>
      </c>
      <c r="DA28" s="42">
        <v>2280</v>
      </c>
      <c r="DB28" s="36">
        <f t="shared" si="137"/>
        <v>1.0071049487281987</v>
      </c>
      <c r="DC28">
        <v>53</v>
      </c>
      <c r="DD28">
        <v>0.2646</v>
      </c>
      <c r="DE28" s="43">
        <f t="shared" si="169"/>
        <v>0.140238</v>
      </c>
      <c r="DF28" s="42">
        <v>371694</v>
      </c>
      <c r="DG28" s="42">
        <f t="shared" si="138"/>
        <v>185847</v>
      </c>
      <c r="DH28" s="42">
        <v>1652</v>
      </c>
      <c r="DI28" s="36">
        <f t="shared" si="139"/>
        <v>0.88890323760943135</v>
      </c>
      <c r="DJ28">
        <v>54.6</v>
      </c>
      <c r="DK28">
        <v>0.28889999999999999</v>
      </c>
      <c r="DL28" s="43">
        <f t="shared" si="165"/>
        <v>0.1577394</v>
      </c>
      <c r="DM28" s="42">
        <v>3468308</v>
      </c>
      <c r="DN28" s="42">
        <f t="shared" si="140"/>
        <v>1734154</v>
      </c>
      <c r="DO28" s="42">
        <v>20274</v>
      </c>
      <c r="DP28" s="36">
        <f t="shared" si="141"/>
        <v>1.1691003221167209</v>
      </c>
      <c r="DQ28">
        <v>52</v>
      </c>
      <c r="DR28">
        <v>0.28970000000000001</v>
      </c>
      <c r="DS28" s="43">
        <f t="shared" si="166"/>
        <v>0.150644</v>
      </c>
      <c r="DT28" s="42">
        <v>5212437</v>
      </c>
      <c r="DU28" s="42">
        <f t="shared" si="142"/>
        <v>2606218.5</v>
      </c>
      <c r="DV28" s="42">
        <v>27694</v>
      </c>
      <c r="DW28" s="36">
        <f t="shared" si="143"/>
        <v>1.0626123634683737</v>
      </c>
      <c r="DX28">
        <v>49.1</v>
      </c>
      <c r="DY28">
        <v>0.34979999999999994</v>
      </c>
      <c r="DZ28" s="43">
        <f t="shared" si="170"/>
        <v>0.17175179999999998</v>
      </c>
      <c r="EA28" s="42">
        <v>536811</v>
      </c>
      <c r="EB28" s="42">
        <f t="shared" si="144"/>
        <v>268405.5</v>
      </c>
      <c r="EC28" s="42">
        <v>2790</v>
      </c>
      <c r="ED28" s="36">
        <f t="shared" si="145"/>
        <v>1.0394719929360612</v>
      </c>
      <c r="EE28">
        <v>51.8</v>
      </c>
      <c r="EF28">
        <v>0.36520000000000002</v>
      </c>
      <c r="EG28" s="43">
        <f t="shared" si="167"/>
        <v>0.1891736</v>
      </c>
      <c r="EH28" s="42">
        <v>486147</v>
      </c>
      <c r="EI28" s="42">
        <f t="shared" si="146"/>
        <v>243073.5</v>
      </c>
      <c r="EJ28" s="42">
        <v>2240</v>
      </c>
      <c r="EK28" s="36">
        <f t="shared" si="147"/>
        <v>0.92153196461152698</v>
      </c>
      <c r="EL28">
        <v>58.5</v>
      </c>
      <c r="EM28">
        <v>0.35649999999999998</v>
      </c>
      <c r="EN28" s="43">
        <f t="shared" si="126"/>
        <v>0.20855249999999997</v>
      </c>
      <c r="EO28" s="42">
        <v>1262226</v>
      </c>
      <c r="EP28" s="42">
        <f t="shared" si="148"/>
        <v>631113</v>
      </c>
      <c r="EQ28" s="42">
        <v>8388</v>
      </c>
      <c r="ER28" s="36">
        <f t="shared" si="149"/>
        <v>1.329080529160388</v>
      </c>
      <c r="ES28">
        <v>48.3</v>
      </c>
      <c r="ET28">
        <v>0.36479999999999996</v>
      </c>
      <c r="EU28" s="43">
        <f t="shared" si="171"/>
        <v>0.17619839999999998</v>
      </c>
      <c r="EV28" s="42">
        <v>1710233</v>
      </c>
      <c r="EW28" s="42">
        <f t="shared" si="150"/>
        <v>855116.5</v>
      </c>
      <c r="EX28" s="42">
        <v>10368</v>
      </c>
      <c r="EY28" s="36">
        <f t="shared" si="151"/>
        <v>1.2124663715411876</v>
      </c>
      <c r="EZ28">
        <v>42.8</v>
      </c>
      <c r="FA28">
        <v>0.308</v>
      </c>
      <c r="FB28" s="43">
        <f t="shared" si="172"/>
        <v>0.131824</v>
      </c>
    </row>
    <row r="29" spans="1:158" ht="16.5" customHeight="1">
      <c r="A29" s="32">
        <v>1992</v>
      </c>
      <c r="B29" s="42">
        <v>13994845</v>
      </c>
      <c r="C29" s="42">
        <f t="shared" si="66"/>
        <v>6997422.5</v>
      </c>
      <c r="D29" s="42">
        <v>79034</v>
      </c>
      <c r="E29" s="36">
        <f t="shared" si="67"/>
        <v>1.1294730309624723</v>
      </c>
      <c r="F29" s="13">
        <v>46.5</v>
      </c>
      <c r="G29" s="13">
        <v>0.28809999999999997</v>
      </c>
      <c r="H29" s="43">
        <f t="shared" si="152"/>
        <v>0.13396649999999999</v>
      </c>
      <c r="I29" s="42">
        <v>283237</v>
      </c>
      <c r="J29" s="42">
        <f t="shared" si="68"/>
        <v>141618.5</v>
      </c>
      <c r="K29" s="42">
        <v>867</v>
      </c>
      <c r="L29" s="36">
        <f t="shared" si="69"/>
        <v>0.61220815077126223</v>
      </c>
      <c r="M29" s="13">
        <v>67.099999999999994</v>
      </c>
      <c r="N29" s="13">
        <v>0.41009999999999996</v>
      </c>
      <c r="O29" s="43">
        <f t="shared" si="162"/>
        <v>0.27517709999999995</v>
      </c>
      <c r="P29" s="42">
        <v>63296</v>
      </c>
      <c r="Q29" s="42">
        <f t="shared" si="70"/>
        <v>31648</v>
      </c>
      <c r="R29" s="42">
        <v>227</v>
      </c>
      <c r="S29" s="36">
        <f t="shared" si="71"/>
        <v>0.71726491405460058</v>
      </c>
      <c r="T29" s="13">
        <v>40.4</v>
      </c>
      <c r="U29" s="13">
        <v>0.2964</v>
      </c>
      <c r="V29" s="43">
        <f t="shared" si="153"/>
        <v>0.11974560000000001</v>
      </c>
      <c r="W29" s="42">
        <v>454349</v>
      </c>
      <c r="X29" s="42">
        <f t="shared" si="72"/>
        <v>227174.5</v>
      </c>
      <c r="Y29" s="42">
        <v>2304</v>
      </c>
      <c r="Z29" s="36">
        <f t="shared" si="73"/>
        <v>1.0141983365210443</v>
      </c>
      <c r="AA29" s="13">
        <v>61.1</v>
      </c>
      <c r="AB29" s="13">
        <v>0.29980000000000001</v>
      </c>
      <c r="AC29" s="43">
        <f t="shared" si="154"/>
        <v>0.18317780000000003</v>
      </c>
      <c r="AD29" s="42">
        <v>373967</v>
      </c>
      <c r="AE29" s="42">
        <f t="shared" si="74"/>
        <v>186983.5</v>
      </c>
      <c r="AF29" s="42">
        <v>1633</v>
      </c>
      <c r="AG29" s="36">
        <f t="shared" si="75"/>
        <v>0.87333909141715704</v>
      </c>
      <c r="AH29" s="13">
        <v>69.3</v>
      </c>
      <c r="AI29" s="13">
        <v>0.3715</v>
      </c>
      <c r="AJ29" s="43">
        <f t="shared" si="155"/>
        <v>0.2574495</v>
      </c>
      <c r="AK29" s="42">
        <v>3470662</v>
      </c>
      <c r="AL29" s="42">
        <f t="shared" si="76"/>
        <v>1735331</v>
      </c>
      <c r="AM29" s="42">
        <v>19695</v>
      </c>
      <c r="AN29" s="36">
        <f t="shared" si="77"/>
        <v>1.1349419793687774</v>
      </c>
      <c r="AO29" s="13">
        <v>52.6</v>
      </c>
      <c r="AP29" s="13">
        <v>0.26979999999999998</v>
      </c>
      <c r="AQ29" s="43">
        <f t="shared" si="156"/>
        <v>0.14191480000000001</v>
      </c>
      <c r="AR29" s="42">
        <v>5262277</v>
      </c>
      <c r="AS29" s="42">
        <f t="shared" si="78"/>
        <v>2631138.5</v>
      </c>
      <c r="AT29" s="42">
        <v>30463</v>
      </c>
      <c r="AU29" s="36">
        <f t="shared" si="79"/>
        <v>1.1577877789405613</v>
      </c>
      <c r="AV29" s="13">
        <v>35.200000000000003</v>
      </c>
      <c r="AW29" s="13">
        <v>0.27050000000000002</v>
      </c>
      <c r="AX29" s="43">
        <f t="shared" si="157"/>
        <v>9.5216000000000009E-2</v>
      </c>
      <c r="AY29" s="42">
        <v>536459</v>
      </c>
      <c r="AZ29" s="42">
        <f t="shared" si="80"/>
        <v>268229.5</v>
      </c>
      <c r="BA29" s="42">
        <v>2657</v>
      </c>
      <c r="BB29" s="36">
        <f t="shared" si="81"/>
        <v>0.99056964278724013</v>
      </c>
      <c r="BC29" s="13">
        <v>55.8</v>
      </c>
      <c r="BD29" s="13">
        <v>0.36479999999999996</v>
      </c>
      <c r="BE29" s="43">
        <f t="shared" si="158"/>
        <v>0.20355839999999997</v>
      </c>
      <c r="BF29" s="42">
        <v>484562</v>
      </c>
      <c r="BG29" s="42">
        <f t="shared" si="82"/>
        <v>242281</v>
      </c>
      <c r="BH29" s="42">
        <v>2325</v>
      </c>
      <c r="BI29" s="36">
        <f t="shared" si="83"/>
        <v>0.95962952109327604</v>
      </c>
      <c r="BJ29" s="13">
        <v>55.7</v>
      </c>
      <c r="BK29" s="13">
        <v>0.38740000000000002</v>
      </c>
      <c r="BL29" s="43">
        <f t="shared" si="159"/>
        <v>0.21578180000000002</v>
      </c>
      <c r="BM29" s="42">
        <v>1279272</v>
      </c>
      <c r="BN29" s="42">
        <f t="shared" si="84"/>
        <v>639636</v>
      </c>
      <c r="BO29" s="42">
        <v>8217</v>
      </c>
      <c r="BP29" s="36">
        <f t="shared" si="85"/>
        <v>1.2846368872296117</v>
      </c>
      <c r="BQ29" s="13">
        <v>52.6</v>
      </c>
      <c r="BR29" s="13">
        <v>0.27050000000000002</v>
      </c>
      <c r="BS29" s="43">
        <f t="shared" si="160"/>
        <v>0.14228300000000002</v>
      </c>
      <c r="BT29" s="42">
        <v>1747773</v>
      </c>
      <c r="BU29" s="42">
        <f t="shared" si="86"/>
        <v>873886.5</v>
      </c>
      <c r="BV29" s="42">
        <v>10431</v>
      </c>
      <c r="BW29" s="36">
        <f t="shared" si="87"/>
        <v>1.1936332693090006</v>
      </c>
      <c r="BX29" s="13">
        <v>45.9</v>
      </c>
      <c r="BY29" s="13">
        <v>0.27649999999999997</v>
      </c>
      <c r="BZ29" s="43">
        <f t="shared" si="161"/>
        <v>0.12691349999999998</v>
      </c>
      <c r="CC29" s="32">
        <v>1992</v>
      </c>
      <c r="CD29" s="42">
        <v>13994845</v>
      </c>
      <c r="CE29" s="42">
        <f t="shared" si="130"/>
        <v>6997422.5</v>
      </c>
      <c r="CF29" s="42">
        <v>79034</v>
      </c>
      <c r="CG29" s="36">
        <f t="shared" si="131"/>
        <v>1.1294730309624723</v>
      </c>
      <c r="CH29">
        <v>46.5</v>
      </c>
      <c r="CI29">
        <v>0.30659999999999998</v>
      </c>
      <c r="CJ29" s="43">
        <f t="shared" si="173"/>
        <v>0.142569</v>
      </c>
      <c r="CK29" s="42">
        <v>283237</v>
      </c>
      <c r="CL29" s="42">
        <f t="shared" si="132"/>
        <v>141618.5</v>
      </c>
      <c r="CM29" s="42">
        <v>867</v>
      </c>
      <c r="CN29" s="36">
        <f t="shared" si="133"/>
        <v>0.61220815077126223</v>
      </c>
      <c r="CO29">
        <v>65.400000000000006</v>
      </c>
      <c r="CP29">
        <v>0.34770000000000001</v>
      </c>
      <c r="CQ29" s="43">
        <f t="shared" si="164"/>
        <v>0.22739580000000004</v>
      </c>
      <c r="CR29" s="42">
        <v>63296</v>
      </c>
      <c r="CS29" s="42">
        <f t="shared" si="134"/>
        <v>31648</v>
      </c>
      <c r="CT29" s="42">
        <v>227</v>
      </c>
      <c r="CU29" s="36">
        <f t="shared" si="135"/>
        <v>0.71726491405460058</v>
      </c>
      <c r="CV29">
        <v>31.8</v>
      </c>
      <c r="CW29">
        <v>0.2084</v>
      </c>
      <c r="CX29" s="43">
        <f t="shared" si="168"/>
        <v>6.6271200000000002E-2</v>
      </c>
      <c r="CY29" s="42">
        <v>454349</v>
      </c>
      <c r="CZ29" s="42">
        <f t="shared" si="136"/>
        <v>227174.5</v>
      </c>
      <c r="DA29" s="42">
        <v>2304</v>
      </c>
      <c r="DB29" s="36">
        <f t="shared" si="137"/>
        <v>1.0141983365210443</v>
      </c>
      <c r="DC29">
        <v>46.6</v>
      </c>
      <c r="DD29">
        <v>0.27589999999999998</v>
      </c>
      <c r="DE29" s="43">
        <f t="shared" si="169"/>
        <v>0.1285694</v>
      </c>
      <c r="DF29" s="42">
        <v>373967</v>
      </c>
      <c r="DG29" s="42">
        <f t="shared" si="138"/>
        <v>186983.5</v>
      </c>
      <c r="DH29" s="42">
        <v>1633</v>
      </c>
      <c r="DI29" s="36">
        <f t="shared" si="139"/>
        <v>0.87333909141715704</v>
      </c>
      <c r="DJ29">
        <v>67.2</v>
      </c>
      <c r="DK29">
        <v>0.27750000000000002</v>
      </c>
      <c r="DL29" s="43">
        <f t="shared" si="165"/>
        <v>0.18648000000000003</v>
      </c>
      <c r="DM29" s="42">
        <v>3470662</v>
      </c>
      <c r="DN29" s="42">
        <f t="shared" si="140"/>
        <v>1735331</v>
      </c>
      <c r="DO29" s="42">
        <v>19695</v>
      </c>
      <c r="DP29" s="36">
        <f t="shared" si="141"/>
        <v>1.1349419793687774</v>
      </c>
      <c r="DQ29">
        <v>53.5</v>
      </c>
      <c r="DR29">
        <v>0.29530000000000001</v>
      </c>
      <c r="DS29" s="43">
        <f t="shared" si="166"/>
        <v>0.1579855</v>
      </c>
      <c r="DT29" s="42">
        <v>5262277</v>
      </c>
      <c r="DU29" s="42">
        <f t="shared" si="142"/>
        <v>2631138.5</v>
      </c>
      <c r="DV29" s="42">
        <v>30463</v>
      </c>
      <c r="DW29" s="36">
        <f t="shared" si="143"/>
        <v>1.1577877789405613</v>
      </c>
      <c r="DX29">
        <v>35.200000000000003</v>
      </c>
      <c r="DY29">
        <v>0.28639999999999999</v>
      </c>
      <c r="DZ29" s="43">
        <f t="shared" si="170"/>
        <v>0.10081279999999999</v>
      </c>
      <c r="EA29" s="42">
        <v>536459</v>
      </c>
      <c r="EB29" s="42">
        <f t="shared" si="144"/>
        <v>268229.5</v>
      </c>
      <c r="EC29" s="42">
        <v>2657</v>
      </c>
      <c r="ED29" s="36">
        <f t="shared" si="145"/>
        <v>0.99056964278724013</v>
      </c>
      <c r="EE29">
        <v>47.6</v>
      </c>
      <c r="EF29">
        <v>0.41420000000000001</v>
      </c>
      <c r="EG29" s="43">
        <f t="shared" si="167"/>
        <v>0.19715920000000001</v>
      </c>
      <c r="EH29" s="42">
        <v>484562</v>
      </c>
      <c r="EI29" s="42">
        <f t="shared" si="146"/>
        <v>242281</v>
      </c>
      <c r="EJ29" s="42">
        <v>2325</v>
      </c>
      <c r="EK29" s="36">
        <f t="shared" si="147"/>
        <v>0.95962952109327604</v>
      </c>
      <c r="EL29">
        <v>55.2</v>
      </c>
      <c r="EM29">
        <v>0.38950000000000001</v>
      </c>
      <c r="EN29" s="43">
        <f t="shared" si="126"/>
        <v>0.21500400000000003</v>
      </c>
      <c r="EO29" s="42">
        <v>1279272</v>
      </c>
      <c r="EP29" s="42">
        <f t="shared" si="148"/>
        <v>639636</v>
      </c>
      <c r="EQ29" s="42">
        <v>8217</v>
      </c>
      <c r="ER29" s="36">
        <f t="shared" si="149"/>
        <v>1.2846368872296117</v>
      </c>
      <c r="ES29">
        <v>60</v>
      </c>
      <c r="ET29">
        <v>0.316</v>
      </c>
      <c r="EU29" s="43">
        <f t="shared" si="171"/>
        <v>0.18960000000000002</v>
      </c>
      <c r="EV29" s="42">
        <v>1747773</v>
      </c>
      <c r="EW29" s="42">
        <f t="shared" si="150"/>
        <v>873886.5</v>
      </c>
      <c r="EX29" s="42">
        <v>10431</v>
      </c>
      <c r="EY29" s="36">
        <f t="shared" si="151"/>
        <v>1.1936332693090006</v>
      </c>
      <c r="EZ29">
        <v>43.7</v>
      </c>
      <c r="FA29">
        <v>0.31940000000000002</v>
      </c>
      <c r="FB29" s="43">
        <f t="shared" si="172"/>
        <v>0.1395778</v>
      </c>
    </row>
    <row r="30" spans="1:158" ht="16.5" customHeight="1">
      <c r="A30" s="32">
        <v>1993</v>
      </c>
      <c r="B30" s="42">
        <v>14109691</v>
      </c>
      <c r="C30" s="42">
        <f t="shared" si="66"/>
        <v>7054845.5</v>
      </c>
      <c r="D30" s="42">
        <v>78226</v>
      </c>
      <c r="E30" s="36">
        <f t="shared" si="67"/>
        <v>1.1088265504893056</v>
      </c>
      <c r="F30" s="13">
        <v>45.2</v>
      </c>
      <c r="G30" s="13">
        <v>0.2702</v>
      </c>
      <c r="H30" s="43">
        <f t="shared" si="152"/>
        <v>0.12213040000000001</v>
      </c>
      <c r="I30" s="42">
        <v>285105</v>
      </c>
      <c r="J30" s="42">
        <f t="shared" si="68"/>
        <v>142552.5</v>
      </c>
      <c r="K30" s="42">
        <v>930</v>
      </c>
      <c r="L30" s="36">
        <f t="shared" si="69"/>
        <v>0.65239122428578944</v>
      </c>
      <c r="M30" s="13">
        <v>63.6</v>
      </c>
      <c r="N30" s="13">
        <v>0.36630000000000001</v>
      </c>
      <c r="O30" s="43">
        <f t="shared" si="162"/>
        <v>0.23296680000000003</v>
      </c>
      <c r="P30" s="42">
        <v>63931</v>
      </c>
      <c r="Q30" s="42">
        <f t="shared" si="70"/>
        <v>31965.5</v>
      </c>
      <c r="R30" s="42">
        <v>227</v>
      </c>
      <c r="S30" s="36">
        <f t="shared" si="71"/>
        <v>0.71014062035632164</v>
      </c>
      <c r="T30" s="13">
        <v>34.299999999999997</v>
      </c>
      <c r="U30" s="13">
        <v>0.28360000000000002</v>
      </c>
      <c r="V30" s="43">
        <f t="shared" si="153"/>
        <v>9.7274799999999995E-2</v>
      </c>
      <c r="W30" s="42">
        <v>455786</v>
      </c>
      <c r="X30" s="42">
        <f t="shared" si="72"/>
        <v>227893</v>
      </c>
      <c r="Y30" s="42">
        <v>2376</v>
      </c>
      <c r="Z30" s="36">
        <f t="shared" si="73"/>
        <v>1.0425945509515431</v>
      </c>
      <c r="AA30" s="13">
        <v>68.2</v>
      </c>
      <c r="AB30" s="13">
        <v>0.28620000000000001</v>
      </c>
      <c r="AC30" s="43">
        <f t="shared" si="154"/>
        <v>0.19518840000000001</v>
      </c>
      <c r="AD30" s="42">
        <v>375304</v>
      </c>
      <c r="AE30" s="42">
        <f t="shared" si="74"/>
        <v>187652</v>
      </c>
      <c r="AF30" s="42">
        <v>1606</v>
      </c>
      <c r="AG30" s="36">
        <f t="shared" si="75"/>
        <v>0.85583953275211555</v>
      </c>
      <c r="AH30" s="13">
        <v>67.900000000000006</v>
      </c>
      <c r="AI30" s="13">
        <v>0.3362</v>
      </c>
      <c r="AJ30" s="43">
        <f t="shared" si="155"/>
        <v>0.2282798</v>
      </c>
      <c r="AK30" s="42">
        <v>3476594</v>
      </c>
      <c r="AL30" s="42">
        <f t="shared" si="76"/>
        <v>1738297</v>
      </c>
      <c r="AM30" s="42">
        <v>19662</v>
      </c>
      <c r="AN30" s="36">
        <f t="shared" si="77"/>
        <v>1.1311070547783262</v>
      </c>
      <c r="AO30" s="13">
        <v>52.4</v>
      </c>
      <c r="AP30" s="13">
        <v>0.28570000000000001</v>
      </c>
      <c r="AQ30" s="43">
        <f t="shared" si="156"/>
        <v>0.1497068</v>
      </c>
      <c r="AR30" s="42">
        <v>5308530</v>
      </c>
      <c r="AS30" s="42">
        <f t="shared" si="78"/>
        <v>2654265</v>
      </c>
      <c r="AT30" s="42">
        <v>28903</v>
      </c>
      <c r="AU30" s="36">
        <f t="shared" si="79"/>
        <v>1.088926689686222</v>
      </c>
      <c r="AV30" s="13">
        <v>37.4</v>
      </c>
      <c r="AW30" s="13">
        <v>0.23670000000000002</v>
      </c>
      <c r="AX30" s="43">
        <f t="shared" si="157"/>
        <v>8.8525800000000002E-2</v>
      </c>
      <c r="AY30" s="42">
        <v>537216</v>
      </c>
      <c r="AZ30" s="42">
        <f t="shared" si="80"/>
        <v>268608</v>
      </c>
      <c r="BA30" s="42">
        <v>2586</v>
      </c>
      <c r="BB30" s="36">
        <f t="shared" si="81"/>
        <v>0.9627412437455326</v>
      </c>
      <c r="BC30" s="13">
        <v>51.3</v>
      </c>
      <c r="BD30" s="13">
        <v>0.2797</v>
      </c>
      <c r="BE30" s="43">
        <f t="shared" si="158"/>
        <v>0.14348609999999998</v>
      </c>
      <c r="BF30" s="42">
        <v>483638</v>
      </c>
      <c r="BG30" s="42">
        <f t="shared" si="82"/>
        <v>241819</v>
      </c>
      <c r="BH30" s="42">
        <v>2239</v>
      </c>
      <c r="BI30" s="36">
        <f t="shared" si="83"/>
        <v>0.92589912289770449</v>
      </c>
      <c r="BJ30" s="13">
        <v>58.4</v>
      </c>
      <c r="BK30" s="13">
        <v>0.33189999999999997</v>
      </c>
      <c r="BL30" s="43">
        <f t="shared" si="159"/>
        <v>0.19382959999999996</v>
      </c>
      <c r="BM30" s="42">
        <v>1295337</v>
      </c>
      <c r="BN30" s="42">
        <f t="shared" si="84"/>
        <v>647668.5</v>
      </c>
      <c r="BO30" s="42">
        <v>8612</v>
      </c>
      <c r="BP30" s="36">
        <f t="shared" si="85"/>
        <v>1.3296925819304166</v>
      </c>
      <c r="BQ30" s="13">
        <v>40</v>
      </c>
      <c r="BR30" s="13">
        <v>0.2525</v>
      </c>
      <c r="BS30" s="43">
        <f t="shared" si="160"/>
        <v>0.10099999999999999</v>
      </c>
      <c r="BT30" s="42">
        <v>1788521</v>
      </c>
      <c r="BU30" s="42">
        <f t="shared" si="86"/>
        <v>894260.5</v>
      </c>
      <c r="BV30" s="42">
        <v>10889</v>
      </c>
      <c r="BW30" s="36">
        <f t="shared" si="87"/>
        <v>1.217654139929025</v>
      </c>
      <c r="BX30" s="13">
        <v>42.2</v>
      </c>
      <c r="BY30" s="13">
        <v>0.26739999999999997</v>
      </c>
      <c r="BZ30" s="43">
        <f t="shared" si="161"/>
        <v>0.11284279999999999</v>
      </c>
      <c r="CC30" s="32">
        <v>1993</v>
      </c>
      <c r="CD30" s="42">
        <v>14109691</v>
      </c>
      <c r="CE30" s="42">
        <f t="shared" si="130"/>
        <v>7054845.5</v>
      </c>
      <c r="CF30" s="42">
        <v>78226</v>
      </c>
      <c r="CG30" s="36">
        <f t="shared" si="131"/>
        <v>1.1088265504893056</v>
      </c>
      <c r="CH30">
        <v>46.9</v>
      </c>
      <c r="CI30">
        <v>0.29210000000000003</v>
      </c>
      <c r="CJ30" s="43">
        <f t="shared" si="173"/>
        <v>0.1369949</v>
      </c>
      <c r="CK30" s="42">
        <v>285105</v>
      </c>
      <c r="CL30" s="42">
        <f t="shared" si="132"/>
        <v>142552.5</v>
      </c>
      <c r="CM30" s="42">
        <v>930</v>
      </c>
      <c r="CN30" s="36">
        <f t="shared" si="133"/>
        <v>0.65239122428578944</v>
      </c>
      <c r="CO30">
        <v>56.5</v>
      </c>
      <c r="CP30">
        <v>0.31159999999999999</v>
      </c>
      <c r="CQ30" s="43">
        <f t="shared" si="164"/>
        <v>0.17605399999999999</v>
      </c>
      <c r="CR30" s="42">
        <v>63931</v>
      </c>
      <c r="CS30" s="42">
        <f t="shared" si="134"/>
        <v>31965.5</v>
      </c>
      <c r="CT30" s="42">
        <v>227</v>
      </c>
      <c r="CU30" s="36">
        <f t="shared" si="135"/>
        <v>0.71014062035632164</v>
      </c>
      <c r="CV30">
        <v>19.899999999999999</v>
      </c>
      <c r="CW30">
        <v>0.26239999999999997</v>
      </c>
      <c r="CX30" s="43">
        <f t="shared" si="168"/>
        <v>5.2217599999999989E-2</v>
      </c>
      <c r="CY30" s="42">
        <v>455786</v>
      </c>
      <c r="CZ30" s="42">
        <f t="shared" si="136"/>
        <v>227893</v>
      </c>
      <c r="DA30" s="42">
        <v>2376</v>
      </c>
      <c r="DB30" s="36">
        <f t="shared" si="137"/>
        <v>1.0425945509515431</v>
      </c>
      <c r="DC30">
        <v>61.3</v>
      </c>
      <c r="DD30">
        <v>0.23309999999999997</v>
      </c>
      <c r="DE30" s="43">
        <f t="shared" si="169"/>
        <v>0.1428903</v>
      </c>
      <c r="DF30" s="42">
        <v>375304</v>
      </c>
      <c r="DG30" s="42">
        <f t="shared" si="138"/>
        <v>187652</v>
      </c>
      <c r="DH30" s="42">
        <v>1606</v>
      </c>
      <c r="DI30" s="36">
        <f t="shared" si="139"/>
        <v>0.85583953275211555</v>
      </c>
      <c r="DJ30">
        <v>59.9</v>
      </c>
      <c r="DK30">
        <v>0.29170000000000001</v>
      </c>
      <c r="DL30" s="43">
        <f t="shared" si="165"/>
        <v>0.17472830000000003</v>
      </c>
      <c r="DM30" s="42">
        <v>3476594</v>
      </c>
      <c r="DN30" s="42">
        <f t="shared" si="140"/>
        <v>1738297</v>
      </c>
      <c r="DO30" s="42">
        <v>19662</v>
      </c>
      <c r="DP30" s="36">
        <f t="shared" si="141"/>
        <v>1.1311070547783262</v>
      </c>
      <c r="DQ30">
        <v>52</v>
      </c>
      <c r="DR30">
        <v>0.31989999999999996</v>
      </c>
      <c r="DS30" s="43">
        <f t="shared" si="166"/>
        <v>0.166348</v>
      </c>
      <c r="DT30" s="42">
        <v>5308530</v>
      </c>
      <c r="DU30" s="42">
        <f t="shared" si="142"/>
        <v>2654265</v>
      </c>
      <c r="DV30" s="42">
        <v>28903</v>
      </c>
      <c r="DW30" s="36">
        <f t="shared" si="143"/>
        <v>1.088926689686222</v>
      </c>
      <c r="DX30">
        <v>41.2</v>
      </c>
      <c r="DY30">
        <v>0.27179999999999999</v>
      </c>
      <c r="DZ30" s="43">
        <f t="shared" si="170"/>
        <v>0.1119816</v>
      </c>
      <c r="EA30" s="42">
        <v>537216</v>
      </c>
      <c r="EB30" s="42">
        <f t="shared" si="144"/>
        <v>268608</v>
      </c>
      <c r="EC30" s="42">
        <v>2586</v>
      </c>
      <c r="ED30" s="36">
        <f t="shared" si="145"/>
        <v>0.9627412437455326</v>
      </c>
      <c r="EE30">
        <v>52.6</v>
      </c>
      <c r="EF30">
        <v>0.30549999999999999</v>
      </c>
      <c r="EG30" s="43">
        <f t="shared" si="167"/>
        <v>0.16069299999999997</v>
      </c>
      <c r="EH30" s="42">
        <v>483638</v>
      </c>
      <c r="EI30" s="42">
        <f t="shared" si="146"/>
        <v>241819</v>
      </c>
      <c r="EJ30" s="42">
        <v>2239</v>
      </c>
      <c r="EK30" s="36">
        <f t="shared" si="147"/>
        <v>0.92589912289770449</v>
      </c>
      <c r="EL30">
        <v>54.7</v>
      </c>
      <c r="EM30">
        <v>0.32479999999999998</v>
      </c>
      <c r="EN30" s="43">
        <f t="shared" si="126"/>
        <v>0.17766559999999998</v>
      </c>
      <c r="EO30" s="42">
        <v>1295337</v>
      </c>
      <c r="EP30" s="42">
        <f t="shared" si="148"/>
        <v>647668.5</v>
      </c>
      <c r="EQ30" s="42">
        <v>8612</v>
      </c>
      <c r="ER30" s="36">
        <f t="shared" si="149"/>
        <v>1.3296925819304166</v>
      </c>
      <c r="ES30">
        <v>48.1</v>
      </c>
      <c r="ET30">
        <v>0.28399999999999997</v>
      </c>
      <c r="EU30" s="43">
        <f t="shared" si="171"/>
        <v>0.136604</v>
      </c>
      <c r="EV30" s="42">
        <v>1788521</v>
      </c>
      <c r="EW30" s="42">
        <f t="shared" si="150"/>
        <v>894260.5</v>
      </c>
      <c r="EX30" s="42">
        <v>10889</v>
      </c>
      <c r="EY30" s="36">
        <f t="shared" si="151"/>
        <v>1.217654139929025</v>
      </c>
      <c r="EZ30">
        <v>44.1</v>
      </c>
      <c r="FA30">
        <v>0.30409999999999998</v>
      </c>
      <c r="FB30" s="43">
        <f t="shared" si="172"/>
        <v>0.13410810000000001</v>
      </c>
    </row>
    <row r="31" spans="1:158" ht="16.5" customHeight="1">
      <c r="A31" s="32">
        <v>1994</v>
      </c>
      <c r="B31" s="42">
        <v>14221678</v>
      </c>
      <c r="C31" s="42">
        <f t="shared" si="66"/>
        <v>7110839</v>
      </c>
      <c r="D31" s="42">
        <v>78880</v>
      </c>
      <c r="E31" s="36">
        <f t="shared" si="67"/>
        <v>1.1092924477688215</v>
      </c>
      <c r="F31" s="13">
        <v>42.8</v>
      </c>
      <c r="G31" s="13">
        <v>0.27550000000000002</v>
      </c>
      <c r="H31" s="43">
        <f t="shared" si="152"/>
        <v>0.11791399999999999</v>
      </c>
      <c r="I31" s="42">
        <v>284551</v>
      </c>
      <c r="J31" s="42">
        <f t="shared" si="68"/>
        <v>142275.5</v>
      </c>
      <c r="K31" s="42">
        <v>933</v>
      </c>
      <c r="L31" s="36">
        <f t="shared" si="69"/>
        <v>0.65576996742236016</v>
      </c>
      <c r="M31" s="13">
        <v>65.400000000000006</v>
      </c>
      <c r="N31" s="13">
        <v>0.31159999999999999</v>
      </c>
      <c r="O31" s="43">
        <f t="shared" si="162"/>
        <v>0.20378640000000001</v>
      </c>
      <c r="P31" s="42">
        <v>64505</v>
      </c>
      <c r="Q31" s="42">
        <f t="shared" si="70"/>
        <v>32252.5</v>
      </c>
      <c r="R31" s="42">
        <v>249</v>
      </c>
      <c r="S31" s="36">
        <f t="shared" si="71"/>
        <v>0.77203317572281216</v>
      </c>
      <c r="T31" s="13">
        <v>41.5</v>
      </c>
      <c r="U31" s="13">
        <v>0.24239999999999998</v>
      </c>
      <c r="V31" s="43">
        <f t="shared" si="153"/>
        <v>0.10059599999999999</v>
      </c>
      <c r="W31" s="42">
        <v>456652</v>
      </c>
      <c r="X31" s="42">
        <f t="shared" si="72"/>
        <v>228326</v>
      </c>
      <c r="Y31" s="42">
        <v>2286</v>
      </c>
      <c r="Z31" s="36">
        <f t="shared" si="73"/>
        <v>1.0012000385413837</v>
      </c>
      <c r="AA31" s="13">
        <v>64.599999999999994</v>
      </c>
      <c r="AB31" s="13">
        <v>0.29339999999999999</v>
      </c>
      <c r="AC31" s="43">
        <f t="shared" si="154"/>
        <v>0.18953639999999997</v>
      </c>
      <c r="AD31" s="42">
        <v>376889</v>
      </c>
      <c r="AE31" s="42">
        <f t="shared" si="74"/>
        <v>188444.5</v>
      </c>
      <c r="AF31" s="42">
        <v>1570</v>
      </c>
      <c r="AG31" s="36">
        <f t="shared" si="75"/>
        <v>0.83313654683474447</v>
      </c>
      <c r="AH31" s="13">
        <v>61.2</v>
      </c>
      <c r="AI31" s="13">
        <v>0.37159999999999999</v>
      </c>
      <c r="AJ31" s="43">
        <f t="shared" si="155"/>
        <v>0.22741920000000002</v>
      </c>
      <c r="AK31" s="42">
        <v>3476912</v>
      </c>
      <c r="AL31" s="42">
        <f t="shared" si="76"/>
        <v>1738456</v>
      </c>
      <c r="AM31" s="42">
        <v>18224</v>
      </c>
      <c r="AN31" s="36">
        <f t="shared" si="77"/>
        <v>1.0482865255145946</v>
      </c>
      <c r="AO31" s="13">
        <v>53.3</v>
      </c>
      <c r="AP31" s="13">
        <v>0.26619999999999999</v>
      </c>
      <c r="AQ31" s="43">
        <f t="shared" si="156"/>
        <v>0.1418846</v>
      </c>
      <c r="AR31" s="42">
        <v>5356489</v>
      </c>
      <c r="AS31" s="42">
        <f t="shared" si="78"/>
        <v>2678244.5</v>
      </c>
      <c r="AT31" s="42">
        <v>30718</v>
      </c>
      <c r="AU31" s="36">
        <f t="shared" si="79"/>
        <v>1.1469453218330141</v>
      </c>
      <c r="AV31" s="13">
        <v>30.1</v>
      </c>
      <c r="AW31" s="13">
        <v>0.2455</v>
      </c>
      <c r="AX31" s="43">
        <f t="shared" si="157"/>
        <v>7.3895500000000003E-2</v>
      </c>
      <c r="AY31" s="42">
        <v>538015</v>
      </c>
      <c r="AZ31" s="42">
        <f t="shared" si="80"/>
        <v>269007.5</v>
      </c>
      <c r="BA31" s="42">
        <v>2746</v>
      </c>
      <c r="BB31" s="36">
        <f t="shared" si="81"/>
        <v>1.0207893831956358</v>
      </c>
      <c r="BC31" s="13">
        <v>57.8</v>
      </c>
      <c r="BD31" s="13">
        <v>0.31079999999999997</v>
      </c>
      <c r="BE31" s="43">
        <f t="shared" si="158"/>
        <v>0.17964239999999998</v>
      </c>
      <c r="BF31" s="42">
        <v>482598</v>
      </c>
      <c r="BG31" s="42">
        <f t="shared" si="82"/>
        <v>241299</v>
      </c>
      <c r="BH31" s="42">
        <v>2354</v>
      </c>
      <c r="BI31" s="36">
        <f t="shared" si="83"/>
        <v>0.97555315189868164</v>
      </c>
      <c r="BJ31" s="13">
        <v>59.8</v>
      </c>
      <c r="BK31" s="13">
        <v>0.34460000000000002</v>
      </c>
      <c r="BL31" s="43">
        <f t="shared" si="159"/>
        <v>0.2060708</v>
      </c>
      <c r="BM31" s="42">
        <v>1310873</v>
      </c>
      <c r="BN31" s="42">
        <f t="shared" si="84"/>
        <v>655436.5</v>
      </c>
      <c r="BO31" s="42">
        <v>8174</v>
      </c>
      <c r="BP31" s="36">
        <f t="shared" si="85"/>
        <v>1.2471078433990175</v>
      </c>
      <c r="BQ31" s="13">
        <v>44.4</v>
      </c>
      <c r="BR31" s="13">
        <v>0.28949999999999998</v>
      </c>
      <c r="BS31" s="43">
        <f t="shared" si="160"/>
        <v>0.12853799999999999</v>
      </c>
      <c r="BT31" s="42">
        <v>1833954</v>
      </c>
      <c r="BU31" s="42">
        <f t="shared" si="86"/>
        <v>916977</v>
      </c>
      <c r="BV31" s="42">
        <v>11437</v>
      </c>
      <c r="BW31" s="36">
        <f t="shared" si="87"/>
        <v>1.2472504762932985</v>
      </c>
      <c r="BX31" s="13">
        <v>39.299999999999997</v>
      </c>
      <c r="BY31" s="13">
        <v>0.26819999999999999</v>
      </c>
      <c r="BZ31" s="43">
        <f t="shared" si="161"/>
        <v>0.10540259999999999</v>
      </c>
      <c r="CC31" s="32">
        <v>1994</v>
      </c>
      <c r="CD31" s="42">
        <v>14221678</v>
      </c>
      <c r="CE31" s="42">
        <f t="shared" si="130"/>
        <v>7110839</v>
      </c>
      <c r="CF31" s="42">
        <v>78880</v>
      </c>
      <c r="CG31" s="36">
        <f t="shared" si="131"/>
        <v>1.1092924477688215</v>
      </c>
      <c r="CH31">
        <v>45</v>
      </c>
      <c r="CI31">
        <v>0.29199999999999998</v>
      </c>
      <c r="CJ31" s="43">
        <f t="shared" si="173"/>
        <v>0.13139999999999999</v>
      </c>
      <c r="CK31" s="42">
        <v>284551</v>
      </c>
      <c r="CL31" s="42">
        <f t="shared" si="132"/>
        <v>142275.5</v>
      </c>
      <c r="CM31" s="42">
        <v>933</v>
      </c>
      <c r="CN31" s="36">
        <f t="shared" si="133"/>
        <v>0.65576996742236016</v>
      </c>
      <c r="CO31">
        <v>55.2</v>
      </c>
      <c r="CP31">
        <v>0.2737</v>
      </c>
      <c r="CQ31" s="43">
        <f t="shared" si="164"/>
        <v>0.15108240000000001</v>
      </c>
      <c r="CR31" s="42">
        <v>64505</v>
      </c>
      <c r="CS31" s="42">
        <f t="shared" si="134"/>
        <v>32252.5</v>
      </c>
      <c r="CT31" s="42">
        <v>249</v>
      </c>
      <c r="CU31" s="36">
        <f t="shared" si="135"/>
        <v>0.77203317572281216</v>
      </c>
      <c r="CV31">
        <v>26.9</v>
      </c>
      <c r="CW31">
        <v>0.26569999999999999</v>
      </c>
      <c r="CX31" s="43">
        <f t="shared" si="168"/>
        <v>7.147329999999999E-2</v>
      </c>
      <c r="CY31" s="42">
        <v>456652</v>
      </c>
      <c r="CZ31" s="42">
        <f t="shared" si="136"/>
        <v>228326</v>
      </c>
      <c r="DA31" s="42">
        <v>2286</v>
      </c>
      <c r="DB31" s="36">
        <f t="shared" si="137"/>
        <v>1.0012000385413837</v>
      </c>
      <c r="DC31">
        <v>53.1</v>
      </c>
      <c r="DD31">
        <v>0.27300000000000002</v>
      </c>
      <c r="DE31" s="43">
        <f t="shared" si="169"/>
        <v>0.14496300000000001</v>
      </c>
      <c r="DF31" s="42">
        <v>376889</v>
      </c>
      <c r="DG31" s="42">
        <f t="shared" si="138"/>
        <v>188444.5</v>
      </c>
      <c r="DH31" s="42">
        <v>1570</v>
      </c>
      <c r="DI31" s="36">
        <f t="shared" si="139"/>
        <v>0.83313654683474447</v>
      </c>
      <c r="DJ31">
        <v>55.5</v>
      </c>
      <c r="DK31">
        <v>0.32990000000000003</v>
      </c>
      <c r="DL31" s="43">
        <f t="shared" si="165"/>
        <v>0.18309450000000002</v>
      </c>
      <c r="DM31" s="42">
        <v>3476912</v>
      </c>
      <c r="DN31" s="42">
        <f t="shared" si="140"/>
        <v>1738456</v>
      </c>
      <c r="DO31" s="42">
        <v>18224</v>
      </c>
      <c r="DP31" s="36">
        <f t="shared" si="141"/>
        <v>1.0482865255145946</v>
      </c>
      <c r="DQ31">
        <v>52.1</v>
      </c>
      <c r="DR31">
        <v>0.29239999999999999</v>
      </c>
      <c r="DS31" s="43">
        <f t="shared" si="166"/>
        <v>0.15234040000000001</v>
      </c>
      <c r="DT31" s="42">
        <v>5356489</v>
      </c>
      <c r="DU31" s="42">
        <f t="shared" si="142"/>
        <v>2678244.5</v>
      </c>
      <c r="DV31" s="42">
        <v>30718</v>
      </c>
      <c r="DW31" s="36">
        <f t="shared" si="143"/>
        <v>1.1469453218330141</v>
      </c>
      <c r="DX31">
        <v>37.1</v>
      </c>
      <c r="DY31">
        <v>0.26960000000000001</v>
      </c>
      <c r="DZ31" s="43">
        <f t="shared" si="170"/>
        <v>0.1000216</v>
      </c>
      <c r="EA31" s="42">
        <v>538015</v>
      </c>
      <c r="EB31" s="42">
        <f t="shared" si="144"/>
        <v>269007.5</v>
      </c>
      <c r="EC31" s="42">
        <v>2746</v>
      </c>
      <c r="ED31" s="36">
        <f t="shared" si="145"/>
        <v>1.0207893831956358</v>
      </c>
      <c r="EE31">
        <v>59.5</v>
      </c>
      <c r="EF31">
        <v>0.35420000000000001</v>
      </c>
      <c r="EG31" s="43">
        <f t="shared" si="167"/>
        <v>0.21074899999999999</v>
      </c>
      <c r="EH31" s="42">
        <v>482598</v>
      </c>
      <c r="EI31" s="42">
        <f t="shared" si="146"/>
        <v>241299</v>
      </c>
      <c r="EJ31" s="42">
        <v>2354</v>
      </c>
      <c r="EK31" s="36">
        <f t="shared" si="147"/>
        <v>0.97555315189868164</v>
      </c>
      <c r="EL31">
        <v>53.5</v>
      </c>
      <c r="EM31">
        <v>0.31690000000000002</v>
      </c>
      <c r="EN31" s="43">
        <f t="shared" ref="EN31:EN47" si="174">EL31*EM31/100</f>
        <v>0.16954150000000001</v>
      </c>
      <c r="EO31" s="42">
        <v>1310873</v>
      </c>
      <c r="EP31" s="42">
        <f t="shared" si="148"/>
        <v>655436.5</v>
      </c>
      <c r="EQ31" s="42">
        <v>8174</v>
      </c>
      <c r="ER31" s="36">
        <f t="shared" si="149"/>
        <v>1.2471078433990175</v>
      </c>
      <c r="ES31">
        <v>46.6</v>
      </c>
      <c r="ET31">
        <v>0.3422</v>
      </c>
      <c r="EU31" s="43">
        <f t="shared" si="171"/>
        <v>0.1594652</v>
      </c>
      <c r="EV31" s="42">
        <v>1833954</v>
      </c>
      <c r="EW31" s="42">
        <f t="shared" si="150"/>
        <v>916977</v>
      </c>
      <c r="EX31" s="42">
        <v>11437</v>
      </c>
      <c r="EY31" s="36">
        <f t="shared" si="151"/>
        <v>1.2472504762932985</v>
      </c>
      <c r="EZ31">
        <v>43.4</v>
      </c>
      <c r="FA31">
        <v>0.27789999999999998</v>
      </c>
      <c r="FB31" s="43">
        <f t="shared" si="172"/>
        <v>0.12060859999999998</v>
      </c>
    </row>
    <row r="32" spans="1:158" ht="16.5" customHeight="1">
      <c r="A32" s="32">
        <v>1995</v>
      </c>
      <c r="B32" s="42">
        <v>14325987</v>
      </c>
      <c r="C32" s="42">
        <f t="shared" si="66"/>
        <v>7162993.5</v>
      </c>
      <c r="D32" s="42">
        <v>77636</v>
      </c>
      <c r="E32" s="36">
        <f t="shared" si="67"/>
        <v>1.0838485334378707</v>
      </c>
      <c r="F32" s="13">
        <v>45.3</v>
      </c>
      <c r="G32" s="13">
        <v>0.28059999999999996</v>
      </c>
      <c r="H32" s="43">
        <f t="shared" si="152"/>
        <v>0.12711179999999997</v>
      </c>
      <c r="I32" s="42">
        <v>283322</v>
      </c>
      <c r="J32" s="42">
        <f t="shared" si="68"/>
        <v>141661</v>
      </c>
      <c r="K32" s="42">
        <v>982</v>
      </c>
      <c r="L32" s="36">
        <f t="shared" si="69"/>
        <v>0.69320419875618555</v>
      </c>
      <c r="M32" s="13">
        <v>72.3</v>
      </c>
      <c r="N32" s="13">
        <v>0.3453</v>
      </c>
      <c r="O32" s="43">
        <f t="shared" si="162"/>
        <v>0.24965190000000001</v>
      </c>
      <c r="P32" s="42">
        <v>64999</v>
      </c>
      <c r="Q32" s="42">
        <f t="shared" si="70"/>
        <v>32499.5</v>
      </c>
      <c r="R32" s="42">
        <v>260</v>
      </c>
      <c r="S32" s="36">
        <f t="shared" si="71"/>
        <v>0.80001230788165967</v>
      </c>
      <c r="T32" s="13">
        <v>40.9</v>
      </c>
      <c r="U32" s="13">
        <v>0.24160000000000001</v>
      </c>
      <c r="V32" s="43">
        <f t="shared" si="153"/>
        <v>9.8814399999999997E-2</v>
      </c>
      <c r="W32" s="42">
        <v>456519</v>
      </c>
      <c r="X32" s="42">
        <f t="shared" si="72"/>
        <v>228259.5</v>
      </c>
      <c r="Y32" s="42">
        <v>2294</v>
      </c>
      <c r="Z32" s="36">
        <f t="shared" si="73"/>
        <v>1.0049965061695132</v>
      </c>
      <c r="AA32" s="13">
        <v>62.4</v>
      </c>
      <c r="AB32" s="13">
        <v>0.30579999999999996</v>
      </c>
      <c r="AC32" s="43">
        <f t="shared" si="154"/>
        <v>0.19081919999999997</v>
      </c>
      <c r="AD32" s="42">
        <v>378118</v>
      </c>
      <c r="AE32" s="42">
        <f t="shared" si="74"/>
        <v>189059</v>
      </c>
      <c r="AF32" s="42">
        <v>1456</v>
      </c>
      <c r="AG32" s="36">
        <f t="shared" si="75"/>
        <v>0.77012995943065388</v>
      </c>
      <c r="AH32" s="13">
        <v>64.400000000000006</v>
      </c>
      <c r="AI32" s="13">
        <v>0.31739999999999996</v>
      </c>
      <c r="AJ32" s="43">
        <f t="shared" si="155"/>
        <v>0.20440559999999997</v>
      </c>
      <c r="AK32" s="42">
        <v>3473430</v>
      </c>
      <c r="AL32" s="42">
        <f t="shared" si="76"/>
        <v>1736715</v>
      </c>
      <c r="AM32" s="42">
        <v>20133</v>
      </c>
      <c r="AN32" s="36">
        <f t="shared" si="77"/>
        <v>1.1592575638489908</v>
      </c>
      <c r="AO32" s="13">
        <v>50.1</v>
      </c>
      <c r="AP32" s="13">
        <v>0.28649999999999998</v>
      </c>
      <c r="AQ32" s="43">
        <f t="shared" si="156"/>
        <v>0.14353650000000001</v>
      </c>
      <c r="AR32" s="42">
        <v>5404107</v>
      </c>
      <c r="AS32" s="42">
        <f t="shared" si="78"/>
        <v>2702053.5</v>
      </c>
      <c r="AT32" s="42">
        <v>29352</v>
      </c>
      <c r="AU32" s="36">
        <f t="shared" si="79"/>
        <v>1.0862849310718681</v>
      </c>
      <c r="AV32" s="13">
        <v>41.3</v>
      </c>
      <c r="AW32" s="13">
        <v>0.23550000000000001</v>
      </c>
      <c r="AX32" s="43">
        <f t="shared" si="157"/>
        <v>9.7261500000000001E-2</v>
      </c>
      <c r="AY32" s="42">
        <v>538886</v>
      </c>
      <c r="AZ32" s="42">
        <f t="shared" si="80"/>
        <v>269443</v>
      </c>
      <c r="BA32" s="42">
        <v>2677</v>
      </c>
      <c r="BB32" s="36">
        <f t="shared" si="81"/>
        <v>0.99353109934197592</v>
      </c>
      <c r="BC32" s="13">
        <v>51</v>
      </c>
      <c r="BD32" s="13">
        <v>0.26860000000000001</v>
      </c>
      <c r="BE32" s="43">
        <f t="shared" si="158"/>
        <v>0.136986</v>
      </c>
      <c r="BF32" s="42">
        <v>482641</v>
      </c>
      <c r="BG32" s="42">
        <f t="shared" si="82"/>
        <v>241320.5</v>
      </c>
      <c r="BH32" s="42">
        <v>2320</v>
      </c>
      <c r="BI32" s="36">
        <f t="shared" si="83"/>
        <v>0.96137708980380854</v>
      </c>
      <c r="BJ32" s="13">
        <v>60</v>
      </c>
      <c r="BK32" s="13">
        <v>0.36299999999999999</v>
      </c>
      <c r="BL32" s="43">
        <f t="shared" si="159"/>
        <v>0.21780000000000002</v>
      </c>
      <c r="BM32" s="42">
        <v>1326133</v>
      </c>
      <c r="BN32" s="42">
        <f t="shared" si="84"/>
        <v>663066.5</v>
      </c>
      <c r="BO32" s="42">
        <v>7599</v>
      </c>
      <c r="BP32" s="36">
        <f t="shared" si="85"/>
        <v>1.1460388965511001</v>
      </c>
      <c r="BQ32" s="13">
        <v>43.7</v>
      </c>
      <c r="BR32" s="13">
        <v>0.33909999999999996</v>
      </c>
      <c r="BS32" s="43">
        <f t="shared" si="160"/>
        <v>0.1481867</v>
      </c>
      <c r="BT32" s="42">
        <v>1876632</v>
      </c>
      <c r="BU32" s="42">
        <f t="shared" si="86"/>
        <v>938316</v>
      </c>
      <c r="BV32" s="42">
        <v>10357</v>
      </c>
      <c r="BW32" s="36">
        <f t="shared" si="87"/>
        <v>1.1037859313919831</v>
      </c>
      <c r="BX32" s="13">
        <v>33.299999999999997</v>
      </c>
      <c r="BY32" s="13">
        <v>0.30109999999999998</v>
      </c>
      <c r="BZ32" s="43">
        <f t="shared" si="161"/>
        <v>0.10026629999999999</v>
      </c>
      <c r="CC32" s="32">
        <v>1995</v>
      </c>
      <c r="CD32" s="42">
        <v>14325987</v>
      </c>
      <c r="CE32" s="42">
        <f t="shared" si="130"/>
        <v>7162993.5</v>
      </c>
      <c r="CF32" s="42">
        <v>77636</v>
      </c>
      <c r="CG32" s="36">
        <f t="shared" si="131"/>
        <v>1.0838485334378707</v>
      </c>
      <c r="CH32">
        <v>47.5</v>
      </c>
      <c r="CI32">
        <v>0.29210000000000003</v>
      </c>
      <c r="CJ32" s="43">
        <f t="shared" si="173"/>
        <v>0.1387475</v>
      </c>
      <c r="CK32" s="42">
        <v>283322</v>
      </c>
      <c r="CL32" s="42">
        <f t="shared" si="132"/>
        <v>141661</v>
      </c>
      <c r="CM32" s="42">
        <v>982</v>
      </c>
      <c r="CN32" s="36">
        <f t="shared" si="133"/>
        <v>0.69320419875618555</v>
      </c>
      <c r="CO32">
        <v>62.5</v>
      </c>
      <c r="CP32">
        <v>0.2747</v>
      </c>
      <c r="CQ32" s="43">
        <f t="shared" si="164"/>
        <v>0.17168749999999999</v>
      </c>
      <c r="CR32" s="42">
        <v>64999</v>
      </c>
      <c r="CS32" s="42">
        <f t="shared" si="134"/>
        <v>32499.5</v>
      </c>
      <c r="CT32" s="42">
        <v>260</v>
      </c>
      <c r="CU32" s="36">
        <f t="shared" si="135"/>
        <v>0.80001230788165967</v>
      </c>
      <c r="CV32">
        <v>29.8</v>
      </c>
      <c r="CW32">
        <v>0.19989999999999999</v>
      </c>
      <c r="CX32" s="43">
        <f t="shared" si="168"/>
        <v>5.9570199999999997E-2</v>
      </c>
      <c r="CY32" s="42">
        <v>456519</v>
      </c>
      <c r="CZ32" s="42">
        <f t="shared" si="136"/>
        <v>228259.5</v>
      </c>
      <c r="DA32" s="42">
        <v>2294</v>
      </c>
      <c r="DB32" s="36">
        <f t="shared" si="137"/>
        <v>1.0049965061695132</v>
      </c>
      <c r="DC32">
        <v>55.2</v>
      </c>
      <c r="DD32">
        <v>0.25739999999999996</v>
      </c>
      <c r="DE32" s="43">
        <f t="shared" si="169"/>
        <v>0.14208479999999998</v>
      </c>
      <c r="DF32" s="42">
        <v>378118</v>
      </c>
      <c r="DG32" s="42">
        <f t="shared" si="138"/>
        <v>189059</v>
      </c>
      <c r="DH32" s="42">
        <v>1456</v>
      </c>
      <c r="DI32" s="36">
        <f t="shared" si="139"/>
        <v>0.77012995943065388</v>
      </c>
      <c r="DJ32">
        <v>58.2</v>
      </c>
      <c r="DK32">
        <v>0.26739999999999997</v>
      </c>
      <c r="DL32" s="43">
        <f t="shared" si="165"/>
        <v>0.15562679999999998</v>
      </c>
      <c r="DM32" s="42">
        <v>3473430</v>
      </c>
      <c r="DN32" s="42">
        <f t="shared" si="140"/>
        <v>1736715</v>
      </c>
      <c r="DO32" s="42">
        <v>20133</v>
      </c>
      <c r="DP32" s="36">
        <f t="shared" si="141"/>
        <v>1.1592575638489908</v>
      </c>
      <c r="DQ32">
        <v>50.5</v>
      </c>
      <c r="DR32">
        <v>0.2999</v>
      </c>
      <c r="DS32" s="43">
        <f t="shared" si="166"/>
        <v>0.15144949999999999</v>
      </c>
      <c r="DT32" s="42">
        <v>5404107</v>
      </c>
      <c r="DU32" s="42">
        <f t="shared" si="142"/>
        <v>2702053.5</v>
      </c>
      <c r="DV32" s="42">
        <v>29352</v>
      </c>
      <c r="DW32" s="36">
        <f t="shared" si="143"/>
        <v>1.0862849310718681</v>
      </c>
      <c r="DX32">
        <v>44.8</v>
      </c>
      <c r="DY32">
        <v>0.27440000000000003</v>
      </c>
      <c r="DZ32" s="43">
        <f t="shared" si="170"/>
        <v>0.1229312</v>
      </c>
      <c r="EA32" s="42">
        <v>538886</v>
      </c>
      <c r="EB32" s="42">
        <f t="shared" si="144"/>
        <v>269443</v>
      </c>
      <c r="EC32" s="42">
        <v>2677</v>
      </c>
      <c r="ED32" s="36">
        <f t="shared" si="145"/>
        <v>0.99353109934197592</v>
      </c>
      <c r="EE32">
        <v>52.3</v>
      </c>
      <c r="EF32">
        <v>0.30210000000000004</v>
      </c>
      <c r="EG32" s="43">
        <f t="shared" si="167"/>
        <v>0.15799830000000001</v>
      </c>
      <c r="EH32" s="42">
        <v>482641</v>
      </c>
      <c r="EI32" s="42">
        <f t="shared" si="146"/>
        <v>241320.5</v>
      </c>
      <c r="EJ32" s="42">
        <v>2320</v>
      </c>
      <c r="EK32" s="36">
        <f t="shared" si="147"/>
        <v>0.96137708980380854</v>
      </c>
      <c r="EL32">
        <v>57.3</v>
      </c>
      <c r="EM32">
        <v>0.32350000000000001</v>
      </c>
      <c r="EN32" s="43">
        <f t="shared" si="174"/>
        <v>0.18536549999999999</v>
      </c>
      <c r="EO32" s="42">
        <v>1326133</v>
      </c>
      <c r="EP32" s="42">
        <f t="shared" si="148"/>
        <v>663066.5</v>
      </c>
      <c r="EQ32" s="42">
        <v>7599</v>
      </c>
      <c r="ER32" s="36">
        <f t="shared" si="149"/>
        <v>1.1460388965511001</v>
      </c>
      <c r="ES32">
        <v>50.6</v>
      </c>
      <c r="ET32">
        <v>0.34820000000000001</v>
      </c>
      <c r="EU32" s="43">
        <f t="shared" si="171"/>
        <v>0.17618919999999999</v>
      </c>
      <c r="EV32" s="42">
        <v>1876632</v>
      </c>
      <c r="EW32" s="42">
        <f t="shared" si="150"/>
        <v>938316</v>
      </c>
      <c r="EX32" s="42">
        <v>10357</v>
      </c>
      <c r="EY32" s="36">
        <f t="shared" si="151"/>
        <v>1.1037859313919831</v>
      </c>
      <c r="EZ32">
        <v>38.799999999999997</v>
      </c>
      <c r="FA32">
        <v>0.29370000000000002</v>
      </c>
      <c r="FB32" s="43">
        <f t="shared" si="172"/>
        <v>0.11395559999999999</v>
      </c>
    </row>
    <row r="33" spans="1:158" ht="16.5" customHeight="1">
      <c r="A33" s="32">
        <v>1996</v>
      </c>
      <c r="B33" s="42">
        <v>14425367</v>
      </c>
      <c r="C33" s="42">
        <f t="shared" si="66"/>
        <v>7212683.5</v>
      </c>
      <c r="D33" s="42">
        <v>71528</v>
      </c>
      <c r="E33" s="36">
        <f t="shared" si="67"/>
        <v>0.99169747293084476</v>
      </c>
      <c r="F33" s="13">
        <v>52.3</v>
      </c>
      <c r="G33" s="13">
        <v>0.27850000000000003</v>
      </c>
      <c r="H33" s="43">
        <f t="shared" si="152"/>
        <v>0.14565549999999999</v>
      </c>
      <c r="I33" s="42">
        <v>281832</v>
      </c>
      <c r="J33" s="42">
        <f t="shared" si="68"/>
        <v>140916</v>
      </c>
      <c r="K33" s="42">
        <v>1060</v>
      </c>
      <c r="L33" s="36">
        <f t="shared" si="69"/>
        <v>0.7522211814130404</v>
      </c>
      <c r="M33" s="13">
        <v>68.599999999999994</v>
      </c>
      <c r="N33" s="13">
        <v>0.34039999999999998</v>
      </c>
      <c r="O33" s="43">
        <f t="shared" si="162"/>
        <v>0.23351439999999996</v>
      </c>
      <c r="P33" s="42">
        <v>65584</v>
      </c>
      <c r="Q33" s="42">
        <f t="shared" si="70"/>
        <v>32792</v>
      </c>
      <c r="R33" s="42">
        <v>237</v>
      </c>
      <c r="S33" s="36">
        <f t="shared" si="71"/>
        <v>0.72273725298853375</v>
      </c>
      <c r="T33" s="13">
        <v>42.4</v>
      </c>
      <c r="U33" s="13">
        <v>0.30020000000000002</v>
      </c>
      <c r="V33" s="43">
        <f t="shared" si="153"/>
        <v>0.1272848</v>
      </c>
      <c r="W33" s="42">
        <v>456880</v>
      </c>
      <c r="X33" s="42">
        <f t="shared" si="72"/>
        <v>228440</v>
      </c>
      <c r="Y33" s="42">
        <v>2228</v>
      </c>
      <c r="Z33" s="36">
        <f t="shared" si="73"/>
        <v>0.97531080371213441</v>
      </c>
      <c r="AA33" s="13">
        <v>65</v>
      </c>
      <c r="AB33" s="13">
        <v>0.29630000000000001</v>
      </c>
      <c r="AC33" s="43">
        <f t="shared" si="154"/>
        <v>0.19259499999999999</v>
      </c>
      <c r="AD33" s="42">
        <v>379668</v>
      </c>
      <c r="AE33" s="42">
        <f t="shared" si="74"/>
        <v>189834</v>
      </c>
      <c r="AF33" s="42">
        <v>1450</v>
      </c>
      <c r="AG33" s="36">
        <f t="shared" si="75"/>
        <v>0.76382523678582337</v>
      </c>
      <c r="AH33" s="13">
        <v>64.8</v>
      </c>
      <c r="AI33" s="13">
        <v>0.31219999999999998</v>
      </c>
      <c r="AJ33" s="43">
        <f t="shared" si="155"/>
        <v>0.20230559999999997</v>
      </c>
      <c r="AK33" s="42">
        <v>3468949</v>
      </c>
      <c r="AL33" s="42">
        <f t="shared" si="76"/>
        <v>1734474.5</v>
      </c>
      <c r="AM33" s="42">
        <v>18078</v>
      </c>
      <c r="AN33" s="36">
        <f t="shared" si="77"/>
        <v>1.042275340456144</v>
      </c>
      <c r="AO33" s="13">
        <v>52.3</v>
      </c>
      <c r="AP33" s="13">
        <v>0.26929999999999998</v>
      </c>
      <c r="AQ33" s="43">
        <f t="shared" si="156"/>
        <v>0.14084389999999999</v>
      </c>
      <c r="AR33" s="42">
        <v>5450209</v>
      </c>
      <c r="AS33" s="42">
        <f t="shared" si="78"/>
        <v>2725104.5</v>
      </c>
      <c r="AT33" s="42">
        <v>25035</v>
      </c>
      <c r="AU33" s="36">
        <f t="shared" si="79"/>
        <v>0.9186803662024704</v>
      </c>
      <c r="AV33" s="13">
        <v>50.4</v>
      </c>
      <c r="AW33" s="13">
        <v>0.26519999999999999</v>
      </c>
      <c r="AX33" s="43">
        <f t="shared" si="157"/>
        <v>0.1336608</v>
      </c>
      <c r="AY33" s="42">
        <v>539396</v>
      </c>
      <c r="AZ33" s="42">
        <f t="shared" si="80"/>
        <v>269698</v>
      </c>
      <c r="BA33" s="42">
        <v>2603</v>
      </c>
      <c r="BB33" s="36">
        <f t="shared" si="81"/>
        <v>0.96515361626708396</v>
      </c>
      <c r="BC33" s="13">
        <v>57.4</v>
      </c>
      <c r="BD33" s="13">
        <v>0.30909999999999999</v>
      </c>
      <c r="BE33" s="43">
        <f t="shared" si="158"/>
        <v>0.17742339999999998</v>
      </c>
      <c r="BF33" s="42">
        <v>482551</v>
      </c>
      <c r="BG33" s="42">
        <f t="shared" si="82"/>
        <v>241275.5</v>
      </c>
      <c r="BH33" s="42">
        <v>2216</v>
      </c>
      <c r="BI33" s="36">
        <f t="shared" si="83"/>
        <v>0.9184521428823067</v>
      </c>
      <c r="BJ33" s="13">
        <v>66.3</v>
      </c>
      <c r="BK33" s="13">
        <v>0.34090000000000004</v>
      </c>
      <c r="BL33" s="43">
        <f t="shared" si="159"/>
        <v>0.22601670000000001</v>
      </c>
      <c r="BM33" s="42">
        <v>1343804</v>
      </c>
      <c r="BN33" s="42">
        <f t="shared" si="84"/>
        <v>671902</v>
      </c>
      <c r="BO33" s="42">
        <v>7509</v>
      </c>
      <c r="BP33" s="36">
        <f t="shared" si="85"/>
        <v>1.1175736937827243</v>
      </c>
      <c r="BQ33" s="13">
        <v>49.3</v>
      </c>
      <c r="BR33" s="13">
        <v>0.30879999999999996</v>
      </c>
      <c r="BS33" s="43">
        <f t="shared" si="160"/>
        <v>0.15223839999999997</v>
      </c>
      <c r="BT33" s="42">
        <v>1914305</v>
      </c>
      <c r="BU33" s="42">
        <f t="shared" si="86"/>
        <v>957152.5</v>
      </c>
      <c r="BV33" s="42">
        <v>10898</v>
      </c>
      <c r="BW33" s="36">
        <f t="shared" si="87"/>
        <v>1.1385855441008617</v>
      </c>
      <c r="BX33" s="13">
        <v>46.9</v>
      </c>
      <c r="BY33" s="13">
        <v>0.25290000000000001</v>
      </c>
      <c r="BZ33" s="43">
        <f t="shared" si="161"/>
        <v>0.1186101</v>
      </c>
      <c r="CC33" s="32">
        <v>1996</v>
      </c>
      <c r="CD33" s="42">
        <v>14425367</v>
      </c>
      <c r="CE33" s="42">
        <f t="shared" si="130"/>
        <v>7212683.5</v>
      </c>
      <c r="CF33" s="42">
        <v>71528</v>
      </c>
      <c r="CG33" s="36">
        <f t="shared" si="131"/>
        <v>0.99169747293084476</v>
      </c>
      <c r="CH33">
        <v>52.9</v>
      </c>
      <c r="CI33">
        <v>0.30199999999999999</v>
      </c>
      <c r="CJ33" s="43">
        <f t="shared" si="173"/>
        <v>0.15975799999999998</v>
      </c>
      <c r="CK33" s="42">
        <v>281832</v>
      </c>
      <c r="CL33" s="42">
        <f t="shared" si="132"/>
        <v>140916</v>
      </c>
      <c r="CM33" s="42">
        <v>1060</v>
      </c>
      <c r="CN33" s="36">
        <f t="shared" si="133"/>
        <v>0.7522211814130404</v>
      </c>
      <c r="CO33">
        <v>64</v>
      </c>
      <c r="CP33">
        <v>0.25040000000000001</v>
      </c>
      <c r="CQ33" s="43">
        <f t="shared" si="164"/>
        <v>0.16025600000000001</v>
      </c>
      <c r="CR33" s="42">
        <v>65584</v>
      </c>
      <c r="CS33" s="42">
        <f t="shared" si="134"/>
        <v>32792</v>
      </c>
      <c r="CT33" s="42">
        <v>237</v>
      </c>
      <c r="CU33" s="36">
        <f t="shared" si="135"/>
        <v>0.72273725298853375</v>
      </c>
      <c r="CV33">
        <v>40.1</v>
      </c>
      <c r="CW33">
        <v>0.22699999999999998</v>
      </c>
      <c r="CX33" s="43">
        <f t="shared" si="168"/>
        <v>9.1026999999999983E-2</v>
      </c>
      <c r="CY33" s="42">
        <v>456880</v>
      </c>
      <c r="CZ33" s="42">
        <f t="shared" si="136"/>
        <v>228440</v>
      </c>
      <c r="DA33" s="42">
        <v>2228</v>
      </c>
      <c r="DB33" s="36">
        <f t="shared" si="137"/>
        <v>0.97531080371213441</v>
      </c>
      <c r="DC33">
        <v>56.7</v>
      </c>
      <c r="DD33">
        <v>0.26960000000000001</v>
      </c>
      <c r="DE33" s="43">
        <f t="shared" si="169"/>
        <v>0.1528632</v>
      </c>
      <c r="DF33" s="42">
        <v>379668</v>
      </c>
      <c r="DG33" s="42">
        <f t="shared" si="138"/>
        <v>189834</v>
      </c>
      <c r="DH33" s="42">
        <v>1450</v>
      </c>
      <c r="DI33" s="36">
        <f t="shared" si="139"/>
        <v>0.76382523678582337</v>
      </c>
      <c r="DJ33">
        <v>53.6</v>
      </c>
      <c r="DK33">
        <v>0.25769999999999998</v>
      </c>
      <c r="DL33" s="43">
        <f t="shared" si="165"/>
        <v>0.13812719999999998</v>
      </c>
      <c r="DM33" s="42">
        <v>3468949</v>
      </c>
      <c r="DN33" s="42">
        <f t="shared" si="140"/>
        <v>1734474.5</v>
      </c>
      <c r="DO33" s="42">
        <v>18078</v>
      </c>
      <c r="DP33" s="36">
        <f t="shared" si="141"/>
        <v>1.042275340456144</v>
      </c>
      <c r="DQ33">
        <v>52.6</v>
      </c>
      <c r="DR33">
        <v>0.29530000000000001</v>
      </c>
      <c r="DS33" s="43">
        <f t="shared" si="166"/>
        <v>0.15532780000000002</v>
      </c>
      <c r="DT33" s="42">
        <v>5450209</v>
      </c>
      <c r="DU33" s="42">
        <f t="shared" si="142"/>
        <v>2725104.5</v>
      </c>
      <c r="DV33" s="42">
        <v>25035</v>
      </c>
      <c r="DW33" s="36">
        <f t="shared" si="143"/>
        <v>0.9186803662024704</v>
      </c>
      <c r="DX33">
        <v>53.5</v>
      </c>
      <c r="DY33">
        <v>0.29109999999999997</v>
      </c>
      <c r="DZ33" s="43">
        <f t="shared" si="170"/>
        <v>0.15573849999999997</v>
      </c>
      <c r="EA33" s="42">
        <v>539396</v>
      </c>
      <c r="EB33" s="42">
        <f t="shared" si="144"/>
        <v>269698</v>
      </c>
      <c r="EC33" s="42">
        <v>2603</v>
      </c>
      <c r="ED33" s="36">
        <f t="shared" si="145"/>
        <v>0.96515361626708396</v>
      </c>
      <c r="EE33">
        <v>57.4</v>
      </c>
      <c r="EF33">
        <v>0.34909999999999997</v>
      </c>
      <c r="EG33" s="43">
        <f t="shared" si="167"/>
        <v>0.20038339999999999</v>
      </c>
      <c r="EH33" s="42">
        <v>482551</v>
      </c>
      <c r="EI33" s="42">
        <f t="shared" si="146"/>
        <v>241275.5</v>
      </c>
      <c r="EJ33" s="42">
        <v>2216</v>
      </c>
      <c r="EK33" s="36">
        <f t="shared" si="147"/>
        <v>0.9184521428823067</v>
      </c>
      <c r="EL33">
        <v>56.2</v>
      </c>
      <c r="EM33">
        <v>0.30909999999999999</v>
      </c>
      <c r="EN33" s="43">
        <f t="shared" si="174"/>
        <v>0.17371420000000001</v>
      </c>
      <c r="EO33" s="42">
        <v>1343804</v>
      </c>
      <c r="EP33" s="42">
        <f t="shared" si="148"/>
        <v>671902</v>
      </c>
      <c r="EQ33" s="42">
        <v>7509</v>
      </c>
      <c r="ER33" s="36">
        <f t="shared" si="149"/>
        <v>1.1175736937827243</v>
      </c>
      <c r="ES33">
        <v>53.7</v>
      </c>
      <c r="ET33">
        <v>0.37</v>
      </c>
      <c r="EU33" s="43">
        <f t="shared" si="171"/>
        <v>0.19869000000000001</v>
      </c>
      <c r="EV33" s="42">
        <v>1914305</v>
      </c>
      <c r="EW33" s="42">
        <f t="shared" si="150"/>
        <v>957152.5</v>
      </c>
      <c r="EX33" s="42">
        <v>10898</v>
      </c>
      <c r="EY33" s="36">
        <f t="shared" si="151"/>
        <v>1.1385855441008617</v>
      </c>
      <c r="EZ33">
        <v>47</v>
      </c>
      <c r="FA33">
        <v>0.31040000000000001</v>
      </c>
      <c r="FB33" s="43">
        <f t="shared" si="172"/>
        <v>0.14588800000000002</v>
      </c>
    </row>
    <row r="34" spans="1:158" ht="16.5" customHeight="1">
      <c r="A34" s="32">
        <v>1997</v>
      </c>
      <c r="B34" s="42">
        <v>14594764</v>
      </c>
      <c r="C34" s="42">
        <f t="shared" si="66"/>
        <v>7297382</v>
      </c>
      <c r="D34" s="42">
        <v>67408</v>
      </c>
      <c r="E34" s="36">
        <f t="shared" si="67"/>
        <v>0.92372853716579451</v>
      </c>
      <c r="F34" s="13">
        <v>47.6</v>
      </c>
      <c r="G34" s="13">
        <v>0.29580000000000001</v>
      </c>
      <c r="H34" s="43">
        <f t="shared" si="152"/>
        <v>0.1408008</v>
      </c>
      <c r="I34" s="42">
        <v>280139</v>
      </c>
      <c r="J34" s="42">
        <f t="shared" si="68"/>
        <v>140069.5</v>
      </c>
      <c r="K34" s="42">
        <v>822</v>
      </c>
      <c r="L34" s="36">
        <f t="shared" si="69"/>
        <v>0.58685152727753009</v>
      </c>
      <c r="M34" s="13">
        <v>64.7</v>
      </c>
      <c r="N34" s="13">
        <v>0.34649999999999997</v>
      </c>
      <c r="O34" s="43">
        <f t="shared" si="162"/>
        <v>0.22418550000000001</v>
      </c>
      <c r="P34" s="42">
        <v>66139</v>
      </c>
      <c r="Q34" s="42">
        <f t="shared" si="70"/>
        <v>33069.5</v>
      </c>
      <c r="R34" s="42">
        <v>243</v>
      </c>
      <c r="S34" s="36">
        <f t="shared" si="71"/>
        <v>0.73481606918761999</v>
      </c>
      <c r="T34" s="13">
        <v>53</v>
      </c>
      <c r="U34" s="13">
        <v>0.28899999999999998</v>
      </c>
      <c r="V34" s="43">
        <f t="shared" si="153"/>
        <v>0.15316999999999997</v>
      </c>
      <c r="W34" s="42">
        <v>459618</v>
      </c>
      <c r="X34" s="42">
        <f t="shared" si="72"/>
        <v>229809</v>
      </c>
      <c r="Y34" s="42">
        <v>1983</v>
      </c>
      <c r="Z34" s="36">
        <f t="shared" si="73"/>
        <v>0.8628904873177291</v>
      </c>
      <c r="AA34" s="13">
        <v>72.2</v>
      </c>
      <c r="AB34" s="13">
        <v>0.31890000000000002</v>
      </c>
      <c r="AC34" s="43">
        <f t="shared" si="154"/>
        <v>0.23024580000000003</v>
      </c>
      <c r="AD34" s="42">
        <v>381403</v>
      </c>
      <c r="AE34" s="42">
        <f t="shared" si="74"/>
        <v>190701.5</v>
      </c>
      <c r="AF34" s="42">
        <v>1373</v>
      </c>
      <c r="AG34" s="36">
        <f t="shared" si="75"/>
        <v>0.7199733615100038</v>
      </c>
      <c r="AH34" s="13">
        <v>59.5</v>
      </c>
      <c r="AI34" s="13">
        <v>0.31679999999999997</v>
      </c>
      <c r="AJ34" s="43">
        <f t="shared" si="155"/>
        <v>0.188496</v>
      </c>
      <c r="AK34" s="42">
        <v>3486168</v>
      </c>
      <c r="AL34" s="42">
        <f t="shared" si="76"/>
        <v>1743084</v>
      </c>
      <c r="AM34" s="42">
        <v>17478</v>
      </c>
      <c r="AN34" s="36">
        <f t="shared" si="77"/>
        <v>1.00270554947438</v>
      </c>
      <c r="AO34" s="13">
        <v>53.3</v>
      </c>
      <c r="AP34" s="13">
        <v>0.29010000000000002</v>
      </c>
      <c r="AQ34" s="43">
        <f t="shared" si="156"/>
        <v>0.15462329999999999</v>
      </c>
      <c r="AR34" s="42">
        <v>5536734</v>
      </c>
      <c r="AS34" s="42">
        <f t="shared" si="78"/>
        <v>2768367</v>
      </c>
      <c r="AT34" s="42">
        <v>23629</v>
      </c>
      <c r="AU34" s="36">
        <f t="shared" si="79"/>
        <v>0.85353567644752304</v>
      </c>
      <c r="AV34" s="13">
        <v>43.3</v>
      </c>
      <c r="AW34" s="13">
        <v>0.28649999999999998</v>
      </c>
      <c r="AX34" s="43">
        <f t="shared" si="157"/>
        <v>0.12405449999999998</v>
      </c>
      <c r="AY34" s="42">
        <v>539966</v>
      </c>
      <c r="AZ34" s="42">
        <f t="shared" si="80"/>
        <v>269983</v>
      </c>
      <c r="BA34" s="42">
        <v>2625</v>
      </c>
      <c r="BB34" s="36">
        <f t="shared" si="81"/>
        <v>0.97228344006844869</v>
      </c>
      <c r="BC34" s="13">
        <v>54.8</v>
      </c>
      <c r="BD34" s="13">
        <v>0.28360000000000002</v>
      </c>
      <c r="BE34" s="43">
        <f t="shared" si="158"/>
        <v>0.15541280000000002</v>
      </c>
      <c r="BF34" s="42">
        <v>482165</v>
      </c>
      <c r="BG34" s="42">
        <f t="shared" si="82"/>
        <v>241082.5</v>
      </c>
      <c r="BH34" s="42">
        <v>2198</v>
      </c>
      <c r="BI34" s="36">
        <f t="shared" si="83"/>
        <v>0.91172109132765744</v>
      </c>
      <c r="BJ34" s="13">
        <v>52.9</v>
      </c>
      <c r="BK34" s="13">
        <v>0.31340000000000001</v>
      </c>
      <c r="BL34" s="43">
        <f t="shared" si="159"/>
        <v>0.16578859999999998</v>
      </c>
      <c r="BM34" s="42">
        <v>1371611</v>
      </c>
      <c r="BN34" s="42">
        <f t="shared" si="84"/>
        <v>685805.5</v>
      </c>
      <c r="BO34" s="42">
        <v>7185</v>
      </c>
      <c r="BP34" s="36">
        <f t="shared" si="85"/>
        <v>1.0476731376461692</v>
      </c>
      <c r="BQ34" s="13">
        <v>39.200000000000003</v>
      </c>
      <c r="BR34" s="13">
        <v>0.36719999999999997</v>
      </c>
      <c r="BS34" s="43">
        <f t="shared" si="160"/>
        <v>0.1439424</v>
      </c>
      <c r="BT34" s="42">
        <v>1948500</v>
      </c>
      <c r="BU34" s="42">
        <f t="shared" si="86"/>
        <v>974250</v>
      </c>
      <c r="BV34" s="42">
        <v>9692</v>
      </c>
      <c r="BW34" s="36">
        <f t="shared" si="87"/>
        <v>0.99481652553246092</v>
      </c>
      <c r="BX34" s="13">
        <v>39.700000000000003</v>
      </c>
      <c r="BY34" s="13">
        <v>0.2666</v>
      </c>
      <c r="BZ34" s="43">
        <f t="shared" si="161"/>
        <v>0.10584020000000001</v>
      </c>
      <c r="CC34" s="32">
        <v>1997</v>
      </c>
      <c r="CD34" s="42">
        <v>14594764</v>
      </c>
      <c r="CE34" s="42">
        <f t="shared" si="130"/>
        <v>7297382</v>
      </c>
      <c r="CF34" s="42">
        <v>67408</v>
      </c>
      <c r="CG34" s="36">
        <f t="shared" si="131"/>
        <v>0.92372853716579451</v>
      </c>
      <c r="CH34">
        <v>48.2</v>
      </c>
      <c r="CI34">
        <v>0.30879999999999996</v>
      </c>
      <c r="CJ34" s="43">
        <f t="shared" si="173"/>
        <v>0.14884159999999999</v>
      </c>
      <c r="CK34" s="42">
        <v>280139</v>
      </c>
      <c r="CL34" s="42">
        <f t="shared" si="132"/>
        <v>140069.5</v>
      </c>
      <c r="CM34" s="42">
        <v>822</v>
      </c>
      <c r="CN34" s="36">
        <f t="shared" si="133"/>
        <v>0.58685152727753009</v>
      </c>
      <c r="CO34">
        <v>57.8</v>
      </c>
      <c r="CP34">
        <v>0.27300000000000002</v>
      </c>
      <c r="CQ34" s="43">
        <f t="shared" si="164"/>
        <v>0.15779400000000002</v>
      </c>
      <c r="CR34" s="42">
        <v>66139</v>
      </c>
      <c r="CS34" s="42">
        <f t="shared" si="134"/>
        <v>33069.5</v>
      </c>
      <c r="CT34" s="42">
        <v>243</v>
      </c>
      <c r="CU34" s="36">
        <f t="shared" si="135"/>
        <v>0.73481606918761999</v>
      </c>
      <c r="CV34">
        <v>42.4</v>
      </c>
      <c r="CW34">
        <v>0.22030000000000002</v>
      </c>
      <c r="CX34" s="43">
        <f t="shared" si="168"/>
        <v>9.340720000000001E-2</v>
      </c>
      <c r="CY34" s="42">
        <v>459618</v>
      </c>
      <c r="CZ34" s="42">
        <f t="shared" si="136"/>
        <v>229809</v>
      </c>
      <c r="DA34" s="42">
        <v>1983</v>
      </c>
      <c r="DB34" s="36">
        <f t="shared" si="137"/>
        <v>0.8628904873177291</v>
      </c>
      <c r="DC34">
        <v>63.6</v>
      </c>
      <c r="DD34">
        <v>0.27960000000000002</v>
      </c>
      <c r="DE34" s="43">
        <f t="shared" si="169"/>
        <v>0.1778256</v>
      </c>
      <c r="DF34" s="42">
        <v>381403</v>
      </c>
      <c r="DG34" s="42">
        <f t="shared" si="138"/>
        <v>190701.5</v>
      </c>
      <c r="DH34" s="42">
        <v>1373</v>
      </c>
      <c r="DI34" s="36">
        <f t="shared" si="139"/>
        <v>0.7199733615100038</v>
      </c>
      <c r="DJ34">
        <v>53.2</v>
      </c>
      <c r="DK34">
        <v>0.23730000000000001</v>
      </c>
      <c r="DL34" s="43">
        <f t="shared" si="165"/>
        <v>0.12624360000000001</v>
      </c>
      <c r="DM34" s="42">
        <v>3486168</v>
      </c>
      <c r="DN34" s="42">
        <f t="shared" si="140"/>
        <v>1743084</v>
      </c>
      <c r="DO34" s="42">
        <v>17478</v>
      </c>
      <c r="DP34" s="36">
        <f t="shared" si="141"/>
        <v>1.00270554947438</v>
      </c>
      <c r="DQ34">
        <v>55.1</v>
      </c>
      <c r="DR34">
        <v>0.30740000000000001</v>
      </c>
      <c r="DS34" s="43">
        <f t="shared" si="166"/>
        <v>0.16937740000000001</v>
      </c>
      <c r="DT34" s="42">
        <v>5536734</v>
      </c>
      <c r="DU34" s="42">
        <f t="shared" si="142"/>
        <v>2768367</v>
      </c>
      <c r="DV34" s="42">
        <v>23629</v>
      </c>
      <c r="DW34" s="36">
        <f t="shared" si="143"/>
        <v>0.85353567644752304</v>
      </c>
      <c r="DX34">
        <v>45.3</v>
      </c>
      <c r="DY34">
        <v>0.31609999999999999</v>
      </c>
      <c r="DZ34" s="43">
        <f t="shared" si="170"/>
        <v>0.1431933</v>
      </c>
      <c r="EA34" s="42">
        <v>539966</v>
      </c>
      <c r="EB34" s="42">
        <f t="shared" si="144"/>
        <v>269983</v>
      </c>
      <c r="EC34" s="42">
        <v>2625</v>
      </c>
      <c r="ED34" s="36">
        <f t="shared" si="145"/>
        <v>0.97228344006844869</v>
      </c>
      <c r="EE34">
        <v>56.7</v>
      </c>
      <c r="EF34">
        <v>0.31040000000000001</v>
      </c>
      <c r="EG34" s="43">
        <f t="shared" si="167"/>
        <v>0.17599680000000004</v>
      </c>
      <c r="EH34" s="42">
        <v>482165</v>
      </c>
      <c r="EI34" s="42">
        <f t="shared" si="146"/>
        <v>241082.5</v>
      </c>
      <c r="EJ34" s="42">
        <v>2198</v>
      </c>
      <c r="EK34" s="36">
        <f t="shared" si="147"/>
        <v>0.91172109132765744</v>
      </c>
      <c r="EL34">
        <v>41.4</v>
      </c>
      <c r="EM34">
        <v>0.31430000000000002</v>
      </c>
      <c r="EN34" s="43">
        <f t="shared" si="174"/>
        <v>0.13012019999999999</v>
      </c>
      <c r="EO34" s="42">
        <v>1371611</v>
      </c>
      <c r="EP34" s="42">
        <f t="shared" si="148"/>
        <v>685805.5</v>
      </c>
      <c r="EQ34" s="42">
        <v>7185</v>
      </c>
      <c r="ER34" s="36">
        <f t="shared" si="149"/>
        <v>1.0476731376461692</v>
      </c>
      <c r="ES34">
        <v>43.2</v>
      </c>
      <c r="ET34">
        <v>0.37609999999999999</v>
      </c>
      <c r="EU34" s="43">
        <f t="shared" si="171"/>
        <v>0.16247520000000001</v>
      </c>
      <c r="EV34" s="42">
        <v>1948500</v>
      </c>
      <c r="EW34" s="42">
        <f t="shared" si="150"/>
        <v>974250</v>
      </c>
      <c r="EX34" s="42">
        <v>9692</v>
      </c>
      <c r="EY34" s="36">
        <f t="shared" si="151"/>
        <v>0.99481652553246092</v>
      </c>
      <c r="EZ34">
        <v>40.200000000000003</v>
      </c>
      <c r="FA34">
        <v>0.27829999999999999</v>
      </c>
      <c r="FB34" s="43">
        <f t="shared" si="172"/>
        <v>0.11187660000000001</v>
      </c>
    </row>
    <row r="35" spans="1:158" ht="16.5" customHeight="1">
      <c r="A35" s="32">
        <v>1998</v>
      </c>
      <c r="B35" s="42">
        <v>14737183</v>
      </c>
      <c r="C35" s="42">
        <f t="shared" si="66"/>
        <v>7368591.5</v>
      </c>
      <c r="D35" s="42">
        <v>69088</v>
      </c>
      <c r="E35" s="36">
        <f t="shared" si="67"/>
        <v>0.93760116841868613</v>
      </c>
      <c r="F35" s="13">
        <v>47.2</v>
      </c>
      <c r="G35" s="13">
        <v>0.30030000000000001</v>
      </c>
      <c r="H35" s="43">
        <f t="shared" si="152"/>
        <v>0.1417416</v>
      </c>
      <c r="I35" s="42">
        <v>277230</v>
      </c>
      <c r="J35" s="42">
        <f t="shared" si="68"/>
        <v>138615</v>
      </c>
      <c r="K35" s="42">
        <v>944</v>
      </c>
      <c r="L35" s="36">
        <f t="shared" si="69"/>
        <v>0.68102297731125783</v>
      </c>
      <c r="M35" s="13">
        <v>66.599999999999994</v>
      </c>
      <c r="N35" s="13">
        <v>0.29389999999999999</v>
      </c>
      <c r="O35" s="43">
        <f t="shared" si="162"/>
        <v>0.19573739999999998</v>
      </c>
      <c r="P35" s="42">
        <v>66414</v>
      </c>
      <c r="Q35" s="42">
        <f t="shared" si="70"/>
        <v>33207</v>
      </c>
      <c r="R35" s="42">
        <v>279</v>
      </c>
      <c r="S35" s="36">
        <f t="shared" si="71"/>
        <v>0.84018429849128196</v>
      </c>
      <c r="T35" s="13">
        <v>47.2</v>
      </c>
      <c r="U35" s="13">
        <v>0.23749999999999999</v>
      </c>
      <c r="V35" s="43">
        <f t="shared" si="153"/>
        <v>0.11210000000000001</v>
      </c>
      <c r="W35" s="42">
        <v>461529</v>
      </c>
      <c r="X35" s="42">
        <f t="shared" si="72"/>
        <v>230764.5</v>
      </c>
      <c r="Y35" s="42">
        <v>1933</v>
      </c>
      <c r="Z35" s="36">
        <f t="shared" si="73"/>
        <v>0.83765050516868933</v>
      </c>
      <c r="AA35" s="13">
        <v>70.8</v>
      </c>
      <c r="AB35" s="13">
        <v>0.33429999999999999</v>
      </c>
      <c r="AC35" s="43">
        <f t="shared" si="154"/>
        <v>0.23668439999999996</v>
      </c>
      <c r="AD35" s="42">
        <v>382077</v>
      </c>
      <c r="AE35" s="42">
        <f t="shared" si="74"/>
        <v>191038.5</v>
      </c>
      <c r="AF35" s="42">
        <v>1473</v>
      </c>
      <c r="AG35" s="36">
        <f t="shared" si="75"/>
        <v>0.77104876765678121</v>
      </c>
      <c r="AH35" s="13">
        <v>56.6</v>
      </c>
      <c r="AI35" s="13">
        <v>0.3206</v>
      </c>
      <c r="AJ35" s="43">
        <f t="shared" si="155"/>
        <v>0.1814596</v>
      </c>
      <c r="AK35" s="42">
        <v>3499947</v>
      </c>
      <c r="AL35" s="42">
        <f t="shared" si="76"/>
        <v>1749973.5</v>
      </c>
      <c r="AM35" s="42">
        <v>16916</v>
      </c>
      <c r="AN35" s="36">
        <f t="shared" si="77"/>
        <v>0.96664320916859603</v>
      </c>
      <c r="AO35" s="13">
        <v>46.9</v>
      </c>
      <c r="AP35" s="13">
        <v>0.28460000000000002</v>
      </c>
      <c r="AQ35" s="43">
        <f t="shared" si="156"/>
        <v>0.1334774</v>
      </c>
      <c r="AR35" s="42">
        <v>5614991</v>
      </c>
      <c r="AS35" s="42">
        <f t="shared" si="78"/>
        <v>2807495.5</v>
      </c>
      <c r="AT35" s="42">
        <v>25149</v>
      </c>
      <c r="AU35" s="36">
        <f t="shared" si="79"/>
        <v>0.89578059875786087</v>
      </c>
      <c r="AV35" s="13">
        <v>46</v>
      </c>
      <c r="AW35" s="13">
        <v>0.29189999999999999</v>
      </c>
      <c r="AX35" s="43">
        <f t="shared" si="157"/>
        <v>0.134274</v>
      </c>
      <c r="AY35" s="42">
        <v>540221</v>
      </c>
      <c r="AZ35" s="42">
        <f t="shared" si="80"/>
        <v>270110.5</v>
      </c>
      <c r="BA35" s="42">
        <v>2443</v>
      </c>
      <c r="BB35" s="36">
        <f t="shared" si="81"/>
        <v>0.90444466246221455</v>
      </c>
      <c r="BC35" s="13">
        <v>56.9</v>
      </c>
      <c r="BD35" s="13">
        <v>0.24579999999999999</v>
      </c>
      <c r="BE35" s="43">
        <f t="shared" si="158"/>
        <v>0.13986019999999999</v>
      </c>
      <c r="BF35" s="42">
        <v>482090</v>
      </c>
      <c r="BG35" s="42">
        <f t="shared" si="82"/>
        <v>241045</v>
      </c>
      <c r="BH35" s="42">
        <v>2246</v>
      </c>
      <c r="BI35" s="36">
        <f t="shared" si="83"/>
        <v>0.93177622435644791</v>
      </c>
      <c r="BJ35" s="13">
        <v>45.9</v>
      </c>
      <c r="BK35" s="13">
        <v>0.23</v>
      </c>
      <c r="BL35" s="43">
        <f t="shared" si="159"/>
        <v>0.10557</v>
      </c>
      <c r="BM35" s="42">
        <v>1404987</v>
      </c>
      <c r="BN35" s="42">
        <f t="shared" si="84"/>
        <v>702493.5</v>
      </c>
      <c r="BO35" s="42">
        <v>7668</v>
      </c>
      <c r="BP35" s="36">
        <f t="shared" si="85"/>
        <v>1.0915403487719104</v>
      </c>
      <c r="BQ35" s="13">
        <v>36.799999999999997</v>
      </c>
      <c r="BR35" s="13">
        <v>0.31840000000000002</v>
      </c>
      <c r="BS35" s="43">
        <f t="shared" si="160"/>
        <v>0.11717119999999999</v>
      </c>
      <c r="BT35" s="42">
        <v>1965845</v>
      </c>
      <c r="BU35" s="42">
        <f t="shared" si="86"/>
        <v>982922.5</v>
      </c>
      <c r="BV35" s="42">
        <v>9827</v>
      </c>
      <c r="BW35" s="36">
        <f t="shared" si="87"/>
        <v>0.99977363423871157</v>
      </c>
      <c r="BX35" s="13">
        <v>46.1</v>
      </c>
      <c r="BY35" s="13">
        <v>0.35930000000000001</v>
      </c>
      <c r="BZ35" s="43">
        <f t="shared" si="161"/>
        <v>0.16563729999999999</v>
      </c>
      <c r="CC35" s="32">
        <v>1998</v>
      </c>
      <c r="CD35" s="42">
        <v>14737183</v>
      </c>
      <c r="CE35" s="42">
        <f t="shared" si="130"/>
        <v>7368591.5</v>
      </c>
      <c r="CF35" s="42">
        <v>69088</v>
      </c>
      <c r="CG35" s="36">
        <f t="shared" si="131"/>
        <v>0.93760116841868613</v>
      </c>
      <c r="CH35">
        <v>43.5</v>
      </c>
      <c r="CI35">
        <v>0.3085</v>
      </c>
      <c r="CJ35" s="43">
        <f t="shared" si="173"/>
        <v>0.1341975</v>
      </c>
      <c r="CK35" s="42">
        <v>277230</v>
      </c>
      <c r="CL35" s="42">
        <f t="shared" si="132"/>
        <v>138615</v>
      </c>
      <c r="CM35" s="42">
        <v>944</v>
      </c>
      <c r="CN35" s="36">
        <f t="shared" si="133"/>
        <v>0.68102297731125783</v>
      </c>
      <c r="CO35">
        <v>51.7</v>
      </c>
      <c r="CP35">
        <v>0.2303</v>
      </c>
      <c r="CQ35" s="43">
        <f t="shared" si="164"/>
        <v>0.11906510000000001</v>
      </c>
      <c r="CR35" s="42">
        <v>66414</v>
      </c>
      <c r="CS35" s="42">
        <f t="shared" si="134"/>
        <v>33207</v>
      </c>
      <c r="CT35" s="42">
        <v>279</v>
      </c>
      <c r="CU35" s="36">
        <f t="shared" si="135"/>
        <v>0.84018429849128196</v>
      </c>
      <c r="CV35">
        <v>35.5</v>
      </c>
      <c r="CW35">
        <v>0.14949999999999999</v>
      </c>
      <c r="CX35" s="43">
        <f t="shared" si="168"/>
        <v>5.3072499999999995E-2</v>
      </c>
      <c r="CY35" s="42">
        <v>461529</v>
      </c>
      <c r="CZ35" s="42">
        <f t="shared" si="136"/>
        <v>230764.5</v>
      </c>
      <c r="DA35" s="42">
        <v>1933</v>
      </c>
      <c r="DB35" s="36">
        <f t="shared" si="137"/>
        <v>0.83765050516868933</v>
      </c>
      <c r="DC35">
        <v>68.7</v>
      </c>
      <c r="DD35">
        <v>0.26039999999999996</v>
      </c>
      <c r="DE35" s="43">
        <f t="shared" si="169"/>
        <v>0.17889479999999999</v>
      </c>
      <c r="DF35" s="42">
        <v>382077</v>
      </c>
      <c r="DG35" s="42">
        <f t="shared" si="138"/>
        <v>191038.5</v>
      </c>
      <c r="DH35" s="42">
        <v>1473</v>
      </c>
      <c r="DI35" s="36">
        <f t="shared" si="139"/>
        <v>0.77104876765678121</v>
      </c>
      <c r="DJ35">
        <v>47.7</v>
      </c>
      <c r="DK35">
        <v>0.2205</v>
      </c>
      <c r="DL35" s="43">
        <f t="shared" si="165"/>
        <v>0.10517850000000001</v>
      </c>
      <c r="DM35" s="42">
        <v>3499947</v>
      </c>
      <c r="DN35" s="42">
        <f t="shared" si="140"/>
        <v>1749973.5</v>
      </c>
      <c r="DO35" s="42">
        <v>16916</v>
      </c>
      <c r="DP35" s="36">
        <f t="shared" si="141"/>
        <v>0.96664320916859603</v>
      </c>
      <c r="DQ35">
        <v>42.1</v>
      </c>
      <c r="DR35">
        <v>0.30780000000000002</v>
      </c>
      <c r="DS35" s="43">
        <f t="shared" si="166"/>
        <v>0.12958380000000003</v>
      </c>
      <c r="DT35" s="42">
        <v>5614991</v>
      </c>
      <c r="DU35" s="42">
        <f t="shared" si="142"/>
        <v>2807495.5</v>
      </c>
      <c r="DV35" s="42">
        <v>25149</v>
      </c>
      <c r="DW35" s="36">
        <f t="shared" si="143"/>
        <v>0.89578059875786087</v>
      </c>
      <c r="DX35">
        <v>45</v>
      </c>
      <c r="DY35">
        <v>0.30670000000000003</v>
      </c>
      <c r="DZ35" s="43">
        <f t="shared" si="170"/>
        <v>0.138015</v>
      </c>
      <c r="EA35" s="42">
        <v>540221</v>
      </c>
      <c r="EB35" s="42">
        <f t="shared" si="144"/>
        <v>270110.5</v>
      </c>
      <c r="EC35" s="42">
        <v>2443</v>
      </c>
      <c r="ED35" s="36">
        <f t="shared" si="145"/>
        <v>0.90444466246221455</v>
      </c>
      <c r="EE35">
        <v>46.5</v>
      </c>
      <c r="EF35">
        <v>0.29730000000000001</v>
      </c>
      <c r="EG35" s="43">
        <f t="shared" si="167"/>
        <v>0.13824449999999999</v>
      </c>
      <c r="EH35" s="42">
        <v>482090</v>
      </c>
      <c r="EI35" s="42">
        <f t="shared" si="146"/>
        <v>241045</v>
      </c>
      <c r="EJ35" s="42">
        <v>2246</v>
      </c>
      <c r="EK35" s="36">
        <f t="shared" si="147"/>
        <v>0.93177622435644791</v>
      </c>
      <c r="EL35">
        <v>19.5</v>
      </c>
      <c r="EM35">
        <v>0.27239999999999998</v>
      </c>
      <c r="EN35" s="43">
        <f t="shared" si="174"/>
        <v>5.3117999999999999E-2</v>
      </c>
      <c r="EO35" s="42">
        <v>1404987</v>
      </c>
      <c r="EP35" s="42">
        <f t="shared" si="148"/>
        <v>702493.5</v>
      </c>
      <c r="EQ35" s="42">
        <v>7668</v>
      </c>
      <c r="ER35" s="36">
        <f t="shared" si="149"/>
        <v>1.0915403487719104</v>
      </c>
      <c r="ES35">
        <v>35.299999999999997</v>
      </c>
      <c r="ET35">
        <v>0.35649999999999998</v>
      </c>
      <c r="EU35" s="43">
        <f t="shared" si="171"/>
        <v>0.1258445</v>
      </c>
      <c r="EV35" s="42">
        <v>1965845</v>
      </c>
      <c r="EW35" s="42">
        <f t="shared" si="150"/>
        <v>982922.5</v>
      </c>
      <c r="EX35" s="42">
        <v>9827</v>
      </c>
      <c r="EY35" s="36">
        <f t="shared" si="151"/>
        <v>0.99977363423871157</v>
      </c>
      <c r="EZ35">
        <v>45.8</v>
      </c>
      <c r="FA35">
        <v>0.34520000000000001</v>
      </c>
      <c r="FB35" s="43">
        <f t="shared" si="172"/>
        <v>0.15810160000000001</v>
      </c>
    </row>
    <row r="36" spans="1:158" ht="16.5" customHeight="1">
      <c r="A36" s="32">
        <v>1999</v>
      </c>
      <c r="B36" s="42">
        <v>14877041</v>
      </c>
      <c r="C36" s="42">
        <f t="shared" si="66"/>
        <v>7438520.5</v>
      </c>
      <c r="D36" s="42">
        <v>70910</v>
      </c>
      <c r="E36" s="36">
        <f t="shared" si="67"/>
        <v>0.9532809649445747</v>
      </c>
      <c r="F36" s="13">
        <v>42.7</v>
      </c>
      <c r="G36" s="13">
        <v>0.29559999999999997</v>
      </c>
      <c r="H36" s="43">
        <f t="shared" si="152"/>
        <v>0.12622119999999998</v>
      </c>
      <c r="I36" s="42">
        <v>275936</v>
      </c>
      <c r="J36" s="42">
        <f t="shared" si="68"/>
        <v>137968</v>
      </c>
      <c r="K36" s="42">
        <v>892</v>
      </c>
      <c r="L36" s="36">
        <f t="shared" si="69"/>
        <v>0.64652673083613588</v>
      </c>
      <c r="M36" s="13">
        <v>70.2</v>
      </c>
      <c r="N36" s="13">
        <v>0.29870000000000002</v>
      </c>
      <c r="O36" s="43">
        <f t="shared" si="162"/>
        <v>0.20968740000000005</v>
      </c>
      <c r="P36" s="42">
        <v>66943</v>
      </c>
      <c r="Q36" s="42">
        <f t="shared" si="70"/>
        <v>33471.5</v>
      </c>
      <c r="R36" s="42">
        <v>291</v>
      </c>
      <c r="S36" s="36">
        <f t="shared" si="71"/>
        <v>0.86939635212046062</v>
      </c>
      <c r="T36" s="13">
        <v>48.3</v>
      </c>
      <c r="U36" s="13">
        <v>0.23269999999999999</v>
      </c>
      <c r="V36" s="43">
        <f t="shared" si="153"/>
        <v>0.1123941</v>
      </c>
      <c r="W36" s="42">
        <v>464401</v>
      </c>
      <c r="X36" s="42">
        <f t="shared" si="72"/>
        <v>232200.5</v>
      </c>
      <c r="Y36" s="42">
        <v>1954</v>
      </c>
      <c r="Z36" s="36">
        <f t="shared" si="73"/>
        <v>0.84151412249327628</v>
      </c>
      <c r="AA36" s="13">
        <v>47.5</v>
      </c>
      <c r="AB36" s="13">
        <v>0.26069999999999999</v>
      </c>
      <c r="AC36" s="43">
        <f t="shared" si="154"/>
        <v>0.12383249999999998</v>
      </c>
      <c r="AD36" s="42">
        <v>383372</v>
      </c>
      <c r="AE36" s="42">
        <f t="shared" si="74"/>
        <v>191686</v>
      </c>
      <c r="AF36" s="42">
        <v>1671</v>
      </c>
      <c r="AG36" s="36">
        <f t="shared" si="75"/>
        <v>0.8717381551078327</v>
      </c>
      <c r="AH36" s="13">
        <v>65.400000000000006</v>
      </c>
      <c r="AI36" s="13">
        <v>0.29039999999999999</v>
      </c>
      <c r="AJ36" s="43">
        <f t="shared" si="155"/>
        <v>0.18992160000000002</v>
      </c>
      <c r="AK36" s="42">
        <v>3517957</v>
      </c>
      <c r="AL36" s="42">
        <f t="shared" si="76"/>
        <v>1758978.5</v>
      </c>
      <c r="AM36" s="42">
        <v>17144</v>
      </c>
      <c r="AN36" s="36">
        <f t="shared" si="77"/>
        <v>0.97465659756500711</v>
      </c>
      <c r="AO36" s="13">
        <v>46.7</v>
      </c>
      <c r="AP36" s="13">
        <v>0.28399999999999997</v>
      </c>
      <c r="AQ36" s="43">
        <f t="shared" si="156"/>
        <v>0.132628</v>
      </c>
      <c r="AR36" s="42">
        <v>5692274</v>
      </c>
      <c r="AS36" s="42">
        <f t="shared" si="78"/>
        <v>2846137</v>
      </c>
      <c r="AT36" s="42">
        <v>26088</v>
      </c>
      <c r="AU36" s="36">
        <f t="shared" si="79"/>
        <v>0.9166108307505928</v>
      </c>
      <c r="AV36" s="13">
        <v>37.4</v>
      </c>
      <c r="AW36" s="13">
        <v>0.29909999999999998</v>
      </c>
      <c r="AX36" s="43">
        <f t="shared" si="157"/>
        <v>0.1118634</v>
      </c>
      <c r="AY36" s="42">
        <v>541488</v>
      </c>
      <c r="AZ36" s="42">
        <f t="shared" si="80"/>
        <v>270744</v>
      </c>
      <c r="BA36" s="42">
        <v>2572</v>
      </c>
      <c r="BB36" s="36">
        <f t="shared" si="81"/>
        <v>0.94997488402328401</v>
      </c>
      <c r="BC36" s="13">
        <v>57.8</v>
      </c>
      <c r="BD36" s="13">
        <v>0.30990000000000001</v>
      </c>
      <c r="BE36" s="43">
        <f t="shared" si="158"/>
        <v>0.17912220000000001</v>
      </c>
      <c r="BF36" s="42">
        <v>481182</v>
      </c>
      <c r="BG36" s="42">
        <f t="shared" si="82"/>
        <v>240591</v>
      </c>
      <c r="BH36" s="42">
        <v>2237</v>
      </c>
      <c r="BI36" s="36">
        <f t="shared" si="83"/>
        <v>0.92979371630692764</v>
      </c>
      <c r="BJ36" s="13">
        <v>41.1</v>
      </c>
      <c r="BK36" s="13">
        <v>0.33979999999999999</v>
      </c>
      <c r="BL36" s="43">
        <f t="shared" si="159"/>
        <v>0.1396578</v>
      </c>
      <c r="BM36" s="42">
        <v>1432774</v>
      </c>
      <c r="BN36" s="42">
        <f t="shared" si="84"/>
        <v>716387</v>
      </c>
      <c r="BO36" s="42">
        <v>7931</v>
      </c>
      <c r="BP36" s="36">
        <f t="shared" si="85"/>
        <v>1.1070831826931533</v>
      </c>
      <c r="BQ36" s="13">
        <v>30.5</v>
      </c>
      <c r="BR36" s="13">
        <v>0.30809999999999998</v>
      </c>
      <c r="BS36" s="43">
        <f t="shared" si="160"/>
        <v>9.3970499999999998E-2</v>
      </c>
      <c r="BT36" s="42">
        <v>1979032</v>
      </c>
      <c r="BU36" s="42">
        <f t="shared" si="86"/>
        <v>989516</v>
      </c>
      <c r="BV36" s="42">
        <v>9935</v>
      </c>
      <c r="BW36" s="36">
        <f t="shared" si="87"/>
        <v>1.0040262107939639</v>
      </c>
      <c r="BX36" s="13">
        <v>46.5</v>
      </c>
      <c r="BY36" s="13">
        <v>0.29659999999999997</v>
      </c>
      <c r="BZ36" s="43">
        <f t="shared" si="161"/>
        <v>0.13791899999999999</v>
      </c>
      <c r="CC36" s="32">
        <v>1999</v>
      </c>
      <c r="CD36" s="42">
        <v>14877041</v>
      </c>
      <c r="CE36" s="42">
        <f t="shared" si="130"/>
        <v>7438520.5</v>
      </c>
      <c r="CF36" s="42">
        <v>70910</v>
      </c>
      <c r="CG36" s="36">
        <f t="shared" si="131"/>
        <v>0.9532809649445747</v>
      </c>
      <c r="CH36">
        <v>39.4</v>
      </c>
      <c r="CI36">
        <v>0.27940000000000004</v>
      </c>
      <c r="CJ36" s="43">
        <f t="shared" si="173"/>
        <v>0.11008360000000002</v>
      </c>
      <c r="CK36" s="42">
        <v>275936</v>
      </c>
      <c r="CL36" s="42">
        <f t="shared" si="132"/>
        <v>137968</v>
      </c>
      <c r="CM36" s="42">
        <v>892</v>
      </c>
      <c r="CN36" s="36">
        <f t="shared" si="133"/>
        <v>0.64652673083613588</v>
      </c>
      <c r="CO36">
        <v>54.2</v>
      </c>
      <c r="CP36">
        <v>0.2097</v>
      </c>
      <c r="CQ36" s="43">
        <f t="shared" si="164"/>
        <v>0.11365740000000001</v>
      </c>
      <c r="CR36" s="42">
        <v>66943</v>
      </c>
      <c r="CS36" s="42">
        <f t="shared" si="134"/>
        <v>33471.5</v>
      </c>
      <c r="CT36" s="42">
        <v>291</v>
      </c>
      <c r="CU36" s="36">
        <f t="shared" si="135"/>
        <v>0.86939635212046062</v>
      </c>
      <c r="CV36">
        <v>29</v>
      </c>
      <c r="CW36">
        <v>0.1968</v>
      </c>
      <c r="CX36" s="43">
        <f t="shared" si="168"/>
        <v>5.7072000000000005E-2</v>
      </c>
      <c r="CY36" s="42">
        <v>464401</v>
      </c>
      <c r="CZ36" s="42">
        <f t="shared" si="136"/>
        <v>232200.5</v>
      </c>
      <c r="DA36" s="42">
        <v>1954</v>
      </c>
      <c r="DB36" s="36">
        <f t="shared" si="137"/>
        <v>0.84151412249327628</v>
      </c>
      <c r="DC36">
        <v>35.700000000000003</v>
      </c>
      <c r="DD36">
        <v>0.24010000000000001</v>
      </c>
      <c r="DE36" s="43">
        <f t="shared" si="169"/>
        <v>8.5715700000000006E-2</v>
      </c>
      <c r="DF36" s="42">
        <v>383372</v>
      </c>
      <c r="DG36" s="42">
        <f t="shared" si="138"/>
        <v>191686</v>
      </c>
      <c r="DH36" s="42">
        <v>1671</v>
      </c>
      <c r="DI36" s="36">
        <f t="shared" si="139"/>
        <v>0.8717381551078327</v>
      </c>
      <c r="DJ36">
        <v>46.9</v>
      </c>
      <c r="DK36">
        <v>0.1893</v>
      </c>
      <c r="DL36" s="43">
        <f t="shared" si="165"/>
        <v>8.8781699999999991E-2</v>
      </c>
      <c r="DM36" s="42">
        <v>3517957</v>
      </c>
      <c r="DN36" s="42">
        <f t="shared" si="140"/>
        <v>1758978.5</v>
      </c>
      <c r="DO36" s="42">
        <v>17144</v>
      </c>
      <c r="DP36" s="36">
        <f t="shared" si="141"/>
        <v>0.97465659756500711</v>
      </c>
      <c r="DQ36">
        <v>42.7</v>
      </c>
      <c r="DR36">
        <v>0.27550000000000002</v>
      </c>
      <c r="DS36" s="43">
        <f t="shared" si="166"/>
        <v>0.11763850000000002</v>
      </c>
      <c r="DT36" s="42">
        <v>5692274</v>
      </c>
      <c r="DU36" s="42">
        <f t="shared" si="142"/>
        <v>2846137</v>
      </c>
      <c r="DV36" s="42">
        <v>26088</v>
      </c>
      <c r="DW36" s="36">
        <f t="shared" si="143"/>
        <v>0.9166108307505928</v>
      </c>
      <c r="DX36">
        <v>38</v>
      </c>
      <c r="DY36">
        <v>0.28710000000000002</v>
      </c>
      <c r="DZ36" s="43">
        <f t="shared" si="170"/>
        <v>0.109098</v>
      </c>
      <c r="EA36" s="42">
        <v>541488</v>
      </c>
      <c r="EB36" s="42">
        <f t="shared" si="144"/>
        <v>270744</v>
      </c>
      <c r="EC36" s="42">
        <v>2572</v>
      </c>
      <c r="ED36" s="36">
        <f t="shared" si="145"/>
        <v>0.94997488402328401</v>
      </c>
      <c r="EE36">
        <v>54.6</v>
      </c>
      <c r="EF36">
        <v>0.27510000000000001</v>
      </c>
      <c r="EG36" s="43">
        <f t="shared" si="167"/>
        <v>0.15020460000000002</v>
      </c>
      <c r="EH36" s="42">
        <v>481182</v>
      </c>
      <c r="EI36" s="42">
        <f t="shared" si="146"/>
        <v>240591</v>
      </c>
      <c r="EJ36" s="42">
        <v>2237</v>
      </c>
      <c r="EK36" s="36">
        <f t="shared" si="147"/>
        <v>0.92979371630692764</v>
      </c>
      <c r="EL36">
        <v>29.9</v>
      </c>
      <c r="EM36">
        <v>0.308</v>
      </c>
      <c r="EN36" s="43">
        <f t="shared" si="174"/>
        <v>9.2091999999999993E-2</v>
      </c>
      <c r="EO36" s="42">
        <v>1432774</v>
      </c>
      <c r="EP36" s="42">
        <f t="shared" si="148"/>
        <v>716387</v>
      </c>
      <c r="EQ36" s="42">
        <v>7931</v>
      </c>
      <c r="ER36" s="36">
        <f t="shared" si="149"/>
        <v>1.1070831826931533</v>
      </c>
      <c r="ES36">
        <v>27.7</v>
      </c>
      <c r="ET36">
        <v>0.31850000000000001</v>
      </c>
      <c r="EU36" s="43">
        <f t="shared" si="171"/>
        <v>8.8224499999999997E-2</v>
      </c>
      <c r="EV36" s="42">
        <v>1979032</v>
      </c>
      <c r="EW36" s="42">
        <f t="shared" si="150"/>
        <v>989516</v>
      </c>
      <c r="EX36" s="42">
        <v>9935</v>
      </c>
      <c r="EY36" s="36">
        <f t="shared" si="151"/>
        <v>1.0040262107939639</v>
      </c>
      <c r="EZ36">
        <v>42</v>
      </c>
      <c r="FA36">
        <v>0.28449999999999998</v>
      </c>
      <c r="FB36" s="43">
        <f t="shared" si="172"/>
        <v>0.11948999999999999</v>
      </c>
    </row>
    <row r="37" spans="1:158" ht="16.5" customHeight="1">
      <c r="A37" s="32">
        <v>2000</v>
      </c>
      <c r="B37" s="42">
        <v>15029776</v>
      </c>
      <c r="C37" s="42">
        <f t="shared" si="66"/>
        <v>7514888</v>
      </c>
      <c r="D37" s="42">
        <v>71144</v>
      </c>
      <c r="E37" s="36">
        <f t="shared" si="67"/>
        <v>0.94670738938491172</v>
      </c>
      <c r="F37" s="13">
        <v>40.1</v>
      </c>
      <c r="G37" s="13">
        <v>0.2898</v>
      </c>
      <c r="H37" s="43">
        <f t="shared" si="152"/>
        <v>0.11620980000000002</v>
      </c>
      <c r="I37" s="42">
        <v>274926</v>
      </c>
      <c r="J37" s="42">
        <f t="shared" si="68"/>
        <v>137463</v>
      </c>
      <c r="K37" s="42">
        <v>913</v>
      </c>
      <c r="L37" s="36">
        <f t="shared" si="69"/>
        <v>0.66417872445676285</v>
      </c>
      <c r="M37" s="13">
        <v>65.3</v>
      </c>
      <c r="N37" s="13">
        <v>0.29089999999999999</v>
      </c>
      <c r="O37" s="43">
        <f t="shared" si="162"/>
        <v>0.18995770000000001</v>
      </c>
      <c r="P37" s="42">
        <v>67262</v>
      </c>
      <c r="Q37" s="42">
        <f t="shared" si="70"/>
        <v>33631</v>
      </c>
      <c r="R37" s="42">
        <v>272</v>
      </c>
      <c r="S37" s="36">
        <f t="shared" si="71"/>
        <v>0.80877761589010133</v>
      </c>
      <c r="T37" s="13">
        <v>44.3</v>
      </c>
      <c r="U37" s="13">
        <v>0.24969999999999998</v>
      </c>
      <c r="V37" s="43">
        <f t="shared" si="153"/>
        <v>0.11061709999999998</v>
      </c>
      <c r="W37" s="42">
        <v>465685</v>
      </c>
      <c r="X37" s="42">
        <f t="shared" si="72"/>
        <v>232842.5</v>
      </c>
      <c r="Y37" s="42">
        <v>2054</v>
      </c>
      <c r="Z37" s="36">
        <f t="shared" si="73"/>
        <v>0.88214136165004242</v>
      </c>
      <c r="AA37" s="13">
        <v>44.5</v>
      </c>
      <c r="AB37" s="13">
        <v>0.29499999999999998</v>
      </c>
      <c r="AC37" s="43">
        <f t="shared" si="154"/>
        <v>0.131275</v>
      </c>
      <c r="AD37" s="42">
        <v>384358</v>
      </c>
      <c r="AE37" s="42">
        <f t="shared" si="74"/>
        <v>192179</v>
      </c>
      <c r="AF37" s="42">
        <v>1717</v>
      </c>
      <c r="AG37" s="36">
        <f t="shared" si="75"/>
        <v>0.89343788863507456</v>
      </c>
      <c r="AH37" s="13">
        <v>54</v>
      </c>
      <c r="AI37" s="13">
        <v>0.27050000000000002</v>
      </c>
      <c r="AJ37" s="43">
        <f t="shared" si="155"/>
        <v>0.14607000000000001</v>
      </c>
      <c r="AK37" s="42">
        <v>3538475</v>
      </c>
      <c r="AL37" s="42">
        <f t="shared" si="76"/>
        <v>1769237.5</v>
      </c>
      <c r="AM37" s="42">
        <v>17054</v>
      </c>
      <c r="AN37" s="36">
        <f t="shared" si="77"/>
        <v>0.96391807205081281</v>
      </c>
      <c r="AO37" s="13">
        <v>44.4</v>
      </c>
      <c r="AP37" s="13">
        <v>0.30780000000000002</v>
      </c>
      <c r="AQ37" s="43">
        <f t="shared" si="156"/>
        <v>0.13666320000000001</v>
      </c>
      <c r="AR37" s="42">
        <v>5784568</v>
      </c>
      <c r="AS37" s="42">
        <f t="shared" si="78"/>
        <v>2892284</v>
      </c>
      <c r="AT37" s="42">
        <v>26148</v>
      </c>
      <c r="AU37" s="36">
        <f t="shared" si="79"/>
        <v>0.90406059709212516</v>
      </c>
      <c r="AV37" s="13">
        <v>35.299999999999997</v>
      </c>
      <c r="AW37" s="13">
        <v>0.28120000000000001</v>
      </c>
      <c r="AX37" s="43">
        <f t="shared" si="157"/>
        <v>9.9263599999999994E-2</v>
      </c>
      <c r="AY37" s="42">
        <v>542657</v>
      </c>
      <c r="AZ37" s="42">
        <f t="shared" si="80"/>
        <v>271328.5</v>
      </c>
      <c r="BA37" s="42">
        <v>2430</v>
      </c>
      <c r="BB37" s="36">
        <f t="shared" si="81"/>
        <v>0.8955933490215735</v>
      </c>
      <c r="BC37" s="13">
        <v>50.5</v>
      </c>
      <c r="BD37" s="13">
        <v>0.31120000000000003</v>
      </c>
      <c r="BE37" s="43">
        <f t="shared" si="158"/>
        <v>0.15715600000000002</v>
      </c>
      <c r="BF37" s="42">
        <v>478521</v>
      </c>
      <c r="BG37" s="42">
        <f t="shared" si="82"/>
        <v>239260.5</v>
      </c>
      <c r="BH37" s="42">
        <v>2194</v>
      </c>
      <c r="BI37" s="36">
        <f t="shared" si="83"/>
        <v>0.9169921487249254</v>
      </c>
      <c r="BJ37" s="13">
        <v>50.5</v>
      </c>
      <c r="BK37" s="13">
        <v>0.35369999999999996</v>
      </c>
      <c r="BL37" s="43">
        <f t="shared" si="159"/>
        <v>0.17861849999999996</v>
      </c>
      <c r="BM37" s="42">
        <v>1460114</v>
      </c>
      <c r="BN37" s="42">
        <f t="shared" si="84"/>
        <v>730057</v>
      </c>
      <c r="BO37" s="42">
        <v>8176</v>
      </c>
      <c r="BP37" s="36">
        <f t="shared" si="85"/>
        <v>1.1199125547731206</v>
      </c>
      <c r="BQ37" s="13">
        <v>31.9</v>
      </c>
      <c r="BR37" s="13">
        <v>0.30769999999999997</v>
      </c>
      <c r="BS37" s="43">
        <f t="shared" si="160"/>
        <v>9.8156299999999988E-2</v>
      </c>
      <c r="BT37" s="42">
        <v>1991539</v>
      </c>
      <c r="BU37" s="42">
        <f t="shared" si="86"/>
        <v>995769.5</v>
      </c>
      <c r="BV37" s="42">
        <v>10017</v>
      </c>
      <c r="BW37" s="36">
        <f t="shared" si="87"/>
        <v>1.0059556955701094</v>
      </c>
      <c r="BX37" s="13">
        <v>37.299999999999997</v>
      </c>
      <c r="BY37" s="13">
        <v>0.2298</v>
      </c>
      <c r="BZ37" s="43">
        <f t="shared" si="161"/>
        <v>8.5715399999999983E-2</v>
      </c>
      <c r="CC37" s="32">
        <v>2000</v>
      </c>
      <c r="CD37" s="42">
        <v>15029776</v>
      </c>
      <c r="CE37" s="42">
        <f t="shared" si="130"/>
        <v>7514888</v>
      </c>
      <c r="CF37" s="42">
        <v>71144</v>
      </c>
      <c r="CG37" s="36">
        <f t="shared" si="131"/>
        <v>0.94670738938491172</v>
      </c>
      <c r="CH37">
        <v>36.200000000000003</v>
      </c>
      <c r="CI37">
        <v>0.26600000000000001</v>
      </c>
      <c r="CJ37" s="43">
        <f t="shared" si="173"/>
        <v>9.6292000000000003E-2</v>
      </c>
      <c r="CK37" s="42">
        <v>274926</v>
      </c>
      <c r="CL37" s="42">
        <f t="shared" si="132"/>
        <v>137463</v>
      </c>
      <c r="CM37" s="42">
        <v>913</v>
      </c>
      <c r="CN37" s="36">
        <f t="shared" si="133"/>
        <v>0.66417872445676285</v>
      </c>
      <c r="CO37">
        <v>46.5</v>
      </c>
      <c r="CP37">
        <v>0.22800000000000001</v>
      </c>
      <c r="CQ37" s="43">
        <f t="shared" si="164"/>
        <v>0.10602</v>
      </c>
      <c r="CR37" s="42">
        <v>67262</v>
      </c>
      <c r="CS37" s="42">
        <f t="shared" si="134"/>
        <v>33631</v>
      </c>
      <c r="CT37" s="42">
        <v>272</v>
      </c>
      <c r="CU37" s="36">
        <f t="shared" si="135"/>
        <v>0.80877761589010133</v>
      </c>
      <c r="CV37">
        <v>22.7</v>
      </c>
      <c r="CW37" s="370">
        <f>CW36</f>
        <v>0.1968</v>
      </c>
      <c r="CX37" s="43">
        <f t="shared" si="168"/>
        <v>4.4673600000000001E-2</v>
      </c>
      <c r="CY37" s="42">
        <v>465685</v>
      </c>
      <c r="CZ37" s="42">
        <f t="shared" si="136"/>
        <v>232842.5</v>
      </c>
      <c r="DA37" s="42">
        <v>2054</v>
      </c>
      <c r="DB37" s="36">
        <f t="shared" si="137"/>
        <v>0.88214136165004242</v>
      </c>
      <c r="DC37">
        <v>31.3</v>
      </c>
      <c r="DD37">
        <v>0.21249999999999999</v>
      </c>
      <c r="DE37" s="43">
        <f t="shared" si="169"/>
        <v>6.6512500000000002E-2</v>
      </c>
      <c r="DF37" s="42">
        <v>384358</v>
      </c>
      <c r="DG37" s="42">
        <f t="shared" si="138"/>
        <v>192179</v>
      </c>
      <c r="DH37" s="42">
        <v>1717</v>
      </c>
      <c r="DI37" s="36">
        <f t="shared" si="139"/>
        <v>0.89343788863507456</v>
      </c>
      <c r="DJ37">
        <v>37.6</v>
      </c>
      <c r="DK37">
        <v>0.16829999999999998</v>
      </c>
      <c r="DL37" s="43">
        <f t="shared" si="165"/>
        <v>6.3280799999999984E-2</v>
      </c>
      <c r="DM37" s="42">
        <v>3538475</v>
      </c>
      <c r="DN37" s="42">
        <f t="shared" si="140"/>
        <v>1769237.5</v>
      </c>
      <c r="DO37" s="42">
        <v>17054</v>
      </c>
      <c r="DP37" s="36">
        <f t="shared" si="141"/>
        <v>0.96391807205081281</v>
      </c>
      <c r="DQ37">
        <v>42.1</v>
      </c>
      <c r="DR37">
        <v>0.28760000000000002</v>
      </c>
      <c r="DS37" s="43">
        <f t="shared" si="166"/>
        <v>0.12107960000000002</v>
      </c>
      <c r="DT37" s="42">
        <v>5784568</v>
      </c>
      <c r="DU37" s="42">
        <f t="shared" si="142"/>
        <v>2892284</v>
      </c>
      <c r="DV37" s="42">
        <v>26148</v>
      </c>
      <c r="DW37" s="36">
        <f t="shared" si="143"/>
        <v>0.90406059709212516</v>
      </c>
      <c r="DX37">
        <v>33</v>
      </c>
      <c r="DY37">
        <v>0.25969999999999999</v>
      </c>
      <c r="DZ37" s="43">
        <f t="shared" si="170"/>
        <v>8.5700999999999999E-2</v>
      </c>
      <c r="EA37" s="42">
        <v>542657</v>
      </c>
      <c r="EB37" s="42">
        <f t="shared" si="144"/>
        <v>271328.5</v>
      </c>
      <c r="EC37" s="42">
        <v>2430</v>
      </c>
      <c r="ED37" s="36">
        <f t="shared" si="145"/>
        <v>0.8955933490215735</v>
      </c>
      <c r="EE37">
        <v>45.5</v>
      </c>
      <c r="EF37">
        <v>0.29170000000000001</v>
      </c>
      <c r="EG37" s="43">
        <f t="shared" si="167"/>
        <v>0.13272350000000002</v>
      </c>
      <c r="EH37" s="42">
        <v>478521</v>
      </c>
      <c r="EI37" s="42">
        <f t="shared" si="146"/>
        <v>239260.5</v>
      </c>
      <c r="EJ37" s="42">
        <v>2194</v>
      </c>
      <c r="EK37" s="36">
        <f t="shared" si="147"/>
        <v>0.9169921487249254</v>
      </c>
      <c r="EL37">
        <v>39.4</v>
      </c>
      <c r="EM37">
        <v>0.32229999999999998</v>
      </c>
      <c r="EN37" s="43">
        <f t="shared" si="174"/>
        <v>0.12698619999999999</v>
      </c>
      <c r="EO37" s="42">
        <v>1460114</v>
      </c>
      <c r="EP37" s="42">
        <f t="shared" si="148"/>
        <v>730057</v>
      </c>
      <c r="EQ37" s="42">
        <v>8176</v>
      </c>
      <c r="ER37" s="36">
        <f t="shared" si="149"/>
        <v>1.1199125547731206</v>
      </c>
      <c r="ES37">
        <v>33.5</v>
      </c>
      <c r="ET37">
        <v>0.30980000000000002</v>
      </c>
      <c r="EU37" s="43">
        <f t="shared" si="171"/>
        <v>0.10378300000000001</v>
      </c>
      <c r="EV37" s="42">
        <v>1991539</v>
      </c>
      <c r="EW37" s="42">
        <f t="shared" si="150"/>
        <v>995769.5</v>
      </c>
      <c r="EX37" s="42">
        <v>10017</v>
      </c>
      <c r="EY37" s="36">
        <f t="shared" si="151"/>
        <v>1.0059556955701094</v>
      </c>
      <c r="EZ37">
        <v>31.1</v>
      </c>
      <c r="FA37">
        <v>0.2036</v>
      </c>
      <c r="FB37" s="43">
        <f t="shared" si="172"/>
        <v>6.3319600000000004E-2</v>
      </c>
    </row>
    <row r="38" spans="1:158" ht="16.5" customHeight="1">
      <c r="A38" s="32">
        <v>2001</v>
      </c>
      <c r="B38" s="42">
        <v>15203495</v>
      </c>
      <c r="C38" s="42">
        <f t="shared" si="66"/>
        <v>7601747.5</v>
      </c>
      <c r="D38" s="42">
        <v>71110</v>
      </c>
      <c r="E38" s="36">
        <f t="shared" si="67"/>
        <v>0.9354428044341121</v>
      </c>
      <c r="F38" s="13">
        <v>42</v>
      </c>
      <c r="G38" s="13">
        <v>0.2969</v>
      </c>
      <c r="H38" s="43">
        <f t="shared" si="152"/>
        <v>0.12469799999999999</v>
      </c>
      <c r="I38" s="42">
        <v>273275</v>
      </c>
      <c r="J38" s="42">
        <f t="shared" si="68"/>
        <v>136637.5</v>
      </c>
      <c r="K38" s="42">
        <v>755</v>
      </c>
      <c r="L38" s="36">
        <f t="shared" si="69"/>
        <v>0.55255694812917389</v>
      </c>
      <c r="M38" s="13">
        <v>51.4</v>
      </c>
      <c r="N38" s="13">
        <v>0.33779999999999999</v>
      </c>
      <c r="O38" s="43">
        <f t="shared" si="162"/>
        <v>0.17362919999999998</v>
      </c>
      <c r="P38" s="42">
        <v>67625</v>
      </c>
      <c r="Q38" s="42">
        <f t="shared" si="70"/>
        <v>33812.5</v>
      </c>
      <c r="R38" s="42">
        <v>246</v>
      </c>
      <c r="S38" s="36">
        <f t="shared" si="71"/>
        <v>0.72754158964879845</v>
      </c>
      <c r="T38" s="13">
        <v>52.4</v>
      </c>
      <c r="U38" s="13">
        <v>0.2351</v>
      </c>
      <c r="V38" s="43">
        <f t="shared" si="153"/>
        <v>0.12319240000000001</v>
      </c>
      <c r="W38" s="42">
        <v>466615</v>
      </c>
      <c r="X38" s="42">
        <f t="shared" si="72"/>
        <v>233307.5</v>
      </c>
      <c r="Y38" s="42">
        <v>1945</v>
      </c>
      <c r="Z38" s="36">
        <f t="shared" si="73"/>
        <v>0.83366372705549541</v>
      </c>
      <c r="AA38" s="13">
        <v>59.8</v>
      </c>
      <c r="AB38" s="13">
        <v>0.25309999999999999</v>
      </c>
      <c r="AC38" s="43">
        <f t="shared" si="154"/>
        <v>0.15135379999999998</v>
      </c>
      <c r="AD38" s="42">
        <v>385105</v>
      </c>
      <c r="AE38" s="42">
        <f t="shared" si="74"/>
        <v>192552.5</v>
      </c>
      <c r="AF38" s="42">
        <v>1570</v>
      </c>
      <c r="AG38" s="36">
        <f t="shared" si="75"/>
        <v>0.81536204411783808</v>
      </c>
      <c r="AH38" s="13">
        <v>59.1</v>
      </c>
      <c r="AI38" s="13">
        <v>0.30320000000000003</v>
      </c>
      <c r="AJ38" s="43">
        <f t="shared" si="155"/>
        <v>0.17919120000000002</v>
      </c>
      <c r="AK38" s="42">
        <v>3562770</v>
      </c>
      <c r="AL38" s="42">
        <f t="shared" si="76"/>
        <v>1781385</v>
      </c>
      <c r="AM38" s="42">
        <v>17094</v>
      </c>
      <c r="AN38" s="36">
        <f t="shared" si="77"/>
        <v>0.95959043104101582</v>
      </c>
      <c r="AO38" s="13">
        <v>39</v>
      </c>
      <c r="AP38" s="13">
        <v>0.29830000000000001</v>
      </c>
      <c r="AQ38" s="43">
        <f t="shared" si="156"/>
        <v>0.11633700000000001</v>
      </c>
      <c r="AR38" s="42">
        <v>5891314</v>
      </c>
      <c r="AS38" s="42">
        <f t="shared" si="78"/>
        <v>2945657</v>
      </c>
      <c r="AT38" s="42">
        <v>26516</v>
      </c>
      <c r="AU38" s="36">
        <f t="shared" si="79"/>
        <v>0.90017269492001284</v>
      </c>
      <c r="AV38" s="13">
        <v>36.5</v>
      </c>
      <c r="AW38" s="13">
        <v>0.31</v>
      </c>
      <c r="AX38" s="43">
        <f t="shared" si="157"/>
        <v>0.11315</v>
      </c>
      <c r="AY38" s="42">
        <v>543552</v>
      </c>
      <c r="AZ38" s="42">
        <f t="shared" si="80"/>
        <v>271776</v>
      </c>
      <c r="BA38" s="42">
        <v>2480</v>
      </c>
      <c r="BB38" s="36">
        <f t="shared" si="81"/>
        <v>0.91251618980336746</v>
      </c>
      <c r="BC38" s="13">
        <v>53.4</v>
      </c>
      <c r="BD38" s="13">
        <v>0.30760000000000004</v>
      </c>
      <c r="BE38" s="43">
        <f t="shared" si="158"/>
        <v>0.1642584</v>
      </c>
      <c r="BF38" s="42">
        <v>475579</v>
      </c>
      <c r="BG38" s="42">
        <f t="shared" si="82"/>
        <v>237789.5</v>
      </c>
      <c r="BH38" s="42">
        <v>1955</v>
      </c>
      <c r="BI38" s="36">
        <f t="shared" si="83"/>
        <v>0.82215573017311527</v>
      </c>
      <c r="BJ38" s="13">
        <v>50</v>
      </c>
      <c r="BK38" s="13">
        <v>0.29249999999999998</v>
      </c>
      <c r="BL38" s="43">
        <f t="shared" si="159"/>
        <v>0.14624999999999999</v>
      </c>
      <c r="BM38" s="42">
        <v>1487330</v>
      </c>
      <c r="BN38" s="42">
        <f t="shared" si="84"/>
        <v>743665</v>
      </c>
      <c r="BO38" s="42">
        <v>8252</v>
      </c>
      <c r="BP38" s="36">
        <f t="shared" si="85"/>
        <v>1.1096394209758427</v>
      </c>
      <c r="BQ38" s="13">
        <v>41.4</v>
      </c>
      <c r="BR38" s="13">
        <v>0.25209999999999999</v>
      </c>
      <c r="BS38" s="43">
        <f t="shared" si="160"/>
        <v>0.1043694</v>
      </c>
      <c r="BT38" s="42">
        <v>2008432</v>
      </c>
      <c r="BU38" s="42">
        <f t="shared" si="86"/>
        <v>1004216</v>
      </c>
      <c r="BV38" s="42">
        <v>10115</v>
      </c>
      <c r="BW38" s="36">
        <f t="shared" si="87"/>
        <v>1.0072534195830378</v>
      </c>
      <c r="BX38" s="13">
        <v>49.3</v>
      </c>
      <c r="BY38" s="13">
        <v>0.29210000000000003</v>
      </c>
      <c r="BZ38" s="43">
        <f t="shared" si="161"/>
        <v>0.1440053</v>
      </c>
      <c r="CC38" s="32">
        <v>2001</v>
      </c>
      <c r="CD38" s="42">
        <v>15203495</v>
      </c>
      <c r="CE38" s="42">
        <f t="shared" si="130"/>
        <v>7601747.5</v>
      </c>
      <c r="CF38" s="42">
        <v>71110</v>
      </c>
      <c r="CG38" s="36">
        <f t="shared" si="131"/>
        <v>0.9354428044341121</v>
      </c>
      <c r="CH38">
        <v>34.200000000000003</v>
      </c>
      <c r="CI38">
        <v>0.26590000000000003</v>
      </c>
      <c r="CJ38" s="43">
        <f t="shared" si="173"/>
        <v>9.0937800000000027E-2</v>
      </c>
      <c r="CK38" s="42">
        <v>273275</v>
      </c>
      <c r="CL38" s="42">
        <f t="shared" si="132"/>
        <v>136637.5</v>
      </c>
      <c r="CM38" s="42">
        <v>755</v>
      </c>
      <c r="CN38" s="36">
        <f t="shared" si="133"/>
        <v>0.55255694812917389</v>
      </c>
      <c r="CO38">
        <v>32.700000000000003</v>
      </c>
      <c r="CP38">
        <v>0.2787</v>
      </c>
      <c r="CQ38" s="43">
        <f t="shared" si="164"/>
        <v>9.1134900000000005E-2</v>
      </c>
      <c r="CR38" s="42">
        <v>67625</v>
      </c>
      <c r="CS38" s="42">
        <f t="shared" si="134"/>
        <v>33812.5</v>
      </c>
      <c r="CT38" s="42">
        <v>246</v>
      </c>
      <c r="CU38" s="36">
        <f t="shared" si="135"/>
        <v>0.72754158964879845</v>
      </c>
      <c r="CV38">
        <v>16.5</v>
      </c>
      <c r="CW38" s="370">
        <f t="shared" ref="CW38:CW46" si="175">CW37</f>
        <v>0.1968</v>
      </c>
      <c r="CX38" s="43">
        <f t="shared" si="168"/>
        <v>3.2472000000000001E-2</v>
      </c>
      <c r="CY38" s="42">
        <v>466615</v>
      </c>
      <c r="CZ38" s="42">
        <f t="shared" si="136"/>
        <v>233307.5</v>
      </c>
      <c r="DA38" s="42">
        <v>1945</v>
      </c>
      <c r="DB38" s="36">
        <f t="shared" si="137"/>
        <v>0.83366372705549541</v>
      </c>
      <c r="DC38">
        <v>36.1</v>
      </c>
      <c r="DD38">
        <v>0.1827</v>
      </c>
      <c r="DE38" s="43">
        <f t="shared" si="169"/>
        <v>6.5954700000000005E-2</v>
      </c>
      <c r="DF38" s="42">
        <v>385105</v>
      </c>
      <c r="DG38" s="42">
        <f t="shared" si="138"/>
        <v>192552.5</v>
      </c>
      <c r="DH38" s="42">
        <v>1570</v>
      </c>
      <c r="DI38" s="36">
        <f t="shared" si="139"/>
        <v>0.81536204411783808</v>
      </c>
      <c r="DJ38">
        <v>43.6</v>
      </c>
      <c r="DK38">
        <v>0.17579999999999998</v>
      </c>
      <c r="DL38" s="43">
        <f t="shared" si="165"/>
        <v>7.6648799999999989E-2</v>
      </c>
      <c r="DM38" s="42">
        <v>3562770</v>
      </c>
      <c r="DN38" s="42">
        <f t="shared" si="140"/>
        <v>1781385</v>
      </c>
      <c r="DO38" s="42">
        <v>17094</v>
      </c>
      <c r="DP38" s="36">
        <f t="shared" si="141"/>
        <v>0.95959043104101582</v>
      </c>
      <c r="DQ38">
        <v>36.700000000000003</v>
      </c>
      <c r="DR38">
        <v>0.25690000000000002</v>
      </c>
      <c r="DS38" s="43">
        <f t="shared" si="166"/>
        <v>9.4282300000000013E-2</v>
      </c>
      <c r="DT38" s="42">
        <v>5891314</v>
      </c>
      <c r="DU38" s="42">
        <f t="shared" si="142"/>
        <v>2945657</v>
      </c>
      <c r="DV38" s="42">
        <v>26516</v>
      </c>
      <c r="DW38" s="36">
        <f t="shared" si="143"/>
        <v>0.90017269492001284</v>
      </c>
      <c r="DX38">
        <v>29.6</v>
      </c>
      <c r="DY38">
        <v>0.28660000000000002</v>
      </c>
      <c r="DZ38" s="43">
        <f t="shared" si="170"/>
        <v>8.4833600000000009E-2</v>
      </c>
      <c r="EA38" s="42">
        <v>543552</v>
      </c>
      <c r="EB38" s="42">
        <f t="shared" si="144"/>
        <v>271776</v>
      </c>
      <c r="EC38" s="42">
        <v>2480</v>
      </c>
      <c r="ED38" s="36">
        <f t="shared" si="145"/>
        <v>0.91251618980336746</v>
      </c>
      <c r="EE38">
        <v>42.4</v>
      </c>
      <c r="EF38">
        <v>0.28559999999999997</v>
      </c>
      <c r="EG38" s="43">
        <f t="shared" si="167"/>
        <v>0.12109439999999998</v>
      </c>
      <c r="EH38" s="42">
        <v>475579</v>
      </c>
      <c r="EI38" s="42">
        <f t="shared" si="146"/>
        <v>237789.5</v>
      </c>
      <c r="EJ38" s="42">
        <v>1955</v>
      </c>
      <c r="EK38" s="36">
        <f t="shared" si="147"/>
        <v>0.82215573017311527</v>
      </c>
      <c r="EL38">
        <v>30.4</v>
      </c>
      <c r="EM38">
        <v>0.2712</v>
      </c>
      <c r="EN38" s="43">
        <f t="shared" si="174"/>
        <v>8.2444799999999999E-2</v>
      </c>
      <c r="EO38" s="42">
        <v>1487330</v>
      </c>
      <c r="EP38" s="42">
        <f t="shared" si="148"/>
        <v>743665</v>
      </c>
      <c r="EQ38" s="42">
        <v>8252</v>
      </c>
      <c r="ER38" s="36">
        <f t="shared" si="149"/>
        <v>1.1096394209758427</v>
      </c>
      <c r="ES38">
        <v>32.6</v>
      </c>
      <c r="ET38">
        <v>0.24590000000000001</v>
      </c>
      <c r="EU38" s="43">
        <f t="shared" si="171"/>
        <v>8.016340000000001E-2</v>
      </c>
      <c r="EV38" s="42">
        <v>2008432</v>
      </c>
      <c r="EW38" s="42">
        <f t="shared" si="150"/>
        <v>1004216</v>
      </c>
      <c r="EX38" s="42">
        <v>10115</v>
      </c>
      <c r="EY38" s="36">
        <f t="shared" si="151"/>
        <v>1.0072534195830378</v>
      </c>
      <c r="EZ38">
        <v>40.700000000000003</v>
      </c>
      <c r="FA38">
        <v>0.26899999999999996</v>
      </c>
      <c r="FB38" s="43">
        <f t="shared" si="172"/>
        <v>0.109483</v>
      </c>
    </row>
    <row r="39" spans="1:158" ht="16.5" customHeight="1">
      <c r="A39" s="32">
        <v>2002</v>
      </c>
      <c r="B39" s="42">
        <v>15340377</v>
      </c>
      <c r="C39" s="42">
        <f t="shared" si="66"/>
        <v>7670188.5</v>
      </c>
      <c r="D39" s="42">
        <v>70155</v>
      </c>
      <c r="E39" s="36">
        <f t="shared" ref="E39:E45" si="176">D39/C39*100</f>
        <v>0.91464505728900936</v>
      </c>
      <c r="F39" s="13">
        <v>49.1</v>
      </c>
      <c r="G39" s="13">
        <v>0.30380000000000001</v>
      </c>
      <c r="H39" s="43">
        <f t="shared" si="152"/>
        <v>0.14916580000000002</v>
      </c>
      <c r="I39" s="42">
        <v>273871</v>
      </c>
      <c r="J39" s="42">
        <f t="shared" si="68"/>
        <v>136935.5</v>
      </c>
      <c r="K39" s="42">
        <v>842</v>
      </c>
      <c r="L39" s="36">
        <f t="shared" ref="L39:L43" si="177">K39/J39*100</f>
        <v>0.61488803122638036</v>
      </c>
      <c r="M39" s="13">
        <v>55.5</v>
      </c>
      <c r="N39" s="13">
        <v>0.33500000000000002</v>
      </c>
      <c r="O39" s="43">
        <f t="shared" si="162"/>
        <v>0.18592500000000001</v>
      </c>
      <c r="P39" s="42">
        <v>68847</v>
      </c>
      <c r="Q39" s="42">
        <f t="shared" si="70"/>
        <v>34423.5</v>
      </c>
      <c r="R39" s="42">
        <v>258</v>
      </c>
      <c r="S39" s="36">
        <f t="shared" ref="S39:S44" si="178">R39/Q39*100</f>
        <v>0.74948799511961306</v>
      </c>
      <c r="T39" s="13">
        <v>47.6</v>
      </c>
      <c r="U39" s="13">
        <v>0.19469999999999998</v>
      </c>
      <c r="V39" s="43">
        <f t="shared" si="153"/>
        <v>9.2677199999999987E-2</v>
      </c>
      <c r="W39" s="42">
        <v>470222</v>
      </c>
      <c r="X39" s="42">
        <f t="shared" si="72"/>
        <v>235111</v>
      </c>
      <c r="Y39" s="42">
        <v>1990</v>
      </c>
      <c r="Z39" s="36">
        <f t="shared" ref="Z39:Z44" si="179">Y39/X39*100</f>
        <v>0.84640871758446012</v>
      </c>
      <c r="AA39" s="13">
        <v>58.5</v>
      </c>
      <c r="AB39" s="13">
        <v>0.34179999999999999</v>
      </c>
      <c r="AC39" s="43">
        <f t="shared" si="154"/>
        <v>0.19995299999999999</v>
      </c>
      <c r="AD39" s="42">
        <v>381412</v>
      </c>
      <c r="AE39" s="42">
        <f t="shared" si="74"/>
        <v>190706</v>
      </c>
      <c r="AF39" s="42">
        <v>1461</v>
      </c>
      <c r="AG39" s="36">
        <f t="shared" ref="AG39:AG44" si="180">AF39/AE39*100</f>
        <v>0.76610069950604598</v>
      </c>
      <c r="AH39" s="13">
        <v>59.6</v>
      </c>
      <c r="AI39" s="13">
        <v>0.2772</v>
      </c>
      <c r="AJ39" s="43">
        <f t="shared" si="155"/>
        <v>0.1652112</v>
      </c>
      <c r="AK39" s="42">
        <v>3567485</v>
      </c>
      <c r="AL39" s="42">
        <f t="shared" si="76"/>
        <v>1783742.5</v>
      </c>
      <c r="AM39" s="42">
        <v>16499</v>
      </c>
      <c r="AN39" s="36">
        <f t="shared" ref="AN39:AN44" si="181">AM39/AL39*100</f>
        <v>0.92496534673586572</v>
      </c>
      <c r="AO39" s="13">
        <v>47</v>
      </c>
      <c r="AP39" s="13">
        <v>0.27929999999999999</v>
      </c>
      <c r="AQ39" s="43">
        <f t="shared" si="156"/>
        <v>0.131271</v>
      </c>
      <c r="AR39" s="42">
        <v>5985490</v>
      </c>
      <c r="AS39" s="42">
        <f t="shared" si="78"/>
        <v>2992745</v>
      </c>
      <c r="AT39" s="42">
        <v>26170</v>
      </c>
      <c r="AU39" s="36">
        <f t="shared" ref="AU39:AU44" si="182">AT39/AS39*100</f>
        <v>0.87444804017716182</v>
      </c>
      <c r="AV39" s="13">
        <v>46.5</v>
      </c>
      <c r="AW39" s="13">
        <v>0.29949999999999999</v>
      </c>
      <c r="AX39" s="43">
        <f t="shared" si="157"/>
        <v>0.13926749999999999</v>
      </c>
      <c r="AY39" s="42">
        <v>543265</v>
      </c>
      <c r="AZ39" s="42">
        <f t="shared" si="80"/>
        <v>271632.5</v>
      </c>
      <c r="BA39" s="42">
        <v>2396</v>
      </c>
      <c r="BB39" s="36">
        <f t="shared" ref="BB39:BB44" si="183">BA39/AZ39*100</f>
        <v>0.88207412588699807</v>
      </c>
      <c r="BC39" s="13">
        <v>42</v>
      </c>
      <c r="BD39" s="13">
        <v>0.34749999999999998</v>
      </c>
      <c r="BE39" s="43">
        <f t="shared" si="158"/>
        <v>0.14595</v>
      </c>
      <c r="BF39" s="42">
        <v>472436</v>
      </c>
      <c r="BG39" s="42">
        <f t="shared" si="82"/>
        <v>236218</v>
      </c>
      <c r="BH39" s="42">
        <v>1959</v>
      </c>
      <c r="BI39" s="36">
        <f t="shared" ref="BI39:BI44" si="184">BH39/BG39*100</f>
        <v>0.82931868020218613</v>
      </c>
      <c r="BJ39" s="13">
        <v>71.3</v>
      </c>
      <c r="BK39" s="13">
        <v>0.27989999999999998</v>
      </c>
      <c r="BL39" s="43">
        <f t="shared" si="159"/>
        <v>0.19956869999999999</v>
      </c>
      <c r="BM39" s="42">
        <v>1511596</v>
      </c>
      <c r="BN39" s="42">
        <f t="shared" si="84"/>
        <v>755798</v>
      </c>
      <c r="BO39" s="42">
        <v>8291</v>
      </c>
      <c r="BP39" s="36">
        <f t="shared" ref="BP39:BP44" si="185">BO39/BN39*100</f>
        <v>1.0969862317709229</v>
      </c>
      <c r="BQ39" s="13">
        <v>36.6</v>
      </c>
      <c r="BR39" s="13">
        <v>0.35460000000000003</v>
      </c>
      <c r="BS39" s="43">
        <f t="shared" si="160"/>
        <v>0.12978360000000003</v>
      </c>
      <c r="BT39" s="42">
        <v>2023322</v>
      </c>
      <c r="BU39" s="42">
        <f t="shared" si="86"/>
        <v>1011661</v>
      </c>
      <c r="BV39" s="42">
        <v>10125</v>
      </c>
      <c r="BW39" s="36">
        <f t="shared" ref="BW39:BW44" si="186">BV39/BU39*100</f>
        <v>1.0008293291922887</v>
      </c>
      <c r="BX39" s="13">
        <v>57.8</v>
      </c>
      <c r="BY39" s="13">
        <v>0.32159999999999994</v>
      </c>
      <c r="BZ39" s="43">
        <f t="shared" si="161"/>
        <v>0.18588479999999996</v>
      </c>
      <c r="CC39" s="32">
        <v>2002</v>
      </c>
      <c r="CD39" s="42">
        <v>15340377</v>
      </c>
      <c r="CE39" s="42">
        <f t="shared" si="130"/>
        <v>7670188.5</v>
      </c>
      <c r="CF39" s="42">
        <v>70155</v>
      </c>
      <c r="CG39" s="36">
        <f t="shared" si="131"/>
        <v>0.91464505728900936</v>
      </c>
      <c r="CH39">
        <v>40.4</v>
      </c>
      <c r="CI39">
        <v>0.2717</v>
      </c>
      <c r="CJ39" s="43">
        <f t="shared" si="173"/>
        <v>0.1097668</v>
      </c>
      <c r="CK39" s="42">
        <v>273871</v>
      </c>
      <c r="CL39" s="42">
        <f t="shared" si="132"/>
        <v>136935.5</v>
      </c>
      <c r="CM39" s="42">
        <v>842</v>
      </c>
      <c r="CN39" s="36">
        <f t="shared" si="133"/>
        <v>0.61488803122638036</v>
      </c>
      <c r="CO39">
        <v>40</v>
      </c>
      <c r="CP39">
        <v>0.2321</v>
      </c>
      <c r="CQ39" s="43">
        <f t="shared" si="164"/>
        <v>9.2840000000000006E-2</v>
      </c>
      <c r="CR39" s="42">
        <v>68847</v>
      </c>
      <c r="CS39" s="42">
        <f t="shared" si="134"/>
        <v>34423.5</v>
      </c>
      <c r="CT39" s="42">
        <v>258</v>
      </c>
      <c r="CU39" s="36">
        <f t="shared" si="135"/>
        <v>0.74948799511961306</v>
      </c>
      <c r="CV39">
        <v>17.5</v>
      </c>
      <c r="CW39" s="370">
        <f t="shared" si="175"/>
        <v>0.1968</v>
      </c>
      <c r="CX39" s="43">
        <f t="shared" si="168"/>
        <v>3.4439999999999998E-2</v>
      </c>
      <c r="CY39" s="42">
        <v>470222</v>
      </c>
      <c r="CZ39" s="42">
        <f t="shared" si="136"/>
        <v>235111</v>
      </c>
      <c r="DA39" s="42">
        <v>1990</v>
      </c>
      <c r="DB39" s="36">
        <f t="shared" si="137"/>
        <v>0.84640871758446012</v>
      </c>
      <c r="DC39">
        <v>35.700000000000003</v>
      </c>
      <c r="DD39">
        <v>0.31390000000000001</v>
      </c>
      <c r="DE39" s="43">
        <f t="shared" si="169"/>
        <v>0.11206230000000002</v>
      </c>
      <c r="DF39" s="42">
        <v>381412</v>
      </c>
      <c r="DG39" s="42">
        <f t="shared" si="138"/>
        <v>190706</v>
      </c>
      <c r="DH39" s="42">
        <v>1461</v>
      </c>
      <c r="DI39" s="36">
        <f t="shared" si="139"/>
        <v>0.76610069950604598</v>
      </c>
      <c r="DJ39">
        <v>35.9</v>
      </c>
      <c r="DK39">
        <v>0.1552</v>
      </c>
      <c r="DL39" s="43">
        <f t="shared" si="165"/>
        <v>5.5716799999999997E-2</v>
      </c>
      <c r="DM39" s="42">
        <v>3567485</v>
      </c>
      <c r="DN39" s="42">
        <f t="shared" si="140"/>
        <v>1783742.5</v>
      </c>
      <c r="DO39" s="42">
        <v>16499</v>
      </c>
      <c r="DP39" s="36">
        <f t="shared" si="141"/>
        <v>0.92496534673586572</v>
      </c>
      <c r="DQ39">
        <v>39.9</v>
      </c>
      <c r="DR39">
        <v>0.24929999999999999</v>
      </c>
      <c r="DS39" s="43">
        <f t="shared" si="166"/>
        <v>9.9470699999999995E-2</v>
      </c>
      <c r="DT39" s="42">
        <v>5985490</v>
      </c>
      <c r="DU39" s="42">
        <f t="shared" si="142"/>
        <v>2992745</v>
      </c>
      <c r="DV39" s="42">
        <v>26170</v>
      </c>
      <c r="DW39" s="36">
        <f t="shared" si="143"/>
        <v>0.87444804017716182</v>
      </c>
      <c r="DX39">
        <v>40.4</v>
      </c>
      <c r="DY39">
        <v>0.26879999999999998</v>
      </c>
      <c r="DZ39" s="43">
        <f t="shared" si="170"/>
        <v>0.10859519999999998</v>
      </c>
      <c r="EA39" s="42">
        <v>543265</v>
      </c>
      <c r="EB39" s="42">
        <f t="shared" si="144"/>
        <v>271632.5</v>
      </c>
      <c r="EC39" s="42">
        <v>2396</v>
      </c>
      <c r="ED39" s="36">
        <f t="shared" si="145"/>
        <v>0.88207412588699807</v>
      </c>
      <c r="EE39">
        <v>38.5</v>
      </c>
      <c r="EF39">
        <v>0.32590000000000002</v>
      </c>
      <c r="EG39" s="43">
        <f t="shared" si="167"/>
        <v>0.12547150000000001</v>
      </c>
      <c r="EH39" s="42">
        <v>472436</v>
      </c>
      <c r="EI39" s="42">
        <f t="shared" si="146"/>
        <v>236218</v>
      </c>
      <c r="EJ39" s="42">
        <v>1959</v>
      </c>
      <c r="EK39" s="36">
        <f t="shared" si="147"/>
        <v>0.82931868020218613</v>
      </c>
      <c r="EL39">
        <v>32.5</v>
      </c>
      <c r="EM39">
        <v>0.25650000000000001</v>
      </c>
      <c r="EN39" s="43">
        <f t="shared" si="174"/>
        <v>8.3362499999999992E-2</v>
      </c>
      <c r="EO39" s="42">
        <v>1511596</v>
      </c>
      <c r="EP39" s="42">
        <f t="shared" si="148"/>
        <v>755798</v>
      </c>
      <c r="EQ39" s="42">
        <v>8291</v>
      </c>
      <c r="ER39" s="36">
        <f t="shared" si="149"/>
        <v>1.0969862317709229</v>
      </c>
      <c r="ES39">
        <v>30.9</v>
      </c>
      <c r="ET39">
        <v>0.33770000000000006</v>
      </c>
      <c r="EU39" s="43">
        <f t="shared" si="171"/>
        <v>0.10434930000000002</v>
      </c>
      <c r="EV39" s="42">
        <v>2023322</v>
      </c>
      <c r="EW39" s="42">
        <f t="shared" si="150"/>
        <v>1011661</v>
      </c>
      <c r="EX39" s="42">
        <v>10125</v>
      </c>
      <c r="EY39" s="36">
        <f t="shared" si="151"/>
        <v>1.0008293291922887</v>
      </c>
      <c r="EZ39">
        <v>50.8</v>
      </c>
      <c r="FA39">
        <v>0.2868</v>
      </c>
      <c r="FB39" s="43">
        <f t="shared" si="172"/>
        <v>0.14569439999999997</v>
      </c>
    </row>
    <row r="40" spans="1:158" ht="16.5" customHeight="1">
      <c r="A40" s="32">
        <v>2003</v>
      </c>
      <c r="B40" s="42">
        <v>15438972</v>
      </c>
      <c r="C40" s="42">
        <f t="shared" si="66"/>
        <v>7719486</v>
      </c>
      <c r="D40" s="42">
        <v>70828</v>
      </c>
      <c r="E40" s="36">
        <f t="shared" si="176"/>
        <v>0.9175222288116075</v>
      </c>
      <c r="F40" s="13">
        <v>48.2</v>
      </c>
      <c r="G40" s="13">
        <v>0.3054</v>
      </c>
      <c r="H40" s="43">
        <f t="shared" si="152"/>
        <v>0.14720279999999999</v>
      </c>
      <c r="I40" s="42">
        <v>274495</v>
      </c>
      <c r="J40" s="42">
        <f t="shared" si="68"/>
        <v>137247.5</v>
      </c>
      <c r="K40" s="42">
        <v>662</v>
      </c>
      <c r="L40" s="36">
        <f t="shared" si="177"/>
        <v>0.48234029763747971</v>
      </c>
      <c r="M40" s="13">
        <v>64.2</v>
      </c>
      <c r="N40" s="13">
        <v>0.32719999999999999</v>
      </c>
      <c r="O40" s="43">
        <f t="shared" si="162"/>
        <v>0.21006240000000001</v>
      </c>
      <c r="P40" s="42">
        <v>69317</v>
      </c>
      <c r="Q40" s="42">
        <f t="shared" si="70"/>
        <v>34658.5</v>
      </c>
      <c r="R40" s="42">
        <v>281</v>
      </c>
      <c r="S40" s="36">
        <f t="shared" si="178"/>
        <v>0.81076792128914987</v>
      </c>
      <c r="T40" s="13">
        <v>45.1</v>
      </c>
      <c r="U40" s="13">
        <v>0.1273</v>
      </c>
      <c r="V40" s="43">
        <f t="shared" si="153"/>
        <v>5.7412299999999999E-2</v>
      </c>
      <c r="W40" s="42">
        <v>470518</v>
      </c>
      <c r="X40" s="42">
        <f t="shared" si="72"/>
        <v>235259</v>
      </c>
      <c r="Y40" s="42">
        <v>1907</v>
      </c>
      <c r="Z40" s="36">
        <f t="shared" si="179"/>
        <v>0.81059598145023137</v>
      </c>
      <c r="AA40" s="13">
        <v>52.5</v>
      </c>
      <c r="AB40" s="13">
        <v>0.316</v>
      </c>
      <c r="AC40" s="43">
        <f t="shared" si="154"/>
        <v>0.16589999999999999</v>
      </c>
      <c r="AD40" s="42">
        <v>381469</v>
      </c>
      <c r="AE40" s="42">
        <f t="shared" si="74"/>
        <v>190734.5</v>
      </c>
      <c r="AF40" s="42">
        <v>1450</v>
      </c>
      <c r="AG40" s="36">
        <f t="shared" si="180"/>
        <v>0.76021904794360751</v>
      </c>
      <c r="AH40" s="13">
        <v>63.8</v>
      </c>
      <c r="AI40" s="13">
        <v>0.29330000000000001</v>
      </c>
      <c r="AJ40" s="43">
        <f t="shared" si="155"/>
        <v>0.1871254</v>
      </c>
      <c r="AK40" s="42">
        <v>3571562</v>
      </c>
      <c r="AL40" s="42">
        <f t="shared" si="76"/>
        <v>1785781</v>
      </c>
      <c r="AM40" s="42">
        <v>16738</v>
      </c>
      <c r="AN40" s="36">
        <f t="shared" si="181"/>
        <v>0.93729298273416506</v>
      </c>
      <c r="AO40" s="13">
        <v>42.3</v>
      </c>
      <c r="AP40" s="13">
        <v>0.2828</v>
      </c>
      <c r="AQ40" s="43">
        <f t="shared" si="156"/>
        <v>0.11962439999999999</v>
      </c>
      <c r="AR40" s="42">
        <v>6046952</v>
      </c>
      <c r="AS40" s="42">
        <f t="shared" si="78"/>
        <v>3023476</v>
      </c>
      <c r="AT40" s="42">
        <v>27513</v>
      </c>
      <c r="AU40" s="36">
        <f t="shared" si="182"/>
        <v>0.90997911013680943</v>
      </c>
      <c r="AV40" s="13">
        <v>46.4</v>
      </c>
      <c r="AW40" s="13">
        <v>0.29010000000000002</v>
      </c>
      <c r="AX40" s="43">
        <f t="shared" si="157"/>
        <v>0.13460640000000001</v>
      </c>
      <c r="AY40" s="42">
        <v>543993</v>
      </c>
      <c r="AZ40" s="42">
        <f t="shared" si="80"/>
        <v>271996.5</v>
      </c>
      <c r="BA40" s="42">
        <v>2352</v>
      </c>
      <c r="BB40" s="36">
        <f t="shared" si="183"/>
        <v>0.86471700922622163</v>
      </c>
      <c r="BC40" s="13">
        <v>44.6</v>
      </c>
      <c r="BD40" s="13">
        <v>0.29510000000000003</v>
      </c>
      <c r="BE40" s="43">
        <f t="shared" si="158"/>
        <v>0.13161460000000003</v>
      </c>
      <c r="BF40" s="42">
        <v>470731</v>
      </c>
      <c r="BG40" s="42">
        <f t="shared" si="82"/>
        <v>235365.5</v>
      </c>
      <c r="BH40" s="42">
        <v>1992</v>
      </c>
      <c r="BI40" s="36">
        <f t="shared" si="184"/>
        <v>0.84634324061937716</v>
      </c>
      <c r="BJ40" s="13">
        <v>54.6</v>
      </c>
      <c r="BK40" s="13">
        <v>0.31929999999999997</v>
      </c>
      <c r="BL40" s="43">
        <f t="shared" si="159"/>
        <v>0.17433779999999999</v>
      </c>
      <c r="BM40" s="42">
        <v>1529026</v>
      </c>
      <c r="BN40" s="42">
        <f t="shared" si="84"/>
        <v>764513</v>
      </c>
      <c r="BO40" s="42">
        <v>7960</v>
      </c>
      <c r="BP40" s="36">
        <f t="shared" si="185"/>
        <v>1.0411856959920891</v>
      </c>
      <c r="BQ40" s="13">
        <v>44.7</v>
      </c>
      <c r="BR40" s="13">
        <v>0.36060000000000003</v>
      </c>
      <c r="BS40" s="43">
        <f t="shared" si="160"/>
        <v>0.16118820000000003</v>
      </c>
      <c r="BT40" s="42">
        <v>2037905</v>
      </c>
      <c r="BU40" s="42">
        <f t="shared" si="86"/>
        <v>1018952.5</v>
      </c>
      <c r="BV40" s="42">
        <v>9820</v>
      </c>
      <c r="BW40" s="36">
        <f t="shared" si="186"/>
        <v>0.96373481590162446</v>
      </c>
      <c r="BX40" s="13">
        <v>60.2</v>
      </c>
      <c r="BY40" s="13">
        <v>0.34450000000000003</v>
      </c>
      <c r="BZ40" s="43">
        <f t="shared" si="161"/>
        <v>0.20738900000000002</v>
      </c>
      <c r="CC40" s="32">
        <v>2003</v>
      </c>
      <c r="CD40" s="42">
        <v>15438972</v>
      </c>
      <c r="CE40" s="42">
        <f t="shared" si="130"/>
        <v>7719486</v>
      </c>
      <c r="CF40" s="42">
        <v>70828</v>
      </c>
      <c r="CG40" s="36">
        <f t="shared" si="131"/>
        <v>0.9175222288116075</v>
      </c>
      <c r="CH40">
        <v>39.299999999999997</v>
      </c>
      <c r="CI40">
        <v>0.2762</v>
      </c>
      <c r="CJ40" s="43">
        <f t="shared" si="173"/>
        <v>0.10854659999999999</v>
      </c>
      <c r="CK40" s="42">
        <v>274495</v>
      </c>
      <c r="CL40" s="42">
        <f t="shared" si="132"/>
        <v>137247.5</v>
      </c>
      <c r="CM40" s="42">
        <v>662</v>
      </c>
      <c r="CN40" s="36">
        <f t="shared" si="133"/>
        <v>0.48234029763747971</v>
      </c>
      <c r="CO40">
        <v>47.7</v>
      </c>
      <c r="CP40">
        <v>0.18690000000000001</v>
      </c>
      <c r="CQ40" s="43">
        <f t="shared" si="164"/>
        <v>8.9151300000000017E-2</v>
      </c>
      <c r="CR40" s="42">
        <v>69317</v>
      </c>
      <c r="CS40" s="42">
        <f t="shared" si="134"/>
        <v>34658.5</v>
      </c>
      <c r="CT40" s="42">
        <v>281</v>
      </c>
      <c r="CU40" s="36">
        <f t="shared" si="135"/>
        <v>0.81076792128914987</v>
      </c>
      <c r="CV40" s="370">
        <f>(CV39+CV41)/2</f>
        <v>15.6</v>
      </c>
      <c r="CW40" s="370">
        <f t="shared" si="175"/>
        <v>0.1968</v>
      </c>
      <c r="CX40" s="43">
        <f t="shared" si="168"/>
        <v>3.07008E-2</v>
      </c>
      <c r="CY40" s="42">
        <v>470518</v>
      </c>
      <c r="CZ40" s="42">
        <f t="shared" si="136"/>
        <v>235259</v>
      </c>
      <c r="DA40" s="42">
        <v>1907</v>
      </c>
      <c r="DB40" s="36">
        <f t="shared" si="137"/>
        <v>0.81059598145023137</v>
      </c>
      <c r="DC40">
        <v>37.1</v>
      </c>
      <c r="DD40">
        <v>0.2298</v>
      </c>
      <c r="DE40" s="43">
        <f t="shared" si="169"/>
        <v>8.5255799999999993E-2</v>
      </c>
      <c r="DF40" s="42">
        <v>381469</v>
      </c>
      <c r="DG40" s="42">
        <f t="shared" si="138"/>
        <v>190734.5</v>
      </c>
      <c r="DH40" s="42">
        <v>1450</v>
      </c>
      <c r="DI40" s="36">
        <f t="shared" si="139"/>
        <v>0.76021904794360751</v>
      </c>
      <c r="DJ40">
        <v>43.8</v>
      </c>
      <c r="DK40">
        <v>0.1779</v>
      </c>
      <c r="DL40" s="43">
        <f t="shared" si="165"/>
        <v>7.7920199999999995E-2</v>
      </c>
      <c r="DM40" s="42">
        <v>3571562</v>
      </c>
      <c r="DN40" s="42">
        <f t="shared" si="140"/>
        <v>1785781</v>
      </c>
      <c r="DO40" s="42">
        <v>16738</v>
      </c>
      <c r="DP40" s="36">
        <f t="shared" si="141"/>
        <v>0.93729298273416506</v>
      </c>
      <c r="DQ40">
        <v>34.6</v>
      </c>
      <c r="DR40">
        <v>0.25480000000000003</v>
      </c>
      <c r="DS40" s="43">
        <f t="shared" si="166"/>
        <v>8.8160800000000011E-2</v>
      </c>
      <c r="DT40" s="42">
        <v>6046952</v>
      </c>
      <c r="DU40" s="42">
        <f t="shared" si="142"/>
        <v>3023476</v>
      </c>
      <c r="DV40" s="42">
        <v>27513</v>
      </c>
      <c r="DW40" s="36">
        <f t="shared" si="143"/>
        <v>0.90997911013680943</v>
      </c>
      <c r="DX40">
        <v>37.6</v>
      </c>
      <c r="DY40">
        <v>0.27510000000000001</v>
      </c>
      <c r="DZ40" s="43">
        <f t="shared" si="170"/>
        <v>0.10343760000000002</v>
      </c>
      <c r="EA40" s="42">
        <v>543993</v>
      </c>
      <c r="EB40" s="42">
        <f t="shared" si="144"/>
        <v>271996.5</v>
      </c>
      <c r="EC40" s="42">
        <v>2352</v>
      </c>
      <c r="ED40" s="36">
        <f t="shared" si="145"/>
        <v>0.86471700922622163</v>
      </c>
      <c r="EE40">
        <v>36.9</v>
      </c>
      <c r="EF40">
        <v>0.2954</v>
      </c>
      <c r="EG40" s="43">
        <f t="shared" si="167"/>
        <v>0.10900259999999999</v>
      </c>
      <c r="EH40" s="42">
        <v>470731</v>
      </c>
      <c r="EI40" s="42">
        <f t="shared" si="146"/>
        <v>235365.5</v>
      </c>
      <c r="EJ40" s="42">
        <v>1992</v>
      </c>
      <c r="EK40" s="36">
        <f t="shared" si="147"/>
        <v>0.84634324061937716</v>
      </c>
      <c r="EL40">
        <v>38.799999999999997</v>
      </c>
      <c r="EM40">
        <v>0.2409</v>
      </c>
      <c r="EN40" s="43">
        <f t="shared" si="174"/>
        <v>9.3469199999999988E-2</v>
      </c>
      <c r="EO40" s="42">
        <v>1529026</v>
      </c>
      <c r="EP40" s="42">
        <f t="shared" si="148"/>
        <v>764513</v>
      </c>
      <c r="EQ40" s="42">
        <v>7960</v>
      </c>
      <c r="ER40" s="36">
        <f t="shared" si="149"/>
        <v>1.0411856959920891</v>
      </c>
      <c r="ES40">
        <v>38.4</v>
      </c>
      <c r="ET40">
        <v>0.33649999999999997</v>
      </c>
      <c r="EU40" s="43">
        <f t="shared" si="171"/>
        <v>0.12921599999999997</v>
      </c>
      <c r="EV40" s="42">
        <v>2037905</v>
      </c>
      <c r="EW40" s="42">
        <f t="shared" si="150"/>
        <v>1018952.5</v>
      </c>
      <c r="EX40" s="42">
        <v>9820</v>
      </c>
      <c r="EY40" s="36">
        <f t="shared" si="151"/>
        <v>0.96373481590162446</v>
      </c>
      <c r="EZ40">
        <v>54.5</v>
      </c>
      <c r="FA40">
        <v>0.31620000000000004</v>
      </c>
      <c r="FB40" s="43">
        <f t="shared" si="172"/>
        <v>0.17232900000000001</v>
      </c>
    </row>
    <row r="41" spans="1:158" ht="16.5" customHeight="1">
      <c r="A41" s="32">
        <v>2004</v>
      </c>
      <c r="B41" s="42">
        <v>15558054</v>
      </c>
      <c r="C41" s="42">
        <f t="shared" si="66"/>
        <v>7779027</v>
      </c>
      <c r="D41" s="42">
        <v>69644</v>
      </c>
      <c r="E41" s="36">
        <f t="shared" si="176"/>
        <v>0.89527906253571299</v>
      </c>
      <c r="F41" s="13">
        <v>46.2</v>
      </c>
      <c r="G41" s="13">
        <v>0.30430000000000001</v>
      </c>
      <c r="H41" s="43">
        <f t="shared" si="152"/>
        <v>0.14058660000000001</v>
      </c>
      <c r="I41" s="42">
        <v>275071</v>
      </c>
      <c r="J41" s="42">
        <f t="shared" si="68"/>
        <v>137535.5</v>
      </c>
      <c r="K41" s="42">
        <v>837</v>
      </c>
      <c r="L41" s="36">
        <f t="shared" si="177"/>
        <v>0.60857015097920175</v>
      </c>
      <c r="M41" s="13">
        <v>60.7</v>
      </c>
      <c r="N41" s="13">
        <v>0.31640000000000001</v>
      </c>
      <c r="O41" s="43">
        <f t="shared" si="162"/>
        <v>0.19205480000000003</v>
      </c>
      <c r="P41" s="42">
        <v>69710</v>
      </c>
      <c r="Q41" s="42">
        <f t="shared" si="70"/>
        <v>34855</v>
      </c>
      <c r="R41" s="42">
        <v>293</v>
      </c>
      <c r="S41" s="36">
        <f t="shared" si="178"/>
        <v>0.84062544828575525</v>
      </c>
      <c r="T41" s="13">
        <v>38.200000000000003</v>
      </c>
      <c r="U41" s="13">
        <v>0.23749999999999999</v>
      </c>
      <c r="V41" s="43">
        <f t="shared" si="153"/>
        <v>9.0725E-2</v>
      </c>
      <c r="W41" s="42">
        <v>470866</v>
      </c>
      <c r="X41" s="42">
        <f t="shared" si="72"/>
        <v>235433</v>
      </c>
      <c r="Y41" s="42">
        <v>2000</v>
      </c>
      <c r="Z41" s="36">
        <f t="shared" si="179"/>
        <v>0.84949858346111218</v>
      </c>
      <c r="AA41" s="13">
        <v>47.6</v>
      </c>
      <c r="AB41" s="13">
        <v>0.28499999999999998</v>
      </c>
      <c r="AC41" s="43">
        <f t="shared" si="154"/>
        <v>0.13566</v>
      </c>
      <c r="AD41" s="42">
        <v>381461</v>
      </c>
      <c r="AE41" s="42">
        <f t="shared" si="74"/>
        <v>190730.5</v>
      </c>
      <c r="AF41" s="42">
        <v>1415</v>
      </c>
      <c r="AG41" s="36">
        <f t="shared" si="180"/>
        <v>0.74188449146832836</v>
      </c>
      <c r="AH41" s="13">
        <v>65.2</v>
      </c>
      <c r="AI41" s="13">
        <v>0.28170000000000001</v>
      </c>
      <c r="AJ41" s="43">
        <f t="shared" si="155"/>
        <v>0.18366840000000001</v>
      </c>
      <c r="AK41" s="42">
        <v>3577827</v>
      </c>
      <c r="AL41" s="42">
        <f t="shared" si="76"/>
        <v>1788913.5</v>
      </c>
      <c r="AM41" s="42">
        <v>15999</v>
      </c>
      <c r="AN41" s="36">
        <f t="shared" si="181"/>
        <v>0.8943417331246033</v>
      </c>
      <c r="AO41" s="13">
        <v>33.9</v>
      </c>
      <c r="AP41" s="13">
        <v>0.2898</v>
      </c>
      <c r="AQ41" s="43">
        <f t="shared" si="156"/>
        <v>9.8242200000000002E-2</v>
      </c>
      <c r="AR41" s="42">
        <v>6116213</v>
      </c>
      <c r="AS41" s="42">
        <f t="shared" si="78"/>
        <v>3058106.5</v>
      </c>
      <c r="AT41" s="42">
        <v>26374</v>
      </c>
      <c r="AU41" s="36">
        <f t="shared" si="182"/>
        <v>0.86242908806478769</v>
      </c>
      <c r="AV41" s="13">
        <v>48.3</v>
      </c>
      <c r="AW41" s="13">
        <v>0.29580000000000001</v>
      </c>
      <c r="AX41" s="43">
        <f t="shared" si="157"/>
        <v>0.14287139999999998</v>
      </c>
      <c r="AY41" s="42">
        <v>545427</v>
      </c>
      <c r="AZ41" s="42">
        <f t="shared" si="80"/>
        <v>272713.5</v>
      </c>
      <c r="BA41" s="42">
        <v>2333</v>
      </c>
      <c r="BB41" s="36">
        <f t="shared" si="183"/>
        <v>0.85547653489834574</v>
      </c>
      <c r="BC41" s="13">
        <v>40.5</v>
      </c>
      <c r="BD41" s="13">
        <v>0.31209999999999999</v>
      </c>
      <c r="BE41" s="43">
        <f t="shared" si="158"/>
        <v>0.1264005</v>
      </c>
      <c r="BF41" s="42">
        <v>469387</v>
      </c>
      <c r="BG41" s="42">
        <f t="shared" si="82"/>
        <v>234693.5</v>
      </c>
      <c r="BH41" s="42">
        <v>1875</v>
      </c>
      <c r="BI41" s="36">
        <f t="shared" si="184"/>
        <v>0.79891432868826795</v>
      </c>
      <c r="BJ41" s="13">
        <v>59.4</v>
      </c>
      <c r="BK41" s="13">
        <v>0.30609999999999998</v>
      </c>
      <c r="BL41" s="43">
        <f t="shared" si="159"/>
        <v>0.1818234</v>
      </c>
      <c r="BM41" s="42">
        <v>1547476</v>
      </c>
      <c r="BN41" s="42">
        <f t="shared" si="84"/>
        <v>773738</v>
      </c>
      <c r="BO41" s="42">
        <v>8317</v>
      </c>
      <c r="BP41" s="36">
        <f t="shared" si="185"/>
        <v>1.0749116626041373</v>
      </c>
      <c r="BQ41" s="13">
        <v>47.3</v>
      </c>
      <c r="BR41" s="13">
        <v>0.32400000000000001</v>
      </c>
      <c r="BS41" s="43">
        <f t="shared" si="160"/>
        <v>0.153252</v>
      </c>
      <c r="BT41" s="42">
        <v>2061021</v>
      </c>
      <c r="BU41" s="42">
        <f t="shared" si="86"/>
        <v>1030510.5</v>
      </c>
      <c r="BV41" s="42">
        <v>10049</v>
      </c>
      <c r="BW41" s="36">
        <f t="shared" si="186"/>
        <v>0.97514775443821289</v>
      </c>
      <c r="BX41" s="13">
        <v>54</v>
      </c>
      <c r="BY41" s="13">
        <v>0.33799999999999997</v>
      </c>
      <c r="BZ41" s="43">
        <f t="shared" si="161"/>
        <v>0.18251999999999999</v>
      </c>
      <c r="CC41" s="32">
        <v>2004</v>
      </c>
      <c r="CD41" s="42">
        <v>15558054</v>
      </c>
      <c r="CE41" s="42">
        <f t="shared" si="130"/>
        <v>7779027</v>
      </c>
      <c r="CF41" s="42">
        <v>69644</v>
      </c>
      <c r="CG41" s="36">
        <f t="shared" si="131"/>
        <v>0.89527906253571299</v>
      </c>
      <c r="CH41">
        <v>37.200000000000003</v>
      </c>
      <c r="CI41">
        <v>0.2641</v>
      </c>
      <c r="CJ41" s="43">
        <f t="shared" si="173"/>
        <v>9.8245200000000019E-2</v>
      </c>
      <c r="CK41" s="42">
        <v>275071</v>
      </c>
      <c r="CL41" s="42">
        <f t="shared" si="132"/>
        <v>137535.5</v>
      </c>
      <c r="CM41" s="42">
        <v>837</v>
      </c>
      <c r="CN41" s="36">
        <f t="shared" si="133"/>
        <v>0.60857015097920175</v>
      </c>
      <c r="CO41">
        <v>40.4</v>
      </c>
      <c r="CP41">
        <v>0.16670000000000001</v>
      </c>
      <c r="CQ41" s="43">
        <f t="shared" si="164"/>
        <v>6.7346799999999998E-2</v>
      </c>
      <c r="CR41" s="42">
        <v>69710</v>
      </c>
      <c r="CS41" s="42">
        <f t="shared" si="134"/>
        <v>34855</v>
      </c>
      <c r="CT41" s="42">
        <v>293</v>
      </c>
      <c r="CU41" s="36">
        <f t="shared" si="135"/>
        <v>0.84062544828575525</v>
      </c>
      <c r="CV41">
        <v>13.7</v>
      </c>
      <c r="CW41" s="370">
        <f t="shared" si="175"/>
        <v>0.1968</v>
      </c>
      <c r="CX41" s="43">
        <f t="shared" si="168"/>
        <v>2.6961599999999999E-2</v>
      </c>
      <c r="CY41" s="42">
        <v>470866</v>
      </c>
      <c r="CZ41" s="42">
        <f t="shared" si="136"/>
        <v>235433</v>
      </c>
      <c r="DA41" s="42">
        <v>2000</v>
      </c>
      <c r="DB41" s="36">
        <f t="shared" si="137"/>
        <v>0.84949858346111218</v>
      </c>
      <c r="DC41">
        <v>29.4</v>
      </c>
      <c r="DD41">
        <v>0.22670000000000001</v>
      </c>
      <c r="DE41" s="43">
        <f t="shared" si="169"/>
        <v>6.6649799999999995E-2</v>
      </c>
      <c r="DF41" s="42">
        <v>381461</v>
      </c>
      <c r="DG41" s="42">
        <f t="shared" si="138"/>
        <v>190730.5</v>
      </c>
      <c r="DH41" s="42">
        <v>1415</v>
      </c>
      <c r="DI41" s="36">
        <f t="shared" si="139"/>
        <v>0.74188449146832836</v>
      </c>
      <c r="DJ41">
        <v>35.1</v>
      </c>
      <c r="DK41">
        <v>0.2429</v>
      </c>
      <c r="DL41" s="43">
        <f t="shared" si="165"/>
        <v>8.5257900000000011E-2</v>
      </c>
      <c r="DM41" s="42">
        <v>3577827</v>
      </c>
      <c r="DN41" s="42">
        <f t="shared" si="140"/>
        <v>1788913.5</v>
      </c>
      <c r="DO41" s="42">
        <v>15999</v>
      </c>
      <c r="DP41" s="36">
        <f t="shared" si="141"/>
        <v>0.8943417331246033</v>
      </c>
      <c r="DQ41">
        <v>28.2</v>
      </c>
      <c r="DR41">
        <v>0.22399999999999998</v>
      </c>
      <c r="DS41" s="43">
        <f t="shared" si="166"/>
        <v>6.3167999999999988E-2</v>
      </c>
      <c r="DT41" s="42">
        <v>6116213</v>
      </c>
      <c r="DU41" s="42">
        <f t="shared" si="142"/>
        <v>3058106.5</v>
      </c>
      <c r="DV41" s="42">
        <v>26374</v>
      </c>
      <c r="DW41" s="36">
        <f t="shared" si="143"/>
        <v>0.86242908806478769</v>
      </c>
      <c r="DX41">
        <v>38.4</v>
      </c>
      <c r="DY41">
        <v>0.26729999999999998</v>
      </c>
      <c r="DZ41" s="43">
        <f t="shared" si="170"/>
        <v>0.10264319999999999</v>
      </c>
      <c r="EA41" s="42">
        <v>545427</v>
      </c>
      <c r="EB41" s="42">
        <f t="shared" si="144"/>
        <v>272713.5</v>
      </c>
      <c r="EC41" s="42">
        <v>2333</v>
      </c>
      <c r="ED41" s="36">
        <f t="shared" si="145"/>
        <v>0.85547653489834574</v>
      </c>
      <c r="EE41">
        <v>32.4</v>
      </c>
      <c r="EF41">
        <v>0.2828</v>
      </c>
      <c r="EG41" s="43">
        <f t="shared" si="167"/>
        <v>9.1627200000000006E-2</v>
      </c>
      <c r="EH41" s="42">
        <v>469387</v>
      </c>
      <c r="EI41" s="42">
        <f t="shared" si="146"/>
        <v>234693.5</v>
      </c>
      <c r="EJ41" s="42">
        <v>1875</v>
      </c>
      <c r="EK41" s="36">
        <f t="shared" si="147"/>
        <v>0.79891432868826795</v>
      </c>
      <c r="EL41">
        <v>28.6</v>
      </c>
      <c r="EM41">
        <v>0.29730000000000001</v>
      </c>
      <c r="EN41" s="43">
        <f t="shared" si="174"/>
        <v>8.5027800000000014E-2</v>
      </c>
      <c r="EO41" s="42">
        <v>1547476</v>
      </c>
      <c r="EP41" s="42">
        <f t="shared" si="148"/>
        <v>773738</v>
      </c>
      <c r="EQ41" s="42">
        <v>8317</v>
      </c>
      <c r="ER41" s="36">
        <f t="shared" si="149"/>
        <v>1.0749116626041373</v>
      </c>
      <c r="ES41">
        <v>40.6</v>
      </c>
      <c r="ET41">
        <v>0.29730000000000001</v>
      </c>
      <c r="EU41" s="43">
        <f t="shared" si="171"/>
        <v>0.1207038</v>
      </c>
      <c r="EV41" s="42">
        <v>2061021</v>
      </c>
      <c r="EW41" s="42">
        <f t="shared" si="150"/>
        <v>1030510.5</v>
      </c>
      <c r="EX41" s="42">
        <v>10049</v>
      </c>
      <c r="EY41" s="36">
        <f t="shared" si="151"/>
        <v>0.97514775443821289</v>
      </c>
      <c r="EZ41">
        <v>53.8</v>
      </c>
      <c r="FA41">
        <v>0.2868</v>
      </c>
      <c r="FB41" s="43">
        <f t="shared" si="172"/>
        <v>0.15429839999999997</v>
      </c>
    </row>
    <row r="42" spans="1:158" ht="16.5" customHeight="1">
      <c r="A42" s="32">
        <v>2005</v>
      </c>
      <c r="B42" s="42">
        <v>15675089</v>
      </c>
      <c r="C42" s="42">
        <f t="shared" si="66"/>
        <v>7837544.5</v>
      </c>
      <c r="D42" s="42">
        <v>71269</v>
      </c>
      <c r="E42" s="36">
        <f t="shared" si="176"/>
        <v>0.90932817032171231</v>
      </c>
      <c r="F42" s="13">
        <v>40.799999999999997</v>
      </c>
      <c r="G42" s="13">
        <v>0.30690000000000001</v>
      </c>
      <c r="H42" s="43">
        <f t="shared" si="152"/>
        <v>0.1252152</v>
      </c>
      <c r="I42" s="42">
        <v>274762</v>
      </c>
      <c r="J42" s="42">
        <f t="shared" si="68"/>
        <v>137381</v>
      </c>
      <c r="K42" s="42">
        <v>789</v>
      </c>
      <c r="L42" s="36">
        <f t="shared" si="177"/>
        <v>0.57431522554064973</v>
      </c>
      <c r="M42" s="13">
        <v>56</v>
      </c>
      <c r="N42" s="13">
        <v>0.32700000000000001</v>
      </c>
      <c r="O42" s="43">
        <f t="shared" si="162"/>
        <v>0.18312</v>
      </c>
      <c r="P42" s="42">
        <v>70043</v>
      </c>
      <c r="Q42" s="42">
        <f t="shared" si="70"/>
        <v>35021.5</v>
      </c>
      <c r="R42" s="42">
        <v>283</v>
      </c>
      <c r="S42" s="36">
        <f t="shared" si="178"/>
        <v>0.80807503961852001</v>
      </c>
      <c r="T42" s="13">
        <v>33.6</v>
      </c>
      <c r="U42" s="13">
        <v>0.26890000000000003</v>
      </c>
      <c r="V42" s="43">
        <f t="shared" si="153"/>
        <v>9.0350400000000025E-2</v>
      </c>
      <c r="W42" s="42">
        <v>469647</v>
      </c>
      <c r="X42" s="42">
        <f t="shared" si="72"/>
        <v>234823.5</v>
      </c>
      <c r="Y42" s="42">
        <v>1961</v>
      </c>
      <c r="Z42" s="36">
        <f t="shared" si="179"/>
        <v>0.83509529497686563</v>
      </c>
      <c r="AA42" s="13">
        <v>47.2</v>
      </c>
      <c r="AB42" s="13">
        <v>0.25819999999999999</v>
      </c>
      <c r="AC42" s="43">
        <f t="shared" si="154"/>
        <v>0.12187039999999999</v>
      </c>
      <c r="AD42" s="42">
        <v>380993</v>
      </c>
      <c r="AE42" s="42">
        <f t="shared" si="74"/>
        <v>190496.5</v>
      </c>
      <c r="AF42" s="42">
        <v>1444</v>
      </c>
      <c r="AG42" s="36">
        <f t="shared" si="180"/>
        <v>0.7580191762053371</v>
      </c>
      <c r="AH42" s="13">
        <v>57.7</v>
      </c>
      <c r="AI42" s="13">
        <v>0.30199999999999999</v>
      </c>
      <c r="AJ42" s="43">
        <f t="shared" si="155"/>
        <v>0.17425399999999999</v>
      </c>
      <c r="AK42" s="42">
        <v>3580559</v>
      </c>
      <c r="AL42" s="42">
        <f t="shared" si="76"/>
        <v>1790279.5</v>
      </c>
      <c r="AM42" s="42">
        <v>15423</v>
      </c>
      <c r="AN42" s="36">
        <f t="shared" si="181"/>
        <v>0.86148559484706155</v>
      </c>
      <c r="AO42" s="13">
        <v>34.200000000000003</v>
      </c>
      <c r="AP42" s="13">
        <v>0.28610000000000002</v>
      </c>
      <c r="AQ42" s="43">
        <f t="shared" si="156"/>
        <v>9.7846200000000022E-2</v>
      </c>
      <c r="AR42" s="42">
        <v>6180836</v>
      </c>
      <c r="AS42" s="42">
        <f t="shared" si="78"/>
        <v>3090418</v>
      </c>
      <c r="AT42" s="42">
        <v>28805</v>
      </c>
      <c r="AU42" s="36">
        <f t="shared" si="182"/>
        <v>0.93207456078756978</v>
      </c>
      <c r="AV42" s="13">
        <v>42.9</v>
      </c>
      <c r="AW42" s="13">
        <v>0.29809999999999998</v>
      </c>
      <c r="AX42" s="43">
        <f t="shared" si="157"/>
        <v>0.12788489999999997</v>
      </c>
      <c r="AY42" s="42">
        <v>544809</v>
      </c>
      <c r="AZ42" s="42">
        <f t="shared" si="80"/>
        <v>272404.5</v>
      </c>
      <c r="BA42" s="42">
        <v>2429</v>
      </c>
      <c r="BB42" s="36">
        <f t="shared" si="183"/>
        <v>0.89168864684687665</v>
      </c>
      <c r="BC42" s="13">
        <v>41</v>
      </c>
      <c r="BD42" s="13">
        <v>0.31629999999999997</v>
      </c>
      <c r="BE42" s="43">
        <f t="shared" si="158"/>
        <v>0.12968299999999999</v>
      </c>
      <c r="BF42" s="42">
        <v>466440</v>
      </c>
      <c r="BG42" s="42">
        <f t="shared" si="82"/>
        <v>233220</v>
      </c>
      <c r="BH42" s="42">
        <v>1922</v>
      </c>
      <c r="BI42" s="36">
        <f t="shared" si="184"/>
        <v>0.82411456993396803</v>
      </c>
      <c r="BJ42" s="13">
        <v>54</v>
      </c>
      <c r="BK42" s="13">
        <v>0.32079999999999997</v>
      </c>
      <c r="BL42" s="43">
        <f t="shared" si="159"/>
        <v>0.173232</v>
      </c>
      <c r="BM42" s="42">
        <v>1576381</v>
      </c>
      <c r="BN42" s="42">
        <f t="shared" si="84"/>
        <v>788190.5</v>
      </c>
      <c r="BO42" s="42">
        <v>8075</v>
      </c>
      <c r="BP42" s="36">
        <f t="shared" si="185"/>
        <v>1.0244985190762894</v>
      </c>
      <c r="BQ42" s="13">
        <v>35.6</v>
      </c>
      <c r="BR42" s="13">
        <v>0.35070000000000001</v>
      </c>
      <c r="BS42" s="43">
        <f t="shared" si="160"/>
        <v>0.12484920000000001</v>
      </c>
      <c r="BT42" s="42">
        <v>2086915</v>
      </c>
      <c r="BU42" s="42">
        <f t="shared" si="86"/>
        <v>1043457.5</v>
      </c>
      <c r="BV42" s="42">
        <v>9954</v>
      </c>
      <c r="BW42" s="36">
        <f t="shared" si="186"/>
        <v>0.95394397951042564</v>
      </c>
      <c r="BX42" s="13">
        <v>38.1</v>
      </c>
      <c r="BY42" s="13">
        <v>0.34810000000000002</v>
      </c>
      <c r="BZ42" s="43">
        <f t="shared" si="161"/>
        <v>0.1326261</v>
      </c>
      <c r="CC42" s="32">
        <v>2005</v>
      </c>
      <c r="CD42" s="42">
        <v>15675089</v>
      </c>
      <c r="CE42" s="42">
        <f t="shared" si="130"/>
        <v>7837544.5</v>
      </c>
      <c r="CF42" s="42">
        <v>71269</v>
      </c>
      <c r="CG42" s="36">
        <f t="shared" si="131"/>
        <v>0.90932817032171231</v>
      </c>
      <c r="CH42">
        <v>29.7</v>
      </c>
      <c r="CI42">
        <v>0.27660000000000001</v>
      </c>
      <c r="CJ42" s="43">
        <f t="shared" si="173"/>
        <v>8.2150200000000007E-2</v>
      </c>
      <c r="CK42" s="42">
        <v>274762</v>
      </c>
      <c r="CL42" s="42">
        <f t="shared" si="132"/>
        <v>137381</v>
      </c>
      <c r="CM42" s="42">
        <v>789</v>
      </c>
      <c r="CN42" s="36">
        <f t="shared" si="133"/>
        <v>0.57431522554064973</v>
      </c>
      <c r="CO42">
        <v>26.4</v>
      </c>
      <c r="CP42">
        <v>0.22450000000000001</v>
      </c>
      <c r="CQ42" s="43">
        <f t="shared" si="164"/>
        <v>5.9268000000000001E-2</v>
      </c>
      <c r="CR42" s="42">
        <v>70043</v>
      </c>
      <c r="CS42" s="42">
        <f t="shared" si="134"/>
        <v>35021.5</v>
      </c>
      <c r="CT42" s="42">
        <v>283</v>
      </c>
      <c r="CU42" s="36">
        <f t="shared" si="135"/>
        <v>0.80807503961852001</v>
      </c>
      <c r="CV42">
        <v>11.7</v>
      </c>
      <c r="CW42" s="370">
        <f t="shared" si="175"/>
        <v>0.1968</v>
      </c>
      <c r="CX42" s="43">
        <f t="shared" si="168"/>
        <v>2.3025599999999997E-2</v>
      </c>
      <c r="CY42" s="42">
        <v>469647</v>
      </c>
      <c r="CZ42" s="42">
        <f t="shared" si="136"/>
        <v>234823.5</v>
      </c>
      <c r="DA42" s="42">
        <v>1961</v>
      </c>
      <c r="DB42" s="36">
        <f t="shared" si="137"/>
        <v>0.83509529497686563</v>
      </c>
      <c r="DC42">
        <v>23.5</v>
      </c>
      <c r="DD42">
        <v>0.22989999999999999</v>
      </c>
      <c r="DE42" s="43">
        <f t="shared" si="169"/>
        <v>5.4026499999999998E-2</v>
      </c>
      <c r="DF42" s="42">
        <v>380993</v>
      </c>
      <c r="DG42" s="42">
        <f t="shared" si="138"/>
        <v>190496.5</v>
      </c>
      <c r="DH42" s="42">
        <v>1444</v>
      </c>
      <c r="DI42" s="36">
        <f t="shared" si="139"/>
        <v>0.7580191762053371</v>
      </c>
      <c r="DJ42">
        <v>33.5</v>
      </c>
      <c r="DK42">
        <v>0.20899999999999999</v>
      </c>
      <c r="DL42" s="43">
        <f t="shared" si="165"/>
        <v>7.0014999999999994E-2</v>
      </c>
      <c r="DM42" s="42">
        <v>3580559</v>
      </c>
      <c r="DN42" s="42">
        <f t="shared" si="140"/>
        <v>1790279.5</v>
      </c>
      <c r="DO42" s="42">
        <v>15423</v>
      </c>
      <c r="DP42" s="36">
        <f t="shared" si="141"/>
        <v>0.86148559484706155</v>
      </c>
      <c r="DQ42">
        <v>25.5</v>
      </c>
      <c r="DR42">
        <v>0.2341</v>
      </c>
      <c r="DS42" s="43">
        <f t="shared" si="166"/>
        <v>5.9695499999999999E-2</v>
      </c>
      <c r="DT42" s="42">
        <v>6180836</v>
      </c>
      <c r="DU42" s="42">
        <f t="shared" si="142"/>
        <v>3090418</v>
      </c>
      <c r="DV42" s="42">
        <v>28805</v>
      </c>
      <c r="DW42" s="36">
        <f t="shared" si="143"/>
        <v>0.93207456078756978</v>
      </c>
      <c r="DX42">
        <v>32.9</v>
      </c>
      <c r="DY42">
        <v>0.27839999999999998</v>
      </c>
      <c r="DZ42" s="43">
        <f t="shared" si="170"/>
        <v>9.1593599999999997E-2</v>
      </c>
      <c r="EA42" s="42">
        <v>544809</v>
      </c>
      <c r="EB42" s="42">
        <f t="shared" si="144"/>
        <v>272404.5</v>
      </c>
      <c r="EC42" s="42">
        <v>2429</v>
      </c>
      <c r="ED42" s="36">
        <f t="shared" si="145"/>
        <v>0.89168864684687665</v>
      </c>
      <c r="EE42">
        <v>28.3</v>
      </c>
      <c r="EF42">
        <v>0.27010000000000001</v>
      </c>
      <c r="EG42" s="43">
        <f t="shared" si="167"/>
        <v>7.6438300000000001E-2</v>
      </c>
      <c r="EH42" s="42">
        <v>466440</v>
      </c>
      <c r="EI42" s="42">
        <f t="shared" si="146"/>
        <v>233220</v>
      </c>
      <c r="EJ42" s="42">
        <v>1922</v>
      </c>
      <c r="EK42" s="36">
        <f t="shared" si="147"/>
        <v>0.82411456993396803</v>
      </c>
      <c r="EL42">
        <v>30.1</v>
      </c>
      <c r="EM42">
        <v>0.28129999999999999</v>
      </c>
      <c r="EN42" s="43">
        <f t="shared" si="174"/>
        <v>8.4671300000000005E-2</v>
      </c>
      <c r="EO42" s="42">
        <v>1576381</v>
      </c>
      <c r="EP42" s="42">
        <f t="shared" si="148"/>
        <v>788190.5</v>
      </c>
      <c r="EQ42" s="42">
        <v>8075</v>
      </c>
      <c r="ER42" s="36">
        <f t="shared" si="149"/>
        <v>1.0244985190762894</v>
      </c>
      <c r="ES42">
        <v>29.4</v>
      </c>
      <c r="ET42">
        <v>0.34729999999999994</v>
      </c>
      <c r="EU42" s="43">
        <f t="shared" si="171"/>
        <v>0.10210619999999997</v>
      </c>
      <c r="EV42" s="42">
        <v>2086915</v>
      </c>
      <c r="EW42" s="42">
        <f t="shared" si="150"/>
        <v>1043457.5</v>
      </c>
      <c r="EX42" s="42">
        <v>9954</v>
      </c>
      <c r="EY42" s="36">
        <f t="shared" si="151"/>
        <v>0.95394397951042564</v>
      </c>
      <c r="EZ42">
        <v>29.3</v>
      </c>
      <c r="FA42">
        <v>0.32329999999999998</v>
      </c>
      <c r="FB42" s="43">
        <f t="shared" si="172"/>
        <v>9.4726900000000003E-2</v>
      </c>
    </row>
    <row r="43" spans="1:158" ht="16.5" customHeight="1">
      <c r="A43" s="32">
        <v>2006</v>
      </c>
      <c r="B43" s="42">
        <v>15802300</v>
      </c>
      <c r="C43" s="42">
        <f t="shared" si="66"/>
        <v>7901150</v>
      </c>
      <c r="D43" s="251">
        <f>D42*POWER(D$42/D$37,1/5)</f>
        <v>71294.026342659869</v>
      </c>
      <c r="E43" s="36">
        <f t="shared" si="176"/>
        <v>0.90232467859311449</v>
      </c>
      <c r="F43" s="13">
        <v>39.700000000000003</v>
      </c>
      <c r="G43" s="13">
        <v>0.30299999999999999</v>
      </c>
      <c r="H43" s="43">
        <f t="shared" si="152"/>
        <v>0.120291</v>
      </c>
      <c r="I43" s="42">
        <v>273839</v>
      </c>
      <c r="J43" s="42">
        <f t="shared" si="68"/>
        <v>136919.5</v>
      </c>
      <c r="K43" s="251">
        <f>K42*POWER(K$42/K$37,1/5)</f>
        <v>766.29898152644046</v>
      </c>
      <c r="L43" s="36">
        <f t="shared" si="177"/>
        <v>0.55967118016530915</v>
      </c>
      <c r="M43" s="13">
        <v>61.7</v>
      </c>
      <c r="N43" s="13">
        <v>0.27390000000000003</v>
      </c>
      <c r="O43" s="43">
        <f t="shared" si="162"/>
        <v>0.16899630000000002</v>
      </c>
      <c r="P43" s="42">
        <v>70267</v>
      </c>
      <c r="Q43" s="42">
        <f t="shared" si="70"/>
        <v>35133.5</v>
      </c>
      <c r="R43" s="251">
        <f>R42*POWER(R$42/R$37,1/5)</f>
        <v>285.25281690629402</v>
      </c>
      <c r="S43" s="36">
        <f t="shared" si="178"/>
        <v>0.81191118706161935</v>
      </c>
      <c r="T43" s="13">
        <v>47.8</v>
      </c>
      <c r="U43" s="13">
        <v>0.20949999999999999</v>
      </c>
      <c r="V43" s="43">
        <f t="shared" si="153"/>
        <v>0.10014099999999999</v>
      </c>
      <c r="W43" s="42">
        <v>469270</v>
      </c>
      <c r="X43" s="42">
        <f t="shared" si="72"/>
        <v>234635</v>
      </c>
      <c r="Y43" s="251">
        <f>Y42*POWER(Y$42/Y$37,1/5)</f>
        <v>1942.9115254896071</v>
      </c>
      <c r="Z43" s="36">
        <f t="shared" si="179"/>
        <v>0.82805699298468138</v>
      </c>
      <c r="AA43" s="13">
        <v>46.4</v>
      </c>
      <c r="AB43" s="13">
        <v>0.28039999999999998</v>
      </c>
      <c r="AC43" s="43">
        <f t="shared" si="154"/>
        <v>0.13010559999999999</v>
      </c>
      <c r="AD43" s="42">
        <v>379959</v>
      </c>
      <c r="AE43" s="42">
        <f t="shared" si="74"/>
        <v>189979.5</v>
      </c>
      <c r="AF43" s="251">
        <f>AF42*POWER(AF$42/AF$37,1/5)</f>
        <v>1394.8470004780525</v>
      </c>
      <c r="AG43" s="36">
        <f t="shared" si="180"/>
        <v>0.73420921756192248</v>
      </c>
      <c r="AH43" s="13">
        <v>54.5</v>
      </c>
      <c r="AI43" s="13">
        <v>0.29460000000000003</v>
      </c>
      <c r="AJ43" s="43">
        <f t="shared" si="155"/>
        <v>0.16055700000000001</v>
      </c>
      <c r="AK43" s="42">
        <v>3584582</v>
      </c>
      <c r="AL43" s="42">
        <f t="shared" si="76"/>
        <v>1792291</v>
      </c>
      <c r="AM43" s="251">
        <f>AM42*POWER(AM$42/AM$37,1/5)</f>
        <v>15116.017240390685</v>
      </c>
      <c r="AN43" s="36">
        <f t="shared" si="181"/>
        <v>0.84339079091457159</v>
      </c>
      <c r="AO43" s="13">
        <v>33.5</v>
      </c>
      <c r="AP43" s="13">
        <v>0.27250000000000002</v>
      </c>
      <c r="AQ43" s="43">
        <f t="shared" si="156"/>
        <v>9.1287500000000008E-2</v>
      </c>
      <c r="AR43" s="42">
        <v>6244587</v>
      </c>
      <c r="AS43" s="42">
        <f t="shared" si="78"/>
        <v>3122293.5</v>
      </c>
      <c r="AT43" s="251">
        <f>AT42*POWER(AT$42/AT$37,1/5)</f>
        <v>29367.958663881469</v>
      </c>
      <c r="AU43" s="36">
        <f t="shared" si="182"/>
        <v>0.9405893028276</v>
      </c>
      <c r="AV43" s="13">
        <v>40.1</v>
      </c>
      <c r="AW43" s="13">
        <v>0.30879999999999996</v>
      </c>
      <c r="AX43" s="43">
        <f t="shared" si="157"/>
        <v>0.12382879999999999</v>
      </c>
      <c r="AY43" s="42">
        <v>544585</v>
      </c>
      <c r="AZ43" s="42">
        <f t="shared" si="80"/>
        <v>272292.5</v>
      </c>
      <c r="BA43" s="251">
        <f>BA42*POWER(BA$42/BA$37,1/5)</f>
        <v>2428.8000493881364</v>
      </c>
      <c r="BB43" s="36">
        <f t="shared" si="183"/>
        <v>0.89198198605842483</v>
      </c>
      <c r="BC43" s="13">
        <v>37.9</v>
      </c>
      <c r="BD43" s="13">
        <v>0.27</v>
      </c>
      <c r="BE43" s="43">
        <f t="shared" si="158"/>
        <v>0.10233</v>
      </c>
      <c r="BF43" s="42">
        <v>464419</v>
      </c>
      <c r="BG43" s="42">
        <f t="shared" si="82"/>
        <v>232209.5</v>
      </c>
      <c r="BH43" s="251">
        <f>BH42*POWER(BH$42/BH$37,1/5)</f>
        <v>1871.7883303855558</v>
      </c>
      <c r="BI43" s="36">
        <f t="shared" si="184"/>
        <v>0.80607741301951719</v>
      </c>
      <c r="BJ43" s="13">
        <v>50.7</v>
      </c>
      <c r="BK43" s="13">
        <v>0.33439999999999998</v>
      </c>
      <c r="BL43" s="43">
        <f t="shared" si="159"/>
        <v>0.16954080000000002</v>
      </c>
      <c r="BM43" s="42">
        <v>1613242</v>
      </c>
      <c r="BN43" s="42">
        <f t="shared" si="84"/>
        <v>806621</v>
      </c>
      <c r="BO43" s="251">
        <f>BO42*POWER(BO$42/BO$37,1/5)</f>
        <v>8054.9502171064032</v>
      </c>
      <c r="BP43" s="36">
        <f t="shared" si="185"/>
        <v>0.99860408012020563</v>
      </c>
      <c r="BQ43" s="13">
        <v>29.4</v>
      </c>
      <c r="BR43" s="13">
        <v>0.27860000000000001</v>
      </c>
      <c r="BS43" s="43">
        <f t="shared" si="160"/>
        <v>8.1908399999999992E-2</v>
      </c>
      <c r="BT43" s="42">
        <v>2113705</v>
      </c>
      <c r="BU43" s="42">
        <f t="shared" si="86"/>
        <v>1056852.5</v>
      </c>
      <c r="BV43" s="251">
        <f>BV42*POWER(BV$42/BV$37,1/5)</f>
        <v>9941.4476271399799</v>
      </c>
      <c r="BW43" s="36">
        <f t="shared" si="186"/>
        <v>0.94066557321291089</v>
      </c>
      <c r="BX43" s="13">
        <v>45.3</v>
      </c>
      <c r="BY43" s="13">
        <v>0.35460000000000003</v>
      </c>
      <c r="BZ43" s="43">
        <f t="shared" si="161"/>
        <v>0.16063379999999999</v>
      </c>
      <c r="CC43" s="32">
        <v>2006</v>
      </c>
      <c r="CD43" s="42">
        <v>15802300</v>
      </c>
      <c r="CE43" s="42">
        <f t="shared" si="130"/>
        <v>7901150</v>
      </c>
      <c r="CF43" s="251">
        <f>CF42*POWER(CF$42/CF$37,1/5)</f>
        <v>71294.026342659869</v>
      </c>
      <c r="CG43" s="36">
        <f t="shared" si="131"/>
        <v>0.90232467859311449</v>
      </c>
      <c r="CH43">
        <v>28.9</v>
      </c>
      <c r="CI43">
        <v>0.2586</v>
      </c>
      <c r="CJ43" s="43">
        <f t="shared" si="173"/>
        <v>7.4735399999999994E-2</v>
      </c>
      <c r="CK43" s="42">
        <v>273839</v>
      </c>
      <c r="CL43" s="42">
        <f t="shared" si="132"/>
        <v>136919.5</v>
      </c>
      <c r="CM43" s="251">
        <f>CM42*POWER(CM$42/CM$37,1/5)</f>
        <v>766.29898152644046</v>
      </c>
      <c r="CN43" s="36">
        <f t="shared" si="133"/>
        <v>0.55967118016530915</v>
      </c>
      <c r="CO43">
        <v>27.9</v>
      </c>
      <c r="CP43">
        <v>0.15579999999999999</v>
      </c>
      <c r="CQ43" s="43">
        <f t="shared" si="164"/>
        <v>4.3468199999999992E-2</v>
      </c>
      <c r="CR43" s="42">
        <v>70267</v>
      </c>
      <c r="CS43" s="42">
        <f t="shared" si="134"/>
        <v>35133.5</v>
      </c>
      <c r="CT43" s="251">
        <f>CT42*POWER(CT$42/CT$37,1/5)</f>
        <v>285.25281690629402</v>
      </c>
      <c r="CU43" s="36">
        <f t="shared" si="135"/>
        <v>0.81191118706161935</v>
      </c>
      <c r="CV43">
        <v>12.4</v>
      </c>
      <c r="CW43" s="370">
        <f t="shared" si="175"/>
        <v>0.1968</v>
      </c>
      <c r="CX43" s="43">
        <f t="shared" si="168"/>
        <v>2.4403200000000003E-2</v>
      </c>
      <c r="CY43" s="42">
        <v>469270</v>
      </c>
      <c r="CZ43" s="42">
        <f t="shared" si="136"/>
        <v>234635</v>
      </c>
      <c r="DA43" s="251">
        <f>DA42*POWER(DA$42/DA$37,1/5)</f>
        <v>1942.9115254896071</v>
      </c>
      <c r="DB43" s="36">
        <f t="shared" si="137"/>
        <v>0.82805699298468138</v>
      </c>
      <c r="DC43">
        <v>28.8</v>
      </c>
      <c r="DD43">
        <v>0.23019999999999999</v>
      </c>
      <c r="DE43" s="43">
        <f t="shared" si="169"/>
        <v>6.6297599999999998E-2</v>
      </c>
      <c r="DF43" s="42">
        <v>379959</v>
      </c>
      <c r="DG43" s="42">
        <f t="shared" si="138"/>
        <v>189979.5</v>
      </c>
      <c r="DH43" s="251">
        <f>DH42*POWER(DH$42/DH$37,1/5)</f>
        <v>1394.8470004780525</v>
      </c>
      <c r="DI43" s="36">
        <f t="shared" si="139"/>
        <v>0.73420921756192248</v>
      </c>
      <c r="DJ43">
        <v>29.2</v>
      </c>
      <c r="DK43">
        <v>0.22370000000000001</v>
      </c>
      <c r="DL43" s="43">
        <f t="shared" si="165"/>
        <v>6.5320400000000001E-2</v>
      </c>
      <c r="DM43" s="42">
        <v>3584582</v>
      </c>
      <c r="DN43" s="42">
        <f t="shared" si="140"/>
        <v>1792291</v>
      </c>
      <c r="DO43" s="251">
        <f>DO42*POWER(DO$42/DO$37,1/5)</f>
        <v>15116.017240390685</v>
      </c>
      <c r="DP43" s="36">
        <f t="shared" si="141"/>
        <v>0.84339079091457159</v>
      </c>
      <c r="DQ43">
        <v>26</v>
      </c>
      <c r="DR43">
        <v>0.2021</v>
      </c>
      <c r="DS43" s="43">
        <f t="shared" si="166"/>
        <v>5.2546000000000002E-2</v>
      </c>
      <c r="DT43" s="42">
        <v>6244587</v>
      </c>
      <c r="DU43" s="42">
        <f t="shared" si="142"/>
        <v>3122293.5</v>
      </c>
      <c r="DV43" s="251">
        <f>DV42*POWER(DV$42/DV$37,1/5)</f>
        <v>29367.958663881469</v>
      </c>
      <c r="DW43" s="36">
        <f t="shared" si="143"/>
        <v>0.9405893028276</v>
      </c>
      <c r="DX43">
        <v>29.1</v>
      </c>
      <c r="DY43">
        <v>0.28499999999999998</v>
      </c>
      <c r="DZ43" s="43">
        <f t="shared" si="170"/>
        <v>8.2934999999999995E-2</v>
      </c>
      <c r="EA43" s="42">
        <v>544585</v>
      </c>
      <c r="EB43" s="42">
        <f t="shared" si="144"/>
        <v>272292.5</v>
      </c>
      <c r="EC43" s="251">
        <f>EC42*POWER(EC$42/EC$37,1/5)</f>
        <v>2428.8000493881364</v>
      </c>
      <c r="ED43" s="36">
        <f t="shared" si="145"/>
        <v>0.89198198605842483</v>
      </c>
      <c r="EE43">
        <v>21.3</v>
      </c>
      <c r="EF43">
        <v>0.29960000000000003</v>
      </c>
      <c r="EG43" s="43">
        <f t="shared" si="167"/>
        <v>6.3814800000000005E-2</v>
      </c>
      <c r="EH43" s="42">
        <v>464419</v>
      </c>
      <c r="EI43" s="42">
        <f t="shared" si="146"/>
        <v>232209.5</v>
      </c>
      <c r="EJ43" s="251">
        <f>EJ42*POWER(EJ$42/EJ$37,1/5)</f>
        <v>1871.7883303855558</v>
      </c>
      <c r="EK43" s="36">
        <f t="shared" si="147"/>
        <v>0.80607741301951719</v>
      </c>
      <c r="EL43">
        <v>34.4</v>
      </c>
      <c r="EM43">
        <v>0.23319999999999999</v>
      </c>
      <c r="EN43" s="43">
        <f t="shared" si="174"/>
        <v>8.0220799999999995E-2</v>
      </c>
      <c r="EO43" s="42">
        <v>1613242</v>
      </c>
      <c r="EP43" s="42">
        <f t="shared" si="148"/>
        <v>806621</v>
      </c>
      <c r="EQ43" s="251">
        <f>EQ42*POWER(EQ$42/EQ$37,1/5)</f>
        <v>8054.9502171064032</v>
      </c>
      <c r="ER43" s="36">
        <f t="shared" si="149"/>
        <v>0.99860408012020563</v>
      </c>
      <c r="ES43">
        <v>21.9</v>
      </c>
      <c r="ET43">
        <v>0.27250000000000002</v>
      </c>
      <c r="EU43" s="43">
        <f t="shared" si="171"/>
        <v>5.9677499999999994E-2</v>
      </c>
      <c r="EV43" s="42">
        <v>2113705</v>
      </c>
      <c r="EW43" s="42">
        <f t="shared" si="150"/>
        <v>1056852.5</v>
      </c>
      <c r="EX43" s="251">
        <f>EX42*POWER(EX$42/EX$37,1/5)</f>
        <v>9941.4476271399799</v>
      </c>
      <c r="EY43" s="36">
        <f t="shared" si="151"/>
        <v>0.94066557321291089</v>
      </c>
      <c r="EZ43">
        <v>40.200000000000003</v>
      </c>
      <c r="FA43">
        <v>0.2838</v>
      </c>
      <c r="FB43" s="43">
        <f t="shared" si="172"/>
        <v>0.11408760000000001</v>
      </c>
    </row>
    <row r="44" spans="1:158" ht="16.5" customHeight="1">
      <c r="A44" s="32">
        <v>2007</v>
      </c>
      <c r="B44" s="42">
        <v>15916860</v>
      </c>
      <c r="C44" s="42">
        <f t="shared" si="66"/>
        <v>7958430</v>
      </c>
      <c r="D44" s="251">
        <f>D43*POWER(D$42/D$37,1/5)</f>
        <v>71319.061473401889</v>
      </c>
      <c r="E44" s="36">
        <f t="shared" si="176"/>
        <v>0.8961448611522862</v>
      </c>
      <c r="F44" s="13">
        <v>38.700000000000003</v>
      </c>
      <c r="G44" s="13">
        <v>0.30329999999999996</v>
      </c>
      <c r="H44" s="244">
        <f t="shared" si="152"/>
        <v>0.1173771</v>
      </c>
      <c r="I44" s="42">
        <v>273175</v>
      </c>
      <c r="J44" s="42">
        <f>I44/2</f>
        <v>136587.5</v>
      </c>
      <c r="K44" s="251">
        <f>K43*POWER(K$42/K$37,1/5)</f>
        <v>744.25111418055758</v>
      </c>
      <c r="L44" s="36">
        <f>K44/J44*100</f>
        <v>0.54488962326754464</v>
      </c>
      <c r="M44" s="13">
        <v>55.8</v>
      </c>
      <c r="N44" s="13">
        <v>0.30010000000000003</v>
      </c>
      <c r="O44" s="244">
        <f t="shared" si="162"/>
        <v>0.16745580000000002</v>
      </c>
      <c r="P44" s="42">
        <v>70872</v>
      </c>
      <c r="Q44" s="42">
        <f>P44/2</f>
        <v>35436</v>
      </c>
      <c r="R44" s="251">
        <f>R43*POWER(R$42/R$37,1/5)</f>
        <v>287.52356732500243</v>
      </c>
      <c r="S44" s="36">
        <f t="shared" si="178"/>
        <v>0.81138832634891755</v>
      </c>
      <c r="T44" s="13">
        <v>34.9</v>
      </c>
      <c r="U44" s="13">
        <v>0.2296</v>
      </c>
      <c r="V44" s="244">
        <f t="shared" si="153"/>
        <v>8.0130400000000004E-2</v>
      </c>
      <c r="W44" s="42">
        <v>468795</v>
      </c>
      <c r="X44" s="42">
        <f>W44/2</f>
        <v>234397.5</v>
      </c>
      <c r="Y44" s="251">
        <f>Y43*POWER(Y$42/Y$37,1/5)</f>
        <v>1924.9899010098686</v>
      </c>
      <c r="Z44" s="36">
        <f t="shared" si="179"/>
        <v>0.82125018441317355</v>
      </c>
      <c r="AA44" s="13">
        <v>44.1</v>
      </c>
      <c r="AB44" s="13">
        <v>0.2898</v>
      </c>
      <c r="AC44" s="244">
        <f t="shared" si="154"/>
        <v>0.12780179999999999</v>
      </c>
      <c r="AD44" s="42">
        <v>380012</v>
      </c>
      <c r="AE44" s="42">
        <f>AD44/2</f>
        <v>190006</v>
      </c>
      <c r="AF44" s="251">
        <f>AF43*POWER(AF$42/AF$37,1/5)</f>
        <v>1347.3671431735595</v>
      </c>
      <c r="AG44" s="36">
        <f t="shared" si="180"/>
        <v>0.70911820846371143</v>
      </c>
      <c r="AH44" s="13">
        <v>52.4</v>
      </c>
      <c r="AI44" s="13">
        <v>0.2969</v>
      </c>
      <c r="AJ44" s="244">
        <f t="shared" si="155"/>
        <v>0.15557559999999998</v>
      </c>
      <c r="AK44" s="42">
        <v>3582414</v>
      </c>
      <c r="AL44" s="42">
        <f>AK44/2</f>
        <v>1791207</v>
      </c>
      <c r="AM44" s="251">
        <f>AM43*POWER(AM$42/AM$37,1/5)</f>
        <v>14815.144732658266</v>
      </c>
      <c r="AN44" s="36">
        <f t="shared" si="181"/>
        <v>0.82710399929535028</v>
      </c>
      <c r="AO44" s="13">
        <v>37.299999999999997</v>
      </c>
      <c r="AP44" s="13">
        <v>0.25480000000000003</v>
      </c>
      <c r="AQ44" s="244">
        <f t="shared" si="156"/>
        <v>9.5040399999999997E-2</v>
      </c>
      <c r="AR44" s="42">
        <v>6289493</v>
      </c>
      <c r="AS44" s="42">
        <f>AR44/2</f>
        <v>3144746.5</v>
      </c>
      <c r="AT44" s="251">
        <f>AT43*POWER(AT$42/AT$37,1/5)</f>
        <v>29941.919669621617</v>
      </c>
      <c r="AU44" s="36">
        <f t="shared" si="182"/>
        <v>0.95212506539467057</v>
      </c>
      <c r="AV44" s="13">
        <v>38.799999999999997</v>
      </c>
      <c r="AW44" s="13">
        <v>0.29260000000000003</v>
      </c>
      <c r="AX44" s="43">
        <f t="shared" si="157"/>
        <v>0.11352880000000001</v>
      </c>
      <c r="AY44" s="42">
        <v>546045</v>
      </c>
      <c r="AZ44" s="42">
        <f>AY44/2</f>
        <v>273022.5</v>
      </c>
      <c r="BA44" s="251">
        <f>BA43*POWER(BA$42/BA$37,1/5)</f>
        <v>2428.6001152358226</v>
      </c>
      <c r="BB44" s="36">
        <f t="shared" si="183"/>
        <v>0.88952379940694359</v>
      </c>
      <c r="BC44" s="13">
        <v>41.2</v>
      </c>
      <c r="BD44" s="13">
        <v>0.28520000000000001</v>
      </c>
      <c r="BE44" s="244">
        <f t="shared" si="158"/>
        <v>0.11750240000000002</v>
      </c>
      <c r="BF44" s="42">
        <v>467145</v>
      </c>
      <c r="BG44" s="42">
        <f>BF44/2</f>
        <v>233572.5</v>
      </c>
      <c r="BH44" s="251">
        <f>BH43*POWER(BH$42/BH$37,1/5)</f>
        <v>1822.8884254773916</v>
      </c>
      <c r="BI44" s="36">
        <f t="shared" si="184"/>
        <v>0.78043794773673769</v>
      </c>
      <c r="BJ44" s="13">
        <v>39.299999999999997</v>
      </c>
      <c r="BK44" s="13">
        <v>0.34039999999999998</v>
      </c>
      <c r="BL44" s="43">
        <f t="shared" si="159"/>
        <v>0.13377719999999999</v>
      </c>
      <c r="BM44" s="42">
        <v>1656020</v>
      </c>
      <c r="BN44" s="42">
        <f>BM44/2</f>
        <v>828010</v>
      </c>
      <c r="BO44" s="251">
        <f>BO43*POWER(BO$42/BO$37,1/5)</f>
        <v>8034.9502167260052</v>
      </c>
      <c r="BP44" s="36">
        <f t="shared" si="185"/>
        <v>0.97039289582565491</v>
      </c>
      <c r="BQ44" s="13">
        <v>27.7</v>
      </c>
      <c r="BR44" s="13">
        <v>0.3957</v>
      </c>
      <c r="BS44" s="244">
        <f t="shared" si="160"/>
        <v>0.1096089</v>
      </c>
      <c r="BT44" s="42">
        <v>2138626</v>
      </c>
      <c r="BU44" s="42">
        <f>BT44/2</f>
        <v>1069313</v>
      </c>
      <c r="BV44" s="251">
        <f>BV43*POWER(BV$42/BV$37,1/5)</f>
        <v>9928.9110832998922</v>
      </c>
      <c r="BW44" s="36">
        <f t="shared" si="186"/>
        <v>0.92853178473467479</v>
      </c>
      <c r="BX44" s="13">
        <v>40.5</v>
      </c>
      <c r="BY44" s="13">
        <v>0.36229999999999996</v>
      </c>
      <c r="BZ44" s="43">
        <f t="shared" si="161"/>
        <v>0.14673149999999999</v>
      </c>
      <c r="CC44" s="32">
        <v>2007</v>
      </c>
      <c r="CD44" s="42">
        <v>15916860</v>
      </c>
      <c r="CE44" s="42">
        <f t="shared" si="130"/>
        <v>7958430</v>
      </c>
      <c r="CF44" s="251">
        <f>CF43*POWER(CF$42/CF$37,1/5)</f>
        <v>71319.061473401889</v>
      </c>
      <c r="CG44" s="36">
        <f t="shared" si="131"/>
        <v>0.8961448611522862</v>
      </c>
      <c r="CH44">
        <v>24</v>
      </c>
      <c r="CI44">
        <v>0.29480000000000001</v>
      </c>
      <c r="CJ44" s="244">
        <f t="shared" si="173"/>
        <v>7.0752000000000009E-2</v>
      </c>
      <c r="CK44" s="42">
        <v>273175</v>
      </c>
      <c r="CL44" s="42">
        <f>CK44/2</f>
        <v>136587.5</v>
      </c>
      <c r="CM44" s="251">
        <f>CM43*POWER(CM$42/CM$37,1/5)</f>
        <v>744.25111418055758</v>
      </c>
      <c r="CN44" s="36">
        <f>CM44/CL44*100</f>
        <v>0.54488962326754464</v>
      </c>
      <c r="CO44">
        <v>20.7</v>
      </c>
      <c r="CP44">
        <v>0.15990000000000001</v>
      </c>
      <c r="CQ44" s="244">
        <f t="shared" si="164"/>
        <v>3.3099299999999998E-2</v>
      </c>
      <c r="CR44" s="42">
        <v>70872</v>
      </c>
      <c r="CS44" s="42">
        <f>CR44/2</f>
        <v>35436</v>
      </c>
      <c r="CT44" s="251">
        <f>CT43*POWER(CT$42/CT$37,1/5)</f>
        <v>287.52356732500243</v>
      </c>
      <c r="CU44" s="36">
        <f t="shared" si="135"/>
        <v>0.81138832634891755</v>
      </c>
      <c r="CV44">
        <v>15.4</v>
      </c>
      <c r="CW44" s="370">
        <f t="shared" si="175"/>
        <v>0.1968</v>
      </c>
      <c r="CX44" s="244">
        <f t="shared" si="168"/>
        <v>3.0307199999999999E-2</v>
      </c>
      <c r="CY44" s="42">
        <v>468795</v>
      </c>
      <c r="CZ44" s="42">
        <f>CY44/2</f>
        <v>234397.5</v>
      </c>
      <c r="DA44" s="251">
        <f>DA43*POWER(DA$42/DA$37,1/5)</f>
        <v>1924.9899010098686</v>
      </c>
      <c r="DB44" s="36">
        <f t="shared" si="137"/>
        <v>0.82125018441317355</v>
      </c>
      <c r="DC44">
        <v>19</v>
      </c>
      <c r="DD44">
        <v>0.31670000000000004</v>
      </c>
      <c r="DE44" s="244">
        <f t="shared" si="169"/>
        <v>6.0173000000000004E-2</v>
      </c>
      <c r="DF44" s="42">
        <v>380012</v>
      </c>
      <c r="DG44" s="42">
        <f>DF44/2</f>
        <v>190006</v>
      </c>
      <c r="DH44" s="251">
        <f>DH43*POWER(DH$42/DH$37,1/5)</f>
        <v>1347.3671431735595</v>
      </c>
      <c r="DI44" s="36">
        <f t="shared" si="139"/>
        <v>0.70911820846371143</v>
      </c>
      <c r="DJ44">
        <v>30.4</v>
      </c>
      <c r="DK44">
        <v>0.20039999999999999</v>
      </c>
      <c r="DL44" s="244">
        <f t="shared" si="165"/>
        <v>6.0921599999999999E-2</v>
      </c>
      <c r="DM44" s="42">
        <v>3582414</v>
      </c>
      <c r="DN44" s="42">
        <f>DM44/2</f>
        <v>1791207</v>
      </c>
      <c r="DO44" s="251">
        <f>DO43*POWER(DO$42/DO$37,1/5)</f>
        <v>14815.144732658266</v>
      </c>
      <c r="DP44" s="36">
        <f t="shared" si="141"/>
        <v>0.82710399929535028</v>
      </c>
      <c r="DQ44">
        <v>20.7</v>
      </c>
      <c r="DR44">
        <v>0.26390000000000002</v>
      </c>
      <c r="DS44" s="244">
        <f t="shared" si="166"/>
        <v>5.4627300000000004E-2</v>
      </c>
      <c r="DT44" s="42">
        <v>6289493</v>
      </c>
      <c r="DU44" s="42">
        <f>DT44/2</f>
        <v>3144746.5</v>
      </c>
      <c r="DV44" s="251">
        <f>DV43*POWER(DV$42/DV$37,1/5)</f>
        <v>29941.919669621617</v>
      </c>
      <c r="DW44" s="36">
        <f t="shared" si="143"/>
        <v>0.95212506539467057</v>
      </c>
      <c r="DX44">
        <v>23.2</v>
      </c>
      <c r="DY44">
        <v>0.2974</v>
      </c>
      <c r="DZ44" s="43">
        <f t="shared" si="170"/>
        <v>6.8996799999999997E-2</v>
      </c>
      <c r="EA44" s="42">
        <v>546045</v>
      </c>
      <c r="EB44" s="42">
        <f>EA44/2</f>
        <v>273022.5</v>
      </c>
      <c r="EC44" s="251">
        <f>EC43*POWER(EC$42/EC$37,1/5)</f>
        <v>2428.6001152358226</v>
      </c>
      <c r="ED44" s="36">
        <f t="shared" si="145"/>
        <v>0.88952379940694359</v>
      </c>
      <c r="EE44">
        <v>24.1</v>
      </c>
      <c r="EF44">
        <v>0.26519999999999999</v>
      </c>
      <c r="EG44" s="244">
        <f t="shared" si="167"/>
        <v>6.3913200000000003E-2</v>
      </c>
      <c r="EH44" s="42">
        <v>467145</v>
      </c>
      <c r="EI44" s="42">
        <f>EH44/2</f>
        <v>233572.5</v>
      </c>
      <c r="EJ44" s="251">
        <f>EJ43*POWER(EJ$42/EJ$37,1/5)</f>
        <v>1822.8884254773916</v>
      </c>
      <c r="EK44" s="36">
        <f t="shared" si="147"/>
        <v>0.78043794773673769</v>
      </c>
      <c r="EL44">
        <v>26.1</v>
      </c>
      <c r="EM44">
        <v>0.24850000000000003</v>
      </c>
      <c r="EN44" s="43">
        <f t="shared" si="174"/>
        <v>6.4858500000000013E-2</v>
      </c>
      <c r="EO44" s="42">
        <v>1656020</v>
      </c>
      <c r="EP44" s="42">
        <f>EO44/2</f>
        <v>828010</v>
      </c>
      <c r="EQ44" s="251">
        <f>EQ43*POWER(EQ$42/EQ$37,1/5)</f>
        <v>8034.9502167260052</v>
      </c>
      <c r="ER44" s="36">
        <f t="shared" si="149"/>
        <v>0.97039289582565491</v>
      </c>
      <c r="ES44">
        <v>23.3</v>
      </c>
      <c r="ET44">
        <v>0.37719999999999998</v>
      </c>
      <c r="EU44" s="244">
        <f t="shared" si="171"/>
        <v>8.7887599999999996E-2</v>
      </c>
      <c r="EV44" s="42">
        <v>2138626</v>
      </c>
      <c r="EW44" s="42">
        <f>EV44/2</f>
        <v>1069313</v>
      </c>
      <c r="EX44" s="251">
        <f>EX43*POWER(EX$42/EX$37,1/5)</f>
        <v>9928.9110832998922</v>
      </c>
      <c r="EY44" s="36">
        <f t="shared" si="151"/>
        <v>0.92853178473467479</v>
      </c>
      <c r="EZ44">
        <v>31.9</v>
      </c>
      <c r="FA44">
        <v>0.32770000000000005</v>
      </c>
      <c r="FB44" s="43">
        <f t="shared" si="172"/>
        <v>0.1045363</v>
      </c>
    </row>
    <row r="45" spans="1:158" ht="16.5" customHeight="1">
      <c r="A45" s="5">
        <v>2008</v>
      </c>
      <c r="B45" s="117">
        <f>B44*POWER(B44/B39,1/5)</f>
        <v>16034730.649720179</v>
      </c>
      <c r="C45" s="42">
        <f t="shared" si="66"/>
        <v>8017365.3248600895</v>
      </c>
      <c r="D45" s="251">
        <f>D44*POWER(D$42/D$37,1/5)</f>
        <v>71344.105395312028</v>
      </c>
      <c r="E45" s="36">
        <f t="shared" si="176"/>
        <v>0.889869707871358</v>
      </c>
      <c r="F45" s="13">
        <v>36.9</v>
      </c>
      <c r="G45" s="13">
        <v>0.30099999999999999</v>
      </c>
      <c r="H45" s="244">
        <f t="shared" si="152"/>
        <v>0.111069</v>
      </c>
      <c r="I45" s="117">
        <f>I44*POWER(I44/I39,1/5)</f>
        <v>273036.01239692868</v>
      </c>
      <c r="J45" s="42">
        <f>I45/2</f>
        <v>136518.00619846434</v>
      </c>
      <c r="K45" s="251">
        <f>K44*POWER(K$42/K$37,1/5)</f>
        <v>722.83760557221785</v>
      </c>
      <c r="L45" s="36">
        <f>K45/J45*100</f>
        <v>0.52948151361175455</v>
      </c>
      <c r="M45" s="13">
        <v>58.4</v>
      </c>
      <c r="N45" s="13">
        <v>0.2707</v>
      </c>
      <c r="O45" s="244">
        <f t="shared" si="162"/>
        <v>0.1580888</v>
      </c>
      <c r="P45" s="117">
        <f>P44*POWER(P44/P39,1/5)</f>
        <v>71284.092040014715</v>
      </c>
      <c r="Q45" s="42">
        <f>P45/2</f>
        <v>35642.046020007358</v>
      </c>
      <c r="R45" s="251">
        <f>R44*POWER(R$42/R$37,1/5)</f>
        <v>289.81239401555979</v>
      </c>
      <c r="S45" s="36">
        <f>R45/Q45*100</f>
        <v>0.81311940917442294</v>
      </c>
      <c r="T45" s="13">
        <v>49.7</v>
      </c>
      <c r="U45" s="13">
        <v>0.26440000000000002</v>
      </c>
      <c r="V45" s="244">
        <f t="shared" si="153"/>
        <v>0.13140680000000002</v>
      </c>
      <c r="W45" s="117">
        <f>W44*POWER(W44/W39,1/5)</f>
        <v>468510.12008945062</v>
      </c>
      <c r="X45" s="42">
        <f>W45/2</f>
        <v>234255.06004472531</v>
      </c>
      <c r="Y45" s="251">
        <f>Y44*POWER(Y$42/Y$37,1/5)</f>
        <v>1907.2335875181907</v>
      </c>
      <c r="Z45" s="36">
        <f>Y45/X45*100</f>
        <v>0.814169643615831</v>
      </c>
      <c r="AA45" s="13">
        <v>53.9</v>
      </c>
      <c r="AB45" s="13">
        <v>0.30870000000000003</v>
      </c>
      <c r="AC45" s="244">
        <f t="shared" si="154"/>
        <v>0.16638930000000002</v>
      </c>
      <c r="AD45" s="117">
        <f>AD44*POWER(AD44/AD39,1/5)</f>
        <v>379732.61726059823</v>
      </c>
      <c r="AE45" s="42">
        <f>AD45/2</f>
        <v>189866.30863029911</v>
      </c>
      <c r="AF45" s="251">
        <f>AF44*POWER(AF$42/AF$37,1/5)</f>
        <v>1301.5034752065942</v>
      </c>
      <c r="AG45" s="36">
        <f>AF45/AE45*100</f>
        <v>0.68548416230118803</v>
      </c>
      <c r="AH45" s="13">
        <v>51.9</v>
      </c>
      <c r="AI45" s="13">
        <v>0.28800000000000003</v>
      </c>
      <c r="AJ45" s="244">
        <f t="shared" si="155"/>
        <v>0.14947199999999999</v>
      </c>
      <c r="AK45" s="117">
        <f>AK44*POWER(AK44/AK39,1/5)</f>
        <v>3585407.2885291497</v>
      </c>
      <c r="AL45" s="42">
        <f>AK45/2</f>
        <v>1792703.6442645749</v>
      </c>
      <c r="AM45" s="251">
        <f>AM44*POWER(AM$42/AM$37,1/5)</f>
        <v>14520.26085701521</v>
      </c>
      <c r="AN45" s="36">
        <f t="shared" ref="AN45" si="187">AM45/AL45*100</f>
        <v>0.80996437439451352</v>
      </c>
      <c r="AO45" s="13">
        <v>28.4</v>
      </c>
      <c r="AP45" s="13">
        <v>0.28820000000000001</v>
      </c>
      <c r="AQ45" s="244">
        <f t="shared" si="156"/>
        <v>8.1848799999999999E-2</v>
      </c>
      <c r="AR45" s="117">
        <f>AR44*POWER(AR44/AR39,1/5)</f>
        <v>6352121.9001820683</v>
      </c>
      <c r="AS45" s="42">
        <f>AR45/2</f>
        <v>3176060.9500910342</v>
      </c>
      <c r="AT45" s="251">
        <f>AT44*POWER(AT$42/AT$37,1/5)</f>
        <v>30527.098044600145</v>
      </c>
      <c r="AU45" s="36">
        <f t="shared" ref="AU45" si="188">AT45/AS45*100</f>
        <v>0.96116222340522661</v>
      </c>
      <c r="AV45" s="13">
        <v>39.1</v>
      </c>
      <c r="AW45" s="13">
        <v>0.31900000000000001</v>
      </c>
      <c r="AX45" s="43">
        <f t="shared" si="157"/>
        <v>0.12472900000000001</v>
      </c>
      <c r="AY45" s="117">
        <f>AY44*POWER(AY44/AY39,1/5)</f>
        <v>546602.70477644482</v>
      </c>
      <c r="AZ45" s="42">
        <f>AY45/2</f>
        <v>273301.35238822241</v>
      </c>
      <c r="BA45" s="251">
        <f>BA44*POWER(BA$42/BA$37,1/5)</f>
        <v>2428.4001975417041</v>
      </c>
      <c r="BB45" s="36">
        <f t="shared" ref="BB45" si="189">BA45/AZ45*100</f>
        <v>0.8885430592718695</v>
      </c>
      <c r="BC45" s="13">
        <v>43.6</v>
      </c>
      <c r="BD45" s="13">
        <v>0.21890000000000001</v>
      </c>
      <c r="BE45" s="244">
        <f t="shared" si="158"/>
        <v>9.5440400000000009E-2</v>
      </c>
      <c r="BF45" s="117">
        <f>BF44*POWER(BF44/BF39,1/5)</f>
        <v>466093.93206732435</v>
      </c>
      <c r="BG45" s="42">
        <f>BF45/2</f>
        <v>233046.96603366217</v>
      </c>
      <c r="BH45" s="251">
        <f>BH44*POWER(BH$42/BH$37,1/5)</f>
        <v>1775.2660158186688</v>
      </c>
      <c r="BI45" s="36">
        <f t="shared" ref="BI45" si="190">BH45/BG45*100</f>
        <v>0.76176319564797201</v>
      </c>
      <c r="BJ45" s="13">
        <v>44</v>
      </c>
      <c r="BK45" s="13">
        <v>0.2482</v>
      </c>
      <c r="BL45" s="43">
        <f t="shared" si="159"/>
        <v>0.109208</v>
      </c>
      <c r="BM45" s="117">
        <f>BM44*POWER(BM44/BM39,1/5)</f>
        <v>1686520.1960340159</v>
      </c>
      <c r="BN45" s="42">
        <f>BM45/2</f>
        <v>843260.09801700793</v>
      </c>
      <c r="BO45" s="251">
        <f>BO44*POWER(BO$42/BO$37,1/5)</f>
        <v>8014.9998752515512</v>
      </c>
      <c r="BP45" s="36">
        <f t="shared" ref="BP45" si="191">BO45/BN45*100</f>
        <v>0.95047778189664733</v>
      </c>
      <c r="BQ45" s="13">
        <v>36.1</v>
      </c>
      <c r="BR45" s="13">
        <v>0.27750000000000002</v>
      </c>
      <c r="BS45" s="244">
        <f t="shared" si="160"/>
        <v>0.10017750000000002</v>
      </c>
      <c r="BT45" s="117">
        <f>BT44*POWER(BT44/BT39,1/5)</f>
        <v>2162463.6211425117</v>
      </c>
      <c r="BU45" s="42">
        <f>BT45/2</f>
        <v>1081231.8105712559</v>
      </c>
      <c r="BV45" s="251">
        <f>BV44*POWER(BV$42/BV$37,1/5)</f>
        <v>9916.390348518742</v>
      </c>
      <c r="BW45" s="36">
        <f t="shared" ref="BW45" si="192">BV45/BU45*100</f>
        <v>0.91713823544273421</v>
      </c>
      <c r="BX45" s="13">
        <v>30.8</v>
      </c>
      <c r="BY45" s="13">
        <v>0.35270000000000001</v>
      </c>
      <c r="BZ45" s="43">
        <f t="shared" si="161"/>
        <v>0.10863160000000001</v>
      </c>
      <c r="CC45" s="5">
        <v>2008</v>
      </c>
      <c r="CD45" s="117">
        <f>CD44*POWER(CD44/CD39,1/5)</f>
        <v>16034730.649720179</v>
      </c>
      <c r="CE45" s="42">
        <f t="shared" si="130"/>
        <v>8017365.3248600895</v>
      </c>
      <c r="CF45" s="251">
        <f>CF44*POWER(CF$42/CF$37,1/5)</f>
        <v>71344.105395312028</v>
      </c>
      <c r="CG45" s="36">
        <f t="shared" si="131"/>
        <v>0.889869707871358</v>
      </c>
      <c r="CH45">
        <v>20.9</v>
      </c>
      <c r="CI45">
        <v>0.3004</v>
      </c>
      <c r="CJ45" s="244">
        <f t="shared" si="173"/>
        <v>6.2783599999999995E-2</v>
      </c>
      <c r="CK45" s="117">
        <f>CK44*POWER(CK44/CK39,1/5)</f>
        <v>273036.01239692868</v>
      </c>
      <c r="CL45" s="42">
        <f>CK45/2</f>
        <v>136518.00619846434</v>
      </c>
      <c r="CM45" s="251">
        <f>CM44*POWER(CM$42/CM$37,1/5)</f>
        <v>722.83760557221785</v>
      </c>
      <c r="CN45" s="36">
        <f>CM45/CL45*100</f>
        <v>0.52948151361175455</v>
      </c>
      <c r="CO45">
        <v>18.2</v>
      </c>
      <c r="CP45" s="370">
        <f>CP44*POWER(CP44/CP39, 1/5)</f>
        <v>0.14841682215549132</v>
      </c>
      <c r="CQ45" s="244">
        <f t="shared" si="164"/>
        <v>2.7011861632299419E-2</v>
      </c>
      <c r="CR45" s="117">
        <f>CR44*POWER(CR44/CR39,1/5)</f>
        <v>71284.092040014715</v>
      </c>
      <c r="CS45" s="42">
        <f>CR45/2</f>
        <v>35642.046020007358</v>
      </c>
      <c r="CT45" s="251">
        <f>CT44*POWER(CT$42/CT$37,1/5)</f>
        <v>289.81239401555979</v>
      </c>
      <c r="CU45" s="36">
        <f>CT45/CS45*100</f>
        <v>0.81311940917442294</v>
      </c>
      <c r="CV45">
        <v>17.7</v>
      </c>
      <c r="CW45" s="370">
        <f t="shared" si="175"/>
        <v>0.1968</v>
      </c>
      <c r="CX45" s="244">
        <f t="shared" si="168"/>
        <v>3.4833599999999999E-2</v>
      </c>
      <c r="CY45" s="117">
        <f>CY44*POWER(CY44/CY39,1/5)</f>
        <v>468510.12008945062</v>
      </c>
      <c r="CZ45" s="42">
        <f>CY45/2</f>
        <v>234255.06004472531</v>
      </c>
      <c r="DA45" s="251">
        <f>DA44*POWER(DA$42/DA$37,1/5)</f>
        <v>1907.2335875181907</v>
      </c>
      <c r="DB45" s="36">
        <f>DA45/CZ45*100</f>
        <v>0.814169643615831</v>
      </c>
      <c r="DC45">
        <v>25.7</v>
      </c>
      <c r="DD45">
        <v>0.28520000000000001</v>
      </c>
      <c r="DE45" s="244">
        <f t="shared" si="169"/>
        <v>7.3296399999999998E-2</v>
      </c>
      <c r="DF45" s="117">
        <f>DF44*POWER(DF44/DF39,1/5)</f>
        <v>379732.61726059823</v>
      </c>
      <c r="DG45" s="42">
        <f>DF45/2</f>
        <v>189866.30863029911</v>
      </c>
      <c r="DH45" s="251">
        <f>DH44*POWER(DH$42/DH$37,1/5)</f>
        <v>1301.5034752065942</v>
      </c>
      <c r="DI45" s="36">
        <f>DH45/DG45*100</f>
        <v>0.68548416230118803</v>
      </c>
      <c r="DJ45">
        <v>18.2</v>
      </c>
      <c r="DK45">
        <v>0.30549999999999999</v>
      </c>
      <c r="DL45" s="244">
        <f t="shared" si="165"/>
        <v>5.5600999999999991E-2</v>
      </c>
      <c r="DM45" s="117">
        <f>DM44*POWER(DM44/DM39,1/5)</f>
        <v>3585407.2885291497</v>
      </c>
      <c r="DN45" s="42">
        <f>DM45/2</f>
        <v>1792703.6442645749</v>
      </c>
      <c r="DO45" s="251">
        <f>DO44*POWER(DO$42/DO$37,1/5)</f>
        <v>14520.26085701521</v>
      </c>
      <c r="DP45" s="36">
        <f t="shared" si="141"/>
        <v>0.80996437439451352</v>
      </c>
      <c r="DQ45">
        <v>18.2</v>
      </c>
      <c r="DR45">
        <v>0.26750000000000002</v>
      </c>
      <c r="DS45" s="244">
        <f t="shared" si="166"/>
        <v>4.8684999999999999E-2</v>
      </c>
      <c r="DT45" s="117">
        <f>DT44*POWER(DT44/DT39,1/5)</f>
        <v>6352121.9001820683</v>
      </c>
      <c r="DU45" s="42">
        <f>DT45/2</f>
        <v>3176060.9500910342</v>
      </c>
      <c r="DV45" s="251">
        <f>DV44*POWER(DV$42/DV$37,1/5)</f>
        <v>30527.098044600145</v>
      </c>
      <c r="DW45" s="36">
        <f t="shared" si="143"/>
        <v>0.96116222340522661</v>
      </c>
      <c r="DX45">
        <v>23.6</v>
      </c>
      <c r="DY45">
        <v>0.31929999999999997</v>
      </c>
      <c r="DZ45" s="43">
        <f t="shared" si="170"/>
        <v>7.53548E-2</v>
      </c>
      <c r="EA45" s="117">
        <f>EA44*POWER(EA44/EA39,1/5)</f>
        <v>546602.70477644482</v>
      </c>
      <c r="EB45" s="42">
        <f>EA45/2</f>
        <v>273301.35238822241</v>
      </c>
      <c r="EC45" s="251">
        <f>EC44*POWER(EC$42/EC$37,1/5)</f>
        <v>2428.4001975417041</v>
      </c>
      <c r="ED45" s="36">
        <f t="shared" si="145"/>
        <v>0.8885430592718695</v>
      </c>
      <c r="EE45">
        <v>20.3</v>
      </c>
      <c r="EF45">
        <v>0.23219999999999999</v>
      </c>
      <c r="EG45" s="244">
        <f t="shared" si="167"/>
        <v>4.7136600000000001E-2</v>
      </c>
      <c r="EH45" s="117">
        <f>EH44*POWER(EH44/EH39,1/5)</f>
        <v>466093.93206732435</v>
      </c>
      <c r="EI45" s="42">
        <f>EH45/2</f>
        <v>233046.96603366217</v>
      </c>
      <c r="EJ45" s="251">
        <f>EJ44*POWER(EJ$42/EJ$37,1/5)</f>
        <v>1775.2660158186688</v>
      </c>
      <c r="EK45" s="36">
        <f t="shared" si="147"/>
        <v>0.76176319564797201</v>
      </c>
      <c r="EL45">
        <v>17.899999999999999</v>
      </c>
      <c r="EM45">
        <v>0.21719999999999998</v>
      </c>
      <c r="EN45" s="43">
        <f t="shared" si="174"/>
        <v>3.8878799999999991E-2</v>
      </c>
      <c r="EO45" s="117">
        <f>EO44*POWER(EO44/EO39,1/5)</f>
        <v>1686520.1960340159</v>
      </c>
      <c r="EP45" s="42">
        <f>EO45/2</f>
        <v>843260.09801700793</v>
      </c>
      <c r="EQ45" s="251">
        <f>EQ44*POWER(EQ$42/EQ$37,1/5)</f>
        <v>8014.9998752515512</v>
      </c>
      <c r="ER45" s="36">
        <f t="shared" si="149"/>
        <v>0.95047778189664733</v>
      </c>
      <c r="ES45">
        <v>22.8</v>
      </c>
      <c r="ET45">
        <v>0.27210000000000001</v>
      </c>
      <c r="EU45" s="244">
        <f t="shared" si="171"/>
        <v>6.2038800000000005E-2</v>
      </c>
      <c r="EV45" s="117">
        <f>EV44*POWER(EV44/EV39,1/5)</f>
        <v>2162463.6211425117</v>
      </c>
      <c r="EW45" s="42">
        <f>EV45/2</f>
        <v>1081231.8105712559</v>
      </c>
      <c r="EX45" s="251">
        <f>EX44*POWER(EX$42/EX$37,1/5)</f>
        <v>9916.390348518742</v>
      </c>
      <c r="EY45" s="36">
        <f t="shared" si="151"/>
        <v>0.91713823544273421</v>
      </c>
      <c r="EZ45">
        <v>16.899999999999999</v>
      </c>
      <c r="FA45">
        <v>0.41159999999999997</v>
      </c>
      <c r="FB45" s="43">
        <f t="shared" si="172"/>
        <v>6.9560399999999994E-2</v>
      </c>
    </row>
    <row r="46" spans="1:158" ht="16.5" customHeight="1">
      <c r="A46" s="5">
        <v>2009</v>
      </c>
      <c r="B46" s="117">
        <f>B45*POWER(B45/B40,1/5)</f>
        <v>16156613.169199161</v>
      </c>
      <c r="C46" s="42">
        <f t="shared" ref="C46:C47" si="193">B46/2</f>
        <v>8078306.5845995806</v>
      </c>
      <c r="D46" s="251">
        <f>D45*POWER(D$42/D$37,1/5)</f>
        <v>71369.158111477329</v>
      </c>
      <c r="E46" s="36">
        <f t="shared" ref="E46" si="194">D46/C46*100</f>
        <v>0.88346681775528202</v>
      </c>
      <c r="F46" s="13">
        <v>33.9</v>
      </c>
      <c r="G46" s="13">
        <v>0.29530000000000001</v>
      </c>
      <c r="H46" s="244">
        <f t="shared" ref="H46" si="195">F46*G46/100</f>
        <v>0.10010669999999999</v>
      </c>
      <c r="I46" s="117">
        <f>I45*POWER(I45/I40,1/5)</f>
        <v>272745.14677051705</v>
      </c>
      <c r="J46" s="42">
        <f>I46/2</f>
        <v>136372.57338525853</v>
      </c>
      <c r="K46" s="251">
        <f>K45*POWER(K$42/K$37,1/5)</f>
        <v>702.04020400380409</v>
      </c>
      <c r="L46" s="36">
        <f>K46/J46*100</f>
        <v>0.51479574417101426</v>
      </c>
      <c r="M46" s="13">
        <v>51.2</v>
      </c>
      <c r="N46" s="13">
        <v>0.31</v>
      </c>
      <c r="O46" s="244">
        <f t="shared" ref="O46" si="196">M46*N46/100</f>
        <v>0.15872</v>
      </c>
      <c r="P46" s="117">
        <f>P45*POWER(P45/P40,1/5)</f>
        <v>71684.159097626398</v>
      </c>
      <c r="Q46" s="42">
        <f>P46/2</f>
        <v>35842.079548813199</v>
      </c>
      <c r="R46" s="251">
        <f>R45*POWER(R$42/R$37,1/5)</f>
        <v>292.11944087383466</v>
      </c>
      <c r="S46" s="36">
        <f>R46/Q46*100</f>
        <v>0.81501811432564408</v>
      </c>
      <c r="T46" s="13">
        <v>45.5</v>
      </c>
      <c r="U46" s="13">
        <v>0.2354</v>
      </c>
      <c r="V46" s="244">
        <f t="shared" ref="V46" si="197">T46*U46/100</f>
        <v>0.10710699999999999</v>
      </c>
      <c r="W46" s="117">
        <f>W45*POWER(W45/W40,1/5)</f>
        <v>468109.57348646229</v>
      </c>
      <c r="X46" s="42">
        <f>W46/2</f>
        <v>234054.78674323115</v>
      </c>
      <c r="Y46" s="251">
        <f>Y45*POWER(Y$42/Y$37,1/5)</f>
        <v>1889.6410601682735</v>
      </c>
      <c r="Z46" s="36">
        <f>Y46/X46*100</f>
        <v>0.8073498886571786</v>
      </c>
      <c r="AA46" s="13">
        <v>45</v>
      </c>
      <c r="AB46" s="13">
        <v>0.27829999999999999</v>
      </c>
      <c r="AC46" s="244">
        <f t="shared" ref="AC46" si="198">AA46*AB46/100</f>
        <v>0.12523500000000001</v>
      </c>
      <c r="AD46" s="117">
        <f>AD45*POWER(AD45/AD40,1/5)</f>
        <v>379386.29031299567</v>
      </c>
      <c r="AE46" s="42">
        <f>AD46/2</f>
        <v>189693.14515649783</v>
      </c>
      <c r="AF46" s="251">
        <f>AF45*POWER(AF$42/AF$37,1/5)</f>
        <v>1257.2009823432682</v>
      </c>
      <c r="AG46" s="36">
        <f>AF46/AE46*100</f>
        <v>0.66275509392080079</v>
      </c>
      <c r="AH46" s="13">
        <v>47.9</v>
      </c>
      <c r="AI46" s="13">
        <v>0.31719999999999998</v>
      </c>
      <c r="AJ46" s="244">
        <f t="shared" ref="AJ46" si="199">AH46*AI46/100</f>
        <v>0.15193879999999998</v>
      </c>
      <c r="AK46" s="117">
        <f>AK45*POWER(AK45/AK40,1/5)</f>
        <v>3588182.7801996972</v>
      </c>
      <c r="AL46" s="42">
        <f>AK46/2</f>
        <v>1794091.3900998486</v>
      </c>
      <c r="AM46" s="251">
        <f>AM45*POWER(AM$42/AM$37,1/5)</f>
        <v>14231.246414420795</v>
      </c>
      <c r="AN46" s="36">
        <f t="shared" ref="AN46" si="200">AM46/AL46*100</f>
        <v>0.79322862218455703</v>
      </c>
      <c r="AO46" s="13">
        <v>32</v>
      </c>
      <c r="AP46" s="13">
        <v>0.27329999999999999</v>
      </c>
      <c r="AQ46" s="244">
        <f t="shared" ref="AQ46" si="201">AO46*AP46/100</f>
        <v>8.7455999999999992E-2</v>
      </c>
      <c r="AR46" s="117">
        <f>AR45*POWER(AR45/AR40,1/5)</f>
        <v>6414979.6693515163</v>
      </c>
      <c r="AS46" s="42">
        <f>AR46/2</f>
        <v>3207489.8346757581</v>
      </c>
      <c r="AT46" s="251">
        <f>AT45*POWER(AT$42/AT$37,1/5)</f>
        <v>31123.713018645161</v>
      </c>
      <c r="AU46" s="36">
        <f t="shared" ref="AU46" si="202">AT46/AS46*100</f>
        <v>0.97034486850654122</v>
      </c>
      <c r="AV46" s="13">
        <v>32</v>
      </c>
      <c r="AW46" s="13">
        <v>0.27779999999999999</v>
      </c>
      <c r="AX46" s="43">
        <f t="shared" ref="AX46" si="203">AV46*AW46/100</f>
        <v>8.8896000000000003E-2</v>
      </c>
      <c r="AY46" s="117">
        <f>AY45*POWER(AY45/AY40,1/5)</f>
        <v>547126.14616246929</v>
      </c>
      <c r="AZ46" s="42">
        <f>AY46/2</f>
        <v>273563.07308123464</v>
      </c>
      <c r="BA46" s="251">
        <f>BA45*POWER(BA$42/BA$37,1/5)</f>
        <v>2428.200296304426</v>
      </c>
      <c r="BB46" s="36">
        <f t="shared" ref="BB46" si="204">BA46/AZ46*100</f>
        <v>0.88761990752435038</v>
      </c>
      <c r="BC46" s="13">
        <v>53.9</v>
      </c>
      <c r="BD46" s="13">
        <v>0.2167</v>
      </c>
      <c r="BE46" s="244">
        <f t="shared" ref="BE46" si="205">BC46*BD46/100</f>
        <v>0.1168013</v>
      </c>
      <c r="BF46" s="117">
        <f>BF45*POWER(BF45/BF40,1/5)</f>
        <v>465172.0143928664</v>
      </c>
      <c r="BG46" s="42">
        <f>BF46/2</f>
        <v>232586.0071964332</v>
      </c>
      <c r="BH46" s="251">
        <f>BH45*POWER(BH$42/BH$37,1/5)</f>
        <v>1728.8877272317607</v>
      </c>
      <c r="BI46" s="36">
        <f t="shared" ref="BI46" si="206">BH46/BG46*100</f>
        <v>0.74333264845619385</v>
      </c>
      <c r="BJ46" s="13">
        <v>47.8</v>
      </c>
      <c r="BK46" s="13">
        <v>0.38350000000000001</v>
      </c>
      <c r="BL46" s="43">
        <f t="shared" ref="BL46" si="207">BJ46*BK46/100</f>
        <v>0.18331299999999998</v>
      </c>
      <c r="BM46" s="117">
        <f>BM45*POWER(BM45/BM40,1/5)</f>
        <v>1719914.5930709033</v>
      </c>
      <c r="BN46" s="42">
        <f>BM46/2</f>
        <v>859957.29653545166</v>
      </c>
      <c r="BO46" s="251">
        <f>BO45*POWER(BO$42/BO$37,1/5)</f>
        <v>7995.0990693826971</v>
      </c>
      <c r="BP46" s="36">
        <f t="shared" ref="BP46" si="208">BO46/BN46*100</f>
        <v>0.92970884735706172</v>
      </c>
      <c r="BQ46" s="13">
        <v>27.4</v>
      </c>
      <c r="BR46" s="13">
        <v>0.39560000000000001</v>
      </c>
      <c r="BS46" s="244">
        <f t="shared" ref="BS46" si="209">BQ46*BR46/100</f>
        <v>0.1083944</v>
      </c>
      <c r="BT46" s="117">
        <f>BT45*POWER(BT45/BT40,1/5)</f>
        <v>2188274.4275700836</v>
      </c>
      <c r="BU46" s="42">
        <f>BT46/2</f>
        <v>1094137.2137850418</v>
      </c>
      <c r="BV46" s="251">
        <f>BV45*POWER(BV$42/BV$37,1/5)</f>
        <v>9903.8854028607038</v>
      </c>
      <c r="BW46" s="36">
        <f t="shared" ref="BW46" si="210">BV46/BU46*100</f>
        <v>0.90517763933824646</v>
      </c>
      <c r="BX46" s="13">
        <v>28.5</v>
      </c>
      <c r="BY46" s="13">
        <v>0.36310000000000003</v>
      </c>
      <c r="BZ46" s="43">
        <f t="shared" ref="BZ46" si="211">BX46*BY46/100</f>
        <v>0.10348350000000002</v>
      </c>
      <c r="CC46" s="5">
        <v>2009</v>
      </c>
      <c r="CD46" s="117">
        <f>CD45*POWER(CD45/CD40,1/5)</f>
        <v>16156613.169199161</v>
      </c>
      <c r="CE46" s="42">
        <f t="shared" si="130"/>
        <v>8078306.5845995806</v>
      </c>
      <c r="CF46" s="251">
        <f>CF45*POWER(CF$42/CF$37,1/5)</f>
        <v>71369.158111477329</v>
      </c>
      <c r="CG46" s="36">
        <f t="shared" si="131"/>
        <v>0.88346681775528202</v>
      </c>
      <c r="CH46">
        <v>19.899999999999999</v>
      </c>
      <c r="CI46">
        <v>0.2762</v>
      </c>
      <c r="CJ46" s="244">
        <f t="shared" si="173"/>
        <v>5.4963799999999993E-2</v>
      </c>
      <c r="CK46" s="117">
        <f>CK45*POWER(CK45/CK40,1/5)</f>
        <v>272745.14677051705</v>
      </c>
      <c r="CL46" s="42">
        <f>CK46/2</f>
        <v>136372.57338525853</v>
      </c>
      <c r="CM46" s="251">
        <f>CM45*POWER(CM$42/CM$37,1/5)</f>
        <v>702.04020400380409</v>
      </c>
      <c r="CN46" s="36">
        <f>CM46/CL46*100</f>
        <v>0.51479574417101426</v>
      </c>
      <c r="CO46">
        <v>16.600000000000001</v>
      </c>
      <c r="CP46" s="370">
        <f>CP45*POWER(CP45/CP40, 1/5)</f>
        <v>0.14172872944033121</v>
      </c>
      <c r="CQ46" s="244">
        <f t="shared" si="164"/>
        <v>2.3526969087094982E-2</v>
      </c>
      <c r="CR46" s="117">
        <f>CR45*POWER(CR45/CR40,1/5)</f>
        <v>71684.159097626398</v>
      </c>
      <c r="CS46" s="42">
        <f>CR46/2</f>
        <v>35842.079548813199</v>
      </c>
      <c r="CT46" s="251">
        <f>CT45*POWER(CT$42/CT$37,1/5)</f>
        <v>292.11944087383466</v>
      </c>
      <c r="CU46" s="36">
        <f>CT46/CS46*100</f>
        <v>0.81501811432564408</v>
      </c>
      <c r="CV46">
        <v>20.6</v>
      </c>
      <c r="CW46" s="370">
        <f t="shared" si="175"/>
        <v>0.1968</v>
      </c>
      <c r="CX46" s="244">
        <f t="shared" si="168"/>
        <v>4.0540800000000002E-2</v>
      </c>
      <c r="CY46" s="117">
        <f>CY45*POWER(CY45/CY40,1/5)</f>
        <v>468109.57348646229</v>
      </c>
      <c r="CZ46" s="42">
        <f>CY46/2</f>
        <v>234054.78674323115</v>
      </c>
      <c r="DA46" s="251">
        <f>DA45*POWER(DA$42/DA$37,1/5)</f>
        <v>1889.6410601682735</v>
      </c>
      <c r="DB46" s="36">
        <f>DA46/CZ46*100</f>
        <v>0.8073498886571786</v>
      </c>
      <c r="DC46">
        <v>22.4</v>
      </c>
      <c r="DD46">
        <v>0.19159999999999999</v>
      </c>
      <c r="DE46" s="244">
        <f t="shared" si="169"/>
        <v>4.2918399999999995E-2</v>
      </c>
      <c r="DF46" s="117">
        <f>DF45*POWER(DF45/DF40,1/5)</f>
        <v>379386.29031299567</v>
      </c>
      <c r="DG46" s="42">
        <f>DF46/2</f>
        <v>189693.14515649783</v>
      </c>
      <c r="DH46" s="251">
        <f>DH45*POWER(DH$42/DH$37,1/5)</f>
        <v>1257.2009823432682</v>
      </c>
      <c r="DI46" s="36">
        <f>DH46/DG46*100</f>
        <v>0.66275509392080079</v>
      </c>
      <c r="DJ46">
        <v>25.1</v>
      </c>
      <c r="DK46">
        <v>0.23480000000000001</v>
      </c>
      <c r="DL46" s="244">
        <f t="shared" si="165"/>
        <v>5.8934800000000002E-2</v>
      </c>
      <c r="DM46" s="117">
        <f>DM45*POWER(DM45/DM40,1/5)</f>
        <v>3588182.7801996972</v>
      </c>
      <c r="DN46" s="42">
        <f>DM46/2</f>
        <v>1794091.3900998486</v>
      </c>
      <c r="DO46" s="251">
        <f>DO45*POWER(DO$42/DO$37,1/5)</f>
        <v>14231.246414420795</v>
      </c>
      <c r="DP46" s="36">
        <f t="shared" si="141"/>
        <v>0.79322862218455703</v>
      </c>
      <c r="DQ46">
        <v>20.2</v>
      </c>
      <c r="DR46">
        <v>0.22699999999999998</v>
      </c>
      <c r="DS46" s="244">
        <f t="shared" si="166"/>
        <v>4.5853999999999992E-2</v>
      </c>
      <c r="DT46" s="117">
        <f>DT45*POWER(DT45/DT40,1/5)</f>
        <v>6414979.6693515163</v>
      </c>
      <c r="DU46" s="42">
        <f>DT46/2</f>
        <v>3207489.8346757581</v>
      </c>
      <c r="DV46" s="251">
        <f>DV45*POWER(DV$42/DV$37,1/5)</f>
        <v>31123.713018645161</v>
      </c>
      <c r="DW46" s="36">
        <f t="shared" si="143"/>
        <v>0.97034486850654122</v>
      </c>
      <c r="DX46">
        <v>19</v>
      </c>
      <c r="DY46">
        <v>0.2339</v>
      </c>
      <c r="DZ46" s="43">
        <f t="shared" si="170"/>
        <v>4.4440999999999994E-2</v>
      </c>
      <c r="EA46" s="117">
        <f>EA45*POWER(EA45/EA40,1/5)</f>
        <v>547126.14616246929</v>
      </c>
      <c r="EB46" s="42">
        <f>EA46/2</f>
        <v>273563.07308123464</v>
      </c>
      <c r="EC46" s="251">
        <f>EC45*POWER(EC$42/EC$37,1/5)</f>
        <v>2428.200296304426</v>
      </c>
      <c r="ED46" s="36">
        <f t="shared" si="145"/>
        <v>0.88761990752435038</v>
      </c>
      <c r="EE46">
        <v>23.9</v>
      </c>
      <c r="EF46">
        <v>0.27949999999999997</v>
      </c>
      <c r="EG46" s="244">
        <f t="shared" si="167"/>
        <v>6.6800499999999985E-2</v>
      </c>
      <c r="EH46" s="117">
        <f>EH45*POWER(EH45/EH40,1/5)</f>
        <v>465172.0143928664</v>
      </c>
      <c r="EI46" s="42">
        <f>EH46/2</f>
        <v>232586.0071964332</v>
      </c>
      <c r="EJ46" s="251">
        <f>EJ45*POWER(EJ$42/EJ$37,1/5)</f>
        <v>1728.8877272317607</v>
      </c>
      <c r="EK46" s="36">
        <f t="shared" si="147"/>
        <v>0.74333264845619385</v>
      </c>
      <c r="EL46">
        <v>32</v>
      </c>
      <c r="EM46">
        <v>0.34889999999999999</v>
      </c>
      <c r="EN46" s="43">
        <f t="shared" si="174"/>
        <v>0.111648</v>
      </c>
      <c r="EO46" s="117">
        <f>EO45*POWER(EO45/EO40,1/5)</f>
        <v>1719914.5930709033</v>
      </c>
      <c r="EP46" s="42">
        <f>EO46/2</f>
        <v>859957.29653545166</v>
      </c>
      <c r="EQ46" s="251">
        <f>EQ45*POWER(EQ$42/EQ$37,1/5)</f>
        <v>7995.0990693826971</v>
      </c>
      <c r="ER46" s="36">
        <f t="shared" si="149"/>
        <v>0.92970884735706172</v>
      </c>
      <c r="ES46">
        <v>18.100000000000001</v>
      </c>
      <c r="ET46">
        <v>0.49270000000000003</v>
      </c>
      <c r="EU46" s="244">
        <f t="shared" si="171"/>
        <v>8.91787E-2</v>
      </c>
      <c r="EV46" s="117">
        <f>EV45*POWER(EV45/EV40,1/5)</f>
        <v>2188274.4275700836</v>
      </c>
      <c r="EW46" s="42">
        <f>EV46/2</f>
        <v>1094137.2137850418</v>
      </c>
      <c r="EX46" s="251">
        <f>EX45*POWER(EX$42/EX$37,1/5)</f>
        <v>9903.8854028607038</v>
      </c>
      <c r="EY46" s="36">
        <f t="shared" si="151"/>
        <v>0.90517763933824646</v>
      </c>
      <c r="EZ46">
        <v>16.399999999999999</v>
      </c>
      <c r="FA46">
        <v>0.41710000000000003</v>
      </c>
      <c r="FB46" s="43">
        <f t="shared" si="172"/>
        <v>6.8404400000000004E-2</v>
      </c>
    </row>
    <row r="47" spans="1:158" ht="16.5" customHeight="1">
      <c r="A47" s="5">
        <v>2010</v>
      </c>
      <c r="B47" s="117">
        <f>B46*POWER(B46/B41,1/5)</f>
        <v>16279060.510098021</v>
      </c>
      <c r="C47" s="42">
        <f t="shared" si="193"/>
        <v>8139530.2550490107</v>
      </c>
      <c r="D47" s="251">
        <f>D46*POWER(D$42/D$37,1/5)</f>
        <v>71394.219624985926</v>
      </c>
      <c r="E47" s="36">
        <f t="shared" ref="E47" si="212">D47/C47*100</f>
        <v>0.87712948275730729</v>
      </c>
      <c r="F47" s="122">
        <f>F46</f>
        <v>33.9</v>
      </c>
      <c r="G47" s="122">
        <f>G46</f>
        <v>0.29530000000000001</v>
      </c>
      <c r="H47" s="244">
        <f t="shared" ref="H47" si="213">F47*G47/100</f>
        <v>0.10010669999999999</v>
      </c>
      <c r="I47" s="117">
        <f>I46*POWER(I46/I41,1/5)</f>
        <v>272282.34140662145</v>
      </c>
      <c r="J47" s="42">
        <f>I47/2</f>
        <v>136141.17070331072</v>
      </c>
      <c r="K47" s="251">
        <f>K46*POWER(K$42/K$37,1/5)</f>
        <v>681.84118291347227</v>
      </c>
      <c r="L47" s="36">
        <f>K47/J47*100</f>
        <v>0.50083393538563947</v>
      </c>
      <c r="M47" s="122">
        <f>M46</f>
        <v>51.2</v>
      </c>
      <c r="N47" s="122">
        <f>N46</f>
        <v>0.31</v>
      </c>
      <c r="O47" s="244">
        <f t="shared" ref="O47" si="214">M47*N47/100</f>
        <v>0.15872</v>
      </c>
      <c r="P47" s="117">
        <f>P46*POWER(P46/P41,1/5)</f>
        <v>72085.649774739111</v>
      </c>
      <c r="Q47" s="42">
        <f>P47/2</f>
        <v>36042.824887369556</v>
      </c>
      <c r="R47" s="251">
        <f>R46*POWER(R$42/R$37,1/5)</f>
        <v>294.44485294117646</v>
      </c>
      <c r="S47" s="36">
        <f>R47/Q47*100</f>
        <v>0.81693056485247473</v>
      </c>
      <c r="T47" s="122">
        <f>T46</f>
        <v>45.5</v>
      </c>
      <c r="U47" s="122">
        <f>U46</f>
        <v>0.2354</v>
      </c>
      <c r="V47" s="244">
        <f t="shared" ref="V47" si="215">T47*U47/100</f>
        <v>0.10710699999999999</v>
      </c>
      <c r="W47" s="117">
        <f>W46*POWER(W46/W41,1/5)</f>
        <v>467560.22753274511</v>
      </c>
      <c r="X47" s="42">
        <f>W47/2</f>
        <v>233780.11376637255</v>
      </c>
      <c r="Y47" s="251">
        <f>Y46*POWER(Y$42/Y$37,1/5)</f>
        <v>1872.2108081791632</v>
      </c>
      <c r="Z47" s="36">
        <f>Y47/X47*100</f>
        <v>0.80084262857796007</v>
      </c>
      <c r="AA47" s="122">
        <f>AA46</f>
        <v>45</v>
      </c>
      <c r="AB47" s="122">
        <f>AB46</f>
        <v>0.27829999999999999</v>
      </c>
      <c r="AC47" s="244">
        <f t="shared" ref="AC47" si="216">AA47*AB47/100</f>
        <v>0.12523500000000001</v>
      </c>
      <c r="AD47" s="117">
        <f>AD46*POWER(AD46/AD41,1/5)</f>
        <v>378972.70442884444</v>
      </c>
      <c r="AE47" s="42">
        <f>AD47/2</f>
        <v>189486.35221442222</v>
      </c>
      <c r="AF47" s="251">
        <f>AF46*POWER(AF$42/AF$37,1/5)</f>
        <v>1214.4065230052413</v>
      </c>
      <c r="AG47" s="36">
        <f>AF47/AE47*100</f>
        <v>0.64089392656154065</v>
      </c>
      <c r="AH47" s="122">
        <f>AH46</f>
        <v>47.9</v>
      </c>
      <c r="AI47" s="122">
        <f>AI46</f>
        <v>0.31719999999999998</v>
      </c>
      <c r="AJ47" s="244">
        <f t="shared" ref="AJ47" si="217">AH47*AI47/100</f>
        <v>0.15193879999999998</v>
      </c>
      <c r="AK47" s="117">
        <f>AK46*POWER(AK46/AK41,1/5)</f>
        <v>3590257.5303603061</v>
      </c>
      <c r="AL47" s="42">
        <f>AK47/2</f>
        <v>1795128.7651801531</v>
      </c>
      <c r="AM47" s="251">
        <f>AM46*POWER(AM$42/AM$37,1/5)</f>
        <v>13947.984578398033</v>
      </c>
      <c r="AN47" s="36">
        <f t="shared" ref="AN47" si="218">AM47/AL47*100</f>
        <v>0.77699075681616969</v>
      </c>
      <c r="AO47" s="122">
        <f>AO46</f>
        <v>32</v>
      </c>
      <c r="AP47" s="122">
        <f>AP46</f>
        <v>0.27329999999999999</v>
      </c>
      <c r="AQ47" s="244">
        <f t="shared" ref="AQ47" si="219">AO47*AP47/100</f>
        <v>8.7455999999999992E-2</v>
      </c>
      <c r="AR47" s="117">
        <f>AR46*POWER(AR46/AR41,1/5)</f>
        <v>6476461.9880752377</v>
      </c>
      <c r="AS47" s="42">
        <f>AR47/2</f>
        <v>3238230.9940376189</v>
      </c>
      <c r="AT47" s="251">
        <f>AT46*POWER(AT$42/AT$37,1/5)</f>
        <v>31731.988106164925</v>
      </c>
      <c r="AU47" s="36">
        <f t="shared" ref="AU47" si="220">AT47/AS47*100</f>
        <v>0.97991737354720321</v>
      </c>
      <c r="AV47" s="122">
        <f>AV46</f>
        <v>32</v>
      </c>
      <c r="AW47" s="122">
        <f>AW46</f>
        <v>0.27779999999999999</v>
      </c>
      <c r="AX47" s="43">
        <f t="shared" ref="AX47" si="221">AV47*AW47/100</f>
        <v>8.8896000000000003E-2</v>
      </c>
      <c r="AY47" s="117">
        <f>AY46*POWER(AY46/AY41,1/5)</f>
        <v>547466.61006159091</v>
      </c>
      <c r="AZ47" s="42">
        <f>AY47/2</f>
        <v>273733.30503079545</v>
      </c>
      <c r="BA47" s="251">
        <f>BA46*POWER(BA$42/BA$37,1/5)</f>
        <v>2428.0004115226338</v>
      </c>
      <c r="BB47" s="36">
        <f t="shared" ref="BB47" si="222">BA47/AZ47*100</f>
        <v>0.88699488403483817</v>
      </c>
      <c r="BC47" s="122">
        <f>BC46</f>
        <v>53.9</v>
      </c>
      <c r="BD47" s="122">
        <f>BD46</f>
        <v>0.2167</v>
      </c>
      <c r="BE47" s="244">
        <f t="shared" ref="BE47" si="223">BC47*BD47/100</f>
        <v>0.1168013</v>
      </c>
      <c r="BF47" s="117">
        <f>BF46*POWER(BF46/BF41,1/5)</f>
        <v>464333.57014211692</v>
      </c>
      <c r="BG47" s="42">
        <f>BF47/2</f>
        <v>232166.78507105846</v>
      </c>
      <c r="BH47" s="251">
        <f>BH46*POWER(BH$42/BH$37,1/5)</f>
        <v>1683.7210574293526</v>
      </c>
      <c r="BI47" s="36">
        <f t="shared" ref="BI47" si="224">BH47/BG47*100</f>
        <v>0.72522047325332184</v>
      </c>
      <c r="BJ47" s="122">
        <f>BJ46</f>
        <v>47.8</v>
      </c>
      <c r="BK47" s="122">
        <f>BK46</f>
        <v>0.38350000000000001</v>
      </c>
      <c r="BL47" s="43">
        <f t="shared" ref="BL47" si="225">BJ47*BK47/100</f>
        <v>0.18331299999999998</v>
      </c>
      <c r="BM47" s="117">
        <f>BM46*POWER(BM46/BM41,1/5)</f>
        <v>1756642.853598834</v>
      </c>
      <c r="BN47" s="42">
        <f>BM47/2</f>
        <v>878321.42679941701</v>
      </c>
      <c r="BO47" s="251">
        <f>BO46*POWER(BO$42/BO$37,1/5)</f>
        <v>7975.2476761252456</v>
      </c>
      <c r="BP47" s="36">
        <f t="shared" ref="BP47" si="226">BO47/BN47*100</f>
        <v>0.90801014671665969</v>
      </c>
      <c r="BQ47" s="122">
        <f>BQ46</f>
        <v>27.4</v>
      </c>
      <c r="BR47" s="122">
        <f>BR46</f>
        <v>0.39560000000000001</v>
      </c>
      <c r="BS47" s="244">
        <f t="shared" ref="BS47" si="227">BQ47*BR47/100</f>
        <v>0.1083944</v>
      </c>
      <c r="BT47" s="117">
        <f>BT46*POWER(BT46/BT41,1/5)</f>
        <v>2214652.8459850391</v>
      </c>
      <c r="BU47" s="42">
        <f>BT47/2</f>
        <v>1107326.4229925196</v>
      </c>
      <c r="BV47" s="251">
        <f>BV46*POWER(BV$42/BV$37,1/5)</f>
        <v>9891.3962264150923</v>
      </c>
      <c r="BW47" s="36">
        <f t="shared" ref="BW47" si="228">BV47/BU47*100</f>
        <v>0.89326832820297597</v>
      </c>
      <c r="BX47" s="122">
        <f>BX46</f>
        <v>28.5</v>
      </c>
      <c r="BY47" s="122">
        <f>BY46</f>
        <v>0.36310000000000003</v>
      </c>
      <c r="BZ47" s="43">
        <f t="shared" ref="BZ47" si="229">BX47*BY47/100</f>
        <v>0.10348350000000002</v>
      </c>
      <c r="CC47" s="5">
        <v>2010</v>
      </c>
      <c r="CD47" s="117">
        <f>CD46*POWER(CD46/CD41,1/5)</f>
        <v>16279060.510098021</v>
      </c>
      <c r="CE47" s="42">
        <f t="shared" si="130"/>
        <v>8139530.2550490107</v>
      </c>
      <c r="CF47" s="251">
        <f>CF46*POWER(CF$42/CF$37,1/5)</f>
        <v>71394.219624985926</v>
      </c>
      <c r="CG47" s="36">
        <f t="shared" si="131"/>
        <v>0.87712948275730729</v>
      </c>
      <c r="CH47" s="122">
        <f t="shared" ref="CH47:CI47" si="230">CH46</f>
        <v>19.899999999999999</v>
      </c>
      <c r="CI47" s="244">
        <f t="shared" si="230"/>
        <v>0.2762</v>
      </c>
      <c r="CJ47" s="244">
        <f t="shared" si="173"/>
        <v>5.4963799999999993E-2</v>
      </c>
      <c r="CK47" s="117">
        <f>CK46*POWER(CK46/CK41,1/5)</f>
        <v>272282.34140662145</v>
      </c>
      <c r="CL47" s="42">
        <f>CK47/2</f>
        <v>136141.17070331072</v>
      </c>
      <c r="CM47" s="251">
        <f>CM46*POWER(CM$42/CM$37,1/5)</f>
        <v>681.84118291347227</v>
      </c>
      <c r="CN47" s="36">
        <f>CM47/CL47*100</f>
        <v>0.50083393538563947</v>
      </c>
      <c r="CO47" s="247">
        <f t="shared" ref="CO47:CP47" si="231">CO46</f>
        <v>16.600000000000001</v>
      </c>
      <c r="CP47" s="247">
        <f t="shared" si="231"/>
        <v>0.14172872944033121</v>
      </c>
      <c r="CQ47" s="244">
        <f t="shared" si="164"/>
        <v>2.3526969087094982E-2</v>
      </c>
      <c r="CR47" s="117">
        <f>CR46*POWER(CR46/CR41,1/5)</f>
        <v>72085.649774739111</v>
      </c>
      <c r="CS47" s="42">
        <f>CR47/2</f>
        <v>36042.824887369556</v>
      </c>
      <c r="CT47" s="251">
        <f>CT46*POWER(CT$42/CT$37,1/5)</f>
        <v>294.44485294117646</v>
      </c>
      <c r="CU47" s="36">
        <f>CT47/CS47*100</f>
        <v>0.81693056485247473</v>
      </c>
      <c r="CV47" s="247">
        <f t="shared" ref="CV47:CW47" si="232">CV46</f>
        <v>20.6</v>
      </c>
      <c r="CW47" s="244">
        <f t="shared" si="232"/>
        <v>0.1968</v>
      </c>
      <c r="CX47" s="244">
        <f t="shared" si="168"/>
        <v>4.0540800000000002E-2</v>
      </c>
      <c r="CY47" s="117">
        <f>CY46*POWER(CY46/CY41,1/5)</f>
        <v>467560.22753274511</v>
      </c>
      <c r="CZ47" s="42">
        <f>CY47/2</f>
        <v>233780.11376637255</v>
      </c>
      <c r="DA47" s="251">
        <f>DA46*POWER(DA$42/DA$37,1/5)</f>
        <v>1872.2108081791632</v>
      </c>
      <c r="DB47" s="36">
        <f>DA47/CZ47*100</f>
        <v>0.80084262857796007</v>
      </c>
      <c r="DC47" s="247">
        <f t="shared" ref="DC47:DD47" si="233">DC46</f>
        <v>22.4</v>
      </c>
      <c r="DD47" s="244">
        <f t="shared" si="233"/>
        <v>0.19159999999999999</v>
      </c>
      <c r="DE47" s="244">
        <f t="shared" si="169"/>
        <v>4.2918399999999995E-2</v>
      </c>
      <c r="DF47" s="117">
        <f>DF46*POWER(DF46/DF41,1/5)</f>
        <v>378972.70442884444</v>
      </c>
      <c r="DG47" s="42">
        <f>DF47/2</f>
        <v>189486.35221442222</v>
      </c>
      <c r="DH47" s="251">
        <f>DH46*POWER(DH$42/DH$37,1/5)</f>
        <v>1214.4065230052413</v>
      </c>
      <c r="DI47" s="36">
        <f>DH47/DG47*100</f>
        <v>0.64089392656154065</v>
      </c>
      <c r="DJ47" s="247">
        <f t="shared" ref="DJ47:DK47" si="234">DJ46</f>
        <v>25.1</v>
      </c>
      <c r="DK47" s="244">
        <f t="shared" si="234"/>
        <v>0.23480000000000001</v>
      </c>
      <c r="DL47" s="244">
        <f t="shared" si="165"/>
        <v>5.8934800000000002E-2</v>
      </c>
      <c r="DM47" s="117">
        <f>DM46*POWER(DM46/DM41,1/5)</f>
        <v>3590257.5303603061</v>
      </c>
      <c r="DN47" s="42">
        <f>DM47/2</f>
        <v>1795128.7651801531</v>
      </c>
      <c r="DO47" s="251">
        <f>DO46*POWER(DO$42/DO$37,1/5)</f>
        <v>13947.984578398033</v>
      </c>
      <c r="DP47" s="36">
        <f t="shared" si="141"/>
        <v>0.77699075681616969</v>
      </c>
      <c r="DQ47" s="247">
        <f t="shared" ref="DQ47:DR47" si="235">DQ46</f>
        <v>20.2</v>
      </c>
      <c r="DR47" s="244">
        <f t="shared" si="235"/>
        <v>0.22699999999999998</v>
      </c>
      <c r="DS47" s="244">
        <f t="shared" si="166"/>
        <v>4.5853999999999992E-2</v>
      </c>
      <c r="DT47" s="117">
        <f>DT46*POWER(DT46/DT41,1/5)</f>
        <v>6476461.9880752377</v>
      </c>
      <c r="DU47" s="42">
        <f>DT47/2</f>
        <v>3238230.9940376189</v>
      </c>
      <c r="DV47" s="251">
        <f>DV46*POWER(DV$42/DV$37,1/5)</f>
        <v>31731.988106164925</v>
      </c>
      <c r="DW47" s="36">
        <f t="shared" si="143"/>
        <v>0.97991737354720321</v>
      </c>
      <c r="DX47" s="247">
        <f t="shared" ref="DX47:DY47" si="236">DX46</f>
        <v>19</v>
      </c>
      <c r="DY47" s="247">
        <f t="shared" si="236"/>
        <v>0.2339</v>
      </c>
      <c r="DZ47" s="43">
        <f t="shared" si="170"/>
        <v>4.4440999999999994E-2</v>
      </c>
      <c r="EA47" s="117">
        <f>EA46*POWER(EA46/EA41,1/5)</f>
        <v>547466.61006159091</v>
      </c>
      <c r="EB47" s="42">
        <f>EA47/2</f>
        <v>273733.30503079545</v>
      </c>
      <c r="EC47" s="251">
        <f>EC46*POWER(EC$42/EC$37,1/5)</f>
        <v>2428.0004115226338</v>
      </c>
      <c r="ED47" s="36">
        <f t="shared" si="145"/>
        <v>0.88699488403483817</v>
      </c>
      <c r="EE47" s="247">
        <f t="shared" ref="EE47:EF47" si="237">EE46</f>
        <v>23.9</v>
      </c>
      <c r="EF47" s="244">
        <f t="shared" si="237"/>
        <v>0.27949999999999997</v>
      </c>
      <c r="EG47" s="244">
        <f t="shared" si="167"/>
        <v>6.6800499999999985E-2</v>
      </c>
      <c r="EH47" s="117">
        <f>EH46*POWER(EH46/EH41,1/5)</f>
        <v>464333.57014211692</v>
      </c>
      <c r="EI47" s="42">
        <f>EH47/2</f>
        <v>232166.78507105846</v>
      </c>
      <c r="EJ47" s="251">
        <f>EJ46*POWER(EJ$42/EJ$37,1/5)</f>
        <v>1683.7210574293526</v>
      </c>
      <c r="EK47" s="36">
        <f t="shared" si="147"/>
        <v>0.72522047325332184</v>
      </c>
      <c r="EL47" s="247">
        <f t="shared" ref="EL47:EM47" si="238">EL46</f>
        <v>32</v>
      </c>
      <c r="EM47" s="244">
        <f t="shared" si="238"/>
        <v>0.34889999999999999</v>
      </c>
      <c r="EN47" s="43">
        <f t="shared" si="174"/>
        <v>0.111648</v>
      </c>
      <c r="EO47" s="117">
        <f>EO46*POWER(EO46/EO41,1/5)</f>
        <v>1756642.853598834</v>
      </c>
      <c r="EP47" s="42">
        <f>EO47/2</f>
        <v>878321.42679941701</v>
      </c>
      <c r="EQ47" s="251">
        <f>EQ46*POWER(EQ$42/EQ$37,1/5)</f>
        <v>7975.2476761252456</v>
      </c>
      <c r="ER47" s="36">
        <f t="shared" si="149"/>
        <v>0.90801014671665969</v>
      </c>
      <c r="ES47" s="247">
        <f t="shared" ref="ES47:ET47" si="239">ES46</f>
        <v>18.100000000000001</v>
      </c>
      <c r="ET47" s="244">
        <f t="shared" si="239"/>
        <v>0.49270000000000003</v>
      </c>
      <c r="EU47" s="244">
        <f t="shared" si="171"/>
        <v>8.91787E-2</v>
      </c>
      <c r="EV47" s="117">
        <f>EV46*POWER(EV46/EV41,1/5)</f>
        <v>2214652.8459850391</v>
      </c>
      <c r="EW47" s="42">
        <f>EV47/2</f>
        <v>1107326.4229925196</v>
      </c>
      <c r="EX47" s="251">
        <f>EX46*POWER(EX$42/EX$37,1/5)</f>
        <v>9891.3962264150923</v>
      </c>
      <c r="EY47" s="36">
        <f t="shared" si="151"/>
        <v>0.89326832820297597</v>
      </c>
      <c r="EZ47" s="247">
        <f t="shared" ref="EZ47:FA47" si="240">EZ46</f>
        <v>16.399999999999999</v>
      </c>
      <c r="FA47" s="244">
        <f t="shared" si="240"/>
        <v>0.41710000000000003</v>
      </c>
      <c r="FB47" s="43">
        <f t="shared" si="172"/>
        <v>6.8404400000000004E-2</v>
      </c>
    </row>
    <row r="48" spans="1:158" ht="16.5" customHeight="1">
      <c r="A48" s="5"/>
      <c r="B48" s="172" t="s">
        <v>435</v>
      </c>
      <c r="C48" s="42"/>
      <c r="D48" s="251"/>
      <c r="E48" s="36"/>
      <c r="F48" s="122"/>
      <c r="G48" s="244"/>
      <c r="H48" s="244"/>
      <c r="I48" s="117"/>
      <c r="J48" s="42"/>
      <c r="K48" s="251"/>
      <c r="L48" s="36"/>
      <c r="M48" s="247"/>
      <c r="N48" s="247"/>
      <c r="O48" s="244"/>
      <c r="P48" s="172" t="s">
        <v>435</v>
      </c>
      <c r="Q48" s="42"/>
      <c r="R48" s="251"/>
      <c r="S48" s="36"/>
      <c r="T48" s="247"/>
      <c r="U48" s="244"/>
      <c r="V48" s="244"/>
      <c r="W48" s="117"/>
      <c r="X48" s="42"/>
      <c r="Y48" s="251"/>
      <c r="Z48" s="36"/>
      <c r="AA48" s="247"/>
      <c r="AB48" s="244"/>
      <c r="AC48" s="244"/>
      <c r="AD48" s="172" t="s">
        <v>435</v>
      </c>
      <c r="AE48" s="42"/>
      <c r="AF48" s="251"/>
      <c r="AG48" s="36"/>
      <c r="AH48" s="247"/>
      <c r="AI48" s="244"/>
      <c r="AJ48" s="244"/>
      <c r="AK48" s="117"/>
      <c r="AL48" s="42"/>
      <c r="AM48" s="251"/>
      <c r="AN48" s="36"/>
      <c r="AO48" s="247"/>
      <c r="AP48" s="244"/>
      <c r="AQ48" s="244"/>
      <c r="AR48" s="172" t="s">
        <v>435</v>
      </c>
      <c r="AS48" s="42"/>
      <c r="AT48" s="251"/>
      <c r="AU48" s="36"/>
      <c r="AV48" s="247"/>
      <c r="AW48" s="247"/>
      <c r="AX48" s="43"/>
      <c r="AY48" s="117"/>
      <c r="AZ48" s="42"/>
      <c r="BA48" s="251"/>
      <c r="BB48" s="36"/>
      <c r="BC48" s="247"/>
      <c r="BD48" s="244"/>
      <c r="BE48" s="244"/>
      <c r="BF48" s="172" t="s">
        <v>435</v>
      </c>
      <c r="BG48" s="42"/>
      <c r="BH48" s="251"/>
      <c r="BI48" s="36"/>
      <c r="BJ48" s="247"/>
      <c r="BK48" s="244"/>
      <c r="BL48" s="43"/>
      <c r="BM48" s="117"/>
      <c r="BN48" s="42"/>
      <c r="BO48" s="251"/>
      <c r="BP48" s="36"/>
      <c r="BQ48" s="247"/>
      <c r="BR48" s="244"/>
      <c r="BS48" s="244"/>
      <c r="BT48" s="172" t="s">
        <v>435</v>
      </c>
      <c r="BU48" s="42"/>
      <c r="BV48" s="251"/>
      <c r="BW48" s="36"/>
      <c r="BX48" s="247"/>
      <c r="BY48" s="244"/>
      <c r="BZ48" s="43"/>
      <c r="CC48" s="5"/>
      <c r="CD48" s="172" t="s">
        <v>435</v>
      </c>
      <c r="CE48" s="42"/>
      <c r="CF48" s="251"/>
      <c r="CG48" s="36"/>
      <c r="CH48" s="122"/>
      <c r="CI48" s="244"/>
      <c r="CJ48" s="244"/>
      <c r="CK48" s="117"/>
      <c r="CL48" s="42"/>
      <c r="CM48" s="251"/>
      <c r="CN48" s="36"/>
      <c r="CO48" s="247"/>
      <c r="CP48" s="247"/>
      <c r="CQ48" s="244"/>
      <c r="CR48" s="172" t="s">
        <v>435</v>
      </c>
      <c r="CS48" s="42"/>
      <c r="CT48" s="251"/>
      <c r="CU48" s="36"/>
      <c r="CV48" s="247"/>
      <c r="CW48" s="244"/>
      <c r="CX48" s="244"/>
      <c r="CY48" s="117"/>
      <c r="CZ48" s="42"/>
      <c r="DA48" s="251"/>
      <c r="DB48" s="36"/>
      <c r="DC48" s="247"/>
      <c r="DD48" s="244"/>
      <c r="DE48" s="244"/>
      <c r="DF48" s="172" t="s">
        <v>435</v>
      </c>
      <c r="DG48" s="42"/>
      <c r="DH48" s="251"/>
      <c r="DI48" s="36"/>
      <c r="DJ48" s="247"/>
      <c r="DK48" s="244"/>
      <c r="DL48" s="244"/>
      <c r="DM48" s="117"/>
      <c r="DN48" s="42"/>
      <c r="DO48" s="251"/>
      <c r="DP48" s="36"/>
      <c r="DQ48" s="247"/>
      <c r="DR48" s="244"/>
      <c r="DS48" s="244"/>
      <c r="DT48" s="172" t="s">
        <v>435</v>
      </c>
      <c r="DU48" s="42"/>
      <c r="DV48" s="251"/>
      <c r="DW48" s="36"/>
      <c r="DX48" s="247"/>
      <c r="DY48" s="247"/>
      <c r="DZ48" s="43"/>
      <c r="EA48" s="117"/>
      <c r="EB48" s="42"/>
      <c r="EC48" s="251"/>
      <c r="ED48" s="36"/>
      <c r="EE48" s="247"/>
      <c r="EF48" s="244"/>
      <c r="EG48" s="244"/>
      <c r="EH48" s="172" t="s">
        <v>435</v>
      </c>
      <c r="EI48" s="42"/>
      <c r="EJ48" s="251"/>
      <c r="EK48" s="36"/>
      <c r="EL48" s="247"/>
      <c r="EM48" s="244"/>
      <c r="EN48" s="43"/>
      <c r="EO48" s="117"/>
      <c r="EP48" s="42"/>
      <c r="EQ48" s="251"/>
      <c r="ER48" s="36"/>
      <c r="ES48" s="247"/>
      <c r="ET48" s="244"/>
      <c r="EU48" s="244"/>
      <c r="EV48" s="172" t="s">
        <v>435</v>
      </c>
      <c r="EW48" s="42"/>
      <c r="EX48" s="251"/>
      <c r="EY48" s="36"/>
      <c r="EZ48" s="247"/>
      <c r="FA48" s="244"/>
      <c r="FB48" s="43"/>
    </row>
    <row r="49" spans="1:159" s="252" customFormat="1" ht="16.5" customHeight="1">
      <c r="A49" s="252" t="s">
        <v>988</v>
      </c>
      <c r="B49" s="271">
        <f t="shared" ref="B49:AG49" si="241">(POWER(B47/B18, 1/29)-1)*100</f>
        <v>1.0190278084055704</v>
      </c>
      <c r="C49" s="271">
        <f t="shared" si="241"/>
        <v>1.0190278084055704</v>
      </c>
      <c r="D49" s="271">
        <f t="shared" si="241"/>
        <v>0.1848574811765813</v>
      </c>
      <c r="E49" s="271">
        <f t="shared" si="241"/>
        <v>-0.82575564755097419</v>
      </c>
      <c r="F49" s="271">
        <f t="shared" si="241"/>
        <v>-0.97954070501959922</v>
      </c>
      <c r="G49" s="271">
        <f>(POWER(G47/G18, 1/29)-1)*100</f>
        <v>-0.88465188075232959</v>
      </c>
      <c r="H49" s="271">
        <f t="shared" si="241"/>
        <v>-1.8555270605022378</v>
      </c>
      <c r="I49" s="271">
        <f t="shared" si="241"/>
        <v>0.19450618772276496</v>
      </c>
      <c r="J49" s="271">
        <f t="shared" si="241"/>
        <v>0.19450618772276496</v>
      </c>
      <c r="K49" s="271">
        <f t="shared" si="241"/>
        <v>0.62579939663485185</v>
      </c>
      <c r="L49" s="271">
        <f t="shared" si="241"/>
        <v>0.43045594546273769</v>
      </c>
      <c r="M49" s="271">
        <f t="shared" si="241"/>
        <v>-0.10605289194529632</v>
      </c>
      <c r="N49" s="271">
        <f t="shared" si="241"/>
        <v>-1.4153729229731904</v>
      </c>
      <c r="O49" s="271">
        <f t="shared" si="241"/>
        <v>-1.5199247710018571</v>
      </c>
      <c r="P49" s="271">
        <f t="shared" si="241"/>
        <v>0.81606651291801224</v>
      </c>
      <c r="Q49" s="271">
        <f t="shared" si="241"/>
        <v>0.81606651291801224</v>
      </c>
      <c r="R49" s="271">
        <f t="shared" si="241"/>
        <v>1.5777765080878803</v>
      </c>
      <c r="S49" s="271">
        <f t="shared" si="241"/>
        <v>0.75554425154273908</v>
      </c>
      <c r="T49" s="271">
        <f t="shared" si="241"/>
        <v>-0.46598889665686594</v>
      </c>
      <c r="U49" s="271">
        <f t="shared" si="241"/>
        <v>-1.0220890336288813</v>
      </c>
      <c r="V49" s="271">
        <f t="shared" si="241"/>
        <v>-1.483315108875094</v>
      </c>
      <c r="W49" s="271">
        <f t="shared" si="241"/>
        <v>0.49276299748601815</v>
      </c>
      <c r="X49" s="271">
        <f t="shared" si="241"/>
        <v>0.49276299748601815</v>
      </c>
      <c r="Y49" s="271">
        <f t="shared" si="241"/>
        <v>-0.68470048630328018</v>
      </c>
      <c r="Z49" s="271">
        <f t="shared" si="241"/>
        <v>-1.1716898298624434</v>
      </c>
      <c r="AA49" s="271">
        <f t="shared" si="241"/>
        <v>-1.0989919714528562</v>
      </c>
      <c r="AB49" s="271">
        <f t="shared" si="241"/>
        <v>-1.3038555203702562</v>
      </c>
      <c r="AC49" s="271">
        <f t="shared" si="241"/>
        <v>-2.3885182243349012</v>
      </c>
      <c r="AD49" s="271">
        <f t="shared" si="241"/>
        <v>0.43831054555740767</v>
      </c>
      <c r="AE49" s="271">
        <f t="shared" si="241"/>
        <v>0.43831054555740767</v>
      </c>
      <c r="AF49" s="271">
        <f t="shared" si="241"/>
        <v>-0.32336036565017157</v>
      </c>
      <c r="AG49" s="271">
        <f t="shared" si="241"/>
        <v>-0.75834699635065617</v>
      </c>
      <c r="AH49" s="271">
        <f t="shared" ref="AH49:BM49" si="242">(POWER(AH47/AH18, 1/29)-1)*100</f>
        <v>-1.0260750998277834</v>
      </c>
      <c r="AI49" s="271">
        <f t="shared" si="242"/>
        <v>-0.82043546148019564</v>
      </c>
      <c r="AJ49" s="271">
        <f t="shared" si="242"/>
        <v>-1.8380922773275743</v>
      </c>
      <c r="AK49" s="271">
        <f t="shared" si="242"/>
        <v>0.47186922434538925</v>
      </c>
      <c r="AL49" s="271">
        <f t="shared" si="242"/>
        <v>0.47186922434538925</v>
      </c>
      <c r="AM49" s="271">
        <f t="shared" si="242"/>
        <v>-1.0946904029206506</v>
      </c>
      <c r="AN49" s="271">
        <f t="shared" si="242"/>
        <v>-1.5592022317889254</v>
      </c>
      <c r="AO49" s="271">
        <f t="shared" si="242"/>
        <v>-1.4723557451134406</v>
      </c>
      <c r="AP49" s="271">
        <f t="shared" si="242"/>
        <v>-1.4925175136585866</v>
      </c>
      <c r="AQ49" s="271">
        <f t="shared" si="242"/>
        <v>-2.9428980914128489</v>
      </c>
      <c r="AR49" s="271">
        <f t="shared" si="242"/>
        <v>1.3339771573614323</v>
      </c>
      <c r="AS49" s="271">
        <f t="shared" si="242"/>
        <v>1.3339771573614323</v>
      </c>
      <c r="AT49" s="271">
        <f t="shared" si="242"/>
        <v>1.322234475932671</v>
      </c>
      <c r="AU49" s="271">
        <f t="shared" si="242"/>
        <v>-1.1588098837289618E-2</v>
      </c>
      <c r="AV49" s="271">
        <f t="shared" si="242"/>
        <v>-0.74074385116783548</v>
      </c>
      <c r="AW49" s="271">
        <f t="shared" si="242"/>
        <v>-0.83622467646694565</v>
      </c>
      <c r="AX49" s="271">
        <f t="shared" si="242"/>
        <v>-1.5707742447619077</v>
      </c>
      <c r="AY49" s="271">
        <f t="shared" si="242"/>
        <v>0.29421990980125212</v>
      </c>
      <c r="AZ49" s="271">
        <f t="shared" si="242"/>
        <v>0.29421990980125212</v>
      </c>
      <c r="BA49" s="271">
        <f t="shared" si="242"/>
        <v>4.1443270972485458E-2</v>
      </c>
      <c r="BB49" s="271">
        <f t="shared" si="242"/>
        <v>-0.25203510138082086</v>
      </c>
      <c r="BC49" s="271">
        <f t="shared" si="242"/>
        <v>0.30107319259262688</v>
      </c>
      <c r="BD49" s="271">
        <f t="shared" si="242"/>
        <v>-2.1788842550761078</v>
      </c>
      <c r="BE49" s="271">
        <f t="shared" si="242"/>
        <v>-1.8843710988731499</v>
      </c>
      <c r="BF49" s="271">
        <f t="shared" si="242"/>
        <v>-6.8274406842805391E-2</v>
      </c>
      <c r="BG49" s="271">
        <f t="shared" si="242"/>
        <v>-6.8274406842805391E-2</v>
      </c>
      <c r="BH49" s="271">
        <f t="shared" si="242"/>
        <v>-0.47318547316502757</v>
      </c>
      <c r="BI49" s="271">
        <f t="shared" si="242"/>
        <v>-0.40518770582497199</v>
      </c>
      <c r="BJ49" s="271">
        <f t="shared" si="242"/>
        <v>-0.59309861993055435</v>
      </c>
      <c r="BK49" s="271">
        <f t="shared" si="242"/>
        <v>0.77696205796908835</v>
      </c>
      <c r="BL49" s="271">
        <f t="shared" si="242"/>
        <v>0.17925528679532121</v>
      </c>
      <c r="BM49" s="271">
        <f t="shared" si="242"/>
        <v>1.6094631731713216</v>
      </c>
      <c r="BN49" s="271">
        <f t="shared" ref="BN49:BZ49" si="243">(POWER(BN47/BN18, 1/29)-1)*100</f>
        <v>1.6094631731713216</v>
      </c>
      <c r="BO49" s="271">
        <f t="shared" si="243"/>
        <v>-0.18613539967039516</v>
      </c>
      <c r="BP49" s="271">
        <f t="shared" si="243"/>
        <v>-1.7671568343801902</v>
      </c>
      <c r="BQ49" s="271">
        <f t="shared" si="243"/>
        <v>-0.12353098852224687</v>
      </c>
      <c r="BR49" s="271">
        <f t="shared" si="243"/>
        <v>-4.9317757291811315E-2</v>
      </c>
      <c r="BS49" s="271">
        <f t="shared" si="243"/>
        <v>-0.17278782310095053</v>
      </c>
      <c r="BT49" s="271">
        <f t="shared" si="243"/>
        <v>1.5332533784988334</v>
      </c>
      <c r="BU49" s="271">
        <f t="shared" si="243"/>
        <v>1.5332533784988334</v>
      </c>
      <c r="BV49" s="271">
        <f t="shared" si="243"/>
        <v>0.12734255576705156</v>
      </c>
      <c r="BW49" s="271">
        <f t="shared" si="243"/>
        <v>-1.3846801672854681</v>
      </c>
      <c r="BX49" s="271">
        <f t="shared" si="243"/>
        <v>-1.8026152180315669</v>
      </c>
      <c r="BY49" s="271">
        <f t="shared" si="243"/>
        <v>0.20160509074362842</v>
      </c>
      <c r="BZ49" s="271">
        <f t="shared" si="243"/>
        <v>-1.6046442913340009</v>
      </c>
      <c r="CA49" s="269"/>
      <c r="CB49" s="269"/>
      <c r="CC49" s="252" t="s">
        <v>973</v>
      </c>
      <c r="CD49" s="271">
        <f t="shared" ref="CD49:EO49" si="244">(POWER(CD47/CD18, 1/29)-1)*100</f>
        <v>1.0190278084055704</v>
      </c>
      <c r="CE49" s="271">
        <f t="shared" si="244"/>
        <v>1.0190278084055704</v>
      </c>
      <c r="CF49" s="271">
        <f t="shared" si="244"/>
        <v>0.1848574811765813</v>
      </c>
      <c r="CG49" s="271">
        <f t="shared" si="244"/>
        <v>-0.82575564755097419</v>
      </c>
      <c r="CH49" s="271">
        <f t="shared" si="244"/>
        <v>-2.7142260661494721</v>
      </c>
      <c r="CI49" s="271">
        <f t="shared" si="244"/>
        <v>-1.094129047819925</v>
      </c>
      <c r="CJ49" s="271">
        <f t="shared" si="244"/>
        <v>-3.7786579781561525</v>
      </c>
      <c r="CK49" s="271">
        <f t="shared" si="244"/>
        <v>0.19450618772276496</v>
      </c>
      <c r="CL49" s="271">
        <f t="shared" si="244"/>
        <v>0.19450618772276496</v>
      </c>
      <c r="CM49" s="271">
        <f t="shared" si="244"/>
        <v>0.62579939663485185</v>
      </c>
      <c r="CN49" s="271">
        <f t="shared" si="244"/>
        <v>0.43045594546273769</v>
      </c>
      <c r="CO49" s="271">
        <f t="shared" si="244"/>
        <v>-3.9859085166064068</v>
      </c>
      <c r="CP49" s="271">
        <f t="shared" si="244"/>
        <v>-3.4852677011066646</v>
      </c>
      <c r="CQ49" s="271">
        <f t="shared" si="244"/>
        <v>-7.3322566355881191</v>
      </c>
      <c r="CR49" s="271">
        <f t="shared" si="244"/>
        <v>0.81606651291801224</v>
      </c>
      <c r="CS49" s="271">
        <f t="shared" si="244"/>
        <v>0.81606651291801224</v>
      </c>
      <c r="CT49" s="271">
        <f t="shared" si="244"/>
        <v>1.5777765080878803</v>
      </c>
      <c r="CU49" s="271">
        <f t="shared" si="244"/>
        <v>0.75554425154273908</v>
      </c>
      <c r="CV49" s="271">
        <f t="shared" si="244"/>
        <v>-2.3781274779254291</v>
      </c>
      <c r="CW49" s="271">
        <f t="shared" si="244"/>
        <v>-0.45459480898500937</v>
      </c>
      <c r="CX49" s="271">
        <f t="shared" si="244"/>
        <v>-2.8219114428447378</v>
      </c>
      <c r="CY49" s="271">
        <f t="shared" si="244"/>
        <v>0.49276299748601815</v>
      </c>
      <c r="CZ49" s="271">
        <f t="shared" si="244"/>
        <v>0.49276299748601815</v>
      </c>
      <c r="DA49" s="271">
        <f t="shared" si="244"/>
        <v>-0.68470048630328018</v>
      </c>
      <c r="DB49" s="271">
        <f t="shared" si="244"/>
        <v>-1.1716898298624434</v>
      </c>
      <c r="DC49" s="271">
        <f t="shared" si="244"/>
        <v>-3.20430266230185</v>
      </c>
      <c r="DD49" s="271">
        <f t="shared" si="244"/>
        <v>-1.9192700419188413</v>
      </c>
      <c r="DE49" s="271">
        <f t="shared" si="244"/>
        <v>-5.0620734831707264</v>
      </c>
      <c r="DF49" s="271">
        <f t="shared" si="244"/>
        <v>0.43831054555740767</v>
      </c>
      <c r="DG49" s="271">
        <f t="shared" si="244"/>
        <v>0.43831054555740767</v>
      </c>
      <c r="DH49" s="271">
        <f t="shared" si="244"/>
        <v>-0.32336036565017157</v>
      </c>
      <c r="DI49" s="271">
        <f t="shared" si="244"/>
        <v>-0.75834699635065617</v>
      </c>
      <c r="DJ49" s="271">
        <f t="shared" si="244"/>
        <v>-2.9323823254968628</v>
      </c>
      <c r="DK49" s="271">
        <f t="shared" si="244"/>
        <v>-1.2884436030547231</v>
      </c>
      <c r="DL49" s="271">
        <f t="shared" si="244"/>
        <v>-4.1830438360616062</v>
      </c>
      <c r="DM49" s="271">
        <f t="shared" si="244"/>
        <v>0.47186922434538925</v>
      </c>
      <c r="DN49" s="271">
        <f t="shared" si="244"/>
        <v>0.47186922434538925</v>
      </c>
      <c r="DO49" s="271">
        <f t="shared" si="244"/>
        <v>-1.0946904029206506</v>
      </c>
      <c r="DP49" s="271">
        <f t="shared" si="244"/>
        <v>-1.5592022317889254</v>
      </c>
      <c r="DQ49" s="271">
        <f t="shared" si="244"/>
        <v>-3.0702874181701367</v>
      </c>
      <c r="DR49" s="271">
        <f t="shared" si="244"/>
        <v>-2.0188294069067858</v>
      </c>
      <c r="DS49" s="271">
        <f t="shared" si="244"/>
        <v>-5.0271329598023495</v>
      </c>
      <c r="DT49" s="271">
        <f t="shared" si="244"/>
        <v>1.3339771573614323</v>
      </c>
      <c r="DU49" s="271">
        <f t="shared" si="244"/>
        <v>1.3339771573614323</v>
      </c>
      <c r="DV49" s="271">
        <f t="shared" si="244"/>
        <v>1.322234475932671</v>
      </c>
      <c r="DW49" s="271">
        <f t="shared" si="244"/>
        <v>-1.1588098837289618E-2</v>
      </c>
      <c r="DX49" s="271">
        <f t="shared" si="244"/>
        <v>-2.5343678804181868</v>
      </c>
      <c r="DY49" s="271">
        <f t="shared" si="244"/>
        <v>-1.5329999529102745</v>
      </c>
      <c r="DZ49" s="271">
        <f t="shared" si="244"/>
        <v>-4.0285159749150701</v>
      </c>
      <c r="EA49" s="271">
        <f t="shared" si="244"/>
        <v>0.29421990980125212</v>
      </c>
      <c r="EB49" s="271">
        <f t="shared" si="244"/>
        <v>0.29421990980125212</v>
      </c>
      <c r="EC49" s="271">
        <f t="shared" si="244"/>
        <v>4.1443270972485458E-2</v>
      </c>
      <c r="ED49" s="271">
        <f t="shared" si="244"/>
        <v>-0.25203510138082086</v>
      </c>
      <c r="EE49" s="271">
        <f t="shared" si="244"/>
        <v>-2.7839696889831234</v>
      </c>
      <c r="EF49" s="271">
        <f t="shared" si="244"/>
        <v>-1.4949584522448656</v>
      </c>
      <c r="EG49" s="271">
        <f t="shared" si="244"/>
        <v>-4.2373089510545974</v>
      </c>
      <c r="EH49" s="271">
        <f t="shared" si="244"/>
        <v>-6.8274406842805391E-2</v>
      </c>
      <c r="EI49" s="271">
        <f t="shared" si="244"/>
        <v>-6.8274406842805391E-2</v>
      </c>
      <c r="EJ49" s="271">
        <f t="shared" si="244"/>
        <v>-0.47318547316502757</v>
      </c>
      <c r="EK49" s="271">
        <f t="shared" si="244"/>
        <v>-0.40518770582497199</v>
      </c>
      <c r="EL49" s="271">
        <f t="shared" si="244"/>
        <v>-1.0765696605444575</v>
      </c>
      <c r="EM49" s="271">
        <f t="shared" si="244"/>
        <v>0.95560782304902059</v>
      </c>
      <c r="EN49" s="271">
        <f t="shared" si="244"/>
        <v>-0.1312496213921821</v>
      </c>
      <c r="EO49" s="271">
        <f t="shared" si="244"/>
        <v>1.6094631731713216</v>
      </c>
      <c r="EP49" s="271">
        <f t="shared" ref="EP49:FB49" si="245">(POWER(EP47/EP18, 1/29)-1)*100</f>
        <v>1.6094631731713216</v>
      </c>
      <c r="EQ49" s="271">
        <f t="shared" si="245"/>
        <v>-0.18613539967039516</v>
      </c>
      <c r="ER49" s="271">
        <f t="shared" si="245"/>
        <v>-1.7671568343801902</v>
      </c>
      <c r="ES49" s="271">
        <f t="shared" si="245"/>
        <v>-1.5533000661493213</v>
      </c>
      <c r="ET49" s="271">
        <f t="shared" si="245"/>
        <v>0.23783892359907632</v>
      </c>
      <c r="EU49" s="271">
        <f t="shared" si="245"/>
        <v>-1.3191554947078465</v>
      </c>
      <c r="EV49" s="271">
        <f t="shared" si="245"/>
        <v>1.5332533784988334</v>
      </c>
      <c r="EW49" s="271">
        <f t="shared" si="245"/>
        <v>1.5332533784988334</v>
      </c>
      <c r="EX49" s="271">
        <f t="shared" si="245"/>
        <v>0.12734255576705156</v>
      </c>
      <c r="EY49" s="271">
        <f t="shared" si="245"/>
        <v>-1.3846801672854681</v>
      </c>
      <c r="EZ49" s="271">
        <f t="shared" si="245"/>
        <v>-3.3760343526719416</v>
      </c>
      <c r="FA49" s="271">
        <f t="shared" si="245"/>
        <v>0.60961045955767457</v>
      </c>
      <c r="FB49" s="271">
        <f t="shared" si="245"/>
        <v>-2.7870045516464104</v>
      </c>
      <c r="FC49" s="269"/>
    </row>
    <row r="50" spans="1:159">
      <c r="B50" s="35" t="s">
        <v>955</v>
      </c>
      <c r="P50" s="35" t="s">
        <v>380</v>
      </c>
      <c r="AD50" s="35" t="s">
        <v>380</v>
      </c>
      <c r="AR50" s="35" t="s">
        <v>380</v>
      </c>
      <c r="BF50" s="35" t="s">
        <v>380</v>
      </c>
      <c r="BT50" s="35" t="s">
        <v>380</v>
      </c>
      <c r="CD50" s="35" t="s">
        <v>955</v>
      </c>
      <c r="CR50" s="35" t="s">
        <v>380</v>
      </c>
      <c r="DF50" s="35" t="s">
        <v>380</v>
      </c>
      <c r="DT50" s="35" t="s">
        <v>380</v>
      </c>
      <c r="EH50" s="35" t="s">
        <v>380</v>
      </c>
      <c r="EV50" s="35" t="s">
        <v>380</v>
      </c>
    </row>
    <row r="51" spans="1:159" ht="28.5" customHeight="1">
      <c r="B51" s="658" t="s">
        <v>961</v>
      </c>
      <c r="C51" s="658"/>
      <c r="D51" s="658"/>
      <c r="E51" s="658"/>
      <c r="F51" s="658"/>
      <c r="G51" s="658"/>
      <c r="H51" s="658"/>
      <c r="I51" s="658"/>
      <c r="J51" s="658"/>
      <c r="CD51" s="35" t="s">
        <v>961</v>
      </c>
      <c r="EH51" s="206"/>
    </row>
    <row r="52" spans="1:159" ht="15.75" customHeight="1">
      <c r="B52" s="78" t="s">
        <v>1144</v>
      </c>
      <c r="CD52" s="78" t="s">
        <v>768</v>
      </c>
      <c r="EH52" s="206"/>
    </row>
    <row r="53" spans="1:159" ht="26.25" customHeight="1">
      <c r="B53" s="659" t="s">
        <v>1148</v>
      </c>
      <c r="C53" s="659"/>
      <c r="D53" s="659"/>
      <c r="E53" s="659"/>
      <c r="F53" s="659"/>
      <c r="G53" s="659"/>
      <c r="H53" s="659"/>
      <c r="I53" s="659"/>
      <c r="J53" s="659"/>
      <c r="CD53" s="78" t="s">
        <v>962</v>
      </c>
      <c r="EH53" s="206"/>
    </row>
    <row r="54" spans="1:159">
      <c r="B54" s="78" t="s">
        <v>1146</v>
      </c>
      <c r="CD54" s="78" t="s">
        <v>963</v>
      </c>
      <c r="EH54" s="206"/>
    </row>
    <row r="55" spans="1:159" ht="24.75" customHeight="1">
      <c r="B55" s="658" t="s">
        <v>1145</v>
      </c>
      <c r="C55" s="658"/>
      <c r="D55" s="658"/>
      <c r="E55" s="658"/>
      <c r="F55" s="658"/>
      <c r="G55" s="658"/>
      <c r="H55" s="658"/>
      <c r="I55" s="658"/>
      <c r="J55" s="658"/>
      <c r="CD55" s="35" t="s">
        <v>960</v>
      </c>
      <c r="EH55" s="206"/>
    </row>
    <row r="56" spans="1:159">
      <c r="B56" s="35" t="s">
        <v>1143</v>
      </c>
      <c r="CD56" s="35" t="s">
        <v>977</v>
      </c>
      <c r="EH56" s="206"/>
    </row>
    <row r="57" spans="1:159" hidden="1">
      <c r="B57" s="78" t="s">
        <v>104</v>
      </c>
    </row>
    <row r="58" spans="1:159">
      <c r="G58" s="35">
        <f>(POWER(G26/G18, 1/8)-1)*100</f>
        <v>-2.2117378512797048</v>
      </c>
    </row>
    <row r="59" spans="1:159">
      <c r="B59" s="78"/>
      <c r="G59" s="35">
        <f>(POWER(G37/G26, 1/11)-1)*100</f>
        <v>-0.88304391577109786</v>
      </c>
    </row>
    <row r="60" spans="1:159">
      <c r="G60" s="35">
        <f>(POWER(G45/G37, 1/8)-1)*100</f>
        <v>0.47511554738279838</v>
      </c>
    </row>
  </sheetData>
  <mergeCells count="3">
    <mergeCell ref="B55:J55"/>
    <mergeCell ref="B53:J53"/>
    <mergeCell ref="B51:J51"/>
  </mergeCells>
  <phoneticPr fontId="0" type="noConversion"/>
  <pageMargins left="0.35433070866141736" right="0.35433070866141736" top="0.62992125984251968" bottom="0.59055118110236227" header="0.51181102362204722" footer="0.51181102362204722"/>
  <pageSetup scale="61" orientation="landscape" r:id="rId1"/>
  <headerFooter alignWithMargins="0"/>
  <colBreaks count="5" manualBreakCount="5">
    <brk id="15" max="1048575" man="1"/>
    <brk id="29" max="1048575" man="1"/>
    <brk id="43" max="1048575" man="1"/>
    <brk id="57" max="1048575" man="1"/>
    <brk id="71" max="1048575" man="1"/>
  </colBreaks>
</worksheet>
</file>

<file path=xl/worksheets/sheet57.xml><?xml version="1.0" encoding="utf-8"?>
<worksheet xmlns="http://schemas.openxmlformats.org/spreadsheetml/2006/main" xmlns:r="http://schemas.openxmlformats.org/officeDocument/2006/relationships">
  <dimension ref="A1:EH51"/>
  <sheetViews>
    <sheetView view="pageBreakPreview" zoomScaleSheetLayoutView="100" workbookViewId="0">
      <pane xSplit="1" ySplit="4" topLeftCell="B5" activePane="bottomRight" state="frozen"/>
      <selection activeCell="E9" sqref="E9"/>
      <selection pane="topRight" activeCell="E9" sqref="E9"/>
      <selection pane="bottomLeft" activeCell="E9" sqref="E9"/>
      <selection pane="bottomRight" activeCell="E9" sqref="E9"/>
    </sheetView>
  </sheetViews>
  <sheetFormatPr defaultRowHeight="12.75"/>
  <cols>
    <col min="1" max="1" width="9" style="1"/>
    <col min="2" max="2" width="10" style="1" customWidth="1"/>
    <col min="3" max="3" width="8.875" style="1"/>
    <col min="4" max="4" width="10.125" style="1" bestFit="1" customWidth="1"/>
    <col min="5" max="6" width="8.875" style="1"/>
    <col min="7" max="7" width="9.875" style="1" customWidth="1"/>
    <col min="8" max="23" width="8.875" style="1"/>
    <col min="24" max="24" width="10.125" style="1" bestFit="1" customWidth="1"/>
    <col min="25" max="27" width="8.875" style="1"/>
    <col min="28" max="28" width="10.125" style="1" bestFit="1" customWidth="1"/>
    <col min="29" max="43" width="8.875" style="1"/>
    <col min="44" max="44" width="10.125" style="1" bestFit="1" customWidth="1"/>
    <col min="45" max="16384" width="9" style="1"/>
  </cols>
  <sheetData>
    <row r="1" spans="1:45" ht="15.75">
      <c r="B1" s="2" t="s">
        <v>303</v>
      </c>
      <c r="R1" s="2" t="s">
        <v>302</v>
      </c>
      <c r="AH1" s="2" t="s">
        <v>301</v>
      </c>
    </row>
    <row r="3" spans="1:45" s="3" customFormat="1" ht="15">
      <c r="B3" s="3" t="s">
        <v>321</v>
      </c>
      <c r="F3" s="3" t="s">
        <v>370</v>
      </c>
      <c r="J3" s="3" t="s">
        <v>371</v>
      </c>
      <c r="N3" s="3" t="s">
        <v>372</v>
      </c>
      <c r="R3" s="3" t="s">
        <v>373</v>
      </c>
      <c r="V3" s="3" t="s">
        <v>374</v>
      </c>
      <c r="Z3" s="3" t="s">
        <v>375</v>
      </c>
      <c r="AD3" s="3" t="s">
        <v>376</v>
      </c>
      <c r="AH3" s="3" t="s">
        <v>377</v>
      </c>
      <c r="AL3" s="3" t="s">
        <v>378</v>
      </c>
      <c r="AP3" s="3" t="s">
        <v>379</v>
      </c>
    </row>
    <row r="4" spans="1:45" s="4" customFormat="1" ht="25.5">
      <c r="B4" s="4" t="s">
        <v>657</v>
      </c>
      <c r="C4" s="4" t="s">
        <v>658</v>
      </c>
      <c r="D4" s="4" t="s">
        <v>1</v>
      </c>
      <c r="E4" s="4" t="s">
        <v>658</v>
      </c>
      <c r="F4" s="4" t="s">
        <v>657</v>
      </c>
      <c r="G4" s="4" t="s">
        <v>658</v>
      </c>
      <c r="H4" s="4" t="s">
        <v>1</v>
      </c>
      <c r="I4" s="4" t="s">
        <v>658</v>
      </c>
      <c r="J4" s="4" t="s">
        <v>657</v>
      </c>
      <c r="K4" s="4" t="s">
        <v>658</v>
      </c>
      <c r="L4" s="4" t="s">
        <v>1</v>
      </c>
      <c r="M4" s="4" t="s">
        <v>658</v>
      </c>
      <c r="N4" s="4" t="s">
        <v>657</v>
      </c>
      <c r="O4" s="4" t="s">
        <v>658</v>
      </c>
      <c r="P4" s="4" t="s">
        <v>1</v>
      </c>
      <c r="Q4" s="4" t="s">
        <v>658</v>
      </c>
      <c r="R4" s="4" t="s">
        <v>657</v>
      </c>
      <c r="S4" s="4" t="s">
        <v>658</v>
      </c>
      <c r="T4" s="4" t="s">
        <v>1</v>
      </c>
      <c r="U4" s="4" t="s">
        <v>658</v>
      </c>
      <c r="V4" s="4" t="s">
        <v>657</v>
      </c>
      <c r="W4" s="4" t="s">
        <v>658</v>
      </c>
      <c r="X4" s="4" t="s">
        <v>1</v>
      </c>
      <c r="Y4" s="4" t="s">
        <v>658</v>
      </c>
      <c r="Z4" s="4" t="s">
        <v>657</v>
      </c>
      <c r="AA4" s="4" t="s">
        <v>658</v>
      </c>
      <c r="AB4" s="4" t="s">
        <v>1</v>
      </c>
      <c r="AC4" s="4" t="s">
        <v>658</v>
      </c>
      <c r="AD4" s="4" t="s">
        <v>657</v>
      </c>
      <c r="AE4" s="4" t="s">
        <v>658</v>
      </c>
      <c r="AF4" s="4" t="s">
        <v>1</v>
      </c>
      <c r="AG4" s="4" t="s">
        <v>658</v>
      </c>
      <c r="AH4" s="4" t="s">
        <v>657</v>
      </c>
      <c r="AI4" s="4" t="s">
        <v>658</v>
      </c>
      <c r="AJ4" s="4" t="s">
        <v>1</v>
      </c>
      <c r="AK4" s="4" t="s">
        <v>658</v>
      </c>
      <c r="AL4" s="4" t="s">
        <v>657</v>
      </c>
      <c r="AM4" s="4" t="s">
        <v>658</v>
      </c>
      <c r="AN4" s="4" t="s">
        <v>1</v>
      </c>
      <c r="AO4" s="4" t="s">
        <v>658</v>
      </c>
      <c r="AP4" s="4" t="s">
        <v>657</v>
      </c>
      <c r="AQ4" s="4" t="s">
        <v>658</v>
      </c>
      <c r="AR4" s="4" t="s">
        <v>1</v>
      </c>
      <c r="AS4" s="4" t="s">
        <v>658</v>
      </c>
    </row>
    <row r="5" spans="1:45" s="4" customFormat="1" hidden="1"/>
    <row r="6" spans="1:45" s="4" customFormat="1" ht="38.25">
      <c r="B6" s="4" t="s">
        <v>105</v>
      </c>
      <c r="C6" s="4" t="s">
        <v>293</v>
      </c>
      <c r="D6" s="4" t="s">
        <v>107</v>
      </c>
      <c r="E6" s="4" t="s">
        <v>294</v>
      </c>
      <c r="F6" s="4" t="s">
        <v>109</v>
      </c>
      <c r="G6" s="4" t="s">
        <v>295</v>
      </c>
      <c r="H6" s="4" t="s">
        <v>111</v>
      </c>
      <c r="I6" s="4" t="s">
        <v>296</v>
      </c>
      <c r="J6" s="4" t="s">
        <v>138</v>
      </c>
      <c r="K6" s="4" t="s">
        <v>297</v>
      </c>
      <c r="L6" s="4" t="s">
        <v>114</v>
      </c>
      <c r="M6" s="4" t="s">
        <v>298</v>
      </c>
      <c r="N6" s="4" t="s">
        <v>116</v>
      </c>
      <c r="O6" s="4" t="s">
        <v>299</v>
      </c>
      <c r="P6" s="4" t="s">
        <v>170</v>
      </c>
      <c r="Q6" s="4" t="s">
        <v>300</v>
      </c>
      <c r="R6" s="4" t="s">
        <v>105</v>
      </c>
      <c r="S6" s="4" t="s">
        <v>293</v>
      </c>
      <c r="T6" s="4" t="s">
        <v>107</v>
      </c>
      <c r="U6" s="4" t="s">
        <v>294</v>
      </c>
      <c r="V6" s="4" t="s">
        <v>109</v>
      </c>
      <c r="W6" s="4" t="s">
        <v>295</v>
      </c>
      <c r="X6" s="4" t="s">
        <v>111</v>
      </c>
      <c r="Y6" s="4" t="s">
        <v>296</v>
      </c>
      <c r="Z6" s="4" t="s">
        <v>138</v>
      </c>
      <c r="AA6" s="4" t="s">
        <v>297</v>
      </c>
      <c r="AB6" s="4" t="s">
        <v>114</v>
      </c>
      <c r="AC6" s="4" t="s">
        <v>298</v>
      </c>
      <c r="AD6" s="4" t="s">
        <v>116</v>
      </c>
      <c r="AE6" s="4" t="s">
        <v>299</v>
      </c>
      <c r="AF6" s="4" t="s">
        <v>170</v>
      </c>
      <c r="AG6" s="4" t="s">
        <v>300</v>
      </c>
      <c r="AH6" s="4" t="s">
        <v>105</v>
      </c>
      <c r="AI6" s="4" t="s">
        <v>293</v>
      </c>
      <c r="AJ6" s="4" t="s">
        <v>107</v>
      </c>
      <c r="AK6" s="4" t="s">
        <v>294</v>
      </c>
      <c r="AL6" s="4" t="s">
        <v>109</v>
      </c>
      <c r="AM6" s="4" t="s">
        <v>295</v>
      </c>
      <c r="AN6" s="4" t="s">
        <v>111</v>
      </c>
      <c r="AO6" s="4" t="s">
        <v>296</v>
      </c>
      <c r="AP6" s="4" t="s">
        <v>138</v>
      </c>
      <c r="AQ6" s="4" t="s">
        <v>297</v>
      </c>
      <c r="AR6" s="4" t="s">
        <v>114</v>
      </c>
      <c r="AS6" s="4" t="s">
        <v>298</v>
      </c>
    </row>
    <row r="7" spans="1:45" s="4" customFormat="1" hidden="1"/>
    <row r="8" spans="1:45" hidden="1">
      <c r="A8" s="1">
        <v>1971</v>
      </c>
      <c r="B8" s="7">
        <v>13766356</v>
      </c>
      <c r="C8" s="13">
        <f>B8/'a1'!$F8*100</f>
        <v>62.682524094309663</v>
      </c>
      <c r="D8" s="7">
        <v>4068886</v>
      </c>
      <c r="E8" s="13">
        <f>D8/'a1'!$F8*100</f>
        <v>18.526910442531001</v>
      </c>
      <c r="F8" s="7">
        <v>302409</v>
      </c>
      <c r="G8" s="13">
        <f>F8/'a1'!$L8*100</f>
        <v>56.966510565993666</v>
      </c>
      <c r="H8" s="7">
        <v>80655</v>
      </c>
      <c r="I8" s="13">
        <f>H8/'a1'!$L8*100</f>
        <v>15.193443018231001</v>
      </c>
      <c r="J8" s="7">
        <v>64651</v>
      </c>
      <c r="K8" s="13">
        <f>J8/'a1'!$R8*100</f>
        <v>57.421108259097089</v>
      </c>
      <c r="L8" s="7">
        <v>20349</v>
      </c>
      <c r="M8" s="13">
        <f>L8/'a1'!$R8*100</f>
        <v>18.073380643213046</v>
      </c>
      <c r="N8" s="7">
        <v>482633</v>
      </c>
      <c r="O8" s="13">
        <f>N8/'a1'!$X8*100</f>
        <v>60.533880851981827</v>
      </c>
      <c r="P8" s="7">
        <v>151091</v>
      </c>
      <c r="Q8" s="13">
        <f>P8/'a1'!$X8*100</f>
        <v>18.950474981625348</v>
      </c>
      <c r="R8" s="7">
        <v>383191</v>
      </c>
      <c r="S8" s="13">
        <f>R8/'a1'!$AD8*100</f>
        <v>59.643314639882583</v>
      </c>
      <c r="T8" s="7">
        <v>114458</v>
      </c>
      <c r="U8" s="13">
        <f>T8/'a1'!$AD8*100</f>
        <v>17.815278821923481</v>
      </c>
      <c r="V8" s="7">
        <v>3919243</v>
      </c>
      <c r="W8" s="13">
        <f>V8/'a1'!$AJ8*100</f>
        <v>63.859348688064223</v>
      </c>
      <c r="X8" s="7">
        <v>1095014</v>
      </c>
      <c r="Y8" s="13">
        <f>X8/'a1'!$AJ8*100</f>
        <v>17.841935507523253</v>
      </c>
      <c r="Z8" s="7">
        <v>4971830</v>
      </c>
      <c r="AA8" s="13">
        <f>Z8/'a1'!$AP8*100</f>
        <v>63.343265349959943</v>
      </c>
      <c r="AB8" s="7">
        <v>1490962</v>
      </c>
      <c r="AC8" s="13">
        <f>AB8/'a1'!$AP8*100</f>
        <v>18.995500971012074</v>
      </c>
      <c r="AD8" s="7">
        <v>614724</v>
      </c>
      <c r="AE8" s="13">
        <f>AD8/'a1'!$AV8*100</f>
        <v>61.541572727745987</v>
      </c>
      <c r="AF8" s="7">
        <v>197335</v>
      </c>
      <c r="AG8" s="13">
        <f>AF8/'a1'!$AV8*100</f>
        <v>19.75570541288408</v>
      </c>
      <c r="AH8" s="7">
        <v>556038</v>
      </c>
      <c r="AI8" s="13">
        <f>AH8/'a1'!$BB8*100</f>
        <v>59.658297193891244</v>
      </c>
      <c r="AJ8" s="7">
        <v>187632</v>
      </c>
      <c r="AK8" s="13">
        <f>AJ8/'a1'!$BB8*100</f>
        <v>20.13136803435053</v>
      </c>
      <c r="AL8" s="7">
        <v>1025070</v>
      </c>
      <c r="AM8" s="13">
        <f>AL8/'a1'!$BH8*100</f>
        <v>61.539265073238738</v>
      </c>
      <c r="AN8" s="7">
        <v>284038</v>
      </c>
      <c r="AO8" s="13">
        <f>AN8/'a1'!$BH8*100</f>
        <v>17.051996227450399</v>
      </c>
      <c r="AP8" s="7">
        <v>1414255</v>
      </c>
      <c r="AQ8" s="13">
        <f>AP8/'a1'!$BN8*100</f>
        <v>63.123139341298931</v>
      </c>
      <c r="AR8" s="7">
        <v>441059</v>
      </c>
      <c r="AS8" s="13">
        <f>AR8/'a1'!$BN8*100</f>
        <v>19.686003383218701</v>
      </c>
    </row>
    <row r="9" spans="1:45" hidden="1">
      <c r="A9" s="1">
        <v>1972</v>
      </c>
      <c r="B9" s="7">
        <v>14072053</v>
      </c>
      <c r="C9" s="13">
        <f>B9/'a1'!$F9*100</f>
        <v>63.334952557249345</v>
      </c>
      <c r="D9" s="7">
        <v>4148703</v>
      </c>
      <c r="E9" s="13">
        <f>D9/'a1'!$F9*100</f>
        <v>18.672322203385537</v>
      </c>
      <c r="F9" s="7">
        <v>310346</v>
      </c>
      <c r="G9" s="13">
        <f>F9/'a1'!$L9*100</f>
        <v>57.564864483866415</v>
      </c>
      <c r="H9" s="7">
        <v>82075</v>
      </c>
      <c r="I9" s="13">
        <f>H9/'a1'!$L9*100</f>
        <v>15.223770412743637</v>
      </c>
      <c r="J9" s="7">
        <v>65735</v>
      </c>
      <c r="K9" s="13">
        <f>J9/'a1'!$R9*100</f>
        <v>57.936717786003875</v>
      </c>
      <c r="L9" s="7">
        <v>20486</v>
      </c>
      <c r="M9" s="13">
        <f>L9/'a1'!$R9*100</f>
        <v>18.055702450202716</v>
      </c>
      <c r="N9" s="7">
        <v>489877</v>
      </c>
      <c r="O9" s="13">
        <f>N9/'a1'!$X9*100</f>
        <v>61.062505063851269</v>
      </c>
      <c r="P9" s="7">
        <v>151892</v>
      </c>
      <c r="Q9" s="13">
        <f>P9/'a1'!$X9*100</f>
        <v>18.933132233516776</v>
      </c>
      <c r="R9" s="7">
        <v>391119</v>
      </c>
      <c r="S9" s="13">
        <f>R9/'a1'!$AD9*100</f>
        <v>60.286326874434501</v>
      </c>
      <c r="T9" s="7">
        <v>115684</v>
      </c>
      <c r="U9" s="13">
        <f>T9/'a1'!$AD9*100</f>
        <v>17.831308216021419</v>
      </c>
      <c r="V9" s="7">
        <v>3994878</v>
      </c>
      <c r="W9" s="13">
        <f>V9/'a1'!$AJ9*100</f>
        <v>64.702595438837903</v>
      </c>
      <c r="X9" s="7">
        <v>1115712</v>
      </c>
      <c r="Y9" s="13">
        <f>X9/'a1'!$AJ9*100</f>
        <v>18.070504821988735</v>
      </c>
      <c r="Z9" s="7">
        <v>5089215</v>
      </c>
      <c r="AA9" s="13">
        <f>Z9/'a1'!$AP9*100</f>
        <v>63.909835809269154</v>
      </c>
      <c r="AB9" s="7">
        <v>1526174</v>
      </c>
      <c r="AC9" s="13">
        <f>AB9/'a1'!$AP9*100</f>
        <v>19.16553530483101</v>
      </c>
      <c r="AD9" s="7">
        <v>620343</v>
      </c>
      <c r="AE9" s="13">
        <f>AD9/'a1'!$AV9*100</f>
        <v>61.931988355237145</v>
      </c>
      <c r="AF9" s="7">
        <v>198591</v>
      </c>
      <c r="AG9" s="13">
        <f>AF9/'a1'!$AV9*100</f>
        <v>19.82634687496256</v>
      </c>
      <c r="AH9" s="7">
        <v>553449</v>
      </c>
      <c r="AI9" s="13">
        <f>AH9/'a1'!$BB9*100</f>
        <v>60.106540107300333</v>
      </c>
      <c r="AJ9" s="7">
        <v>187014</v>
      </c>
      <c r="AK9" s="13">
        <f>AJ9/'a1'!$BB9*100</f>
        <v>20.310389018006472</v>
      </c>
      <c r="AL9" s="7">
        <v>1054214</v>
      </c>
      <c r="AM9" s="13">
        <f>AL9/'a1'!$BH9*100</f>
        <v>62.228925263710899</v>
      </c>
      <c r="AN9" s="7">
        <v>290306</v>
      </c>
      <c r="AO9" s="13">
        <f>AN9/'a1'!$BH9*100</f>
        <v>17.136397712045994</v>
      </c>
      <c r="AP9" s="7">
        <v>1468208</v>
      </c>
      <c r="AQ9" s="13">
        <f>AP9/'a1'!$BN9*100</f>
        <v>63.777287208210296</v>
      </c>
      <c r="AR9" s="7">
        <v>454093</v>
      </c>
      <c r="AS9" s="13">
        <f>AR9/'a1'!$BN9*100</f>
        <v>19.72528393813263</v>
      </c>
    </row>
    <row r="10" spans="1:45" hidden="1">
      <c r="A10" s="1">
        <v>1973</v>
      </c>
      <c r="B10" s="7">
        <v>14397461</v>
      </c>
      <c r="C10" s="13">
        <f>B10/'a1'!$F10*100</f>
        <v>64.012109847967992</v>
      </c>
      <c r="D10" s="7">
        <v>4226803</v>
      </c>
      <c r="E10" s="13">
        <f>D10/'a1'!$F10*100</f>
        <v>18.79265920162733</v>
      </c>
      <c r="F10" s="7">
        <v>316915</v>
      </c>
      <c r="G10" s="13">
        <f>F10/'a1'!$L10*100</f>
        <v>58.089746151209489</v>
      </c>
      <c r="H10" s="7">
        <v>83008</v>
      </c>
      <c r="I10" s="13">
        <f>H10/'a1'!$L10*100</f>
        <v>15.21516384052379</v>
      </c>
      <c r="J10" s="7">
        <v>67162</v>
      </c>
      <c r="K10" s="13">
        <f>J10/'a1'!$R10*100</f>
        <v>58.595358576164713</v>
      </c>
      <c r="L10" s="7">
        <v>20577</v>
      </c>
      <c r="M10" s="13">
        <f>L10/'a1'!$R10*100</f>
        <v>17.952364334322109</v>
      </c>
      <c r="N10" s="7">
        <v>500907</v>
      </c>
      <c r="O10" s="13">
        <f>N10/'a1'!$X10*100</f>
        <v>61.658743503703903</v>
      </c>
      <c r="P10" s="7">
        <v>153159</v>
      </c>
      <c r="Q10" s="13">
        <f>P10/'a1'!$X10*100</f>
        <v>18.852983680171743</v>
      </c>
      <c r="R10" s="7">
        <v>400204</v>
      </c>
      <c r="S10" s="13">
        <f>R10/'a1'!$AD10*100</f>
        <v>60.93982214642466</v>
      </c>
      <c r="T10" s="7">
        <v>116926</v>
      </c>
      <c r="U10" s="13">
        <f>T10/'a1'!$AD10*100</f>
        <v>17.804543793397489</v>
      </c>
      <c r="V10" s="7">
        <v>4073769</v>
      </c>
      <c r="W10" s="13">
        <f>V10/'a1'!$AJ10*100</f>
        <v>65.566896914913841</v>
      </c>
      <c r="X10" s="7">
        <v>1137245</v>
      </c>
      <c r="Y10" s="13">
        <f>X10/'a1'!$AJ10*100</f>
        <v>18.303842383306758</v>
      </c>
      <c r="Z10" s="7">
        <v>5209052</v>
      </c>
      <c r="AA10" s="13">
        <f>Z10/'a1'!$AP10*100</f>
        <v>64.504014402987181</v>
      </c>
      <c r="AB10" s="7">
        <v>1559417</v>
      </c>
      <c r="AC10" s="13">
        <f>AB10/'a1'!$AP10*100</f>
        <v>19.310357552250021</v>
      </c>
      <c r="AD10" s="7">
        <v>628358</v>
      </c>
      <c r="AE10" s="13">
        <f>AD10/'a1'!$AV10*100</f>
        <v>62.376831275475055</v>
      </c>
      <c r="AF10" s="7">
        <v>199642</v>
      </c>
      <c r="AG10" s="13">
        <f>AF10/'a1'!$AV10*100</f>
        <v>19.818376386547783</v>
      </c>
      <c r="AH10" s="7">
        <v>551496</v>
      </c>
      <c r="AI10" s="13">
        <f>AH10/'a1'!$BB10*100</f>
        <v>60.475230196822807</v>
      </c>
      <c r="AJ10" s="7">
        <v>186256</v>
      </c>
      <c r="AK10" s="13">
        <f>AJ10/'a1'!$BB10*100</f>
        <v>20.424217901017286</v>
      </c>
      <c r="AL10" s="7">
        <v>1086618</v>
      </c>
      <c r="AM10" s="13">
        <f>AL10/'a1'!$BH10*100</f>
        <v>62.980408931176527</v>
      </c>
      <c r="AN10" s="7">
        <v>296613</v>
      </c>
      <c r="AO10" s="13">
        <f>AN10/'a1'!$BH10*100</f>
        <v>17.191697573851215</v>
      </c>
      <c r="AP10" s="7">
        <v>1526058</v>
      </c>
      <c r="AQ10" s="13">
        <f>AP10/'a1'!$BN10*100</f>
        <v>64.464862704776934</v>
      </c>
      <c r="AR10" s="7">
        <v>466980</v>
      </c>
      <c r="AS10" s="13">
        <f>AR10/'a1'!$BN10*100</f>
        <v>19.72651208923693</v>
      </c>
    </row>
    <row r="11" spans="1:45" hidden="1">
      <c r="A11" s="1">
        <v>1974</v>
      </c>
      <c r="B11" s="7">
        <v>14760170</v>
      </c>
      <c r="C11" s="13">
        <f>B11/'a1'!$F11*100</f>
        <v>64.714968702386429</v>
      </c>
      <c r="D11" s="7">
        <v>4300461</v>
      </c>
      <c r="E11" s="13">
        <f>D11/'a1'!$F11*100</f>
        <v>18.855080871076247</v>
      </c>
      <c r="F11" s="7">
        <v>322105</v>
      </c>
      <c r="G11" s="13">
        <f>F11/'a1'!$L11*100</f>
        <v>58.606742309007942</v>
      </c>
      <c r="H11" s="7">
        <v>83599</v>
      </c>
      <c r="I11" s="13">
        <f>H11/'a1'!$L11*100</f>
        <v>15.210769936172225</v>
      </c>
      <c r="J11" s="7">
        <v>68702</v>
      </c>
      <c r="K11" s="13">
        <f>J11/'a1'!$R11*100</f>
        <v>59.245270002242108</v>
      </c>
      <c r="L11" s="7">
        <v>20723</v>
      </c>
      <c r="M11" s="13">
        <f>L11/'a1'!$R11*100</f>
        <v>17.870509304772252</v>
      </c>
      <c r="N11" s="7">
        <v>509762</v>
      </c>
      <c r="O11" s="13">
        <f>N11/'a1'!$X11*100</f>
        <v>62.260931589701876</v>
      </c>
      <c r="P11" s="7">
        <v>153979</v>
      </c>
      <c r="Q11" s="13">
        <f>P11/'a1'!$X11*100</f>
        <v>18.806572449987847</v>
      </c>
      <c r="R11" s="7">
        <v>409053</v>
      </c>
      <c r="S11" s="13">
        <f>R11/'a1'!$AD11*100</f>
        <v>61.535418145932873</v>
      </c>
      <c r="T11" s="7">
        <v>118001</v>
      </c>
      <c r="U11" s="13">
        <f>T11/'a1'!$AD11*100</f>
        <v>17.751344878629968</v>
      </c>
      <c r="V11" s="7">
        <v>4162467</v>
      </c>
      <c r="W11" s="13">
        <f>V11/'a1'!$AJ11*100</f>
        <v>66.402167256301311</v>
      </c>
      <c r="X11" s="7">
        <v>1156962</v>
      </c>
      <c r="Y11" s="13">
        <f>X11/'a1'!$AJ11*100</f>
        <v>18.456550942790631</v>
      </c>
      <c r="Z11" s="7">
        <v>5344603</v>
      </c>
      <c r="AA11" s="13">
        <f>Z11/'a1'!$AP11*100</f>
        <v>65.144123033418552</v>
      </c>
      <c r="AB11" s="7">
        <v>1589537</v>
      </c>
      <c r="AC11" s="13">
        <f>AB11/'a1'!$AP11*100</f>
        <v>19.374496832444059</v>
      </c>
      <c r="AD11" s="7">
        <v>640292</v>
      </c>
      <c r="AE11" s="13">
        <f>AD11/'a1'!$AV11*100</f>
        <v>62.88432792578319</v>
      </c>
      <c r="AF11" s="7">
        <v>200658</v>
      </c>
      <c r="AG11" s="13">
        <f>AF11/'a1'!$AV11*100</f>
        <v>19.70701410127224</v>
      </c>
      <c r="AH11" s="7">
        <v>554124</v>
      </c>
      <c r="AI11" s="13">
        <f>AH11/'a1'!$BB11*100</f>
        <v>60.996172631175718</v>
      </c>
      <c r="AJ11" s="7">
        <v>185622</v>
      </c>
      <c r="AK11" s="13">
        <f>AJ11/'a1'!$BB11*100</f>
        <v>20.432667699186645</v>
      </c>
      <c r="AL11" s="7">
        <v>1119236</v>
      </c>
      <c r="AM11" s="13">
        <f>AL11/'a1'!$BH11*100</f>
        <v>63.787906334188406</v>
      </c>
      <c r="AN11" s="7">
        <v>302631</v>
      </c>
      <c r="AO11" s="13">
        <f>AN11/'a1'!$BH11*100</f>
        <v>17.24765633148127</v>
      </c>
      <c r="AP11" s="7">
        <v>1592310</v>
      </c>
      <c r="AQ11" s="13">
        <f>AP11/'a1'!$BN11*100</f>
        <v>65.189729867377835</v>
      </c>
      <c r="AR11" s="7">
        <v>481664</v>
      </c>
      <c r="AS11" s="13">
        <f>AR11/'a1'!$BN11*100</f>
        <v>19.719493092953428</v>
      </c>
    </row>
    <row r="12" spans="1:45" hidden="1">
      <c r="A12" s="1">
        <v>1975</v>
      </c>
      <c r="B12" s="7">
        <v>15126340</v>
      </c>
      <c r="C12" s="13">
        <f>B12/'a1'!$F12*100</f>
        <v>65.359548292106453</v>
      </c>
      <c r="D12" s="7">
        <v>4375105</v>
      </c>
      <c r="E12" s="13">
        <f>D12/'a1'!$F12*100</f>
        <v>18.904433361311224</v>
      </c>
      <c r="F12" s="7">
        <v>329828</v>
      </c>
      <c r="G12" s="13">
        <f>F12/'a1'!$L12*100</f>
        <v>59.268709927834159</v>
      </c>
      <c r="H12" s="7">
        <v>84347</v>
      </c>
      <c r="I12" s="13">
        <f>H12/'a1'!$L12*100</f>
        <v>15.156802564618612</v>
      </c>
      <c r="J12" s="7">
        <v>70665</v>
      </c>
      <c r="K12" s="13">
        <f>J12/'a1'!$R12*100</f>
        <v>60.025993000577628</v>
      </c>
      <c r="L12" s="7">
        <v>20957</v>
      </c>
      <c r="M12" s="13">
        <f>L12/'a1'!$R12*100</f>
        <v>17.801807617817946</v>
      </c>
      <c r="N12" s="7">
        <v>519165</v>
      </c>
      <c r="O12" s="13">
        <f>N12/'a1'!$X12*100</f>
        <v>62.81115820114718</v>
      </c>
      <c r="P12" s="7">
        <v>154597</v>
      </c>
      <c r="Q12" s="13">
        <f>P12/'a1'!$X12*100</f>
        <v>18.703912290741386</v>
      </c>
      <c r="R12" s="7">
        <v>420616</v>
      </c>
      <c r="S12" s="13">
        <f>R12/'a1'!$AD12*100</f>
        <v>62.128660222626621</v>
      </c>
      <c r="T12" s="7">
        <v>119233</v>
      </c>
      <c r="U12" s="13">
        <f>T12/'a1'!$AD12*100</f>
        <v>17.611756434192802</v>
      </c>
      <c r="V12" s="7">
        <v>4250291</v>
      </c>
      <c r="W12" s="13">
        <f>V12/'a1'!$AJ12*100</f>
        <v>67.141983566979334</v>
      </c>
      <c r="X12" s="7">
        <v>1177215</v>
      </c>
      <c r="Y12" s="13">
        <f>X12/'a1'!$AJ12*100</f>
        <v>18.596503200557699</v>
      </c>
      <c r="Z12" s="7">
        <v>5466480</v>
      </c>
      <c r="AA12" s="13">
        <f>Z12/'a1'!$AP12*100</f>
        <v>65.704503536445316</v>
      </c>
      <c r="AB12" s="7">
        <v>1619488</v>
      </c>
      <c r="AC12" s="13">
        <f>AB12/'a1'!$AP12*100</f>
        <v>19.465479618187707</v>
      </c>
      <c r="AD12" s="7">
        <v>649367</v>
      </c>
      <c r="AE12" s="13">
        <f>AD12/'a1'!$AV12*100</f>
        <v>63.354423278616558</v>
      </c>
      <c r="AF12" s="7">
        <v>201371</v>
      </c>
      <c r="AG12" s="13">
        <f>AF12/'a1'!$AV12*100</f>
        <v>19.646430400741483</v>
      </c>
      <c r="AH12" s="7">
        <v>565508</v>
      </c>
      <c r="AI12" s="13">
        <f>AH12/'a1'!$BB12*100</f>
        <v>61.641459971768498</v>
      </c>
      <c r="AJ12" s="7">
        <v>186373</v>
      </c>
      <c r="AK12" s="13">
        <f>AJ12/'a1'!$BB12*100</f>
        <v>20.315015560024634</v>
      </c>
      <c r="AL12" s="7">
        <v>1168901</v>
      </c>
      <c r="AM12" s="13">
        <f>AL12/'a1'!$BH12*100</f>
        <v>64.626975671328793</v>
      </c>
      <c r="AN12" s="7">
        <v>311631</v>
      </c>
      <c r="AO12" s="13">
        <f>AN12/'a1'!$BH12*100</f>
        <v>17.229661926400837</v>
      </c>
      <c r="AP12" s="7">
        <v>1645789</v>
      </c>
      <c r="AQ12" s="13">
        <f>AP12/'a1'!$BN12*100</f>
        <v>65.843043026703867</v>
      </c>
      <c r="AR12" s="7">
        <v>492576</v>
      </c>
      <c r="AS12" s="13">
        <f>AR12/'a1'!$BN12*100</f>
        <v>19.706476809555586</v>
      </c>
    </row>
    <row r="13" spans="1:45" hidden="1">
      <c r="A13" s="1">
        <v>1976</v>
      </c>
      <c r="B13" s="7">
        <v>15466570</v>
      </c>
      <c r="C13" s="13">
        <f>B13/'a1'!$F13*100</f>
        <v>65.956062412110157</v>
      </c>
      <c r="D13" s="7">
        <v>4439994</v>
      </c>
      <c r="E13" s="13">
        <f>D13/'a1'!$F13*100</f>
        <v>18.934031357527534</v>
      </c>
      <c r="F13" s="7">
        <v>337457</v>
      </c>
      <c r="G13" s="13">
        <f>F13/'a1'!$L13*100</f>
        <v>59.977534440378285</v>
      </c>
      <c r="H13" s="7">
        <v>84844</v>
      </c>
      <c r="I13" s="13">
        <f>H13/'a1'!$L13*100</f>
        <v>15.079651428358149</v>
      </c>
      <c r="J13" s="7">
        <v>72106</v>
      </c>
      <c r="K13" s="13">
        <f>J13/'a1'!$R13*100</f>
        <v>60.773042950576496</v>
      </c>
      <c r="L13" s="7">
        <v>20957</v>
      </c>
      <c r="M13" s="13">
        <f>L13/'a1'!$R13*100</f>
        <v>17.663171734879644</v>
      </c>
      <c r="N13" s="7">
        <v>529760</v>
      </c>
      <c r="O13" s="13">
        <f>N13/'a1'!$X13*100</f>
        <v>63.431701003153862</v>
      </c>
      <c r="P13" s="7">
        <v>154898</v>
      </c>
      <c r="Q13" s="13">
        <f>P13/'a1'!$X13*100</f>
        <v>18.546971500276591</v>
      </c>
      <c r="R13" s="7">
        <v>432722</v>
      </c>
      <c r="S13" s="13">
        <f>R13/'a1'!$AD13*100</f>
        <v>62.759356861698578</v>
      </c>
      <c r="T13" s="7">
        <v>120243</v>
      </c>
      <c r="U13" s="13">
        <f>T13/'a1'!$AD13*100</f>
        <v>17.439310566879477</v>
      </c>
      <c r="V13" s="7">
        <v>4331942</v>
      </c>
      <c r="W13" s="13">
        <f>V13/'a1'!$AJ13*100</f>
        <v>67.720866857461147</v>
      </c>
      <c r="X13" s="7">
        <v>1195514</v>
      </c>
      <c r="Y13" s="13">
        <f>X13/'a1'!$AJ13*100</f>
        <v>18.689364820727238</v>
      </c>
      <c r="Z13" s="7">
        <v>5577467</v>
      </c>
      <c r="AA13" s="13">
        <f>Z13/'a1'!$AP13*100</f>
        <v>66.289677919992911</v>
      </c>
      <c r="AB13" s="7">
        <v>1645956</v>
      </c>
      <c r="AC13" s="13">
        <f>AB13/'a1'!$AP13*100</f>
        <v>19.562624594727293</v>
      </c>
      <c r="AD13" s="7">
        <v>658492</v>
      </c>
      <c r="AE13" s="13">
        <f>AD13/'a1'!$AV13*100</f>
        <v>63.822330430197781</v>
      </c>
      <c r="AF13" s="7">
        <v>201632</v>
      </c>
      <c r="AG13" s="13">
        <f>AF13/'a1'!$AV13*100</f>
        <v>19.542567152374879</v>
      </c>
      <c r="AH13" s="7">
        <v>579454</v>
      </c>
      <c r="AI13" s="13">
        <f>AH13/'a1'!$BB13*100</f>
        <v>62.199069999098334</v>
      </c>
      <c r="AJ13" s="7">
        <v>186746</v>
      </c>
      <c r="AK13" s="13">
        <f>AJ13/'a1'!$BB13*100</f>
        <v>20.045469573169946</v>
      </c>
      <c r="AL13" s="7">
        <v>1222475</v>
      </c>
      <c r="AM13" s="13">
        <f>AL13/'a1'!$BH13*100</f>
        <v>65.397929798901927</v>
      </c>
      <c r="AN13" s="7">
        <v>320774</v>
      </c>
      <c r="AO13" s="13">
        <f>AN13/'a1'!$BH13*100</f>
        <v>17.160232751846024</v>
      </c>
      <c r="AP13" s="7">
        <v>1683024</v>
      </c>
      <c r="AQ13" s="13">
        <f>AP13/'a1'!$BN13*100</f>
        <v>66.420326934893609</v>
      </c>
      <c r="AR13" s="7">
        <v>500842</v>
      </c>
      <c r="AS13" s="13">
        <f>AR13/'a1'!$BN13*100</f>
        <v>19.765665482325854</v>
      </c>
    </row>
    <row r="14" spans="1:45" hidden="1">
      <c r="A14" s="1">
        <v>1977</v>
      </c>
      <c r="B14" s="7">
        <v>15770364</v>
      </c>
      <c r="C14" s="13">
        <f>B14/'a1'!$F14*100</f>
        <v>66.469140843594062</v>
      </c>
      <c r="D14" s="7">
        <v>4500327</v>
      </c>
      <c r="E14" s="13">
        <f>D14/'a1'!$F14*100</f>
        <v>18.96803835379</v>
      </c>
      <c r="F14" s="7">
        <v>341896</v>
      </c>
      <c r="G14" s="13">
        <f>F14/'a1'!$L14*100</f>
        <v>60.475317857319745</v>
      </c>
      <c r="H14" s="7">
        <v>85385</v>
      </c>
      <c r="I14" s="13">
        <f>H14/'a1'!$L14*100</f>
        <v>15.103086948215966</v>
      </c>
      <c r="J14" s="7">
        <v>73341</v>
      </c>
      <c r="K14" s="13">
        <f>J14/'a1'!$R14*100</f>
        <v>61.167453420293242</v>
      </c>
      <c r="L14" s="7">
        <v>21073</v>
      </c>
      <c r="M14" s="13">
        <f>L14/'a1'!$R14*100</f>
        <v>17.575186402228489</v>
      </c>
      <c r="N14" s="7">
        <v>537468</v>
      </c>
      <c r="O14" s="13">
        <f>N14/'a1'!$X14*100</f>
        <v>63.98215297585319</v>
      </c>
      <c r="P14" s="7">
        <v>155635</v>
      </c>
      <c r="Q14" s="13">
        <f>P14/'a1'!$X14*100</f>
        <v>18.527358611855796</v>
      </c>
      <c r="R14" s="7">
        <v>440103</v>
      </c>
      <c r="S14" s="13">
        <f>R14/'a1'!$AD14*100</f>
        <v>63.247456682038901</v>
      </c>
      <c r="T14" s="7">
        <v>121274</v>
      </c>
      <c r="U14" s="13">
        <f>T14/'a1'!$AD14*100</f>
        <v>17.428356683907147</v>
      </c>
      <c r="V14" s="7">
        <v>4390017</v>
      </c>
      <c r="W14" s="13">
        <f>V14/'a1'!$AJ14*100</f>
        <v>68.240731226915415</v>
      </c>
      <c r="X14" s="7">
        <v>1212363</v>
      </c>
      <c r="Y14" s="13">
        <f>X14/'a1'!$AJ14*100</f>
        <v>18.845607575655592</v>
      </c>
      <c r="Z14" s="7">
        <v>5676747</v>
      </c>
      <c r="AA14" s="13">
        <f>Z14/'a1'!$AP14*100</f>
        <v>66.753217279235372</v>
      </c>
      <c r="AB14" s="7">
        <v>1670825</v>
      </c>
      <c r="AC14" s="13">
        <f>AB14/'a1'!$AP14*100</f>
        <v>19.647333985569279</v>
      </c>
      <c r="AD14" s="7">
        <v>665324</v>
      </c>
      <c r="AE14" s="13">
        <f>AD14/'a1'!$AV14*100</f>
        <v>64.135712557440982</v>
      </c>
      <c r="AF14" s="7">
        <v>201629</v>
      </c>
      <c r="AG14" s="13">
        <f>AF14/'a1'!$AV14*100</f>
        <v>19.436574642195787</v>
      </c>
      <c r="AH14" s="7">
        <v>591013</v>
      </c>
      <c r="AI14" s="13">
        <f>AH14/'a1'!$BB14*100</f>
        <v>62.566150868972848</v>
      </c>
      <c r="AJ14" s="7">
        <v>186955</v>
      </c>
      <c r="AK14" s="13">
        <f>AJ14/'a1'!$BB14*100</f>
        <v>19.791535441198111</v>
      </c>
      <c r="AL14" s="7">
        <v>1293542</v>
      </c>
      <c r="AM14" s="13">
        <f>AL14/'a1'!$BH14*100</f>
        <v>66.394629472509621</v>
      </c>
      <c r="AN14" s="7">
        <v>329664</v>
      </c>
      <c r="AO14" s="13">
        <f>AN14/'a1'!$BH14*100</f>
        <v>16.920918787658547</v>
      </c>
      <c r="AP14" s="7">
        <v>1718743</v>
      </c>
      <c r="AQ14" s="13">
        <f>AP14/'a1'!$BN14*100</f>
        <v>66.868963531707209</v>
      </c>
      <c r="AR14" s="7">
        <v>507757</v>
      </c>
      <c r="AS14" s="13">
        <f>AR14/'a1'!$BN14*100</f>
        <v>19.754660420998981</v>
      </c>
    </row>
    <row r="15" spans="1:45" hidden="1">
      <c r="A15" s="1">
        <v>1978</v>
      </c>
      <c r="B15" s="7">
        <v>16053582</v>
      </c>
      <c r="C15" s="13">
        <f>B15/'a1'!$F15*100</f>
        <v>66.992638671883725</v>
      </c>
      <c r="D15" s="7">
        <v>4555682</v>
      </c>
      <c r="E15" s="13">
        <f>D15/'a1'!$F15*100</f>
        <v>19.011156396747129</v>
      </c>
      <c r="F15" s="7">
        <v>346280</v>
      </c>
      <c r="G15" s="13">
        <f>F15/'a1'!$L15*100</f>
        <v>61.003560361426892</v>
      </c>
      <c r="H15" s="7">
        <v>86171</v>
      </c>
      <c r="I15" s="13">
        <f>H15/'a1'!$L15*100</f>
        <v>15.180598937000452</v>
      </c>
      <c r="J15" s="7">
        <v>75198</v>
      </c>
      <c r="K15" s="13">
        <f>J15/'a1'!$R15*100</f>
        <v>61.797771276420896</v>
      </c>
      <c r="L15" s="7">
        <v>21192</v>
      </c>
      <c r="M15" s="13">
        <f>L15/'a1'!$R15*100</f>
        <v>17.415601065053746</v>
      </c>
      <c r="N15" s="7">
        <v>545011</v>
      </c>
      <c r="O15" s="13">
        <f>N15/'a1'!$X15*100</f>
        <v>64.526750237974582</v>
      </c>
      <c r="P15" s="7">
        <v>156251</v>
      </c>
      <c r="Q15" s="13">
        <f>P15/'a1'!$X15*100</f>
        <v>18.499386712256758</v>
      </c>
      <c r="R15" s="7">
        <v>446264</v>
      </c>
      <c r="S15" s="13">
        <f>R15/'a1'!$AD15*100</f>
        <v>63.796292854753446</v>
      </c>
      <c r="T15" s="7">
        <v>121831</v>
      </c>
      <c r="U15" s="13">
        <f>T15/'a1'!$AD15*100</f>
        <v>17.416520612882657</v>
      </c>
      <c r="V15" s="7">
        <v>4428241</v>
      </c>
      <c r="W15" s="13">
        <f>V15/'a1'!$AJ15*100</f>
        <v>68.756605701550157</v>
      </c>
      <c r="X15" s="7">
        <v>1224076</v>
      </c>
      <c r="Y15" s="13">
        <f>X15/'a1'!$AJ15*100</f>
        <v>19.006036681547076</v>
      </c>
      <c r="Z15" s="7">
        <v>5777902</v>
      </c>
      <c r="AA15" s="13">
        <f>Z15/'a1'!$AP15*100</f>
        <v>67.261992348440259</v>
      </c>
      <c r="AB15" s="7">
        <v>1696188</v>
      </c>
      <c r="AC15" s="13">
        <f>AB15/'a1'!$AP15*100</f>
        <v>19.74574582218878</v>
      </c>
      <c r="AD15" s="7">
        <v>671162</v>
      </c>
      <c r="AE15" s="13">
        <f>AD15/'a1'!$AV15*100</f>
        <v>64.48018553513802</v>
      </c>
      <c r="AF15" s="7">
        <v>201590</v>
      </c>
      <c r="AG15" s="13">
        <f>AF15/'a1'!$AV15*100</f>
        <v>19.367247552794218</v>
      </c>
      <c r="AH15" s="7">
        <v>599605</v>
      </c>
      <c r="AI15" s="13">
        <f>AH15/'a1'!$BB15*100</f>
        <v>62.955282802935656</v>
      </c>
      <c r="AJ15" s="7">
        <v>186993</v>
      </c>
      <c r="AK15" s="13">
        <f>AJ15/'a1'!$BB15*100</f>
        <v>19.633253887424797</v>
      </c>
      <c r="AL15" s="7">
        <v>1359057</v>
      </c>
      <c r="AM15" s="13">
        <f>AL15/'a1'!$BH15*100</f>
        <v>67.205491333624437</v>
      </c>
      <c r="AN15" s="7">
        <v>338445</v>
      </c>
      <c r="AO15" s="13">
        <f>AN15/'a1'!$BH15*100</f>
        <v>16.736135801815909</v>
      </c>
      <c r="AP15" s="7">
        <v>1761275</v>
      </c>
      <c r="AQ15" s="13">
        <f>AP15/'a1'!$BN15*100</f>
        <v>67.348600201440675</v>
      </c>
      <c r="AR15" s="7">
        <v>514966</v>
      </c>
      <c r="AS15" s="13">
        <f>AR15/'a1'!$BN15*100</f>
        <v>19.691552569209861</v>
      </c>
    </row>
    <row r="16" spans="1:45" hidden="1">
      <c r="A16" s="1">
        <v>1979</v>
      </c>
      <c r="B16" s="7">
        <v>16325970</v>
      </c>
      <c r="C16" s="13">
        <f>B16/'a1'!$F16*100</f>
        <v>67.458381994140538</v>
      </c>
      <c r="D16" s="7">
        <v>4593636</v>
      </c>
      <c r="E16" s="13">
        <f>D16/'a1'!$F16*100</f>
        <v>18.980755938546732</v>
      </c>
      <c r="F16" s="7">
        <v>351436</v>
      </c>
      <c r="G16" s="13">
        <f>F16/'a1'!$L16*100</f>
        <v>61.647327106082528</v>
      </c>
      <c r="H16" s="7">
        <v>86377</v>
      </c>
      <c r="I16" s="13">
        <f>H16/'a1'!$L16*100</f>
        <v>15.151865982546155</v>
      </c>
      <c r="J16" s="7">
        <v>76731</v>
      </c>
      <c r="K16" s="13">
        <f>J16/'a1'!$R16*100</f>
        <v>62.441306912967406</v>
      </c>
      <c r="L16" s="7">
        <v>21240</v>
      </c>
      <c r="M16" s="13">
        <f>L16/'a1'!$R16*100</f>
        <v>17.284452943809253</v>
      </c>
      <c r="N16" s="7">
        <v>552648</v>
      </c>
      <c r="O16" s="13">
        <f>N16/'a1'!$X16*100</f>
        <v>65.063645225548498</v>
      </c>
      <c r="P16" s="7">
        <v>156249</v>
      </c>
      <c r="Q16" s="13">
        <f>P16/'a1'!$X16*100</f>
        <v>18.395306782702061</v>
      </c>
      <c r="R16" s="7">
        <v>452694</v>
      </c>
      <c r="S16" s="13">
        <f>R16/'a1'!$AD16*100</f>
        <v>64.380125092795652</v>
      </c>
      <c r="T16" s="7">
        <v>121861</v>
      </c>
      <c r="U16" s="13">
        <f>T16/'a1'!$AD16*100</f>
        <v>17.330528842735205</v>
      </c>
      <c r="V16" s="7">
        <v>4474230</v>
      </c>
      <c r="W16" s="13">
        <f>V16/'a1'!$AJ16*100</f>
        <v>69.196300152366319</v>
      </c>
      <c r="X16" s="7">
        <v>1231685</v>
      </c>
      <c r="Y16" s="13">
        <f>X16/'a1'!$AJ16*100</f>
        <v>19.048650818837501</v>
      </c>
      <c r="Z16" s="7">
        <v>5868257</v>
      </c>
      <c r="AA16" s="13">
        <f>Z16/'a1'!$AP16*100</f>
        <v>67.746448662262495</v>
      </c>
      <c r="AB16" s="7">
        <v>1714622</v>
      </c>
      <c r="AC16" s="13">
        <f>AB16/'a1'!$AP16*100</f>
        <v>19.794557617054917</v>
      </c>
      <c r="AD16" s="7">
        <v>671773</v>
      </c>
      <c r="AE16" s="13">
        <f>AD16/'a1'!$AV16*100</f>
        <v>64.763437169806963</v>
      </c>
      <c r="AF16" s="7">
        <v>200241</v>
      </c>
      <c r="AG16" s="13">
        <f>AF16/'a1'!$AV16*100</f>
        <v>19.304579705226786</v>
      </c>
      <c r="AH16" s="7">
        <v>606858</v>
      </c>
      <c r="AI16" s="13">
        <f>AH16/'a1'!$BB16*100</f>
        <v>63.231829619634581</v>
      </c>
      <c r="AJ16" s="7">
        <v>186264</v>
      </c>
      <c r="AK16" s="13">
        <f>AJ16/'a1'!$BB16*100</f>
        <v>19.407857377296857</v>
      </c>
      <c r="AL16" s="7">
        <v>1422479</v>
      </c>
      <c r="AM16" s="13">
        <f>AL16/'a1'!$BH16*100</f>
        <v>67.835100807547661</v>
      </c>
      <c r="AN16" s="7">
        <v>345668</v>
      </c>
      <c r="AO16" s="13">
        <f>AN16/'a1'!$BH16*100</f>
        <v>16.484196691791855</v>
      </c>
      <c r="AP16" s="7">
        <v>1804747</v>
      </c>
      <c r="AQ16" s="13">
        <f>AP16/'a1'!$BN16*100</f>
        <v>67.714290431098462</v>
      </c>
      <c r="AR16" s="7">
        <v>521381</v>
      </c>
      <c r="AS16" s="13">
        <f>AR16/'a1'!$BN16*100</f>
        <v>19.562267985073003</v>
      </c>
    </row>
    <row r="17" spans="1:69" hidden="1">
      <c r="A17" s="1">
        <v>1980</v>
      </c>
      <c r="B17" s="7">
        <v>16636938</v>
      </c>
      <c r="C17" s="13">
        <f>B17/'a1'!$F17*100</f>
        <v>67.862473413429868</v>
      </c>
      <c r="D17" s="7">
        <v>4636865</v>
      </c>
      <c r="E17" s="13">
        <f>D17/'a1'!$F17*100</f>
        <v>18.91388474154099</v>
      </c>
      <c r="F17" s="7">
        <v>357339</v>
      </c>
      <c r="G17" s="13">
        <f>F17/'a1'!$L17*100</f>
        <v>62.389067653236353</v>
      </c>
      <c r="H17" s="7">
        <v>86752</v>
      </c>
      <c r="I17" s="13">
        <f>H17/'a1'!$L17*100</f>
        <v>15.146335544269055</v>
      </c>
      <c r="J17" s="7">
        <v>77944</v>
      </c>
      <c r="K17" s="13">
        <f>J17/'a1'!$R17*100</f>
        <v>62.99268598213925</v>
      </c>
      <c r="L17" s="7">
        <v>21335</v>
      </c>
      <c r="M17" s="13">
        <f>L17/'a1'!$R17*100</f>
        <v>17.242494039681578</v>
      </c>
      <c r="N17" s="7">
        <v>558893</v>
      </c>
      <c r="O17" s="13">
        <f>N17/'a1'!$X17*100</f>
        <v>65.547070986173836</v>
      </c>
      <c r="P17" s="7">
        <v>156305</v>
      </c>
      <c r="Q17" s="13">
        <f>P17/'a1'!$X17*100</f>
        <v>18.331478351838189</v>
      </c>
      <c r="R17" s="7">
        <v>458276</v>
      </c>
      <c r="S17" s="13">
        <f>R17/'a1'!$AD17*100</f>
        <v>64.89148550237249</v>
      </c>
      <c r="T17" s="7">
        <v>122127</v>
      </c>
      <c r="U17" s="13">
        <f>T17/'a1'!$AD17*100</f>
        <v>17.293077643054065</v>
      </c>
      <c r="V17" s="7">
        <v>4526464</v>
      </c>
      <c r="W17" s="13">
        <f>V17/'a1'!$AJ17*100</f>
        <v>69.573717909799214</v>
      </c>
      <c r="X17" s="7">
        <v>1240559</v>
      </c>
      <c r="Y17" s="13">
        <f>X17/'a1'!$AJ17*100</f>
        <v>19.067930710696608</v>
      </c>
      <c r="Z17" s="7">
        <v>5962808</v>
      </c>
      <c r="AA17" s="13">
        <f>Z17/'a1'!$AP17*100</f>
        <v>68.177442681596744</v>
      </c>
      <c r="AB17" s="7">
        <v>1733509</v>
      </c>
      <c r="AC17" s="13">
        <f>AB17/'a1'!$AP17*100</f>
        <v>19.820562809591067</v>
      </c>
      <c r="AD17" s="7">
        <v>672186</v>
      </c>
      <c r="AE17" s="13">
        <f>AD17/'a1'!$AV17*100</f>
        <v>64.980979955241267</v>
      </c>
      <c r="AF17" s="7">
        <v>198550</v>
      </c>
      <c r="AG17" s="13">
        <f>AF17/'a1'!$AV17*100</f>
        <v>19.194052792103903</v>
      </c>
      <c r="AH17" s="7">
        <v>614140</v>
      </c>
      <c r="AI17" s="13">
        <f>AH17/'a1'!$BB17*100</f>
        <v>63.473853493573444</v>
      </c>
      <c r="AJ17" s="7">
        <v>185185</v>
      </c>
      <c r="AK17" s="13">
        <f>AJ17/'a1'!$BB17*100</f>
        <v>19.139618912963492</v>
      </c>
      <c r="AL17" s="7">
        <v>1498099</v>
      </c>
      <c r="AM17" s="13">
        <f>AL17/'a1'!$BH17*100</f>
        <v>68.37422051465316</v>
      </c>
      <c r="AN17" s="7">
        <v>353725</v>
      </c>
      <c r="AO17" s="13">
        <f>AN17/'a1'!$BH17*100</f>
        <v>16.144240902334019</v>
      </c>
      <c r="AP17" s="7">
        <v>1865815</v>
      </c>
      <c r="AQ17" s="13">
        <f>AP17/'a1'!$BN17*100</f>
        <v>67.950089243410346</v>
      </c>
      <c r="AR17" s="7">
        <v>530644</v>
      </c>
      <c r="AS17" s="13">
        <f>AR17/'a1'!$BN17*100</f>
        <v>19.32523168507073</v>
      </c>
    </row>
    <row r="18" spans="1:69" hidden="1">
      <c r="B18" s="7"/>
      <c r="C18" s="13"/>
      <c r="D18" s="7"/>
      <c r="E18" s="13"/>
      <c r="F18" s="7"/>
      <c r="G18" s="13"/>
      <c r="H18" s="7"/>
      <c r="I18" s="13"/>
      <c r="J18" s="7"/>
      <c r="K18" s="13"/>
      <c r="L18" s="7"/>
      <c r="M18" s="13"/>
      <c r="N18" s="7"/>
      <c r="O18" s="13"/>
      <c r="P18" s="7"/>
      <c r="Q18" s="13"/>
      <c r="R18" s="7"/>
      <c r="S18" s="13"/>
      <c r="T18" s="7"/>
      <c r="U18" s="13"/>
      <c r="V18" s="7"/>
      <c r="W18" s="13"/>
      <c r="X18" s="7"/>
      <c r="Y18" s="13"/>
      <c r="Z18" s="7"/>
      <c r="AA18" s="13"/>
      <c r="AB18" s="7"/>
      <c r="AC18" s="13"/>
      <c r="AD18" s="7"/>
      <c r="AE18" s="13"/>
      <c r="AF18" s="7"/>
      <c r="AG18" s="13"/>
      <c r="AH18" s="7"/>
      <c r="AI18" s="13"/>
      <c r="AJ18" s="7"/>
      <c r="AK18" s="13"/>
      <c r="AL18" s="7"/>
      <c r="AM18" s="13"/>
      <c r="AN18" s="7"/>
      <c r="AO18" s="13"/>
      <c r="AP18" s="7"/>
      <c r="AQ18" s="13"/>
      <c r="AR18" s="7"/>
      <c r="AS18" s="13"/>
    </row>
    <row r="19" spans="1:69" ht="16.5" customHeight="1">
      <c r="A19" s="1">
        <v>1981</v>
      </c>
      <c r="B19" s="7">
        <v>16910264</v>
      </c>
      <c r="C19" s="13">
        <f>B19/'a1'!$F19*100</f>
        <v>68.131836873736276</v>
      </c>
      <c r="D19" s="7">
        <v>4690888</v>
      </c>
      <c r="E19" s="13">
        <f>D19/'a1'!$F19*100</f>
        <v>18.899694056164172</v>
      </c>
      <c r="F19" s="7">
        <v>363159</v>
      </c>
      <c r="G19" s="13">
        <f>F19/'a1'!$L19*100</f>
        <v>63.124932644072153</v>
      </c>
      <c r="H19" s="7">
        <v>87388</v>
      </c>
      <c r="I19" s="13">
        <f>H19/'a1'!$L19*100</f>
        <v>15.18993502543012</v>
      </c>
      <c r="J19" s="7">
        <v>78063</v>
      </c>
      <c r="K19" s="13">
        <f>J19/'a1'!$R19*100</f>
        <v>63.182815193725673</v>
      </c>
      <c r="L19" s="7">
        <v>21521</v>
      </c>
      <c r="M19" s="13">
        <f>L19/'a1'!$R19*100</f>
        <v>17.418717776464778</v>
      </c>
      <c r="N19" s="7">
        <v>562919</v>
      </c>
      <c r="O19" s="13">
        <f>N19/'a1'!$X19*100</f>
        <v>65.848414556114307</v>
      </c>
      <c r="P19" s="7">
        <v>156435</v>
      </c>
      <c r="Q19" s="13">
        <f>P19/'a1'!$X19*100</f>
        <v>18.299252167870943</v>
      </c>
      <c r="R19" s="7">
        <v>460819</v>
      </c>
      <c r="S19" s="13">
        <f>R19/'a1'!$AD19*100</f>
        <v>65.231343727262697</v>
      </c>
      <c r="T19" s="7">
        <v>122505</v>
      </c>
      <c r="U19" s="13">
        <f>T19/'a1'!$AD19*100</f>
        <v>17.341224566062415</v>
      </c>
      <c r="V19" s="7">
        <v>4566524</v>
      </c>
      <c r="W19" s="13">
        <f>V19/'a1'!$AJ19*100</f>
        <v>69.747664920324041</v>
      </c>
      <c r="X19" s="7">
        <v>1251764</v>
      </c>
      <c r="Y19" s="13">
        <f>X19/'a1'!$AJ19*100</f>
        <v>19.119053361227163</v>
      </c>
      <c r="Z19" s="7">
        <v>6033577</v>
      </c>
      <c r="AA19" s="13">
        <f>Z19/'a1'!$AP19*100</f>
        <v>68.467784636131881</v>
      </c>
      <c r="AB19" s="7">
        <v>1755417</v>
      </c>
      <c r="AC19" s="13">
        <f>AB19/'a1'!$AP19*100</f>
        <v>19.920109265632096</v>
      </c>
      <c r="AD19" s="7">
        <v>674380</v>
      </c>
      <c r="AE19" s="13">
        <f>AD19/'a1'!$AV19*100</f>
        <v>65.123195998242466</v>
      </c>
      <c r="AF19" s="7">
        <v>198210</v>
      </c>
      <c r="AG19" s="13">
        <f>AF19/'a1'!$AV19*100</f>
        <v>19.140645746925532</v>
      </c>
      <c r="AH19" s="7">
        <v>619820</v>
      </c>
      <c r="AI19" s="13">
        <f>AH19/'a1'!$BB19*100</f>
        <v>63.521832747635429</v>
      </c>
      <c r="AJ19" s="7">
        <v>184232</v>
      </c>
      <c r="AK19" s="13">
        <f>AJ19/'a1'!$BB19*100</f>
        <v>18.880891695592865</v>
      </c>
      <c r="AL19" s="7">
        <v>1577729</v>
      </c>
      <c r="AM19" s="13">
        <f>AL19/'a1'!$BH19*100</f>
        <v>68.86326417307987</v>
      </c>
      <c r="AN19" s="7">
        <v>362683</v>
      </c>
      <c r="AO19" s="13">
        <f>AN19/'a1'!$BH19*100</f>
        <v>15.830053982708773</v>
      </c>
      <c r="AP19" s="7">
        <v>1926546</v>
      </c>
      <c r="AQ19" s="13">
        <f>AP19/'a1'!$BN19*100</f>
        <v>68.15872874358142</v>
      </c>
      <c r="AR19" s="7">
        <v>542433</v>
      </c>
      <c r="AS19" s="13">
        <f>AR19/'a1'!$BN19*100</f>
        <v>19.190584449355011</v>
      </c>
    </row>
    <row r="20" spans="1:69" ht="16.5" customHeight="1">
      <c r="A20" s="1">
        <v>1982</v>
      </c>
      <c r="B20" s="7">
        <v>17149959</v>
      </c>
      <c r="C20" s="13">
        <f>B20/'a1'!$F20*100</f>
        <v>68.280441942335173</v>
      </c>
      <c r="D20" s="7">
        <v>4746299</v>
      </c>
      <c r="E20" s="13">
        <f>D20/'a1'!$F20*100</f>
        <v>18.8968028034623</v>
      </c>
      <c r="F20" s="7">
        <v>364724</v>
      </c>
      <c r="G20" s="13">
        <f>F20/'a1'!$L20*100</f>
        <v>63.563467789018723</v>
      </c>
      <c r="H20" s="7">
        <v>87937</v>
      </c>
      <c r="I20" s="13">
        <f>H20/'a1'!$L20*100</f>
        <v>15.32550823900522</v>
      </c>
      <c r="J20" s="7">
        <v>78112</v>
      </c>
      <c r="K20" s="13">
        <f>J20/'a1'!$R20*100</f>
        <v>63.203547269961483</v>
      </c>
      <c r="L20" s="7">
        <v>21659</v>
      </c>
      <c r="M20" s="13">
        <f>L20/'a1'!$R20*100</f>
        <v>17.525164255429328</v>
      </c>
      <c r="N20" s="7">
        <v>567338</v>
      </c>
      <c r="O20" s="13">
        <f>N20/'a1'!$X20*100</f>
        <v>66.043411350836635</v>
      </c>
      <c r="P20" s="7">
        <v>156790</v>
      </c>
      <c r="Q20" s="13">
        <f>P20/'a1'!$X20*100</f>
        <v>18.251811910532478</v>
      </c>
      <c r="R20" s="7">
        <v>463307</v>
      </c>
      <c r="S20" s="13">
        <f>R20/'a1'!$AD20*100</f>
        <v>65.489068593568234</v>
      </c>
      <c r="T20" s="7">
        <v>122903</v>
      </c>
      <c r="U20" s="13">
        <f>T20/'a1'!$AD20*100</f>
        <v>17.372504618655267</v>
      </c>
      <c r="V20" s="7">
        <v>4596037</v>
      </c>
      <c r="W20" s="13">
        <f>V20/'a1'!$AJ20*100</f>
        <v>69.841889022496474</v>
      </c>
      <c r="X20" s="7">
        <v>1261962</v>
      </c>
      <c r="Y20" s="13">
        <f>X20/'a1'!$AJ20*100</f>
        <v>19.176914797380373</v>
      </c>
      <c r="Z20" s="7">
        <v>6124611</v>
      </c>
      <c r="AA20" s="13">
        <f>Z20/'a1'!$AP20*100</f>
        <v>68.659341492113256</v>
      </c>
      <c r="AB20" s="7">
        <v>1780407</v>
      </c>
      <c r="AC20" s="13">
        <f>AB20/'a1'!$AP20*100</f>
        <v>19.959075312366597</v>
      </c>
      <c r="AD20" s="7">
        <v>681802</v>
      </c>
      <c r="AE20" s="13">
        <f>AD20/'a1'!$AV20*100</f>
        <v>65.230228161618939</v>
      </c>
      <c r="AF20" s="7">
        <v>198026</v>
      </c>
      <c r="AG20" s="13">
        <f>AF20/'a1'!$AV20*100</f>
        <v>18.945795351044371</v>
      </c>
      <c r="AH20" s="7">
        <v>625960</v>
      </c>
      <c r="AI20" s="13">
        <f>AH20/'a1'!$BB20*100</f>
        <v>63.447336359268668</v>
      </c>
      <c r="AJ20" s="7">
        <v>183464</v>
      </c>
      <c r="AK20" s="13">
        <f>AJ20/'a1'!$BB20*100</f>
        <v>18.595920055302042</v>
      </c>
      <c r="AL20" s="7">
        <v>1637765</v>
      </c>
      <c r="AM20" s="13">
        <f>AL20/'a1'!$BH20*100</f>
        <v>69.109053108096077</v>
      </c>
      <c r="AN20" s="7">
        <v>372511</v>
      </c>
      <c r="AO20" s="13">
        <f>AN20/'a1'!$BH20*100</f>
        <v>15.71891112726794</v>
      </c>
      <c r="AP20" s="7">
        <v>1961340</v>
      </c>
      <c r="AQ20" s="13">
        <f>AP20/'a1'!$BN20*100</f>
        <v>68.184638831807817</v>
      </c>
      <c r="AR20" s="7">
        <v>552123</v>
      </c>
      <c r="AS20" s="13">
        <f>AR20/'a1'!$BN20*100</f>
        <v>19.19417711652963</v>
      </c>
      <c r="AT20" s="13"/>
      <c r="AU20" s="13"/>
      <c r="AV20" s="13"/>
      <c r="AW20" s="13"/>
      <c r="AX20" s="13"/>
      <c r="AY20" s="13"/>
      <c r="AZ20" s="13"/>
      <c r="BA20" s="13"/>
      <c r="BB20" s="13"/>
      <c r="BC20" s="13"/>
      <c r="BD20" s="13"/>
      <c r="BE20" s="13"/>
      <c r="BF20" s="13"/>
      <c r="BG20" s="13"/>
      <c r="BH20" s="13"/>
      <c r="BI20" s="13"/>
      <c r="BJ20" s="13"/>
      <c r="BK20" s="13"/>
    </row>
    <row r="21" spans="1:69" ht="16.5" customHeight="1">
      <c r="A21" s="1">
        <v>1983</v>
      </c>
      <c r="B21" s="7">
        <v>17344480</v>
      </c>
      <c r="C21" s="13">
        <f>B21/'a1'!$F21*100</f>
        <v>68.375666741870987</v>
      </c>
      <c r="D21" s="7">
        <v>4803778</v>
      </c>
      <c r="E21" s="13">
        <f>D21/'a1'!$F21*100</f>
        <v>18.937525001033844</v>
      </c>
      <c r="F21" s="7">
        <v>371946</v>
      </c>
      <c r="G21" s="13">
        <f>F21/'a1'!$L21*100</f>
        <v>64.221187781008496</v>
      </c>
      <c r="H21" s="7">
        <v>88659</v>
      </c>
      <c r="I21" s="13">
        <f>H21/'a1'!$L21*100</f>
        <v>15.30809926031314</v>
      </c>
      <c r="J21" s="7">
        <v>79584</v>
      </c>
      <c r="K21" s="13">
        <f>J21/'a1'!$R21*100</f>
        <v>63.615289923422495</v>
      </c>
      <c r="L21" s="7">
        <v>21771</v>
      </c>
      <c r="M21" s="13">
        <f>L21/'a1'!$R21*100</f>
        <v>17.40259947882528</v>
      </c>
      <c r="N21" s="7">
        <v>575937</v>
      </c>
      <c r="O21" s="13">
        <f>N21/'a1'!$X21*100</f>
        <v>66.330104377689906</v>
      </c>
      <c r="P21" s="7">
        <v>157582</v>
      </c>
      <c r="Q21" s="13">
        <f>P21/'a1'!$X21*100</f>
        <v>18.148565742511998</v>
      </c>
      <c r="R21" s="7">
        <v>470581</v>
      </c>
      <c r="S21" s="13">
        <f>R21/'a1'!$AD21*100</f>
        <v>65.830071540284436</v>
      </c>
      <c r="T21" s="7">
        <v>123715</v>
      </c>
      <c r="U21" s="13">
        <f>T21/'a1'!$AD21*100</f>
        <v>17.306621603095511</v>
      </c>
      <c r="V21" s="7">
        <v>4615272</v>
      </c>
      <c r="W21" s="13">
        <f>V21/'a1'!$AJ21*100</f>
        <v>69.896846512845116</v>
      </c>
      <c r="X21" s="7">
        <v>1271538</v>
      </c>
      <c r="Y21" s="13">
        <f>X21/'a1'!$AJ21*100</f>
        <v>19.257044096480133</v>
      </c>
      <c r="Z21" s="7">
        <v>6221508</v>
      </c>
      <c r="AA21" s="13">
        <f>Z21/'a1'!$AP21*100</f>
        <v>68.82531060126351</v>
      </c>
      <c r="AB21" s="7">
        <v>1808807</v>
      </c>
      <c r="AC21" s="13">
        <f>AB21/'a1'!$AP21*100</f>
        <v>20.009892070015766</v>
      </c>
      <c r="AD21" s="7">
        <v>692824</v>
      </c>
      <c r="AE21" s="13">
        <f>AD21/'a1'!$AV21*100</f>
        <v>65.376050245717863</v>
      </c>
      <c r="AF21" s="7">
        <v>198762</v>
      </c>
      <c r="AG21" s="13">
        <f>AF21/'a1'!$AV21*100</f>
        <v>18.755520159433527</v>
      </c>
      <c r="AH21" s="7">
        <v>635272</v>
      </c>
      <c r="AI21" s="13">
        <f>AH21/'a1'!$BB21*100</f>
        <v>63.447953506070917</v>
      </c>
      <c r="AJ21" s="7">
        <v>183109</v>
      </c>
      <c r="AK21" s="13">
        <f>AJ21/'a1'!$BB21*100</f>
        <v>18.288058215289105</v>
      </c>
      <c r="AL21" s="7">
        <v>1650901</v>
      </c>
      <c r="AM21" s="13">
        <f>AL21/'a1'!$BH21*100</f>
        <v>68.971840171257611</v>
      </c>
      <c r="AN21" s="7">
        <v>379122</v>
      </c>
      <c r="AO21" s="13">
        <f>AN21/'a1'!$BH21*100</f>
        <v>15.839073323844088</v>
      </c>
      <c r="AP21" s="7">
        <v>1981435</v>
      </c>
      <c r="AQ21" s="13">
        <f>AP21/'a1'!$BN21*100</f>
        <v>68.149050284402207</v>
      </c>
      <c r="AR21" s="7">
        <v>561999</v>
      </c>
      <c r="AS21" s="13">
        <f>AR21/'a1'!$BN21*100</f>
        <v>19.329273032314337</v>
      </c>
    </row>
    <row r="22" spans="1:69" ht="16.5" customHeight="1">
      <c r="A22" s="1">
        <v>1984</v>
      </c>
      <c r="B22" s="7">
        <v>17525217</v>
      </c>
      <c r="C22" s="13">
        <f>B22/'a1'!$F22*100</f>
        <v>68.439023420617744</v>
      </c>
      <c r="D22" s="7">
        <v>4862628</v>
      </c>
      <c r="E22" s="13">
        <f>D22/'a1'!$F22*100</f>
        <v>18.989408894494812</v>
      </c>
      <c r="F22" s="7">
        <v>375634</v>
      </c>
      <c r="G22" s="13">
        <f>F22/'a1'!$L22*100</f>
        <v>64.757225483350993</v>
      </c>
      <c r="H22" s="7">
        <v>89278</v>
      </c>
      <c r="I22" s="13">
        <f>H22/'a1'!$L22*100</f>
        <v>15.391033763457543</v>
      </c>
      <c r="J22" s="7">
        <v>81045</v>
      </c>
      <c r="K22" s="13">
        <f>J22/'a1'!$R22*100</f>
        <v>64.03530257658241</v>
      </c>
      <c r="L22" s="7">
        <v>21909</v>
      </c>
      <c r="M22" s="13">
        <f>L22/'a1'!$R22*100</f>
        <v>17.310746426680783</v>
      </c>
      <c r="N22" s="7">
        <v>584225</v>
      </c>
      <c r="O22" s="13">
        <f>N22/'a1'!$X22*100</f>
        <v>66.580547961129199</v>
      </c>
      <c r="P22" s="7">
        <v>158599</v>
      </c>
      <c r="Q22" s="13">
        <f>P22/'a1'!$X22*100</f>
        <v>18.074557449761873</v>
      </c>
      <c r="R22" s="7">
        <v>476226</v>
      </c>
      <c r="S22" s="13">
        <f>R22/'a1'!$AD22*100</f>
        <v>66.097700447474494</v>
      </c>
      <c r="T22" s="7">
        <v>124621</v>
      </c>
      <c r="U22" s="13">
        <f>T22/'a1'!$AD22*100</f>
        <v>17.296748870210191</v>
      </c>
      <c r="V22" s="7">
        <v>4636788</v>
      </c>
      <c r="W22" s="13">
        <f>V22/'a1'!$AJ22*100</f>
        <v>69.923603801412099</v>
      </c>
      <c r="X22" s="7">
        <v>1284484</v>
      </c>
      <c r="Y22" s="13">
        <f>X22/'a1'!$AJ22*100</f>
        <v>19.370251627905574</v>
      </c>
      <c r="Z22" s="7">
        <v>6321231</v>
      </c>
      <c r="AA22" s="13">
        <f>Z22/'a1'!$AP22*100</f>
        <v>68.952735559723905</v>
      </c>
      <c r="AB22" s="7">
        <v>1836805</v>
      </c>
      <c r="AC22" s="13">
        <f>AB22/'a1'!$AP22*100</f>
        <v>20.036086236965346</v>
      </c>
      <c r="AD22" s="7">
        <v>701789</v>
      </c>
      <c r="AE22" s="13">
        <f>AD22/'a1'!$AV22*100</f>
        <v>65.476996855786012</v>
      </c>
      <c r="AF22" s="7">
        <v>199093</v>
      </c>
      <c r="AG22" s="13">
        <f>AF22/'a1'!$AV22*100</f>
        <v>18.575400490758621</v>
      </c>
      <c r="AH22" s="7">
        <v>643834</v>
      </c>
      <c r="AI22" s="13">
        <f>AH22/'a1'!$BB22*100</f>
        <v>63.455990695978279</v>
      </c>
      <c r="AJ22" s="7">
        <v>182497</v>
      </c>
      <c r="AK22" s="13">
        <f>AJ22/'a1'!$BB22*100</f>
        <v>17.986822587878159</v>
      </c>
      <c r="AL22" s="7">
        <v>1645324</v>
      </c>
      <c r="AM22" s="13">
        <f>AL22/'a1'!$BH22*100</f>
        <v>68.729654075951984</v>
      </c>
      <c r="AN22" s="7">
        <v>384599</v>
      </c>
      <c r="AO22" s="13">
        <f>AN22/'a1'!$BH22*100</f>
        <v>16.065745244071721</v>
      </c>
      <c r="AP22" s="7">
        <v>2008461</v>
      </c>
      <c r="AQ22" s="13">
        <f>AP22/'a1'!$BN22*100</f>
        <v>68.148546017363714</v>
      </c>
      <c r="AR22" s="7">
        <v>571712</v>
      </c>
      <c r="AS22" s="13">
        <f>AR22/'a1'!$BN22*100</f>
        <v>19.398604972005451</v>
      </c>
      <c r="AT22" s="6"/>
      <c r="AU22" s="6"/>
      <c r="AV22" s="6"/>
      <c r="AW22" s="6"/>
      <c r="AX22" s="6"/>
      <c r="AY22" s="6"/>
      <c r="AZ22" s="6"/>
      <c r="BA22" s="6"/>
      <c r="BB22" s="6"/>
      <c r="BC22" s="6"/>
      <c r="BD22" s="6"/>
      <c r="BE22" s="6"/>
      <c r="BF22" s="6"/>
      <c r="BG22" s="6"/>
      <c r="BH22" s="6"/>
      <c r="BI22" s="6"/>
      <c r="BJ22" s="6"/>
      <c r="BK22" s="6"/>
      <c r="BL22" s="6"/>
      <c r="BM22" s="6"/>
      <c r="BN22" s="6"/>
      <c r="BO22" s="6"/>
      <c r="BP22" s="6"/>
      <c r="BQ22" s="6"/>
    </row>
    <row r="23" spans="1:69" ht="16.5" customHeight="1">
      <c r="A23" s="1">
        <v>1985</v>
      </c>
      <c r="B23" s="7">
        <v>17689106</v>
      </c>
      <c r="C23" s="13">
        <f>B23/'a1'!$F23*100</f>
        <v>68.450687242484321</v>
      </c>
      <c r="D23" s="7">
        <v>4899033</v>
      </c>
      <c r="E23" s="13">
        <f>D23/'a1'!$F23*100</f>
        <v>18.957553630670184</v>
      </c>
      <c r="F23" s="7">
        <v>377696</v>
      </c>
      <c r="G23" s="13">
        <f>F23/'a1'!$L23*100</f>
        <v>65.201501877346686</v>
      </c>
      <c r="H23" s="7">
        <v>89379</v>
      </c>
      <c r="I23" s="13">
        <f>H23/'a1'!$L23*100</f>
        <v>15.429459237840405</v>
      </c>
      <c r="J23" s="7">
        <v>81932</v>
      </c>
      <c r="K23" s="13">
        <f>J23/'a1'!$R23*100</f>
        <v>64.200471716593924</v>
      </c>
      <c r="L23" s="7">
        <v>22035</v>
      </c>
      <c r="M23" s="13">
        <f>L23/'a1'!$R23*100</f>
        <v>17.26623778590962</v>
      </c>
      <c r="N23" s="7">
        <v>591259</v>
      </c>
      <c r="O23" s="13">
        <f>N23/'a1'!$X23*100</f>
        <v>66.744972049380934</v>
      </c>
      <c r="P23" s="7">
        <v>158709</v>
      </c>
      <c r="Q23" s="13">
        <f>P23/'a1'!$X23*100</f>
        <v>17.916053318402252</v>
      </c>
      <c r="R23" s="7">
        <v>479677</v>
      </c>
      <c r="S23" s="13">
        <f>R23/'a1'!$AD23*100</f>
        <v>66.319040712746116</v>
      </c>
      <c r="T23" s="7">
        <v>124950</v>
      </c>
      <c r="U23" s="13">
        <f>T23/'a1'!$AD23*100</f>
        <v>17.275300122911101</v>
      </c>
      <c r="V23" s="7">
        <v>4662173</v>
      </c>
      <c r="W23" s="13">
        <f>V23/'a1'!$AJ23*100</f>
        <v>69.941666434136508</v>
      </c>
      <c r="X23" s="7">
        <v>1296454</v>
      </c>
      <c r="Y23" s="13">
        <f>X23/'a1'!$AJ23*100</f>
        <v>19.449332578435424</v>
      </c>
      <c r="Z23" s="7">
        <v>6412636</v>
      </c>
      <c r="AA23" s="13">
        <f>Z23/'a1'!$AP23*100</f>
        <v>68.992712695046194</v>
      </c>
      <c r="AB23" s="7">
        <v>1852514</v>
      </c>
      <c r="AC23" s="13">
        <f>AB23/'a1'!$AP23*100</f>
        <v>19.930956032051533</v>
      </c>
      <c r="AD23" s="7">
        <v>709303</v>
      </c>
      <c r="AE23" s="13">
        <f>AD23/'a1'!$AV23*100</f>
        <v>65.524829213991751</v>
      </c>
      <c r="AF23" s="7">
        <v>198548</v>
      </c>
      <c r="AG23" s="13">
        <f>AF23/'a1'!$AV23*100</f>
        <v>18.341701347350334</v>
      </c>
      <c r="AH23" s="7">
        <v>649354</v>
      </c>
      <c r="AI23" s="13">
        <f>AH23/'a1'!$BB23*100</f>
        <v>63.356060133004469</v>
      </c>
      <c r="AJ23" s="7">
        <v>181134</v>
      </c>
      <c r="AK23" s="13">
        <f>AJ23/'a1'!$BB23*100</f>
        <v>17.672851166130695</v>
      </c>
      <c r="AL23" s="7">
        <v>1648942</v>
      </c>
      <c r="AM23" s="13">
        <f>AL23/'a1'!$BH23*100</f>
        <v>68.577619370427826</v>
      </c>
      <c r="AN23" s="7">
        <v>388898</v>
      </c>
      <c r="AO23" s="13">
        <f>AN23/'a1'!$BH23*100</f>
        <v>16.173824802764827</v>
      </c>
      <c r="AP23" s="7">
        <v>2023760</v>
      </c>
      <c r="AQ23" s="13">
        <f>AP23/'a1'!$BN23*100</f>
        <v>68.022550939773737</v>
      </c>
      <c r="AR23" s="7">
        <v>577014</v>
      </c>
      <c r="AS23" s="13">
        <f>AR23/'a1'!$BN23*100</f>
        <v>19.394574558229539</v>
      </c>
      <c r="AT23" s="13"/>
      <c r="AU23" s="13"/>
      <c r="AV23" s="13"/>
      <c r="AW23" s="13"/>
      <c r="AX23" s="13"/>
      <c r="AY23" s="13"/>
      <c r="AZ23" s="13"/>
      <c r="BA23" s="13"/>
      <c r="BB23" s="13"/>
      <c r="BC23" s="13"/>
      <c r="BD23" s="13"/>
      <c r="BE23" s="13"/>
      <c r="BF23" s="13"/>
      <c r="BG23" s="13"/>
      <c r="BH23" s="13"/>
    </row>
    <row r="24" spans="1:69" ht="16.5" customHeight="1">
      <c r="A24" s="1">
        <v>1986</v>
      </c>
      <c r="B24" s="7">
        <v>17878120</v>
      </c>
      <c r="C24" s="13">
        <f>B24/'a1'!$F24*100</f>
        <v>68.497814467723288</v>
      </c>
      <c r="D24" s="7">
        <v>4947844</v>
      </c>
      <c r="E24" s="13">
        <f>D24/'a1'!$F24*100</f>
        <v>18.957054786926026</v>
      </c>
      <c r="F24" s="7">
        <v>378555</v>
      </c>
      <c r="G24" s="13">
        <f>F24/'a1'!$L24*100</f>
        <v>65.686458235728935</v>
      </c>
      <c r="H24" s="7">
        <v>90042</v>
      </c>
      <c r="I24" s="13">
        <f>H24/'a1'!$L24*100</f>
        <v>15.623991421224142</v>
      </c>
      <c r="J24" s="7">
        <v>82688</v>
      </c>
      <c r="K24" s="13">
        <f>J24/'a1'!$R24*100</f>
        <v>64.380703229624089</v>
      </c>
      <c r="L24" s="7">
        <v>22241</v>
      </c>
      <c r="M24" s="13">
        <f>L24/'a1'!$R24*100</f>
        <v>17.316795913918213</v>
      </c>
      <c r="N24" s="7">
        <v>595328</v>
      </c>
      <c r="O24" s="13">
        <f>N24/'a1'!$X24*100</f>
        <v>66.959476406695856</v>
      </c>
      <c r="P24" s="7">
        <v>159445</v>
      </c>
      <c r="Q24" s="13">
        <f>P24/'a1'!$X24*100</f>
        <v>17.933565556576578</v>
      </c>
      <c r="R24" s="7">
        <v>482733</v>
      </c>
      <c r="S24" s="13">
        <f>R24/'a1'!$AD24*100</f>
        <v>66.582117158308947</v>
      </c>
      <c r="T24" s="7">
        <v>125768</v>
      </c>
      <c r="U24" s="13">
        <f>T24/'a1'!$AD24*100</f>
        <v>17.346855737573776</v>
      </c>
      <c r="V24" s="7">
        <v>4692226</v>
      </c>
      <c r="W24" s="13">
        <f>V24/'a1'!$AJ24*100</f>
        <v>69.947929166971022</v>
      </c>
      <c r="X24" s="7">
        <v>1312941</v>
      </c>
      <c r="Y24" s="13">
        <f>X24/'a1'!$AJ24*100</f>
        <v>19.572267846521481</v>
      </c>
      <c r="Z24" s="7">
        <v>6516868</v>
      </c>
      <c r="AA24" s="13">
        <f>Z24/'a1'!$AP24*100</f>
        <v>69.053937653532088</v>
      </c>
      <c r="AB24" s="7">
        <v>1869027</v>
      </c>
      <c r="AC24" s="13">
        <f>AB24/'a1'!$AP24*100</f>
        <v>19.804555490577396</v>
      </c>
      <c r="AD24" s="7">
        <v>716542</v>
      </c>
      <c r="AE24" s="13">
        <f>AD24/'a1'!$AV24*100</f>
        <v>65.644330274691455</v>
      </c>
      <c r="AF24" s="7">
        <v>198686</v>
      </c>
      <c r="AG24" s="13">
        <f>AF24/'a1'!$AV24*100</f>
        <v>18.202156195948522</v>
      </c>
      <c r="AH24" s="7">
        <v>650710</v>
      </c>
      <c r="AI24" s="13">
        <f>AH24/'a1'!$BB24*100</f>
        <v>63.254519950579216</v>
      </c>
      <c r="AJ24" s="7">
        <v>180364</v>
      </c>
      <c r="AK24" s="13">
        <f>AJ24/'a1'!$BB24*100</f>
        <v>17.532907495453074</v>
      </c>
      <c r="AL24" s="7">
        <v>1668701</v>
      </c>
      <c r="AM24" s="13">
        <f>AL24/'a1'!$BH24*100</f>
        <v>68.588122140793189</v>
      </c>
      <c r="AN24" s="7">
        <v>395245</v>
      </c>
      <c r="AO24" s="13">
        <f>AN24/'a1'!$BH24*100</f>
        <v>16.245637975609657</v>
      </c>
      <c r="AP24" s="7">
        <v>2040732</v>
      </c>
      <c r="AQ24" s="13">
        <f>AP24/'a1'!$BN24*100</f>
        <v>67.942393531008065</v>
      </c>
      <c r="AR24" s="7">
        <v>584451</v>
      </c>
      <c r="AS24" s="13">
        <f>AR24/'a1'!$BN24*100</f>
        <v>19.458213935779515</v>
      </c>
    </row>
    <row r="25" spans="1:69" ht="16.5" customHeight="1">
      <c r="A25" s="1">
        <v>1987</v>
      </c>
      <c r="B25" s="7">
        <v>18082037</v>
      </c>
      <c r="C25" s="13">
        <f>B25/'a1'!$F25*100</f>
        <v>68.371875085195256</v>
      </c>
      <c r="D25" s="7">
        <v>5015923</v>
      </c>
      <c r="E25" s="13">
        <f>D25/'a1'!$F25*100</f>
        <v>18.96622934644796</v>
      </c>
      <c r="F25" s="7">
        <v>380552</v>
      </c>
      <c r="G25" s="13">
        <f>F25/'a1'!$L25*100</f>
        <v>66.155113847737127</v>
      </c>
      <c r="H25" s="7">
        <v>90851</v>
      </c>
      <c r="I25" s="13">
        <f>H25/'a1'!$L25*100</f>
        <v>15.793526898244565</v>
      </c>
      <c r="J25" s="7">
        <v>82868</v>
      </c>
      <c r="K25" s="13">
        <f>J25/'a1'!$R25*100</f>
        <v>64.418031576247074</v>
      </c>
      <c r="L25" s="7">
        <v>22380</v>
      </c>
      <c r="M25" s="13">
        <f>L25/'a1'!$R25*100</f>
        <v>17.397252819863031</v>
      </c>
      <c r="N25" s="7">
        <v>598865</v>
      </c>
      <c r="O25" s="13">
        <f>N25/'a1'!$X25*100</f>
        <v>67.016671777047151</v>
      </c>
      <c r="P25" s="7">
        <v>160615</v>
      </c>
      <c r="Q25" s="13">
        <f>P25/'a1'!$X25*100</f>
        <v>17.973805010261792</v>
      </c>
      <c r="R25" s="7">
        <v>485574</v>
      </c>
      <c r="S25" s="13">
        <f>R25/'a1'!$AD25*100</f>
        <v>66.720988007167108</v>
      </c>
      <c r="T25" s="7">
        <v>126995</v>
      </c>
      <c r="U25" s="13">
        <f>T25/'a1'!$AD25*100</f>
        <v>17.44992909828407</v>
      </c>
      <c r="V25" s="7">
        <v>4735313</v>
      </c>
      <c r="W25" s="13">
        <f>V25/'a1'!$AJ25*100</f>
        <v>69.821942959464366</v>
      </c>
      <c r="X25" s="7">
        <v>1336382</v>
      </c>
      <c r="Y25" s="13">
        <f>X25/'a1'!$AJ25*100</f>
        <v>19.704882818950914</v>
      </c>
      <c r="Z25" s="7">
        <v>6643937</v>
      </c>
      <c r="AA25" s="13">
        <f>Z25/'a1'!$AP25*100</f>
        <v>68.935203510706899</v>
      </c>
      <c r="AB25" s="7">
        <v>1896568</v>
      </c>
      <c r="AC25" s="13">
        <f>AB25/'a1'!$AP25*100</f>
        <v>19.678136781232929</v>
      </c>
      <c r="AD25" s="7">
        <v>719008</v>
      </c>
      <c r="AE25" s="13">
        <f>AD25/'a1'!$AV25*100</f>
        <v>65.461186682483998</v>
      </c>
      <c r="AF25" s="7">
        <v>198228</v>
      </c>
      <c r="AG25" s="13">
        <f>AF25/'a1'!$AV25*100</f>
        <v>18.047421049133582</v>
      </c>
      <c r="AH25" s="7">
        <v>650903</v>
      </c>
      <c r="AI25" s="13">
        <f>AH25/'a1'!$BB25*100</f>
        <v>63.023201997678157</v>
      </c>
      <c r="AJ25" s="7">
        <v>179727</v>
      </c>
      <c r="AK25" s="13">
        <f>AJ25/'a1'!$BB25*100</f>
        <v>17.401933967790441</v>
      </c>
      <c r="AL25" s="7">
        <v>1667061</v>
      </c>
      <c r="AM25" s="13">
        <f>AL25/'a1'!$BH25*100</f>
        <v>68.297624173606451</v>
      </c>
      <c r="AN25" s="7">
        <v>400631</v>
      </c>
      <c r="AO25" s="13">
        <f>AN25/'a1'!$BH25*100</f>
        <v>16.413403870821842</v>
      </c>
      <c r="AP25" s="7">
        <v>2063596</v>
      </c>
      <c r="AQ25" s="13">
        <f>AP25/'a1'!$BN25*100</f>
        <v>67.68882367971932</v>
      </c>
      <c r="AR25" s="7">
        <v>593510</v>
      </c>
      <c r="AS25" s="13">
        <f>AR25/'a1'!$BN25*100</f>
        <v>19.467954842978092</v>
      </c>
    </row>
    <row r="26" spans="1:69" ht="16.5" customHeight="1">
      <c r="A26" s="1">
        <v>1988</v>
      </c>
      <c r="B26" s="7">
        <v>18288208</v>
      </c>
      <c r="C26" s="13">
        <f>B26/'a1'!$F26*100</f>
        <v>68.260602789358984</v>
      </c>
      <c r="D26" s="7">
        <v>5110551</v>
      </c>
      <c r="E26" s="13">
        <f>D26/'a1'!$F26*100</f>
        <v>19.075094281832385</v>
      </c>
      <c r="F26" s="7">
        <v>383293</v>
      </c>
      <c r="G26" s="13">
        <f>F26/'a1'!$L26*100</f>
        <v>66.66173897617665</v>
      </c>
      <c r="H26" s="7">
        <v>92699</v>
      </c>
      <c r="I26" s="13">
        <f>H26/'a1'!$L26*100</f>
        <v>16.122069908275389</v>
      </c>
      <c r="J26" s="7">
        <v>83230</v>
      </c>
      <c r="K26" s="13">
        <f>J26/'a1'!$R26*100</f>
        <v>64.375159526332482</v>
      </c>
      <c r="L26" s="7">
        <v>22559</v>
      </c>
      <c r="M26" s="13">
        <f>L26/'a1'!$R26*100</f>
        <v>17.448506833527986</v>
      </c>
      <c r="N26" s="7">
        <v>601958</v>
      </c>
      <c r="O26" s="13">
        <f>N26/'a1'!$X26*100</f>
        <v>67.091759397959919</v>
      </c>
      <c r="P26" s="7">
        <v>163049</v>
      </c>
      <c r="Q26" s="13">
        <f>P26/'a1'!$X26*100</f>
        <v>18.17276999072687</v>
      </c>
      <c r="R26" s="7">
        <v>488668</v>
      </c>
      <c r="S26" s="13">
        <f>R26/'a1'!$AD26*100</f>
        <v>66.908833995802013</v>
      </c>
      <c r="T26" s="7">
        <v>128988</v>
      </c>
      <c r="U26" s="13">
        <f>T26/'a1'!$AD26*100</f>
        <v>17.661145561916289</v>
      </c>
      <c r="V26" s="7">
        <v>4763227</v>
      </c>
      <c r="W26" s="13">
        <f>V26/'a1'!$AJ26*100</f>
        <v>69.667593329722635</v>
      </c>
      <c r="X26" s="7">
        <v>1364903</v>
      </c>
      <c r="Y26" s="13">
        <f>X26/'a1'!$AJ26*100</f>
        <v>19.963253302544349</v>
      </c>
      <c r="Z26" s="7">
        <v>6770121</v>
      </c>
      <c r="AA26" s="13">
        <f>Z26/'a1'!$AP26*100</f>
        <v>68.811693103301081</v>
      </c>
      <c r="AB26" s="7">
        <v>1931551</v>
      </c>
      <c r="AC26" s="13">
        <f>AB26/'a1'!$AP26*100</f>
        <v>19.632336648838962</v>
      </c>
      <c r="AD26" s="7">
        <v>719919</v>
      </c>
      <c r="AE26" s="13">
        <f>AD26/'a1'!$AV26*100</f>
        <v>65.319393332317148</v>
      </c>
      <c r="AF26" s="7">
        <v>198597</v>
      </c>
      <c r="AG26" s="13">
        <f>AF26/'a1'!$AV26*100</f>
        <v>18.019020969884373</v>
      </c>
      <c r="AH26" s="7">
        <v>646361</v>
      </c>
      <c r="AI26" s="13">
        <f>AH26/'a1'!$BB26*100</f>
        <v>62.861824989666658</v>
      </c>
      <c r="AJ26" s="7">
        <v>179559</v>
      </c>
      <c r="AK26" s="13">
        <f>AJ26/'a1'!$BB26*100</f>
        <v>17.463006637652263</v>
      </c>
      <c r="AL26" s="7">
        <v>1672186</v>
      </c>
      <c r="AM26" s="13">
        <f>AL26/'a1'!$BH26*100</f>
        <v>68.06873200266709</v>
      </c>
      <c r="AN26" s="7">
        <v>408911</v>
      </c>
      <c r="AO26" s="13">
        <f>AN26/'a1'!$BH26*100</f>
        <v>16.645309356699915</v>
      </c>
      <c r="AP26" s="7">
        <v>2103541</v>
      </c>
      <c r="AQ26" s="13">
        <f>AP26/'a1'!$BN26*100</f>
        <v>67.534587725992452</v>
      </c>
      <c r="AR26" s="7">
        <v>609312</v>
      </c>
      <c r="AS26" s="13">
        <f>AR26/'a1'!$BN26*100</f>
        <v>19.562078759814959</v>
      </c>
    </row>
    <row r="27" spans="1:69" ht="16.5" customHeight="1">
      <c r="A27" s="1">
        <v>1989</v>
      </c>
      <c r="B27" s="7">
        <v>18594227</v>
      </c>
      <c r="C27" s="13">
        <f>B27/'a1'!$F27*100</f>
        <v>68.168699964999533</v>
      </c>
      <c r="D27" s="7">
        <v>5216055</v>
      </c>
      <c r="E27" s="13">
        <f>D27/'a1'!$F27*100</f>
        <v>19.122692666704332</v>
      </c>
      <c r="F27" s="7">
        <v>387458</v>
      </c>
      <c r="G27" s="13">
        <f>F27/'a1'!$L27*100</f>
        <v>67.202727946009972</v>
      </c>
      <c r="H27" s="7">
        <v>94997</v>
      </c>
      <c r="I27" s="13">
        <f>H27/'a1'!$L27*100</f>
        <v>16.476773086856149</v>
      </c>
      <c r="J27" s="7">
        <v>83719</v>
      </c>
      <c r="K27" s="13">
        <f>J27/'a1'!$R27*100</f>
        <v>64.323526926002472</v>
      </c>
      <c r="L27" s="7">
        <v>22978</v>
      </c>
      <c r="M27" s="13">
        <f>L27/'a1'!$R27*100</f>
        <v>17.654606501578911</v>
      </c>
      <c r="N27" s="7">
        <v>607053</v>
      </c>
      <c r="O27" s="13">
        <f>N27/'a1'!$X27*100</f>
        <v>67.163693614252949</v>
      </c>
      <c r="P27" s="7">
        <v>165744</v>
      </c>
      <c r="Q27" s="13">
        <f>P27/'a1'!$X27*100</f>
        <v>18.337738606679714</v>
      </c>
      <c r="R27" s="7">
        <v>493049</v>
      </c>
      <c r="S27" s="13">
        <f>R27/'a1'!$AD27*100</f>
        <v>67.069725177485864</v>
      </c>
      <c r="T27" s="7">
        <v>131634</v>
      </c>
      <c r="U27" s="13">
        <f>T27/'a1'!$AD27*100</f>
        <v>17.906245026383125</v>
      </c>
      <c r="V27" s="7">
        <v>4815443</v>
      </c>
      <c r="W27" s="13">
        <f>V27/'a1'!$AJ27*100</f>
        <v>69.535797749875528</v>
      </c>
      <c r="X27" s="7">
        <v>1396176</v>
      </c>
      <c r="Y27" s="13">
        <f>X27/'a1'!$AJ27*100</f>
        <v>20.161013630361779</v>
      </c>
      <c r="Z27" s="7">
        <v>6945287</v>
      </c>
      <c r="AA27" s="13">
        <f>Z27/'a1'!$AP27*100</f>
        <v>68.742723296980543</v>
      </c>
      <c r="AB27" s="7">
        <v>1969879</v>
      </c>
      <c r="AC27" s="13">
        <f>AB27/'a1'!$AP27*100</f>
        <v>19.497372394478838</v>
      </c>
      <c r="AD27" s="7">
        <v>718903</v>
      </c>
      <c r="AE27" s="13">
        <f>AD27/'a1'!$AV27*100</f>
        <v>65.130296287706386</v>
      </c>
      <c r="AF27" s="7">
        <v>199262</v>
      </c>
      <c r="AG27" s="13">
        <f>AF27/'a1'!$AV27*100</f>
        <v>18.052495397683622</v>
      </c>
      <c r="AH27" s="7">
        <v>637747</v>
      </c>
      <c r="AI27" s="13">
        <f>AH27/'a1'!$BB27*100</f>
        <v>62.558622928885399</v>
      </c>
      <c r="AJ27" s="7">
        <v>178694</v>
      </c>
      <c r="AK27" s="13">
        <f>AJ27/'a1'!$BB27*100</f>
        <v>17.528660371047213</v>
      </c>
      <c r="AL27" s="7">
        <v>1694479</v>
      </c>
      <c r="AM27" s="13">
        <f>AL27/'a1'!$BH27*100</f>
        <v>67.824602483664052</v>
      </c>
      <c r="AN27" s="7">
        <v>419473</v>
      </c>
      <c r="AO27" s="13">
        <f>AN27/'a1'!$BH27*100</f>
        <v>16.790169413507051</v>
      </c>
      <c r="AP27" s="7">
        <v>2154291</v>
      </c>
      <c r="AQ27" s="13">
        <f>AP27/'a1'!$BN27*100</f>
        <v>67.390563780118711</v>
      </c>
      <c r="AR27" s="7">
        <v>626367</v>
      </c>
      <c r="AS27" s="13">
        <f>AR27/'a1'!$BN27*100</f>
        <v>19.594022006897685</v>
      </c>
    </row>
    <row r="28" spans="1:69" ht="16.5" customHeight="1">
      <c r="A28" s="1">
        <v>1990</v>
      </c>
      <c r="B28" s="7">
        <v>18837266</v>
      </c>
      <c r="C28" s="13">
        <f>B28/'a1'!$F28*100</f>
        <v>68.026333912315195</v>
      </c>
      <c r="D28" s="7">
        <v>5319307</v>
      </c>
      <c r="E28" s="13">
        <f>D28/'a1'!$F28*100</f>
        <v>19.209419995667929</v>
      </c>
      <c r="F28" s="7">
        <v>390862</v>
      </c>
      <c r="G28" s="13">
        <f>F28/'a1'!$L28*100</f>
        <v>67.697205248645574</v>
      </c>
      <c r="H28" s="7">
        <v>97365</v>
      </c>
      <c r="I28" s="13">
        <f>H28/'a1'!$L28*100</f>
        <v>16.863594795693562</v>
      </c>
      <c r="J28" s="7">
        <v>83824</v>
      </c>
      <c r="K28" s="13">
        <f>J28/'a1'!$R28*100</f>
        <v>64.280236802552068</v>
      </c>
      <c r="L28" s="7">
        <v>23339</v>
      </c>
      <c r="M28" s="13">
        <f>L28/'a1'!$R28*100</f>
        <v>17.897457133216772</v>
      </c>
      <c r="N28" s="7">
        <v>611785</v>
      </c>
      <c r="O28" s="13">
        <f>N28/'a1'!$X28*100</f>
        <v>67.19581833618723</v>
      </c>
      <c r="P28" s="7">
        <v>168917</v>
      </c>
      <c r="Q28" s="13">
        <f>P28/'a1'!$X28*100</f>
        <v>18.553112688107323</v>
      </c>
      <c r="R28" s="7">
        <v>497325</v>
      </c>
      <c r="S28" s="13">
        <f>R28/'a1'!$AD28*100</f>
        <v>67.191916298726213</v>
      </c>
      <c r="T28" s="7">
        <v>134107</v>
      </c>
      <c r="U28" s="13">
        <f>T28/'a1'!$AD28*100</f>
        <v>18.118747939623539</v>
      </c>
      <c r="V28" s="7">
        <v>4852690</v>
      </c>
      <c r="W28" s="13">
        <f>V28/'a1'!$AJ28*100</f>
        <v>69.354004710028008</v>
      </c>
      <c r="X28" s="7">
        <v>1428982</v>
      </c>
      <c r="Y28" s="13">
        <f>X28/'a1'!$AJ28*100</f>
        <v>20.422822055096294</v>
      </c>
      <c r="Z28" s="7">
        <v>7056848</v>
      </c>
      <c r="AA28" s="13">
        <f>Z28/'a1'!$AP28*100</f>
        <v>68.540823121433988</v>
      </c>
      <c r="AB28" s="7">
        <v>2002098</v>
      </c>
      <c r="AC28" s="13">
        <f>AB28/'a1'!$AP28*100</f>
        <v>19.44571356642183</v>
      </c>
      <c r="AD28" s="7">
        <v>718025</v>
      </c>
      <c r="AE28" s="13">
        <f>AD28/'a1'!$AV28*100</f>
        <v>64.954890489686733</v>
      </c>
      <c r="AF28" s="7">
        <v>199915</v>
      </c>
      <c r="AG28" s="13">
        <f>AF28/'a1'!$AV28*100</f>
        <v>18.084964913820166</v>
      </c>
      <c r="AH28" s="7">
        <v>627341</v>
      </c>
      <c r="AI28" s="13">
        <f>AH28/'a1'!$BB28*100</f>
        <v>62.253070524060583</v>
      </c>
      <c r="AJ28" s="7">
        <v>177799</v>
      </c>
      <c r="AK28" s="13">
        <f>AJ28/'a1'!$BB28*100</f>
        <v>17.643568148913346</v>
      </c>
      <c r="AL28" s="7">
        <v>1723204</v>
      </c>
      <c r="AM28" s="13">
        <f>AL28/'a1'!$BH28*100</f>
        <v>67.635297756328242</v>
      </c>
      <c r="AN28" s="7">
        <v>430396</v>
      </c>
      <c r="AO28" s="13">
        <f>AN28/'a1'!$BH28*100</f>
        <v>16.892928297016862</v>
      </c>
      <c r="AP28" s="7">
        <v>2216909</v>
      </c>
      <c r="AQ28" s="13">
        <f>AP28/'a1'!$BN28*100</f>
        <v>67.340044123664129</v>
      </c>
      <c r="AR28" s="7">
        <v>645074</v>
      </c>
      <c r="AS28" s="13">
        <f>AR28/'a1'!$BN28*100</f>
        <v>19.594539795286366</v>
      </c>
    </row>
    <row r="29" spans="1:69" ht="16.5" customHeight="1">
      <c r="A29" s="1">
        <v>1991</v>
      </c>
      <c r="B29" s="7">
        <v>19029372</v>
      </c>
      <c r="C29" s="13">
        <f>B29/'a1'!$F29*100</f>
        <v>67.87133766230987</v>
      </c>
      <c r="D29" s="7">
        <v>5443495</v>
      </c>
      <c r="E29" s="13">
        <f>D29/'a1'!$F29*100</f>
        <v>19.415106668159908</v>
      </c>
      <c r="F29" s="7">
        <v>395349</v>
      </c>
      <c r="G29" s="13">
        <f>F29/'a1'!$L29*100</f>
        <v>68.2054847458095</v>
      </c>
      <c r="H29" s="7">
        <v>100732</v>
      </c>
      <c r="I29" s="13">
        <f>H29/'a1'!$L29*100</f>
        <v>17.378252858651173</v>
      </c>
      <c r="J29" s="7">
        <v>83880</v>
      </c>
      <c r="K29" s="13">
        <f>J29/'a1'!$R29*100</f>
        <v>64.340449033129048</v>
      </c>
      <c r="L29" s="7">
        <v>23879</v>
      </c>
      <c r="M29" s="13">
        <f>L29/'a1'!$R29*100</f>
        <v>18.316470940177496</v>
      </c>
      <c r="N29" s="7">
        <v>615003</v>
      </c>
      <c r="O29" s="13">
        <f>N29/'a1'!$X29*100</f>
        <v>67.215719876848283</v>
      </c>
      <c r="P29" s="7">
        <v>172809</v>
      </c>
      <c r="Q29" s="13">
        <f>P29/'a1'!$X29*100</f>
        <v>18.886869391203419</v>
      </c>
      <c r="R29" s="7">
        <v>501994</v>
      </c>
      <c r="S29" s="13">
        <f>R29/'a1'!$AD29*100</f>
        <v>67.330501484105383</v>
      </c>
      <c r="T29" s="7">
        <v>137252</v>
      </c>
      <c r="U29" s="13">
        <f>T29/'a1'!$AD29*100</f>
        <v>18.409076581983914</v>
      </c>
      <c r="V29" s="7">
        <v>4886095</v>
      </c>
      <c r="W29" s="13">
        <f>V29/'a1'!$AJ29*100</f>
        <v>69.135718445662306</v>
      </c>
      <c r="X29" s="7">
        <v>1464877</v>
      </c>
      <c r="Y29" s="13">
        <f>X29/'a1'!$AJ29*100</f>
        <v>20.727252300564452</v>
      </c>
      <c r="Z29" s="7">
        <v>7123434</v>
      </c>
      <c r="AA29" s="13">
        <f>Z29/'a1'!$AP29*100</f>
        <v>68.288929220435847</v>
      </c>
      <c r="AB29" s="7">
        <v>2042129</v>
      </c>
      <c r="AC29" s="13">
        <f>AB29/'a1'!$AP29*100</f>
        <v>19.576906691351311</v>
      </c>
      <c r="AD29" s="7">
        <v>719691</v>
      </c>
      <c r="AE29" s="13">
        <f>AD29/'a1'!$AV29*100</f>
        <v>64.860166329609484</v>
      </c>
      <c r="AF29" s="7">
        <v>202288</v>
      </c>
      <c r="AG29" s="13">
        <f>AF29/'a1'!$AV29*100</f>
        <v>18.230648051016399</v>
      </c>
      <c r="AH29" s="7">
        <v>622690</v>
      </c>
      <c r="AI29" s="13">
        <f>AH29/'a1'!$BB29*100</f>
        <v>62.100521285751753</v>
      </c>
      <c r="AJ29" s="7">
        <v>178092</v>
      </c>
      <c r="AK29" s="13">
        <f>AJ29/'a1'!$BB29*100</f>
        <v>17.761014368019563</v>
      </c>
      <c r="AL29" s="7">
        <v>1749971</v>
      </c>
      <c r="AM29" s="13">
        <f>AL29/'a1'!$BH29*100</f>
        <v>67.50634377268733</v>
      </c>
      <c r="AN29" s="7">
        <v>442876</v>
      </c>
      <c r="AO29" s="13">
        <f>AN29/'a1'!$BH29*100</f>
        <v>17.084248541645934</v>
      </c>
      <c r="AP29" s="7">
        <v>2270909</v>
      </c>
      <c r="AQ29" s="13">
        <f>AP29/'a1'!$BN29*100</f>
        <v>67.31038444335698</v>
      </c>
      <c r="AR29" s="7">
        <v>666670</v>
      </c>
      <c r="AS29" s="13">
        <f>AR29/'a1'!$BN29*100</f>
        <v>19.760287178769733</v>
      </c>
    </row>
    <row r="30" spans="1:69" ht="16.5" customHeight="1">
      <c r="A30" s="1">
        <v>1992</v>
      </c>
      <c r="B30" s="7">
        <v>19207617</v>
      </c>
      <c r="C30" s="13">
        <f>B30/'a1'!$F30*100</f>
        <v>67.700956150561353</v>
      </c>
      <c r="D30" s="7">
        <v>5617668</v>
      </c>
      <c r="E30" s="13">
        <f>D30/'a1'!$F30*100</f>
        <v>19.800555942801843</v>
      </c>
      <c r="F30" s="7">
        <v>397552</v>
      </c>
      <c r="G30" s="13">
        <f>F30/'a1'!$L30*100</f>
        <v>68.530569255088267</v>
      </c>
      <c r="H30" s="7">
        <v>104269</v>
      </c>
      <c r="I30" s="13">
        <f>H30/'a1'!$L30*100</f>
        <v>17.974035913940313</v>
      </c>
      <c r="J30" s="7">
        <v>84380</v>
      </c>
      <c r="K30" s="13">
        <f>J30/'a1'!$R30*100</f>
        <v>64.497389682557881</v>
      </c>
      <c r="L30" s="7">
        <v>24798</v>
      </c>
      <c r="M30" s="13">
        <f>L30/'a1'!$R30*100</f>
        <v>18.954802907656678</v>
      </c>
      <c r="N30" s="7">
        <v>618100</v>
      </c>
      <c r="O30" s="13">
        <f>N30/'a1'!$X30*100</f>
        <v>67.224898336072286</v>
      </c>
      <c r="P30" s="7">
        <v>178906</v>
      </c>
      <c r="Q30" s="13">
        <f>P30/'a1'!$X30*100</f>
        <v>19.457915647489642</v>
      </c>
      <c r="R30" s="7">
        <v>505162</v>
      </c>
      <c r="S30" s="13">
        <f>R30/'a1'!$AD30*100</f>
        <v>67.524103721189491</v>
      </c>
      <c r="T30" s="7">
        <v>142291</v>
      </c>
      <c r="U30" s="13">
        <f>T30/'a1'!$AD30*100</f>
        <v>19.019784232764486</v>
      </c>
      <c r="V30" s="7">
        <v>4903151</v>
      </c>
      <c r="W30" s="13">
        <f>V30/'a1'!$AJ30*100</f>
        <v>68.961239154375306</v>
      </c>
      <c r="X30" s="7">
        <v>1499862</v>
      </c>
      <c r="Y30" s="13">
        <f>X30/'a1'!$AJ30*100</f>
        <v>21.095075815645828</v>
      </c>
      <c r="Z30" s="7">
        <v>7187004</v>
      </c>
      <c r="AA30" s="13">
        <f>Z30/'a1'!$AP30*100</f>
        <v>67.980180104339638</v>
      </c>
      <c r="AB30" s="7">
        <v>2108640</v>
      </c>
      <c r="AC30" s="13">
        <f>AB30/'a1'!$AP30*100</f>
        <v>19.945129705676344</v>
      </c>
      <c r="AD30" s="7">
        <v>719871</v>
      </c>
      <c r="AE30" s="13">
        <f>AD30/'a1'!$AV30*100</f>
        <v>64.696514479787254</v>
      </c>
      <c r="AF30" s="7">
        <v>206615</v>
      </c>
      <c r="AG30" s="13">
        <f>AF30/'a1'!$AV30*100</f>
        <v>18.568980191230434</v>
      </c>
      <c r="AH30" s="7">
        <v>623161</v>
      </c>
      <c r="AI30" s="13">
        <f>AH30/'a1'!$BB30*100</f>
        <v>62.068137789530823</v>
      </c>
      <c r="AJ30" s="7">
        <v>180690</v>
      </c>
      <c r="AK30" s="13">
        <f>AJ30/'a1'!$BB30*100</f>
        <v>17.997101579191131</v>
      </c>
      <c r="AL30" s="7">
        <v>1773621</v>
      </c>
      <c r="AM30" s="13">
        <f>AL30/'a1'!$BH30*100</f>
        <v>67.36961535656549</v>
      </c>
      <c r="AN30" s="7">
        <v>460801</v>
      </c>
      <c r="AO30" s="13">
        <f>AN30/'a1'!$BH30*100</f>
        <v>17.503167884187622</v>
      </c>
      <c r="AP30" s="7">
        <v>2333633</v>
      </c>
      <c r="AQ30" s="13">
        <f>AP30/'a1'!$BN30*100</f>
        <v>67.274897788919631</v>
      </c>
      <c r="AR30" s="7">
        <v>698230</v>
      </c>
      <c r="AS30" s="13">
        <f>AR30/'a1'!$BN30*100</f>
        <v>20.128851401723129</v>
      </c>
    </row>
    <row r="31" spans="1:69" ht="16.5" customHeight="1">
      <c r="A31" s="1">
        <v>1993</v>
      </c>
      <c r="B31" s="7">
        <v>19392564</v>
      </c>
      <c r="C31" s="13">
        <f>B31/'a1'!$F31*100</f>
        <v>67.605799371401488</v>
      </c>
      <c r="D31" s="7">
        <v>5791678</v>
      </c>
      <c r="E31" s="13">
        <f>D31/'a1'!$F31*100</f>
        <v>20.190781419711175</v>
      </c>
      <c r="F31" s="7">
        <v>399552</v>
      </c>
      <c r="G31" s="13">
        <f>F31/'a1'!$L31*100</f>
        <v>68.891007746858918</v>
      </c>
      <c r="H31" s="7">
        <v>108082</v>
      </c>
      <c r="I31" s="13">
        <f>H31/'a1'!$L31*100</f>
        <v>18.635566582812764</v>
      </c>
      <c r="J31" s="7">
        <v>85502</v>
      </c>
      <c r="K31" s="13">
        <f>J31/'a1'!$R31*100</f>
        <v>64.687502364253987</v>
      </c>
      <c r="L31" s="7">
        <v>25731</v>
      </c>
      <c r="M31" s="13">
        <f>L31/'a1'!$R31*100</f>
        <v>19.467078236001726</v>
      </c>
      <c r="N31" s="7">
        <v>621497</v>
      </c>
      <c r="O31" s="13">
        <f>N31/'a1'!$X31*100</f>
        <v>67.267040073599048</v>
      </c>
      <c r="P31" s="7">
        <v>185127</v>
      </c>
      <c r="Q31" s="13">
        <f>P31/'a1'!$X31*100</f>
        <v>20.037015991557755</v>
      </c>
      <c r="R31" s="7">
        <v>506262</v>
      </c>
      <c r="S31" s="13">
        <f>R31/'a1'!$AD31*100</f>
        <v>67.608692168394739</v>
      </c>
      <c r="T31" s="7">
        <v>147077</v>
      </c>
      <c r="U31" s="13">
        <f>T31/'a1'!$AD31*100</f>
        <v>19.641378610385519</v>
      </c>
      <c r="V31" s="7">
        <v>4928283</v>
      </c>
      <c r="W31" s="13">
        <f>V31/'a1'!$AJ31*100</f>
        <v>68.864074901031046</v>
      </c>
      <c r="X31" s="7">
        <v>1535765</v>
      </c>
      <c r="Y31" s="13">
        <f>X31/'a1'!$AJ31*100</f>
        <v>21.459610982239035</v>
      </c>
      <c r="Z31" s="7">
        <v>7241331</v>
      </c>
      <c r="AA31" s="13">
        <f>Z31/'a1'!$AP31*100</f>
        <v>67.739057616072088</v>
      </c>
      <c r="AB31" s="7">
        <v>2171793</v>
      </c>
      <c r="AC31" s="13">
        <f>AB31/'a1'!$AP31*100</f>
        <v>20.316045649229686</v>
      </c>
      <c r="AD31" s="7">
        <v>722401</v>
      </c>
      <c r="AE31" s="13">
        <f>AD31/'a1'!$AV31*100</f>
        <v>64.637559523916039</v>
      </c>
      <c r="AF31" s="7">
        <v>211316</v>
      </c>
      <c r="AG31" s="13">
        <f>AF31/'a1'!$AV31*100</f>
        <v>18.907712653160562</v>
      </c>
      <c r="AH31" s="7">
        <v>625120</v>
      </c>
      <c r="AI31" s="13">
        <f>AH31/'a1'!$BB31*100</f>
        <v>62.083623001291087</v>
      </c>
      <c r="AJ31" s="7">
        <v>183088</v>
      </c>
      <c r="AK31" s="13">
        <f>AJ31/'a1'!$BB31*100</f>
        <v>18.183334988578807</v>
      </c>
      <c r="AL31" s="7">
        <v>1795714</v>
      </c>
      <c r="AM31" s="13">
        <f>AL31/'a1'!$BH31*100</f>
        <v>67.32348764214791</v>
      </c>
      <c r="AN31" s="7">
        <v>478961</v>
      </c>
      <c r="AO31" s="13">
        <f>AN31/'a1'!$BH31*100</f>
        <v>17.956826624156637</v>
      </c>
      <c r="AP31" s="7">
        <v>2403921</v>
      </c>
      <c r="AQ31" s="13">
        <f>AP31/'a1'!$BN31*100</f>
        <v>67.378773083033323</v>
      </c>
      <c r="AR31" s="7">
        <v>731416</v>
      </c>
      <c r="AS31" s="13">
        <f>AR31/'a1'!$BN31*100</f>
        <v>20.500637372567528</v>
      </c>
    </row>
    <row r="32" spans="1:69" ht="16.5" customHeight="1">
      <c r="A32" s="1">
        <v>1994</v>
      </c>
      <c r="B32" s="7">
        <v>19605196</v>
      </c>
      <c r="C32" s="13">
        <f>B32/'a1'!$F32*100</f>
        <v>67.602578603116754</v>
      </c>
      <c r="D32" s="7">
        <v>5970930</v>
      </c>
      <c r="E32" s="13">
        <f>D32/'a1'!$F32*100</f>
        <v>20.58894308726666</v>
      </c>
      <c r="F32" s="7">
        <v>397308</v>
      </c>
      <c r="G32" s="13">
        <f>F32/'a1'!$L32*100</f>
        <v>69.161273252028849</v>
      </c>
      <c r="H32" s="7">
        <v>111731</v>
      </c>
      <c r="I32" s="13">
        <f>H32/'a1'!$L32*100</f>
        <v>19.449540965000541</v>
      </c>
      <c r="J32" s="7">
        <v>86680</v>
      </c>
      <c r="K32" s="13">
        <f>J32/'a1'!$R32*100</f>
        <v>64.959493993420111</v>
      </c>
      <c r="L32" s="7">
        <v>26710</v>
      </c>
      <c r="M32" s="13">
        <f>L32/'a1'!$R32*100</f>
        <v>20.016936831613421</v>
      </c>
      <c r="N32" s="7">
        <v>624168</v>
      </c>
      <c r="O32" s="13">
        <f>N32/'a1'!$X32*100</f>
        <v>67.341409969672156</v>
      </c>
      <c r="P32" s="7">
        <v>191160</v>
      </c>
      <c r="Q32" s="13">
        <f>P32/'a1'!$X32*100</f>
        <v>20.62422926167719</v>
      </c>
      <c r="R32" s="7">
        <v>508275</v>
      </c>
      <c r="S32" s="13">
        <f>R32/'a1'!$AD32*100</f>
        <v>67.753287522411142</v>
      </c>
      <c r="T32" s="7">
        <v>152158</v>
      </c>
      <c r="U32" s="13">
        <f>T32/'a1'!$AD32*100</f>
        <v>20.282730259869233</v>
      </c>
      <c r="V32" s="7">
        <v>4952675</v>
      </c>
      <c r="W32" s="13">
        <f>V32/'a1'!$AJ32*100</f>
        <v>68.859809440600031</v>
      </c>
      <c r="X32" s="7">
        <v>1573615</v>
      </c>
      <c r="Y32" s="13">
        <f>X32/'a1'!$AJ32*100</f>
        <v>21.878849113432604</v>
      </c>
      <c r="Z32" s="7">
        <v>7315589</v>
      </c>
      <c r="AA32" s="13">
        <f>Z32/'a1'!$AP32*100</f>
        <v>67.617065154680418</v>
      </c>
      <c r="AB32" s="7">
        <v>2235610</v>
      </c>
      <c r="AC32" s="13">
        <f>AB32/'a1'!$AP32*100</f>
        <v>20.663460868353194</v>
      </c>
      <c r="AD32" s="7">
        <v>725579</v>
      </c>
      <c r="AE32" s="13">
        <f>AD32/'a1'!$AV32*100</f>
        <v>64.597544581252293</v>
      </c>
      <c r="AF32" s="7">
        <v>216188</v>
      </c>
      <c r="AG32" s="13">
        <f>AF32/'a1'!$AV32*100</f>
        <v>19.246993046838138</v>
      </c>
      <c r="AH32" s="7">
        <v>628014</v>
      </c>
      <c r="AI32" s="13">
        <f>AH32/'a1'!$BB32*100</f>
        <v>62.205779659757823</v>
      </c>
      <c r="AJ32" s="7">
        <v>185778</v>
      </c>
      <c r="AK32" s="13">
        <f>AJ32/'a1'!$BB32*100</f>
        <v>18.401604635613996</v>
      </c>
      <c r="AL32" s="7">
        <v>1819824</v>
      </c>
      <c r="AM32" s="13">
        <f>AL32/'a1'!$BH32*100</f>
        <v>67.385764528405844</v>
      </c>
      <c r="AN32" s="7">
        <v>496671</v>
      </c>
      <c r="AO32" s="13">
        <f>AN32/'a1'!$BH32*100</f>
        <v>18.391094443247184</v>
      </c>
      <c r="AP32" s="7">
        <v>2483590</v>
      </c>
      <c r="AQ32" s="13">
        <f>AP32/'a1'!$BN32*100</f>
        <v>67.560917554728888</v>
      </c>
      <c r="AR32" s="7">
        <v>767264</v>
      </c>
      <c r="AS32" s="13">
        <f>AR32/'a1'!$BN32*100</f>
        <v>20.871826608543078</v>
      </c>
    </row>
    <row r="33" spans="1:45" ht="16.5" customHeight="1">
      <c r="A33" s="1">
        <v>1995</v>
      </c>
      <c r="B33" s="7">
        <v>19821323</v>
      </c>
      <c r="C33" s="13">
        <f>B33/'a1'!$F33*100</f>
        <v>67.64423120074045</v>
      </c>
      <c r="D33" s="7">
        <v>6144173</v>
      </c>
      <c r="E33" s="13">
        <f>D33/'a1'!$F33*100</f>
        <v>20.968219878630052</v>
      </c>
      <c r="F33" s="7">
        <v>393848</v>
      </c>
      <c r="G33" s="13">
        <f>F33/'a1'!$L33*100</f>
        <v>69.413126964012847</v>
      </c>
      <c r="H33" s="7">
        <v>115221</v>
      </c>
      <c r="I33" s="13">
        <f>H33/'a1'!$L33*100</f>
        <v>20.306945577787687</v>
      </c>
      <c r="J33" s="7">
        <v>87622</v>
      </c>
      <c r="K33" s="13">
        <f>J33/'a1'!$R33*100</f>
        <v>65.187665067142802</v>
      </c>
      <c r="L33" s="7">
        <v>27739</v>
      </c>
      <c r="M33" s="13">
        <f>L33/'a1'!$R33*100</f>
        <v>20.636833686716514</v>
      </c>
      <c r="N33" s="7">
        <v>625905</v>
      </c>
      <c r="O33" s="13">
        <f>N33/'a1'!$X33*100</f>
        <v>67.437939059604361</v>
      </c>
      <c r="P33" s="7">
        <v>196784</v>
      </c>
      <c r="Q33" s="13">
        <f>P33/'a1'!$X33*100</f>
        <v>21.202430720165495</v>
      </c>
      <c r="R33" s="7">
        <v>510188</v>
      </c>
      <c r="S33" s="13">
        <f>R33/'a1'!$AD33*100</f>
        <v>67.939643887751799</v>
      </c>
      <c r="T33" s="7">
        <v>156961</v>
      </c>
      <c r="U33" s="13">
        <f>T33/'a1'!$AD33*100</f>
        <v>20.901852737158482</v>
      </c>
      <c r="V33" s="7">
        <v>4975497</v>
      </c>
      <c r="W33" s="13">
        <f>V33/'a1'!$AJ33*100</f>
        <v>68.920156044580452</v>
      </c>
      <c r="X33" s="7">
        <v>1608580</v>
      </c>
      <c r="Y33" s="13">
        <f>X33/'a1'!$AJ33*100</f>
        <v>22.28191165831096</v>
      </c>
      <c r="Z33" s="7">
        <v>7394941</v>
      </c>
      <c r="AA33" s="13">
        <f>Z33/'a1'!$AP33*100</f>
        <v>67.532973842567372</v>
      </c>
      <c r="AB33" s="7">
        <v>2295624</v>
      </c>
      <c r="AC33" s="13">
        <f>AB33/'a1'!$AP33*100</f>
        <v>20.964374907706482</v>
      </c>
      <c r="AD33" s="7">
        <v>729431</v>
      </c>
      <c r="AE33" s="13">
        <f>AD33/'a1'!$AV33*100</f>
        <v>64.600008856219276</v>
      </c>
      <c r="AF33" s="7">
        <v>221123</v>
      </c>
      <c r="AG33" s="13">
        <f>AF33/'a1'!$AV33*100</f>
        <v>19.583137758490903</v>
      </c>
      <c r="AH33" s="7">
        <v>633207</v>
      </c>
      <c r="AI33" s="13">
        <f>AH33/'a1'!$BB33*100</f>
        <v>62.434935569081439</v>
      </c>
      <c r="AJ33" s="7">
        <v>189139</v>
      </c>
      <c r="AK33" s="13">
        <f>AJ33/'a1'!$BB33*100</f>
        <v>18.649322067823785</v>
      </c>
      <c r="AL33" s="7">
        <v>1845577</v>
      </c>
      <c r="AM33" s="13">
        <f>AL33/'a1'!$BH33*100</f>
        <v>67.491833115805747</v>
      </c>
      <c r="AN33" s="7">
        <v>514807</v>
      </c>
      <c r="AO33" s="13">
        <f>AN33/'a1'!$BH33*100</f>
        <v>18.826235985195204</v>
      </c>
      <c r="AP33" s="7">
        <v>2560128</v>
      </c>
      <c r="AQ33" s="13">
        <f>AP33/'a1'!$BN33*100</f>
        <v>67.775051027296627</v>
      </c>
      <c r="AR33" s="7">
        <v>803338</v>
      </c>
      <c r="AS33" s="13">
        <f>AR33/'a1'!$BN33*100</f>
        <v>21.267012408038354</v>
      </c>
    </row>
    <row r="34" spans="1:45" ht="16.5" customHeight="1">
      <c r="A34" s="1">
        <v>1996</v>
      </c>
      <c r="B34" s="7">
        <v>20045149</v>
      </c>
      <c r="C34" s="13">
        <f>B34/'a1'!$F34*100</f>
        <v>67.696728879199739</v>
      </c>
      <c r="D34" s="7">
        <v>6320329</v>
      </c>
      <c r="E34" s="13">
        <f>D34/'a1'!$F34*100</f>
        <v>21.34509445354303</v>
      </c>
      <c r="F34" s="7">
        <v>389800</v>
      </c>
      <c r="G34" s="13">
        <f>F34/'a1'!$L34*100</f>
        <v>69.644701249602463</v>
      </c>
      <c r="H34" s="7">
        <v>119007</v>
      </c>
      <c r="I34" s="13">
        <f>H34/'a1'!$L34*100</f>
        <v>21.262716679352078</v>
      </c>
      <c r="J34" s="7">
        <v>88973</v>
      </c>
      <c r="K34" s="13">
        <f>J34/'a1'!$R34*100</f>
        <v>65.548081952599517</v>
      </c>
      <c r="L34" s="7">
        <v>28748</v>
      </c>
      <c r="M34" s="13">
        <f>L34/'a1'!$R34*100</f>
        <v>21.179192114161946</v>
      </c>
      <c r="N34" s="7">
        <v>628782</v>
      </c>
      <c r="O34" s="13">
        <f>N34/'a1'!$X34*100</f>
        <v>67.514632347177738</v>
      </c>
      <c r="P34" s="7">
        <v>202542</v>
      </c>
      <c r="Q34" s="13">
        <f>P34/'a1'!$X34*100</f>
        <v>21.747678312773065</v>
      </c>
      <c r="R34" s="7">
        <v>512616</v>
      </c>
      <c r="S34" s="13">
        <f>R34/'a1'!$AD34*100</f>
        <v>68.142736365231542</v>
      </c>
      <c r="T34" s="7">
        <v>161863</v>
      </c>
      <c r="U34" s="13">
        <f>T34/'a1'!$AD34*100</f>
        <v>21.516666932529365</v>
      </c>
      <c r="V34" s="7">
        <v>4997121</v>
      </c>
      <c r="W34" s="13">
        <f>V34/'a1'!$AJ34*100</f>
        <v>68.955319773414743</v>
      </c>
      <c r="X34" s="7">
        <v>1645755</v>
      </c>
      <c r="Y34" s="13">
        <f>X34/'a1'!$AJ34*100</f>
        <v>22.709788755104427</v>
      </c>
      <c r="Z34" s="7">
        <v>7472778</v>
      </c>
      <c r="AA34" s="13">
        <f>Z34/'a1'!$AP34*100</f>
        <v>67.426178863065033</v>
      </c>
      <c r="AB34" s="7">
        <v>2357502</v>
      </c>
      <c r="AC34" s="13">
        <f>AB34/'a1'!$AP34*100</f>
        <v>21.271520647613716</v>
      </c>
      <c r="AD34" s="7">
        <v>734063</v>
      </c>
      <c r="AE34" s="13">
        <f>AD34/'a1'!$AV34*100</f>
        <v>64.721000603070365</v>
      </c>
      <c r="AF34" s="7">
        <v>226616</v>
      </c>
      <c r="AG34" s="13">
        <f>AF34/'a1'!$AV34*100</f>
        <v>19.980320861650014</v>
      </c>
      <c r="AH34" s="7">
        <v>638842</v>
      </c>
      <c r="AI34" s="13">
        <f>AH34/'a1'!$BB34*100</f>
        <v>62.696416391463714</v>
      </c>
      <c r="AJ34" s="7">
        <v>192438</v>
      </c>
      <c r="AK34" s="13">
        <f>AJ34/'a1'!$BB34*100</f>
        <v>18.886004642056246</v>
      </c>
      <c r="AL34" s="7">
        <v>1878637</v>
      </c>
      <c r="AM34" s="13">
        <f>AL34/'a1'!$BH34*100</f>
        <v>67.695386131043094</v>
      </c>
      <c r="AN34" s="7">
        <v>533622</v>
      </c>
      <c r="AO34" s="13">
        <f>AN34/'a1'!$BH34*100</f>
        <v>19.228700029872442</v>
      </c>
      <c r="AP34" s="7">
        <v>2637071</v>
      </c>
      <c r="AQ34" s="13">
        <f>AP34/'a1'!$BN34*100</f>
        <v>68.065442244400757</v>
      </c>
      <c r="AR34" s="7">
        <v>836476</v>
      </c>
      <c r="AS34" s="13">
        <f>AR34/'a1'!$BN34*100</f>
        <v>21.590282880827768</v>
      </c>
    </row>
    <row r="35" spans="1:45" ht="16.5" customHeight="1">
      <c r="A35" s="1">
        <v>1997</v>
      </c>
      <c r="B35" s="7">
        <v>20273661</v>
      </c>
      <c r="C35" s="13">
        <f>B35/'a1'!$F35*100</f>
        <v>67.791400560182879</v>
      </c>
      <c r="D35" s="7">
        <v>6508583</v>
      </c>
      <c r="E35" s="13">
        <f>D35/'a1'!$F35*100</f>
        <v>21.763506711106434</v>
      </c>
      <c r="F35" s="7">
        <v>385096</v>
      </c>
      <c r="G35" s="13">
        <f>F35/'a1'!$L35*100</f>
        <v>69.901671957902451</v>
      </c>
      <c r="H35" s="7">
        <v>122710</v>
      </c>
      <c r="I35" s="13">
        <f>H35/'a1'!$L35*100</f>
        <v>22.274015222059461</v>
      </c>
      <c r="J35" s="7">
        <v>89567</v>
      </c>
      <c r="K35" s="13">
        <f>J35/'a1'!$R35*100</f>
        <v>65.812116536243067</v>
      </c>
      <c r="L35" s="7">
        <v>29597</v>
      </c>
      <c r="M35" s="13">
        <f>L35/'a1'!$R35*100</f>
        <v>21.747308865130975</v>
      </c>
      <c r="N35" s="7">
        <v>630759</v>
      </c>
      <c r="O35" s="13">
        <f>N35/'a1'!$X35*100</f>
        <v>67.64882529209504</v>
      </c>
      <c r="P35" s="7">
        <v>208439</v>
      </c>
      <c r="Q35" s="13">
        <f>P35/'a1'!$X35*100</f>
        <v>22.355057153459558</v>
      </c>
      <c r="R35" s="7">
        <v>513824</v>
      </c>
      <c r="S35" s="13">
        <f>R35/'a1'!$AD35*100</f>
        <v>68.281261004822525</v>
      </c>
      <c r="T35" s="7">
        <v>166596</v>
      </c>
      <c r="U35" s="13">
        <f>T35/'a1'!$AD35*100</f>
        <v>22.138679700363184</v>
      </c>
      <c r="V35" s="7">
        <v>5019148</v>
      </c>
      <c r="W35" s="13">
        <f>V35/'a1'!$AJ35*100</f>
        <v>68.995414325247083</v>
      </c>
      <c r="X35" s="7">
        <v>1686162</v>
      </c>
      <c r="Y35" s="13">
        <f>X35/'a1'!$AJ35*100</f>
        <v>23.178723920770473</v>
      </c>
      <c r="Z35" s="7">
        <v>7574366</v>
      </c>
      <c r="AA35" s="13">
        <f>Z35/'a1'!$AP35*100</f>
        <v>67.461715723084012</v>
      </c>
      <c r="AB35" s="7">
        <v>2425275</v>
      </c>
      <c r="AC35" s="13">
        <f>AB35/'a1'!$AP35*100</f>
        <v>21.600911891543475</v>
      </c>
      <c r="AD35" s="7">
        <v>736514</v>
      </c>
      <c r="AE35" s="13">
        <f>AD35/'a1'!$AV35*100</f>
        <v>64.826674459215866</v>
      </c>
      <c r="AF35" s="7">
        <v>231789</v>
      </c>
      <c r="AG35" s="13">
        <f>AF35/'a1'!$AV35*100</f>
        <v>20.401662488733663</v>
      </c>
      <c r="AH35" s="7">
        <v>640523</v>
      </c>
      <c r="AI35" s="13">
        <f>AH35/'a1'!$BB35*100</f>
        <v>62.925802287450075</v>
      </c>
      <c r="AJ35" s="7">
        <v>195946</v>
      </c>
      <c r="AK35" s="13">
        <f>AJ35/'a1'!$BB35*100</f>
        <v>19.249986737426589</v>
      </c>
      <c r="AL35" s="7">
        <v>1923225</v>
      </c>
      <c r="AM35" s="13">
        <f>AL35/'a1'!$BH35*100</f>
        <v>67.962130828228226</v>
      </c>
      <c r="AN35" s="7">
        <v>555169</v>
      </c>
      <c r="AO35" s="13">
        <f>AN35/'a1'!$BH35*100</f>
        <v>19.618332857453826</v>
      </c>
      <c r="AP35" s="7">
        <v>2693748</v>
      </c>
      <c r="AQ35" s="13">
        <f>AP35/'a1'!$BN35*100</f>
        <v>68.220624968501355</v>
      </c>
      <c r="AR35" s="7">
        <v>870545</v>
      </c>
      <c r="AS35" s="13">
        <f>AR35/'a1'!$BN35*100</f>
        <v>22.047022944686738</v>
      </c>
    </row>
    <row r="36" spans="1:45" ht="16.5" customHeight="1">
      <c r="A36" s="1">
        <v>1998</v>
      </c>
      <c r="B36" s="7">
        <v>20472300</v>
      </c>
      <c r="C36" s="13">
        <f>B36/'a1'!$F36*100</f>
        <v>67.889844306315211</v>
      </c>
      <c r="D36" s="7">
        <v>6709905</v>
      </c>
      <c r="E36" s="13">
        <f>D36/'a1'!$F36*100</f>
        <v>22.251256857322623</v>
      </c>
      <c r="F36" s="7">
        <v>378308</v>
      </c>
      <c r="G36" s="13">
        <f>F36/'a1'!$L36*100</f>
        <v>70.077411395535378</v>
      </c>
      <c r="H36" s="7">
        <v>126125</v>
      </c>
      <c r="I36" s="13">
        <f>H36/'a1'!$L36*100</f>
        <v>23.363274137110235</v>
      </c>
      <c r="J36" s="7">
        <v>89643</v>
      </c>
      <c r="K36" s="13">
        <f>J36/'a1'!$R36*100</f>
        <v>66.009101351948402</v>
      </c>
      <c r="L36" s="7">
        <v>30442</v>
      </c>
      <c r="M36" s="13">
        <f>L36/'a1'!$R36*100</f>
        <v>22.416129127271656</v>
      </c>
      <c r="N36" s="7">
        <v>632001</v>
      </c>
      <c r="O36" s="13">
        <f>N36/'a1'!$X36*100</f>
        <v>67.823200649041254</v>
      </c>
      <c r="P36" s="7">
        <v>214486</v>
      </c>
      <c r="Q36" s="13">
        <f>P36/'a1'!$X36*100</f>
        <v>23.017569615254185</v>
      </c>
      <c r="R36" s="7">
        <v>513743</v>
      </c>
      <c r="S36" s="13">
        <f>R36/'a1'!$AD36*100</f>
        <v>68.450694842311435</v>
      </c>
      <c r="T36" s="7">
        <v>171723</v>
      </c>
      <c r="U36" s="13">
        <f>T36/'a1'!$AD36*100</f>
        <v>22.880231303212398</v>
      </c>
      <c r="V36" s="7">
        <v>5034935</v>
      </c>
      <c r="W36" s="13">
        <f>V36/'a1'!$AJ36*100</f>
        <v>69.010140578280925</v>
      </c>
      <c r="X36" s="7">
        <v>1729849</v>
      </c>
      <c r="Y36" s="13">
        <f>X36/'a1'!$AJ36*100</f>
        <v>23.709764409907706</v>
      </c>
      <c r="Z36" s="7">
        <v>7672693</v>
      </c>
      <c r="AA36" s="13">
        <f>Z36/'a1'!$AP36*100</f>
        <v>67.50624521540351</v>
      </c>
      <c r="AB36" s="7">
        <v>2498285</v>
      </c>
      <c r="AC36" s="13">
        <f>AB36/'a1'!$AP36*100</f>
        <v>21.980527544626685</v>
      </c>
      <c r="AD36" s="7">
        <v>738930</v>
      </c>
      <c r="AE36" s="13">
        <f>AD36/'a1'!$AV36*100</f>
        <v>64.961507320070794</v>
      </c>
      <c r="AF36" s="7">
        <v>237727</v>
      </c>
      <c r="AG36" s="13">
        <f>AF36/'a1'!$AV36*100</f>
        <v>20.899279025994979</v>
      </c>
      <c r="AH36" s="7">
        <v>643058</v>
      </c>
      <c r="AI36" s="13">
        <f>AH36/'a1'!$BB36*100</f>
        <v>63.210240118270143</v>
      </c>
      <c r="AJ36" s="7">
        <v>200474</v>
      </c>
      <c r="AK36" s="13">
        <f>AJ36/'a1'!$BB36*100</f>
        <v>19.705858067966012</v>
      </c>
      <c r="AL36" s="7">
        <v>1980558</v>
      </c>
      <c r="AM36" s="13">
        <f>AL36/'a1'!$BH36*100</f>
        <v>68.317106268018733</v>
      </c>
      <c r="AN36" s="7">
        <v>581249</v>
      </c>
      <c r="AO36" s="13">
        <f>AN36/'a1'!$BH36*100</f>
        <v>20.049526295710411</v>
      </c>
      <c r="AP36" s="7">
        <v>2722023</v>
      </c>
      <c r="AQ36" s="13">
        <f>AP36/'a1'!$BN36*100</f>
        <v>68.339085534354666</v>
      </c>
      <c r="AR36" s="7">
        <v>902702</v>
      </c>
      <c r="AS36" s="13">
        <f>AR36/'a1'!$BN36*100</f>
        <v>22.663228484855942</v>
      </c>
    </row>
    <row r="37" spans="1:45" ht="16.5" customHeight="1">
      <c r="A37" s="1">
        <v>1999</v>
      </c>
      <c r="B37" s="7">
        <v>20696249</v>
      </c>
      <c r="C37" s="13">
        <f>B37/'a1'!$F37*100</f>
        <v>68.076886615914873</v>
      </c>
      <c r="D37" s="7">
        <v>6932859</v>
      </c>
      <c r="E37" s="13">
        <f>D37/'a1'!$F37*100</f>
        <v>22.804492546795554</v>
      </c>
      <c r="F37" s="7">
        <v>375126</v>
      </c>
      <c r="G37" s="13">
        <f>F37/'a1'!$L37*100</f>
        <v>70.336696485658948</v>
      </c>
      <c r="H37" s="7">
        <v>130093</v>
      </c>
      <c r="I37" s="13">
        <f>H37/'a1'!$L37*100</f>
        <v>24.392635690164983</v>
      </c>
      <c r="J37" s="7">
        <v>90250</v>
      </c>
      <c r="K37" s="13">
        <f>J37/'a1'!$R37*100</f>
        <v>66.223464752973641</v>
      </c>
      <c r="L37" s="7">
        <v>31495</v>
      </c>
      <c r="M37" s="13">
        <f>L37/'a1'!$R37*100</f>
        <v>23.110338198281489</v>
      </c>
      <c r="N37" s="7">
        <v>635595</v>
      </c>
      <c r="O37" s="13">
        <f>N37/'a1'!$X37*100</f>
        <v>68.066597842755925</v>
      </c>
      <c r="P37" s="7">
        <v>221651</v>
      </c>
      <c r="Q37" s="13">
        <f>P37/'a1'!$X37*100</f>
        <v>23.736859916211888</v>
      </c>
      <c r="R37" s="7">
        <v>515751</v>
      </c>
      <c r="S37" s="13">
        <f>R37/'a1'!$AD37*100</f>
        <v>68.711738993153489</v>
      </c>
      <c r="T37" s="7">
        <v>177582</v>
      </c>
      <c r="U37" s="13">
        <f>T37/'a1'!$AD37*100</f>
        <v>23.658641541911081</v>
      </c>
      <c r="V37" s="7">
        <v>5062210</v>
      </c>
      <c r="W37" s="13">
        <f>V37/'a1'!$AJ37*100</f>
        <v>69.125183490936408</v>
      </c>
      <c r="X37" s="7">
        <v>1781716</v>
      </c>
      <c r="Y37" s="13">
        <f>X37/'a1'!$AJ37*100</f>
        <v>24.329580445840303</v>
      </c>
      <c r="Z37" s="7">
        <v>7783700</v>
      </c>
      <c r="AA37" s="13">
        <f>Z37/'a1'!$AP37*100</f>
        <v>67.656349863565154</v>
      </c>
      <c r="AB37" s="7">
        <v>2577746</v>
      </c>
      <c r="AC37" s="13">
        <f>AB37/'a1'!$AP37*100</f>
        <v>22.405910458445934</v>
      </c>
      <c r="AD37" s="7">
        <v>745018</v>
      </c>
      <c r="AE37" s="13">
        <f>AD37/'a1'!$AV37*100</f>
        <v>65.212421046734732</v>
      </c>
      <c r="AF37" s="7">
        <v>244739</v>
      </c>
      <c r="AG37" s="13">
        <f>AF37/'a1'!$AV37*100</f>
        <v>21.422331694746717</v>
      </c>
      <c r="AH37" s="7">
        <v>644925</v>
      </c>
      <c r="AI37" s="13">
        <f>AH37/'a1'!$BB37*100</f>
        <v>63.569220639432878</v>
      </c>
      <c r="AJ37" s="7">
        <v>206135</v>
      </c>
      <c r="AK37" s="13">
        <f>AJ37/'a1'!$BB37*100</f>
        <v>20.318395621986269</v>
      </c>
      <c r="AL37" s="7">
        <v>2027264</v>
      </c>
      <c r="AM37" s="13">
        <f>AL37/'a1'!$BH37*100</f>
        <v>68.658160079005867</v>
      </c>
      <c r="AN37" s="7">
        <v>609322</v>
      </c>
      <c r="AO37" s="13">
        <f>AN37/'a1'!$BH37*100</f>
        <v>20.636151688018934</v>
      </c>
      <c r="AP37" s="7">
        <v>2749802</v>
      </c>
      <c r="AQ37" s="13">
        <f>AP37/'a1'!$BN37*100</f>
        <v>68.55011062291608</v>
      </c>
      <c r="AR37" s="7">
        <v>934827</v>
      </c>
      <c r="AS37" s="13">
        <f>AR37/'a1'!$BN37*100</f>
        <v>23.304403103673927</v>
      </c>
    </row>
    <row r="38" spans="1:45" ht="16.5" customHeight="1">
      <c r="A38" s="1">
        <v>2000</v>
      </c>
      <c r="B38" s="7">
        <v>20950263</v>
      </c>
      <c r="C38" s="13">
        <f>B38/'a1'!$F38*100</f>
        <v>68.273634031192998</v>
      </c>
      <c r="D38" s="7">
        <v>7169453</v>
      </c>
      <c r="E38" s="13">
        <f>D38/'a1'!$F38*100</f>
        <v>23.364127234385496</v>
      </c>
      <c r="F38" s="7">
        <v>372481</v>
      </c>
      <c r="G38" s="13">
        <f>F38/'a1'!$L38*100</f>
        <v>70.550186943856232</v>
      </c>
      <c r="H38" s="7">
        <v>133830</v>
      </c>
      <c r="I38" s="13">
        <f>H38/'a1'!$L38*100</f>
        <v>25.348223181038172</v>
      </c>
      <c r="J38" s="7">
        <v>90792</v>
      </c>
      <c r="K38" s="13">
        <f>J38/'a1'!$R38*100</f>
        <v>66.528907452187298</v>
      </c>
      <c r="L38" s="7">
        <v>32528</v>
      </c>
      <c r="M38" s="13">
        <f>L38/'a1'!$R38*100</f>
        <v>23.835275152048069</v>
      </c>
      <c r="N38" s="7">
        <v>637190</v>
      </c>
      <c r="O38" s="13">
        <f>N38/'a1'!$X38*100</f>
        <v>68.234704509750799</v>
      </c>
      <c r="P38" s="7">
        <v>228087</v>
      </c>
      <c r="Q38" s="13">
        <f>P38/'a1'!$X38*100</f>
        <v>24.425130726338345</v>
      </c>
      <c r="R38" s="7">
        <v>517574</v>
      </c>
      <c r="S38" s="13">
        <f>R38/'a1'!$AD38*100</f>
        <v>68.962328634794417</v>
      </c>
      <c r="T38" s="7">
        <v>183599</v>
      </c>
      <c r="U38" s="13">
        <f>T38/'a1'!$AD38*100</f>
        <v>24.463003502918653</v>
      </c>
      <c r="V38" s="7">
        <v>5091730</v>
      </c>
      <c r="W38" s="13">
        <f>V38/'a1'!$AJ38*100</f>
        <v>69.20978541246231</v>
      </c>
      <c r="X38" s="7">
        <v>1836381</v>
      </c>
      <c r="Y38" s="13">
        <f>X38/'a1'!$AJ38*100</f>
        <v>24.961169375737313</v>
      </c>
      <c r="Z38" s="7">
        <v>7928351</v>
      </c>
      <c r="AA38" s="13">
        <f>Z38/'a1'!$AP38*100</f>
        <v>67.860602621350665</v>
      </c>
      <c r="AB38" s="7">
        <v>2665183</v>
      </c>
      <c r="AC38" s="13">
        <f>AB38/'a1'!$AP38*100</f>
        <v>22.811921984304078</v>
      </c>
      <c r="AD38" s="7">
        <v>750674</v>
      </c>
      <c r="AE38" s="13">
        <f>AD38/'a1'!$AV38*100</f>
        <v>65.428875991120123</v>
      </c>
      <c r="AF38" s="7">
        <v>252133</v>
      </c>
      <c r="AG38" s="13">
        <f>AF38/'a1'!$AV38*100</f>
        <v>21.975955994571663</v>
      </c>
      <c r="AH38" s="7">
        <v>643886</v>
      </c>
      <c r="AI38" s="13">
        <f>AH38/'a1'!$BB38*100</f>
        <v>63.905157483636287</v>
      </c>
      <c r="AJ38" s="7">
        <v>211986</v>
      </c>
      <c r="AK38" s="13">
        <f>AJ38/'a1'!$BB38*100</f>
        <v>21.039436661654584</v>
      </c>
      <c r="AL38" s="7">
        <v>2072209</v>
      </c>
      <c r="AM38" s="13">
        <f>AL38/'a1'!$BH38*100</f>
        <v>68.977111362167207</v>
      </c>
      <c r="AN38" s="7">
        <v>639477</v>
      </c>
      <c r="AO38" s="13">
        <f>AN38/'a1'!$BH38*100</f>
        <v>21.2861136316581</v>
      </c>
      <c r="AP38" s="7">
        <v>2778461</v>
      </c>
      <c r="AQ38" s="13">
        <f>AP38/'a1'!$BN38*100</f>
        <v>68.786897502741866</v>
      </c>
      <c r="AR38" s="7">
        <v>967955</v>
      </c>
      <c r="AS38" s="13">
        <f>AR38/'a1'!$BN38*100</f>
        <v>23.963849545581709</v>
      </c>
    </row>
    <row r="39" spans="1:45" ht="16.5" customHeight="1">
      <c r="A39" s="1">
        <v>2001</v>
      </c>
      <c r="B39" s="7">
        <v>21242401</v>
      </c>
      <c r="C39" s="13">
        <f>B39/'a1'!$F39*100</f>
        <v>68.481857260480822</v>
      </c>
      <c r="D39" s="7">
        <v>7413247</v>
      </c>
      <c r="E39" s="13">
        <f>D39/'a1'!$F39*100</f>
        <v>23.899036784527684</v>
      </c>
      <c r="F39" s="7">
        <v>369340</v>
      </c>
      <c r="G39" s="13">
        <f>F39/'a1'!$L39*100</f>
        <v>70.750316550869385</v>
      </c>
      <c r="H39" s="7">
        <v>137236</v>
      </c>
      <c r="I39" s="13">
        <f>H39/'a1'!$L39*100</f>
        <v>26.288759522865412</v>
      </c>
      <c r="J39" s="7">
        <v>91323</v>
      </c>
      <c r="K39" s="13">
        <f>J39/'a1'!$R39*100</f>
        <v>66.823500142686754</v>
      </c>
      <c r="L39" s="7">
        <v>33576</v>
      </c>
      <c r="M39" s="13">
        <f>L39/'a1'!$R39*100</f>
        <v>24.568464031961835</v>
      </c>
      <c r="N39" s="7">
        <v>638243</v>
      </c>
      <c r="O39" s="13">
        <f>N39/'a1'!$X39*100</f>
        <v>68.447666051086699</v>
      </c>
      <c r="P39" s="7">
        <v>234717</v>
      </c>
      <c r="Q39" s="13">
        <f>P39/'a1'!$X39*100</f>
        <v>25.171965587578583</v>
      </c>
      <c r="R39" s="7">
        <v>518638</v>
      </c>
      <c r="S39" s="13">
        <f>R39/'a1'!$AD39*100</f>
        <v>69.170086462941498</v>
      </c>
      <c r="T39" s="7">
        <v>188899</v>
      </c>
      <c r="U39" s="13">
        <f>T39/'a1'!$AD39*100</f>
        <v>25.193217933825107</v>
      </c>
      <c r="V39" s="7">
        <v>5126688</v>
      </c>
      <c r="W39" s="13">
        <f>V39/'a1'!$AJ39*100</f>
        <v>69.313934165466634</v>
      </c>
      <c r="X39" s="7">
        <v>1890083</v>
      </c>
      <c r="Y39" s="13">
        <f>X39/'a1'!$AJ39*100</f>
        <v>25.554332276367838</v>
      </c>
      <c r="Z39" s="7">
        <v>8098424</v>
      </c>
      <c r="AA39" s="13">
        <f>Z39/'a1'!$AP39*100</f>
        <v>68.073072255640085</v>
      </c>
      <c r="AB39" s="7">
        <v>2758854</v>
      </c>
      <c r="AC39" s="13">
        <f>AB39/'a1'!$AP39*100</f>
        <v>23.190150044596539</v>
      </c>
      <c r="AD39" s="7">
        <v>756136</v>
      </c>
      <c r="AE39" s="13">
        <f>AD39/'a1'!$AV39*100</f>
        <v>65.668784885695203</v>
      </c>
      <c r="AF39" s="7">
        <v>259373</v>
      </c>
      <c r="AG39" s="13">
        <f>AF39/'a1'!$AV39*100</f>
        <v>22.525987047511855</v>
      </c>
      <c r="AH39" s="7">
        <v>642821</v>
      </c>
      <c r="AI39" s="13">
        <f>AH39/'a1'!$BB39*100</f>
        <v>64.267896794808337</v>
      </c>
      <c r="AJ39" s="7">
        <v>217765</v>
      </c>
      <c r="AK39" s="13">
        <f>AJ39/'a1'!$BB39*100</f>
        <v>21.771688456851034</v>
      </c>
      <c r="AL39" s="7">
        <v>2120002</v>
      </c>
      <c r="AM39" s="13">
        <f>AL39/'a1'!$BH39*100</f>
        <v>69.326037101821214</v>
      </c>
      <c r="AN39" s="7">
        <v>671236</v>
      </c>
      <c r="AO39" s="13">
        <f>AN39/'a1'!$BH39*100</f>
        <v>21.950041481129766</v>
      </c>
      <c r="AP39" s="7">
        <v>2813006</v>
      </c>
      <c r="AQ39" s="13">
        <f>AP39/'a1'!$BN39*100</f>
        <v>69.009416465665623</v>
      </c>
      <c r="AR39" s="7">
        <v>1002376</v>
      </c>
      <c r="AS39" s="13">
        <f>AR39/'a1'!$BN39*100</f>
        <v>24.59055645071075</v>
      </c>
    </row>
    <row r="40" spans="1:45" ht="16.5" customHeight="1">
      <c r="A40" s="1">
        <v>2002</v>
      </c>
      <c r="B40" s="7">
        <v>21532363</v>
      </c>
      <c r="C40" s="13">
        <f>B40/'a1'!$F40*100</f>
        <v>68.675764638101526</v>
      </c>
      <c r="D40" s="7">
        <v>7684929</v>
      </c>
      <c r="E40" s="13">
        <f>D40/'a1'!$F40*100</f>
        <v>24.510471761251701</v>
      </c>
      <c r="F40" s="7">
        <v>368071</v>
      </c>
      <c r="G40" s="13">
        <f>F40/'a1'!$L40*100</f>
        <v>70.846782963865479</v>
      </c>
      <c r="H40" s="7">
        <v>140967</v>
      </c>
      <c r="I40" s="13">
        <f>H40/'a1'!$L40*100</f>
        <v>27.133510801087908</v>
      </c>
      <c r="J40" s="7">
        <v>91965</v>
      </c>
      <c r="K40" s="13">
        <f>J40/'a1'!$R40*100</f>
        <v>67.188550220637651</v>
      </c>
      <c r="L40" s="7">
        <v>34561</v>
      </c>
      <c r="M40" s="13">
        <f>L40/'a1'!$R40*100</f>
        <v>25.249861188228763</v>
      </c>
      <c r="N40" s="7">
        <v>642734</v>
      </c>
      <c r="O40" s="13">
        <f>N40/'a1'!$X40*100</f>
        <v>68.740501489280931</v>
      </c>
      <c r="P40" s="7">
        <v>242748</v>
      </c>
      <c r="Q40" s="13">
        <f>P40/'a1'!$X40*100</f>
        <v>25.961936439522361</v>
      </c>
      <c r="R40" s="7">
        <v>519452</v>
      </c>
      <c r="S40" s="13">
        <f>R40/'a1'!$AD40*100</f>
        <v>69.32210198163429</v>
      </c>
      <c r="T40" s="7">
        <v>195227</v>
      </c>
      <c r="U40" s="13">
        <f>T40/'a1'!$AD40*100</f>
        <v>26.053506394370444</v>
      </c>
      <c r="V40" s="7">
        <v>5162590</v>
      </c>
      <c r="W40" s="13">
        <f>V40/'a1'!$AJ40*100</f>
        <v>69.379616603835245</v>
      </c>
      <c r="X40" s="7">
        <v>1950286</v>
      </c>
      <c r="Y40" s="13">
        <f>X40/'a1'!$AJ40*100</f>
        <v>26.209730958264636</v>
      </c>
      <c r="Z40" s="7">
        <v>8258494</v>
      </c>
      <c r="AA40" s="13">
        <f>Z40/'a1'!$AP40*100</f>
        <v>68.302656457113784</v>
      </c>
      <c r="AB40" s="7">
        <v>2863934</v>
      </c>
      <c r="AC40" s="13">
        <f>AB40/'a1'!$AP40*100</f>
        <v>23.686437275107021</v>
      </c>
      <c r="AD40" s="7">
        <v>762630</v>
      </c>
      <c r="AE40" s="13">
        <f>AD40/'a1'!$AV40*100</f>
        <v>65.936488695873209</v>
      </c>
      <c r="AF40" s="7">
        <v>267887</v>
      </c>
      <c r="AG40" s="13">
        <f>AF40/'a1'!$AV40*100</f>
        <v>23.161333998493877</v>
      </c>
      <c r="AH40" s="7">
        <v>643249</v>
      </c>
      <c r="AI40" s="13">
        <f>AH40/'a1'!$BB40*100</f>
        <v>64.531335743041993</v>
      </c>
      <c r="AJ40" s="7">
        <v>223929</v>
      </c>
      <c r="AK40" s="13">
        <f>AJ40/'a1'!$BB40*100</f>
        <v>22.464764782539344</v>
      </c>
      <c r="AL40" s="7">
        <v>2179468</v>
      </c>
      <c r="AM40" s="13">
        <f>AL40/'a1'!$BH40*100</f>
        <v>69.66797981309081</v>
      </c>
      <c r="AN40" s="7">
        <v>707155</v>
      </c>
      <c r="AO40" s="13">
        <f>AN40/'a1'!$BH40*100</f>
        <v>22.604626571588216</v>
      </c>
      <c r="AP40" s="7">
        <v>2834272</v>
      </c>
      <c r="AQ40" s="13">
        <f>AP40/'a1'!$BN40*100</f>
        <v>69.159319092533309</v>
      </c>
      <c r="AR40" s="7">
        <v>1038146</v>
      </c>
      <c r="AS40" s="13">
        <f>AR40/'a1'!$BN40*100</f>
        <v>25.331891391735546</v>
      </c>
    </row>
    <row r="41" spans="1:45" ht="16.5" customHeight="1">
      <c r="A41" s="1">
        <v>2003</v>
      </c>
      <c r="B41" s="7">
        <v>21779619</v>
      </c>
      <c r="C41" s="13">
        <f>B41/'a1'!$F41*100</f>
        <v>68.836429077800119</v>
      </c>
      <c r="D41" s="7">
        <v>7951131</v>
      </c>
      <c r="E41" s="13">
        <f>D41/'a1'!$F41*100</f>
        <v>25.130258943914395</v>
      </c>
      <c r="F41" s="7">
        <v>368082</v>
      </c>
      <c r="G41" s="13">
        <f>F41/'a1'!$L41*100</f>
        <v>70.987040037028464</v>
      </c>
      <c r="H41" s="7">
        <v>144915</v>
      </c>
      <c r="I41" s="13">
        <f>H41/'a1'!$L41*100</f>
        <v>27.947813006248552</v>
      </c>
      <c r="J41" s="7">
        <v>92561</v>
      </c>
      <c r="K41" s="13">
        <f>J41/'a1'!$R41*100</f>
        <v>67.453961128398703</v>
      </c>
      <c r="L41" s="7">
        <v>35534</v>
      </c>
      <c r="M41" s="13">
        <f>L41/'a1'!$R41*100</f>
        <v>25.895453319827137</v>
      </c>
      <c r="N41" s="7">
        <v>646438</v>
      </c>
      <c r="O41" s="13">
        <f>N41/'a1'!$X41*100</f>
        <v>68.954048625533474</v>
      </c>
      <c r="P41" s="7">
        <v>250212</v>
      </c>
      <c r="Q41" s="13">
        <f>P41/'a1'!$X41*100</f>
        <v>26.689536219547712</v>
      </c>
      <c r="R41" s="7">
        <v>520290</v>
      </c>
      <c r="S41" s="13">
        <f>R41/'a1'!$AD41*100</f>
        <v>69.428561134470883</v>
      </c>
      <c r="T41" s="7">
        <v>201290</v>
      </c>
      <c r="U41" s="13">
        <f>T41/'a1'!$AD41*100</f>
        <v>26.860549060634732</v>
      </c>
      <c r="V41" s="7">
        <v>5196270</v>
      </c>
      <c r="W41" s="13">
        <f>V41/'a1'!$AJ41*100</f>
        <v>69.414673413985184</v>
      </c>
      <c r="X41" s="7">
        <v>2009651</v>
      </c>
      <c r="Y41" s="13">
        <f>X41/'a1'!$AJ41*100</f>
        <v>26.846039147520962</v>
      </c>
      <c r="Z41" s="7">
        <v>8387967</v>
      </c>
      <c r="AA41" s="13">
        <f>Z41/'a1'!$AP41*100</f>
        <v>68.51641847882334</v>
      </c>
      <c r="AB41" s="7">
        <v>2966851</v>
      </c>
      <c r="AC41" s="13">
        <f>AB41/'a1'!$AP41*100</f>
        <v>24.234478352181821</v>
      </c>
      <c r="AD41" s="7">
        <v>770240</v>
      </c>
      <c r="AE41" s="13">
        <f>AD41/'a1'!$AV41*100</f>
        <v>66.18211251062236</v>
      </c>
      <c r="AF41" s="7">
        <v>276413</v>
      </c>
      <c r="AG41" s="13">
        <f>AF41/'a1'!$AV41*100</f>
        <v>23.750514470033572</v>
      </c>
      <c r="AH41" s="7">
        <v>646281</v>
      </c>
      <c r="AI41" s="13">
        <f>AH41/'a1'!$BB41*100</f>
        <v>64.856199252772001</v>
      </c>
      <c r="AJ41" s="7">
        <v>230559</v>
      </c>
      <c r="AK41" s="13">
        <f>AJ41/'a1'!$BB41*100</f>
        <v>23.137273791926205</v>
      </c>
      <c r="AL41" s="7">
        <v>2225301</v>
      </c>
      <c r="AM41" s="13">
        <f>AL41/'a1'!$BH41*100</f>
        <v>69.903367347323424</v>
      </c>
      <c r="AN41" s="7">
        <v>740717</v>
      </c>
      <c r="AO41" s="13">
        <f>AN41/'a1'!$BH41*100</f>
        <v>23.268138805225615</v>
      </c>
      <c r="AP41" s="7">
        <v>2854839</v>
      </c>
      <c r="AQ41" s="13">
        <f>AP41/'a1'!$BN41*100</f>
        <v>69.251935039719612</v>
      </c>
      <c r="AR41" s="7">
        <v>1073934</v>
      </c>
      <c r="AS41" s="13">
        <f>AR41/'a1'!$BN41*100</f>
        <v>26.051209054152004</v>
      </c>
    </row>
    <row r="42" spans="1:45" ht="16.5" customHeight="1">
      <c r="A42" s="1">
        <v>2004</v>
      </c>
      <c r="B42" s="7">
        <v>22044570</v>
      </c>
      <c r="C42" s="13">
        <f>B42/'a1'!$F42*100</f>
        <v>69.017230568319846</v>
      </c>
      <c r="D42" s="7">
        <v>8213400</v>
      </c>
      <c r="E42" s="13">
        <f>D42/'a1'!$F42*100</f>
        <v>25.714546554994637</v>
      </c>
      <c r="F42" s="7">
        <v>367692</v>
      </c>
      <c r="G42" s="13">
        <f>F42/'a1'!$L42*100</f>
        <v>71.058871729858325</v>
      </c>
      <c r="H42" s="7">
        <v>148375</v>
      </c>
      <c r="I42" s="13">
        <f>H42/'a1'!$L42*100</f>
        <v>28.67443428988863</v>
      </c>
      <c r="J42" s="7">
        <v>93302</v>
      </c>
      <c r="K42" s="13">
        <f>J42/'a1'!$R42*100</f>
        <v>67.770239841945468</v>
      </c>
      <c r="L42" s="7">
        <v>36494</v>
      </c>
      <c r="M42" s="13">
        <f>L42/'a1'!$R42*100</f>
        <v>26.507546813486933</v>
      </c>
      <c r="N42" s="7">
        <v>649746</v>
      </c>
      <c r="O42" s="13">
        <f>N42/'a1'!$X42*100</f>
        <v>69.167830559861017</v>
      </c>
      <c r="P42" s="7">
        <v>257292</v>
      </c>
      <c r="Q42" s="13">
        <f>P42/'a1'!$X42*100</f>
        <v>27.389671441467527</v>
      </c>
      <c r="R42" s="7">
        <v>520983</v>
      </c>
      <c r="S42" s="13">
        <f>R42/'a1'!$AD42*100</f>
        <v>69.522891926407411</v>
      </c>
      <c r="T42" s="7">
        <v>206474</v>
      </c>
      <c r="U42" s="13">
        <f>T42/'a1'!$AD42*100</f>
        <v>27.553047964354011</v>
      </c>
      <c r="V42" s="7">
        <v>5236244</v>
      </c>
      <c r="W42" s="13">
        <f>V42/'a1'!$AJ42*100</f>
        <v>69.483722577534905</v>
      </c>
      <c r="X42" s="7">
        <v>2066382</v>
      </c>
      <c r="Y42" s="13">
        <f>X42/'a1'!$AJ42*100</f>
        <v>27.420401651873309</v>
      </c>
      <c r="Z42" s="7">
        <v>8515777</v>
      </c>
      <c r="AA42" s="13">
        <f>Z42/'a1'!$AP42*100</f>
        <v>68.727726561080701</v>
      </c>
      <c r="AB42" s="7">
        <v>3069690</v>
      </c>
      <c r="AC42" s="13">
        <f>AB42/'a1'!$AP42*100</f>
        <v>24.77434706748237</v>
      </c>
      <c r="AD42" s="7">
        <v>780380</v>
      </c>
      <c r="AE42" s="13">
        <f>AD42/'a1'!$AV42*100</f>
        <v>66.496473142541618</v>
      </c>
      <c r="AF42" s="7">
        <v>285450</v>
      </c>
      <c r="AG42" s="13">
        <f>AF42/'a1'!$AV42*100</f>
        <v>24.32330179981356</v>
      </c>
      <c r="AH42" s="7">
        <v>650739</v>
      </c>
      <c r="AI42" s="13">
        <f>AH42/'a1'!$BB42*100</f>
        <v>65.240458891550119</v>
      </c>
      <c r="AJ42" s="7">
        <v>237319</v>
      </c>
      <c r="AK42" s="13">
        <f>AJ42/'a1'!$BB42*100</f>
        <v>23.79264261660018</v>
      </c>
      <c r="AL42" s="7">
        <v>2272934</v>
      </c>
      <c r="AM42" s="13">
        <f>AL42/'a1'!$BH42*100</f>
        <v>70.163739697006093</v>
      </c>
      <c r="AN42" s="7">
        <v>774644</v>
      </c>
      <c r="AO42" s="13">
        <f>AN42/'a1'!$BH42*100</f>
        <v>23.912669692057747</v>
      </c>
      <c r="AP42" s="7">
        <v>2883667</v>
      </c>
      <c r="AQ42" s="13">
        <f>AP42/'a1'!$BN42*100</f>
        <v>69.399495086843615</v>
      </c>
      <c r="AR42" s="7">
        <v>1109075</v>
      </c>
      <c r="AS42" s="13">
        <f>AR42/'a1'!$BN42*100</f>
        <v>26.691447040674632</v>
      </c>
    </row>
    <row r="43" spans="1:45" ht="16.5" customHeight="1">
      <c r="A43" s="1">
        <v>2005</v>
      </c>
      <c r="B43" s="7">
        <v>22326765</v>
      </c>
      <c r="C43" s="13">
        <f>B43/'a1'!$F43*100</f>
        <v>69.240565319331623</v>
      </c>
      <c r="D43" s="7">
        <v>8479707</v>
      </c>
      <c r="E43" s="13">
        <f>D43/'a1'!$F43*100</f>
        <v>26.297571834625106</v>
      </c>
      <c r="F43" s="7">
        <v>366070</v>
      </c>
      <c r="G43" s="13">
        <f>F43/'a1'!$L43*100</f>
        <v>71.169582571063629</v>
      </c>
      <c r="H43" s="7">
        <v>151527</v>
      </c>
      <c r="I43" s="13">
        <f>H43/'a1'!$L43*100</f>
        <v>29.459156276792847</v>
      </c>
      <c r="J43" s="7">
        <v>93889</v>
      </c>
      <c r="K43" s="13">
        <f>J43/'a1'!$R43*100</f>
        <v>68.008402448299591</v>
      </c>
      <c r="L43" s="7">
        <v>37513</v>
      </c>
      <c r="M43" s="13">
        <f>L43/'a1'!$R43*100</f>
        <v>27.172503712288581</v>
      </c>
      <c r="N43" s="7">
        <v>650981</v>
      </c>
      <c r="O43" s="13">
        <f>N43/'a1'!$X43*100</f>
        <v>69.405325068421149</v>
      </c>
      <c r="P43" s="7">
        <v>264028</v>
      </c>
      <c r="Q43" s="13">
        <f>P43/'a1'!$X43*100</f>
        <v>28.149745026606148</v>
      </c>
      <c r="R43" s="7">
        <v>520624</v>
      </c>
      <c r="S43" s="13">
        <f>R43/'a1'!$AD43*100</f>
        <v>69.605861276004063</v>
      </c>
      <c r="T43" s="7">
        <v>211671</v>
      </c>
      <c r="U43" s="13">
        <f>T43/'a1'!$AD43*100</f>
        <v>28.29977538905824</v>
      </c>
      <c r="V43" s="7">
        <v>5278082</v>
      </c>
      <c r="W43" s="13">
        <f>V43/'a1'!$AJ43*100</f>
        <v>69.614138177037418</v>
      </c>
      <c r="X43" s="7">
        <v>2121724</v>
      </c>
      <c r="Y43" s="13">
        <f>X43/'a1'!$AJ43*100</f>
        <v>27.984026718329986</v>
      </c>
      <c r="Z43" s="7">
        <v>8642372</v>
      </c>
      <c r="AA43" s="13">
        <f>Z43/'a1'!$AP43*100</f>
        <v>68.981807848996851</v>
      </c>
      <c r="AB43" s="7">
        <v>3175350</v>
      </c>
      <c r="AC43" s="13">
        <f>AB43/'a1'!$AP43*100</f>
        <v>25.345053829355198</v>
      </c>
      <c r="AD43" s="7">
        <v>787343</v>
      </c>
      <c r="AE43" s="13">
        <f>AD43/'a1'!$AV43*100</f>
        <v>66.82019280302741</v>
      </c>
      <c r="AF43" s="7">
        <v>294382</v>
      </c>
      <c r="AG43" s="13">
        <f>AF43/'a1'!$AV43*100</f>
        <v>24.983599267080315</v>
      </c>
      <c r="AH43" s="7">
        <v>651636</v>
      </c>
      <c r="AI43" s="13">
        <f>AH43/'a1'!$BB43*100</f>
        <v>65.584719483805515</v>
      </c>
      <c r="AJ43" s="7">
        <v>243505</v>
      </c>
      <c r="AK43" s="13">
        <f>AJ43/'a1'!$BB43*100</f>
        <v>24.507865001172529</v>
      </c>
      <c r="AL43" s="7">
        <v>2341642</v>
      </c>
      <c r="AM43" s="13">
        <f>AL43/'a1'!$BH43*100</f>
        <v>70.484678827283119</v>
      </c>
      <c r="AN43" s="7">
        <v>811899</v>
      </c>
      <c r="AO43" s="13">
        <f>AN43/'a1'!$BH43*100</f>
        <v>24.438594906989344</v>
      </c>
      <c r="AP43" s="7">
        <v>2919949</v>
      </c>
      <c r="AQ43" s="13">
        <f>AP43/'a1'!$BN43*100</f>
        <v>69.575804162611973</v>
      </c>
      <c r="AR43" s="7">
        <v>1145012</v>
      </c>
      <c r="AS43" s="13">
        <f>AR43/'a1'!$BN43*100</f>
        <v>27.283055517695914</v>
      </c>
    </row>
    <row r="44" spans="1:45" ht="16.5" customHeight="1">
      <c r="A44" s="1">
        <v>2006</v>
      </c>
      <c r="B44" s="7">
        <v>22599461</v>
      </c>
      <c r="C44" s="13">
        <f>B44/'a1'!$F44*100</f>
        <v>69.374415713814997</v>
      </c>
      <c r="D44" s="7">
        <v>8742177</v>
      </c>
      <c r="E44" s="13">
        <f>D44/'a1'!$F44*100</f>
        <v>26.836189652565256</v>
      </c>
      <c r="F44" s="7">
        <v>362909</v>
      </c>
      <c r="G44" s="13">
        <f>F44/'a1'!$L44*100</f>
        <v>71.114982373562896</v>
      </c>
      <c r="H44" s="7">
        <v>154360</v>
      </c>
      <c r="I44" s="13">
        <f>H44/'a1'!$L44*100</f>
        <v>30.248102635049467</v>
      </c>
      <c r="J44" s="7">
        <v>93965</v>
      </c>
      <c r="K44" s="13">
        <f>J44/'a1'!$R44*100</f>
        <v>68.130075406032489</v>
      </c>
      <c r="L44" s="7">
        <v>38478</v>
      </c>
      <c r="M44" s="13">
        <f>L44/'a1'!$R44*100</f>
        <v>27.898781902552205</v>
      </c>
      <c r="N44" s="7">
        <v>652104</v>
      </c>
      <c r="O44" s="13">
        <f>N44/'a1'!$X44*100</f>
        <v>69.519941152013303</v>
      </c>
      <c r="P44" s="7">
        <v>270829</v>
      </c>
      <c r="Q44" s="13">
        <f>P44/'a1'!$X44*100</f>
        <v>28.872719907037236</v>
      </c>
      <c r="R44" s="7">
        <v>518769</v>
      </c>
      <c r="S44" s="13">
        <f>R44/'a1'!$AD44*100</f>
        <v>69.570482543309808</v>
      </c>
      <c r="T44" s="7">
        <v>216065</v>
      </c>
      <c r="U44" s="13">
        <f>T44/'a1'!$AD44*100</f>
        <v>28.975799075735509</v>
      </c>
      <c r="V44" s="7">
        <v>5316418</v>
      </c>
      <c r="W44" s="13">
        <f>V44/'a1'!$AJ44*100</f>
        <v>69.663654260627467</v>
      </c>
      <c r="X44" s="7">
        <v>2171712</v>
      </c>
      <c r="Y44" s="13">
        <f>X44/'a1'!$AJ44*100</f>
        <v>28.457016344774956</v>
      </c>
      <c r="Z44" s="7">
        <v>8757500</v>
      </c>
      <c r="AA44" s="13">
        <f>Z44/'a1'!$AP44*100</f>
        <v>69.145367209075843</v>
      </c>
      <c r="AB44" s="7">
        <v>3284136</v>
      </c>
      <c r="AC44" s="13">
        <f>AB44/'a1'!$AP44*100</f>
        <v>25.93009302706772</v>
      </c>
      <c r="AD44" s="7">
        <v>793516</v>
      </c>
      <c r="AE44" s="13">
        <f>AD44/'a1'!$AV44*100</f>
        <v>67.01817773352218</v>
      </c>
      <c r="AF44" s="7">
        <v>302696</v>
      </c>
      <c r="AG44" s="13">
        <f>AF44/'a1'!$AV44*100</f>
        <v>25.564871190027965</v>
      </c>
      <c r="AH44" s="7">
        <v>652790</v>
      </c>
      <c r="AI44" s="13">
        <f>AH44/'a1'!$BB44*100</f>
        <v>65.797351535395848</v>
      </c>
      <c r="AJ44" s="7">
        <v>249119</v>
      </c>
      <c r="AK44" s="13">
        <f>AJ44/'a1'!$BB44*100</f>
        <v>25.109714329487705</v>
      </c>
      <c r="AL44" s="7">
        <v>2420531</v>
      </c>
      <c r="AM44" s="13">
        <f>AL44/'a1'!$BH44*100</f>
        <v>70.749839313257453</v>
      </c>
      <c r="AN44" s="7">
        <v>850373</v>
      </c>
      <c r="AO44" s="13">
        <f>AN44/'a1'!$BH44*100</f>
        <v>24.855601149637284</v>
      </c>
      <c r="AP44" s="7">
        <v>2955786</v>
      </c>
      <c r="AQ44" s="13">
        <f>AP44/'a1'!$BN44*100</f>
        <v>69.65312307061491</v>
      </c>
      <c r="AR44" s="7">
        <v>1180190</v>
      </c>
      <c r="AS44" s="13">
        <f>AR44/'a1'!$BN44*100</f>
        <v>27.81118772357302</v>
      </c>
    </row>
    <row r="45" spans="1:45" ht="16.5" customHeight="1">
      <c r="A45" s="1">
        <v>2007</v>
      </c>
      <c r="B45" s="7">
        <v>22877927</v>
      </c>
      <c r="C45" s="13">
        <f>B45/'a1'!$F45*100</f>
        <v>69.474984810839487</v>
      </c>
      <c r="D45" s="7">
        <v>8989043</v>
      </c>
      <c r="E45" s="13">
        <f>D45/'a1'!$F45*100</f>
        <v>27.297649209606405</v>
      </c>
      <c r="F45" s="7">
        <v>358874</v>
      </c>
      <c r="G45" s="13">
        <f>F45/'a1'!$L45*100</f>
        <v>70.870632470935803</v>
      </c>
      <c r="H45" s="7">
        <v>156622</v>
      </c>
      <c r="I45" s="13">
        <f>H45/'a1'!$L45*100</f>
        <v>30.929797641687351</v>
      </c>
      <c r="J45" s="7">
        <v>94184</v>
      </c>
      <c r="K45" s="13">
        <f>J45/'a1'!$R45*100</f>
        <v>68.169743994325458</v>
      </c>
      <c r="L45" s="7">
        <v>39465</v>
      </c>
      <c r="M45" s="13">
        <f>L45/'a1'!$R45*100</f>
        <v>28.56450083598121</v>
      </c>
      <c r="N45" s="7">
        <v>650009</v>
      </c>
      <c r="O45" s="13">
        <f>N45/'a1'!$X45*100</f>
        <v>69.460693272237265</v>
      </c>
      <c r="P45" s="7">
        <v>276321</v>
      </c>
      <c r="Q45" s="13">
        <f>P45/'a1'!$X45*100</f>
        <v>29.527973036800837</v>
      </c>
      <c r="R45" s="7">
        <v>517856</v>
      </c>
      <c r="S45" s="13">
        <f>R45/'a1'!$AD45*100</f>
        <v>69.462854536796712</v>
      </c>
      <c r="T45" s="7">
        <v>220312</v>
      </c>
      <c r="U45" s="13">
        <f>T45/'a1'!$AD45*100</f>
        <v>29.551652213570485</v>
      </c>
      <c r="V45" s="7">
        <v>5353467</v>
      </c>
      <c r="W45" s="13">
        <f>V45/'a1'!$AJ45*100</f>
        <v>69.639292647223911</v>
      </c>
      <c r="X45" s="7">
        <v>2216673</v>
      </c>
      <c r="Y45" s="13">
        <f>X45/'a1'!$AJ45*100</f>
        <v>28.835059551165585</v>
      </c>
      <c r="Z45" s="7">
        <v>8863215</v>
      </c>
      <c r="AA45" s="13">
        <f>Z45/'a1'!$AP45*100</f>
        <v>69.28209683202536</v>
      </c>
      <c r="AB45" s="7">
        <v>3386263</v>
      </c>
      <c r="AC45" s="13">
        <f>AB45/'a1'!$AP45*100</f>
        <v>26.469785632493931</v>
      </c>
      <c r="AD45" s="7">
        <v>801761</v>
      </c>
      <c r="AE45" s="13">
        <f>AD45/'a1'!$AV45*100</f>
        <v>67.174029247007681</v>
      </c>
      <c r="AF45" s="7">
        <v>310380</v>
      </c>
      <c r="AG45" s="13">
        <f>AF45/'a1'!$AV45*100</f>
        <v>26.004601368345735</v>
      </c>
      <c r="AH45" s="7">
        <v>659825</v>
      </c>
      <c r="AI45" s="13">
        <f>AH45/'a1'!$BB45*100</f>
        <v>65.965546854458395</v>
      </c>
      <c r="AJ45" s="7">
        <v>255969</v>
      </c>
      <c r="AK45" s="13">
        <f>AJ45/'a1'!$BB45*100</f>
        <v>25.590323286915261</v>
      </c>
      <c r="AL45" s="7">
        <v>2495825</v>
      </c>
      <c r="AM45" s="13">
        <f>AL45/'a1'!$BH45*100</f>
        <v>71.051652422601364</v>
      </c>
      <c r="AN45" s="7">
        <v>885834</v>
      </c>
      <c r="AO45" s="13">
        <f>AN45/'a1'!$BH45*100</f>
        <v>25.21810201922116</v>
      </c>
      <c r="AP45" s="7">
        <v>3006658</v>
      </c>
      <c r="AQ45" s="13">
        <f>AP45/'a1'!$BN45*100</f>
        <v>69.766003222548932</v>
      </c>
      <c r="AR45" s="7">
        <v>1216074</v>
      </c>
      <c r="AS45" s="13">
        <f>AR45/'a1'!$BN45*100</f>
        <v>28.217583311057648</v>
      </c>
    </row>
    <row r="46" spans="1:45" ht="16.5" customHeight="1">
      <c r="A46" s="1">
        <v>2008</v>
      </c>
      <c r="B46" s="7">
        <v>23152366</v>
      </c>
      <c r="C46" s="13">
        <f>B46/'a1'!$F46*100</f>
        <v>69.493284543127302</v>
      </c>
      <c r="D46" s="7">
        <v>9234336</v>
      </c>
      <c r="E46" s="13">
        <f>D46/'a1'!$F46*100</f>
        <v>27.717441025891006</v>
      </c>
      <c r="F46" s="7">
        <v>357306</v>
      </c>
      <c r="G46" s="13">
        <f>F46/'a1'!$L46*100</f>
        <v>70.586910526222212</v>
      </c>
      <c r="H46" s="7">
        <v>158826</v>
      </c>
      <c r="I46" s="13">
        <f>H46/'a1'!$L46*100</f>
        <v>31.376569806378203</v>
      </c>
      <c r="J46" s="7">
        <v>95195</v>
      </c>
      <c r="K46" s="13">
        <f>J46/'a1'!$R46*100</f>
        <v>68.21813751836325</v>
      </c>
      <c r="L46" s="7">
        <v>40691</v>
      </c>
      <c r="M46" s="13">
        <f>L46/'a1'!$R46*100</f>
        <v>29.159769250062705</v>
      </c>
      <c r="N46" s="7">
        <v>649725</v>
      </c>
      <c r="O46" s="13">
        <f>N46/'a1'!$X46*100</f>
        <v>69.360450158368891</v>
      </c>
      <c r="P46" s="7">
        <v>281679</v>
      </c>
      <c r="Q46" s="13">
        <f>P46/'a1'!$X46*100</f>
        <v>30.070233160428167</v>
      </c>
      <c r="R46" s="7">
        <v>518049</v>
      </c>
      <c r="S46" s="13">
        <f>R46/'a1'!$AD46*100</f>
        <v>69.359701808269364</v>
      </c>
      <c r="T46" s="7">
        <v>224650</v>
      </c>
      <c r="U46" s="13">
        <f>T46/'a1'!$AD46*100</f>
        <v>30.077573764697373</v>
      </c>
      <c r="V46" s="7">
        <v>5387185</v>
      </c>
      <c r="W46" s="13">
        <f>V46/'a1'!$AJ46*100</f>
        <v>69.500119463338677</v>
      </c>
      <c r="X46" s="7">
        <v>2259408</v>
      </c>
      <c r="Y46" s="13">
        <f>X46/'a1'!$AJ46*100</f>
        <v>29.148641807627385</v>
      </c>
      <c r="Z46" s="7">
        <v>8968258</v>
      </c>
      <c r="AA46" s="13">
        <f>Z46/'a1'!$AP46*100</f>
        <v>69.347757788117619</v>
      </c>
      <c r="AB46" s="7">
        <v>3491976</v>
      </c>
      <c r="AC46" s="13">
        <f>AB46/'a1'!$AP46*100</f>
        <v>27.001978070871708</v>
      </c>
      <c r="AD46" s="7">
        <v>810521</v>
      </c>
      <c r="AE46" s="13">
        <f>AD46/'a1'!$AV46*100</f>
        <v>67.234306940507679</v>
      </c>
      <c r="AF46" s="7">
        <v>317524</v>
      </c>
      <c r="AG46" s="13">
        <f>AF46/'a1'!$AV46*100</f>
        <v>26.339238683486005</v>
      </c>
      <c r="AH46" s="7">
        <v>670368</v>
      </c>
      <c r="AI46" s="13">
        <f>AH46/'a1'!$BB46*100</f>
        <v>66.124806666456237</v>
      </c>
      <c r="AJ46" s="7">
        <v>263605</v>
      </c>
      <c r="AK46" s="13">
        <f>AJ46/'a1'!$BB46*100</f>
        <v>26.001882042864811</v>
      </c>
      <c r="AL46" s="7">
        <v>2556404</v>
      </c>
      <c r="AM46" s="13">
        <f>AL46/'a1'!$BH46*100</f>
        <v>71.181444738264361</v>
      </c>
      <c r="AN46" s="7">
        <v>916792</v>
      </c>
      <c r="AO46" s="13">
        <f>AN46/'a1'!$BH46*100</f>
        <v>25.527490601830877</v>
      </c>
      <c r="AP46" s="7">
        <v>3062264</v>
      </c>
      <c r="AQ46" s="13">
        <f>AP46/'a1'!$BN46*100</f>
        <v>69.853143120446362</v>
      </c>
      <c r="AR46" s="7">
        <v>1253244</v>
      </c>
      <c r="AS46" s="13">
        <f>AR46/'a1'!$BN46*100</f>
        <v>28.587683000825759</v>
      </c>
    </row>
    <row r="47" spans="1:45" ht="16.5" customHeight="1">
      <c r="A47" s="1">
        <v>2009</v>
      </c>
      <c r="B47" s="7">
        <v>23424059</v>
      </c>
      <c r="C47" s="13">
        <f>B47/'a1'!$F47*100</f>
        <v>69.465988085948766</v>
      </c>
      <c r="D47" s="7">
        <v>9465910</v>
      </c>
      <c r="E47" s="13">
        <f>D47/'a1'!$F47*100</f>
        <v>28.07194053270884</v>
      </c>
      <c r="F47" s="7">
        <v>357305</v>
      </c>
      <c r="G47" s="13">
        <f>F47/'a1'!$L47*100</f>
        <v>70.315836290178154</v>
      </c>
      <c r="H47" s="7">
        <v>161551</v>
      </c>
      <c r="I47" s="13">
        <f>H47/'a1'!$L47*100</f>
        <v>31.792428509297583</v>
      </c>
      <c r="J47" s="7">
        <v>96212</v>
      </c>
      <c r="K47" s="13">
        <f>J47/'a1'!$R47*100</f>
        <v>68.188551138578418</v>
      </c>
      <c r="L47" s="7">
        <v>41823</v>
      </c>
      <c r="M47" s="13">
        <f>L47/'a1'!$R47*100</f>
        <v>29.64131058775169</v>
      </c>
      <c r="N47" s="7">
        <v>650334</v>
      </c>
      <c r="O47" s="13">
        <f>N47/'a1'!$X47*100</f>
        <v>69.249002261682165</v>
      </c>
      <c r="P47" s="7">
        <v>286543</v>
      </c>
      <c r="Q47" s="13">
        <f>P47/'a1'!$X47*100</f>
        <v>30.511732210016994</v>
      </c>
      <c r="R47" s="7">
        <v>518732</v>
      </c>
      <c r="S47" s="13">
        <f>R47/'a1'!$AD47*100</f>
        <v>69.226662965552947</v>
      </c>
      <c r="T47" s="7">
        <v>228620</v>
      </c>
      <c r="U47" s="13">
        <f>T47/'a1'!$AD47*100</f>
        <v>30.510166496735724</v>
      </c>
      <c r="V47" s="7">
        <v>5424254</v>
      </c>
      <c r="W47" s="13">
        <f>V47/'a1'!$AJ47*100</f>
        <v>69.289813941801583</v>
      </c>
      <c r="X47" s="7">
        <v>2297985</v>
      </c>
      <c r="Y47" s="13">
        <f>X47/'a1'!$AJ47*100</f>
        <v>29.354627030933823</v>
      </c>
      <c r="Z47" s="7">
        <v>9063744</v>
      </c>
      <c r="AA47" s="13">
        <f>Z47/'a1'!$AP47*100</f>
        <v>69.374767506831276</v>
      </c>
      <c r="AB47" s="7">
        <v>3593739</v>
      </c>
      <c r="AC47" s="13">
        <f>AB47/'a1'!$AP47*100</f>
        <v>27.506823626663806</v>
      </c>
      <c r="AD47" s="7">
        <v>820894</v>
      </c>
      <c r="AE47" s="13">
        <f>AD47/'a1'!$AV47*100</f>
        <v>67.310559036768936</v>
      </c>
      <c r="AF47" s="7">
        <v>324264</v>
      </c>
      <c r="AG47" s="13">
        <f>AF47/'a1'!$AV47*100</f>
        <v>26.588562123122895</v>
      </c>
      <c r="AH47" s="7">
        <v>682513</v>
      </c>
      <c r="AI47" s="13">
        <f>AH47/'a1'!$BB47*100</f>
        <v>66.319802084102591</v>
      </c>
      <c r="AJ47" s="7">
        <v>270481</v>
      </c>
      <c r="AK47" s="13">
        <f>AJ47/'a1'!$BB47*100</f>
        <v>26.282644268329179</v>
      </c>
      <c r="AL47" s="7">
        <v>2614936</v>
      </c>
      <c r="AM47" s="13">
        <f>AL47/'a1'!$BH47*100</f>
        <v>71.237259387883981</v>
      </c>
      <c r="AN47" s="7">
        <v>946928</v>
      </c>
      <c r="AO47" s="13">
        <f>AN47/'a1'!$BH47*100</f>
        <v>25.796637301123315</v>
      </c>
      <c r="AP47" s="7">
        <v>3117287</v>
      </c>
      <c r="AQ47" s="13">
        <f>AP47/'a1'!$BN47*100</f>
        <v>69.889751612674686</v>
      </c>
      <c r="AR47" s="7">
        <v>1287303</v>
      </c>
      <c r="AS47" s="13">
        <f>AR47/'a1'!$BN47*100</f>
        <v>28.861406383259215</v>
      </c>
    </row>
    <row r="48" spans="1:45" ht="16.5" customHeight="1">
      <c r="A48" s="1">
        <v>2010</v>
      </c>
      <c r="B48" s="7">
        <v>23672481</v>
      </c>
      <c r="C48" s="13">
        <f>B48/'a1'!$F48*100</f>
        <v>69.402952649806721</v>
      </c>
      <c r="D48" s="7">
        <v>9669151</v>
      </c>
      <c r="E48" s="13">
        <f>D48/'a1'!$F48*100</f>
        <v>28.348005813874401</v>
      </c>
      <c r="F48" s="7">
        <v>356817</v>
      </c>
      <c r="G48" s="13">
        <f>F48/'a1'!$L48*100</f>
        <v>69.999941146351361</v>
      </c>
      <c r="H48" s="7">
        <v>163851</v>
      </c>
      <c r="I48" s="13">
        <f>H48/'a1'!$L48*100</f>
        <v>32.144097273310457</v>
      </c>
      <c r="J48" s="7">
        <v>96970</v>
      </c>
      <c r="K48" s="13">
        <f>J48/'a1'!$R48*100</f>
        <v>68.16105042666554</v>
      </c>
      <c r="L48" s="7">
        <v>43027</v>
      </c>
      <c r="M48" s="13">
        <f>L48/'a1'!$R48*100</f>
        <v>30.244049878396805</v>
      </c>
      <c r="N48" s="7">
        <v>651475</v>
      </c>
      <c r="O48" s="13">
        <f>N48/'a1'!$X48*100</f>
        <v>69.121575883867052</v>
      </c>
      <c r="P48" s="7">
        <v>290555</v>
      </c>
      <c r="Q48" s="13">
        <f>P48/'a1'!$X48*100</f>
        <v>30.827920458861801</v>
      </c>
      <c r="R48" s="7">
        <v>519165</v>
      </c>
      <c r="S48" s="13">
        <f>R48/'a1'!$AD48*100</f>
        <v>69.060398667118932</v>
      </c>
      <c r="T48" s="7">
        <v>232139</v>
      </c>
      <c r="U48" s="13">
        <f>T48/'a1'!$AD48*100</f>
        <v>30.879608383050329</v>
      </c>
      <c r="V48" s="7">
        <v>5459069</v>
      </c>
      <c r="W48" s="13">
        <f>V48/'a1'!$AJ48*100</f>
        <v>69.037689498727445</v>
      </c>
      <c r="X48" s="7">
        <v>2330465</v>
      </c>
      <c r="Y48" s="13">
        <f>X48/'a1'!$AJ48*100</f>
        <v>29.472043503691175</v>
      </c>
      <c r="Z48" s="7">
        <v>9171092</v>
      </c>
      <c r="AA48" s="13">
        <f>Z48/'a1'!$AP48*100</f>
        <v>69.421869463517623</v>
      </c>
      <c r="AB48" s="7">
        <v>3688564</v>
      </c>
      <c r="AC48" s="13">
        <f>AB48/'a1'!$AP48*100</f>
        <v>27.921103453746888</v>
      </c>
      <c r="AD48" s="7">
        <v>832197</v>
      </c>
      <c r="AE48" s="13">
        <f>AD48/'a1'!$AV48*100</f>
        <v>67.361900321512181</v>
      </c>
      <c r="AF48" s="7">
        <v>330477</v>
      </c>
      <c r="AG48" s="13">
        <f>AF48/'a1'!$AV48*100</f>
        <v>26.750347252576468</v>
      </c>
      <c r="AH48" s="7">
        <v>694564</v>
      </c>
      <c r="AI48" s="13">
        <f>AH48/'a1'!$BB48*100</f>
        <v>66.425916822714143</v>
      </c>
      <c r="AJ48" s="7">
        <v>276423</v>
      </c>
      <c r="AK48" s="13">
        <f>AJ48/'a1'!$BB48*100</f>
        <v>26.436226475724496</v>
      </c>
      <c r="AL48" s="7">
        <v>2645102</v>
      </c>
      <c r="AM48" s="13">
        <f>AL48/'a1'!$BH48*100</f>
        <v>71.086815019621355</v>
      </c>
      <c r="AN48" s="7">
        <v>969612</v>
      </c>
      <c r="AO48" s="13">
        <f>AN48/'a1'!$BH48*100</f>
        <v>26.058212078326321</v>
      </c>
      <c r="AP48" s="7">
        <v>3166761</v>
      </c>
      <c r="AQ48" s="13">
        <f>AP48/'a1'!$BN48*100</f>
        <v>69.891612373536731</v>
      </c>
      <c r="AR48" s="7">
        <v>1316533</v>
      </c>
      <c r="AS48" s="13">
        <f>AR48/'a1'!$BN48*100</f>
        <v>29.056380987693558</v>
      </c>
    </row>
    <row r="49" spans="1:138" ht="16.5" customHeight="1">
      <c r="B49" s="172" t="s">
        <v>435</v>
      </c>
      <c r="C49" s="13"/>
      <c r="D49" s="7"/>
      <c r="E49" s="13"/>
      <c r="F49" s="7"/>
      <c r="G49" s="13"/>
      <c r="H49" s="7"/>
      <c r="I49" s="13"/>
      <c r="J49" s="7"/>
      <c r="K49" s="13"/>
      <c r="L49" s="7"/>
      <c r="M49" s="13"/>
      <c r="N49" s="7"/>
      <c r="O49" s="13"/>
      <c r="P49" s="7"/>
      <c r="Q49" s="13"/>
      <c r="R49" s="172" t="s">
        <v>435</v>
      </c>
      <c r="S49" s="13"/>
      <c r="T49" s="7"/>
      <c r="U49" s="13"/>
      <c r="V49" s="7"/>
      <c r="W49" s="13"/>
      <c r="X49" s="7"/>
      <c r="Y49" s="13"/>
      <c r="Z49" s="7"/>
      <c r="AA49" s="13"/>
      <c r="AB49" s="7"/>
      <c r="AC49" s="13"/>
      <c r="AD49" s="7"/>
      <c r="AE49" s="13"/>
      <c r="AF49" s="7"/>
      <c r="AG49" s="13"/>
      <c r="AH49" s="172" t="s">
        <v>435</v>
      </c>
      <c r="AI49" s="13"/>
      <c r="AJ49" s="7"/>
      <c r="AK49" s="13"/>
      <c r="AL49" s="7"/>
      <c r="AM49" s="13"/>
      <c r="AN49" s="7"/>
      <c r="AO49" s="13"/>
      <c r="AP49" s="7"/>
      <c r="AQ49" s="13"/>
      <c r="AR49" s="7"/>
      <c r="AS49" s="13"/>
    </row>
    <row r="50" spans="1:138" s="252" customFormat="1" ht="16.5" customHeight="1">
      <c r="A50" s="252" t="s">
        <v>988</v>
      </c>
      <c r="B50" s="271">
        <f>(POWER(B48/B19, 1/29)-1)*100</f>
        <v>1.1667277851189262</v>
      </c>
      <c r="C50" s="271">
        <f t="shared" ref="C50:AS50" si="0">(POWER(C48/C19, 1/29)-1)*100</f>
        <v>6.3761029971942662E-2</v>
      </c>
      <c r="D50" s="271">
        <f t="shared" si="0"/>
        <v>2.5255675351907092</v>
      </c>
      <c r="E50" s="271">
        <f t="shared" si="0"/>
        <v>1.407786076605988</v>
      </c>
      <c r="F50" s="271">
        <f t="shared" si="0"/>
        <v>-6.0732273180574836E-2</v>
      </c>
      <c r="G50" s="271">
        <f t="shared" si="0"/>
        <v>0.35711400253690684</v>
      </c>
      <c r="H50" s="271">
        <f t="shared" si="0"/>
        <v>2.1912472730706734</v>
      </c>
      <c r="I50" s="271">
        <f t="shared" si="0"/>
        <v>2.6185090797180788</v>
      </c>
      <c r="J50" s="271">
        <f t="shared" si="0"/>
        <v>0.75068450826420996</v>
      </c>
      <c r="K50" s="271">
        <f t="shared" si="0"/>
        <v>0.26186274900019679</v>
      </c>
      <c r="L50" s="271">
        <f t="shared" si="0"/>
        <v>2.4177250357106272</v>
      </c>
      <c r="M50" s="271">
        <f t="shared" si="0"/>
        <v>1.9208151360298409</v>
      </c>
      <c r="N50" s="271">
        <f t="shared" si="0"/>
        <v>0.50507563235262509</v>
      </c>
      <c r="O50" s="271">
        <f t="shared" si="0"/>
        <v>0.16742127656397265</v>
      </c>
      <c r="P50" s="271">
        <f t="shared" si="0"/>
        <v>2.1579622894907002</v>
      </c>
      <c r="Q50" s="271">
        <f t="shared" si="0"/>
        <v>1.8147549367424798</v>
      </c>
      <c r="R50" s="271">
        <f t="shared" si="0"/>
        <v>0.41193720925645216</v>
      </c>
      <c r="S50" s="271">
        <f t="shared" si="0"/>
        <v>0.19688798165558019</v>
      </c>
      <c r="T50" s="271">
        <f t="shared" si="0"/>
        <v>2.2285538155203621</v>
      </c>
      <c r="U50" s="271">
        <f t="shared" si="0"/>
        <v>2.0096139947402225</v>
      </c>
      <c r="V50" s="271">
        <f t="shared" si="0"/>
        <v>0.61750550990646857</v>
      </c>
      <c r="W50" s="271">
        <f t="shared" si="0"/>
        <v>-3.5274336473989365E-2</v>
      </c>
      <c r="X50" s="271">
        <f t="shared" si="0"/>
        <v>2.1662823836512413</v>
      </c>
      <c r="Y50" s="271">
        <f t="shared" si="0"/>
        <v>1.5034544812730033</v>
      </c>
      <c r="Z50" s="271">
        <f t="shared" si="0"/>
        <v>1.4543232592950872</v>
      </c>
      <c r="AA50" s="271">
        <f t="shared" si="0"/>
        <v>4.7730706319559779E-2</v>
      </c>
      <c r="AB50" s="271">
        <f t="shared" si="0"/>
        <v>2.5935121037218511</v>
      </c>
      <c r="AC50" s="271">
        <f t="shared" si="0"/>
        <v>1.1711255018233446</v>
      </c>
      <c r="AD50" s="271">
        <f t="shared" si="0"/>
        <v>0.72772285511950585</v>
      </c>
      <c r="AE50" s="271">
        <f t="shared" si="0"/>
        <v>0.11661546671897227</v>
      </c>
      <c r="AF50" s="271">
        <f t="shared" si="0"/>
        <v>1.778421968178634</v>
      </c>
      <c r="AG50" s="271">
        <f t="shared" si="0"/>
        <v>1.1609400686427795</v>
      </c>
      <c r="AH50" s="271">
        <f t="shared" si="0"/>
        <v>0.39337582810237137</v>
      </c>
      <c r="AI50" s="271">
        <f t="shared" si="0"/>
        <v>0.15426930154442964</v>
      </c>
      <c r="AJ50" s="271">
        <f t="shared" si="0"/>
        <v>1.4089243560674758</v>
      </c>
      <c r="AK50" s="271">
        <f t="shared" si="0"/>
        <v>1.1673991013905871</v>
      </c>
      <c r="AL50" s="271">
        <f t="shared" si="0"/>
        <v>1.7977728189417785</v>
      </c>
      <c r="AM50" s="271">
        <f t="shared" si="0"/>
        <v>0.10964288124291066</v>
      </c>
      <c r="AN50" s="271">
        <f t="shared" si="0"/>
        <v>3.4490671316217858</v>
      </c>
      <c r="AO50" s="271">
        <f t="shared" si="0"/>
        <v>1.7335534969323607</v>
      </c>
      <c r="AP50" s="271">
        <f t="shared" si="0"/>
        <v>1.7284945157520326</v>
      </c>
      <c r="AQ50" s="271">
        <f t="shared" si="0"/>
        <v>8.6611334590647182E-2</v>
      </c>
      <c r="AR50" s="271">
        <f t="shared" si="0"/>
        <v>3.1047836793342221</v>
      </c>
      <c r="AS50" s="271">
        <f t="shared" si="0"/>
        <v>1.4406873902245154</v>
      </c>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269"/>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ht="17.25" customHeight="1">
      <c r="B51" s="660" t="s">
        <v>989</v>
      </c>
      <c r="C51" s="661"/>
      <c r="D51" s="661"/>
      <c r="E51" s="661"/>
      <c r="F51" s="661"/>
      <c r="G51" s="661"/>
      <c r="H51" s="661"/>
      <c r="I51" s="661"/>
      <c r="J51" s="661"/>
      <c r="K51" s="661"/>
      <c r="L51" s="661"/>
      <c r="M51" s="661"/>
      <c r="N51" s="661"/>
      <c r="O51" s="661"/>
      <c r="P51" s="661"/>
      <c r="Q51" s="661"/>
    </row>
  </sheetData>
  <mergeCells count="1">
    <mergeCell ref="B51:Q51"/>
  </mergeCells>
  <phoneticPr fontId="0" type="noConversion"/>
  <pageMargins left="0.35433070866141736" right="0.35433070866141736" top="0.59055118110236227" bottom="0.59055118110236227" header="0.51181102362204722" footer="0.51181102362204722"/>
  <pageSetup scale="71" orientation="landscape" r:id="rId1"/>
  <headerFooter alignWithMargins="0"/>
  <rowBreaks count="2" manualBreakCount="2">
    <brk id="53" max="16383" man="1"/>
    <brk id="59" max="16383" man="1"/>
  </rowBreaks>
  <colBreaks count="2" manualBreakCount="2">
    <brk id="17" max="1048575" man="1"/>
    <brk id="33" max="1048575" man="1"/>
  </colBreaks>
</worksheet>
</file>

<file path=xl/worksheets/sheet58.xml><?xml version="1.0" encoding="utf-8"?>
<worksheet xmlns="http://schemas.openxmlformats.org/spreadsheetml/2006/main" xmlns:r="http://schemas.openxmlformats.org/officeDocument/2006/relationships">
  <dimension ref="A1:EH243"/>
  <sheetViews>
    <sheetView view="pageBreakPreview" zoomScaleSheetLayoutView="100" workbookViewId="0">
      <pane xSplit="1" ySplit="6" topLeftCell="B43" activePane="bottomRight" state="frozen"/>
      <selection activeCell="E9" sqref="E9"/>
      <selection pane="topRight" activeCell="E9" sqref="E9"/>
      <selection pane="bottomLeft" activeCell="E9" sqref="E9"/>
      <selection pane="bottomRight" activeCell="E9" sqref="E9"/>
    </sheetView>
  </sheetViews>
  <sheetFormatPr defaultColWidth="8.875" defaultRowHeight="12.75"/>
  <cols>
    <col min="1" max="1" width="8.875" style="1" customWidth="1"/>
    <col min="2" max="6" width="12.25" style="1" customWidth="1"/>
    <col min="7" max="7" width="9.875" style="1" customWidth="1"/>
    <col min="8" max="102" width="12.25" style="1" customWidth="1"/>
    <col min="103" max="16384" width="8.875" style="1"/>
  </cols>
  <sheetData>
    <row r="1" spans="1:100" ht="15.75">
      <c r="B1" s="2" t="s">
        <v>309</v>
      </c>
      <c r="K1" s="2" t="s">
        <v>310</v>
      </c>
      <c r="T1" s="2" t="s">
        <v>311</v>
      </c>
      <c r="AC1" s="2" t="s">
        <v>312</v>
      </c>
      <c r="AL1" s="2" t="s">
        <v>313</v>
      </c>
      <c r="AU1" s="2" t="s">
        <v>314</v>
      </c>
      <c r="BD1" s="2" t="s">
        <v>315</v>
      </c>
      <c r="BM1" s="2" t="s">
        <v>316</v>
      </c>
      <c r="BV1" s="2" t="s">
        <v>317</v>
      </c>
      <c r="CE1" s="2" t="s">
        <v>318</v>
      </c>
      <c r="CN1" s="2" t="s">
        <v>319</v>
      </c>
    </row>
    <row r="3" spans="1:100" s="3" customFormat="1" ht="15">
      <c r="B3" s="3" t="s">
        <v>321</v>
      </c>
      <c r="K3" s="3" t="s">
        <v>370</v>
      </c>
      <c r="T3" s="3" t="s">
        <v>371</v>
      </c>
      <c r="AC3" s="3" t="s">
        <v>372</v>
      </c>
      <c r="AL3" s="3" t="s">
        <v>373</v>
      </c>
      <c r="AU3" s="3" t="s">
        <v>374</v>
      </c>
      <c r="BD3" s="3" t="s">
        <v>375</v>
      </c>
      <c r="BM3" s="3" t="s">
        <v>376</v>
      </c>
      <c r="BV3" s="3" t="s">
        <v>377</v>
      </c>
      <c r="CE3" s="3" t="s">
        <v>378</v>
      </c>
      <c r="CN3" s="3" t="s">
        <v>379</v>
      </c>
    </row>
    <row r="4" spans="1:100" s="4" customFormat="1" ht="63.75">
      <c r="B4" s="4" t="s">
        <v>3</v>
      </c>
      <c r="C4" s="4" t="s">
        <v>4</v>
      </c>
      <c r="D4" s="4" t="s">
        <v>5</v>
      </c>
      <c r="E4" s="4" t="s">
        <v>6</v>
      </c>
      <c r="F4" s="4" t="s">
        <v>7</v>
      </c>
      <c r="G4" s="4" t="s">
        <v>8</v>
      </c>
      <c r="H4" s="4" t="s">
        <v>9</v>
      </c>
      <c r="I4" s="4" t="s">
        <v>10</v>
      </c>
      <c r="J4" s="4" t="s">
        <v>11</v>
      </c>
      <c r="K4" s="4" t="s">
        <v>3</v>
      </c>
      <c r="L4" s="4" t="s">
        <v>4</v>
      </c>
      <c r="M4" s="4" t="s">
        <v>5</v>
      </c>
      <c r="N4" s="4" t="s">
        <v>6</v>
      </c>
      <c r="O4" s="4" t="s">
        <v>7</v>
      </c>
      <c r="P4" s="4" t="s">
        <v>8</v>
      </c>
      <c r="Q4" s="4" t="s">
        <v>9</v>
      </c>
      <c r="R4" s="4" t="s">
        <v>10</v>
      </c>
      <c r="S4" s="4" t="s">
        <v>11</v>
      </c>
      <c r="T4" s="4" t="s">
        <v>3</v>
      </c>
      <c r="U4" s="4" t="s">
        <v>4</v>
      </c>
      <c r="V4" s="4" t="s">
        <v>5</v>
      </c>
      <c r="W4" s="4" t="s">
        <v>6</v>
      </c>
      <c r="X4" s="4" t="s">
        <v>7</v>
      </c>
      <c r="Y4" s="4" t="s">
        <v>8</v>
      </c>
      <c r="Z4" s="4" t="s">
        <v>9</v>
      </c>
      <c r="AA4" s="4" t="s">
        <v>10</v>
      </c>
      <c r="AB4" s="4" t="s">
        <v>11</v>
      </c>
      <c r="AC4" s="4" t="s">
        <v>3</v>
      </c>
      <c r="AD4" s="4" t="s">
        <v>4</v>
      </c>
      <c r="AE4" s="4" t="s">
        <v>5</v>
      </c>
      <c r="AF4" s="4" t="s">
        <v>6</v>
      </c>
      <c r="AG4" s="4" t="s">
        <v>7</v>
      </c>
      <c r="AH4" s="4" t="s">
        <v>8</v>
      </c>
      <c r="AI4" s="4" t="s">
        <v>9</v>
      </c>
      <c r="AJ4" s="4" t="s">
        <v>10</v>
      </c>
      <c r="AK4" s="4" t="s">
        <v>11</v>
      </c>
      <c r="AL4" s="4" t="s">
        <v>3</v>
      </c>
      <c r="AM4" s="4" t="s">
        <v>4</v>
      </c>
      <c r="AN4" s="4" t="s">
        <v>5</v>
      </c>
      <c r="AO4" s="4" t="s">
        <v>6</v>
      </c>
      <c r="AP4" s="4" t="s">
        <v>7</v>
      </c>
      <c r="AQ4" s="4" t="s">
        <v>8</v>
      </c>
      <c r="AR4" s="4" t="s">
        <v>9</v>
      </c>
      <c r="AS4" s="4" t="s">
        <v>10</v>
      </c>
      <c r="AT4" s="4" t="s">
        <v>11</v>
      </c>
      <c r="AU4" s="4" t="s">
        <v>3</v>
      </c>
      <c r="AV4" s="4" t="s">
        <v>4</v>
      </c>
      <c r="AW4" s="4" t="s">
        <v>5</v>
      </c>
      <c r="AX4" s="4" t="s">
        <v>6</v>
      </c>
      <c r="AY4" s="4" t="s">
        <v>7</v>
      </c>
      <c r="AZ4" s="4" t="s">
        <v>8</v>
      </c>
      <c r="BA4" s="4" t="s">
        <v>9</v>
      </c>
      <c r="BB4" s="4" t="s">
        <v>10</v>
      </c>
      <c r="BC4" s="4" t="s">
        <v>11</v>
      </c>
      <c r="BD4" s="4" t="s">
        <v>3</v>
      </c>
      <c r="BE4" s="4" t="s">
        <v>4</v>
      </c>
      <c r="BF4" s="4" t="s">
        <v>5</v>
      </c>
      <c r="BG4" s="4" t="s">
        <v>6</v>
      </c>
      <c r="BH4" s="4" t="s">
        <v>7</v>
      </c>
      <c r="BI4" s="4" t="s">
        <v>8</v>
      </c>
      <c r="BJ4" s="4" t="s">
        <v>9</v>
      </c>
      <c r="BK4" s="4" t="s">
        <v>10</v>
      </c>
      <c r="BL4" s="4" t="s">
        <v>11</v>
      </c>
      <c r="BM4" s="4" t="s">
        <v>3</v>
      </c>
      <c r="BN4" s="4" t="s">
        <v>4</v>
      </c>
      <c r="BO4" s="4" t="s">
        <v>5</v>
      </c>
      <c r="BP4" s="4" t="s">
        <v>6</v>
      </c>
      <c r="BQ4" s="4" t="s">
        <v>7</v>
      </c>
      <c r="BR4" s="4" t="s">
        <v>8</v>
      </c>
      <c r="BS4" s="4" t="s">
        <v>9</v>
      </c>
      <c r="BT4" s="4" t="s">
        <v>10</v>
      </c>
      <c r="BU4" s="4" t="s">
        <v>11</v>
      </c>
      <c r="BV4" s="4" t="s">
        <v>3</v>
      </c>
      <c r="BW4" s="4" t="s">
        <v>4</v>
      </c>
      <c r="BX4" s="4" t="s">
        <v>5</v>
      </c>
      <c r="BY4" s="4" t="s">
        <v>6</v>
      </c>
      <c r="BZ4" s="4" t="s">
        <v>7</v>
      </c>
      <c r="CA4" s="4" t="s">
        <v>8</v>
      </c>
      <c r="CB4" s="4" t="s">
        <v>9</v>
      </c>
      <c r="CC4" s="4" t="s">
        <v>10</v>
      </c>
      <c r="CD4" s="4" t="s">
        <v>11</v>
      </c>
      <c r="CE4" s="4" t="s">
        <v>3</v>
      </c>
      <c r="CF4" s="4" t="s">
        <v>4</v>
      </c>
      <c r="CG4" s="4" t="s">
        <v>5</v>
      </c>
      <c r="CH4" s="4" t="s">
        <v>6</v>
      </c>
      <c r="CI4" s="4" t="s">
        <v>7</v>
      </c>
      <c r="CJ4" s="4" t="s">
        <v>8</v>
      </c>
      <c r="CK4" s="4" t="s">
        <v>9</v>
      </c>
      <c r="CL4" s="4" t="s">
        <v>10</v>
      </c>
      <c r="CM4" s="4" t="s">
        <v>11</v>
      </c>
      <c r="CN4" s="4" t="s">
        <v>3</v>
      </c>
      <c r="CO4" s="4" t="s">
        <v>4</v>
      </c>
      <c r="CP4" s="4" t="s">
        <v>5</v>
      </c>
      <c r="CQ4" s="4" t="s">
        <v>6</v>
      </c>
      <c r="CR4" s="4" t="s">
        <v>7</v>
      </c>
      <c r="CS4" s="4" t="s">
        <v>8</v>
      </c>
      <c r="CT4" s="4" t="s">
        <v>9</v>
      </c>
      <c r="CU4" s="4" t="s">
        <v>10</v>
      </c>
      <c r="CV4" s="4" t="s">
        <v>11</v>
      </c>
    </row>
    <row r="5" spans="1:100" s="4" customFormat="1" hidden="1"/>
    <row r="6" spans="1:100" s="4" customFormat="1">
      <c r="B6" s="4" t="s">
        <v>105</v>
      </c>
      <c r="C6" s="4" t="s">
        <v>304</v>
      </c>
      <c r="D6" s="4" t="s">
        <v>107</v>
      </c>
      <c r="E6" s="4" t="s">
        <v>305</v>
      </c>
      <c r="F6" s="4" t="s">
        <v>109</v>
      </c>
      <c r="G6" s="4" t="s">
        <v>306</v>
      </c>
      <c r="H6" s="4" t="s">
        <v>111</v>
      </c>
      <c r="I6" s="4" t="s">
        <v>307</v>
      </c>
      <c r="J6" s="4" t="s">
        <v>308</v>
      </c>
      <c r="K6" s="4" t="s">
        <v>105</v>
      </c>
      <c r="L6" s="4" t="s">
        <v>304</v>
      </c>
      <c r="M6" s="4" t="s">
        <v>107</v>
      </c>
      <c r="N6" s="4" t="s">
        <v>305</v>
      </c>
      <c r="O6" s="4" t="s">
        <v>109</v>
      </c>
      <c r="P6" s="4" t="s">
        <v>306</v>
      </c>
      <c r="Q6" s="4" t="s">
        <v>111</v>
      </c>
      <c r="R6" s="4" t="s">
        <v>307</v>
      </c>
      <c r="S6" s="4" t="s">
        <v>308</v>
      </c>
      <c r="T6" s="4" t="s">
        <v>105</v>
      </c>
      <c r="U6" s="4" t="s">
        <v>304</v>
      </c>
      <c r="V6" s="4" t="s">
        <v>107</v>
      </c>
      <c r="W6" s="4" t="s">
        <v>305</v>
      </c>
      <c r="X6" s="4" t="s">
        <v>109</v>
      </c>
      <c r="Y6" s="4" t="s">
        <v>306</v>
      </c>
      <c r="Z6" s="4" t="s">
        <v>111</v>
      </c>
      <c r="AA6" s="4" t="s">
        <v>307</v>
      </c>
      <c r="AB6" s="4" t="s">
        <v>308</v>
      </c>
      <c r="AC6" s="4" t="s">
        <v>105</v>
      </c>
      <c r="AD6" s="4" t="s">
        <v>304</v>
      </c>
      <c r="AE6" s="4" t="s">
        <v>107</v>
      </c>
      <c r="AF6" s="4" t="s">
        <v>305</v>
      </c>
      <c r="AG6" s="4" t="s">
        <v>109</v>
      </c>
      <c r="AH6" s="4" t="s">
        <v>306</v>
      </c>
      <c r="AI6" s="4" t="s">
        <v>111</v>
      </c>
      <c r="AJ6" s="4" t="s">
        <v>307</v>
      </c>
      <c r="AK6" s="4" t="s">
        <v>308</v>
      </c>
      <c r="AL6" s="4" t="s">
        <v>105</v>
      </c>
      <c r="AM6" s="4" t="s">
        <v>304</v>
      </c>
      <c r="AN6" s="4" t="s">
        <v>107</v>
      </c>
      <c r="AO6" s="4" t="s">
        <v>305</v>
      </c>
      <c r="AP6" s="4" t="s">
        <v>109</v>
      </c>
      <c r="AQ6" s="4" t="s">
        <v>306</v>
      </c>
      <c r="AR6" s="4" t="s">
        <v>111</v>
      </c>
      <c r="AS6" s="4" t="s">
        <v>307</v>
      </c>
      <c r="AT6" s="4" t="s">
        <v>308</v>
      </c>
      <c r="AU6" s="4" t="s">
        <v>105</v>
      </c>
      <c r="AV6" s="4" t="s">
        <v>304</v>
      </c>
      <c r="AW6" s="4" t="s">
        <v>107</v>
      </c>
      <c r="AX6" s="4" t="s">
        <v>305</v>
      </c>
      <c r="AY6" s="4" t="s">
        <v>109</v>
      </c>
      <c r="AZ6" s="4" t="s">
        <v>306</v>
      </c>
      <c r="BA6" s="4" t="s">
        <v>111</v>
      </c>
      <c r="BB6" s="4" t="s">
        <v>307</v>
      </c>
      <c r="BC6" s="4" t="s">
        <v>308</v>
      </c>
      <c r="BD6" s="4" t="s">
        <v>105</v>
      </c>
      <c r="BE6" s="4" t="s">
        <v>304</v>
      </c>
      <c r="BF6" s="4" t="s">
        <v>107</v>
      </c>
      <c r="BG6" s="4" t="s">
        <v>305</v>
      </c>
      <c r="BH6" s="4" t="s">
        <v>109</v>
      </c>
      <c r="BI6" s="4" t="s">
        <v>306</v>
      </c>
      <c r="BJ6" s="4" t="s">
        <v>111</v>
      </c>
      <c r="BK6" s="4" t="s">
        <v>307</v>
      </c>
      <c r="BL6" s="4" t="s">
        <v>308</v>
      </c>
      <c r="BM6" s="4" t="s">
        <v>105</v>
      </c>
      <c r="BN6" s="4" t="s">
        <v>304</v>
      </c>
      <c r="BO6" s="4" t="s">
        <v>107</v>
      </c>
      <c r="BP6" s="4" t="s">
        <v>305</v>
      </c>
      <c r="BQ6" s="4" t="s">
        <v>109</v>
      </c>
      <c r="BR6" s="4" t="s">
        <v>306</v>
      </c>
      <c r="BS6" s="4" t="s">
        <v>111</v>
      </c>
      <c r="BT6" s="4" t="s">
        <v>307</v>
      </c>
      <c r="BU6" s="4" t="s">
        <v>308</v>
      </c>
      <c r="BV6" s="4" t="s">
        <v>105</v>
      </c>
      <c r="BW6" s="4" t="s">
        <v>304</v>
      </c>
      <c r="BX6" s="4" t="s">
        <v>107</v>
      </c>
      <c r="BY6" s="4" t="s">
        <v>305</v>
      </c>
      <c r="BZ6" s="4" t="s">
        <v>109</v>
      </c>
      <c r="CA6" s="4" t="s">
        <v>306</v>
      </c>
      <c r="CB6" s="4" t="s">
        <v>111</v>
      </c>
      <c r="CC6" s="4" t="s">
        <v>307</v>
      </c>
      <c r="CD6" s="4" t="s">
        <v>308</v>
      </c>
      <c r="CE6" s="4" t="s">
        <v>105</v>
      </c>
      <c r="CF6" s="4" t="s">
        <v>304</v>
      </c>
      <c r="CG6" s="4" t="s">
        <v>107</v>
      </c>
      <c r="CH6" s="4" t="s">
        <v>305</v>
      </c>
      <c r="CI6" s="4" t="s">
        <v>109</v>
      </c>
      <c r="CJ6" s="4" t="s">
        <v>306</v>
      </c>
      <c r="CK6" s="4" t="s">
        <v>111</v>
      </c>
      <c r="CL6" s="4" t="s">
        <v>307</v>
      </c>
      <c r="CM6" s="4" t="s">
        <v>308</v>
      </c>
      <c r="CN6" s="4" t="s">
        <v>105</v>
      </c>
      <c r="CO6" s="4" t="s">
        <v>304</v>
      </c>
      <c r="CP6" s="4" t="s">
        <v>107</v>
      </c>
      <c r="CQ6" s="4" t="s">
        <v>305</v>
      </c>
      <c r="CR6" s="4" t="s">
        <v>109</v>
      </c>
      <c r="CS6" s="4" t="s">
        <v>306</v>
      </c>
      <c r="CT6" s="4" t="s">
        <v>111</v>
      </c>
      <c r="CU6" s="4" t="s">
        <v>307</v>
      </c>
      <c r="CV6" s="4" t="s">
        <v>308</v>
      </c>
    </row>
    <row r="7" spans="1:100" s="4" customFormat="1" hidden="1"/>
    <row r="8" spans="1:100" hidden="1">
      <c r="A8" s="1">
        <v>1971</v>
      </c>
      <c r="B8" s="13">
        <f>'a28'!C8</f>
        <v>62.682524094309663</v>
      </c>
      <c r="C8" s="13">
        <f t="shared" ref="C8:C17" si="0">B8/J8</f>
        <v>0.26389383367403252</v>
      </c>
      <c r="D8" s="13">
        <v>100</v>
      </c>
      <c r="E8" s="13">
        <f t="shared" ref="E8:E17" si="1">D8/J8</f>
        <v>0.42100064968186063</v>
      </c>
      <c r="F8" s="13">
        <v>56.319890122319443</v>
      </c>
      <c r="G8" s="13">
        <f t="shared" ref="G8:G17" si="2">F8/J8</f>
        <v>0.2371071033150749</v>
      </c>
      <c r="H8" s="13">
        <f>'a28'!E8</f>
        <v>18.526910442531001</v>
      </c>
      <c r="I8" s="13">
        <f>H8/J8</f>
        <v>7.7998413329031999E-2</v>
      </c>
      <c r="J8" s="13">
        <f t="shared" ref="J8:J17" si="3">B8+D8+F8+H8</f>
        <v>237.5293246591601</v>
      </c>
      <c r="K8" s="13">
        <f>'a28'!G8</f>
        <v>56.966510565993666</v>
      </c>
      <c r="L8" s="13">
        <f>K8/S8</f>
        <v>0.25090683633091176</v>
      </c>
      <c r="M8" s="13">
        <v>100</v>
      </c>
      <c r="N8" s="13">
        <f>M8/S8</f>
        <v>0.44044620925174133</v>
      </c>
      <c r="O8" s="13">
        <v>54.88252719881239</v>
      </c>
      <c r="P8" s="13">
        <f>O8/S8</f>
        <v>0.24172801058872506</v>
      </c>
      <c r="Q8" s="13">
        <f>'a28'!I8</f>
        <v>15.193443018231001</v>
      </c>
      <c r="R8" s="13">
        <f>Q8/S8</f>
        <v>6.6918943828621791E-2</v>
      </c>
      <c r="S8" s="13">
        <f>K8+M8+O8+Q8</f>
        <v>227.04248078303706</v>
      </c>
      <c r="T8" s="13">
        <f>'a28'!K8</f>
        <v>57.421108259097089</v>
      </c>
      <c r="U8" s="13">
        <f>T8/AB8</f>
        <v>0.25210696615202627</v>
      </c>
      <c r="V8" s="13">
        <v>100</v>
      </c>
      <c r="W8" s="13">
        <f>V8/AB8</f>
        <v>0.4390492865697791</v>
      </c>
      <c r="X8" s="13">
        <v>52.270372717859637</v>
      </c>
      <c r="Y8" s="13">
        <f>X8/AB8</f>
        <v>0.22949269850512719</v>
      </c>
      <c r="Z8" s="13">
        <f>'a28'!M8</f>
        <v>18.073380643213046</v>
      </c>
      <c r="AA8" s="13">
        <f>Z8/AB8</f>
        <v>7.9351048773067437E-2</v>
      </c>
      <c r="AB8" s="13">
        <f>T8+V8+X8+Z8</f>
        <v>227.76486162016977</v>
      </c>
      <c r="AC8" s="13">
        <f>'a28'!O8</f>
        <v>60.533880851981827</v>
      </c>
      <c r="AD8" s="13">
        <f>AC8/AK8</f>
        <v>0.26042056553684623</v>
      </c>
      <c r="AE8" s="13">
        <v>100</v>
      </c>
      <c r="AF8" s="13">
        <f>AE8/AK8</f>
        <v>0.43020629418032802</v>
      </c>
      <c r="AG8" s="13">
        <v>52.962266525858723</v>
      </c>
      <c r="AH8" s="13">
        <f>AG8/AK8</f>
        <v>0.22784700413480519</v>
      </c>
      <c r="AI8" s="13">
        <f>'a28'!Q8</f>
        <v>18.950474981625348</v>
      </c>
      <c r="AJ8" s="13">
        <f>AI8/AK8</f>
        <v>8.1526136148020609E-2</v>
      </c>
      <c r="AK8" s="13">
        <f>AC8+AE8+AG8+AI8</f>
        <v>232.44662235946589</v>
      </c>
      <c r="AL8" s="13">
        <f>'a28'!S8</f>
        <v>59.643314639882583</v>
      </c>
      <c r="AM8" s="13">
        <f>AL8/AT8</f>
        <v>0.25757486798481377</v>
      </c>
      <c r="AN8" s="13">
        <v>100</v>
      </c>
      <c r="AO8" s="13">
        <f>AN8/AT8</f>
        <v>0.43185874148680753</v>
      </c>
      <c r="AP8" s="13">
        <v>54.098604282342905</v>
      </c>
      <c r="AQ8" s="13">
        <f>AP8/AT8</f>
        <v>0.23362955161565424</v>
      </c>
      <c r="AR8" s="13">
        <f>'a28'!U8</f>
        <v>17.815278821923481</v>
      </c>
      <c r="AS8" s="13">
        <f>AR8/AT8</f>
        <v>7.6936838912724501E-2</v>
      </c>
      <c r="AT8" s="13">
        <f>AL8+AN8+AP8+AR8</f>
        <v>231.55719774414897</v>
      </c>
      <c r="AU8" s="13">
        <f>'a28'!W8</f>
        <v>63.859348688064223</v>
      </c>
      <c r="AV8" s="13">
        <f>AU8/BC8</f>
        <v>0.26416821129371293</v>
      </c>
      <c r="AW8" s="13">
        <v>100</v>
      </c>
      <c r="AX8" s="13">
        <f>AW8/BC8</f>
        <v>0.41367194736686674</v>
      </c>
      <c r="AY8" s="13">
        <v>60.036161711796161</v>
      </c>
      <c r="AZ8" s="13">
        <f>AY8/BC8</f>
        <v>0.24835275927750844</v>
      </c>
      <c r="BA8" s="13">
        <f>'a28'!Y8</f>
        <v>17.841935507523253</v>
      </c>
      <c r="BB8" s="13">
        <f>BA8/BC8</f>
        <v>7.3807082061911902E-2</v>
      </c>
      <c r="BC8" s="13">
        <f>AU8+AW8+AY8+BA8</f>
        <v>241.73744590738363</v>
      </c>
      <c r="BD8" s="13">
        <f>'a28'!AA8</f>
        <v>63.343265349959943</v>
      </c>
      <c r="BE8" s="13">
        <f>BD8/BL8</f>
        <v>0.26693756393064455</v>
      </c>
      <c r="BF8" s="13">
        <v>100</v>
      </c>
      <c r="BG8" s="13">
        <f>BF8/BL8</f>
        <v>0.42141427735981624</v>
      </c>
      <c r="BH8" s="13">
        <v>54.957417914895672</v>
      </c>
      <c r="BI8" s="13">
        <f>BH8/BL8</f>
        <v>0.2315984055616718</v>
      </c>
      <c r="BJ8" s="13">
        <f>'a28'!AC8</f>
        <v>18.995500971012074</v>
      </c>
      <c r="BK8" s="13">
        <f>BJ8/BL8</f>
        <v>8.0049753147867414E-2</v>
      </c>
      <c r="BL8" s="13">
        <f>BD8+BF8+BH8+BJ8</f>
        <v>237.29618423586768</v>
      </c>
      <c r="BM8" s="13">
        <f>'a28'!AE8</f>
        <v>61.541572727745987</v>
      </c>
      <c r="BN8" s="13">
        <f>BM8/BU8</f>
        <v>0.26396052737558651</v>
      </c>
      <c r="BO8" s="13">
        <v>100</v>
      </c>
      <c r="BP8" s="13">
        <f>BO8/BU8</f>
        <v>0.42891417244619756</v>
      </c>
      <c r="BQ8" s="13">
        <v>51.849599309645548</v>
      </c>
      <c r="BR8" s="13">
        <f>BQ8/BU8</f>
        <v>0.22239027979563555</v>
      </c>
      <c r="BS8" s="13">
        <f>'a28'!AG8</f>
        <v>19.75570541288408</v>
      </c>
      <c r="BT8" s="13">
        <f>BS8/BU8</f>
        <v>8.4735020382580406E-2</v>
      </c>
      <c r="BU8" s="13">
        <f>BM8+BO8+BQ8+BS8</f>
        <v>233.14687745027561</v>
      </c>
      <c r="BV8" s="13">
        <f>'a28'!AI8</f>
        <v>59.658297193891244</v>
      </c>
      <c r="BW8" s="13">
        <f>BV8/CD8</f>
        <v>0.25570502740519407</v>
      </c>
      <c r="BX8" s="13">
        <v>100</v>
      </c>
      <c r="BY8" s="13">
        <f>BX8/CD8</f>
        <v>0.4286160340348722</v>
      </c>
      <c r="BZ8" s="13">
        <v>53.51938543565381</v>
      </c>
      <c r="CA8" s="13">
        <f>BZ8/CD8</f>
        <v>0.22939266729413635</v>
      </c>
      <c r="CB8" s="13">
        <f>'a28'!AK8</f>
        <v>20.13136803435053</v>
      </c>
      <c r="CC8" s="13">
        <f>CB8/CD8</f>
        <v>8.6286271265797243E-2</v>
      </c>
      <c r="CD8" s="13">
        <f>BV8+BX8+BZ8+CB8</f>
        <v>233.30905066389562</v>
      </c>
      <c r="CE8" s="13">
        <f>'a28'!AM8</f>
        <v>61.539265073238738</v>
      </c>
      <c r="CF8" s="13">
        <f>CE8/CM8</f>
        <v>0.25676295467655186</v>
      </c>
      <c r="CG8" s="13">
        <v>100</v>
      </c>
      <c r="CH8" s="13">
        <f>CG8/CM8</f>
        <v>0.41723435333680808</v>
      </c>
      <c r="CI8" s="13">
        <v>61.082196074658022</v>
      </c>
      <c r="CJ8" s="13">
        <f>CI8/CM8</f>
        <v>0.25485590579602058</v>
      </c>
      <c r="CK8" s="13">
        <f>'a28'!AO8</f>
        <v>17.051996227450399</v>
      </c>
      <c r="CL8" s="13">
        <f>CK8/CM8</f>
        <v>7.1146786190619579E-2</v>
      </c>
      <c r="CM8" s="13">
        <f>CE8+CG8+CI8+CK8</f>
        <v>239.67345737534714</v>
      </c>
      <c r="CN8" s="13">
        <f>'a28'!AQ8</f>
        <v>63.123139341298931</v>
      </c>
      <c r="CO8" s="13">
        <f>CN8/CV8</f>
        <v>0.26792930278277377</v>
      </c>
      <c r="CP8" s="13">
        <v>100</v>
      </c>
      <c r="CQ8" s="13">
        <f>CP8/CV8</f>
        <v>0.42445497099583956</v>
      </c>
      <c r="CR8" s="13">
        <v>52.78710854657465</v>
      </c>
      <c r="CS8" s="13">
        <f>CR8/CV8</f>
        <v>0.22405750627090579</v>
      </c>
      <c r="CT8" s="13">
        <f>'a28'!AS8</f>
        <v>19.686003383218701</v>
      </c>
      <c r="CU8" s="13">
        <f>CT8/CV8</f>
        <v>8.3558219950480933E-2</v>
      </c>
      <c r="CV8" s="13">
        <f>CN8+CP8+CR8+CT8</f>
        <v>235.59625127109226</v>
      </c>
    </row>
    <row r="9" spans="1:100" hidden="1">
      <c r="A9" s="1">
        <v>1972</v>
      </c>
      <c r="B9" s="13">
        <f>'a28'!C9</f>
        <v>63.334952557249345</v>
      </c>
      <c r="C9" s="13">
        <f t="shared" si="0"/>
        <v>0.26666342974262142</v>
      </c>
      <c r="D9" s="13">
        <v>100</v>
      </c>
      <c r="E9" s="13">
        <f t="shared" si="1"/>
        <v>0.42103675612858571</v>
      </c>
      <c r="F9" s="13">
        <v>55.50168032322896</v>
      </c>
      <c r="G9" s="13">
        <f t="shared" si="2"/>
        <v>0.23368247442978077</v>
      </c>
      <c r="H9" s="13">
        <f>'a28'!E9</f>
        <v>18.672322203385537</v>
      </c>
      <c r="I9" s="13">
        <f t="shared" ref="I9:I40" si="4">H9/J9</f>
        <v>7.8617339699012134E-2</v>
      </c>
      <c r="J9" s="13">
        <f t="shared" si="3"/>
        <v>237.50895508386384</v>
      </c>
      <c r="K9" s="13">
        <f>'a28'!G9</f>
        <v>57.564864483866415</v>
      </c>
      <c r="L9" s="13">
        <f t="shared" ref="L9:L39" si="5">K9/S9</f>
        <v>0.25380956020704465</v>
      </c>
      <c r="M9" s="13">
        <v>100</v>
      </c>
      <c r="N9" s="13">
        <f t="shared" ref="N9:N39" si="6">M9/S9</f>
        <v>0.4409105493129048</v>
      </c>
      <c r="O9" s="13">
        <v>54.014738612677732</v>
      </c>
      <c r="P9" s="13">
        <f t="shared" ref="P9:P39" si="7">O9/S9</f>
        <v>0.23815668072708709</v>
      </c>
      <c r="Q9" s="13">
        <f>'a28'!I9</f>
        <v>15.223770412743637</v>
      </c>
      <c r="R9" s="13">
        <f t="shared" ref="R9:R39" si="8">Q9/S9</f>
        <v>6.7123209752963445E-2</v>
      </c>
      <c r="S9" s="13">
        <f t="shared" ref="S9:S39" si="9">K9+M9+O9+Q9</f>
        <v>226.80337350928778</v>
      </c>
      <c r="T9" s="13">
        <f>'a28'!K9</f>
        <v>57.936717786003875</v>
      </c>
      <c r="U9" s="13">
        <f t="shared" ref="U9:U39" si="10">T9/AB9</f>
        <v>0.25438756873173418</v>
      </c>
      <c r="V9" s="13">
        <v>100</v>
      </c>
      <c r="W9" s="13">
        <f t="shared" ref="W9:W39" si="11">V9/AB9</f>
        <v>0.43907832278546532</v>
      </c>
      <c r="X9" s="13">
        <v>51.757379311197255</v>
      </c>
      <c r="Y9" s="13">
        <f t="shared" ref="Y9:Y39" si="12">X9/AB9</f>
        <v>0.22725543299731632</v>
      </c>
      <c r="Z9" s="13">
        <f>'a28'!M9</f>
        <v>18.055702450202716</v>
      </c>
      <c r="AA9" s="13">
        <f t="shared" ref="AA9:AA39" si="13">Z9/AB9</f>
        <v>7.9278675485484257E-2</v>
      </c>
      <c r="AB9" s="13">
        <f t="shared" ref="AB9:AB39" si="14">T9+V9+X9+Z9</f>
        <v>227.74979954740382</v>
      </c>
      <c r="AC9" s="13">
        <f>'a28'!O9</f>
        <v>61.062505063851269</v>
      </c>
      <c r="AD9" s="13">
        <f t="shared" ref="AD9:AD39" si="15">AC9/AK9</f>
        <v>0.26268492777354618</v>
      </c>
      <c r="AE9" s="13">
        <v>100</v>
      </c>
      <c r="AF9" s="13">
        <f t="shared" ref="AF9:AF39" si="16">AE9/AK9</f>
        <v>0.43019022475226698</v>
      </c>
      <c r="AG9" s="13">
        <v>52.459667928562801</v>
      </c>
      <c r="AH9" s="13">
        <f t="shared" ref="AH9:AH39" si="17">AG9/AK9</f>
        <v>0.22567636336617722</v>
      </c>
      <c r="AI9" s="13">
        <f>'a28'!Q9</f>
        <v>18.933132233516776</v>
      </c>
      <c r="AJ9" s="13">
        <f t="shared" ref="AJ9:AJ39" si="18">AI9/AK9</f>
        <v>8.1448484108009728E-2</v>
      </c>
      <c r="AK9" s="13">
        <f t="shared" ref="AK9:AK39" si="19">AC9+AE9+AG9+AI9</f>
        <v>232.45530522593083</v>
      </c>
      <c r="AL9" s="13">
        <f>'a28'!S9</f>
        <v>60.286326874434501</v>
      </c>
      <c r="AM9" s="13">
        <f t="shared" ref="AM9:AM39" si="20">AL9/AT9</f>
        <v>0.26035069991088994</v>
      </c>
      <c r="AN9" s="13">
        <v>100</v>
      </c>
      <c r="AO9" s="13">
        <f t="shared" ref="AO9:AO39" si="21">AN9/AT9</f>
        <v>0.4318569622812703</v>
      </c>
      <c r="AP9" s="13">
        <v>53.440516645140185</v>
      </c>
      <c r="AQ9" s="13">
        <f t="shared" ref="AQ9:AQ39" si="22">AP9/AT9</f>
        <v>0.23078659181111905</v>
      </c>
      <c r="AR9" s="13">
        <f>'a28'!U9</f>
        <v>17.831308216021419</v>
      </c>
      <c r="AS9" s="13">
        <f t="shared" ref="AS9:AS39" si="23">AR9/AT9</f>
        <v>7.7005745996720679E-2</v>
      </c>
      <c r="AT9" s="13">
        <f t="shared" ref="AT9:AT39" si="24">AL9+AN9+AP9+AR9</f>
        <v>231.55815173559611</v>
      </c>
      <c r="AU9" s="13">
        <f>'a28'!W9</f>
        <v>64.702595438837903</v>
      </c>
      <c r="AV9" s="13">
        <f t="shared" ref="AV9:AV39" si="25">AU9/BC9</f>
        <v>0.26767515417213361</v>
      </c>
      <c r="AW9" s="13">
        <v>100</v>
      </c>
      <c r="AX9" s="13">
        <f t="shared" ref="AX9:AX39" si="26">AW9/BC9</f>
        <v>0.41370079879587163</v>
      </c>
      <c r="AY9" s="13">
        <v>58.947486914887392</v>
      </c>
      <c r="AZ9" s="13">
        <f t="shared" ref="AZ9:AZ39" si="27">AY9/BC9</f>
        <v>0.24386622423698104</v>
      </c>
      <c r="BA9" s="13">
        <f>'a28'!Y9</f>
        <v>18.070504821988735</v>
      </c>
      <c r="BB9" s="13">
        <f t="shared" ref="BB9:BB39" si="28">BA9/BC9</f>
        <v>7.475782279501389E-2</v>
      </c>
      <c r="BC9" s="13">
        <f t="shared" ref="BC9:BC39" si="29">AU9+AW9+AY9+BA9</f>
        <v>241.720587175714</v>
      </c>
      <c r="BD9" s="13">
        <f>'a28'!AA9</f>
        <v>63.909835809269154</v>
      </c>
      <c r="BE9" s="13">
        <f t="shared" ref="BE9:BE39" si="30">BD9/BL9</f>
        <v>0.26922687562659531</v>
      </c>
      <c r="BF9" s="13">
        <v>100</v>
      </c>
      <c r="BG9" s="13">
        <f t="shared" ref="BG9:BG39" si="31">BF9/BL9</f>
        <v>0.42126047143990319</v>
      </c>
      <c r="BH9" s="13">
        <v>54.307452055117949</v>
      </c>
      <c r="BI9" s="13">
        <f t="shared" ref="BI9:BI39" si="32">BH9/BL9</f>
        <v>0.22877582855438927</v>
      </c>
      <c r="BJ9" s="13">
        <f>'a28'!AC9</f>
        <v>19.16553530483101</v>
      </c>
      <c r="BK9" s="13">
        <f t="shared" ref="BK9:BK39" si="33">BJ9/BL9</f>
        <v>8.0736824379112199E-2</v>
      </c>
      <c r="BL9" s="13">
        <f t="shared" ref="BL9:BL39" si="34">BD9+BF9+BH9+BJ9</f>
        <v>237.38282316921811</v>
      </c>
      <c r="BM9" s="13">
        <f>'a28'!AE9</f>
        <v>61.931988355237145</v>
      </c>
      <c r="BN9" s="13">
        <f t="shared" ref="BN9:BN39" si="35">BM9/BU9</f>
        <v>0.26600667499747466</v>
      </c>
      <c r="BO9" s="13">
        <v>100</v>
      </c>
      <c r="BP9" s="13">
        <f t="shared" ref="BP9:BP39" si="36">BO9/BU9</f>
        <v>0.42951418493409377</v>
      </c>
      <c r="BQ9" s="13">
        <v>51.062846252652562</v>
      </c>
      <c r="BR9" s="13">
        <f t="shared" ref="BR9:BR39" si="37">BQ9/BU9</f>
        <v>0.21932216788623007</v>
      </c>
      <c r="BS9" s="13">
        <f>'a28'!AG9</f>
        <v>19.82634687496256</v>
      </c>
      <c r="BT9" s="13">
        <f t="shared" ref="BT9:BT39" si="38">BS9/BU9</f>
        <v>8.5156972182201612E-2</v>
      </c>
      <c r="BU9" s="13">
        <f t="shared" ref="BU9:BU39" si="39">BM9+BO9+BQ9+BS9</f>
        <v>232.82118148285224</v>
      </c>
      <c r="BV9" s="13">
        <f>'a28'!AI9</f>
        <v>60.106540107300333</v>
      </c>
      <c r="BW9" s="13">
        <f t="shared" ref="BW9:BW39" si="40">BV9/CD9</f>
        <v>0.25693726765883385</v>
      </c>
      <c r="BX9" s="13">
        <v>100</v>
      </c>
      <c r="BY9" s="13">
        <f t="shared" ref="BY9:BY39" si="41">BX9/CD9</f>
        <v>0.42746973490764462</v>
      </c>
      <c r="BZ9" s="13">
        <v>53.517761061836204</v>
      </c>
      <c r="CA9" s="13">
        <f t="shared" ref="CA9:CA39" si="42">BZ9/CD9</f>
        <v>0.22877223133953786</v>
      </c>
      <c r="CB9" s="13">
        <f>'a28'!AK9</f>
        <v>20.310389018006472</v>
      </c>
      <c r="CC9" s="13">
        <f t="shared" ref="CC9:CC39" si="43">CB9/CD9</f>
        <v>8.6820766093983634E-2</v>
      </c>
      <c r="CD9" s="13">
        <f t="shared" ref="CD9:CD39" si="44">BV9+BX9+BZ9+CB9</f>
        <v>233.93469018714302</v>
      </c>
      <c r="CE9" s="13">
        <f>'a28'!AM9</f>
        <v>62.228925263710899</v>
      </c>
      <c r="CF9" s="13">
        <f t="shared" ref="CF9:CF39" si="45">CE9/CM9</f>
        <v>0.26065315964430791</v>
      </c>
      <c r="CG9" s="13">
        <v>100</v>
      </c>
      <c r="CH9" s="13">
        <f t="shared" ref="CH9:CH39" si="46">CG9/CM9</f>
        <v>0.41886174080578104</v>
      </c>
      <c r="CI9" s="13">
        <v>59.376940300965416</v>
      </c>
      <c r="CJ9" s="13">
        <f t="shared" ref="CJ9:CJ39" si="47">CI9/CM9</f>
        <v>0.2487072857818331</v>
      </c>
      <c r="CK9" s="13">
        <f>'a28'!AO9</f>
        <v>17.136397712045994</v>
      </c>
      <c r="CL9" s="13">
        <f t="shared" ref="CL9:CL39" si="48">CK9/CM9</f>
        <v>7.1777813768077875E-2</v>
      </c>
      <c r="CM9" s="13">
        <f t="shared" ref="CM9:CM39" si="49">CE9+CG9+CI9+CK9</f>
        <v>238.74226327672233</v>
      </c>
      <c r="CN9" s="13">
        <f>'a28'!AQ9</f>
        <v>63.777287208210296</v>
      </c>
      <c r="CO9" s="13">
        <f t="shared" ref="CO9:CO39" si="50">CN9/CV9</f>
        <v>0.27045989110262131</v>
      </c>
      <c r="CP9" s="13">
        <v>100</v>
      </c>
      <c r="CQ9" s="13">
        <f t="shared" ref="CQ9:CQ39" si="51">CP9/CV9</f>
        <v>0.42406929322607495</v>
      </c>
      <c r="CR9" s="13">
        <v>52.307947552753632</v>
      </c>
      <c r="CS9" s="13">
        <f t="shared" ref="CS9:CS39" si="52">CR9/CV9</f>
        <v>0.22182194348802828</v>
      </c>
      <c r="CT9" s="13">
        <f>'a28'!AS9</f>
        <v>19.72528393813263</v>
      </c>
      <c r="CU9" s="13">
        <f t="shared" ref="CU9:CU39" si="53">CT9/CV9</f>
        <v>8.3648872183275519E-2</v>
      </c>
      <c r="CV9" s="13">
        <f t="shared" ref="CV9:CV39" si="54">CN9+CP9+CR9+CT9</f>
        <v>235.81051869909655</v>
      </c>
    </row>
    <row r="10" spans="1:100" hidden="1">
      <c r="A10" s="1">
        <v>1973</v>
      </c>
      <c r="B10" s="13">
        <f>'a28'!C10</f>
        <v>64.012109847967992</v>
      </c>
      <c r="C10" s="13">
        <f t="shared" si="0"/>
        <v>0.26861257853673398</v>
      </c>
      <c r="D10" s="13">
        <v>100</v>
      </c>
      <c r="E10" s="13">
        <f t="shared" si="1"/>
        <v>0.41962775352148596</v>
      </c>
      <c r="F10" s="13">
        <v>55.501680323228989</v>
      </c>
      <c r="G10" s="13">
        <f t="shared" si="2"/>
        <v>0.23290045430704243</v>
      </c>
      <c r="H10" s="13">
        <f>'a28'!E10</f>
        <v>18.79265920162733</v>
      </c>
      <c r="I10" s="13">
        <f t="shared" si="4"/>
        <v>7.8859213634737593E-2</v>
      </c>
      <c r="J10" s="13">
        <f t="shared" si="3"/>
        <v>238.30644937282432</v>
      </c>
      <c r="K10" s="13">
        <f>'a28'!G10</f>
        <v>58.089746151209489</v>
      </c>
      <c r="L10" s="13">
        <f t="shared" si="5"/>
        <v>0.25630115824295868</v>
      </c>
      <c r="M10" s="13">
        <v>100</v>
      </c>
      <c r="N10" s="13">
        <f t="shared" si="6"/>
        <v>0.44121583450510948</v>
      </c>
      <c r="O10" s="13">
        <v>53.341534173547359</v>
      </c>
      <c r="P10" s="13">
        <f t="shared" si="7"/>
        <v>0.23535129514164516</v>
      </c>
      <c r="Q10" s="13">
        <f>'a28'!I10</f>
        <v>15.21516384052379</v>
      </c>
      <c r="R10" s="13">
        <f t="shared" si="8"/>
        <v>6.7131712110286706E-2</v>
      </c>
      <c r="S10" s="13">
        <f t="shared" si="9"/>
        <v>226.64644416528063</v>
      </c>
      <c r="T10" s="13">
        <f>'a28'!K10</f>
        <v>58.595358576164713</v>
      </c>
      <c r="U10" s="13">
        <f t="shared" si="10"/>
        <v>0.25738554294647448</v>
      </c>
      <c r="V10" s="13">
        <v>100</v>
      </c>
      <c r="W10" s="13">
        <f t="shared" si="11"/>
        <v>0.43925926762938722</v>
      </c>
      <c r="X10" s="13">
        <v>51.108259260781153</v>
      </c>
      <c r="Y10" s="13">
        <f t="shared" si="12"/>
        <v>0.22449776532703578</v>
      </c>
      <c r="Z10" s="13">
        <f>'a28'!M10</f>
        <v>17.952364334322109</v>
      </c>
      <c r="AA10" s="13">
        <f t="shared" si="13"/>
        <v>7.8857424097102613E-2</v>
      </c>
      <c r="AB10" s="13">
        <f t="shared" si="14"/>
        <v>227.65598217126796</v>
      </c>
      <c r="AC10" s="13">
        <f>'a28'!O10</f>
        <v>61.658743503703903</v>
      </c>
      <c r="AD10" s="13">
        <f t="shared" si="15"/>
        <v>0.26562347145731691</v>
      </c>
      <c r="AE10" s="13">
        <v>100</v>
      </c>
      <c r="AF10" s="13">
        <f t="shared" si="16"/>
        <v>0.43079611481437446</v>
      </c>
      <c r="AG10" s="13">
        <v>51.616642968879681</v>
      </c>
      <c r="AH10" s="13">
        <f t="shared" si="17"/>
        <v>0.22236249250754064</v>
      </c>
      <c r="AI10" s="13">
        <f>'a28'!Q10</f>
        <v>18.852983680171743</v>
      </c>
      <c r="AJ10" s="13">
        <f t="shared" si="18"/>
        <v>8.1217921220767944E-2</v>
      </c>
      <c r="AK10" s="13">
        <f t="shared" si="19"/>
        <v>232.12837015275534</v>
      </c>
      <c r="AL10" s="13">
        <f>'a28'!S10</f>
        <v>60.93982214642466</v>
      </c>
      <c r="AM10" s="13">
        <f t="shared" si="20"/>
        <v>0.26336162105230426</v>
      </c>
      <c r="AN10" s="13">
        <v>100</v>
      </c>
      <c r="AO10" s="13">
        <f t="shared" si="21"/>
        <v>0.43216670442441668</v>
      </c>
      <c r="AP10" s="13">
        <v>52.64782363939468</v>
      </c>
      <c r="AQ10" s="13">
        <f t="shared" si="22"/>
        <v>0.22752636437355098</v>
      </c>
      <c r="AR10" s="13">
        <f>'a28'!U10</f>
        <v>17.804543793397489</v>
      </c>
      <c r="AS10" s="13">
        <f t="shared" si="23"/>
        <v>7.6945310149727955E-2</v>
      </c>
      <c r="AT10" s="13">
        <f t="shared" si="24"/>
        <v>231.39218957921685</v>
      </c>
      <c r="AU10" s="13">
        <f>'a28'!W10</f>
        <v>65.566896914913841</v>
      </c>
      <c r="AV10" s="13">
        <f t="shared" si="25"/>
        <v>0.27124655089826133</v>
      </c>
      <c r="AW10" s="13">
        <v>100</v>
      </c>
      <c r="AX10" s="13">
        <f t="shared" si="26"/>
        <v>0.41369435440914337</v>
      </c>
      <c r="AY10" s="13">
        <v>57.853613316705534</v>
      </c>
      <c r="AZ10" s="13">
        <f t="shared" si="27"/>
        <v>0.23933713211290716</v>
      </c>
      <c r="BA10" s="13">
        <f>'a28'!Y10</f>
        <v>18.303842383306758</v>
      </c>
      <c r="BB10" s="13">
        <f t="shared" si="28"/>
        <v>7.5721962579688051E-2</v>
      </c>
      <c r="BC10" s="13">
        <f t="shared" si="29"/>
        <v>241.72435261492615</v>
      </c>
      <c r="BD10" s="13">
        <f>'a28'!AA10</f>
        <v>64.504014402987181</v>
      </c>
      <c r="BE10" s="13">
        <f t="shared" si="30"/>
        <v>0.27159400347031498</v>
      </c>
      <c r="BF10" s="13">
        <v>100</v>
      </c>
      <c r="BG10" s="13">
        <f t="shared" si="31"/>
        <v>0.42104976873770744</v>
      </c>
      <c r="BH10" s="13">
        <v>53.687242877129329</v>
      </c>
      <c r="BI10" s="13">
        <f t="shared" si="32"/>
        <v>0.22605001197580435</v>
      </c>
      <c r="BJ10" s="13">
        <f>'a28'!AC10</f>
        <v>19.310357552250021</v>
      </c>
      <c r="BK10" s="13">
        <f t="shared" si="33"/>
        <v>8.130621581617313E-2</v>
      </c>
      <c r="BL10" s="13">
        <f t="shared" si="34"/>
        <v>237.50161483236656</v>
      </c>
      <c r="BM10" s="13">
        <f>'a28'!AE10</f>
        <v>62.376831275475055</v>
      </c>
      <c r="BN10" s="13">
        <f t="shared" si="35"/>
        <v>0.2685175245284509</v>
      </c>
      <c r="BO10" s="13">
        <v>100</v>
      </c>
      <c r="BP10" s="13">
        <f t="shared" si="36"/>
        <v>0.43047637886989781</v>
      </c>
      <c r="BQ10" s="13">
        <v>50.105575629556633</v>
      </c>
      <c r="BR10" s="13">
        <f t="shared" si="37"/>
        <v>0.2156926675820334</v>
      </c>
      <c r="BS10" s="13">
        <f>'a28'!AG10</f>
        <v>19.818376386547783</v>
      </c>
      <c r="BT10" s="13">
        <f t="shared" si="38"/>
        <v>8.5313429019617804E-2</v>
      </c>
      <c r="BU10" s="13">
        <f t="shared" si="39"/>
        <v>232.30078329157948</v>
      </c>
      <c r="BV10" s="13">
        <f>'a28'!AI10</f>
        <v>60.475230196822807</v>
      </c>
      <c r="BW10" s="13">
        <f t="shared" si="40"/>
        <v>0.25817161738428829</v>
      </c>
      <c r="BX10" s="13">
        <v>100</v>
      </c>
      <c r="BY10" s="13">
        <f t="shared" si="41"/>
        <v>0.42690472866997353</v>
      </c>
      <c r="BZ10" s="13">
        <v>53.344853462255365</v>
      </c>
      <c r="CA10" s="13">
        <f t="shared" si="42"/>
        <v>0.22773170193243625</v>
      </c>
      <c r="CB10" s="13">
        <f>'a28'!AK10</f>
        <v>20.424217901017286</v>
      </c>
      <c r="CC10" s="13">
        <f t="shared" si="43"/>
        <v>8.7191952013302015E-2</v>
      </c>
      <c r="CD10" s="13">
        <f t="shared" si="44"/>
        <v>234.24430156009544</v>
      </c>
      <c r="CE10" s="13">
        <f>'a28'!AM10</f>
        <v>62.980408931176527</v>
      </c>
      <c r="CF10" s="13">
        <f t="shared" si="45"/>
        <v>0.26487569247353376</v>
      </c>
      <c r="CG10" s="13">
        <v>100</v>
      </c>
      <c r="CH10" s="13">
        <f t="shared" si="46"/>
        <v>0.42056839097850812</v>
      </c>
      <c r="CI10" s="13">
        <v>57.601349953116291</v>
      </c>
      <c r="CJ10" s="13">
        <f t="shared" si="47"/>
        <v>0.24225307067972082</v>
      </c>
      <c r="CK10" s="13">
        <f>'a28'!AO10</f>
        <v>17.191697573851215</v>
      </c>
      <c r="CL10" s="13">
        <f t="shared" si="48"/>
        <v>7.2302845868237278E-2</v>
      </c>
      <c r="CM10" s="13">
        <f t="shared" si="49"/>
        <v>237.77345645814404</v>
      </c>
      <c r="CN10" s="13">
        <f>'a28'!AQ10</f>
        <v>64.464862704776934</v>
      </c>
      <c r="CO10" s="13">
        <f t="shared" si="50"/>
        <v>0.27319405456056861</v>
      </c>
      <c r="CP10" s="13">
        <v>100</v>
      </c>
      <c r="CQ10" s="13">
        <f t="shared" si="51"/>
        <v>0.4237875380448527</v>
      </c>
      <c r="CR10" s="13">
        <v>51.775922548779256</v>
      </c>
      <c r="CS10" s="13">
        <f t="shared" si="52"/>
        <v>0.21941990746948137</v>
      </c>
      <c r="CT10" s="13">
        <f>'a28'!AS10</f>
        <v>19.72651208923693</v>
      </c>
      <c r="CU10" s="13">
        <f t="shared" si="53"/>
        <v>8.3598499925097422E-2</v>
      </c>
      <c r="CV10" s="13">
        <f t="shared" si="54"/>
        <v>235.9672973427931</v>
      </c>
    </row>
    <row r="11" spans="1:100" hidden="1">
      <c r="A11" s="1">
        <v>1974</v>
      </c>
      <c r="B11" s="13">
        <f>'a28'!C11</f>
        <v>64.714968702386429</v>
      </c>
      <c r="C11" s="13">
        <f t="shared" si="0"/>
        <v>0.27069268595810653</v>
      </c>
      <c r="D11" s="13">
        <v>100</v>
      </c>
      <c r="E11" s="13">
        <f t="shared" si="1"/>
        <v>0.41828450416622776</v>
      </c>
      <c r="F11" s="13">
        <v>55.501680323228989</v>
      </c>
      <c r="G11" s="13">
        <f t="shared" si="2"/>
        <v>0.23215492834394316</v>
      </c>
      <c r="H11" s="13">
        <f>'a28'!E11</f>
        <v>18.855080871076247</v>
      </c>
      <c r="I11" s="13">
        <f t="shared" si="4"/>
        <v>7.8867881531722542E-2</v>
      </c>
      <c r="J11" s="13">
        <f t="shared" si="3"/>
        <v>239.07172989669166</v>
      </c>
      <c r="K11" s="13">
        <f>'a28'!G11</f>
        <v>58.606742309007942</v>
      </c>
      <c r="L11" s="13">
        <f t="shared" si="5"/>
        <v>0.25842599709914066</v>
      </c>
      <c r="M11" s="13">
        <v>100</v>
      </c>
      <c r="N11" s="13">
        <f t="shared" si="6"/>
        <v>0.44094926098531878</v>
      </c>
      <c r="O11" s="13">
        <v>52.965949816976384</v>
      </c>
      <c r="P11" s="13">
        <f t="shared" si="7"/>
        <v>0.23355296429181216</v>
      </c>
      <c r="Q11" s="13">
        <f>'a28'!I11</f>
        <v>15.210769936172225</v>
      </c>
      <c r="R11" s="13">
        <f t="shared" si="8"/>
        <v>6.7071777623728471E-2</v>
      </c>
      <c r="S11" s="13">
        <f t="shared" si="9"/>
        <v>226.78346206215653</v>
      </c>
      <c r="T11" s="13">
        <f>'a28'!K11</f>
        <v>59.245270002242108</v>
      </c>
      <c r="U11" s="13">
        <f t="shared" si="10"/>
        <v>0.26042627666818285</v>
      </c>
      <c r="V11" s="13">
        <v>100</v>
      </c>
      <c r="W11" s="13">
        <f t="shared" si="11"/>
        <v>0.43957311133585375</v>
      </c>
      <c r="X11" s="13">
        <v>50.377662446285875</v>
      </c>
      <c r="Y11" s="13">
        <f t="shared" si="12"/>
        <v>0.22144665823341278</v>
      </c>
      <c r="Z11" s="13">
        <f>'a28'!M11</f>
        <v>17.870509304772252</v>
      </c>
      <c r="AA11" s="13">
        <f t="shared" si="13"/>
        <v>7.855395376255063E-2</v>
      </c>
      <c r="AB11" s="13">
        <f t="shared" si="14"/>
        <v>227.49344175330023</v>
      </c>
      <c r="AC11" s="13">
        <f>'a28'!O11</f>
        <v>62.260931589701876</v>
      </c>
      <c r="AD11" s="13">
        <f t="shared" si="15"/>
        <v>0.26827678782167996</v>
      </c>
      <c r="AE11" s="13">
        <v>100</v>
      </c>
      <c r="AF11" s="13">
        <f t="shared" si="16"/>
        <v>0.43089105956463664</v>
      </c>
      <c r="AG11" s="13">
        <v>51.009717755160075</v>
      </c>
      <c r="AH11" s="13">
        <f t="shared" si="17"/>
        <v>0.21979631331613983</v>
      </c>
      <c r="AI11" s="13">
        <f>'a28'!Q11</f>
        <v>18.806572449987847</v>
      </c>
      <c r="AJ11" s="13">
        <f t="shared" si="18"/>
        <v>8.1035839297543669E-2</v>
      </c>
      <c r="AK11" s="13">
        <f t="shared" si="19"/>
        <v>232.07722179484978</v>
      </c>
      <c r="AL11" s="13">
        <f>'a28'!S11</f>
        <v>61.535418145932873</v>
      </c>
      <c r="AM11" s="13">
        <f t="shared" si="20"/>
        <v>0.26622618817142352</v>
      </c>
      <c r="AN11" s="13">
        <v>100</v>
      </c>
      <c r="AO11" s="13">
        <f t="shared" si="21"/>
        <v>0.43263895199356744</v>
      </c>
      <c r="AP11" s="13">
        <v>51.852850131413042</v>
      </c>
      <c r="AQ11" s="13">
        <f t="shared" si="22"/>
        <v>0.22433562738734053</v>
      </c>
      <c r="AR11" s="13">
        <f>'a28'!U11</f>
        <v>17.751344878629968</v>
      </c>
      <c r="AS11" s="13">
        <f t="shared" si="23"/>
        <v>7.6799232447668495E-2</v>
      </c>
      <c r="AT11" s="13">
        <f t="shared" si="24"/>
        <v>231.13961315597589</v>
      </c>
      <c r="AU11" s="13">
        <f>'a28'!W11</f>
        <v>66.402167256301311</v>
      </c>
      <c r="AV11" s="13">
        <f t="shared" si="25"/>
        <v>0.27495627454580662</v>
      </c>
      <c r="AW11" s="13">
        <v>100</v>
      </c>
      <c r="AX11" s="13">
        <f t="shared" si="26"/>
        <v>0.41407725968419251</v>
      </c>
      <c r="AY11" s="13">
        <v>56.642107217565247</v>
      </c>
      <c r="AZ11" s="13">
        <f t="shared" si="27"/>
        <v>0.23454208539387639</v>
      </c>
      <c r="BA11" s="13">
        <f>'a28'!Y11</f>
        <v>18.456550942790631</v>
      </c>
      <c r="BB11" s="13">
        <f t="shared" si="28"/>
        <v>7.6424380376124437E-2</v>
      </c>
      <c r="BC11" s="13">
        <f t="shared" si="29"/>
        <v>241.50082541665719</v>
      </c>
      <c r="BD11" s="13">
        <f>'a28'!AA11</f>
        <v>65.144123033418552</v>
      </c>
      <c r="BE11" s="13">
        <f t="shared" si="30"/>
        <v>0.27429414689389658</v>
      </c>
      <c r="BF11" s="13">
        <v>100</v>
      </c>
      <c r="BG11" s="13">
        <f t="shared" si="31"/>
        <v>0.4210573941615352</v>
      </c>
      <c r="BH11" s="13">
        <v>52.978693770282248</v>
      </c>
      <c r="BI11" s="13">
        <f t="shared" si="32"/>
        <v>0.22307070744997001</v>
      </c>
      <c r="BJ11" s="13">
        <f>'a28'!AC11</f>
        <v>19.374496832444059</v>
      </c>
      <c r="BK11" s="13">
        <f t="shared" si="33"/>
        <v>8.157775149459813E-2</v>
      </c>
      <c r="BL11" s="13">
        <f t="shared" si="34"/>
        <v>237.49731363614487</v>
      </c>
      <c r="BM11" s="13">
        <f>'a28'!AE11</f>
        <v>62.88432792578319</v>
      </c>
      <c r="BN11" s="13">
        <f t="shared" si="35"/>
        <v>0.27167111183382364</v>
      </c>
      <c r="BO11" s="13">
        <v>100</v>
      </c>
      <c r="BP11" s="13">
        <f t="shared" si="36"/>
        <v>0.4320171985529575</v>
      </c>
      <c r="BQ11" s="13">
        <v>48.880924204358955</v>
      </c>
      <c r="BR11" s="13">
        <f t="shared" si="37"/>
        <v>0.2111739993744661</v>
      </c>
      <c r="BS11" s="13">
        <f>'a28'!AG11</f>
        <v>19.70701410127224</v>
      </c>
      <c r="BT11" s="13">
        <f t="shared" si="38"/>
        <v>8.5137690238752631E-2</v>
      </c>
      <c r="BU11" s="13">
        <f t="shared" si="39"/>
        <v>231.47226623141441</v>
      </c>
      <c r="BV11" s="13">
        <f>'a28'!AI11</f>
        <v>60.996172631175718</v>
      </c>
      <c r="BW11" s="13">
        <f t="shared" si="40"/>
        <v>0.2603861899614282</v>
      </c>
      <c r="BX11" s="13">
        <v>100</v>
      </c>
      <c r="BY11" s="13">
        <f t="shared" si="41"/>
        <v>0.42688939113589958</v>
      </c>
      <c r="BZ11" s="13">
        <v>52.823877297293926</v>
      </c>
      <c r="CA11" s="13">
        <f t="shared" si="42"/>
        <v>0.22549952816879271</v>
      </c>
      <c r="CB11" s="13">
        <f>'a28'!AK11</f>
        <v>20.432667699186645</v>
      </c>
      <c r="CC11" s="13">
        <f t="shared" si="43"/>
        <v>8.7224890733879484E-2</v>
      </c>
      <c r="CD11" s="13">
        <f t="shared" si="44"/>
        <v>234.2527176276563</v>
      </c>
      <c r="CE11" s="13">
        <f>'a28'!AM11</f>
        <v>63.787906334188406</v>
      </c>
      <c r="CF11" s="13">
        <f t="shared" si="45"/>
        <v>0.2691995623759279</v>
      </c>
      <c r="CG11" s="13">
        <v>100</v>
      </c>
      <c r="CH11" s="13">
        <f t="shared" si="46"/>
        <v>0.422022884660262</v>
      </c>
      <c r="CI11" s="13">
        <v>55.918412189277525</v>
      </c>
      <c r="CJ11" s="13">
        <f t="shared" si="47"/>
        <v>0.23598849617740458</v>
      </c>
      <c r="CK11" s="13">
        <f>'a28'!AO11</f>
        <v>17.24765633148127</v>
      </c>
      <c r="CL11" s="13">
        <f t="shared" si="48"/>
        <v>7.2789056786405584E-2</v>
      </c>
      <c r="CM11" s="13">
        <f t="shared" si="49"/>
        <v>236.95397485494718</v>
      </c>
      <c r="CN11" s="13">
        <f>'a28'!AQ11</f>
        <v>65.189729867377835</v>
      </c>
      <c r="CO11" s="13">
        <f t="shared" si="50"/>
        <v>0.27626262985777789</v>
      </c>
      <c r="CP11" s="13">
        <v>100</v>
      </c>
      <c r="CQ11" s="13">
        <f t="shared" si="51"/>
        <v>0.42378244306243845</v>
      </c>
      <c r="CR11" s="13">
        <v>51.060911331585125</v>
      </c>
      <c r="CS11" s="13">
        <f t="shared" si="52"/>
        <v>0.21638717749093692</v>
      </c>
      <c r="CT11" s="13">
        <f>'a28'!AS11</f>
        <v>19.719493092953428</v>
      </c>
      <c r="CU11" s="13">
        <f t="shared" si="53"/>
        <v>8.3567749588846843E-2</v>
      </c>
      <c r="CV11" s="13">
        <f t="shared" si="54"/>
        <v>235.97013429191637</v>
      </c>
    </row>
    <row r="12" spans="1:100" hidden="1">
      <c r="A12" s="1">
        <v>1975</v>
      </c>
      <c r="B12" s="13">
        <f>'a28'!C12</f>
        <v>65.359548292106453</v>
      </c>
      <c r="C12" s="13">
        <f t="shared" si="0"/>
        <v>0.27574869048264133</v>
      </c>
      <c r="D12" s="13">
        <v>100</v>
      </c>
      <c r="E12" s="13">
        <f t="shared" si="1"/>
        <v>0.42189503704991765</v>
      </c>
      <c r="F12" s="13">
        <v>52.761797789842824</v>
      </c>
      <c r="G12" s="13">
        <f t="shared" si="2"/>
        <v>0.22259940633365999</v>
      </c>
      <c r="H12" s="13">
        <f>'a28'!E12</f>
        <v>18.904433361311224</v>
      </c>
      <c r="I12" s="13">
        <f t="shared" si="4"/>
        <v>7.9756866133780982E-2</v>
      </c>
      <c r="J12" s="13">
        <f t="shared" si="3"/>
        <v>237.02577944326052</v>
      </c>
      <c r="K12" s="13">
        <f>'a28'!G12</f>
        <v>59.268709927834159</v>
      </c>
      <c r="L12" s="13">
        <f t="shared" si="5"/>
        <v>0.26140185236731783</v>
      </c>
      <c r="M12" s="13">
        <v>100</v>
      </c>
      <c r="N12" s="13">
        <f t="shared" si="6"/>
        <v>0.44104528795312375</v>
      </c>
      <c r="O12" s="13">
        <v>52.308572943754051</v>
      </c>
      <c r="P12" s="13">
        <f t="shared" si="7"/>
        <v>0.23070449616394983</v>
      </c>
      <c r="Q12" s="13">
        <f>'a28'!I12</f>
        <v>15.156802564618612</v>
      </c>
      <c r="R12" s="13">
        <f t="shared" si="8"/>
        <v>6.6848363515608605E-2</v>
      </c>
      <c r="S12" s="13">
        <f t="shared" si="9"/>
        <v>226.73408543620681</v>
      </c>
      <c r="T12" s="13">
        <f>'a28'!K12</f>
        <v>60.025993000577628</v>
      </c>
      <c r="U12" s="13">
        <f t="shared" si="10"/>
        <v>0.2640844954726938</v>
      </c>
      <c r="V12" s="13">
        <v>100</v>
      </c>
      <c r="W12" s="13">
        <f t="shared" si="11"/>
        <v>0.4399502320105767</v>
      </c>
      <c r="X12" s="13">
        <v>49.470636168417919</v>
      </c>
      <c r="Y12" s="13">
        <f t="shared" si="12"/>
        <v>0.21764617860006291</v>
      </c>
      <c r="Z12" s="13">
        <f>'a28'!M12</f>
        <v>17.801807617817946</v>
      </c>
      <c r="AA12" s="13">
        <f t="shared" si="13"/>
        <v>7.8319093916666582E-2</v>
      </c>
      <c r="AB12" s="13">
        <f t="shared" si="14"/>
        <v>227.29843678681348</v>
      </c>
      <c r="AC12" s="13">
        <f>'a28'!O12</f>
        <v>62.81115820114718</v>
      </c>
      <c r="AD12" s="13">
        <f t="shared" si="15"/>
        <v>0.27094599288699894</v>
      </c>
      <c r="AE12" s="13">
        <v>100</v>
      </c>
      <c r="AF12" s="13">
        <f t="shared" si="16"/>
        <v>0.43136601942495367</v>
      </c>
      <c r="AG12" s="13">
        <v>50.306620361990504</v>
      </c>
      <c r="AH12" s="13">
        <f t="shared" si="17"/>
        <v>0.21700566576274166</v>
      </c>
      <c r="AI12" s="13">
        <f>'a28'!Q12</f>
        <v>18.703912290741386</v>
      </c>
      <c r="AJ12" s="13">
        <f t="shared" si="18"/>
        <v>8.0682321925305778E-2</v>
      </c>
      <c r="AK12" s="13">
        <f t="shared" si="19"/>
        <v>231.82169085387906</v>
      </c>
      <c r="AL12" s="13">
        <f>'a28'!S12</f>
        <v>62.128660222626621</v>
      </c>
      <c r="AM12" s="13">
        <f t="shared" si="20"/>
        <v>0.26955917166467064</v>
      </c>
      <c r="AN12" s="13">
        <v>100</v>
      </c>
      <c r="AO12" s="13">
        <f t="shared" si="21"/>
        <v>0.4338725005476618</v>
      </c>
      <c r="AP12" s="13">
        <v>50.742040456211605</v>
      </c>
      <c r="AQ12" s="13">
        <f t="shared" si="22"/>
        <v>0.22015575975627147</v>
      </c>
      <c r="AR12" s="13">
        <f>'a28'!U12</f>
        <v>17.611756434192802</v>
      </c>
      <c r="AS12" s="13">
        <f t="shared" si="23"/>
        <v>7.6412568031396025E-2</v>
      </c>
      <c r="AT12" s="13">
        <f t="shared" si="24"/>
        <v>230.48245711303105</v>
      </c>
      <c r="AU12" s="13">
        <f>'a28'!W12</f>
        <v>67.141983566979334</v>
      </c>
      <c r="AV12" s="13">
        <f t="shared" si="25"/>
        <v>0.27844168005785747</v>
      </c>
      <c r="AW12" s="13">
        <v>100</v>
      </c>
      <c r="AX12" s="13">
        <f t="shared" si="26"/>
        <v>0.41470577016851212</v>
      </c>
      <c r="AY12" s="13">
        <v>55.396330236253078</v>
      </c>
      <c r="AZ12" s="13">
        <f t="shared" si="27"/>
        <v>0.22973177795134567</v>
      </c>
      <c r="BA12" s="13">
        <f>'a28'!Y12</f>
        <v>18.596503200557699</v>
      </c>
      <c r="BB12" s="13">
        <f t="shared" si="28"/>
        <v>7.7120771822284814E-2</v>
      </c>
      <c r="BC12" s="13">
        <f t="shared" si="29"/>
        <v>241.13481700379009</v>
      </c>
      <c r="BD12" s="13">
        <f>'a28'!AA12</f>
        <v>65.704503536445316</v>
      </c>
      <c r="BE12" s="13">
        <f t="shared" si="30"/>
        <v>0.27659839999677621</v>
      </c>
      <c r="BF12" s="13">
        <v>100</v>
      </c>
      <c r="BG12" s="13">
        <f t="shared" si="31"/>
        <v>0.4209732744473918</v>
      </c>
      <c r="BH12" s="13">
        <v>52.374787665484206</v>
      </c>
      <c r="BI12" s="13">
        <f t="shared" si="32"/>
        <v>0.22048385862025754</v>
      </c>
      <c r="BJ12" s="13">
        <f>'a28'!AC12</f>
        <v>19.465479618187707</v>
      </c>
      <c r="BK12" s="13">
        <f t="shared" si="33"/>
        <v>8.1944466935574445E-2</v>
      </c>
      <c r="BL12" s="13">
        <f t="shared" si="34"/>
        <v>237.54477082011724</v>
      </c>
      <c r="BM12" s="13">
        <f>'a28'!AE12</f>
        <v>63.354423278616558</v>
      </c>
      <c r="BN12" s="13">
        <f t="shared" si="35"/>
        <v>0.27444978533577497</v>
      </c>
      <c r="BO12" s="13">
        <v>100</v>
      </c>
      <c r="BP12" s="13">
        <f t="shared" si="36"/>
        <v>0.43319751192243511</v>
      </c>
      <c r="BQ12" s="13">
        <v>47.840730696835685</v>
      </c>
      <c r="BR12" s="13">
        <f t="shared" si="37"/>
        <v>0.20724485506420484</v>
      </c>
      <c r="BS12" s="13">
        <f>'a28'!AG12</f>
        <v>19.646430400741483</v>
      </c>
      <c r="BT12" s="13">
        <f t="shared" si="38"/>
        <v>8.5107847677585002E-2</v>
      </c>
      <c r="BU12" s="13">
        <f t="shared" si="39"/>
        <v>230.84158437619374</v>
      </c>
      <c r="BV12" s="13">
        <f>'a28'!AI12</f>
        <v>61.641459971768498</v>
      </c>
      <c r="BW12" s="13">
        <f t="shared" si="40"/>
        <v>0.26397195325321887</v>
      </c>
      <c r="BX12" s="13">
        <v>100</v>
      </c>
      <c r="BY12" s="13">
        <f t="shared" si="41"/>
        <v>0.42823767213514541</v>
      </c>
      <c r="BZ12" s="13">
        <v>51.558711260184182</v>
      </c>
      <c r="CA12" s="13">
        <f t="shared" si="42"/>
        <v>0.22079382488349383</v>
      </c>
      <c r="CB12" s="13">
        <f>'a28'!AK12</f>
        <v>20.315015560024634</v>
      </c>
      <c r="CC12" s="13">
        <f t="shared" si="43"/>
        <v>8.6996549728142067E-2</v>
      </c>
      <c r="CD12" s="13">
        <f t="shared" si="44"/>
        <v>233.51518679197727</v>
      </c>
      <c r="CE12" s="13">
        <f>'a28'!AM12</f>
        <v>64.626975671328793</v>
      </c>
      <c r="CF12" s="13">
        <f t="shared" si="45"/>
        <v>0.2745720948098137</v>
      </c>
      <c r="CG12" s="13">
        <v>100</v>
      </c>
      <c r="CH12" s="13">
        <f t="shared" si="46"/>
        <v>0.42485679077138877</v>
      </c>
      <c r="CI12" s="13">
        <v>53.516792160649828</v>
      </c>
      <c r="CJ12" s="13">
        <f t="shared" si="47"/>
        <v>0.22736972569753103</v>
      </c>
      <c r="CK12" s="13">
        <f>'a28'!AO12</f>
        <v>17.229661926400837</v>
      </c>
      <c r="CL12" s="13">
        <f t="shared" si="48"/>
        <v>7.3201388721266442E-2</v>
      </c>
      <c r="CM12" s="13">
        <f t="shared" si="49"/>
        <v>235.37342975837947</v>
      </c>
      <c r="CN12" s="13">
        <f>'a28'!AQ12</f>
        <v>65.843043026703867</v>
      </c>
      <c r="CO12" s="13">
        <f t="shared" si="50"/>
        <v>0.27863480554614789</v>
      </c>
      <c r="CP12" s="13">
        <v>100</v>
      </c>
      <c r="CQ12" s="13">
        <f t="shared" si="51"/>
        <v>0.42318032815272882</v>
      </c>
      <c r="CR12" s="13">
        <v>50.756360535167616</v>
      </c>
      <c r="CS12" s="13">
        <f t="shared" si="52"/>
        <v>0.21479093307110447</v>
      </c>
      <c r="CT12" s="13">
        <f>'a28'!AS12</f>
        <v>19.706476809555586</v>
      </c>
      <c r="CU12" s="13">
        <f t="shared" si="53"/>
        <v>8.339393323001873E-2</v>
      </c>
      <c r="CV12" s="13">
        <f t="shared" si="54"/>
        <v>236.30588037142709</v>
      </c>
    </row>
    <row r="13" spans="1:100" hidden="1">
      <c r="A13" s="1">
        <v>1976</v>
      </c>
      <c r="B13" s="13">
        <f>'a28'!C13</f>
        <v>65.956062412110157</v>
      </c>
      <c r="C13" s="13">
        <f t="shared" si="0"/>
        <v>0.27984724918476844</v>
      </c>
      <c r="D13" s="13">
        <v>100</v>
      </c>
      <c r="E13" s="13">
        <f t="shared" si="1"/>
        <v>0.4242934446817217</v>
      </c>
      <c r="F13" s="13">
        <v>50.795847772574227</v>
      </c>
      <c r="G13" s="13">
        <f t="shared" si="2"/>
        <v>0.21552345226953881</v>
      </c>
      <c r="H13" s="13">
        <f>'a28'!E13</f>
        <v>18.934031357527534</v>
      </c>
      <c r="I13" s="13">
        <f t="shared" si="4"/>
        <v>8.0335853863970935E-2</v>
      </c>
      <c r="J13" s="13">
        <f t="shared" si="3"/>
        <v>235.68594154221194</v>
      </c>
      <c r="K13" s="13">
        <f>'a28'!G13</f>
        <v>59.977534440378285</v>
      </c>
      <c r="L13" s="13">
        <f t="shared" si="5"/>
        <v>0.26454243195584515</v>
      </c>
      <c r="M13" s="13">
        <v>100</v>
      </c>
      <c r="N13" s="13">
        <f t="shared" si="6"/>
        <v>0.44106920103362729</v>
      </c>
      <c r="O13" s="13">
        <v>51.664606914922395</v>
      </c>
      <c r="P13" s="13">
        <f t="shared" si="7"/>
        <v>0.22787666893681235</v>
      </c>
      <c r="Q13" s="13">
        <f>'a28'!I13</f>
        <v>15.079651428358149</v>
      </c>
      <c r="R13" s="13">
        <f t="shared" si="8"/>
        <v>6.651169807371525E-2</v>
      </c>
      <c r="S13" s="13">
        <f t="shared" si="9"/>
        <v>226.72179278365883</v>
      </c>
      <c r="T13" s="13">
        <f>'a28'!K13</f>
        <v>60.773042950576496</v>
      </c>
      <c r="U13" s="13">
        <f t="shared" si="10"/>
        <v>0.26730873844689634</v>
      </c>
      <c r="V13" s="13">
        <v>100</v>
      </c>
      <c r="W13" s="13">
        <f t="shared" si="11"/>
        <v>0.43984754665696835</v>
      </c>
      <c r="X13" s="13">
        <v>48.915286442703504</v>
      </c>
      <c r="Y13" s="13">
        <f t="shared" si="12"/>
        <v>0.21515268735845999</v>
      </c>
      <c r="Z13" s="13">
        <f>'a28'!M13</f>
        <v>17.663171734879644</v>
      </c>
      <c r="AA13" s="13">
        <f t="shared" si="13"/>
        <v>7.7691027537675178E-2</v>
      </c>
      <c r="AB13" s="13">
        <f t="shared" si="14"/>
        <v>227.35150112815967</v>
      </c>
      <c r="AC13" s="13">
        <f>'a28'!O13</f>
        <v>63.431701003153862</v>
      </c>
      <c r="AD13" s="13">
        <f t="shared" si="15"/>
        <v>0.27397204710018436</v>
      </c>
      <c r="AE13" s="13">
        <v>100</v>
      </c>
      <c r="AF13" s="13">
        <f t="shared" si="16"/>
        <v>0.43191660126939102</v>
      </c>
      <c r="AG13" s="13">
        <v>49.547505712694495</v>
      </c>
      <c r="AH13" s="13">
        <f t="shared" si="17"/>
        <v>0.21400390268802741</v>
      </c>
      <c r="AI13" s="13">
        <f>'a28'!Q13</f>
        <v>18.546971500276591</v>
      </c>
      <c r="AJ13" s="13">
        <f t="shared" si="18"/>
        <v>8.0107448942397227E-2</v>
      </c>
      <c r="AK13" s="13">
        <f t="shared" si="19"/>
        <v>231.52617821612495</v>
      </c>
      <c r="AL13" s="13">
        <f>'a28'!S13</f>
        <v>62.759356861698578</v>
      </c>
      <c r="AM13" s="13">
        <f t="shared" si="20"/>
        <v>0.27306053945459735</v>
      </c>
      <c r="AN13" s="13">
        <v>100</v>
      </c>
      <c r="AO13" s="13">
        <f t="shared" si="21"/>
        <v>0.43509136025140427</v>
      </c>
      <c r="AP13" s="13">
        <v>49.638118901120741</v>
      </c>
      <c r="AQ13" s="13">
        <f t="shared" si="22"/>
        <v>0.21597116673009564</v>
      </c>
      <c r="AR13" s="13">
        <f>'a28'!U13</f>
        <v>17.439310566879477</v>
      </c>
      <c r="AS13" s="13">
        <f t="shared" si="23"/>
        <v>7.5876933563902793E-2</v>
      </c>
      <c r="AT13" s="13">
        <f t="shared" si="24"/>
        <v>229.83678632969878</v>
      </c>
      <c r="AU13" s="13">
        <f>'a28'!W13</f>
        <v>67.720866857461147</v>
      </c>
      <c r="AV13" s="13">
        <f t="shared" si="25"/>
        <v>0.2820799122842097</v>
      </c>
      <c r="AW13" s="13">
        <v>100</v>
      </c>
      <c r="AX13" s="13">
        <f t="shared" si="26"/>
        <v>0.41653322731076581</v>
      </c>
      <c r="AY13" s="13">
        <v>53.666654013795849</v>
      </c>
      <c r="AZ13" s="13">
        <f t="shared" si="27"/>
        <v>0.22353944595336647</v>
      </c>
      <c r="BA13" s="13">
        <f>'a28'!Y13</f>
        <v>18.689364820727238</v>
      </c>
      <c r="BB13" s="13">
        <f t="shared" si="28"/>
        <v>7.784741445165809E-2</v>
      </c>
      <c r="BC13" s="13">
        <f t="shared" si="29"/>
        <v>240.07688569198422</v>
      </c>
      <c r="BD13" s="13">
        <f>'a28'!AA13</f>
        <v>66.289677919992911</v>
      </c>
      <c r="BE13" s="13">
        <f t="shared" si="30"/>
        <v>0.28065677903273767</v>
      </c>
      <c r="BF13" s="13">
        <v>100</v>
      </c>
      <c r="BG13" s="13">
        <f t="shared" si="31"/>
        <v>0.42337930706417237</v>
      </c>
      <c r="BH13" s="13">
        <v>50.342519318749375</v>
      </c>
      <c r="BI13" s="13">
        <f t="shared" si="32"/>
        <v>0.2131398094503682</v>
      </c>
      <c r="BJ13" s="13">
        <f>'a28'!AC13</f>
        <v>19.562624594727293</v>
      </c>
      <c r="BK13" s="13">
        <f t="shared" si="33"/>
        <v>8.2824104452721772E-2</v>
      </c>
      <c r="BL13" s="13">
        <f t="shared" si="34"/>
        <v>236.19482183346958</v>
      </c>
      <c r="BM13" s="13">
        <f>'a28'!AE13</f>
        <v>63.822330430197781</v>
      </c>
      <c r="BN13" s="13">
        <f t="shared" si="35"/>
        <v>0.27731395335365944</v>
      </c>
      <c r="BO13" s="13">
        <v>100</v>
      </c>
      <c r="BP13" s="13">
        <f t="shared" si="36"/>
        <v>0.434509287712326</v>
      </c>
      <c r="BQ13" s="13">
        <v>46.77978016757622</v>
      </c>
      <c r="BR13" s="13">
        <f t="shared" si="37"/>
        <v>0.20326248959952736</v>
      </c>
      <c r="BS13" s="13">
        <f>'a28'!AG13</f>
        <v>19.542567152374879</v>
      </c>
      <c r="BT13" s="13">
        <f t="shared" si="38"/>
        <v>8.4914269334487077E-2</v>
      </c>
      <c r="BU13" s="13">
        <f t="shared" si="39"/>
        <v>230.1446777501489</v>
      </c>
      <c r="BV13" s="13">
        <f>'a28'!AI13</f>
        <v>62.199069999098334</v>
      </c>
      <c r="BW13" s="13">
        <f t="shared" si="40"/>
        <v>0.26781629828232772</v>
      </c>
      <c r="BX13" s="13">
        <v>100</v>
      </c>
      <c r="BY13" s="13">
        <f t="shared" si="41"/>
        <v>0.43057926474818686</v>
      </c>
      <c r="BZ13" s="13">
        <v>50.000736006625203</v>
      </c>
      <c r="CA13" s="13">
        <f t="shared" si="42"/>
        <v>0.21529280146600874</v>
      </c>
      <c r="CB13" s="13">
        <f>'a28'!AK13</f>
        <v>20.045469573169946</v>
      </c>
      <c r="CC13" s="13">
        <f t="shared" si="43"/>
        <v>8.6311635503476675E-2</v>
      </c>
      <c r="CD13" s="13">
        <f t="shared" si="44"/>
        <v>232.24527557889348</v>
      </c>
      <c r="CE13" s="13">
        <f>'a28'!AM13</f>
        <v>65.397929798901927</v>
      </c>
      <c r="CF13" s="13">
        <f t="shared" si="45"/>
        <v>0.27995958788928293</v>
      </c>
      <c r="CG13" s="13">
        <v>100</v>
      </c>
      <c r="CH13" s="13">
        <f t="shared" si="46"/>
        <v>0.42808631519400725</v>
      </c>
      <c r="CI13" s="13">
        <v>51.039587367233729</v>
      </c>
      <c r="CJ13" s="13">
        <f t="shared" si="47"/>
        <v>0.2184934888506169</v>
      </c>
      <c r="CK13" s="13">
        <f>'a28'!AO13</f>
        <v>17.160232751846024</v>
      </c>
      <c r="CL13" s="13">
        <f t="shared" si="48"/>
        <v>7.3460608066092836E-2</v>
      </c>
      <c r="CM13" s="13">
        <f t="shared" si="49"/>
        <v>233.5977499179817</v>
      </c>
      <c r="CN13" s="13">
        <f>'a28'!AQ13</f>
        <v>66.420326934893609</v>
      </c>
      <c r="CO13" s="13">
        <f t="shared" si="50"/>
        <v>0.28459470484452182</v>
      </c>
      <c r="CP13" s="13">
        <v>100</v>
      </c>
      <c r="CQ13" s="13">
        <f t="shared" si="51"/>
        <v>0.4284753146781205</v>
      </c>
      <c r="CR13" s="13">
        <v>47.199681329521511</v>
      </c>
      <c r="CS13" s="13">
        <f t="shared" si="52"/>
        <v>0.20223898310373739</v>
      </c>
      <c r="CT13" s="13">
        <f>'a28'!AS13</f>
        <v>19.765665482325854</v>
      </c>
      <c r="CU13" s="13">
        <f t="shared" si="53"/>
        <v>8.4690997373620347E-2</v>
      </c>
      <c r="CV13" s="13">
        <f t="shared" si="54"/>
        <v>233.38567374674096</v>
      </c>
    </row>
    <row r="14" spans="1:100" hidden="1">
      <c r="A14" s="1">
        <v>1977</v>
      </c>
      <c r="B14" s="13">
        <f>'a28'!C14</f>
        <v>66.469140843594062</v>
      </c>
      <c r="C14" s="13">
        <f t="shared" si="0"/>
        <v>0.28360951812431168</v>
      </c>
      <c r="D14" s="13">
        <v>100</v>
      </c>
      <c r="E14" s="13">
        <f t="shared" si="1"/>
        <v>0.42667847744814719</v>
      </c>
      <c r="F14" s="13">
        <v>48.93133312616677</v>
      </c>
      <c r="G14" s="13">
        <f t="shared" si="2"/>
        <v>0.20877946717780926</v>
      </c>
      <c r="H14" s="13">
        <f>'a28'!E14</f>
        <v>18.96803835379</v>
      </c>
      <c r="I14" s="13">
        <f t="shared" si="4"/>
        <v>8.0932537249731776E-2</v>
      </c>
      <c r="J14" s="13">
        <f t="shared" si="3"/>
        <v>234.36851232355085</v>
      </c>
      <c r="K14" s="13">
        <f>'a28'!G14</f>
        <v>60.475317857319745</v>
      </c>
      <c r="L14" s="13">
        <f t="shared" si="5"/>
        <v>0.26650463843380218</v>
      </c>
      <c r="M14" s="13">
        <v>100</v>
      </c>
      <c r="N14" s="13">
        <f t="shared" si="6"/>
        <v>0.44068331986707415</v>
      </c>
      <c r="O14" s="13">
        <v>51.34191527865439</v>
      </c>
      <c r="P14" s="13">
        <f t="shared" si="7"/>
        <v>0.22625525673331473</v>
      </c>
      <c r="Q14" s="13">
        <f>'a28'!I14</f>
        <v>15.103086948215966</v>
      </c>
      <c r="R14" s="13">
        <f t="shared" si="8"/>
        <v>6.6556784965808885E-2</v>
      </c>
      <c r="S14" s="13">
        <f t="shared" si="9"/>
        <v>226.92032008419011</v>
      </c>
      <c r="T14" s="13">
        <f>'a28'!K14</f>
        <v>61.167453420293242</v>
      </c>
      <c r="U14" s="13">
        <f t="shared" si="10"/>
        <v>0.26959193725263081</v>
      </c>
      <c r="V14" s="13">
        <v>100</v>
      </c>
      <c r="W14" s="13">
        <f t="shared" si="11"/>
        <v>0.44074409212398163</v>
      </c>
      <c r="X14" s="13">
        <v>48.146391220621396</v>
      </c>
      <c r="Y14" s="13">
        <f t="shared" si="12"/>
        <v>0.21220237487578816</v>
      </c>
      <c r="Z14" s="13">
        <f>'a28'!M14</f>
        <v>17.575186402228489</v>
      </c>
      <c r="AA14" s="13">
        <f t="shared" si="13"/>
        <v>7.7461595747599421E-2</v>
      </c>
      <c r="AB14" s="13">
        <f t="shared" si="14"/>
        <v>226.88903104314312</v>
      </c>
      <c r="AC14" s="13">
        <f>'a28'!O14</f>
        <v>63.98215297585319</v>
      </c>
      <c r="AD14" s="13">
        <f t="shared" si="15"/>
        <v>0.27635640775897996</v>
      </c>
      <c r="AE14" s="13">
        <v>100</v>
      </c>
      <c r="AF14" s="13">
        <f t="shared" si="16"/>
        <v>0.43192733427285052</v>
      </c>
      <c r="AG14" s="13">
        <v>49.01091341236647</v>
      </c>
      <c r="AH14" s="13">
        <f t="shared" si="17"/>
        <v>0.21169153180480943</v>
      </c>
      <c r="AI14" s="13">
        <f>'a28'!Q14</f>
        <v>18.527358611855796</v>
      </c>
      <c r="AJ14" s="13">
        <f t="shared" si="18"/>
        <v>8.0024726163360135E-2</v>
      </c>
      <c r="AK14" s="13">
        <f t="shared" si="19"/>
        <v>231.52042500007545</v>
      </c>
      <c r="AL14" s="13">
        <f>'a28'!S14</f>
        <v>63.247456682038901</v>
      </c>
      <c r="AM14" s="13">
        <f t="shared" si="20"/>
        <v>0.27538857184849569</v>
      </c>
      <c r="AN14" s="13">
        <v>100</v>
      </c>
      <c r="AO14" s="13">
        <f t="shared" si="21"/>
        <v>0.43541445979866711</v>
      </c>
      <c r="AP14" s="13">
        <v>48.990422445881087</v>
      </c>
      <c r="AQ14" s="13">
        <f t="shared" si="22"/>
        <v>0.21331138324581811</v>
      </c>
      <c r="AR14" s="13">
        <f>'a28'!U14</f>
        <v>17.428356683907147</v>
      </c>
      <c r="AS14" s="13">
        <f t="shared" si="23"/>
        <v>7.5885585107019204E-2</v>
      </c>
      <c r="AT14" s="13">
        <f t="shared" si="24"/>
        <v>229.66623581182711</v>
      </c>
      <c r="AU14" s="13">
        <f>'a28'!W14</f>
        <v>68.240731226915415</v>
      </c>
      <c r="AV14" s="13">
        <f t="shared" si="25"/>
        <v>0.28513334592730244</v>
      </c>
      <c r="AW14" s="13">
        <v>100</v>
      </c>
      <c r="AX14" s="13">
        <f t="shared" si="26"/>
        <v>0.41783454075128751</v>
      </c>
      <c r="AY14" s="13">
        <v>52.242845951267135</v>
      </c>
      <c r="AZ14" s="13">
        <f t="shared" si="27"/>
        <v>0.21828865545587964</v>
      </c>
      <c r="BA14" s="13">
        <f>'a28'!Y14</f>
        <v>18.845607575655592</v>
      </c>
      <c r="BB14" s="13">
        <f t="shared" si="28"/>
        <v>7.8743457865530386E-2</v>
      </c>
      <c r="BC14" s="13">
        <f t="shared" si="29"/>
        <v>239.32918475383815</v>
      </c>
      <c r="BD14" s="13">
        <f>'a28'!AA14</f>
        <v>66.753217279235372</v>
      </c>
      <c r="BE14" s="13">
        <f t="shared" si="30"/>
        <v>0.28434873603704713</v>
      </c>
      <c r="BF14" s="13">
        <v>100</v>
      </c>
      <c r="BG14" s="13">
        <f t="shared" si="31"/>
        <v>0.42597008447935625</v>
      </c>
      <c r="BH14" s="13">
        <v>48.357718490747359</v>
      </c>
      <c r="BI14" s="13">
        <f t="shared" si="32"/>
        <v>0.20598941430732581</v>
      </c>
      <c r="BJ14" s="13">
        <f>'a28'!AC14</f>
        <v>19.647333985569279</v>
      </c>
      <c r="BK14" s="13">
        <f t="shared" si="33"/>
        <v>8.3691765176270735E-2</v>
      </c>
      <c r="BL14" s="13">
        <f t="shared" si="34"/>
        <v>234.75826975555202</v>
      </c>
      <c r="BM14" s="13">
        <f>'a28'!AE14</f>
        <v>64.135712557440982</v>
      </c>
      <c r="BN14" s="13">
        <f t="shared" si="35"/>
        <v>0.2797080343251438</v>
      </c>
      <c r="BO14" s="13">
        <v>100</v>
      </c>
      <c r="BP14" s="13">
        <f t="shared" si="36"/>
        <v>0.4361190094748425</v>
      </c>
      <c r="BQ14" s="13">
        <v>45.722923115584528</v>
      </c>
      <c r="BR14" s="13">
        <f t="shared" si="37"/>
        <v>0.19940635939463106</v>
      </c>
      <c r="BS14" s="13">
        <f>'a28'!AG14</f>
        <v>19.436574642195787</v>
      </c>
      <c r="BT14" s="13">
        <f t="shared" si="38"/>
        <v>8.4766596805382677E-2</v>
      </c>
      <c r="BU14" s="13">
        <f t="shared" si="39"/>
        <v>229.29521031522128</v>
      </c>
      <c r="BV14" s="13">
        <f>'a28'!AI14</f>
        <v>62.566150868972848</v>
      </c>
      <c r="BW14" s="13">
        <f t="shared" si="40"/>
        <v>0.27101267574049354</v>
      </c>
      <c r="BX14" s="13">
        <v>100</v>
      </c>
      <c r="BY14" s="13">
        <f t="shared" si="41"/>
        <v>0.43316181669550541</v>
      </c>
      <c r="BZ14" s="13">
        <v>48.502920847859798</v>
      </c>
      <c r="CA14" s="13">
        <f t="shared" si="42"/>
        <v>0.21009613309497255</v>
      </c>
      <c r="CB14" s="13">
        <f>'a28'!AK14</f>
        <v>19.791535441198111</v>
      </c>
      <c r="CC14" s="13">
        <f t="shared" si="43"/>
        <v>8.5729374469028549E-2</v>
      </c>
      <c r="CD14" s="13">
        <f t="shared" si="44"/>
        <v>230.86060715803075</v>
      </c>
      <c r="CE14" s="13">
        <f>'a28'!AM14</f>
        <v>66.394629472509621</v>
      </c>
      <c r="CF14" s="13">
        <f t="shared" si="45"/>
        <v>0.28676461768475486</v>
      </c>
      <c r="CG14" s="13">
        <v>100</v>
      </c>
      <c r="CH14" s="13">
        <f t="shared" si="46"/>
        <v>0.43190935767400945</v>
      </c>
      <c r="CI14" s="13">
        <v>48.214512904833533</v>
      </c>
      <c r="CJ14" s="13">
        <f t="shared" si="47"/>
        <v>0.20824299299291893</v>
      </c>
      <c r="CK14" s="13">
        <f>'a28'!AO14</f>
        <v>16.920918787658547</v>
      </c>
      <c r="CL14" s="13">
        <f t="shared" si="48"/>
        <v>7.3083031648316824E-2</v>
      </c>
      <c r="CM14" s="13">
        <f t="shared" si="49"/>
        <v>231.53006116500168</v>
      </c>
      <c r="CN14" s="13">
        <f>'a28'!AQ14</f>
        <v>66.868963531707209</v>
      </c>
      <c r="CO14" s="13">
        <f t="shared" si="50"/>
        <v>0.29031296863014455</v>
      </c>
      <c r="CP14" s="13">
        <v>100</v>
      </c>
      <c r="CQ14" s="13">
        <f t="shared" si="51"/>
        <v>0.43415203899861116</v>
      </c>
      <c r="CR14" s="13">
        <v>43.710431901675939</v>
      </c>
      <c r="CS14" s="13">
        <f t="shared" si="52"/>
        <v>0.18976973135622549</v>
      </c>
      <c r="CT14" s="13">
        <f>'a28'!AS14</f>
        <v>19.754660420998981</v>
      </c>
      <c r="CU14" s="13">
        <f t="shared" si="53"/>
        <v>8.5765261015018704E-2</v>
      </c>
      <c r="CV14" s="13">
        <f t="shared" si="54"/>
        <v>230.33405585438214</v>
      </c>
    </row>
    <row r="15" spans="1:100" hidden="1">
      <c r="A15" s="1">
        <v>1978</v>
      </c>
      <c r="B15" s="13">
        <f>'a28'!C15</f>
        <v>66.992638671883725</v>
      </c>
      <c r="C15" s="13">
        <f t="shared" si="0"/>
        <v>0.28661655297287764</v>
      </c>
      <c r="D15" s="13">
        <v>100</v>
      </c>
      <c r="E15" s="13">
        <f t="shared" si="1"/>
        <v>0.42783290620431746</v>
      </c>
      <c r="F15" s="13">
        <v>47.732316740037781</v>
      </c>
      <c r="G15" s="13">
        <f t="shared" si="2"/>
        <v>0.20421455790755358</v>
      </c>
      <c r="H15" s="13">
        <f>'a28'!E15</f>
        <v>19.011156396747129</v>
      </c>
      <c r="I15" s="13">
        <f t="shared" si="4"/>
        <v>8.1335982915251251E-2</v>
      </c>
      <c r="J15" s="13">
        <f t="shared" si="3"/>
        <v>233.73611180866865</v>
      </c>
      <c r="K15" s="13">
        <f>'a28'!G15</f>
        <v>61.003560361426892</v>
      </c>
      <c r="L15" s="13">
        <f t="shared" si="5"/>
        <v>0.26686038551835817</v>
      </c>
      <c r="M15" s="13">
        <v>100</v>
      </c>
      <c r="N15" s="13">
        <f t="shared" si="6"/>
        <v>0.43745050934288815</v>
      </c>
      <c r="O15" s="13">
        <v>52.41312854154797</v>
      </c>
      <c r="P15" s="13">
        <f t="shared" si="7"/>
        <v>0.22928149776754428</v>
      </c>
      <c r="Q15" s="13">
        <f>'a28'!I15</f>
        <v>15.180598937000452</v>
      </c>
      <c r="R15" s="13">
        <f t="shared" si="8"/>
        <v>6.6407607371209543E-2</v>
      </c>
      <c r="S15" s="13">
        <f t="shared" si="9"/>
        <v>228.59728783997528</v>
      </c>
      <c r="T15" s="13">
        <f>'a28'!K15</f>
        <v>61.797771276420896</v>
      </c>
      <c r="U15" s="13">
        <f t="shared" si="10"/>
        <v>0.27196915066621297</v>
      </c>
      <c r="V15" s="13">
        <v>100</v>
      </c>
      <c r="W15" s="13">
        <f t="shared" si="11"/>
        <v>0.44009540319779061</v>
      </c>
      <c r="X15" s="13">
        <v>48.010087102516252</v>
      </c>
      <c r="Y15" s="13">
        <f t="shared" si="12"/>
        <v>0.21129018640942937</v>
      </c>
      <c r="Z15" s="13">
        <f>'a28'!M15</f>
        <v>17.415601065053746</v>
      </c>
      <c r="AA15" s="13">
        <f t="shared" si="13"/>
        <v>7.6645259726567008E-2</v>
      </c>
      <c r="AB15" s="13">
        <f t="shared" si="14"/>
        <v>227.22345944399089</v>
      </c>
      <c r="AC15" s="13">
        <f>'a28'!O15</f>
        <v>64.526750237974582</v>
      </c>
      <c r="AD15" s="13">
        <f t="shared" si="15"/>
        <v>0.27863297447024926</v>
      </c>
      <c r="AE15" s="13">
        <v>100</v>
      </c>
      <c r="AF15" s="13">
        <f t="shared" si="16"/>
        <v>0.43181002211121922</v>
      </c>
      <c r="AG15" s="13">
        <v>48.557186454530878</v>
      </c>
      <c r="AH15" s="13">
        <f t="shared" si="17"/>
        <v>0.20967479756589572</v>
      </c>
      <c r="AI15" s="13">
        <f>'a28'!Q15</f>
        <v>18.499386712256758</v>
      </c>
      <c r="AJ15" s="13">
        <f t="shared" si="18"/>
        <v>7.9882205852635849E-2</v>
      </c>
      <c r="AK15" s="13">
        <f t="shared" si="19"/>
        <v>231.58332340476221</v>
      </c>
      <c r="AL15" s="13">
        <f>'a28'!S15</f>
        <v>63.796292854753446</v>
      </c>
      <c r="AM15" s="13">
        <f t="shared" si="20"/>
        <v>0.27660730120164145</v>
      </c>
      <c r="AN15" s="13">
        <v>100</v>
      </c>
      <c r="AO15" s="13">
        <f t="shared" si="21"/>
        <v>0.43357895705852367</v>
      </c>
      <c r="AP15" s="13">
        <v>49.42568586918059</v>
      </c>
      <c r="AQ15" s="13">
        <f t="shared" si="22"/>
        <v>0.21429937331061533</v>
      </c>
      <c r="AR15" s="13">
        <f>'a28'!U15</f>
        <v>17.416520612882657</v>
      </c>
      <c r="AS15" s="13">
        <f t="shared" si="23"/>
        <v>7.5514368429219422E-2</v>
      </c>
      <c r="AT15" s="13">
        <f t="shared" si="24"/>
        <v>230.63849933681672</v>
      </c>
      <c r="AU15" s="13">
        <f>'a28'!W15</f>
        <v>68.756605701550157</v>
      </c>
      <c r="AV15" s="13">
        <f t="shared" si="25"/>
        <v>0.29015278987465454</v>
      </c>
      <c r="AW15" s="13">
        <v>100</v>
      </c>
      <c r="AX15" s="13">
        <f t="shared" si="26"/>
        <v>0.4219998746507535</v>
      </c>
      <c r="AY15" s="13">
        <v>49.204252649181775</v>
      </c>
      <c r="AZ15" s="13">
        <f t="shared" si="27"/>
        <v>0.20764188450238716</v>
      </c>
      <c r="BA15" s="13">
        <f>'a28'!Y15</f>
        <v>19.006036681547076</v>
      </c>
      <c r="BB15" s="13">
        <f t="shared" si="28"/>
        <v>8.0205450972204897E-2</v>
      </c>
      <c r="BC15" s="13">
        <f t="shared" si="29"/>
        <v>236.96689503227898</v>
      </c>
      <c r="BD15" s="13">
        <f>'a28'!AA15</f>
        <v>67.261992348440259</v>
      </c>
      <c r="BE15" s="13">
        <f t="shared" si="30"/>
        <v>0.2868867169719389</v>
      </c>
      <c r="BF15" s="13">
        <v>100</v>
      </c>
      <c r="BG15" s="13">
        <f t="shared" si="31"/>
        <v>0.42652128929777605</v>
      </c>
      <c r="BH15" s="13">
        <v>47.447147222406855</v>
      </c>
      <c r="BI15" s="13">
        <f t="shared" si="32"/>
        <v>0.20237218406802365</v>
      </c>
      <c r="BJ15" s="13">
        <f>'a28'!AC15</f>
        <v>19.74574582218878</v>
      </c>
      <c r="BK15" s="13">
        <f t="shared" si="33"/>
        <v>8.4219809662261336E-2</v>
      </c>
      <c r="BL15" s="13">
        <f t="shared" si="34"/>
        <v>234.45488539303591</v>
      </c>
      <c r="BM15" s="13">
        <f>'a28'!AE15</f>
        <v>64.48018553513802</v>
      </c>
      <c r="BN15" s="13">
        <f t="shared" si="35"/>
        <v>0.28111912760074342</v>
      </c>
      <c r="BO15" s="13">
        <v>100</v>
      </c>
      <c r="BP15" s="13">
        <f t="shared" si="36"/>
        <v>0.43597754142247241</v>
      </c>
      <c r="BQ15" s="13">
        <v>45.522180020412854</v>
      </c>
      <c r="BR15" s="13">
        <f t="shared" si="37"/>
        <v>0.1984664812549079</v>
      </c>
      <c r="BS15" s="13">
        <f>'a28'!AG15</f>
        <v>19.367247552794218</v>
      </c>
      <c r="BT15" s="13">
        <f t="shared" si="38"/>
        <v>8.4436849721876192E-2</v>
      </c>
      <c r="BU15" s="13">
        <f t="shared" si="39"/>
        <v>229.36961310834511</v>
      </c>
      <c r="BV15" s="13">
        <f>'a28'!AI15</f>
        <v>62.955282802935656</v>
      </c>
      <c r="BW15" s="13">
        <f t="shared" si="40"/>
        <v>0.27179370867495667</v>
      </c>
      <c r="BX15" s="13">
        <v>100</v>
      </c>
      <c r="BY15" s="13">
        <f t="shared" si="41"/>
        <v>0.43172502222844866</v>
      </c>
      <c r="BZ15" s="13">
        <v>49.040381837055108</v>
      </c>
      <c r="CA15" s="13">
        <f t="shared" si="42"/>
        <v>0.21171959938694226</v>
      </c>
      <c r="CB15" s="13">
        <f>'a28'!AK15</f>
        <v>19.633253887424797</v>
      </c>
      <c r="CC15" s="13">
        <f t="shared" si="43"/>
        <v>8.476166970965246E-2</v>
      </c>
      <c r="CD15" s="13">
        <f t="shared" si="44"/>
        <v>231.62891852741555</v>
      </c>
      <c r="CE15" s="13">
        <f>'a28'!AM15</f>
        <v>67.205491333624437</v>
      </c>
      <c r="CF15" s="13">
        <f t="shared" si="45"/>
        <v>0.29070769432803623</v>
      </c>
      <c r="CG15" s="13">
        <v>100</v>
      </c>
      <c r="CH15" s="13">
        <f t="shared" si="46"/>
        <v>0.4325653879753551</v>
      </c>
      <c r="CI15" s="13">
        <v>47.237294664233048</v>
      </c>
      <c r="CJ15" s="13">
        <f t="shared" si="47"/>
        <v>0.20433218693340141</v>
      </c>
      <c r="CK15" s="13">
        <f>'a28'!AO15</f>
        <v>16.736135801815909</v>
      </c>
      <c r="CL15" s="13">
        <f t="shared" si="48"/>
        <v>7.2394730763207293E-2</v>
      </c>
      <c r="CM15" s="13">
        <f t="shared" si="49"/>
        <v>231.17892179967339</v>
      </c>
      <c r="CN15" s="13">
        <f>'a28'!AQ15</f>
        <v>67.348600201440675</v>
      </c>
      <c r="CO15" s="13">
        <f t="shared" si="50"/>
        <v>0.29194182071036701</v>
      </c>
      <c r="CP15" s="13">
        <v>100</v>
      </c>
      <c r="CQ15" s="13">
        <f t="shared" si="51"/>
        <v>0.43347867637510595</v>
      </c>
      <c r="CR15" s="13">
        <v>43.651702331043374</v>
      </c>
      <c r="CS15" s="13">
        <f t="shared" si="52"/>
        <v>0.18922082147980809</v>
      </c>
      <c r="CT15" s="13">
        <f>'a28'!AS15</f>
        <v>19.691552569209861</v>
      </c>
      <c r="CU15" s="13">
        <f t="shared" si="53"/>
        <v>8.5358681434719086E-2</v>
      </c>
      <c r="CV15" s="13">
        <f t="shared" si="54"/>
        <v>230.69185510169387</v>
      </c>
    </row>
    <row r="16" spans="1:100" hidden="1">
      <c r="A16" s="1">
        <v>1979</v>
      </c>
      <c r="B16" s="13">
        <f>'a28'!C16</f>
        <v>67.458381994140538</v>
      </c>
      <c r="C16" s="13">
        <f t="shared" si="0"/>
        <v>0.28916488084562231</v>
      </c>
      <c r="D16" s="13">
        <v>100</v>
      </c>
      <c r="E16" s="13">
        <f t="shared" si="1"/>
        <v>0.42865670995598337</v>
      </c>
      <c r="F16" s="13">
        <v>46.847773662067659</v>
      </c>
      <c r="G16" s="13">
        <f t="shared" si="2"/>
        <v>0.20081612526744494</v>
      </c>
      <c r="H16" s="13">
        <f>'a28'!E16</f>
        <v>18.980755938546732</v>
      </c>
      <c r="I16" s="13">
        <f t="shared" si="4"/>
        <v>8.1362283930949353E-2</v>
      </c>
      <c r="J16" s="13">
        <f t="shared" si="3"/>
        <v>233.28691159475494</v>
      </c>
      <c r="K16" s="13">
        <f>'a28'!G16</f>
        <v>61.647327106082528</v>
      </c>
      <c r="L16" s="13">
        <f t="shared" si="5"/>
        <v>0.26893681090670618</v>
      </c>
      <c r="M16" s="13">
        <v>100</v>
      </c>
      <c r="N16" s="13">
        <f t="shared" si="6"/>
        <v>0.43625056191636752</v>
      </c>
      <c r="O16" s="13">
        <v>52.426872685862534</v>
      </c>
      <c r="P16" s="13">
        <f t="shared" si="7"/>
        <v>0.22871252668725389</v>
      </c>
      <c r="Q16" s="13">
        <f>'a28'!I16</f>
        <v>15.151865982546155</v>
      </c>
      <c r="R16" s="13">
        <f t="shared" si="8"/>
        <v>6.6100100489672547E-2</v>
      </c>
      <c r="S16" s="13">
        <f t="shared" si="9"/>
        <v>229.22606577449119</v>
      </c>
      <c r="T16" s="13">
        <f>'a28'!K16</f>
        <v>62.441306912967406</v>
      </c>
      <c r="U16" s="13">
        <f t="shared" si="10"/>
        <v>0.27694199540156361</v>
      </c>
      <c r="V16" s="13">
        <v>100</v>
      </c>
      <c r="W16" s="13">
        <f t="shared" si="11"/>
        <v>0.44352370104548544</v>
      </c>
      <c r="X16" s="13">
        <v>45.741334154834078</v>
      </c>
      <c r="Y16" s="13">
        <f t="shared" si="12"/>
        <v>0.20287365815110284</v>
      </c>
      <c r="Z16" s="13">
        <f>'a28'!M16</f>
        <v>17.284452943809253</v>
      </c>
      <c r="AA16" s="13">
        <f t="shared" si="13"/>
        <v>7.6660645401848165E-2</v>
      </c>
      <c r="AB16" s="13">
        <f t="shared" si="14"/>
        <v>225.46709401161073</v>
      </c>
      <c r="AC16" s="13">
        <f>'a28'!O16</f>
        <v>65.063645225548498</v>
      </c>
      <c r="AD16" s="13">
        <f t="shared" si="15"/>
        <v>0.28268715066328631</v>
      </c>
      <c r="AE16" s="13">
        <v>100</v>
      </c>
      <c r="AF16" s="13">
        <f t="shared" si="16"/>
        <v>0.43447788651147345</v>
      </c>
      <c r="AG16" s="13">
        <v>46.702359083837116</v>
      </c>
      <c r="AH16" s="13">
        <f t="shared" si="17"/>
        <v>0.20291142269845464</v>
      </c>
      <c r="AI16" s="13">
        <f>'a28'!Q16</f>
        <v>18.395306782702061</v>
      </c>
      <c r="AJ16" s="13">
        <f t="shared" si="18"/>
        <v>7.9923540126785639E-2</v>
      </c>
      <c r="AK16" s="13">
        <f t="shared" si="19"/>
        <v>230.16131109208766</v>
      </c>
      <c r="AL16" s="13">
        <f>'a28'!S16</f>
        <v>64.380125092795652</v>
      </c>
      <c r="AM16" s="13">
        <f t="shared" si="20"/>
        <v>0.28099962139908535</v>
      </c>
      <c r="AN16" s="13">
        <v>100</v>
      </c>
      <c r="AO16" s="13">
        <f t="shared" si="21"/>
        <v>0.43646951756316194</v>
      </c>
      <c r="AP16" s="13">
        <v>47.400420208447365</v>
      </c>
      <c r="AQ16" s="13">
        <f t="shared" si="22"/>
        <v>0.20688838540672175</v>
      </c>
      <c r="AR16" s="13">
        <f>'a28'!U16</f>
        <v>17.330528842735205</v>
      </c>
      <c r="AS16" s="13">
        <f t="shared" si="23"/>
        <v>7.5642475631030992E-2</v>
      </c>
      <c r="AT16" s="13">
        <f t="shared" si="24"/>
        <v>229.11107414397821</v>
      </c>
      <c r="AU16" s="13">
        <f>'a28'!W16</f>
        <v>69.196300152366319</v>
      </c>
      <c r="AV16" s="13">
        <f t="shared" si="25"/>
        <v>0.29101831395331551</v>
      </c>
      <c r="AW16" s="13">
        <v>100</v>
      </c>
      <c r="AX16" s="13">
        <f t="shared" si="26"/>
        <v>0.42056918261888243</v>
      </c>
      <c r="AY16" s="13">
        <v>49.52805792426598</v>
      </c>
      <c r="AZ16" s="13">
        <f t="shared" si="27"/>
        <v>0.20829974837909207</v>
      </c>
      <c r="BA16" s="13">
        <f>'a28'!Y16</f>
        <v>19.048650818837501</v>
      </c>
      <c r="BB16" s="13">
        <f t="shared" si="28"/>
        <v>8.0112755048709933E-2</v>
      </c>
      <c r="BC16" s="13">
        <f t="shared" si="29"/>
        <v>237.77300889546981</v>
      </c>
      <c r="BD16" s="13">
        <f>'a28'!AA16</f>
        <v>67.746448662262495</v>
      </c>
      <c r="BE16" s="13">
        <f t="shared" si="30"/>
        <v>0.28979348039064823</v>
      </c>
      <c r="BF16" s="13">
        <v>100</v>
      </c>
      <c r="BG16" s="13">
        <f t="shared" si="31"/>
        <v>0.42776187698835771</v>
      </c>
      <c r="BH16" s="13">
        <v>46.233917058981092</v>
      </c>
      <c r="BI16" s="13">
        <f t="shared" si="32"/>
        <v>0.19777107141673805</v>
      </c>
      <c r="BJ16" s="13">
        <f>'a28'!AC16</f>
        <v>19.794557617054917</v>
      </c>
      <c r="BK16" s="13">
        <f t="shared" si="33"/>
        <v>8.4673571204256046E-2</v>
      </c>
      <c r="BL16" s="13">
        <f t="shared" si="34"/>
        <v>233.77492333829849</v>
      </c>
      <c r="BM16" s="13">
        <f>'a28'!AE16</f>
        <v>64.763437169806963</v>
      </c>
      <c r="BN16" s="13">
        <f t="shared" si="35"/>
        <v>0.28281815786154929</v>
      </c>
      <c r="BO16" s="13">
        <v>100</v>
      </c>
      <c r="BP16" s="13">
        <f t="shared" si="36"/>
        <v>0.43669417532613686</v>
      </c>
      <c r="BQ16" s="13">
        <v>44.925190843656068</v>
      </c>
      <c r="BR16" s="13">
        <f t="shared" si="37"/>
        <v>0.196185691668397</v>
      </c>
      <c r="BS16" s="13">
        <f>'a28'!AG16</f>
        <v>19.304579705226786</v>
      </c>
      <c r="BT16" s="13">
        <f t="shared" si="38"/>
        <v>8.4301975143916894E-2</v>
      </c>
      <c r="BU16" s="13">
        <f t="shared" si="39"/>
        <v>228.9932077186898</v>
      </c>
      <c r="BV16" s="13">
        <f>'a28'!AI16</f>
        <v>63.231829619634581</v>
      </c>
      <c r="BW16" s="13">
        <f t="shared" si="40"/>
        <v>0.27382078140908822</v>
      </c>
      <c r="BX16" s="13">
        <v>100</v>
      </c>
      <c r="BY16" s="13">
        <f t="shared" si="41"/>
        <v>0.43304263541990268</v>
      </c>
      <c r="BZ16" s="13">
        <v>48.28445723435037</v>
      </c>
      <c r="CA16" s="13">
        <f t="shared" si="42"/>
        <v>0.2090922861058267</v>
      </c>
      <c r="CB16" s="13">
        <f>'a28'!AK16</f>
        <v>19.407857377296857</v>
      </c>
      <c r="CC16" s="13">
        <f t="shared" si="43"/>
        <v>8.4044297065182308E-2</v>
      </c>
      <c r="CD16" s="13">
        <f t="shared" si="44"/>
        <v>230.92414423128184</v>
      </c>
      <c r="CE16" s="13">
        <f>'a28'!AM16</f>
        <v>67.835100807547661</v>
      </c>
      <c r="CF16" s="13">
        <f t="shared" si="45"/>
        <v>0.29477083747131594</v>
      </c>
      <c r="CG16" s="13">
        <v>100</v>
      </c>
      <c r="CH16" s="13">
        <f t="shared" si="46"/>
        <v>0.43454028071337125</v>
      </c>
      <c r="CI16" s="13">
        <v>45.808965491224015</v>
      </c>
      <c r="CJ16" s="13">
        <f t="shared" si="47"/>
        <v>0.19905840723745619</v>
      </c>
      <c r="CK16" s="13">
        <f>'a28'!AO16</f>
        <v>16.484196691791855</v>
      </c>
      <c r="CL16" s="13">
        <f t="shared" si="48"/>
        <v>7.1630474577856582E-2</v>
      </c>
      <c r="CM16" s="13">
        <f t="shared" si="49"/>
        <v>230.12826299056354</v>
      </c>
      <c r="CN16" s="13">
        <f>'a28'!AQ16</f>
        <v>67.714290431098462</v>
      </c>
      <c r="CO16" s="13">
        <f t="shared" si="50"/>
        <v>0.2956429796213908</v>
      </c>
      <c r="CP16" s="13">
        <v>100</v>
      </c>
      <c r="CQ16" s="13">
        <f t="shared" si="51"/>
        <v>0.43660352599015617</v>
      </c>
      <c r="CR16" s="13">
        <v>41.764193770183155</v>
      </c>
      <c r="CS16" s="13">
        <f t="shared" si="52"/>
        <v>0.18234394260198081</v>
      </c>
      <c r="CT16" s="13">
        <f>'a28'!AS16</f>
        <v>19.562267985073003</v>
      </c>
      <c r="CU16" s="13">
        <f t="shared" si="53"/>
        <v>8.5409551786472221E-2</v>
      </c>
      <c r="CV16" s="13">
        <f t="shared" si="54"/>
        <v>229.04075218635461</v>
      </c>
    </row>
    <row r="17" spans="1:100" hidden="1">
      <c r="A17" s="1">
        <v>1980</v>
      </c>
      <c r="B17" s="13">
        <f>'a28'!C17</f>
        <v>67.862473413429868</v>
      </c>
      <c r="C17" s="13">
        <f t="shared" si="0"/>
        <v>0.29162722541574188</v>
      </c>
      <c r="D17" s="13">
        <v>100</v>
      </c>
      <c r="E17" s="13">
        <f t="shared" si="1"/>
        <v>0.429732679560762</v>
      </c>
      <c r="F17" s="13">
        <v>45.926446998716571</v>
      </c>
      <c r="G17" s="13">
        <f t="shared" si="2"/>
        <v>0.19736095131463788</v>
      </c>
      <c r="H17" s="13">
        <f>'a28'!E17</f>
        <v>18.91388474154099</v>
      </c>
      <c r="I17" s="13">
        <f t="shared" si="4"/>
        <v>8.1279143708858193E-2</v>
      </c>
      <c r="J17" s="13">
        <f t="shared" si="3"/>
        <v>232.70280515368745</v>
      </c>
      <c r="K17" s="13">
        <f>'a28'!G17</f>
        <v>62.389067653236353</v>
      </c>
      <c r="L17" s="13">
        <f t="shared" si="5"/>
        <v>0.27367606430533348</v>
      </c>
      <c r="M17" s="13">
        <v>100</v>
      </c>
      <c r="N17" s="13">
        <f t="shared" si="6"/>
        <v>0.43866028873271184</v>
      </c>
      <c r="O17" s="13">
        <v>50.431437131031494</v>
      </c>
      <c r="P17" s="13">
        <f t="shared" si="7"/>
        <v>0.22122268773103879</v>
      </c>
      <c r="Q17" s="13">
        <f>'a28'!I17</f>
        <v>15.146335544269055</v>
      </c>
      <c r="R17" s="13">
        <f t="shared" si="8"/>
        <v>6.6440959230916002E-2</v>
      </c>
      <c r="S17" s="13">
        <f t="shared" si="9"/>
        <v>227.96684032853688</v>
      </c>
      <c r="T17" s="13">
        <f>'a28'!K17</f>
        <v>62.99268598213925</v>
      </c>
      <c r="U17" s="13">
        <f t="shared" si="10"/>
        <v>0.27594764044527081</v>
      </c>
      <c r="V17" s="13">
        <v>100</v>
      </c>
      <c r="W17" s="13">
        <f t="shared" si="11"/>
        <v>0.43806298484162454</v>
      </c>
      <c r="X17" s="13">
        <v>48.042495701348493</v>
      </c>
      <c r="Y17" s="13">
        <f t="shared" si="12"/>
        <v>0.21045639066173635</v>
      </c>
      <c r="Z17" s="13">
        <f>'a28'!M17</f>
        <v>17.242494039681578</v>
      </c>
      <c r="AA17" s="13">
        <f t="shared" si="13"/>
        <v>7.5532984051368324E-2</v>
      </c>
      <c r="AB17" s="13">
        <f t="shared" si="14"/>
        <v>228.27767572316932</v>
      </c>
      <c r="AC17" s="13">
        <f>'a28'!O17</f>
        <v>65.547070986173836</v>
      </c>
      <c r="AD17" s="13">
        <f t="shared" si="15"/>
        <v>0.28296637669737473</v>
      </c>
      <c r="AE17" s="13">
        <v>100</v>
      </c>
      <c r="AF17" s="13">
        <f t="shared" si="16"/>
        <v>0.43169949845213101</v>
      </c>
      <c r="AG17" s="13">
        <v>47.76406400426059</v>
      </c>
      <c r="AH17" s="13">
        <f t="shared" si="17"/>
        <v>0.20619722474674781</v>
      </c>
      <c r="AI17" s="13">
        <f>'a28'!Q17</f>
        <v>18.331478351838189</v>
      </c>
      <c r="AJ17" s="13">
        <f t="shared" si="18"/>
        <v>7.9136900103746438E-2</v>
      </c>
      <c r="AK17" s="13">
        <f t="shared" si="19"/>
        <v>231.64261334227263</v>
      </c>
      <c r="AL17" s="13">
        <f>'a28'!S17</f>
        <v>64.89148550237249</v>
      </c>
      <c r="AM17" s="13">
        <f t="shared" si="20"/>
        <v>0.28238514223789535</v>
      </c>
      <c r="AN17" s="13">
        <v>100</v>
      </c>
      <c r="AO17" s="13">
        <f t="shared" si="21"/>
        <v>0.43516516851439796</v>
      </c>
      <c r="AP17" s="13">
        <v>47.613240620412697</v>
      </c>
      <c r="AQ17" s="13">
        <f t="shared" si="22"/>
        <v>0.2071962387809847</v>
      </c>
      <c r="AR17" s="13">
        <f>'a28'!U17</f>
        <v>17.293077643054065</v>
      </c>
      <c r="AS17" s="13">
        <f t="shared" si="23"/>
        <v>7.5253450466721911E-2</v>
      </c>
      <c r="AT17" s="13">
        <f t="shared" si="24"/>
        <v>229.79780376583926</v>
      </c>
      <c r="AU17" s="13">
        <f>'a28'!W17</f>
        <v>69.573717909799214</v>
      </c>
      <c r="AV17" s="13">
        <f t="shared" si="25"/>
        <v>0.29423950143764493</v>
      </c>
      <c r="AW17" s="13">
        <v>100</v>
      </c>
      <c r="AX17" s="13">
        <f t="shared" si="26"/>
        <v>0.42291760491960478</v>
      </c>
      <c r="AY17" s="13">
        <v>47.811028772798487</v>
      </c>
      <c r="AZ17" s="13">
        <f t="shared" si="27"/>
        <v>0.20220125777334247</v>
      </c>
      <c r="BA17" s="13">
        <f>'a28'!Y17</f>
        <v>19.067930710696608</v>
      </c>
      <c r="BB17" s="13">
        <f t="shared" si="28"/>
        <v>8.0641635869407868E-2</v>
      </c>
      <c r="BC17" s="13">
        <f t="shared" si="29"/>
        <v>236.45267739329429</v>
      </c>
      <c r="BD17" s="13">
        <f>'a28'!AA17</f>
        <v>68.177442681596744</v>
      </c>
      <c r="BE17" s="13">
        <f t="shared" si="30"/>
        <v>0.29138717521218838</v>
      </c>
      <c r="BF17" s="13">
        <v>100</v>
      </c>
      <c r="BG17" s="13">
        <f t="shared" si="31"/>
        <v>0.42739528464426108</v>
      </c>
      <c r="BH17" s="13">
        <v>45.977435026912843</v>
      </c>
      <c r="BI17" s="13">
        <f t="shared" si="32"/>
        <v>0.19650538930540434</v>
      </c>
      <c r="BJ17" s="13">
        <f>'a28'!AC17</f>
        <v>19.820562809591067</v>
      </c>
      <c r="BK17" s="13">
        <f t="shared" si="33"/>
        <v>8.4712150838146288E-2</v>
      </c>
      <c r="BL17" s="13">
        <f t="shared" si="34"/>
        <v>233.97544051810064</v>
      </c>
      <c r="BM17" s="13">
        <f>'a28'!AE17</f>
        <v>64.980979955241267</v>
      </c>
      <c r="BN17" s="13">
        <f t="shared" si="35"/>
        <v>0.28499710357157487</v>
      </c>
      <c r="BO17" s="13">
        <v>100</v>
      </c>
      <c r="BP17" s="13">
        <f t="shared" si="36"/>
        <v>0.43858541956104713</v>
      </c>
      <c r="BQ17" s="13">
        <v>43.830722893332023</v>
      </c>
      <c r="BR17" s="13">
        <f t="shared" si="37"/>
        <v>0.19223515989836021</v>
      </c>
      <c r="BS17" s="13">
        <f>'a28'!AG17</f>
        <v>19.194052792103903</v>
      </c>
      <c r="BT17" s="13">
        <f t="shared" si="38"/>
        <v>8.418231696901779E-2</v>
      </c>
      <c r="BU17" s="13">
        <f t="shared" si="39"/>
        <v>228.00575564067719</v>
      </c>
      <c r="BV17" s="13">
        <f>'a28'!AI17</f>
        <v>63.473853493573444</v>
      </c>
      <c r="BW17" s="13">
        <f t="shared" si="40"/>
        <v>0.27942020383575822</v>
      </c>
      <c r="BX17" s="13">
        <v>100</v>
      </c>
      <c r="BY17" s="13">
        <f t="shared" si="41"/>
        <v>0.44021307744305888</v>
      </c>
      <c r="BZ17" s="13">
        <v>44.549247476392708</v>
      </c>
      <c r="CA17" s="13">
        <f t="shared" si="42"/>
        <v>0.19611161329355259</v>
      </c>
      <c r="CB17" s="13">
        <f>'a28'!AK17</f>
        <v>19.139618912963492</v>
      </c>
      <c r="CC17" s="13">
        <f t="shared" si="43"/>
        <v>8.4255105427630317E-2</v>
      </c>
      <c r="CD17" s="13">
        <f t="shared" si="44"/>
        <v>227.16271988292965</v>
      </c>
      <c r="CE17" s="13">
        <f>'a28'!AM17</f>
        <v>68.37422051465316</v>
      </c>
      <c r="CF17" s="13">
        <f t="shared" si="45"/>
        <v>0.2977883393006967</v>
      </c>
      <c r="CG17" s="13">
        <v>100</v>
      </c>
      <c r="CH17" s="13">
        <f t="shared" si="46"/>
        <v>0.43552721633861724</v>
      </c>
      <c r="CI17" s="13">
        <v>45.088314574369434</v>
      </c>
      <c r="CJ17" s="13">
        <f t="shared" si="47"/>
        <v>0.19637188135975026</v>
      </c>
      <c r="CK17" s="13">
        <f>'a28'!AO17</f>
        <v>16.144240902334019</v>
      </c>
      <c r="CL17" s="13">
        <f t="shared" si="48"/>
        <v>7.0312563000935815E-2</v>
      </c>
      <c r="CM17" s="13">
        <f t="shared" si="49"/>
        <v>229.60677599135661</v>
      </c>
      <c r="CN17" s="13">
        <f>'a28'!AQ17</f>
        <v>67.950089243410346</v>
      </c>
      <c r="CO17" s="13">
        <f t="shared" si="50"/>
        <v>0.29790113910458943</v>
      </c>
      <c r="CP17" s="13">
        <v>100</v>
      </c>
      <c r="CQ17" s="13">
        <f t="shared" si="51"/>
        <v>0.43841169661668872</v>
      </c>
      <c r="CR17" s="13">
        <v>40.820783194014133</v>
      </c>
      <c r="CS17" s="13">
        <f t="shared" si="52"/>
        <v>0.1789630881730975</v>
      </c>
      <c r="CT17" s="13">
        <f>'a28'!AS17</f>
        <v>19.32523168507073</v>
      </c>
      <c r="CU17" s="13">
        <f t="shared" si="53"/>
        <v>8.4724076105624491E-2</v>
      </c>
      <c r="CV17" s="13">
        <f t="shared" si="54"/>
        <v>228.09610412249518</v>
      </c>
    </row>
    <row r="18" spans="1:100" hidden="1">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row>
    <row r="19" spans="1:100" ht="15.75" customHeight="1">
      <c r="A19" s="1">
        <v>1981</v>
      </c>
      <c r="B19" s="13">
        <f>'a28'!C19</f>
        <v>68.131836873736276</v>
      </c>
      <c r="C19" s="13">
        <f t="shared" ref="C19:C48" si="55">B19/J19</f>
        <v>0.2932903326236963</v>
      </c>
      <c r="D19" s="13">
        <v>100</v>
      </c>
      <c r="E19" s="13">
        <f t="shared" ref="E19:E48" si="56">D19/J19</f>
        <v>0.43047471796075265</v>
      </c>
      <c r="F19" s="13">
        <v>45.270148652400152</v>
      </c>
      <c r="G19" s="13">
        <f t="shared" ref="G19:G46" si="57">F19/J19</f>
        <v>0.19487654473183302</v>
      </c>
      <c r="H19" s="13">
        <f>'a28'!E19</f>
        <v>18.899694056164172</v>
      </c>
      <c r="I19" s="13">
        <f t="shared" si="4"/>
        <v>8.1358404683717855E-2</v>
      </c>
      <c r="J19" s="13">
        <f t="shared" ref="J19:J48" si="58">B19+D19+F19+H19</f>
        <v>232.30167958230064</v>
      </c>
      <c r="K19" s="13">
        <f>'a28'!G19</f>
        <v>63.124932644072153</v>
      </c>
      <c r="L19" s="13">
        <f t="shared" si="5"/>
        <v>0.27677691365150131</v>
      </c>
      <c r="M19" s="13">
        <v>100</v>
      </c>
      <c r="N19" s="13">
        <f t="shared" si="6"/>
        <v>0.43845894491816534</v>
      </c>
      <c r="O19" s="13">
        <v>49.756656834722762</v>
      </c>
      <c r="P19" s="13">
        <f t="shared" si="7"/>
        <v>0.21816251258407762</v>
      </c>
      <c r="Q19" s="13">
        <f>'a28'!I19</f>
        <v>15.18993502543012</v>
      </c>
      <c r="R19" s="13">
        <f t="shared" si="8"/>
        <v>6.6601628846255756E-2</v>
      </c>
      <c r="S19" s="13">
        <f t="shared" si="9"/>
        <v>228.07152450422504</v>
      </c>
      <c r="T19" s="13">
        <f>'a28'!K19</f>
        <v>63.182815193725673</v>
      </c>
      <c r="U19" s="13">
        <f t="shared" si="10"/>
        <v>0.27675217861579327</v>
      </c>
      <c r="V19" s="13">
        <v>100</v>
      </c>
      <c r="W19" s="13">
        <f t="shared" si="11"/>
        <v>0.43801811895725085</v>
      </c>
      <c r="X19" s="13">
        <v>47.69952507293511</v>
      </c>
      <c r="Y19" s="13">
        <f t="shared" si="12"/>
        <v>0.20893256247601261</v>
      </c>
      <c r="Z19" s="13">
        <f>'a28'!M19</f>
        <v>17.418717776464778</v>
      </c>
      <c r="AA19" s="13">
        <f t="shared" si="13"/>
        <v>7.6297139950943296E-2</v>
      </c>
      <c r="AB19" s="13">
        <f t="shared" si="14"/>
        <v>228.30105804312555</v>
      </c>
      <c r="AC19" s="13">
        <f>'a28'!O19</f>
        <v>65.848414556114307</v>
      </c>
      <c r="AD19" s="13">
        <f t="shared" si="15"/>
        <v>0.28431517254963307</v>
      </c>
      <c r="AE19" s="13">
        <v>100</v>
      </c>
      <c r="AF19" s="13">
        <f t="shared" si="16"/>
        <v>0.43177223698734168</v>
      </c>
      <c r="AG19" s="13">
        <v>47.455922931853834</v>
      </c>
      <c r="AH19" s="13">
        <f t="shared" si="17"/>
        <v>0.20490150002585417</v>
      </c>
      <c r="AI19" s="13">
        <f>'a28'!Q19</f>
        <v>18.299252167870943</v>
      </c>
      <c r="AJ19" s="13">
        <f t="shared" si="18"/>
        <v>7.9011090437170986E-2</v>
      </c>
      <c r="AK19" s="13">
        <f t="shared" si="19"/>
        <v>231.6035896558391</v>
      </c>
      <c r="AL19" s="13">
        <f>'a28'!S19</f>
        <v>65.231343727262697</v>
      </c>
      <c r="AM19" s="13">
        <f t="shared" si="20"/>
        <v>0.28395837404949464</v>
      </c>
      <c r="AN19" s="13">
        <v>100</v>
      </c>
      <c r="AO19" s="13">
        <f t="shared" si="21"/>
        <v>0.43530971128963186</v>
      </c>
      <c r="AP19" s="13">
        <v>47.148932069586245</v>
      </c>
      <c r="AQ19" s="13">
        <f t="shared" si="22"/>
        <v>0.20524388006826053</v>
      </c>
      <c r="AR19" s="13">
        <f>'a28'!U19</f>
        <v>17.341224566062415</v>
      </c>
      <c r="AS19" s="13">
        <f t="shared" si="23"/>
        <v>7.5488034592613024E-2</v>
      </c>
      <c r="AT19" s="13">
        <f t="shared" si="24"/>
        <v>229.72150036291134</v>
      </c>
      <c r="AU19" s="13">
        <f>'a28'!W19</f>
        <v>69.747664920324041</v>
      </c>
      <c r="AV19" s="13">
        <f t="shared" si="25"/>
        <v>0.29572740632989319</v>
      </c>
      <c r="AW19" s="13">
        <v>100</v>
      </c>
      <c r="AX19" s="13">
        <f t="shared" si="26"/>
        <v>0.4239961390359322</v>
      </c>
      <c r="AY19" s="13">
        <v>46.984485994451276</v>
      </c>
      <c r="AZ19" s="13">
        <f t="shared" si="27"/>
        <v>0.1992124065623517</v>
      </c>
      <c r="BA19" s="13">
        <f>'a28'!Y19</f>
        <v>19.119053361227163</v>
      </c>
      <c r="BB19" s="13">
        <f t="shared" si="28"/>
        <v>8.1064048071822783E-2</v>
      </c>
      <c r="BC19" s="13">
        <f t="shared" si="29"/>
        <v>235.85120427600251</v>
      </c>
      <c r="BD19" s="13">
        <f>'a28'!AA19</f>
        <v>68.467784636131881</v>
      </c>
      <c r="BE19" s="13">
        <f t="shared" si="30"/>
        <v>0.29253062495724075</v>
      </c>
      <c r="BF19" s="13">
        <v>100</v>
      </c>
      <c r="BG19" s="13">
        <f t="shared" si="31"/>
        <v>0.42725294313504958</v>
      </c>
      <c r="BH19" s="13">
        <v>45.665496734309848</v>
      </c>
      <c r="BI19" s="13">
        <f t="shared" si="32"/>
        <v>0.19510717879457878</v>
      </c>
      <c r="BJ19" s="13">
        <f>'a28'!AC19</f>
        <v>19.920109265632096</v>
      </c>
      <c r="BK19" s="13">
        <f t="shared" si="33"/>
        <v>8.5109253113130848E-2</v>
      </c>
      <c r="BL19" s="13">
        <f t="shared" si="34"/>
        <v>234.05339063607383</v>
      </c>
      <c r="BM19" s="13">
        <f>'a28'!AE19</f>
        <v>65.123195998242466</v>
      </c>
      <c r="BN19" s="13">
        <f t="shared" si="35"/>
        <v>0.28568106368116275</v>
      </c>
      <c r="BO19" s="13">
        <v>100</v>
      </c>
      <c r="BP19" s="13">
        <f t="shared" si="36"/>
        <v>0.43867789241927357</v>
      </c>
      <c r="BQ19" s="13">
        <v>43.693850511690385</v>
      </c>
      <c r="BR19" s="13">
        <f t="shared" si="37"/>
        <v>0.19167526254151138</v>
      </c>
      <c r="BS19" s="13">
        <f>'a28'!AG19</f>
        <v>19.140645746925532</v>
      </c>
      <c r="BT19" s="13">
        <f t="shared" si="38"/>
        <v>8.3965781358052244E-2</v>
      </c>
      <c r="BU19" s="13">
        <f t="shared" si="39"/>
        <v>227.95769225685839</v>
      </c>
      <c r="BV19" s="13">
        <f>'a28'!AI19</f>
        <v>63.521832747635429</v>
      </c>
      <c r="BW19" s="13">
        <f t="shared" si="40"/>
        <v>0.27996589888288281</v>
      </c>
      <c r="BX19" s="13">
        <v>100</v>
      </c>
      <c r="BY19" s="13">
        <f t="shared" si="41"/>
        <v>0.44073964300613544</v>
      </c>
      <c r="BZ19" s="13">
        <v>44.488596968056527</v>
      </c>
      <c r="CA19" s="13">
        <f t="shared" si="42"/>
        <v>0.19607888345545071</v>
      </c>
      <c r="CB19" s="13">
        <f>'a28'!AK19</f>
        <v>18.880891695592865</v>
      </c>
      <c r="CC19" s="13">
        <f t="shared" si="43"/>
        <v>8.321557465553106E-2</v>
      </c>
      <c r="CD19" s="13">
        <f t="shared" si="44"/>
        <v>226.89132141128482</v>
      </c>
      <c r="CE19" s="13">
        <f>'a28'!AM19</f>
        <v>68.86326417307987</v>
      </c>
      <c r="CF19" s="13">
        <f t="shared" si="45"/>
        <v>0.30185824916684456</v>
      </c>
      <c r="CG19" s="13">
        <v>100</v>
      </c>
      <c r="CH19" s="13">
        <f t="shared" si="46"/>
        <v>0.43834438113209201</v>
      </c>
      <c r="CI19" s="13">
        <v>43.437814132789072</v>
      </c>
      <c r="CJ19" s="13">
        <f t="shared" si="47"/>
        <v>0.19040721753768264</v>
      </c>
      <c r="CK19" s="13">
        <f>'a28'!AO19</f>
        <v>15.830053982708773</v>
      </c>
      <c r="CL19" s="13">
        <f t="shared" si="48"/>
        <v>6.9390152163380847E-2</v>
      </c>
      <c r="CM19" s="13">
        <f t="shared" si="49"/>
        <v>228.1311322885777</v>
      </c>
      <c r="CN19" s="13">
        <f>'a28'!AQ19</f>
        <v>68.15872874358142</v>
      </c>
      <c r="CO19" s="13">
        <f t="shared" si="50"/>
        <v>0.29993661486411016</v>
      </c>
      <c r="CP19" s="13">
        <v>100</v>
      </c>
      <c r="CQ19" s="13">
        <f t="shared" si="51"/>
        <v>0.44005605795920233</v>
      </c>
      <c r="CR19" s="13">
        <v>39.89446221094861</v>
      </c>
      <c r="CS19" s="13">
        <f t="shared" si="52"/>
        <v>0.1755579977495241</v>
      </c>
      <c r="CT19" s="13">
        <f>'a28'!AS19</f>
        <v>19.190584449355011</v>
      </c>
      <c r="CU19" s="13">
        <f t="shared" si="53"/>
        <v>8.4449329427163364E-2</v>
      </c>
      <c r="CV19" s="13">
        <f t="shared" si="54"/>
        <v>227.24377540388505</v>
      </c>
    </row>
    <row r="20" spans="1:100" ht="15.75" customHeight="1">
      <c r="A20" s="1">
        <v>1982</v>
      </c>
      <c r="B20" s="13">
        <f>'a28'!C20</f>
        <v>68.280441942335173</v>
      </c>
      <c r="C20" s="13">
        <f t="shared" si="55"/>
        <v>0.2945424226999977</v>
      </c>
      <c r="D20" s="13">
        <v>100</v>
      </c>
      <c r="E20" s="13">
        <f t="shared" si="56"/>
        <v>0.43137158214170229</v>
      </c>
      <c r="F20" s="13">
        <v>44.641456670539121</v>
      </c>
      <c r="G20" s="13">
        <f t="shared" si="57"/>
        <v>0.1925705579308071</v>
      </c>
      <c r="H20" s="13">
        <f>'a28'!E20</f>
        <v>18.8968028034623</v>
      </c>
      <c r="I20" s="13">
        <f t="shared" si="4"/>
        <v>8.1515437227492868E-2</v>
      </c>
      <c r="J20" s="13">
        <f t="shared" si="58"/>
        <v>231.81870141633661</v>
      </c>
      <c r="K20" s="13">
        <f>'a28'!G20</f>
        <v>63.563467789018723</v>
      </c>
      <c r="L20" s="13">
        <f t="shared" si="5"/>
        <v>0.27855859854644321</v>
      </c>
      <c r="M20" s="13">
        <v>100</v>
      </c>
      <c r="N20" s="13">
        <f t="shared" si="6"/>
        <v>0.43823694369703226</v>
      </c>
      <c r="O20" s="13">
        <v>49.298084506820729</v>
      </c>
      <c r="P20" s="13">
        <f t="shared" si="7"/>
        <v>0.21604241884387132</v>
      </c>
      <c r="Q20" s="13">
        <f>'a28'!I20</f>
        <v>15.32550823900522</v>
      </c>
      <c r="R20" s="13">
        <f t="shared" si="8"/>
        <v>6.7162038912653349E-2</v>
      </c>
      <c r="S20" s="13">
        <f t="shared" si="9"/>
        <v>228.18706053484465</v>
      </c>
      <c r="T20" s="13">
        <f>'a28'!K20</f>
        <v>63.203547269961483</v>
      </c>
      <c r="U20" s="13">
        <f t="shared" si="10"/>
        <v>0.27715326507313148</v>
      </c>
      <c r="V20" s="13">
        <v>100</v>
      </c>
      <c r="W20" s="13">
        <f t="shared" si="11"/>
        <v>0.43850903476877012</v>
      </c>
      <c r="X20" s="13">
        <v>47.316760907647918</v>
      </c>
      <c r="Y20" s="13">
        <f t="shared" si="12"/>
        <v>0.20748827153997365</v>
      </c>
      <c r="Z20" s="13">
        <f>'a28'!M20</f>
        <v>17.525164255429328</v>
      </c>
      <c r="AA20" s="13">
        <f t="shared" si="13"/>
        <v>7.684942861812466E-2</v>
      </c>
      <c r="AB20" s="13">
        <f t="shared" si="14"/>
        <v>228.04547243303875</v>
      </c>
      <c r="AC20" s="13">
        <f>'a28'!O20</f>
        <v>66.043411350836635</v>
      </c>
      <c r="AD20" s="13">
        <f t="shared" si="15"/>
        <v>0.28560043237105065</v>
      </c>
      <c r="AE20" s="13">
        <v>100</v>
      </c>
      <c r="AF20" s="13">
        <f t="shared" si="16"/>
        <v>0.43244348910730923</v>
      </c>
      <c r="AG20" s="13">
        <v>46.948864160156084</v>
      </c>
      <c r="AH20" s="13">
        <f t="shared" si="17"/>
        <v>0.20302730627043</v>
      </c>
      <c r="AI20" s="13">
        <f>'a28'!Q20</f>
        <v>18.251811910532478</v>
      </c>
      <c r="AJ20" s="13">
        <f t="shared" si="18"/>
        <v>7.8928772251210089E-2</v>
      </c>
      <c r="AK20" s="13">
        <f t="shared" si="19"/>
        <v>231.24408742152519</v>
      </c>
      <c r="AL20" s="13">
        <f>'a28'!S20</f>
        <v>65.489068593568234</v>
      </c>
      <c r="AM20" s="13">
        <f t="shared" si="20"/>
        <v>0.28543968386886798</v>
      </c>
      <c r="AN20" s="13">
        <v>100</v>
      </c>
      <c r="AO20" s="13">
        <f t="shared" si="21"/>
        <v>0.43585851806861914</v>
      </c>
      <c r="AP20" s="13">
        <v>46.570675681571373</v>
      </c>
      <c r="AQ20" s="13">
        <f t="shared" si="22"/>
        <v>0.20298225688023977</v>
      </c>
      <c r="AR20" s="13">
        <f>'a28'!U20</f>
        <v>17.372504618655267</v>
      </c>
      <c r="AS20" s="13">
        <f t="shared" si="23"/>
        <v>7.5719541182273253E-2</v>
      </c>
      <c r="AT20" s="13">
        <f t="shared" si="24"/>
        <v>229.43224889379485</v>
      </c>
      <c r="AU20" s="13">
        <f>'a28'!W20</f>
        <v>69.841889022496474</v>
      </c>
      <c r="AV20" s="13">
        <f t="shared" si="25"/>
        <v>0.29690091531184037</v>
      </c>
      <c r="AW20" s="13">
        <v>100</v>
      </c>
      <c r="AX20" s="13">
        <f t="shared" si="26"/>
        <v>0.42510435995825779</v>
      </c>
      <c r="AY20" s="13">
        <v>46.217550871520068</v>
      </c>
      <c r="AZ20" s="13">
        <f t="shared" si="27"/>
        <v>0.19647282382075759</v>
      </c>
      <c r="BA20" s="13">
        <f>'a28'!Y20</f>
        <v>19.176914797380373</v>
      </c>
      <c r="BB20" s="13">
        <f t="shared" si="28"/>
        <v>8.1521900909144268E-2</v>
      </c>
      <c r="BC20" s="13">
        <f t="shared" si="29"/>
        <v>235.23635469139691</v>
      </c>
      <c r="BD20" s="13">
        <f>'a28'!AA20</f>
        <v>68.659341492113256</v>
      </c>
      <c r="BE20" s="13">
        <f t="shared" si="30"/>
        <v>0.29373717432740698</v>
      </c>
      <c r="BF20" s="13">
        <v>100</v>
      </c>
      <c r="BG20" s="13">
        <f t="shared" si="31"/>
        <v>0.427818222464525</v>
      </c>
      <c r="BH20" s="13">
        <v>45.125717383941925</v>
      </c>
      <c r="BI20" s="13">
        <f t="shared" si="32"/>
        <v>0.19305604198634549</v>
      </c>
      <c r="BJ20" s="13">
        <f>'a28'!AC20</f>
        <v>19.959075312366597</v>
      </c>
      <c r="BK20" s="13">
        <f t="shared" si="33"/>
        <v>8.5388561221722614E-2</v>
      </c>
      <c r="BL20" s="13">
        <f t="shared" si="34"/>
        <v>233.74413418842175</v>
      </c>
      <c r="BM20" s="13">
        <f>'a28'!AE20</f>
        <v>65.230228161618939</v>
      </c>
      <c r="BN20" s="13">
        <f t="shared" si="35"/>
        <v>0.28688221358121335</v>
      </c>
      <c r="BO20" s="13">
        <v>100</v>
      </c>
      <c r="BP20" s="13">
        <f t="shared" si="36"/>
        <v>0.43979949429337278</v>
      </c>
      <c r="BQ20" s="13">
        <v>43.200317973745868</v>
      </c>
      <c r="BR20" s="13">
        <f t="shared" si="37"/>
        <v>0.18999477998166336</v>
      </c>
      <c r="BS20" s="13">
        <f>'a28'!AG20</f>
        <v>18.945795351044371</v>
      </c>
      <c r="BT20" s="13">
        <f t="shared" si="38"/>
        <v>8.3323512143750472E-2</v>
      </c>
      <c r="BU20" s="13">
        <f t="shared" si="39"/>
        <v>227.37634148640919</v>
      </c>
      <c r="BV20" s="13">
        <f>'a28'!AI20</f>
        <v>63.447336359268668</v>
      </c>
      <c r="BW20" s="13">
        <f t="shared" si="40"/>
        <v>0.28032779531096946</v>
      </c>
      <c r="BX20" s="13">
        <v>100</v>
      </c>
      <c r="BY20" s="13">
        <f t="shared" si="41"/>
        <v>0.44182752404864029</v>
      </c>
      <c r="BZ20" s="13">
        <v>44.289406348628098</v>
      </c>
      <c r="CA20" s="13">
        <f t="shared" si="42"/>
        <v>0.19568278748598483</v>
      </c>
      <c r="CB20" s="13">
        <f>'a28'!AK20</f>
        <v>18.595920055302042</v>
      </c>
      <c r="CC20" s="13">
        <f t="shared" si="43"/>
        <v>8.2161893154405544E-2</v>
      </c>
      <c r="CD20" s="13">
        <f t="shared" si="44"/>
        <v>226.33266276319878</v>
      </c>
      <c r="CE20" s="13">
        <f>'a28'!AM20</f>
        <v>69.109053108096077</v>
      </c>
      <c r="CF20" s="13">
        <f t="shared" si="45"/>
        <v>0.30408902115399244</v>
      </c>
      <c r="CG20" s="13">
        <v>100</v>
      </c>
      <c r="CH20" s="13">
        <f t="shared" si="46"/>
        <v>0.4400132941748679</v>
      </c>
      <c r="CI20" s="13">
        <v>42.437896418969977</v>
      </c>
      <c r="CJ20" s="13">
        <f t="shared" si="47"/>
        <v>0.18673238601162809</v>
      </c>
      <c r="CK20" s="13">
        <f>'a28'!AO20</f>
        <v>15.71891112726794</v>
      </c>
      <c r="CL20" s="13">
        <f t="shared" si="48"/>
        <v>6.9165298659511529E-2</v>
      </c>
      <c r="CM20" s="13">
        <f t="shared" si="49"/>
        <v>227.26586065433401</v>
      </c>
      <c r="CN20" s="13">
        <f>'a28'!AQ20</f>
        <v>68.184638831807817</v>
      </c>
      <c r="CO20" s="13">
        <f t="shared" si="50"/>
        <v>0.30061135919746246</v>
      </c>
      <c r="CP20" s="13">
        <v>100</v>
      </c>
      <c r="CQ20" s="13">
        <f t="shared" si="51"/>
        <v>0.4408784212218026</v>
      </c>
      <c r="CR20" s="13">
        <v>39.441085381536794</v>
      </c>
      <c r="CS20" s="13">
        <f t="shared" si="52"/>
        <v>0.17388723454286259</v>
      </c>
      <c r="CT20" s="13">
        <f>'a28'!AS20</f>
        <v>19.19417711652963</v>
      </c>
      <c r="CU20" s="13">
        <f t="shared" si="53"/>
        <v>8.4622985037872342E-2</v>
      </c>
      <c r="CV20" s="13">
        <f t="shared" si="54"/>
        <v>226.81990132987426</v>
      </c>
    </row>
    <row r="21" spans="1:100" ht="15.75" customHeight="1">
      <c r="A21" s="1">
        <v>1983</v>
      </c>
      <c r="B21" s="13">
        <f>'a28'!C21</f>
        <v>68.375666741870987</v>
      </c>
      <c r="C21" s="13">
        <f t="shared" si="55"/>
        <v>0.29546153610861459</v>
      </c>
      <c r="D21" s="13">
        <v>100</v>
      </c>
      <c r="E21" s="13">
        <f t="shared" si="56"/>
        <v>0.4321150347594106</v>
      </c>
      <c r="F21" s="13">
        <v>44.106666294844707</v>
      </c>
      <c r="G21" s="13">
        <f t="shared" si="57"/>
        <v>0.19059153639118545</v>
      </c>
      <c r="H21" s="13">
        <f>'a28'!E21</f>
        <v>18.937525001033844</v>
      </c>
      <c r="I21" s="13">
        <f t="shared" si="4"/>
        <v>8.1831892740789461E-2</v>
      </c>
      <c r="J21" s="13">
        <f t="shared" si="58"/>
        <v>231.41985803774952</v>
      </c>
      <c r="K21" s="13">
        <f>'a28'!G21</f>
        <v>64.221187781008496</v>
      </c>
      <c r="L21" s="13">
        <f t="shared" si="5"/>
        <v>0.28175272672593177</v>
      </c>
      <c r="M21" s="13">
        <v>100</v>
      </c>
      <c r="N21" s="13">
        <f t="shared" si="6"/>
        <v>0.43872238502765865</v>
      </c>
      <c r="O21" s="13">
        <v>48.405287105597345</v>
      </c>
      <c r="P21" s="13">
        <f t="shared" si="7"/>
        <v>0.2123648300691624</v>
      </c>
      <c r="Q21" s="13">
        <f>'a28'!I21</f>
        <v>15.30809926031314</v>
      </c>
      <c r="R21" s="13">
        <f t="shared" si="8"/>
        <v>6.7160058177247184E-2</v>
      </c>
      <c r="S21" s="13">
        <f t="shared" si="9"/>
        <v>227.93457414691898</v>
      </c>
      <c r="T21" s="13">
        <f>'a28'!K21</f>
        <v>63.615289923422495</v>
      </c>
      <c r="U21" s="13">
        <f t="shared" si="10"/>
        <v>0.27974260153294089</v>
      </c>
      <c r="V21" s="13">
        <v>100</v>
      </c>
      <c r="W21" s="13">
        <f t="shared" si="11"/>
        <v>0.43974114064352088</v>
      </c>
      <c r="X21" s="13">
        <v>46.388624924929239</v>
      </c>
      <c r="Y21" s="13">
        <f t="shared" si="12"/>
        <v>0.20398986837372846</v>
      </c>
      <c r="Z21" s="13">
        <f>'a28'!M21</f>
        <v>17.40259947882528</v>
      </c>
      <c r="AA21" s="13">
        <f t="shared" si="13"/>
        <v>7.6526389449809704E-2</v>
      </c>
      <c r="AB21" s="13">
        <f t="shared" si="14"/>
        <v>227.40651432717704</v>
      </c>
      <c r="AC21" s="13">
        <f>'a28'!O21</f>
        <v>66.330104377689906</v>
      </c>
      <c r="AD21" s="13">
        <f t="shared" si="15"/>
        <v>0.28749131636919967</v>
      </c>
      <c r="AE21" s="13">
        <v>100</v>
      </c>
      <c r="AF21" s="13">
        <f t="shared" si="16"/>
        <v>0.43342509267315005</v>
      </c>
      <c r="AG21" s="13">
        <v>46.241705073697936</v>
      </c>
      <c r="AH21" s="13">
        <f t="shared" si="17"/>
        <v>0.20042315306932001</v>
      </c>
      <c r="AI21" s="13">
        <f>'a28'!Q21</f>
        <v>18.148565742511998</v>
      </c>
      <c r="AJ21" s="13">
        <f t="shared" si="18"/>
        <v>7.8660437888330201E-2</v>
      </c>
      <c r="AK21" s="13">
        <f t="shared" si="19"/>
        <v>230.72037519389986</v>
      </c>
      <c r="AL21" s="13">
        <f>'a28'!S21</f>
        <v>65.830071540284436</v>
      </c>
      <c r="AM21" s="13">
        <f t="shared" si="20"/>
        <v>0.28772197174003772</v>
      </c>
      <c r="AN21" s="13">
        <v>100</v>
      </c>
      <c r="AO21" s="13">
        <f t="shared" si="21"/>
        <v>0.43706768807621216</v>
      </c>
      <c r="AP21" s="13">
        <v>45.660819754811754</v>
      </c>
      <c r="AQ21" s="13">
        <f t="shared" si="22"/>
        <v>0.19956868925900212</v>
      </c>
      <c r="AR21" s="13">
        <f>'a28'!U21</f>
        <v>17.306621603095511</v>
      </c>
      <c r="AS21" s="13">
        <f t="shared" si="23"/>
        <v>7.5641650924747839E-2</v>
      </c>
      <c r="AT21" s="13">
        <f t="shared" si="24"/>
        <v>228.79751289819174</v>
      </c>
      <c r="AU21" s="13">
        <f>'a28'!W21</f>
        <v>69.896846512845116</v>
      </c>
      <c r="AV21" s="13">
        <f t="shared" si="25"/>
        <v>0.29785072559838893</v>
      </c>
      <c r="AW21" s="13">
        <v>100</v>
      </c>
      <c r="AX21" s="13">
        <f t="shared" si="26"/>
        <v>0.42612898930090098</v>
      </c>
      <c r="AY21" s="13">
        <v>45.516837059444889</v>
      </c>
      <c r="AZ21" s="13">
        <f t="shared" si="27"/>
        <v>0.19396043772315044</v>
      </c>
      <c r="BA21" s="13">
        <f>'a28'!Y21</f>
        <v>19.257044096480133</v>
      </c>
      <c r="BB21" s="13">
        <f t="shared" si="28"/>
        <v>8.20598473775596E-2</v>
      </c>
      <c r="BC21" s="13">
        <f t="shared" si="29"/>
        <v>234.67072766877016</v>
      </c>
      <c r="BD21" s="13">
        <f>'a28'!AA21</f>
        <v>68.82531060126351</v>
      </c>
      <c r="BE21" s="13">
        <f t="shared" si="30"/>
        <v>0.29488985327510192</v>
      </c>
      <c r="BF21" s="13">
        <v>100</v>
      </c>
      <c r="BG21" s="13">
        <f t="shared" si="31"/>
        <v>0.4284613475753617</v>
      </c>
      <c r="BH21" s="13">
        <v>44.558079046883357</v>
      </c>
      <c r="BI21" s="13">
        <f t="shared" si="32"/>
        <v>0.19091414593797132</v>
      </c>
      <c r="BJ21" s="13">
        <f>'a28'!AC21</f>
        <v>20.009892070015766</v>
      </c>
      <c r="BK21" s="13">
        <f t="shared" si="33"/>
        <v>8.5734653211564996E-2</v>
      </c>
      <c r="BL21" s="13">
        <f t="shared" si="34"/>
        <v>233.39328171816265</v>
      </c>
      <c r="BM21" s="13">
        <f>'a28'!AE21</f>
        <v>65.376050245717863</v>
      </c>
      <c r="BN21" s="13">
        <f t="shared" si="35"/>
        <v>0.28839488722508655</v>
      </c>
      <c r="BO21" s="13">
        <v>100</v>
      </c>
      <c r="BP21" s="13">
        <f t="shared" si="36"/>
        <v>0.44113232007921199</v>
      </c>
      <c r="BQ21" s="13">
        <v>42.557782082200902</v>
      </c>
      <c r="BR21" s="13">
        <f t="shared" si="37"/>
        <v>0.18773613147346802</v>
      </c>
      <c r="BS21" s="13">
        <f>'a28'!AG21</f>
        <v>18.755520159433527</v>
      </c>
      <c r="BT21" s="13">
        <f t="shared" si="38"/>
        <v>8.2736661222233429E-2</v>
      </c>
      <c r="BU21" s="13">
        <f t="shared" si="39"/>
        <v>226.68935248735229</v>
      </c>
      <c r="BV21" s="13">
        <f>'a28'!AI21</f>
        <v>63.447953506070917</v>
      </c>
      <c r="BW21" s="13">
        <f t="shared" si="40"/>
        <v>0.28112836194606916</v>
      </c>
      <c r="BX21" s="13">
        <v>100</v>
      </c>
      <c r="BY21" s="13">
        <f t="shared" si="41"/>
        <v>0.44308499551395281</v>
      </c>
      <c r="BZ21" s="13">
        <v>43.954320861457006</v>
      </c>
      <c r="CA21" s="13">
        <f t="shared" si="42"/>
        <v>0.19475500061717518</v>
      </c>
      <c r="CB21" s="13">
        <f>'a28'!AK21</f>
        <v>18.288058215289105</v>
      </c>
      <c r="CC21" s="13">
        <f t="shared" si="43"/>
        <v>8.1031641922802808E-2</v>
      </c>
      <c r="CD21" s="13">
        <f t="shared" si="44"/>
        <v>225.69033258281704</v>
      </c>
      <c r="CE21" s="13">
        <f>'a28'!AM21</f>
        <v>68.971840171257611</v>
      </c>
      <c r="CF21" s="13">
        <f t="shared" si="45"/>
        <v>0.30356384399007069</v>
      </c>
      <c r="CG21" s="13">
        <v>100</v>
      </c>
      <c r="CH21" s="13">
        <f t="shared" si="46"/>
        <v>0.44012722182896569</v>
      </c>
      <c r="CI21" s="13">
        <v>42.396119018011525</v>
      </c>
      <c r="CJ21" s="13">
        <f t="shared" si="47"/>
        <v>0.18659686079727592</v>
      </c>
      <c r="CK21" s="13">
        <f>'a28'!AO21</f>
        <v>15.839073323844088</v>
      </c>
      <c r="CL21" s="13">
        <f t="shared" si="48"/>
        <v>6.9712073383687803E-2</v>
      </c>
      <c r="CM21" s="13">
        <f t="shared" si="49"/>
        <v>227.20703251311321</v>
      </c>
      <c r="CN21" s="13">
        <f>'a28'!AQ21</f>
        <v>68.149050284402207</v>
      </c>
      <c r="CO21" s="13">
        <f t="shared" si="50"/>
        <v>0.30061217715065797</v>
      </c>
      <c r="CP21" s="13">
        <v>100</v>
      </c>
      <c r="CQ21" s="13">
        <f t="shared" si="51"/>
        <v>0.4411098553774877</v>
      </c>
      <c r="CR21" s="13">
        <v>39.222573933523265</v>
      </c>
      <c r="CS21" s="13">
        <f t="shared" si="52"/>
        <v>0.17301463915349266</v>
      </c>
      <c r="CT21" s="13">
        <f>'a28'!AS21</f>
        <v>19.329273032314337</v>
      </c>
      <c r="CU21" s="13">
        <f t="shared" si="53"/>
        <v>8.5263328318361503E-2</v>
      </c>
      <c r="CV21" s="13">
        <f t="shared" si="54"/>
        <v>226.70089725023985</v>
      </c>
    </row>
    <row r="22" spans="1:100" ht="15.75" customHeight="1">
      <c r="A22" s="1">
        <v>1984</v>
      </c>
      <c r="B22" s="13">
        <f>'a28'!C22</f>
        <v>68.439023420617744</v>
      </c>
      <c r="C22" s="13">
        <f t="shared" si="55"/>
        <v>0.29623679410115122</v>
      </c>
      <c r="D22" s="13">
        <v>100</v>
      </c>
      <c r="E22" s="13">
        <f t="shared" si="56"/>
        <v>0.43284778083479752</v>
      </c>
      <c r="F22" s="13">
        <v>43.599666771218274</v>
      </c>
      <c r="G22" s="13">
        <f t="shared" si="57"/>
        <v>0.18872019007058491</v>
      </c>
      <c r="H22" s="13">
        <f>'a28'!E22</f>
        <v>18.989408894494812</v>
      </c>
      <c r="I22" s="13">
        <f t="shared" si="4"/>
        <v>8.2195234993466454E-2</v>
      </c>
      <c r="J22" s="13">
        <f t="shared" si="58"/>
        <v>231.0280990863308</v>
      </c>
      <c r="K22" s="13">
        <f>'a28'!G22</f>
        <v>64.757225483350993</v>
      </c>
      <c r="L22" s="13">
        <f t="shared" si="5"/>
        <v>0.2839806949831537</v>
      </c>
      <c r="M22" s="13">
        <v>100</v>
      </c>
      <c r="N22" s="13">
        <f t="shared" si="6"/>
        <v>0.43853128799683494</v>
      </c>
      <c r="O22" s="13">
        <v>47.885641040647698</v>
      </c>
      <c r="P22" s="13">
        <f t="shared" si="7"/>
        <v>0.20999351842109334</v>
      </c>
      <c r="Q22" s="13">
        <f>'a28'!I22</f>
        <v>15.391033763457543</v>
      </c>
      <c r="R22" s="13">
        <f t="shared" si="8"/>
        <v>6.7494498598918096E-2</v>
      </c>
      <c r="S22" s="13">
        <f t="shared" si="9"/>
        <v>228.03390028745622</v>
      </c>
      <c r="T22" s="13">
        <f>'a28'!K22</f>
        <v>64.03530257658241</v>
      </c>
      <c r="U22" s="13">
        <f t="shared" si="10"/>
        <v>0.28211939144709225</v>
      </c>
      <c r="V22" s="13">
        <v>100</v>
      </c>
      <c r="W22" s="13">
        <f t="shared" si="11"/>
        <v>0.44056853031918491</v>
      </c>
      <c r="X22" s="13">
        <v>45.633394870205464</v>
      </c>
      <c r="Y22" s="13">
        <f t="shared" si="12"/>
        <v>0.20104637711441453</v>
      </c>
      <c r="Z22" s="13">
        <f>'a28'!M22</f>
        <v>17.310746426680783</v>
      </c>
      <c r="AA22" s="13">
        <f t="shared" si="13"/>
        <v>7.6265701119308346E-2</v>
      </c>
      <c r="AB22" s="13">
        <f t="shared" si="14"/>
        <v>226.97944387346865</v>
      </c>
      <c r="AC22" s="13">
        <f>'a28'!O22</f>
        <v>66.580547961129199</v>
      </c>
      <c r="AD22" s="13">
        <f t="shared" si="15"/>
        <v>0.28914538444368543</v>
      </c>
      <c r="AE22" s="13">
        <v>100</v>
      </c>
      <c r="AF22" s="13">
        <f t="shared" si="16"/>
        <v>0.43427906993570131</v>
      </c>
      <c r="AG22" s="13">
        <v>45.611575446664091</v>
      </c>
      <c r="AH22" s="13">
        <f t="shared" si="17"/>
        <v>0.19808152563279349</v>
      </c>
      <c r="AI22" s="13">
        <f>'a28'!Q22</f>
        <v>18.074557449761873</v>
      </c>
      <c r="AJ22" s="13">
        <f t="shared" si="18"/>
        <v>7.8494019987819866E-2</v>
      </c>
      <c r="AK22" s="13">
        <f t="shared" si="19"/>
        <v>230.26668085755514</v>
      </c>
      <c r="AL22" s="13">
        <f>'a28'!S22</f>
        <v>66.097700447474494</v>
      </c>
      <c r="AM22" s="13">
        <f t="shared" si="20"/>
        <v>0.28957917357274238</v>
      </c>
      <c r="AN22" s="13">
        <v>100</v>
      </c>
      <c r="AO22" s="13">
        <f t="shared" si="21"/>
        <v>0.43810778833805381</v>
      </c>
      <c r="AP22" s="13">
        <v>44.859881378755141</v>
      </c>
      <c r="AQ22" s="13">
        <f t="shared" si="22"/>
        <v>0.19653463415953859</v>
      </c>
      <c r="AR22" s="13">
        <f>'a28'!U22</f>
        <v>17.296748870210191</v>
      </c>
      <c r="AS22" s="13">
        <f t="shared" si="23"/>
        <v>7.5778403929665172E-2</v>
      </c>
      <c r="AT22" s="13">
        <f t="shared" si="24"/>
        <v>228.25433069643984</v>
      </c>
      <c r="AU22" s="13">
        <f>'a28'!W22</f>
        <v>69.923603801412099</v>
      </c>
      <c r="AV22" s="13">
        <f t="shared" si="25"/>
        <v>0.29872231972344598</v>
      </c>
      <c r="AW22" s="13">
        <v>100</v>
      </c>
      <c r="AX22" s="13">
        <f t="shared" si="26"/>
        <v>0.42721241967424639</v>
      </c>
      <c r="AY22" s="13">
        <v>44.781736465344409</v>
      </c>
      <c r="AZ22" s="13">
        <f t="shared" si="27"/>
        <v>0.1913131399257422</v>
      </c>
      <c r="BA22" s="13">
        <f>'a28'!Y22</f>
        <v>19.370251627905574</v>
      </c>
      <c r="BB22" s="13">
        <f t="shared" si="28"/>
        <v>8.275212067656551E-2</v>
      </c>
      <c r="BC22" s="13">
        <f t="shared" si="29"/>
        <v>234.07559189466207</v>
      </c>
      <c r="BD22" s="13">
        <f>'a28'!AA22</f>
        <v>68.952735559723905</v>
      </c>
      <c r="BE22" s="13">
        <f t="shared" si="30"/>
        <v>0.29600721719371442</v>
      </c>
      <c r="BF22" s="13">
        <v>100</v>
      </c>
      <c r="BG22" s="13">
        <f t="shared" si="31"/>
        <v>0.42929002713362352</v>
      </c>
      <c r="BH22" s="13">
        <v>43.953929442377763</v>
      </c>
      <c r="BI22" s="13">
        <f t="shared" si="32"/>
        <v>0.18868983562947722</v>
      </c>
      <c r="BJ22" s="13">
        <f>'a28'!AC22</f>
        <v>20.036086236965346</v>
      </c>
      <c r="BK22" s="13">
        <f t="shared" si="33"/>
        <v>8.601292004318474E-2</v>
      </c>
      <c r="BL22" s="13">
        <f t="shared" si="34"/>
        <v>232.94275123906704</v>
      </c>
      <c r="BM22" s="13">
        <f>'a28'!AE22</f>
        <v>65.476996855786012</v>
      </c>
      <c r="BN22" s="13">
        <f t="shared" si="35"/>
        <v>0.28956618606126439</v>
      </c>
      <c r="BO22" s="13">
        <v>100</v>
      </c>
      <c r="BP22" s="13">
        <f t="shared" si="36"/>
        <v>0.44224109224043656</v>
      </c>
      <c r="BQ22" s="13">
        <v>42.068607134043617</v>
      </c>
      <c r="BR22" s="13">
        <f t="shared" si="37"/>
        <v>0.18604466767993272</v>
      </c>
      <c r="BS22" s="13">
        <f>'a28'!AG22</f>
        <v>18.575400490758621</v>
      </c>
      <c r="BT22" s="13">
        <f t="shared" si="38"/>
        <v>8.2148054018366334E-2</v>
      </c>
      <c r="BU22" s="13">
        <f t="shared" si="39"/>
        <v>226.12100448058825</v>
      </c>
      <c r="BV22" s="13">
        <f>'a28'!AI22</f>
        <v>63.455990695978279</v>
      </c>
      <c r="BW22" s="13">
        <f t="shared" si="40"/>
        <v>0.28188492775673524</v>
      </c>
      <c r="BX22" s="13">
        <v>100</v>
      </c>
      <c r="BY22" s="13">
        <f t="shared" si="41"/>
        <v>0.44422114392203566</v>
      </c>
      <c r="BZ22" s="13">
        <v>43.670289431377689</v>
      </c>
      <c r="CA22" s="13">
        <f t="shared" si="42"/>
        <v>0.1939926592661298</v>
      </c>
      <c r="CB22" s="13">
        <f>'a28'!AK22</f>
        <v>17.986822587878159</v>
      </c>
      <c r="CC22" s="13">
        <f t="shared" si="43"/>
        <v>7.990126905509945E-2</v>
      </c>
      <c r="CD22" s="13">
        <f t="shared" si="44"/>
        <v>225.11310271523411</v>
      </c>
      <c r="CE22" s="13">
        <f>'a28'!AM22</f>
        <v>68.729654075951984</v>
      </c>
      <c r="CF22" s="13">
        <f t="shared" si="45"/>
        <v>0.30204630710369357</v>
      </c>
      <c r="CG22" s="13">
        <v>100</v>
      </c>
      <c r="CH22" s="13">
        <f t="shared" si="46"/>
        <v>0.4394701401667282</v>
      </c>
      <c r="CI22" s="13">
        <v>42.751345862849334</v>
      </c>
      <c r="CJ22" s="13">
        <f t="shared" si="47"/>
        <v>0.18787939958662672</v>
      </c>
      <c r="CK22" s="13">
        <f>'a28'!AO22</f>
        <v>16.065745244071721</v>
      </c>
      <c r="CL22" s="13">
        <f t="shared" si="48"/>
        <v>7.0604153142951459E-2</v>
      </c>
      <c r="CM22" s="13">
        <f t="shared" si="49"/>
        <v>227.54674518287305</v>
      </c>
      <c r="CN22" s="13">
        <f>'a28'!AQ22</f>
        <v>68.148546017363714</v>
      </c>
      <c r="CO22" s="13">
        <f t="shared" si="50"/>
        <v>0.30093485257205999</v>
      </c>
      <c r="CP22" s="13">
        <v>100</v>
      </c>
      <c r="CQ22" s="13">
        <f t="shared" si="51"/>
        <v>0.44158660772510711</v>
      </c>
      <c r="CR22" s="13">
        <v>38.908992042602463</v>
      </c>
      <c r="CS22" s="13">
        <f t="shared" si="52"/>
        <v>0.17181689806096007</v>
      </c>
      <c r="CT22" s="13">
        <f>'a28'!AS22</f>
        <v>19.398604972005451</v>
      </c>
      <c r="CU22" s="13">
        <f t="shared" si="53"/>
        <v>8.5661641641872829E-2</v>
      </c>
      <c r="CV22" s="13">
        <f t="shared" si="54"/>
        <v>226.45614303197164</v>
      </c>
    </row>
    <row r="23" spans="1:100" ht="15.75" customHeight="1">
      <c r="A23" s="1">
        <v>1985</v>
      </c>
      <c r="B23" s="13">
        <f>'a28'!C23</f>
        <v>68.450687242484321</v>
      </c>
      <c r="C23" s="13">
        <f t="shared" si="55"/>
        <v>0.29693966897729723</v>
      </c>
      <c r="D23" s="13">
        <v>100</v>
      </c>
      <c r="E23" s="13">
        <f t="shared" si="56"/>
        <v>0.43380085860262901</v>
      </c>
      <c r="F23" s="13">
        <v>43.112280275933792</v>
      </c>
      <c r="G23" s="13">
        <f t="shared" si="57"/>
        <v>0.18702144200017265</v>
      </c>
      <c r="H23" s="13">
        <f>'a28'!E23</f>
        <v>18.957553630670184</v>
      </c>
      <c r="I23" s="13">
        <f t="shared" si="4"/>
        <v>8.2238030419901118E-2</v>
      </c>
      <c r="J23" s="13">
        <f t="shared" si="58"/>
        <v>230.5205211490883</v>
      </c>
      <c r="K23" s="13">
        <f>'a28'!G23</f>
        <v>65.201501877346686</v>
      </c>
      <c r="L23" s="13">
        <f t="shared" si="5"/>
        <v>0.28582253388493584</v>
      </c>
      <c r="M23" s="13">
        <v>100</v>
      </c>
      <c r="N23" s="13">
        <f t="shared" si="6"/>
        <v>0.43836802167932992</v>
      </c>
      <c r="O23" s="13">
        <v>47.487868394577852</v>
      </c>
      <c r="P23" s="13">
        <f t="shared" si="7"/>
        <v>0.20817162921899471</v>
      </c>
      <c r="Q23" s="13">
        <f>'a28'!I23</f>
        <v>15.429459237840405</v>
      </c>
      <c r="R23" s="13">
        <f t="shared" si="8"/>
        <v>6.7637815216739602E-2</v>
      </c>
      <c r="S23" s="13">
        <f t="shared" si="9"/>
        <v>228.11882950976494</v>
      </c>
      <c r="T23" s="13">
        <f>'a28'!K23</f>
        <v>64.200471716593924</v>
      </c>
      <c r="U23" s="13">
        <f t="shared" si="10"/>
        <v>0.28357009891281765</v>
      </c>
      <c r="V23" s="13">
        <v>100</v>
      </c>
      <c r="W23" s="13">
        <f t="shared" si="11"/>
        <v>0.44169472798363124</v>
      </c>
      <c r="X23" s="13">
        <v>44.934000455044071</v>
      </c>
      <c r="Y23" s="13">
        <f t="shared" si="12"/>
        <v>0.19847111108207055</v>
      </c>
      <c r="Z23" s="13">
        <f>'a28'!M23</f>
        <v>17.26623778590962</v>
      </c>
      <c r="AA23" s="13">
        <f t="shared" si="13"/>
        <v>7.626406202148045E-2</v>
      </c>
      <c r="AB23" s="13">
        <f t="shared" si="14"/>
        <v>226.40070995754763</v>
      </c>
      <c r="AC23" s="13">
        <f>'a28'!O23</f>
        <v>66.744972049380934</v>
      </c>
      <c r="AD23" s="13">
        <f t="shared" si="15"/>
        <v>0.29062926124297161</v>
      </c>
      <c r="AE23" s="13">
        <v>100</v>
      </c>
      <c r="AF23" s="13">
        <f t="shared" si="16"/>
        <v>0.43543244130501851</v>
      </c>
      <c r="AG23" s="13">
        <v>44.995726206108962</v>
      </c>
      <c r="AH23" s="13">
        <f t="shared" si="17"/>
        <v>0.19592598910218223</v>
      </c>
      <c r="AI23" s="13">
        <f>'a28'!Q23</f>
        <v>17.916053318402252</v>
      </c>
      <c r="AJ23" s="13">
        <f t="shared" si="18"/>
        <v>7.8012308349827697E-2</v>
      </c>
      <c r="AK23" s="13">
        <f t="shared" si="19"/>
        <v>229.65675157389214</v>
      </c>
      <c r="AL23" s="13">
        <f>'a28'!S23</f>
        <v>66.319040712746116</v>
      </c>
      <c r="AM23" s="13">
        <f t="shared" si="20"/>
        <v>0.29106803207903842</v>
      </c>
      <c r="AN23" s="13">
        <v>100</v>
      </c>
      <c r="AO23" s="13">
        <f t="shared" si="21"/>
        <v>0.43889059454247642</v>
      </c>
      <c r="AP23" s="13">
        <v>44.252874947687317</v>
      </c>
      <c r="AQ23" s="13">
        <f t="shared" si="22"/>
        <v>0.19422170596004348</v>
      </c>
      <c r="AR23" s="13">
        <f>'a28'!U23</f>
        <v>17.275300122911101</v>
      </c>
      <c r="AS23" s="13">
        <f t="shared" si="23"/>
        <v>7.5819667418441691E-2</v>
      </c>
      <c r="AT23" s="13">
        <f t="shared" si="24"/>
        <v>227.84721578334452</v>
      </c>
      <c r="AU23" s="13">
        <f>'a28'!W23</f>
        <v>69.941666434136508</v>
      </c>
      <c r="AV23" s="13">
        <f t="shared" si="25"/>
        <v>0.2996551102022314</v>
      </c>
      <c r="AW23" s="13">
        <v>100</v>
      </c>
      <c r="AX23" s="13">
        <f t="shared" si="26"/>
        <v>0.42843576008360362</v>
      </c>
      <c r="AY23" s="13">
        <v>44.01622166500718</v>
      </c>
      <c r="AZ23" s="13">
        <f t="shared" si="27"/>
        <v>0.18858123385055731</v>
      </c>
      <c r="BA23" s="13">
        <f>'a28'!Y23</f>
        <v>19.449332578435424</v>
      </c>
      <c r="BB23" s="13">
        <f t="shared" si="28"/>
        <v>8.3327895863607754E-2</v>
      </c>
      <c r="BC23" s="13">
        <f t="shared" si="29"/>
        <v>233.40722067757909</v>
      </c>
      <c r="BD23" s="13">
        <f>'a28'!AA23</f>
        <v>68.992712695046194</v>
      </c>
      <c r="BE23" s="13">
        <f t="shared" si="30"/>
        <v>0.29698286871943741</v>
      </c>
      <c r="BF23" s="13">
        <v>100</v>
      </c>
      <c r="BG23" s="13">
        <f t="shared" si="31"/>
        <v>0.4304554164033636</v>
      </c>
      <c r="BH23" s="13">
        <v>43.388427228256113</v>
      </c>
      <c r="BI23" s="13">
        <f t="shared" si="32"/>
        <v>0.18676783509626024</v>
      </c>
      <c r="BJ23" s="13">
        <f>'a28'!AC23</f>
        <v>19.930956032051533</v>
      </c>
      <c r="BK23" s="13">
        <f t="shared" si="33"/>
        <v>8.5793879780938748E-2</v>
      </c>
      <c r="BL23" s="13">
        <f t="shared" si="34"/>
        <v>232.31209595535384</v>
      </c>
      <c r="BM23" s="13">
        <f>'a28'!AE23</f>
        <v>65.524829213991751</v>
      </c>
      <c r="BN23" s="13">
        <f t="shared" si="35"/>
        <v>0.29061348597454412</v>
      </c>
      <c r="BO23" s="13">
        <v>100</v>
      </c>
      <c r="BP23" s="13">
        <f t="shared" si="36"/>
        <v>0.44351658670556043</v>
      </c>
      <c r="BQ23" s="13">
        <v>41.604180112185681</v>
      </c>
      <c r="BR23" s="13">
        <f t="shared" si="37"/>
        <v>0.18452143956039954</v>
      </c>
      <c r="BS23" s="13">
        <f>'a28'!AG23</f>
        <v>18.341701347350334</v>
      </c>
      <c r="BT23" s="13">
        <f t="shared" si="38"/>
        <v>8.1348487759495991E-2</v>
      </c>
      <c r="BU23" s="13">
        <f t="shared" si="39"/>
        <v>225.47071067352775</v>
      </c>
      <c r="BV23" s="13">
        <f>'a28'!AI23</f>
        <v>63.356060133004469</v>
      </c>
      <c r="BW23" s="13">
        <f t="shared" si="40"/>
        <v>0.28211316405159631</v>
      </c>
      <c r="BX23" s="13">
        <v>100</v>
      </c>
      <c r="BY23" s="13">
        <f t="shared" si="41"/>
        <v>0.44528205109243107</v>
      </c>
      <c r="BZ23" s="13">
        <v>43.547847981112874</v>
      </c>
      <c r="CA23" s="13">
        <f t="shared" si="42"/>
        <v>0.19391075069691324</v>
      </c>
      <c r="CB23" s="13">
        <f>'a28'!AK23</f>
        <v>17.672851166130695</v>
      </c>
      <c r="CC23" s="13">
        <f t="shared" si="43"/>
        <v>7.8694034159059373E-2</v>
      </c>
      <c r="CD23" s="13">
        <f t="shared" si="44"/>
        <v>224.57675928024804</v>
      </c>
      <c r="CE23" s="13">
        <f>'a28'!AM23</f>
        <v>68.577619370427826</v>
      </c>
      <c r="CF23" s="13">
        <f t="shared" si="45"/>
        <v>0.30127752108617378</v>
      </c>
      <c r="CG23" s="13">
        <v>100</v>
      </c>
      <c r="CH23" s="13">
        <f t="shared" si="46"/>
        <v>0.4393233883766039</v>
      </c>
      <c r="CI23" s="13">
        <v>42.871310830864566</v>
      </c>
      <c r="CJ23" s="13">
        <f t="shared" si="47"/>
        <v>0.1883436953836202</v>
      </c>
      <c r="CK23" s="13">
        <f>'a28'!AO23</f>
        <v>16.173824802764827</v>
      </c>
      <c r="CL23" s="13">
        <f t="shared" si="48"/>
        <v>7.1055395153602013E-2</v>
      </c>
      <c r="CM23" s="13">
        <f t="shared" si="49"/>
        <v>227.62275500405724</v>
      </c>
      <c r="CN23" s="13">
        <f>'a28'!AQ23</f>
        <v>68.022550939773737</v>
      </c>
      <c r="CO23" s="13">
        <f t="shared" si="50"/>
        <v>0.30075856124712402</v>
      </c>
      <c r="CP23" s="13">
        <v>100</v>
      </c>
      <c r="CQ23" s="13">
        <f t="shared" si="51"/>
        <v>0.44214537251537611</v>
      </c>
      <c r="CR23" s="13">
        <v>38.752831751797821</v>
      </c>
      <c r="CS23" s="13">
        <f t="shared" si="52"/>
        <v>0.17134385230924343</v>
      </c>
      <c r="CT23" s="13">
        <f>'a28'!AS23</f>
        <v>19.394574558229539</v>
      </c>
      <c r="CU23" s="13">
        <f t="shared" si="53"/>
        <v>8.5752213928256354E-2</v>
      </c>
      <c r="CV23" s="13">
        <f t="shared" si="54"/>
        <v>226.16995724980112</v>
      </c>
    </row>
    <row r="24" spans="1:100" ht="15.75" customHeight="1">
      <c r="A24" s="1">
        <v>1986</v>
      </c>
      <c r="B24" s="13">
        <f>'a28'!C24</f>
        <v>68.497814467723288</v>
      </c>
      <c r="C24" s="13">
        <f t="shared" si="55"/>
        <v>0.29775291750040456</v>
      </c>
      <c r="D24" s="13">
        <v>100</v>
      </c>
      <c r="E24" s="13">
        <f t="shared" si="56"/>
        <v>0.43468966099744405</v>
      </c>
      <c r="F24" s="13">
        <v>42.594310591355793</v>
      </c>
      <c r="G24" s="13">
        <f t="shared" si="57"/>
        <v>0.18515306431376291</v>
      </c>
      <c r="H24" s="13">
        <f>'a28'!E24</f>
        <v>18.957054786926026</v>
      </c>
      <c r="I24" s="13">
        <f t="shared" si="4"/>
        <v>8.2404357188388483E-2</v>
      </c>
      <c r="J24" s="13">
        <f t="shared" si="58"/>
        <v>230.0491798460051</v>
      </c>
      <c r="K24" s="13">
        <f>'a28'!G24</f>
        <v>65.686458235728935</v>
      </c>
      <c r="L24" s="13">
        <f t="shared" si="5"/>
        <v>0.28739607829180847</v>
      </c>
      <c r="M24" s="13">
        <v>100</v>
      </c>
      <c r="N24" s="13">
        <f t="shared" si="6"/>
        <v>0.43752713422366363</v>
      </c>
      <c r="O24" s="13">
        <v>47.246803546182129</v>
      </c>
      <c r="P24" s="13">
        <f t="shared" si="7"/>
        <v>0.20671758556789493</v>
      </c>
      <c r="Q24" s="13">
        <f>'a28'!I24</f>
        <v>15.623991421224142</v>
      </c>
      <c r="R24" s="13">
        <f t="shared" si="8"/>
        <v>6.8359201916633042E-2</v>
      </c>
      <c r="S24" s="13">
        <f t="shared" si="9"/>
        <v>228.55725320313519</v>
      </c>
      <c r="T24" s="13">
        <f>'a28'!K24</f>
        <v>64.380703229624089</v>
      </c>
      <c r="U24" s="13">
        <f t="shared" si="10"/>
        <v>0.28481049201753961</v>
      </c>
      <c r="V24" s="13">
        <v>100</v>
      </c>
      <c r="W24" s="13">
        <f t="shared" si="11"/>
        <v>0.44238487268726678</v>
      </c>
      <c r="X24" s="13">
        <v>44.350013269235347</v>
      </c>
      <c r="Y24" s="13">
        <f t="shared" si="12"/>
        <v>0.19619774973789272</v>
      </c>
      <c r="Z24" s="13">
        <f>'a28'!M24</f>
        <v>17.316795913918213</v>
      </c>
      <c r="AA24" s="13">
        <f t="shared" si="13"/>
        <v>7.6606885557300899E-2</v>
      </c>
      <c r="AB24" s="13">
        <f t="shared" si="14"/>
        <v>226.04751241277765</v>
      </c>
      <c r="AC24" s="13">
        <f>'a28'!O24</f>
        <v>66.959476406695856</v>
      </c>
      <c r="AD24" s="13">
        <f t="shared" si="15"/>
        <v>0.29180104743534196</v>
      </c>
      <c r="AE24" s="13">
        <v>100</v>
      </c>
      <c r="AF24" s="13">
        <f t="shared" si="16"/>
        <v>0.43578752865839659</v>
      </c>
      <c r="AG24" s="13">
        <v>44.576581244755651</v>
      </c>
      <c r="AH24" s="13">
        <f t="shared" si="17"/>
        <v>0.19425918176692297</v>
      </c>
      <c r="AI24" s="13">
        <f>'a28'!Q24</f>
        <v>17.933565556576578</v>
      </c>
      <c r="AJ24" s="13">
        <f t="shared" si="18"/>
        <v>7.8152242139338496E-2</v>
      </c>
      <c r="AK24" s="13">
        <f t="shared" si="19"/>
        <v>229.46962320802808</v>
      </c>
      <c r="AL24" s="13">
        <f>'a28'!S24</f>
        <v>66.582117158308947</v>
      </c>
      <c r="AM24" s="13">
        <f t="shared" si="20"/>
        <v>0.29247196254588914</v>
      </c>
      <c r="AN24" s="13">
        <v>100</v>
      </c>
      <c r="AO24" s="13">
        <f t="shared" si="21"/>
        <v>0.43926503846444725</v>
      </c>
      <c r="AP24" s="13">
        <v>43.724018449782228</v>
      </c>
      <c r="AQ24" s="13">
        <f t="shared" si="22"/>
        <v>0.19206432646163793</v>
      </c>
      <c r="AR24" s="13">
        <f>'a28'!U24</f>
        <v>17.346855737573776</v>
      </c>
      <c r="AS24" s="13">
        <f t="shared" si="23"/>
        <v>7.6198672528025632E-2</v>
      </c>
      <c r="AT24" s="13">
        <f t="shared" si="24"/>
        <v>227.65299134566496</v>
      </c>
      <c r="AU24" s="13">
        <f>'a28'!W24</f>
        <v>69.947929166971022</v>
      </c>
      <c r="AV24" s="13">
        <f t="shared" si="25"/>
        <v>0.30055615722204493</v>
      </c>
      <c r="AW24" s="13">
        <v>100</v>
      </c>
      <c r="AX24" s="13">
        <f t="shared" si="26"/>
        <v>0.42968556868151819</v>
      </c>
      <c r="AY24" s="13">
        <v>43.208121758878804</v>
      </c>
      <c r="AZ24" s="13">
        <f t="shared" si="27"/>
        <v>0.18565906369624119</v>
      </c>
      <c r="BA24" s="13">
        <f>'a28'!Y24</f>
        <v>19.572267846521481</v>
      </c>
      <c r="BB24" s="13">
        <f t="shared" si="28"/>
        <v>8.4099210400195759E-2</v>
      </c>
      <c r="BC24" s="13">
        <f t="shared" si="29"/>
        <v>232.7283187723713</v>
      </c>
      <c r="BD24" s="13">
        <f>'a28'!AA24</f>
        <v>69.053937653532088</v>
      </c>
      <c r="BE24" s="13">
        <f t="shared" si="30"/>
        <v>0.29812071774088977</v>
      </c>
      <c r="BF24" s="13">
        <v>100</v>
      </c>
      <c r="BG24" s="13">
        <f t="shared" si="31"/>
        <v>0.43172153228490218</v>
      </c>
      <c r="BH24" s="13">
        <v>42.77229782141471</v>
      </c>
      <c r="BI24" s="13">
        <f t="shared" si="32"/>
        <v>0.18465721954807343</v>
      </c>
      <c r="BJ24" s="13">
        <f>'a28'!AC24</f>
        <v>19.804555490577396</v>
      </c>
      <c r="BK24" s="13">
        <f t="shared" si="33"/>
        <v>8.5500530426134466E-2</v>
      </c>
      <c r="BL24" s="13">
        <f t="shared" si="34"/>
        <v>231.63079096552423</v>
      </c>
      <c r="BM24" s="13">
        <f>'a28'!AE24</f>
        <v>65.644330274691455</v>
      </c>
      <c r="BN24" s="13">
        <f t="shared" si="35"/>
        <v>0.29171062998933406</v>
      </c>
      <c r="BO24" s="13">
        <v>100</v>
      </c>
      <c r="BP24" s="13">
        <f t="shared" si="36"/>
        <v>0.44438054096775559</v>
      </c>
      <c r="BQ24" s="13">
        <v>41.185869316640165</v>
      </c>
      <c r="BR24" s="13">
        <f t="shared" si="37"/>
        <v>0.18302198887155843</v>
      </c>
      <c r="BS24" s="13">
        <f>'a28'!AG24</f>
        <v>18.202156195948522</v>
      </c>
      <c r="BT24" s="13">
        <f t="shared" si="38"/>
        <v>8.0886840171351879E-2</v>
      </c>
      <c r="BU24" s="13">
        <f t="shared" si="39"/>
        <v>225.03235578728015</v>
      </c>
      <c r="BV24" s="13">
        <f>'a28'!AI24</f>
        <v>63.254519950579216</v>
      </c>
      <c r="BW24" s="13">
        <f t="shared" si="40"/>
        <v>0.28178754113870202</v>
      </c>
      <c r="BX24" s="13">
        <v>100</v>
      </c>
      <c r="BY24" s="13">
        <f t="shared" si="41"/>
        <v>0.44548206414160246</v>
      </c>
      <c r="BZ24" s="13">
        <v>43.688501102717659</v>
      </c>
      <c r="CA24" s="13">
        <f t="shared" si="42"/>
        <v>0.1946244365049134</v>
      </c>
      <c r="CB24" s="13">
        <f>'a28'!AK24</f>
        <v>17.532907495453074</v>
      </c>
      <c r="CC24" s="13">
        <f t="shared" si="43"/>
        <v>7.8105958214782098E-2</v>
      </c>
      <c r="CD24" s="13">
        <f t="shared" si="44"/>
        <v>224.47592854874995</v>
      </c>
      <c r="CE24" s="13">
        <f>'a28'!AM24</f>
        <v>68.588122140793189</v>
      </c>
      <c r="CF24" s="13">
        <f t="shared" si="45"/>
        <v>0.30141015612584743</v>
      </c>
      <c r="CG24" s="13">
        <v>100</v>
      </c>
      <c r="CH24" s="13">
        <f t="shared" si="46"/>
        <v>0.43944949463280608</v>
      </c>
      <c r="CI24" s="13">
        <v>42.723675314391556</v>
      </c>
      <c r="CJ24" s="13">
        <f t="shared" si="47"/>
        <v>0.1877489752576546</v>
      </c>
      <c r="CK24" s="13">
        <f>'a28'!AO24</f>
        <v>16.245637975609657</v>
      </c>
      <c r="CL24" s="13">
        <f t="shared" si="48"/>
        <v>7.1391373983691858E-2</v>
      </c>
      <c r="CM24" s="13">
        <f t="shared" si="49"/>
        <v>227.55743543079441</v>
      </c>
      <c r="CN24" s="13">
        <f>'a28'!AQ24</f>
        <v>67.942393531008065</v>
      </c>
      <c r="CO24" s="13">
        <f t="shared" si="50"/>
        <v>0.30064612226354653</v>
      </c>
      <c r="CP24" s="13">
        <v>100</v>
      </c>
      <c r="CQ24" s="13">
        <f t="shared" si="51"/>
        <v>0.44250151729837917</v>
      </c>
      <c r="CR24" s="13">
        <v>38.587318203012785</v>
      </c>
      <c r="CS24" s="13">
        <f t="shared" si="52"/>
        <v>0.17074946853308523</v>
      </c>
      <c r="CT24" s="13">
        <f>'a28'!AS24</f>
        <v>19.458213935779515</v>
      </c>
      <c r="CU24" s="13">
        <f t="shared" si="53"/>
        <v>8.6102891904989015E-2</v>
      </c>
      <c r="CV24" s="13">
        <f t="shared" si="54"/>
        <v>225.98792566980038</v>
      </c>
    </row>
    <row r="25" spans="1:100" ht="15.75" customHeight="1">
      <c r="A25" s="1">
        <v>1987</v>
      </c>
      <c r="B25" s="13">
        <f>'a28'!C25</f>
        <v>68.371875085195256</v>
      </c>
      <c r="C25" s="13">
        <f t="shared" si="55"/>
        <v>0.29818543526024949</v>
      </c>
      <c r="D25" s="13">
        <v>100</v>
      </c>
      <c r="E25" s="13">
        <f t="shared" si="56"/>
        <v>0.43612294512720823</v>
      </c>
      <c r="F25" s="13">
        <v>41.955036682113189</v>
      </c>
      <c r="G25" s="13">
        <f t="shared" si="57"/>
        <v>0.18297554160723259</v>
      </c>
      <c r="H25" s="13">
        <f>'a28'!E25</f>
        <v>18.96622934644796</v>
      </c>
      <c r="I25" s="13">
        <f t="shared" si="4"/>
        <v>8.2716078005309709E-2</v>
      </c>
      <c r="J25" s="13">
        <f t="shared" si="58"/>
        <v>229.29314111375641</v>
      </c>
      <c r="K25" s="13">
        <f>'a28'!G25</f>
        <v>66.155113847737127</v>
      </c>
      <c r="L25" s="13">
        <f t="shared" si="5"/>
        <v>0.28908062704743054</v>
      </c>
      <c r="M25" s="13">
        <v>100</v>
      </c>
      <c r="N25" s="13">
        <f t="shared" si="6"/>
        <v>0.43697396956005496</v>
      </c>
      <c r="O25" s="13">
        <v>46.89794272598099</v>
      </c>
      <c r="P25" s="13">
        <f t="shared" si="7"/>
        <v>0.2049318019717202</v>
      </c>
      <c r="Q25" s="13">
        <f>'a28'!I25</f>
        <v>15.793526898244565</v>
      </c>
      <c r="R25" s="13">
        <f t="shared" si="8"/>
        <v>6.9013601420794296E-2</v>
      </c>
      <c r="S25" s="13">
        <f t="shared" si="9"/>
        <v>228.84658347196267</v>
      </c>
      <c r="T25" s="13">
        <f>'a28'!K25</f>
        <v>64.418031576247074</v>
      </c>
      <c r="U25" s="13">
        <f t="shared" si="10"/>
        <v>0.28530255441305197</v>
      </c>
      <c r="V25" s="13">
        <v>100</v>
      </c>
      <c r="W25" s="13">
        <f t="shared" si="11"/>
        <v>0.44289238188745256</v>
      </c>
      <c r="X25" s="13">
        <v>43.973200774564887</v>
      </c>
      <c r="Y25" s="13">
        <f t="shared" si="12"/>
        <v>0.19475395630262216</v>
      </c>
      <c r="Z25" s="13">
        <f>'a28'!M25</f>
        <v>17.397252819863031</v>
      </c>
      <c r="AA25" s="13">
        <f t="shared" si="13"/>
        <v>7.7051107396873375E-2</v>
      </c>
      <c r="AB25" s="13">
        <f t="shared" si="14"/>
        <v>225.78848517067499</v>
      </c>
      <c r="AC25" s="13">
        <f>'a28'!O25</f>
        <v>67.016671777047151</v>
      </c>
      <c r="AD25" s="13">
        <f t="shared" si="15"/>
        <v>0.29243693164009321</v>
      </c>
      <c r="AE25" s="13">
        <v>100</v>
      </c>
      <c r="AF25" s="13">
        <f t="shared" si="16"/>
        <v>0.43636445064443102</v>
      </c>
      <c r="AG25" s="13">
        <v>44.175762241370322</v>
      </c>
      <c r="AH25" s="13">
        <f t="shared" si="17"/>
        <v>0.19276732222254558</v>
      </c>
      <c r="AI25" s="13">
        <f>'a28'!Q25</f>
        <v>17.973805010261792</v>
      </c>
      <c r="AJ25" s="13">
        <f t="shared" si="18"/>
        <v>7.8431295492930084E-2</v>
      </c>
      <c r="AK25" s="13">
        <f t="shared" si="19"/>
        <v>229.16623902867929</v>
      </c>
      <c r="AL25" s="13">
        <f>'a28'!S25</f>
        <v>66.720988007167108</v>
      </c>
      <c r="AM25" s="13">
        <f t="shared" si="20"/>
        <v>0.29354619922493469</v>
      </c>
      <c r="AN25" s="13">
        <v>100</v>
      </c>
      <c r="AO25" s="13">
        <f t="shared" si="21"/>
        <v>0.43996080992296188</v>
      </c>
      <c r="AP25" s="13">
        <v>43.122054778817827</v>
      </c>
      <c r="AQ25" s="13">
        <f t="shared" si="22"/>
        <v>0.18972014146031022</v>
      </c>
      <c r="AR25" s="13">
        <f>'a28'!U25</f>
        <v>17.44992909828407</v>
      </c>
      <c r="AS25" s="13">
        <f t="shared" si="23"/>
        <v>7.6772849391793199E-2</v>
      </c>
      <c r="AT25" s="13">
        <f t="shared" si="24"/>
        <v>227.29297188426901</v>
      </c>
      <c r="AU25" s="13">
        <f>'a28'!W25</f>
        <v>69.821942959464366</v>
      </c>
      <c r="AV25" s="13">
        <f t="shared" si="25"/>
        <v>0.30127033741360648</v>
      </c>
      <c r="AW25" s="13">
        <v>100</v>
      </c>
      <c r="AX25" s="13">
        <f t="shared" si="26"/>
        <v>0.43148374944036022</v>
      </c>
      <c r="AY25" s="13">
        <v>42.231612702063387</v>
      </c>
      <c r="AZ25" s="13">
        <f t="shared" si="27"/>
        <v>0.18222254593599452</v>
      </c>
      <c r="BA25" s="13">
        <f>'a28'!Y25</f>
        <v>19.704882818950914</v>
      </c>
      <c r="BB25" s="13">
        <f t="shared" si="28"/>
        <v>8.5023367210038753E-2</v>
      </c>
      <c r="BC25" s="13">
        <f t="shared" si="29"/>
        <v>231.75843848047867</v>
      </c>
      <c r="BD25" s="13">
        <f>'a28'!AA25</f>
        <v>68.935203510706899</v>
      </c>
      <c r="BE25" s="13">
        <f t="shared" si="30"/>
        <v>0.29906135206103696</v>
      </c>
      <c r="BF25" s="13">
        <v>100</v>
      </c>
      <c r="BG25" s="13">
        <f t="shared" si="31"/>
        <v>0.43382964991840095</v>
      </c>
      <c r="BH25" s="13">
        <v>41.89188225061578</v>
      </c>
      <c r="BI25" s="13">
        <f t="shared" si="32"/>
        <v>0.18173940611207517</v>
      </c>
      <c r="BJ25" s="13">
        <f>'a28'!AC25</f>
        <v>19.678136781232929</v>
      </c>
      <c r="BK25" s="13">
        <f t="shared" si="33"/>
        <v>8.5369591908486905E-2</v>
      </c>
      <c r="BL25" s="13">
        <f t="shared" si="34"/>
        <v>230.5052225425556</v>
      </c>
      <c r="BM25" s="13">
        <f>'a28'!AE25</f>
        <v>65.461186682483998</v>
      </c>
      <c r="BN25" s="13">
        <f t="shared" si="35"/>
        <v>0.291723180560852</v>
      </c>
      <c r="BO25" s="13">
        <v>100</v>
      </c>
      <c r="BP25" s="13">
        <f t="shared" si="36"/>
        <v>0.44564297615904791</v>
      </c>
      <c r="BQ25" s="13">
        <v>40.886267425823384</v>
      </c>
      <c r="BR25" s="13">
        <f t="shared" si="37"/>
        <v>0.18220677899678669</v>
      </c>
      <c r="BS25" s="13">
        <f>'a28'!AG25</f>
        <v>18.047421049133582</v>
      </c>
      <c r="BT25" s="13">
        <f t="shared" si="38"/>
        <v>8.0427064283313365E-2</v>
      </c>
      <c r="BU25" s="13">
        <f t="shared" si="39"/>
        <v>224.39487515744096</v>
      </c>
      <c r="BV25" s="13">
        <f>'a28'!AI25</f>
        <v>63.023201997678157</v>
      </c>
      <c r="BW25" s="13">
        <f t="shared" si="40"/>
        <v>0.28100995151264646</v>
      </c>
      <c r="BX25" s="13">
        <v>100</v>
      </c>
      <c r="BY25" s="13">
        <f t="shared" si="41"/>
        <v>0.44588332963945437</v>
      </c>
      <c r="BZ25" s="13">
        <v>43.848779098503364</v>
      </c>
      <c r="CA25" s="13">
        <f t="shared" si="42"/>
        <v>0.19551439625065592</v>
      </c>
      <c r="CB25" s="13">
        <f>'a28'!AK25</f>
        <v>17.401933967790441</v>
      </c>
      <c r="CC25" s="13">
        <f t="shared" si="43"/>
        <v>7.7592322597243232E-2</v>
      </c>
      <c r="CD25" s="13">
        <f t="shared" si="44"/>
        <v>224.27391506397197</v>
      </c>
      <c r="CE25" s="13">
        <f>'a28'!AM25</f>
        <v>68.297624173606451</v>
      </c>
      <c r="CF25" s="13">
        <f t="shared" si="45"/>
        <v>0.29996142231447759</v>
      </c>
      <c r="CG25" s="13">
        <v>100</v>
      </c>
      <c r="CH25" s="13">
        <f t="shared" si="46"/>
        <v>0.43919744785265519</v>
      </c>
      <c r="CI25" s="13">
        <v>42.976998124495758</v>
      </c>
      <c r="CJ25" s="13">
        <f t="shared" si="47"/>
        <v>0.18875387892646883</v>
      </c>
      <c r="CK25" s="13">
        <f>'a28'!AO25</f>
        <v>16.413403870821842</v>
      </c>
      <c r="CL25" s="13">
        <f t="shared" si="48"/>
        <v>7.2087250906398448E-2</v>
      </c>
      <c r="CM25" s="13">
        <f t="shared" si="49"/>
        <v>227.68802616892404</v>
      </c>
      <c r="CN25" s="13">
        <f>'a28'!AQ25</f>
        <v>67.68882367971932</v>
      </c>
      <c r="CO25" s="13">
        <f t="shared" si="50"/>
        <v>0.30029355112416767</v>
      </c>
      <c r="CP25" s="13">
        <v>100</v>
      </c>
      <c r="CQ25" s="13">
        <f t="shared" si="51"/>
        <v>0.44363830659113745</v>
      </c>
      <c r="CR25" s="13">
        <v>38.252070339763954</v>
      </c>
      <c r="CS25" s="13">
        <f t="shared" si="52"/>
        <v>0.16970083709137956</v>
      </c>
      <c r="CT25" s="13">
        <f>'a28'!AS25</f>
        <v>19.467954842978092</v>
      </c>
      <c r="CU25" s="13">
        <f t="shared" si="53"/>
        <v>8.6367305193315341E-2</v>
      </c>
      <c r="CV25" s="13">
        <f t="shared" si="54"/>
        <v>225.40884886246135</v>
      </c>
    </row>
    <row r="26" spans="1:100" ht="15.75" customHeight="1">
      <c r="A26" s="1">
        <v>1988</v>
      </c>
      <c r="B26" s="13">
        <f>'a28'!C26</f>
        <v>68.260602789358984</v>
      </c>
      <c r="C26" s="13">
        <f t="shared" si="55"/>
        <v>0.29795273039553677</v>
      </c>
      <c r="D26" s="13">
        <v>100</v>
      </c>
      <c r="E26" s="13">
        <f t="shared" si="56"/>
        <v>0.43649296698268253</v>
      </c>
      <c r="F26" s="13">
        <v>41.76306869189461</v>
      </c>
      <c r="G26" s="13">
        <f t="shared" si="57"/>
        <v>0.18229285763626657</v>
      </c>
      <c r="H26" s="13">
        <f>'a28'!E26</f>
        <v>19.075094281832385</v>
      </c>
      <c r="I26" s="13">
        <f t="shared" si="4"/>
        <v>8.3261444985514188E-2</v>
      </c>
      <c r="J26" s="13">
        <f t="shared" si="58"/>
        <v>229.09876576308596</v>
      </c>
      <c r="K26" s="13">
        <f>'a28'!G26</f>
        <v>66.66173897617665</v>
      </c>
      <c r="L26" s="13">
        <f t="shared" si="5"/>
        <v>0.29099024979674459</v>
      </c>
      <c r="M26" s="13">
        <v>100</v>
      </c>
      <c r="N26" s="13">
        <f t="shared" si="6"/>
        <v>0.43651764005247107</v>
      </c>
      <c r="O26" s="13">
        <v>46.302007642870009</v>
      </c>
      <c r="P26" s="13">
        <f t="shared" si="7"/>
        <v>0.20211643105957094</v>
      </c>
      <c r="Q26" s="13">
        <f>'a28'!I26</f>
        <v>16.122069908275389</v>
      </c>
      <c r="R26" s="13">
        <f t="shared" si="8"/>
        <v>7.0375679091213311E-2</v>
      </c>
      <c r="S26" s="13">
        <f t="shared" si="9"/>
        <v>229.08581652732207</v>
      </c>
      <c r="T26" s="13">
        <f>'a28'!K26</f>
        <v>64.375159526332482</v>
      </c>
      <c r="U26" s="13">
        <f t="shared" si="10"/>
        <v>0.28581701540959792</v>
      </c>
      <c r="V26" s="13">
        <v>100</v>
      </c>
      <c r="W26" s="13">
        <f t="shared" si="11"/>
        <v>0.44398649651918182</v>
      </c>
      <c r="X26" s="13">
        <v>43.408408903670981</v>
      </c>
      <c r="Y26" s="13">
        <f t="shared" si="12"/>
        <v>0.19272747388612937</v>
      </c>
      <c r="Z26" s="13">
        <f>'a28'!M26</f>
        <v>17.448506833527986</v>
      </c>
      <c r="AA26" s="13">
        <f t="shared" si="13"/>
        <v>7.7469014185090931E-2</v>
      </c>
      <c r="AB26" s="13">
        <f t="shared" si="14"/>
        <v>225.23207526353144</v>
      </c>
      <c r="AC26" s="13">
        <f>'a28'!O26</f>
        <v>67.091759397959919</v>
      </c>
      <c r="AD26" s="13">
        <f t="shared" si="15"/>
        <v>0.29307495006903117</v>
      </c>
      <c r="AE26" s="13">
        <v>100</v>
      </c>
      <c r="AF26" s="13">
        <f t="shared" si="16"/>
        <v>0.43682704507812148</v>
      </c>
      <c r="AG26" s="13">
        <v>43.659025429481957</v>
      </c>
      <c r="AH26" s="13">
        <f t="shared" si="17"/>
        <v>0.19071443069351166</v>
      </c>
      <c r="AI26" s="13">
        <f>'a28'!Q26</f>
        <v>18.17276999072687</v>
      </c>
      <c r="AJ26" s="13">
        <f t="shared" si="18"/>
        <v>7.9383574159335793E-2</v>
      </c>
      <c r="AK26" s="13">
        <f t="shared" si="19"/>
        <v>228.92355481816872</v>
      </c>
      <c r="AL26" s="13">
        <f>'a28'!S26</f>
        <v>66.908833995802013</v>
      </c>
      <c r="AM26" s="13">
        <f t="shared" si="20"/>
        <v>0.2944700667895771</v>
      </c>
      <c r="AN26" s="13">
        <v>100</v>
      </c>
      <c r="AO26" s="13">
        <f t="shared" si="21"/>
        <v>0.44010640927930789</v>
      </c>
      <c r="AP26" s="13">
        <v>42.647797533403939</v>
      </c>
      <c r="AQ26" s="13">
        <f t="shared" si="22"/>
        <v>0.18769569036097331</v>
      </c>
      <c r="AR26" s="13">
        <f>'a28'!U26</f>
        <v>17.661145561916289</v>
      </c>
      <c r="AS26" s="13">
        <f t="shared" si="23"/>
        <v>7.7727833570141625E-2</v>
      </c>
      <c r="AT26" s="13">
        <f t="shared" si="24"/>
        <v>227.21777709112226</v>
      </c>
      <c r="AU26" s="13">
        <f>'a28'!W26</f>
        <v>69.667593329722635</v>
      </c>
      <c r="AV26" s="13">
        <f t="shared" si="25"/>
        <v>0.30084482322923145</v>
      </c>
      <c r="AW26" s="13">
        <v>100</v>
      </c>
      <c r="AX26" s="13">
        <f t="shared" si="26"/>
        <v>0.43182893056947402</v>
      </c>
      <c r="AY26" s="13">
        <v>41.942336452351938</v>
      </c>
      <c r="AZ26" s="13">
        <f t="shared" si="27"/>
        <v>0.18111914295804205</v>
      </c>
      <c r="BA26" s="13">
        <f>'a28'!Y26</f>
        <v>19.963253302544349</v>
      </c>
      <c r="BB26" s="13">
        <f t="shared" si="28"/>
        <v>8.6207103243252467E-2</v>
      </c>
      <c r="BC26" s="13">
        <f t="shared" si="29"/>
        <v>231.57318308461893</v>
      </c>
      <c r="BD26" s="13">
        <f>'a28'!AA26</f>
        <v>68.811693103301081</v>
      </c>
      <c r="BE26" s="13">
        <f t="shared" si="30"/>
        <v>0.29901145826047149</v>
      </c>
      <c r="BF26" s="13">
        <v>100</v>
      </c>
      <c r="BG26" s="13">
        <f t="shared" si="31"/>
        <v>0.43453582490927994</v>
      </c>
      <c r="BH26" s="13">
        <v>41.686593012685996</v>
      </c>
      <c r="BI26" s="13">
        <f t="shared" si="32"/>
        <v>0.18114318082424935</v>
      </c>
      <c r="BJ26" s="13">
        <f>'a28'!AC26</f>
        <v>19.632336648838962</v>
      </c>
      <c r="BK26" s="13">
        <f t="shared" si="33"/>
        <v>8.5309536005999276E-2</v>
      </c>
      <c r="BL26" s="13">
        <f t="shared" si="34"/>
        <v>230.13062276482603</v>
      </c>
      <c r="BM26" s="13">
        <f>'a28'!AE26</f>
        <v>65.319393332317148</v>
      </c>
      <c r="BN26" s="13">
        <f t="shared" si="35"/>
        <v>0.29163522030876371</v>
      </c>
      <c r="BO26" s="13">
        <v>100</v>
      </c>
      <c r="BP26" s="13">
        <f t="shared" si="36"/>
        <v>0.44647570259118669</v>
      </c>
      <c r="BQ26" s="13">
        <v>40.637939662046627</v>
      </c>
      <c r="BR26" s="13">
        <f t="shared" si="37"/>
        <v>0.18143852662470519</v>
      </c>
      <c r="BS26" s="13">
        <f>'a28'!AG26</f>
        <v>18.019020969884373</v>
      </c>
      <c r="BT26" s="13">
        <f t="shared" si="38"/>
        <v>8.0450550475344509E-2</v>
      </c>
      <c r="BU26" s="13">
        <f t="shared" si="39"/>
        <v>223.97635396424812</v>
      </c>
      <c r="BV26" s="13">
        <f>'a28'!AI26</f>
        <v>62.861824989666658</v>
      </c>
      <c r="BW26" s="13">
        <f t="shared" si="40"/>
        <v>0.28086965928982593</v>
      </c>
      <c r="BX26" s="13">
        <v>100</v>
      </c>
      <c r="BY26" s="13">
        <f t="shared" si="41"/>
        <v>0.44680481251697002</v>
      </c>
      <c r="BZ26" s="13">
        <v>43.486544612505938</v>
      </c>
      <c r="CA26" s="13">
        <f t="shared" si="42"/>
        <v>0.19429997412601568</v>
      </c>
      <c r="CB26" s="13">
        <f>'a28'!AK26</f>
        <v>17.463006637652263</v>
      </c>
      <c r="CC26" s="13">
        <f t="shared" si="43"/>
        <v>7.8025554067188224E-2</v>
      </c>
      <c r="CD26" s="13">
        <f t="shared" si="44"/>
        <v>223.81137623982488</v>
      </c>
      <c r="CE26" s="13">
        <f>'a28'!AM26</f>
        <v>68.06873200266709</v>
      </c>
      <c r="CF26" s="13">
        <f t="shared" si="45"/>
        <v>0.29878282446594995</v>
      </c>
      <c r="CG26" s="13">
        <v>100</v>
      </c>
      <c r="CH26" s="13">
        <f t="shared" si="46"/>
        <v>0.43894283862117917</v>
      </c>
      <c r="CI26" s="13">
        <v>43.106055476300895</v>
      </c>
      <c r="CJ26" s="13">
        <f t="shared" si="47"/>
        <v>0.18921094352529541</v>
      </c>
      <c r="CK26" s="13">
        <f>'a28'!AO26</f>
        <v>16.645309356699915</v>
      </c>
      <c r="CL26" s="13">
        <f t="shared" si="48"/>
        <v>7.3063393387575351E-2</v>
      </c>
      <c r="CM26" s="13">
        <f t="shared" si="49"/>
        <v>227.82009683566793</v>
      </c>
      <c r="CN26" s="13">
        <f>'a28'!AQ26</f>
        <v>67.534587725992452</v>
      </c>
      <c r="CO26" s="13">
        <f t="shared" si="50"/>
        <v>0.29936709392642502</v>
      </c>
      <c r="CP26" s="13">
        <v>100</v>
      </c>
      <c r="CQ26" s="13">
        <f t="shared" si="51"/>
        <v>0.44327966454914147</v>
      </c>
      <c r="CR26" s="13">
        <v>38.494552776889243</v>
      </c>
      <c r="CS26" s="13">
        <f t="shared" si="52"/>
        <v>0.17063852441908686</v>
      </c>
      <c r="CT26" s="13">
        <f>'a28'!AS26</f>
        <v>19.562078759814959</v>
      </c>
      <c r="CU26" s="13">
        <f t="shared" si="53"/>
        <v>8.6714717105346603E-2</v>
      </c>
      <c r="CV26" s="13">
        <f t="shared" si="54"/>
        <v>225.59121926269665</v>
      </c>
    </row>
    <row r="27" spans="1:100" ht="15.75" customHeight="1">
      <c r="A27" s="1">
        <v>1989</v>
      </c>
      <c r="B27" s="13">
        <f>'a28'!C27</f>
        <v>68.168699964999533</v>
      </c>
      <c r="C27" s="13">
        <f t="shared" si="55"/>
        <v>0.29812873457314759</v>
      </c>
      <c r="D27" s="13">
        <v>100</v>
      </c>
      <c r="E27" s="13">
        <f t="shared" si="56"/>
        <v>0.43733962174167695</v>
      </c>
      <c r="F27" s="13">
        <v>41.363856123843227</v>
      </c>
      <c r="G27" s="13">
        <f t="shared" si="57"/>
        <v>0.18090053190978744</v>
      </c>
      <c r="H27" s="13">
        <f>'a28'!E27</f>
        <v>19.122692666704332</v>
      </c>
      <c r="I27" s="13">
        <f t="shared" si="4"/>
        <v>8.3631111775388123E-2</v>
      </c>
      <c r="J27" s="13">
        <f t="shared" si="58"/>
        <v>228.65524875554706</v>
      </c>
      <c r="K27" s="13">
        <f>'a28'!G27</f>
        <v>67.202727946009972</v>
      </c>
      <c r="L27" s="13">
        <f t="shared" si="5"/>
        <v>0.29312709357558137</v>
      </c>
      <c r="M27" s="13">
        <v>100</v>
      </c>
      <c r="N27" s="13">
        <f t="shared" si="6"/>
        <v>0.43618332549100813</v>
      </c>
      <c r="O27" s="13">
        <v>45.581899291024712</v>
      </c>
      <c r="P27" s="13">
        <f t="shared" si="7"/>
        <v>0.19882064414955383</v>
      </c>
      <c r="Q27" s="13">
        <f>'a28'!I27</f>
        <v>16.476773086856149</v>
      </c>
      <c r="R27" s="13">
        <f t="shared" si="8"/>
        <v>7.1868936783856585E-2</v>
      </c>
      <c r="S27" s="13">
        <f t="shared" si="9"/>
        <v>229.26140032389085</v>
      </c>
      <c r="T27" s="13">
        <f>'a28'!K27</f>
        <v>64.323526926002472</v>
      </c>
      <c r="U27" s="13">
        <f t="shared" si="10"/>
        <v>0.28614194835431822</v>
      </c>
      <c r="V27" s="13">
        <v>100</v>
      </c>
      <c r="W27" s="13">
        <f t="shared" si="11"/>
        <v>0.44484803932392381</v>
      </c>
      <c r="X27" s="13">
        <v>42.817732036902022</v>
      </c>
      <c r="Y27" s="13">
        <f t="shared" si="12"/>
        <v>0.19047384144913024</v>
      </c>
      <c r="Z27" s="13">
        <f>'a28'!M27</f>
        <v>17.654606501578911</v>
      </c>
      <c r="AA27" s="13">
        <f t="shared" si="13"/>
        <v>7.8536170872627764E-2</v>
      </c>
      <c r="AB27" s="13">
        <f t="shared" si="14"/>
        <v>224.7958654644834</v>
      </c>
      <c r="AC27" s="13">
        <f>'a28'!O27</f>
        <v>67.163693614252949</v>
      </c>
      <c r="AD27" s="13">
        <f t="shared" si="15"/>
        <v>0.29389712041034965</v>
      </c>
      <c r="AE27" s="13">
        <v>100</v>
      </c>
      <c r="AF27" s="13">
        <f t="shared" si="16"/>
        <v>0.43758332008706136</v>
      </c>
      <c r="AG27" s="13">
        <v>43.026474144657406</v>
      </c>
      <c r="AH27" s="13">
        <f t="shared" si="17"/>
        <v>0.18827667407859291</v>
      </c>
      <c r="AI27" s="13">
        <f>'a28'!Q27</f>
        <v>18.337738606679714</v>
      </c>
      <c r="AJ27" s="13">
        <f t="shared" si="18"/>
        <v>8.0242885423995922E-2</v>
      </c>
      <c r="AK27" s="13">
        <f t="shared" si="19"/>
        <v>228.5279063655901</v>
      </c>
      <c r="AL27" s="13">
        <f>'a28'!S27</f>
        <v>67.069725177485864</v>
      </c>
      <c r="AM27" s="13">
        <f t="shared" si="20"/>
        <v>0.29543698923419603</v>
      </c>
      <c r="AN27" s="13">
        <v>100</v>
      </c>
      <c r="AO27" s="13">
        <f t="shared" si="21"/>
        <v>0.44049232116634507</v>
      </c>
      <c r="AP27" s="13">
        <v>42.042743164885884</v>
      </c>
      <c r="AQ27" s="13">
        <f t="shared" si="22"/>
        <v>0.18519505524901073</v>
      </c>
      <c r="AR27" s="13">
        <f>'a28'!U27</f>
        <v>17.906245026383125</v>
      </c>
      <c r="AS27" s="13">
        <f t="shared" si="23"/>
        <v>7.8875634350448254E-2</v>
      </c>
      <c r="AT27" s="13">
        <f t="shared" si="24"/>
        <v>227.01871336875485</v>
      </c>
      <c r="AU27" s="13">
        <f>'a28'!W27</f>
        <v>69.535797749875528</v>
      </c>
      <c r="AV27" s="13">
        <f t="shared" si="25"/>
        <v>0.30081780801211205</v>
      </c>
      <c r="AW27" s="13">
        <v>100</v>
      </c>
      <c r="AX27" s="13">
        <f t="shared" si="26"/>
        <v>0.43260855235194379</v>
      </c>
      <c r="AY27" s="13">
        <v>41.459044083863958</v>
      </c>
      <c r="AZ27" s="13">
        <f t="shared" si="27"/>
        <v>0.17935537043015806</v>
      </c>
      <c r="BA27" s="13">
        <f>'a28'!Y27</f>
        <v>20.161013630361779</v>
      </c>
      <c r="BB27" s="13">
        <f t="shared" si="28"/>
        <v>8.7218269205786167E-2</v>
      </c>
      <c r="BC27" s="13">
        <f t="shared" si="29"/>
        <v>231.15585546410125</v>
      </c>
      <c r="BD27" s="13">
        <f>'a28'!AA27</f>
        <v>68.742723296980543</v>
      </c>
      <c r="BE27" s="13">
        <f t="shared" si="30"/>
        <v>0.29959100717450576</v>
      </c>
      <c r="BF27" s="13">
        <v>100</v>
      </c>
      <c r="BG27" s="13">
        <f t="shared" si="31"/>
        <v>0.4358148656407172</v>
      </c>
      <c r="BH27" s="13">
        <v>41.215133773887295</v>
      </c>
      <c r="BI27" s="13">
        <f t="shared" si="32"/>
        <v>0.17962167988030878</v>
      </c>
      <c r="BJ27" s="13">
        <f>'a28'!AC27</f>
        <v>19.497372394478838</v>
      </c>
      <c r="BK27" s="13">
        <f t="shared" si="33"/>
        <v>8.4972447304468235E-2</v>
      </c>
      <c r="BL27" s="13">
        <f t="shared" si="34"/>
        <v>229.45522946534669</v>
      </c>
      <c r="BM27" s="13">
        <f>'a28'!AE27</f>
        <v>65.130296287706386</v>
      </c>
      <c r="BN27" s="13">
        <f t="shared" si="35"/>
        <v>0.29118980518024729</v>
      </c>
      <c r="BO27" s="13">
        <v>100</v>
      </c>
      <c r="BP27" s="13">
        <f t="shared" si="36"/>
        <v>0.44708810150954365</v>
      </c>
      <c r="BQ27" s="13">
        <v>40.486770672366852</v>
      </c>
      <c r="BR27" s="13">
        <f t="shared" si="37"/>
        <v>0.18101153436160766</v>
      </c>
      <c r="BS27" s="13">
        <f>'a28'!AG27</f>
        <v>18.052495397683622</v>
      </c>
      <c r="BT27" s="13">
        <f t="shared" si="38"/>
        <v>8.0710558948601449E-2</v>
      </c>
      <c r="BU27" s="13">
        <f t="shared" si="39"/>
        <v>223.66956235775686</v>
      </c>
      <c r="BV27" s="13">
        <f>'a28'!AI27</f>
        <v>62.558622928885399</v>
      </c>
      <c r="BW27" s="13">
        <f t="shared" si="40"/>
        <v>0.2800554522937061</v>
      </c>
      <c r="BX27" s="13">
        <v>100</v>
      </c>
      <c r="BY27" s="13">
        <f t="shared" si="41"/>
        <v>0.44766882514671719</v>
      </c>
      <c r="BZ27" s="13">
        <v>43.292131085749475</v>
      </c>
      <c r="CA27" s="13">
        <f t="shared" si="42"/>
        <v>0.19380537461255143</v>
      </c>
      <c r="CB27" s="13">
        <f>'a28'!AK27</f>
        <v>17.528660371047213</v>
      </c>
      <c r="CC27" s="13">
        <f t="shared" si="43"/>
        <v>7.847034794702526E-2</v>
      </c>
      <c r="CD27" s="13">
        <f t="shared" si="44"/>
        <v>223.37941438568208</v>
      </c>
      <c r="CE27" s="13">
        <f>'a28'!AM27</f>
        <v>67.824602483664052</v>
      </c>
      <c r="CF27" s="13">
        <f t="shared" si="45"/>
        <v>0.29816722769921716</v>
      </c>
      <c r="CG27" s="13">
        <v>100</v>
      </c>
      <c r="CH27" s="13">
        <f t="shared" si="46"/>
        <v>0.4396151496369366</v>
      </c>
      <c r="CI27" s="13">
        <v>42.856915742771811</v>
      </c>
      <c r="CJ27" s="13">
        <f t="shared" si="47"/>
        <v>0.18840549427236214</v>
      </c>
      <c r="CK27" s="13">
        <f>'a28'!AO27</f>
        <v>16.790169413507051</v>
      </c>
      <c r="CL27" s="13">
        <f t="shared" si="48"/>
        <v>7.3812128391484183E-2</v>
      </c>
      <c r="CM27" s="13">
        <f t="shared" si="49"/>
        <v>227.4716876399429</v>
      </c>
      <c r="CN27" s="13">
        <f>'a28'!AQ27</f>
        <v>67.390563780118711</v>
      </c>
      <c r="CO27" s="13">
        <f t="shared" si="50"/>
        <v>0.29884624937476995</v>
      </c>
      <c r="CP27" s="13">
        <v>100</v>
      </c>
      <c r="CQ27" s="13">
        <f t="shared" si="51"/>
        <v>0.44345414641409237</v>
      </c>
      <c r="CR27" s="13">
        <v>38.51787215284272</v>
      </c>
      <c r="CS27" s="13">
        <f t="shared" si="52"/>
        <v>0.17080910117226006</v>
      </c>
      <c r="CT27" s="13">
        <f>'a28'!AS27</f>
        <v>19.594022006897685</v>
      </c>
      <c r="CU27" s="13">
        <f t="shared" si="53"/>
        <v>8.6890503038877534E-2</v>
      </c>
      <c r="CV27" s="13">
        <f t="shared" si="54"/>
        <v>225.50245793985914</v>
      </c>
    </row>
    <row r="28" spans="1:100" ht="15.75" customHeight="1">
      <c r="A28" s="1">
        <v>1990</v>
      </c>
      <c r="B28" s="13">
        <f>'a28'!C28</f>
        <v>68.026333912315195</v>
      </c>
      <c r="C28" s="13">
        <f t="shared" si="55"/>
        <v>0.29793797514132475</v>
      </c>
      <c r="D28" s="13">
        <v>100</v>
      </c>
      <c r="E28" s="13">
        <f t="shared" si="56"/>
        <v>0.4379744696007899</v>
      </c>
      <c r="F28" s="13">
        <v>41.088057046452619</v>
      </c>
      <c r="G28" s="13">
        <f t="shared" si="57"/>
        <v>0.17995519991847084</v>
      </c>
      <c r="H28" s="13">
        <f>'a28'!E28</f>
        <v>19.209419995667929</v>
      </c>
      <c r="I28" s="13">
        <f t="shared" si="4"/>
        <v>8.4132355339414683E-2</v>
      </c>
      <c r="J28" s="13">
        <f t="shared" si="58"/>
        <v>228.32381095443571</v>
      </c>
      <c r="K28" s="13">
        <f>'a28'!G28</f>
        <v>67.697205248645574</v>
      </c>
      <c r="L28" s="13">
        <f t="shared" si="5"/>
        <v>0.2950958619759213</v>
      </c>
      <c r="M28" s="13">
        <v>100</v>
      </c>
      <c r="N28" s="13">
        <f t="shared" si="6"/>
        <v>0.43590553094778656</v>
      </c>
      <c r="O28" s="13">
        <v>44.846704335269564</v>
      </c>
      <c r="P28" s="13">
        <f t="shared" si="7"/>
        <v>0.1954892646452408</v>
      </c>
      <c r="Q28" s="13">
        <f>'a28'!I28</f>
        <v>16.863594795693562</v>
      </c>
      <c r="R28" s="13">
        <f t="shared" si="8"/>
        <v>7.3509342431051325E-2</v>
      </c>
      <c r="S28" s="13">
        <f t="shared" si="9"/>
        <v>229.4075043796087</v>
      </c>
      <c r="T28" s="13">
        <f>'a28'!K28</f>
        <v>64.280236802552068</v>
      </c>
      <c r="U28" s="13">
        <f t="shared" si="10"/>
        <v>0.28629316221277051</v>
      </c>
      <c r="V28" s="13">
        <v>100</v>
      </c>
      <c r="W28" s="13">
        <f t="shared" si="11"/>
        <v>0.44538286797568866</v>
      </c>
      <c r="X28" s="13">
        <v>42.348230140544153</v>
      </c>
      <c r="Y28" s="13">
        <f t="shared" si="12"/>
        <v>0.18861176193690057</v>
      </c>
      <c r="Z28" s="13">
        <f>'a28'!M28</f>
        <v>17.897457133216772</v>
      </c>
      <c r="AA28" s="13">
        <f t="shared" si="13"/>
        <v>7.9712207874640326E-2</v>
      </c>
      <c r="AB28" s="13">
        <f t="shared" si="14"/>
        <v>224.52592407631298</v>
      </c>
      <c r="AC28" s="13">
        <f>'a28'!O28</f>
        <v>67.19581833618723</v>
      </c>
      <c r="AD28" s="13">
        <f t="shared" si="15"/>
        <v>0.29447982798443922</v>
      </c>
      <c r="AE28" s="13">
        <v>100</v>
      </c>
      <c r="AF28" s="13">
        <f t="shared" si="16"/>
        <v>0.43824130024152386</v>
      </c>
      <c r="AG28" s="13">
        <v>42.435861109372269</v>
      </c>
      <c r="AH28" s="13">
        <f t="shared" si="17"/>
        <v>0.18597146949440019</v>
      </c>
      <c r="AI28" s="13">
        <f>'a28'!Q28</f>
        <v>18.553112688107323</v>
      </c>
      <c r="AJ28" s="13">
        <f t="shared" si="18"/>
        <v>8.1307402279636676E-2</v>
      </c>
      <c r="AK28" s="13">
        <f t="shared" si="19"/>
        <v>228.18479213366683</v>
      </c>
      <c r="AL28" s="13">
        <f>'a28'!S28</f>
        <v>67.191916298726213</v>
      </c>
      <c r="AM28" s="13">
        <f t="shared" si="20"/>
        <v>0.29631959962580118</v>
      </c>
      <c r="AN28" s="13">
        <v>100</v>
      </c>
      <c r="AO28" s="13">
        <f t="shared" si="21"/>
        <v>0.44100483502867238</v>
      </c>
      <c r="AP28" s="13">
        <v>41.444219284635672</v>
      </c>
      <c r="AQ28" s="13">
        <f t="shared" si="22"/>
        <v>0.18277101088512876</v>
      </c>
      <c r="AR28" s="13">
        <f>'a28'!U28</f>
        <v>18.118747939623539</v>
      </c>
      <c r="AS28" s="13">
        <f t="shared" si="23"/>
        <v>7.9904554460397764E-2</v>
      </c>
      <c r="AT28" s="13">
        <f t="shared" si="24"/>
        <v>226.75488352298541</v>
      </c>
      <c r="AU28" s="13">
        <f>'a28'!W28</f>
        <v>69.354004710028008</v>
      </c>
      <c r="AV28" s="13">
        <f t="shared" si="25"/>
        <v>0.3004261774548474</v>
      </c>
      <c r="AW28" s="13">
        <v>100</v>
      </c>
      <c r="AX28" s="13">
        <f t="shared" si="26"/>
        <v>0.43317783696982137</v>
      </c>
      <c r="AY28" s="13">
        <v>41.075242443963141</v>
      </c>
      <c r="AZ28" s="13">
        <f t="shared" si="27"/>
        <v>0.17792884674886952</v>
      </c>
      <c r="BA28" s="13">
        <f>'a28'!Y28</f>
        <v>20.422822055096294</v>
      </c>
      <c r="BB28" s="13">
        <f t="shared" si="28"/>
        <v>8.8467138826461747E-2</v>
      </c>
      <c r="BC28" s="13">
        <f t="shared" si="29"/>
        <v>230.85206920908743</v>
      </c>
      <c r="BD28" s="13">
        <f>'a28'!AA28</f>
        <v>68.540823121433988</v>
      </c>
      <c r="BE28" s="13">
        <f t="shared" si="30"/>
        <v>0.29923322196170965</v>
      </c>
      <c r="BF28" s="13">
        <v>100</v>
      </c>
      <c r="BG28" s="13">
        <f t="shared" si="31"/>
        <v>0.43657663905138289</v>
      </c>
      <c r="BH28" s="13">
        <v>41.068321165476334</v>
      </c>
      <c r="BI28" s="13">
        <f t="shared" si="32"/>
        <v>0.17929469625906427</v>
      </c>
      <c r="BJ28" s="13">
        <f>'a28'!AC28</f>
        <v>19.44571356642183</v>
      </c>
      <c r="BK28" s="13">
        <f t="shared" si="33"/>
        <v>8.4895442727843218E-2</v>
      </c>
      <c r="BL28" s="13">
        <f t="shared" si="34"/>
        <v>229.05485785333215</v>
      </c>
      <c r="BM28" s="13">
        <f>'a28'!AE28</f>
        <v>64.954890489686733</v>
      </c>
      <c r="BN28" s="13">
        <f t="shared" si="35"/>
        <v>0.29081724838939577</v>
      </c>
      <c r="BO28" s="13">
        <v>100</v>
      </c>
      <c r="BP28" s="13">
        <f t="shared" si="36"/>
        <v>0.4477218669710028</v>
      </c>
      <c r="BQ28" s="13">
        <v>40.313095115831054</v>
      </c>
      <c r="BR28" s="13">
        <f t="shared" si="37"/>
        <v>0.18049054208639495</v>
      </c>
      <c r="BS28" s="13">
        <f>'a28'!AG28</f>
        <v>18.084964913820166</v>
      </c>
      <c r="BT28" s="13">
        <f t="shared" si="38"/>
        <v>8.0970342553206454E-2</v>
      </c>
      <c r="BU28" s="13">
        <f t="shared" si="39"/>
        <v>223.35295051933795</v>
      </c>
      <c r="BV28" s="13">
        <f>'a28'!AI28</f>
        <v>62.253070524060583</v>
      </c>
      <c r="BW28" s="13">
        <f t="shared" si="40"/>
        <v>0.27899380321921224</v>
      </c>
      <c r="BX28" s="13">
        <v>100</v>
      </c>
      <c r="BY28" s="13">
        <f t="shared" si="41"/>
        <v>0.44816071058114659</v>
      </c>
      <c r="BZ28" s="13">
        <v>43.237602323579075</v>
      </c>
      <c r="CA28" s="13">
        <f t="shared" si="42"/>
        <v>0.19377394581160234</v>
      </c>
      <c r="CB28" s="13">
        <f>'a28'!AK28</f>
        <v>17.643568148913346</v>
      </c>
      <c r="CC28" s="13">
        <f t="shared" si="43"/>
        <v>7.9071540388038902E-2</v>
      </c>
      <c r="CD28" s="13">
        <f t="shared" si="44"/>
        <v>223.13424099655299</v>
      </c>
      <c r="CE28" s="13">
        <f>'a28'!AM28</f>
        <v>67.635297756328242</v>
      </c>
      <c r="CF28" s="13">
        <f t="shared" si="45"/>
        <v>0.29799895114359148</v>
      </c>
      <c r="CG28" s="13">
        <v>100</v>
      </c>
      <c r="CH28" s="13">
        <f t="shared" si="46"/>
        <v>0.44059679047647782</v>
      </c>
      <c r="CI28" s="13">
        <v>42.436659214784662</v>
      </c>
      <c r="CJ28" s="13">
        <f t="shared" si="47"/>
        <v>0.18697455848578171</v>
      </c>
      <c r="CK28" s="13">
        <f>'a28'!AO28</f>
        <v>16.892928297016862</v>
      </c>
      <c r="CL28" s="13">
        <f t="shared" si="48"/>
        <v>7.4429699894149021E-2</v>
      </c>
      <c r="CM28" s="13">
        <f t="shared" si="49"/>
        <v>226.96488526812976</v>
      </c>
      <c r="CN28" s="13">
        <f>'a28'!AQ28</f>
        <v>67.340044123664129</v>
      </c>
      <c r="CO28" s="13">
        <f t="shared" si="50"/>
        <v>0.2988129167686211</v>
      </c>
      <c r="CP28" s="13">
        <v>100</v>
      </c>
      <c r="CQ28" s="13">
        <f t="shared" si="51"/>
        <v>0.4437373343858777</v>
      </c>
      <c r="CR28" s="13">
        <v>38.423960992303599</v>
      </c>
      <c r="CS28" s="13">
        <f t="shared" si="52"/>
        <v>0.17050146027271743</v>
      </c>
      <c r="CT28" s="13">
        <f>'a28'!AS28</f>
        <v>19.594539795286366</v>
      </c>
      <c r="CU28" s="13">
        <f t="shared" si="53"/>
        <v>8.6948288572783736E-2</v>
      </c>
      <c r="CV28" s="13">
        <f t="shared" si="54"/>
        <v>225.35854491125411</v>
      </c>
    </row>
    <row r="29" spans="1:100" ht="15.75" customHeight="1">
      <c r="A29" s="1">
        <v>1991</v>
      </c>
      <c r="B29" s="13">
        <f>'a28'!C29</f>
        <v>67.87133766230987</v>
      </c>
      <c r="C29" s="13">
        <f t="shared" si="55"/>
        <v>0.29738580487536775</v>
      </c>
      <c r="D29" s="13">
        <v>100</v>
      </c>
      <c r="E29" s="13">
        <f t="shared" si="56"/>
        <v>0.43816110764605021</v>
      </c>
      <c r="F29" s="13">
        <v>40.940110365892593</v>
      </c>
      <c r="G29" s="13">
        <f t="shared" si="57"/>
        <v>0.17938364105071042</v>
      </c>
      <c r="H29" s="13">
        <f>'a28'!E29</f>
        <v>19.415106668159908</v>
      </c>
      <c r="I29" s="13">
        <f t="shared" si="4"/>
        <v>8.5069446427871606E-2</v>
      </c>
      <c r="J29" s="13">
        <f t="shared" si="58"/>
        <v>228.22655469636237</v>
      </c>
      <c r="K29" s="13">
        <f>'a28'!G29</f>
        <v>68.2054847458095</v>
      </c>
      <c r="L29" s="13">
        <f t="shared" si="5"/>
        <v>0.29693268295097736</v>
      </c>
      <c r="M29" s="13">
        <v>100</v>
      </c>
      <c r="N29" s="13">
        <f t="shared" si="6"/>
        <v>0.43535015410798134</v>
      </c>
      <c r="O29" s="13">
        <v>44.116422270058827</v>
      </c>
      <c r="P29" s="13">
        <f t="shared" si="7"/>
        <v>0.19206091233962891</v>
      </c>
      <c r="Q29" s="13">
        <f>'a28'!I29</f>
        <v>17.378252858651173</v>
      </c>
      <c r="R29" s="13">
        <f t="shared" si="8"/>
        <v>7.5656250601412553E-2</v>
      </c>
      <c r="S29" s="13">
        <f t="shared" si="9"/>
        <v>229.70015987451947</v>
      </c>
      <c r="T29" s="13">
        <f>'a28'!K29</f>
        <v>64.340449033129048</v>
      </c>
      <c r="U29" s="13">
        <f t="shared" si="10"/>
        <v>0.28626669811669553</v>
      </c>
      <c r="V29" s="13">
        <v>100</v>
      </c>
      <c r="W29" s="13">
        <f t="shared" si="11"/>
        <v>0.44492493045750442</v>
      </c>
      <c r="X29" s="13">
        <v>42.100096670316169</v>
      </c>
      <c r="Y29" s="13">
        <f t="shared" si="12"/>
        <v>0.18731382583294637</v>
      </c>
      <c r="Z29" s="13">
        <f>'a28'!M29</f>
        <v>18.316470940177496</v>
      </c>
      <c r="AA29" s="13">
        <f t="shared" si="13"/>
        <v>8.1494545592853726E-2</v>
      </c>
      <c r="AB29" s="13">
        <f t="shared" si="14"/>
        <v>224.75701664362271</v>
      </c>
      <c r="AC29" s="13">
        <f>'a28'!O29</f>
        <v>67.215719876848283</v>
      </c>
      <c r="AD29" s="13">
        <f t="shared" si="15"/>
        <v>0.29484322578726296</v>
      </c>
      <c r="AE29" s="13">
        <v>100</v>
      </c>
      <c r="AF29" s="13">
        <f t="shared" si="16"/>
        <v>0.43865218780289889</v>
      </c>
      <c r="AG29" s="13">
        <v>41.86846110075065</v>
      </c>
      <c r="AH29" s="13">
        <f t="shared" si="17"/>
        <v>0.18365692061784841</v>
      </c>
      <c r="AI29" s="13">
        <f>'a28'!Q29</f>
        <v>18.886869391203419</v>
      </c>
      <c r="AJ29" s="13">
        <f t="shared" si="18"/>
        <v>8.284766579198985E-2</v>
      </c>
      <c r="AK29" s="13">
        <f t="shared" si="19"/>
        <v>227.97105036880234</v>
      </c>
      <c r="AL29" s="13">
        <f>'a28'!S29</f>
        <v>67.330501484105383</v>
      </c>
      <c r="AM29" s="13">
        <f t="shared" si="20"/>
        <v>0.29718764574232814</v>
      </c>
      <c r="AN29" s="13">
        <v>100</v>
      </c>
      <c r="AO29" s="13">
        <f t="shared" si="21"/>
        <v>0.44138635416592703</v>
      </c>
      <c r="AP29" s="13">
        <v>40.819306358343439</v>
      </c>
      <c r="AQ29" s="13">
        <f t="shared" si="22"/>
        <v>0.18017084813091255</v>
      </c>
      <c r="AR29" s="13">
        <f>'a28'!U29</f>
        <v>18.409076581983914</v>
      </c>
      <c r="AS29" s="13">
        <f t="shared" si="23"/>
        <v>8.1255151960832259E-2</v>
      </c>
      <c r="AT29" s="13">
        <f t="shared" si="24"/>
        <v>226.55888442443273</v>
      </c>
      <c r="AU29" s="13">
        <f>'a28'!W29</f>
        <v>69.135718445662306</v>
      </c>
      <c r="AV29" s="13">
        <f t="shared" si="25"/>
        <v>0.29976234857005318</v>
      </c>
      <c r="AW29" s="13">
        <v>100</v>
      </c>
      <c r="AX29" s="13">
        <f t="shared" si="26"/>
        <v>0.43358535256367292</v>
      </c>
      <c r="AY29" s="13">
        <v>40.772126608254993</v>
      </c>
      <c r="AZ29" s="13">
        <f t="shared" si="27"/>
        <v>0.17678196890210951</v>
      </c>
      <c r="BA29" s="13">
        <f>'a28'!Y29</f>
        <v>20.727252300564452</v>
      </c>
      <c r="BB29" s="13">
        <f t="shared" si="28"/>
        <v>8.9870329964164386E-2</v>
      </c>
      <c r="BC29" s="13">
        <f t="shared" si="29"/>
        <v>230.63509735448176</v>
      </c>
      <c r="BD29" s="13">
        <f>'a28'!AA29</f>
        <v>68.288929220435847</v>
      </c>
      <c r="BE29" s="13">
        <f t="shared" si="30"/>
        <v>0.2981680450342194</v>
      </c>
      <c r="BF29" s="13">
        <v>100</v>
      </c>
      <c r="BG29" s="13">
        <f t="shared" si="31"/>
        <v>0.43662720800868982</v>
      </c>
      <c r="BH29" s="13">
        <v>41.162493440537062</v>
      </c>
      <c r="BI29" s="13">
        <f t="shared" si="32"/>
        <v>0.17972664585617706</v>
      </c>
      <c r="BJ29" s="13">
        <f>'a28'!AC29</f>
        <v>19.576906691351311</v>
      </c>
      <c r="BK29" s="13">
        <f t="shared" si="33"/>
        <v>8.5478101100913612E-2</v>
      </c>
      <c r="BL29" s="13">
        <f t="shared" si="34"/>
        <v>229.02832935232425</v>
      </c>
      <c r="BM29" s="13">
        <f>'a28'!AE29</f>
        <v>64.860166329609484</v>
      </c>
      <c r="BN29" s="13">
        <f t="shared" si="35"/>
        <v>0.2906421000349857</v>
      </c>
      <c r="BO29" s="13">
        <v>100</v>
      </c>
      <c r="BP29" s="13">
        <f t="shared" si="36"/>
        <v>0.4481056964269669</v>
      </c>
      <c r="BQ29" s="13">
        <v>40.070820915162393</v>
      </c>
      <c r="BR29" s="13">
        <f t="shared" si="37"/>
        <v>0.17955963112589116</v>
      </c>
      <c r="BS29" s="13">
        <f>'a28'!AG29</f>
        <v>18.230648051016399</v>
      </c>
      <c r="BT29" s="13">
        <f t="shared" si="38"/>
        <v>8.16925724121563E-2</v>
      </c>
      <c r="BU29" s="13">
        <f t="shared" si="39"/>
        <v>223.16163529578827</v>
      </c>
      <c r="BV29" s="13">
        <f>'a28'!AI29</f>
        <v>62.100521285751753</v>
      </c>
      <c r="BW29" s="13">
        <f t="shared" si="40"/>
        <v>0.27883240008087345</v>
      </c>
      <c r="BX29" s="13">
        <v>100</v>
      </c>
      <c r="BY29" s="13">
        <f t="shared" si="41"/>
        <v>0.4490017061174788</v>
      </c>
      <c r="BZ29" s="13">
        <v>42.854767285700234</v>
      </c>
      <c r="CA29" s="13">
        <f t="shared" si="42"/>
        <v>0.19241863626546921</v>
      </c>
      <c r="CB29" s="13">
        <f>'a28'!AK29</f>
        <v>17.761014368019563</v>
      </c>
      <c r="CC29" s="13">
        <f t="shared" si="43"/>
        <v>7.9747257536178381E-2</v>
      </c>
      <c r="CD29" s="13">
        <f t="shared" si="44"/>
        <v>222.71630293947157</v>
      </c>
      <c r="CE29" s="13">
        <f>'a28'!AM29</f>
        <v>67.50634377268733</v>
      </c>
      <c r="CF29" s="13">
        <f t="shared" si="45"/>
        <v>0.29772584297273746</v>
      </c>
      <c r="CG29" s="13">
        <v>100</v>
      </c>
      <c r="CH29" s="13">
        <f t="shared" si="46"/>
        <v>0.44103387375749947</v>
      </c>
      <c r="CI29" s="13">
        <v>42.149361122859105</v>
      </c>
      <c r="CJ29" s="13">
        <f t="shared" si="47"/>
        <v>0.18589296012418299</v>
      </c>
      <c r="CK29" s="13">
        <f>'a28'!AO29</f>
        <v>17.084248541645934</v>
      </c>
      <c r="CL29" s="13">
        <f t="shared" si="48"/>
        <v>7.5347323145580167E-2</v>
      </c>
      <c r="CM29" s="13">
        <f t="shared" si="49"/>
        <v>226.73995343719236</v>
      </c>
      <c r="CN29" s="13">
        <f>'a28'!AQ29</f>
        <v>67.31038444335698</v>
      </c>
      <c r="CO29" s="13">
        <f t="shared" si="50"/>
        <v>0.29844979310422792</v>
      </c>
      <c r="CP29" s="13">
        <v>100</v>
      </c>
      <c r="CQ29" s="13">
        <f t="shared" si="51"/>
        <v>0.44339338658120325</v>
      </c>
      <c r="CR29" s="13">
        <v>38.462687752158757</v>
      </c>
      <c r="CS29" s="13">
        <f t="shared" si="52"/>
        <v>0.17054101379445039</v>
      </c>
      <c r="CT29" s="13">
        <f>'a28'!AS29</f>
        <v>19.760287178769733</v>
      </c>
      <c r="CU29" s="13">
        <f t="shared" si="53"/>
        <v>8.7615806520118425E-2</v>
      </c>
      <c r="CV29" s="13">
        <f t="shared" si="54"/>
        <v>225.53335937428548</v>
      </c>
    </row>
    <row r="30" spans="1:100" ht="15.75" customHeight="1">
      <c r="A30" s="1">
        <v>1992</v>
      </c>
      <c r="B30" s="13">
        <f>'a28'!C30</f>
        <v>67.700956150561353</v>
      </c>
      <c r="C30" s="13">
        <f t="shared" si="55"/>
        <v>0.29672122637359999</v>
      </c>
      <c r="D30" s="13">
        <v>100</v>
      </c>
      <c r="E30" s="13">
        <f t="shared" si="56"/>
        <v>0.43828217981695328</v>
      </c>
      <c r="F30" s="13">
        <v>40.661996725919799</v>
      </c>
      <c r="G30" s="13">
        <f t="shared" si="57"/>
        <v>0.17821428560745947</v>
      </c>
      <c r="H30" s="13">
        <f>'a28'!E30</f>
        <v>19.800555942801843</v>
      </c>
      <c r="I30" s="13">
        <f t="shared" si="4"/>
        <v>8.6782308201987207E-2</v>
      </c>
      <c r="J30" s="13">
        <f t="shared" si="58"/>
        <v>228.16350881928301</v>
      </c>
      <c r="K30" s="13">
        <f>'a28'!G30</f>
        <v>68.530569255088267</v>
      </c>
      <c r="L30" s="13">
        <f t="shared" si="5"/>
        <v>0.29826771373956851</v>
      </c>
      <c r="M30" s="13">
        <v>100</v>
      </c>
      <c r="N30" s="13">
        <f t="shared" si="6"/>
        <v>0.43523308938138244</v>
      </c>
      <c r="O30" s="13">
        <v>43.257337201058128</v>
      </c>
      <c r="P30" s="13">
        <f t="shared" si="7"/>
        <v>0.18827024508428733</v>
      </c>
      <c r="Q30" s="13">
        <f>'a28'!I30</f>
        <v>17.974035913940313</v>
      </c>
      <c r="R30" s="13">
        <f t="shared" si="8"/>
        <v>7.8228951794761623E-2</v>
      </c>
      <c r="S30" s="13">
        <f t="shared" si="9"/>
        <v>229.76194237008673</v>
      </c>
      <c r="T30" s="13">
        <f>'a28'!K30</f>
        <v>64.497389682557881</v>
      </c>
      <c r="U30" s="13">
        <f t="shared" si="10"/>
        <v>0.28660648376528997</v>
      </c>
      <c r="V30" s="13">
        <v>100</v>
      </c>
      <c r="W30" s="13">
        <f t="shared" si="11"/>
        <v>0.44436912125576666</v>
      </c>
      <c r="X30" s="13">
        <v>41.585946237714396</v>
      </c>
      <c r="Y30" s="13">
        <f t="shared" si="12"/>
        <v>0.18479510386242703</v>
      </c>
      <c r="Z30" s="13">
        <f>'a28'!M30</f>
        <v>18.954802907656678</v>
      </c>
      <c r="AA30" s="13">
        <f t="shared" si="13"/>
        <v>8.4229291116516489E-2</v>
      </c>
      <c r="AB30" s="13">
        <f t="shared" si="14"/>
        <v>225.03813882792892</v>
      </c>
      <c r="AC30" s="13">
        <f>'a28'!O30</f>
        <v>67.224898336072286</v>
      </c>
      <c r="AD30" s="13">
        <f t="shared" si="15"/>
        <v>0.29493655950602715</v>
      </c>
      <c r="AE30" s="13">
        <v>100</v>
      </c>
      <c r="AF30" s="13">
        <f t="shared" si="16"/>
        <v>0.43873113504995337</v>
      </c>
      <c r="AG30" s="13">
        <v>41.247214252556155</v>
      </c>
      <c r="AH30" s="13">
        <f t="shared" si="17"/>
        <v>0.18096437126672577</v>
      </c>
      <c r="AI30" s="13">
        <f>'a28'!Q30</f>
        <v>19.457915647489642</v>
      </c>
      <c r="AJ30" s="13">
        <f t="shared" si="18"/>
        <v>8.5367934177293797E-2</v>
      </c>
      <c r="AK30" s="13">
        <f t="shared" si="19"/>
        <v>227.93002823611806</v>
      </c>
      <c r="AL30" s="13">
        <f>'a28'!S30</f>
        <v>67.524103721189491</v>
      </c>
      <c r="AM30" s="13">
        <f t="shared" si="20"/>
        <v>0.29772410761128498</v>
      </c>
      <c r="AN30" s="13">
        <v>100</v>
      </c>
      <c r="AO30" s="13">
        <f t="shared" si="21"/>
        <v>0.44091530461567208</v>
      </c>
      <c r="AP30" s="13">
        <v>40.257039464897908</v>
      </c>
      <c r="AQ30" s="13">
        <f t="shared" si="22"/>
        <v>0.17749944818590593</v>
      </c>
      <c r="AR30" s="13">
        <f>'a28'!U30</f>
        <v>19.019784232764486</v>
      </c>
      <c r="AS30" s="13">
        <f t="shared" si="23"/>
        <v>8.3861139587137104E-2</v>
      </c>
      <c r="AT30" s="13">
        <f t="shared" si="24"/>
        <v>226.80092741885187</v>
      </c>
      <c r="AU30" s="13">
        <f>'a28'!W30</f>
        <v>68.961239154375306</v>
      </c>
      <c r="AV30" s="13">
        <f t="shared" si="25"/>
        <v>0.29928844606971527</v>
      </c>
      <c r="AW30" s="13">
        <v>100</v>
      </c>
      <c r="AX30" s="13">
        <f t="shared" si="26"/>
        <v>0.43399516850289466</v>
      </c>
      <c r="AY30" s="13">
        <v>40.360996690288303</v>
      </c>
      <c r="AZ30" s="13">
        <f t="shared" si="27"/>
        <v>0.17516477559546448</v>
      </c>
      <c r="BA30" s="13">
        <f>'a28'!Y30</f>
        <v>21.095075815645828</v>
      </c>
      <c r="BB30" s="13">
        <f t="shared" si="28"/>
        <v>9.1551609831925493E-2</v>
      </c>
      <c r="BC30" s="13">
        <f t="shared" si="29"/>
        <v>230.41731166030945</v>
      </c>
      <c r="BD30" s="13">
        <f>'a28'!AA30</f>
        <v>67.980180104339638</v>
      </c>
      <c r="BE30" s="13">
        <f t="shared" si="30"/>
        <v>0.29685081896049043</v>
      </c>
      <c r="BF30" s="13">
        <v>100</v>
      </c>
      <c r="BG30" s="13">
        <f t="shared" si="31"/>
        <v>0.43667259854985346</v>
      </c>
      <c r="BH30" s="13">
        <v>41.079212873775283</v>
      </c>
      <c r="BI30" s="13">
        <f t="shared" si="32"/>
        <v>0.17938166631974048</v>
      </c>
      <c r="BJ30" s="13">
        <f>'a28'!AC30</f>
        <v>19.945129705676344</v>
      </c>
      <c r="BK30" s="13">
        <f t="shared" si="33"/>
        <v>8.7094916169915632E-2</v>
      </c>
      <c r="BL30" s="13">
        <f t="shared" si="34"/>
        <v>229.00452268379127</v>
      </c>
      <c r="BM30" s="13">
        <f>'a28'!AE30</f>
        <v>64.696514479787254</v>
      </c>
      <c r="BN30" s="13">
        <f t="shared" si="35"/>
        <v>0.29002859185173463</v>
      </c>
      <c r="BO30" s="13">
        <v>100</v>
      </c>
      <c r="BP30" s="13">
        <f t="shared" si="36"/>
        <v>0.44829090745274469</v>
      </c>
      <c r="BQ30" s="13">
        <v>39.803941575670457</v>
      </c>
      <c r="BR30" s="13">
        <f t="shared" si="37"/>
        <v>0.17843745089153343</v>
      </c>
      <c r="BS30" s="13">
        <f>'a28'!AG30</f>
        <v>18.568980191230434</v>
      </c>
      <c r="BT30" s="13">
        <f t="shared" si="38"/>
        <v>8.3243049803987321E-2</v>
      </c>
      <c r="BU30" s="13">
        <f t="shared" si="39"/>
        <v>223.06943624668813</v>
      </c>
      <c r="BV30" s="13">
        <f>'a28'!AI30</f>
        <v>62.068137789530823</v>
      </c>
      <c r="BW30" s="13">
        <f t="shared" si="40"/>
        <v>0.27922974890194174</v>
      </c>
      <c r="BX30" s="13">
        <v>100</v>
      </c>
      <c r="BY30" s="13">
        <f t="shared" si="41"/>
        <v>0.44987615038297485</v>
      </c>
      <c r="BZ30" s="13">
        <v>42.218159995460915</v>
      </c>
      <c r="CA30" s="13">
        <f t="shared" si="42"/>
        <v>0.1899294329501047</v>
      </c>
      <c r="CB30" s="13">
        <f>'a28'!AK30</f>
        <v>17.997101579191131</v>
      </c>
      <c r="CC30" s="13">
        <f t="shared" si="43"/>
        <v>8.096466776497864E-2</v>
      </c>
      <c r="CD30" s="13">
        <f t="shared" si="44"/>
        <v>222.28339936418288</v>
      </c>
      <c r="CE30" s="13">
        <f>'a28'!AM30</f>
        <v>67.36961535656549</v>
      </c>
      <c r="CF30" s="13">
        <f t="shared" si="45"/>
        <v>0.29714161875928269</v>
      </c>
      <c r="CG30" s="13">
        <v>100</v>
      </c>
      <c r="CH30" s="13">
        <f t="shared" si="46"/>
        <v>0.44106177122521573</v>
      </c>
      <c r="CI30" s="13">
        <v>41.85282873466749</v>
      </c>
      <c r="CJ30" s="13">
        <f t="shared" si="47"/>
        <v>0.18459682772498048</v>
      </c>
      <c r="CK30" s="13">
        <f>'a28'!AO30</f>
        <v>17.503167884187622</v>
      </c>
      <c r="CL30" s="13">
        <f t="shared" si="48"/>
        <v>7.7199782290521046E-2</v>
      </c>
      <c r="CM30" s="13">
        <f t="shared" si="49"/>
        <v>226.72561197542061</v>
      </c>
      <c r="CN30" s="13">
        <f>'a28'!AQ30</f>
        <v>67.274897788919631</v>
      </c>
      <c r="CO30" s="13">
        <f t="shared" si="50"/>
        <v>0.29805355472189704</v>
      </c>
      <c r="CP30" s="13">
        <v>100</v>
      </c>
      <c r="CQ30" s="13">
        <f t="shared" si="51"/>
        <v>0.4430382869656137</v>
      </c>
      <c r="CR30" s="13">
        <v>38.310377425600407</v>
      </c>
      <c r="CS30" s="13">
        <f t="shared" si="52"/>
        <v>0.16972963987644121</v>
      </c>
      <c r="CT30" s="13">
        <f>'a28'!AS30</f>
        <v>20.128851401723129</v>
      </c>
      <c r="CU30" s="13">
        <f t="shared" si="53"/>
        <v>8.9178518436048071E-2</v>
      </c>
      <c r="CV30" s="13">
        <f t="shared" si="54"/>
        <v>225.71412661624316</v>
      </c>
    </row>
    <row r="31" spans="1:100" ht="15.75" customHeight="1">
      <c r="A31" s="1">
        <v>1993</v>
      </c>
      <c r="B31" s="13">
        <f>'a28'!C31</f>
        <v>67.605799371401488</v>
      </c>
      <c r="C31" s="13">
        <f t="shared" si="55"/>
        <v>0.29626233270132479</v>
      </c>
      <c r="D31" s="13">
        <v>100</v>
      </c>
      <c r="E31" s="13">
        <f t="shared" si="56"/>
        <v>0.43822029390373468</v>
      </c>
      <c r="F31" s="13">
        <v>40.399149509701139</v>
      </c>
      <c r="G31" s="13">
        <f t="shared" si="57"/>
        <v>0.17703727171602152</v>
      </c>
      <c r="H31" s="13">
        <f>'a28'!E31</f>
        <v>20.190781419711175</v>
      </c>
      <c r="I31" s="13">
        <f t="shared" si="4"/>
        <v>8.8480101678918968E-2</v>
      </c>
      <c r="J31" s="13">
        <f t="shared" si="58"/>
        <v>228.19573030081381</v>
      </c>
      <c r="K31" s="13">
        <f>'a28'!G31</f>
        <v>68.891007746858918</v>
      </c>
      <c r="L31" s="13">
        <f t="shared" si="5"/>
        <v>0.29910741649202205</v>
      </c>
      <c r="M31" s="13">
        <v>100</v>
      </c>
      <c r="N31" s="13">
        <f t="shared" si="6"/>
        <v>0.43417483104775723</v>
      </c>
      <c r="O31" s="13">
        <v>42.795390116490459</v>
      </c>
      <c r="P31" s="13">
        <f t="shared" si="7"/>
        <v>0.18580681273450103</v>
      </c>
      <c r="Q31" s="13">
        <f>'a28'!I31</f>
        <v>18.635566582812764</v>
      </c>
      <c r="R31" s="13">
        <f t="shared" si="8"/>
        <v>8.0910939725719624E-2</v>
      </c>
      <c r="S31" s="13">
        <f t="shared" si="9"/>
        <v>230.32196444616216</v>
      </c>
      <c r="T31" s="13">
        <f>'a28'!K31</f>
        <v>64.687502364253987</v>
      </c>
      <c r="U31" s="13">
        <f t="shared" si="10"/>
        <v>0.28687900599255456</v>
      </c>
      <c r="V31" s="13">
        <v>100</v>
      </c>
      <c r="W31" s="13">
        <f t="shared" si="11"/>
        <v>0.44348443749944905</v>
      </c>
      <c r="X31" s="13">
        <v>41.33247496327629</v>
      </c>
      <c r="Y31" s="13">
        <f t="shared" si="12"/>
        <v>0.18330309409548645</v>
      </c>
      <c r="Z31" s="13">
        <f>'a28'!M31</f>
        <v>19.467078236001726</v>
      </c>
      <c r="AA31" s="13">
        <f t="shared" si="13"/>
        <v>8.6333462412509915E-2</v>
      </c>
      <c r="AB31" s="13">
        <f t="shared" si="14"/>
        <v>225.48705556353201</v>
      </c>
      <c r="AC31" s="13">
        <f>'a28'!O31</f>
        <v>67.267040073599048</v>
      </c>
      <c r="AD31" s="13">
        <f t="shared" si="15"/>
        <v>0.29511396570997717</v>
      </c>
      <c r="AE31" s="13">
        <v>100</v>
      </c>
      <c r="AF31" s="13">
        <f t="shared" si="16"/>
        <v>0.43872001114822862</v>
      </c>
      <c r="AG31" s="13">
        <v>40.631751417792486</v>
      </c>
      <c r="AH31" s="13">
        <f t="shared" si="17"/>
        <v>0.17825962434985973</v>
      </c>
      <c r="AI31" s="13">
        <f>'a28'!Q31</f>
        <v>20.037015991557755</v>
      </c>
      <c r="AJ31" s="13">
        <f t="shared" si="18"/>
        <v>8.7906398791934529E-2</v>
      </c>
      <c r="AK31" s="13">
        <f t="shared" si="19"/>
        <v>227.93580748294929</v>
      </c>
      <c r="AL31" s="13">
        <f>'a28'!S31</f>
        <v>67.608692168394739</v>
      </c>
      <c r="AM31" s="13">
        <f t="shared" si="20"/>
        <v>0.29785531206630333</v>
      </c>
      <c r="AN31" s="13">
        <v>100</v>
      </c>
      <c r="AO31" s="13">
        <f t="shared" si="21"/>
        <v>0.44055771900516477</v>
      </c>
      <c r="AP31" s="13">
        <v>39.734943184458629</v>
      </c>
      <c r="AQ31" s="13">
        <f t="shared" si="22"/>
        <v>0.17505535934144911</v>
      </c>
      <c r="AR31" s="13">
        <f>'a28'!U31</f>
        <v>19.641378610385519</v>
      </c>
      <c r="AS31" s="13">
        <f t="shared" si="23"/>
        <v>8.6531609587082781E-2</v>
      </c>
      <c r="AT31" s="13">
        <f t="shared" si="24"/>
        <v>226.98501396323888</v>
      </c>
      <c r="AU31" s="13">
        <f>'a28'!W31</f>
        <v>68.864074901031046</v>
      </c>
      <c r="AV31" s="13">
        <f t="shared" si="25"/>
        <v>0.29915109362456532</v>
      </c>
      <c r="AW31" s="13">
        <v>100</v>
      </c>
      <c r="AX31" s="13">
        <f t="shared" si="26"/>
        <v>0.4344080626284379</v>
      </c>
      <c r="AY31" s="13">
        <v>39.874619817913377</v>
      </c>
      <c r="AZ31" s="13">
        <f t="shared" si="27"/>
        <v>0.17321856343145264</v>
      </c>
      <c r="BA31" s="13">
        <f>'a28'!Y31</f>
        <v>21.459610982239035</v>
      </c>
      <c r="BB31" s="13">
        <f t="shared" si="28"/>
        <v>9.3222280315544082E-2</v>
      </c>
      <c r="BC31" s="13">
        <f t="shared" si="29"/>
        <v>230.19830570118347</v>
      </c>
      <c r="BD31" s="13">
        <f>'a28'!AA31</f>
        <v>67.739057616072088</v>
      </c>
      <c r="BE31" s="13">
        <f t="shared" si="30"/>
        <v>0.29603309691844876</v>
      </c>
      <c r="BF31" s="13">
        <v>100</v>
      </c>
      <c r="BG31" s="13">
        <f t="shared" si="31"/>
        <v>0.4370198041376509</v>
      </c>
      <c r="BH31" s="13">
        <v>40.767478808123798</v>
      </c>
      <c r="BI31" s="13">
        <f t="shared" si="32"/>
        <v>0.17816195603912097</v>
      </c>
      <c r="BJ31" s="13">
        <f>'a28'!AC31</f>
        <v>20.316045649229686</v>
      </c>
      <c r="BK31" s="13">
        <f t="shared" si="33"/>
        <v>8.8785142904779318E-2</v>
      </c>
      <c r="BL31" s="13">
        <f t="shared" si="34"/>
        <v>228.82258207342559</v>
      </c>
      <c r="BM31" s="13">
        <f>'a28'!AE31</f>
        <v>64.637559523916039</v>
      </c>
      <c r="BN31" s="13">
        <f t="shared" si="35"/>
        <v>0.28961447465120904</v>
      </c>
      <c r="BO31" s="13">
        <v>100</v>
      </c>
      <c r="BP31" s="13">
        <f t="shared" si="36"/>
        <v>0.44805911111797325</v>
      </c>
      <c r="BQ31" s="13">
        <v>39.639565534370298</v>
      </c>
      <c r="BR31" s="13">
        <f t="shared" si="37"/>
        <v>0.17760868498432603</v>
      </c>
      <c r="BS31" s="13">
        <f>'a28'!AG31</f>
        <v>18.907712653160562</v>
      </c>
      <c r="BT31" s="13">
        <f t="shared" si="38"/>
        <v>8.4717729246491763E-2</v>
      </c>
      <c r="BU31" s="13">
        <f t="shared" si="39"/>
        <v>223.18483771144687</v>
      </c>
      <c r="BV31" s="13">
        <f>'a28'!AI31</f>
        <v>62.083623001291087</v>
      </c>
      <c r="BW31" s="13">
        <f t="shared" si="40"/>
        <v>0.27850562844034055</v>
      </c>
      <c r="BX31" s="13">
        <v>100</v>
      </c>
      <c r="BY31" s="13">
        <f t="shared" si="41"/>
        <v>0.44859757690776003</v>
      </c>
      <c r="BZ31" s="13">
        <v>42.649983936817897</v>
      </c>
      <c r="CA31" s="13">
        <f t="shared" si="42"/>
        <v>0.19132679449211396</v>
      </c>
      <c r="CB31" s="13">
        <f>'a28'!AK31</f>
        <v>18.183334988578807</v>
      </c>
      <c r="CC31" s="13">
        <f t="shared" si="43"/>
        <v>8.1570000159785452E-2</v>
      </c>
      <c r="CD31" s="13">
        <f t="shared" si="44"/>
        <v>222.9169419266878</v>
      </c>
      <c r="CE31" s="13">
        <f>'a28'!AM31</f>
        <v>67.32348764214791</v>
      </c>
      <c r="CF31" s="13">
        <f t="shared" si="45"/>
        <v>0.29627391841817591</v>
      </c>
      <c r="CG31" s="13">
        <v>100</v>
      </c>
      <c r="CH31" s="13">
        <f t="shared" si="46"/>
        <v>0.44007511909215685</v>
      </c>
      <c r="CI31" s="13">
        <v>41.953618445666919</v>
      </c>
      <c r="CJ31" s="13">
        <f t="shared" si="47"/>
        <v>0.18462743633823778</v>
      </c>
      <c r="CK31" s="13">
        <f>'a28'!AO31</f>
        <v>17.956826624156637</v>
      </c>
      <c r="CL31" s="13">
        <f t="shared" si="48"/>
        <v>7.9023526151429449E-2</v>
      </c>
      <c r="CM31" s="13">
        <f t="shared" si="49"/>
        <v>227.23393271197148</v>
      </c>
      <c r="CN31" s="13">
        <f>'a28'!AQ31</f>
        <v>67.378773083033323</v>
      </c>
      <c r="CO31" s="13">
        <f t="shared" si="50"/>
        <v>0.29776991579985729</v>
      </c>
      <c r="CP31" s="13">
        <v>100</v>
      </c>
      <c r="CQ31" s="13">
        <f t="shared" si="51"/>
        <v>0.4419343098350938</v>
      </c>
      <c r="CR31" s="13">
        <v>38.398562932151364</v>
      </c>
      <c r="CS31" s="13">
        <f t="shared" si="52"/>
        <v>0.1696964240807973</v>
      </c>
      <c r="CT31" s="13">
        <f>'a28'!AS31</f>
        <v>20.500637372567528</v>
      </c>
      <c r="CU31" s="13">
        <f t="shared" si="53"/>
        <v>9.0599350284251617E-2</v>
      </c>
      <c r="CV31" s="13">
        <f t="shared" si="54"/>
        <v>226.27797338775221</v>
      </c>
    </row>
    <row r="32" spans="1:100" ht="15.75" customHeight="1">
      <c r="A32" s="1">
        <v>1994</v>
      </c>
      <c r="B32" s="13">
        <f>'a28'!C32</f>
        <v>67.602578603116754</v>
      </c>
      <c r="C32" s="13">
        <f t="shared" si="55"/>
        <v>0.29652811195635548</v>
      </c>
      <c r="D32" s="13">
        <v>100</v>
      </c>
      <c r="E32" s="13">
        <f t="shared" si="56"/>
        <v>0.438634321476436</v>
      </c>
      <c r="F32" s="13">
        <v>39.78881432938271</v>
      </c>
      <c r="G32" s="13">
        <f t="shared" si="57"/>
        <v>0.1745273957572068</v>
      </c>
      <c r="H32" s="13">
        <f>'a28'!E32</f>
        <v>20.58894308726666</v>
      </c>
      <c r="I32" s="13">
        <f t="shared" si="4"/>
        <v>9.0310170810001686E-2</v>
      </c>
      <c r="J32" s="13">
        <f t="shared" si="58"/>
        <v>227.98033601976613</v>
      </c>
      <c r="K32" s="13">
        <f>'a28'!G32</f>
        <v>69.161273252028849</v>
      </c>
      <c r="L32" s="13">
        <f t="shared" si="5"/>
        <v>0.29970145639031481</v>
      </c>
      <c r="M32" s="13">
        <v>100</v>
      </c>
      <c r="N32" s="13">
        <f t="shared" si="6"/>
        <v>0.43333710080521554</v>
      </c>
      <c r="O32" s="13">
        <v>42.156410223671955</v>
      </c>
      <c r="P32" s="13">
        <f t="shared" si="7"/>
        <v>0.18267936586681355</v>
      </c>
      <c r="Q32" s="13">
        <f>'a28'!I32</f>
        <v>19.449540965000541</v>
      </c>
      <c r="R32" s="13">
        <f t="shared" si="8"/>
        <v>8.4282076937656089E-2</v>
      </c>
      <c r="S32" s="13">
        <f t="shared" si="9"/>
        <v>230.76722444070134</v>
      </c>
      <c r="T32" s="13">
        <f>'a28'!K32</f>
        <v>64.959493993420111</v>
      </c>
      <c r="U32" s="13">
        <f t="shared" si="10"/>
        <v>0.28752861624722637</v>
      </c>
      <c r="V32" s="13">
        <v>100</v>
      </c>
      <c r="W32" s="13">
        <f t="shared" si="11"/>
        <v>0.44262754921759517</v>
      </c>
      <c r="X32" s="13">
        <v>40.94714798691281</v>
      </c>
      <c r="Y32" s="13">
        <f t="shared" si="12"/>
        <v>0.18124335760897403</v>
      </c>
      <c r="Z32" s="13">
        <f>'a28'!M32</f>
        <v>20.016936831613421</v>
      </c>
      <c r="AA32" s="13">
        <f t="shared" si="13"/>
        <v>8.8600476926204624E-2</v>
      </c>
      <c r="AB32" s="13">
        <f t="shared" si="14"/>
        <v>225.9235788119463</v>
      </c>
      <c r="AC32" s="13">
        <f>'a28'!O32</f>
        <v>67.341409969672156</v>
      </c>
      <c r="AD32" s="13">
        <f t="shared" si="15"/>
        <v>0.295511797405693</v>
      </c>
      <c r="AE32" s="13">
        <v>100</v>
      </c>
      <c r="AF32" s="13">
        <f t="shared" si="16"/>
        <v>0.43882626980750705</v>
      </c>
      <c r="AG32" s="13">
        <v>39.91497521742879</v>
      </c>
      <c r="AH32" s="13">
        <f t="shared" si="17"/>
        <v>0.17515739684123363</v>
      </c>
      <c r="AI32" s="13">
        <f>'a28'!Q32</f>
        <v>20.62422926167719</v>
      </c>
      <c r="AJ32" s="13">
        <f t="shared" si="18"/>
        <v>9.0504535945566372E-2</v>
      </c>
      <c r="AK32" s="13">
        <f t="shared" si="19"/>
        <v>227.88061444877812</v>
      </c>
      <c r="AL32" s="13">
        <f>'a28'!S32</f>
        <v>67.753287522411142</v>
      </c>
      <c r="AM32" s="13">
        <f t="shared" si="20"/>
        <v>0.29834109890453214</v>
      </c>
      <c r="AN32" s="13">
        <v>100</v>
      </c>
      <c r="AO32" s="13">
        <f t="shared" si="21"/>
        <v>0.44033449861137458</v>
      </c>
      <c r="AP32" s="13">
        <v>39.064062532473393</v>
      </c>
      <c r="AQ32" s="13">
        <f t="shared" si="22"/>
        <v>0.17201254388960055</v>
      </c>
      <c r="AR32" s="13">
        <f>'a28'!U32</f>
        <v>20.282730259869233</v>
      </c>
      <c r="AS32" s="13">
        <f t="shared" si="23"/>
        <v>8.9311858594492741E-2</v>
      </c>
      <c r="AT32" s="13">
        <f t="shared" si="24"/>
        <v>227.10008031475377</v>
      </c>
      <c r="AU32" s="13">
        <f>'a28'!W32</f>
        <v>68.859809440600031</v>
      </c>
      <c r="AV32" s="13">
        <f t="shared" si="25"/>
        <v>0.29943366161210622</v>
      </c>
      <c r="AW32" s="13">
        <v>100</v>
      </c>
      <c r="AX32" s="13">
        <f t="shared" si="26"/>
        <v>0.43484532420962357</v>
      </c>
      <c r="AY32" s="13">
        <v>39.22816972395416</v>
      </c>
      <c r="AZ32" s="13">
        <f t="shared" si="27"/>
        <v>0.17058186181762988</v>
      </c>
      <c r="BA32" s="13">
        <f>'a28'!Y32</f>
        <v>21.878849113432604</v>
      </c>
      <c r="BB32" s="13">
        <f t="shared" si="28"/>
        <v>9.5139152360640369E-2</v>
      </c>
      <c r="BC32" s="13">
        <f t="shared" si="29"/>
        <v>229.96682827798679</v>
      </c>
      <c r="BD32" s="13">
        <f>'a28'!AA32</f>
        <v>67.617065154680418</v>
      </c>
      <c r="BE32" s="13">
        <f t="shared" si="30"/>
        <v>0.2960235778737903</v>
      </c>
      <c r="BF32" s="13">
        <v>100</v>
      </c>
      <c r="BG32" s="13">
        <f t="shared" si="31"/>
        <v>0.43779418286878974</v>
      </c>
      <c r="BH32" s="13">
        <v>40.137310286981432</v>
      </c>
      <c r="BI32" s="13">
        <f t="shared" si="32"/>
        <v>0.17571880959640104</v>
      </c>
      <c r="BJ32" s="13">
        <f>'a28'!AC32</f>
        <v>20.663460868353194</v>
      </c>
      <c r="BK32" s="13">
        <f t="shared" si="33"/>
        <v>9.0463429661019001E-2</v>
      </c>
      <c r="BL32" s="13">
        <f t="shared" si="34"/>
        <v>228.41783631001502</v>
      </c>
      <c r="BM32" s="13">
        <f>'a28'!AE32</f>
        <v>64.597544581252293</v>
      </c>
      <c r="BN32" s="13">
        <f t="shared" si="35"/>
        <v>0.28965581033461868</v>
      </c>
      <c r="BO32" s="13">
        <v>100</v>
      </c>
      <c r="BP32" s="13">
        <f t="shared" si="36"/>
        <v>0.44840065084870656</v>
      </c>
      <c r="BQ32" s="13">
        <v>39.170303699025929</v>
      </c>
      <c r="BR32" s="13">
        <f t="shared" si="37"/>
        <v>0.17563989672584726</v>
      </c>
      <c r="BS32" s="13">
        <f>'a28'!AG32</f>
        <v>19.246993046838138</v>
      </c>
      <c r="BT32" s="13">
        <f t="shared" si="38"/>
        <v>8.6303642090827512E-2</v>
      </c>
      <c r="BU32" s="13">
        <f t="shared" si="39"/>
        <v>223.01484132711636</v>
      </c>
      <c r="BV32" s="13">
        <f>'a28'!AI32</f>
        <v>62.205779659757823</v>
      </c>
      <c r="BW32" s="13">
        <f t="shared" si="40"/>
        <v>0.28030908257548931</v>
      </c>
      <c r="BX32" s="13">
        <v>100</v>
      </c>
      <c r="BY32" s="13">
        <f t="shared" si="41"/>
        <v>0.45061581754729924</v>
      </c>
      <c r="BZ32" s="13">
        <v>41.311146093329903</v>
      </c>
      <c r="CA32" s="13">
        <f t="shared" si="42"/>
        <v>0.18615455870661771</v>
      </c>
      <c r="CB32" s="13">
        <f>'a28'!AK32</f>
        <v>18.401604635613996</v>
      </c>
      <c r="CC32" s="13">
        <f t="shared" si="43"/>
        <v>8.292054117059372E-2</v>
      </c>
      <c r="CD32" s="13">
        <f t="shared" si="44"/>
        <v>221.91853038870173</v>
      </c>
      <c r="CE32" s="13">
        <f>'a28'!AM32</f>
        <v>67.385764528405844</v>
      </c>
      <c r="CF32" s="13">
        <f t="shared" si="45"/>
        <v>0.29643959183059604</v>
      </c>
      <c r="CG32" s="13">
        <v>100</v>
      </c>
      <c r="CH32" s="13">
        <f t="shared" si="46"/>
        <v>0.43991426661878219</v>
      </c>
      <c r="CI32" s="13">
        <v>41.540160702676602</v>
      </c>
      <c r="CJ32" s="13">
        <f t="shared" si="47"/>
        <v>0.18274109330744334</v>
      </c>
      <c r="CK32" s="13">
        <f>'a28'!AO32</f>
        <v>18.391094443247184</v>
      </c>
      <c r="CL32" s="13">
        <f t="shared" si="48"/>
        <v>8.0905048243178457E-2</v>
      </c>
      <c r="CM32" s="13">
        <f t="shared" si="49"/>
        <v>227.31701967432963</v>
      </c>
      <c r="CN32" s="13">
        <f>'a28'!AQ32</f>
        <v>67.560917554728888</v>
      </c>
      <c r="CO32" s="13">
        <f t="shared" si="50"/>
        <v>0.29833344895869235</v>
      </c>
      <c r="CP32" s="13">
        <v>100</v>
      </c>
      <c r="CQ32" s="13">
        <f t="shared" si="51"/>
        <v>0.44157696454762058</v>
      </c>
      <c r="CR32" s="13">
        <v>38.028344228071866</v>
      </c>
      <c r="CS32" s="13">
        <f t="shared" si="52"/>
        <v>0.16792440811004003</v>
      </c>
      <c r="CT32" s="13">
        <f>'a28'!AS32</f>
        <v>20.871826608543078</v>
      </c>
      <c r="CU32" s="13">
        <f t="shared" si="53"/>
        <v>9.2165178383647101E-2</v>
      </c>
      <c r="CV32" s="13">
        <f t="shared" si="54"/>
        <v>226.46108839134382</v>
      </c>
    </row>
    <row r="33" spans="1:100" ht="15.75" customHeight="1">
      <c r="A33" s="1">
        <v>1995</v>
      </c>
      <c r="B33" s="13">
        <f>'a28'!C33</f>
        <v>67.64423120074045</v>
      </c>
      <c r="C33" s="13">
        <f t="shared" si="55"/>
        <v>0.29690348453780302</v>
      </c>
      <c r="D33" s="13">
        <v>100</v>
      </c>
      <c r="E33" s="13">
        <f t="shared" si="56"/>
        <v>0.43891914989278946</v>
      </c>
      <c r="F33" s="13">
        <v>39.219941342846766</v>
      </c>
      <c r="G33" s="13">
        <f t="shared" si="57"/>
        <v>0.17214383313047368</v>
      </c>
      <c r="H33" s="13">
        <f>'a28'!E33</f>
        <v>20.968219878630052</v>
      </c>
      <c r="I33" s="13">
        <f t="shared" si="4"/>
        <v>9.2033532438933904E-2</v>
      </c>
      <c r="J33" s="13">
        <f t="shared" si="58"/>
        <v>227.83239242221725</v>
      </c>
      <c r="K33" s="13">
        <f>'a28'!G33</f>
        <v>69.413126964012847</v>
      </c>
      <c r="L33" s="13">
        <f t="shared" si="5"/>
        <v>0.30011345197179684</v>
      </c>
      <c r="M33" s="13">
        <v>100</v>
      </c>
      <c r="N33" s="13">
        <f t="shared" si="6"/>
        <v>0.43235835222837654</v>
      </c>
      <c r="O33" s="13">
        <v>41.569549792542347</v>
      </c>
      <c r="P33" s="13">
        <f t="shared" si="7"/>
        <v>0.17972942051179061</v>
      </c>
      <c r="Q33" s="13">
        <f>'a28'!I33</f>
        <v>20.306945577787687</v>
      </c>
      <c r="R33" s="13">
        <f t="shared" si="8"/>
        <v>8.7798775288036021E-2</v>
      </c>
      <c r="S33" s="13">
        <f t="shared" si="9"/>
        <v>231.28962233434288</v>
      </c>
      <c r="T33" s="13">
        <f>'a28'!K33</f>
        <v>65.187665067142802</v>
      </c>
      <c r="U33" s="13">
        <f t="shared" si="10"/>
        <v>0.28777587263812537</v>
      </c>
      <c r="V33" s="13">
        <v>100</v>
      </c>
      <c r="W33" s="13">
        <f t="shared" si="11"/>
        <v>0.44145755541591869</v>
      </c>
      <c r="X33" s="13">
        <v>40.697844726671065</v>
      </c>
      <c r="Y33" s="13">
        <f t="shared" si="12"/>
        <v>0.17966371043732846</v>
      </c>
      <c r="Z33" s="13">
        <f>'a28'!M33</f>
        <v>20.636833686716514</v>
      </c>
      <c r="AA33" s="13">
        <f t="shared" si="13"/>
        <v>9.1102861508627522E-2</v>
      </c>
      <c r="AB33" s="13">
        <f t="shared" si="14"/>
        <v>226.52234348053037</v>
      </c>
      <c r="AC33" s="13">
        <f>'a28'!O33</f>
        <v>67.437939059604361</v>
      </c>
      <c r="AD33" s="13">
        <f t="shared" si="15"/>
        <v>0.29603518521264366</v>
      </c>
      <c r="AE33" s="13">
        <v>100</v>
      </c>
      <c r="AF33" s="13">
        <f t="shared" si="16"/>
        <v>0.43897424704956639</v>
      </c>
      <c r="AG33" s="13">
        <v>39.163426620861799</v>
      </c>
      <c r="AH33" s="13">
        <f t="shared" si="17"/>
        <v>0.17191735712773751</v>
      </c>
      <c r="AI33" s="13">
        <f>'a28'!Q33</f>
        <v>21.202430720165495</v>
      </c>
      <c r="AJ33" s="13">
        <f t="shared" si="18"/>
        <v>9.3073210610052429E-2</v>
      </c>
      <c r="AK33" s="13">
        <f t="shared" si="19"/>
        <v>227.80379640063165</v>
      </c>
      <c r="AL33" s="13">
        <f>'a28'!S33</f>
        <v>67.939643887751799</v>
      </c>
      <c r="AM33" s="13">
        <f t="shared" si="20"/>
        <v>0.29897028798640612</v>
      </c>
      <c r="AN33" s="13">
        <v>100</v>
      </c>
      <c r="AO33" s="13">
        <f t="shared" si="21"/>
        <v>0.44005277460735215</v>
      </c>
      <c r="AP33" s="13">
        <v>38.403974305769431</v>
      </c>
      <c r="AQ33" s="13">
        <f t="shared" si="22"/>
        <v>0.168997754492033</v>
      </c>
      <c r="AR33" s="13">
        <f>'a28'!U33</f>
        <v>20.901852737158482</v>
      </c>
      <c r="AS33" s="13">
        <f t="shared" si="23"/>
        <v>9.1979182914208688E-2</v>
      </c>
      <c r="AT33" s="13">
        <f t="shared" si="24"/>
        <v>227.24547093067972</v>
      </c>
      <c r="AU33" s="13">
        <f>'a28'!W33</f>
        <v>68.920156044580452</v>
      </c>
      <c r="AV33" s="13">
        <f t="shared" si="25"/>
        <v>0.29997335749025467</v>
      </c>
      <c r="AW33" s="13">
        <v>100</v>
      </c>
      <c r="AX33" s="13">
        <f t="shared" si="26"/>
        <v>0.4352476469963581</v>
      </c>
      <c r="AY33" s="13">
        <v>38.552189879198963</v>
      </c>
      <c r="AZ33" s="13">
        <f t="shared" si="27"/>
        <v>0.16779749931478161</v>
      </c>
      <c r="BA33" s="13">
        <f>'a28'!Y33</f>
        <v>22.28191165831096</v>
      </c>
      <c r="BB33" s="13">
        <f t="shared" si="28"/>
        <v>9.698149619860566E-2</v>
      </c>
      <c r="BC33" s="13">
        <f t="shared" si="29"/>
        <v>229.75425758209036</v>
      </c>
      <c r="BD33" s="13">
        <f>'a28'!AA33</f>
        <v>67.532973842567372</v>
      </c>
      <c r="BE33" s="13">
        <f t="shared" si="30"/>
        <v>0.29615249166318769</v>
      </c>
      <c r="BF33" s="13">
        <v>100</v>
      </c>
      <c r="BG33" s="13">
        <f t="shared" si="31"/>
        <v>0.43853020948489158</v>
      </c>
      <c r="BH33" s="13">
        <v>39.537112358944775</v>
      </c>
      <c r="BI33" s="13">
        <f t="shared" si="32"/>
        <v>0.17338218165195746</v>
      </c>
      <c r="BJ33" s="13">
        <f>'a28'!AC33</f>
        <v>20.964374907706482</v>
      </c>
      <c r="BK33" s="13">
        <f t="shared" si="33"/>
        <v>9.1935117199963279E-2</v>
      </c>
      <c r="BL33" s="13">
        <f t="shared" si="34"/>
        <v>228.03446110921863</v>
      </c>
      <c r="BM33" s="13">
        <f>'a28'!AE33</f>
        <v>64.600008856219276</v>
      </c>
      <c r="BN33" s="13">
        <f t="shared" si="35"/>
        <v>0.28974945488922055</v>
      </c>
      <c r="BO33" s="13">
        <v>100</v>
      </c>
      <c r="BP33" s="13">
        <f t="shared" si="36"/>
        <v>0.44852850644977171</v>
      </c>
      <c r="BQ33" s="13">
        <v>38.768123063839148</v>
      </c>
      <c r="BR33" s="13">
        <f t="shared" si="37"/>
        <v>0.17388608335684722</v>
      </c>
      <c r="BS33" s="13">
        <f>'a28'!AG33</f>
        <v>19.583137758490903</v>
      </c>
      <c r="BT33" s="13">
        <f t="shared" si="38"/>
        <v>8.7835955304160551E-2</v>
      </c>
      <c r="BU33" s="13">
        <f t="shared" si="39"/>
        <v>222.95126967854932</v>
      </c>
      <c r="BV33" s="13">
        <f>'a28'!AI33</f>
        <v>62.434935569081439</v>
      </c>
      <c r="BW33" s="13">
        <f t="shared" si="40"/>
        <v>0.28134087006413683</v>
      </c>
      <c r="BX33" s="13">
        <v>100</v>
      </c>
      <c r="BY33" s="13">
        <f t="shared" si="41"/>
        <v>0.45061449571425577</v>
      </c>
      <c r="BZ33" s="13">
        <v>40.834923727850779</v>
      </c>
      <c r="CA33" s="13">
        <f t="shared" si="42"/>
        <v>0.18400808563155577</v>
      </c>
      <c r="CB33" s="13">
        <f>'a28'!AK33</f>
        <v>18.649322067823785</v>
      </c>
      <c r="CC33" s="13">
        <f t="shared" si="43"/>
        <v>8.4036548590051566E-2</v>
      </c>
      <c r="CD33" s="13">
        <f t="shared" si="44"/>
        <v>221.91918136475601</v>
      </c>
      <c r="CE33" s="13">
        <f>'a28'!AM33</f>
        <v>67.491833115805747</v>
      </c>
      <c r="CF33" s="13">
        <f t="shared" si="45"/>
        <v>0.29674580867313716</v>
      </c>
      <c r="CG33" s="13">
        <v>100</v>
      </c>
      <c r="CH33" s="13">
        <f t="shared" si="46"/>
        <v>0.43967661711597961</v>
      </c>
      <c r="CI33" s="13">
        <v>41.121817641080696</v>
      </c>
      <c r="CJ33" s="13">
        <f t="shared" si="47"/>
        <v>0.18080301670090573</v>
      </c>
      <c r="CK33" s="13">
        <f>'a28'!AO33</f>
        <v>18.826235985195204</v>
      </c>
      <c r="CL33" s="13">
        <f t="shared" si="48"/>
        <v>8.2774557509977489E-2</v>
      </c>
      <c r="CM33" s="13">
        <f t="shared" si="49"/>
        <v>227.43988674208165</v>
      </c>
      <c r="CN33" s="13">
        <f>'a28'!AQ33</f>
        <v>67.775051027296627</v>
      </c>
      <c r="CO33" s="13">
        <f t="shared" si="50"/>
        <v>0.29893393762800641</v>
      </c>
      <c r="CP33" s="13">
        <v>100</v>
      </c>
      <c r="CQ33" s="13">
        <f t="shared" si="51"/>
        <v>0.44106781639693604</v>
      </c>
      <c r="CR33" s="13">
        <v>37.68044109219025</v>
      </c>
      <c r="CS33" s="13">
        <f t="shared" si="52"/>
        <v>0.16619629873405734</v>
      </c>
      <c r="CT33" s="13">
        <f>'a28'!AS33</f>
        <v>21.267012408038354</v>
      </c>
      <c r="CU33" s="13">
        <f t="shared" si="53"/>
        <v>9.3801947241000216E-2</v>
      </c>
      <c r="CV33" s="13">
        <f t="shared" si="54"/>
        <v>226.72250452752525</v>
      </c>
    </row>
    <row r="34" spans="1:100" ht="15.75" customHeight="1">
      <c r="A34" s="1">
        <v>1996</v>
      </c>
      <c r="B34" s="13">
        <f>'a28'!C34</f>
        <v>67.696728879199739</v>
      </c>
      <c r="C34" s="13">
        <f t="shared" si="55"/>
        <v>0.29740625874066828</v>
      </c>
      <c r="D34" s="13">
        <v>100</v>
      </c>
      <c r="E34" s="13">
        <f t="shared" si="56"/>
        <v>0.43932146156038016</v>
      </c>
      <c r="F34" s="13">
        <v>38.58193</v>
      </c>
      <c r="G34" s="13">
        <f t="shared" si="57"/>
        <v>0.16949869877420279</v>
      </c>
      <c r="H34" s="13">
        <f>'a28'!E34</f>
        <v>21.34509445354303</v>
      </c>
      <c r="I34" s="13">
        <f t="shared" si="4"/>
        <v>9.3773580924748884E-2</v>
      </c>
      <c r="J34" s="13">
        <f t="shared" si="58"/>
        <v>227.62375333274275</v>
      </c>
      <c r="K34" s="13">
        <f>'a28'!G34</f>
        <v>69.644701249602463</v>
      </c>
      <c r="L34" s="13">
        <f t="shared" si="5"/>
        <v>0.30022965272659535</v>
      </c>
      <c r="M34" s="13">
        <v>100</v>
      </c>
      <c r="N34" s="13">
        <f t="shared" si="6"/>
        <v>0.43108757355507943</v>
      </c>
      <c r="O34" s="13">
        <v>41.064010000000003</v>
      </c>
      <c r="P34" s="13">
        <f t="shared" si="7"/>
        <v>0.17702184431341519</v>
      </c>
      <c r="Q34" s="13">
        <f>'a28'!I34</f>
        <v>21.262716679352078</v>
      </c>
      <c r="R34" s="13">
        <f t="shared" si="8"/>
        <v>9.1660929404910038E-2</v>
      </c>
      <c r="S34" s="13">
        <f t="shared" si="9"/>
        <v>231.97142792895454</v>
      </c>
      <c r="T34" s="13">
        <f>'a28'!K34</f>
        <v>65.548081952599517</v>
      </c>
      <c r="U34" s="13">
        <f t="shared" si="10"/>
        <v>0.28863189355068469</v>
      </c>
      <c r="V34" s="13">
        <v>100</v>
      </c>
      <c r="W34" s="13">
        <f t="shared" si="11"/>
        <v>0.44033613944555411</v>
      </c>
      <c r="X34" s="13">
        <v>40.371960000000001</v>
      </c>
      <c r="Y34" s="13">
        <f t="shared" si="12"/>
        <v>0.17777233008250332</v>
      </c>
      <c r="Z34" s="13">
        <f>'a28'!M34</f>
        <v>21.179192114161946</v>
      </c>
      <c r="AA34" s="13">
        <f t="shared" si="13"/>
        <v>9.3259636921257938E-2</v>
      </c>
      <c r="AB34" s="13">
        <f t="shared" si="14"/>
        <v>227.09923406676145</v>
      </c>
      <c r="AC34" s="13">
        <f>'a28'!O34</f>
        <v>67.514632347177738</v>
      </c>
      <c r="AD34" s="13">
        <f t="shared" si="15"/>
        <v>0.29681115050280993</v>
      </c>
      <c r="AE34" s="13">
        <v>100</v>
      </c>
      <c r="AF34" s="13">
        <f t="shared" si="16"/>
        <v>0.4396249230485772</v>
      </c>
      <c r="AG34" s="13">
        <v>38.204320000000003</v>
      </c>
      <c r="AH34" s="13">
        <f t="shared" si="17"/>
        <v>0.16795571240123219</v>
      </c>
      <c r="AI34" s="13">
        <f>'a28'!Q34</f>
        <v>21.747678312773065</v>
      </c>
      <c r="AJ34" s="13">
        <f t="shared" si="18"/>
        <v>9.5608214047380694E-2</v>
      </c>
      <c r="AK34" s="13">
        <f t="shared" si="19"/>
        <v>227.46663065995079</v>
      </c>
      <c r="AL34" s="13">
        <f>'a28'!S34</f>
        <v>68.142736365231542</v>
      </c>
      <c r="AM34" s="13">
        <f t="shared" si="20"/>
        <v>0.29931448743074096</v>
      </c>
      <c r="AN34" s="13">
        <v>100</v>
      </c>
      <c r="AO34" s="13">
        <f t="shared" si="21"/>
        <v>0.43924635756696756</v>
      </c>
      <c r="AP34" s="13">
        <v>38.003270000000001</v>
      </c>
      <c r="AQ34" s="13">
        <f t="shared" si="22"/>
        <v>0.16692797923134012</v>
      </c>
      <c r="AR34" s="13">
        <f>'a28'!U34</f>
        <v>21.516666932529365</v>
      </c>
      <c r="AS34" s="13">
        <f t="shared" si="23"/>
        <v>9.4511175770951403E-2</v>
      </c>
      <c r="AT34" s="13">
        <f t="shared" si="24"/>
        <v>227.6626732977609</v>
      </c>
      <c r="AU34" s="13">
        <f>'a28'!W34</f>
        <v>68.955319773414743</v>
      </c>
      <c r="AV34" s="13">
        <f t="shared" si="25"/>
        <v>0.30058346711738743</v>
      </c>
      <c r="AW34" s="13">
        <v>100</v>
      </c>
      <c r="AX34" s="13">
        <f t="shared" si="26"/>
        <v>0.43591048247632863</v>
      </c>
      <c r="AY34" s="13">
        <v>37.739789999999999</v>
      </c>
      <c r="AZ34" s="13">
        <f t="shared" si="27"/>
        <v>0.16451170067455323</v>
      </c>
      <c r="BA34" s="13">
        <f>'a28'!Y34</f>
        <v>22.709788755104427</v>
      </c>
      <c r="BB34" s="13">
        <f t="shared" si="28"/>
        <v>9.8994349731730727E-2</v>
      </c>
      <c r="BC34" s="13">
        <f t="shared" si="29"/>
        <v>229.40489852851917</v>
      </c>
      <c r="BD34" s="13">
        <f>'a28'!AA34</f>
        <v>67.426178863065033</v>
      </c>
      <c r="BE34" s="13">
        <f t="shared" si="30"/>
        <v>0.29605909103493439</v>
      </c>
      <c r="BF34" s="13">
        <v>100</v>
      </c>
      <c r="BG34" s="13">
        <f t="shared" si="31"/>
        <v>0.43908626593863048</v>
      </c>
      <c r="BH34" s="13">
        <v>39.047979999999995</v>
      </c>
      <c r="BI34" s="13">
        <f t="shared" si="32"/>
        <v>0.17145431730646321</v>
      </c>
      <c r="BJ34" s="13">
        <f>'a28'!AC34</f>
        <v>21.271520647613716</v>
      </c>
      <c r="BK34" s="13">
        <f t="shared" si="33"/>
        <v>9.3400325719971852E-2</v>
      </c>
      <c r="BL34" s="13">
        <f t="shared" si="34"/>
        <v>227.74567951067877</v>
      </c>
      <c r="BM34" s="13">
        <f>'a28'!AE34</f>
        <v>64.721000603070365</v>
      </c>
      <c r="BN34" s="13">
        <f t="shared" si="35"/>
        <v>0.2903628401684491</v>
      </c>
      <c r="BO34" s="13">
        <v>100</v>
      </c>
      <c r="BP34" s="13">
        <f t="shared" si="36"/>
        <v>0.44863774889579544</v>
      </c>
      <c r="BQ34" s="13">
        <v>38.195659999999997</v>
      </c>
      <c r="BR34" s="13">
        <f t="shared" si="37"/>
        <v>0.17136014919989176</v>
      </c>
      <c r="BS34" s="13">
        <f>'a28'!AG34</f>
        <v>19.980320861650014</v>
      </c>
      <c r="BT34" s="13">
        <f t="shared" si="38"/>
        <v>8.9639261735863618E-2</v>
      </c>
      <c r="BU34" s="13">
        <f t="shared" si="39"/>
        <v>222.8969814647204</v>
      </c>
      <c r="BV34" s="13">
        <f>'a28'!AI34</f>
        <v>62.696416391463714</v>
      </c>
      <c r="BW34" s="13">
        <f t="shared" si="40"/>
        <v>0.28242211528316585</v>
      </c>
      <c r="BX34" s="13">
        <v>100</v>
      </c>
      <c r="BY34" s="13">
        <f t="shared" si="41"/>
        <v>0.45045974162188068</v>
      </c>
      <c r="BZ34" s="13">
        <v>40.412999999999997</v>
      </c>
      <c r="CA34" s="13">
        <f t="shared" si="42"/>
        <v>0.18204429538165062</v>
      </c>
      <c r="CB34" s="13">
        <f>'a28'!AK34</f>
        <v>18.886004642056246</v>
      </c>
      <c r="CC34" s="13">
        <f t="shared" si="43"/>
        <v>8.5073847713302952E-2</v>
      </c>
      <c r="CD34" s="13">
        <f t="shared" si="44"/>
        <v>221.99542103351993</v>
      </c>
      <c r="CE34" s="13">
        <f>'a28'!AM34</f>
        <v>67.695386131043094</v>
      </c>
      <c r="CF34" s="13">
        <f t="shared" si="45"/>
        <v>0.29741732903435691</v>
      </c>
      <c r="CG34" s="13">
        <v>100</v>
      </c>
      <c r="CH34" s="13">
        <f t="shared" si="46"/>
        <v>0.43934652866684837</v>
      </c>
      <c r="CI34" s="13">
        <v>40.686679999999996</v>
      </c>
      <c r="CJ34" s="13">
        <f t="shared" si="47"/>
        <v>0.17875551620978883</v>
      </c>
      <c r="CK34" s="13">
        <f>'a28'!AO34</f>
        <v>19.228700029872442</v>
      </c>
      <c r="CL34" s="13">
        <f t="shared" si="48"/>
        <v>8.4480626089005806E-2</v>
      </c>
      <c r="CM34" s="13">
        <f t="shared" si="49"/>
        <v>227.61076616091555</v>
      </c>
      <c r="CN34" s="13">
        <f>'a28'!AQ34</f>
        <v>68.065442244400757</v>
      </c>
      <c r="CO34" s="13">
        <f t="shared" si="50"/>
        <v>0.30064746541677134</v>
      </c>
      <c r="CP34" s="13">
        <v>100</v>
      </c>
      <c r="CQ34" s="13">
        <f t="shared" si="51"/>
        <v>0.44170353633675746</v>
      </c>
      <c r="CR34" s="13">
        <v>36.740469999999995</v>
      </c>
      <c r="CS34" s="13">
        <f t="shared" si="52"/>
        <v>0.16228395525674544</v>
      </c>
      <c r="CT34" s="13">
        <f>'a28'!AS34</f>
        <v>21.590282880827768</v>
      </c>
      <c r="CU34" s="13">
        <f t="shared" si="53"/>
        <v>9.5365042989725812E-2</v>
      </c>
      <c r="CV34" s="13">
        <f t="shared" si="54"/>
        <v>226.3961951252285</v>
      </c>
    </row>
    <row r="35" spans="1:100" ht="15.75" customHeight="1">
      <c r="A35" s="1">
        <v>1997</v>
      </c>
      <c r="B35" s="13">
        <f>'a28'!C35</f>
        <v>67.791400560182879</v>
      </c>
      <c r="C35" s="13">
        <f t="shared" si="55"/>
        <v>0.2978046612815714</v>
      </c>
      <c r="D35" s="13">
        <v>100</v>
      </c>
      <c r="E35" s="13">
        <f t="shared" si="56"/>
        <v>0.43929563162984164</v>
      </c>
      <c r="F35" s="13">
        <v>38.082230000000003</v>
      </c>
      <c r="G35" s="13">
        <f t="shared" si="57"/>
        <v>0.16729357281722906</v>
      </c>
      <c r="H35" s="13">
        <f>'a28'!E35</f>
        <v>21.763506711106434</v>
      </c>
      <c r="I35" s="13">
        <f t="shared" si="4"/>
        <v>9.5606134271357987E-2</v>
      </c>
      <c r="J35" s="13">
        <f t="shared" si="58"/>
        <v>227.6371372712893</v>
      </c>
      <c r="K35" s="13">
        <f>'a28'!G35</f>
        <v>69.901671957902451</v>
      </c>
      <c r="L35" s="13">
        <f t="shared" si="5"/>
        <v>0.30175897446569006</v>
      </c>
      <c r="M35" s="13">
        <v>100</v>
      </c>
      <c r="N35" s="13">
        <f t="shared" si="6"/>
        <v>0.43169063917014922</v>
      </c>
      <c r="O35" s="13">
        <v>39.471679999999999</v>
      </c>
      <c r="P35" s="13">
        <f t="shared" si="7"/>
        <v>0.17039554768319595</v>
      </c>
      <c r="Q35" s="13">
        <f>'a28'!I35</f>
        <v>22.274015222059461</v>
      </c>
      <c r="R35" s="13">
        <f t="shared" si="8"/>
        <v>9.6154838680964819E-2</v>
      </c>
      <c r="S35" s="13">
        <f t="shared" si="9"/>
        <v>231.64736717996192</v>
      </c>
      <c r="T35" s="13">
        <f>'a28'!K35</f>
        <v>65.812116536243067</v>
      </c>
      <c r="U35" s="13">
        <f t="shared" si="10"/>
        <v>0.28868919523805231</v>
      </c>
      <c r="V35" s="13">
        <v>100</v>
      </c>
      <c r="W35" s="13">
        <f t="shared" si="11"/>
        <v>0.43865660372595627</v>
      </c>
      <c r="X35" s="13">
        <v>40.409329999999997</v>
      </c>
      <c r="Y35" s="13">
        <f t="shared" si="12"/>
        <v>0.17725819456641395</v>
      </c>
      <c r="Z35" s="13">
        <f>'a28'!M35</f>
        <v>21.747308865130975</v>
      </c>
      <c r="AA35" s="13">
        <f t="shared" si="13"/>
        <v>9.5396006469577341E-2</v>
      </c>
      <c r="AB35" s="13">
        <f t="shared" si="14"/>
        <v>227.96875540137407</v>
      </c>
      <c r="AC35" s="13">
        <f>'a28'!O35</f>
        <v>67.64882529209504</v>
      </c>
      <c r="AD35" s="13">
        <f t="shared" si="15"/>
        <v>0.29834634119142051</v>
      </c>
      <c r="AE35" s="13">
        <v>100</v>
      </c>
      <c r="AF35" s="13">
        <f t="shared" si="16"/>
        <v>0.44102220534239361</v>
      </c>
      <c r="AG35" s="13">
        <v>36.742069999999998</v>
      </c>
      <c r="AH35" s="13">
        <f t="shared" si="17"/>
        <v>0.16204068740244601</v>
      </c>
      <c r="AI35" s="13">
        <f>'a28'!Q35</f>
        <v>22.355057153459558</v>
      </c>
      <c r="AJ35" s="13">
        <f t="shared" si="18"/>
        <v>9.8590766063739871E-2</v>
      </c>
      <c r="AK35" s="13">
        <f t="shared" si="19"/>
        <v>226.74595244555459</v>
      </c>
      <c r="AL35" s="13">
        <f>'a28'!S35</f>
        <v>68.281261004822525</v>
      </c>
      <c r="AM35" s="13">
        <f t="shared" si="20"/>
        <v>0.29984405056967467</v>
      </c>
      <c r="AN35" s="13">
        <v>100</v>
      </c>
      <c r="AO35" s="13">
        <f t="shared" si="21"/>
        <v>0.43913080420189882</v>
      </c>
      <c r="AP35" s="13">
        <v>37.302639999999997</v>
      </c>
      <c r="AQ35" s="13">
        <f t="shared" si="22"/>
        <v>0.16380738302053918</v>
      </c>
      <c r="AR35" s="13">
        <f>'a28'!U35</f>
        <v>22.138679700363184</v>
      </c>
      <c r="AS35" s="13">
        <f t="shared" si="23"/>
        <v>9.7217762207887373E-2</v>
      </c>
      <c r="AT35" s="13">
        <f t="shared" si="24"/>
        <v>227.72258070518569</v>
      </c>
      <c r="AU35" s="13">
        <f>'a28'!W35</f>
        <v>68.995414325247083</v>
      </c>
      <c r="AV35" s="13">
        <f t="shared" si="25"/>
        <v>0.30142867838833681</v>
      </c>
      <c r="AW35" s="13">
        <v>100</v>
      </c>
      <c r="AX35" s="13">
        <f t="shared" si="26"/>
        <v>0.43688219186189708</v>
      </c>
      <c r="AY35" s="13">
        <v>36.72052</v>
      </c>
      <c r="AZ35" s="13">
        <f t="shared" si="27"/>
        <v>0.1604254126390863</v>
      </c>
      <c r="BA35" s="13">
        <f>'a28'!Y35</f>
        <v>23.178723920770473</v>
      </c>
      <c r="BB35" s="13">
        <f t="shared" si="28"/>
        <v>0.1012637171106799</v>
      </c>
      <c r="BC35" s="13">
        <f t="shared" si="29"/>
        <v>228.89465824601754</v>
      </c>
      <c r="BD35" s="13">
        <f>'a28'!AA35</f>
        <v>67.461715723084012</v>
      </c>
      <c r="BE35" s="13">
        <f t="shared" si="30"/>
        <v>0.29602411218375363</v>
      </c>
      <c r="BF35" s="13">
        <v>100</v>
      </c>
      <c r="BG35" s="13">
        <f t="shared" si="31"/>
        <v>0.43880311819946832</v>
      </c>
      <c r="BH35" s="13">
        <v>38.830010000000001</v>
      </c>
      <c r="BI35" s="13">
        <f t="shared" si="32"/>
        <v>0.17038729467716537</v>
      </c>
      <c r="BJ35" s="13">
        <f>'a28'!AC35</f>
        <v>21.600911891543475</v>
      </c>
      <c r="BK35" s="13">
        <f t="shared" si="33"/>
        <v>9.4785474939612521E-2</v>
      </c>
      <c r="BL35" s="13">
        <f t="shared" si="34"/>
        <v>227.89263761462752</v>
      </c>
      <c r="BM35" s="13">
        <f>'a28'!AE35</f>
        <v>64.826674459215866</v>
      </c>
      <c r="BN35" s="13">
        <f t="shared" si="35"/>
        <v>0.2910070804463476</v>
      </c>
      <c r="BO35" s="13">
        <v>100</v>
      </c>
      <c r="BP35" s="13">
        <f t="shared" si="36"/>
        <v>0.44890021410774</v>
      </c>
      <c r="BQ35" s="13">
        <v>37.538319999999999</v>
      </c>
      <c r="BR35" s="13">
        <f t="shared" si="37"/>
        <v>0.16850959885244857</v>
      </c>
      <c r="BS35" s="13">
        <f>'a28'!AG35</f>
        <v>20.401662488733663</v>
      </c>
      <c r="BT35" s="13">
        <f t="shared" si="38"/>
        <v>9.1583106593463887E-2</v>
      </c>
      <c r="BU35" s="13">
        <f t="shared" si="39"/>
        <v>222.76665694794951</v>
      </c>
      <c r="BV35" s="13">
        <f>'a28'!AI35</f>
        <v>62.925802287450075</v>
      </c>
      <c r="BW35" s="13">
        <f t="shared" si="40"/>
        <v>0.28331152967866541</v>
      </c>
      <c r="BX35" s="13">
        <v>100</v>
      </c>
      <c r="BY35" s="13">
        <f t="shared" si="41"/>
        <v>0.45023109659289806</v>
      </c>
      <c r="BZ35" s="13">
        <v>39.932369999999999</v>
      </c>
      <c r="CA35" s="13">
        <f t="shared" si="42"/>
        <v>0.17978794734653344</v>
      </c>
      <c r="CB35" s="13">
        <f>'a28'!AK35</f>
        <v>19.249986737426589</v>
      </c>
      <c r="CC35" s="13">
        <f t="shared" si="43"/>
        <v>8.666942638190317E-2</v>
      </c>
      <c r="CD35" s="13">
        <f t="shared" si="44"/>
        <v>222.10815902487664</v>
      </c>
      <c r="CE35" s="13">
        <f>'a28'!AM35</f>
        <v>67.962130828228226</v>
      </c>
      <c r="CF35" s="13">
        <f t="shared" si="45"/>
        <v>0.29858014882829959</v>
      </c>
      <c r="CG35" s="13">
        <v>100</v>
      </c>
      <c r="CH35" s="13">
        <f t="shared" si="46"/>
        <v>0.43933311859063079</v>
      </c>
      <c r="CI35" s="13">
        <v>40.03725</v>
      </c>
      <c r="CJ35" s="13">
        <f t="shared" si="47"/>
        <v>0.17589689902292732</v>
      </c>
      <c r="CK35" s="13">
        <f>'a28'!AO35</f>
        <v>19.618332857453826</v>
      </c>
      <c r="CL35" s="13">
        <f t="shared" si="48"/>
        <v>8.6189833558142304E-2</v>
      </c>
      <c r="CM35" s="13">
        <f t="shared" si="49"/>
        <v>227.61771368568205</v>
      </c>
      <c r="CN35" s="13">
        <f>'a28'!AQ35</f>
        <v>68.220624968501355</v>
      </c>
      <c r="CO35" s="13">
        <f t="shared" si="50"/>
        <v>0.30028720519795937</v>
      </c>
      <c r="CP35" s="13">
        <v>100</v>
      </c>
      <c r="CQ35" s="13">
        <f t="shared" si="51"/>
        <v>0.44017070400132979</v>
      </c>
      <c r="CR35" s="13">
        <v>36.916939999999997</v>
      </c>
      <c r="CS35" s="13">
        <f t="shared" si="52"/>
        <v>0.16249755469374849</v>
      </c>
      <c r="CT35" s="13">
        <f>'a28'!AS35</f>
        <v>22.047022944686738</v>
      </c>
      <c r="CU35" s="13">
        <f t="shared" si="53"/>
        <v>9.7044536106962315E-2</v>
      </c>
      <c r="CV35" s="13">
        <f t="shared" si="54"/>
        <v>227.1845879131881</v>
      </c>
    </row>
    <row r="36" spans="1:100" ht="15.75" customHeight="1">
      <c r="A36" s="1">
        <v>1998</v>
      </c>
      <c r="B36" s="13">
        <f>'a28'!C36</f>
        <v>67.889844306315211</v>
      </c>
      <c r="C36" s="13">
        <f t="shared" si="55"/>
        <v>0.29820334360691902</v>
      </c>
      <c r="D36" s="13">
        <v>100</v>
      </c>
      <c r="E36" s="13">
        <f t="shared" si="56"/>
        <v>0.43924587934160236</v>
      </c>
      <c r="F36" s="13">
        <v>37.521819999999998</v>
      </c>
      <c r="G36" s="13">
        <f t="shared" si="57"/>
        <v>0.16481304820397322</v>
      </c>
      <c r="H36" s="13">
        <f>'a28'!E36</f>
        <v>22.251256857322623</v>
      </c>
      <c r="I36" s="13">
        <f t="shared" si="4"/>
        <v>9.7737728847505354E-2</v>
      </c>
      <c r="J36" s="13">
        <f t="shared" si="58"/>
        <v>227.66292116363783</v>
      </c>
      <c r="K36" s="13">
        <f>'a28'!G36</f>
        <v>70.077411395535378</v>
      </c>
      <c r="L36" s="13">
        <f t="shared" si="5"/>
        <v>0.30168501149708249</v>
      </c>
      <c r="M36" s="13">
        <v>100</v>
      </c>
      <c r="N36" s="13">
        <f t="shared" si="6"/>
        <v>0.43050250500021009</v>
      </c>
      <c r="O36" s="13">
        <v>38.846000000000004</v>
      </c>
      <c r="P36" s="13">
        <f t="shared" si="7"/>
        <v>0.16723300309238165</v>
      </c>
      <c r="Q36" s="13">
        <f>'a28'!I36</f>
        <v>23.363274137110235</v>
      </c>
      <c r="R36" s="13">
        <f t="shared" si="8"/>
        <v>0.10057948041032579</v>
      </c>
      <c r="S36" s="13">
        <f t="shared" si="9"/>
        <v>232.28668553264561</v>
      </c>
      <c r="T36" s="13">
        <f>'a28'!K36</f>
        <v>66.009101351948402</v>
      </c>
      <c r="U36" s="13">
        <f t="shared" si="10"/>
        <v>0.28942711642020796</v>
      </c>
      <c r="V36" s="13">
        <v>100</v>
      </c>
      <c r="W36" s="13">
        <f t="shared" si="11"/>
        <v>0.43846546990093949</v>
      </c>
      <c r="X36" s="13">
        <v>39.642899999999997</v>
      </c>
      <c r="Y36" s="13">
        <f t="shared" si="12"/>
        <v>0.17382042776735954</v>
      </c>
      <c r="Z36" s="13">
        <f>'a28'!M36</f>
        <v>22.416129127271656</v>
      </c>
      <c r="AA36" s="13">
        <f t="shared" si="13"/>
        <v>9.8286985911493027E-2</v>
      </c>
      <c r="AB36" s="13">
        <f t="shared" si="14"/>
        <v>228.06813047922006</v>
      </c>
      <c r="AC36" s="13">
        <f>'a28'!O36</f>
        <v>67.823200649041254</v>
      </c>
      <c r="AD36" s="13">
        <f t="shared" si="15"/>
        <v>0.29846131823359584</v>
      </c>
      <c r="AE36" s="13">
        <v>100</v>
      </c>
      <c r="AF36" s="13">
        <f t="shared" si="16"/>
        <v>0.44005784949315108</v>
      </c>
      <c r="AG36" s="13">
        <v>36.402079999999998</v>
      </c>
      <c r="AH36" s="13">
        <f t="shared" si="17"/>
        <v>0.16019021041877643</v>
      </c>
      <c r="AI36" s="13">
        <f>'a28'!Q36</f>
        <v>23.017569615254185</v>
      </c>
      <c r="AJ36" s="13">
        <f t="shared" si="18"/>
        <v>0.10129062185447653</v>
      </c>
      <c r="AK36" s="13">
        <f t="shared" si="19"/>
        <v>227.24285026429547</v>
      </c>
      <c r="AL36" s="13">
        <f>'a28'!S36</f>
        <v>68.450694842311435</v>
      </c>
      <c r="AM36" s="13">
        <f t="shared" si="20"/>
        <v>0.3002003361833574</v>
      </c>
      <c r="AN36" s="13">
        <v>100</v>
      </c>
      <c r="AO36" s="13">
        <f t="shared" si="21"/>
        <v>0.43856433725752997</v>
      </c>
      <c r="AP36" s="13">
        <v>36.685790000000004</v>
      </c>
      <c r="AQ36" s="13">
        <f t="shared" si="22"/>
        <v>0.16089079178118923</v>
      </c>
      <c r="AR36" s="13">
        <f>'a28'!U36</f>
        <v>22.880231303212398</v>
      </c>
      <c r="AS36" s="13">
        <f t="shared" si="23"/>
        <v>0.10034453477792336</v>
      </c>
      <c r="AT36" s="13">
        <f t="shared" si="24"/>
        <v>228.01671614552384</v>
      </c>
      <c r="AU36" s="13">
        <f>'a28'!W36</f>
        <v>69.010140578280925</v>
      </c>
      <c r="AV36" s="13">
        <f t="shared" si="25"/>
        <v>0.30242304779649565</v>
      </c>
      <c r="AW36" s="13">
        <v>100</v>
      </c>
      <c r="AX36" s="13">
        <f t="shared" si="26"/>
        <v>0.43822986775899297</v>
      </c>
      <c r="AY36" s="13">
        <v>35.470839999999995</v>
      </c>
      <c r="AZ36" s="13">
        <f t="shared" si="27"/>
        <v>0.15544381522500397</v>
      </c>
      <c r="BA36" s="13">
        <f>'a28'!Y36</f>
        <v>23.709764409907706</v>
      </c>
      <c r="BB36" s="13">
        <f t="shared" si="28"/>
        <v>0.10390326921950732</v>
      </c>
      <c r="BC36" s="13">
        <f t="shared" si="29"/>
        <v>228.19074498818864</v>
      </c>
      <c r="BD36" s="13">
        <f>'a28'!AA36</f>
        <v>67.50624521540351</v>
      </c>
      <c r="BE36" s="13">
        <f t="shared" si="30"/>
        <v>0.29618561985508896</v>
      </c>
      <c r="BF36" s="13">
        <v>100</v>
      </c>
      <c r="BG36" s="13">
        <f t="shared" si="31"/>
        <v>0.43875291672644473</v>
      </c>
      <c r="BH36" s="13">
        <v>38.431939999999997</v>
      </c>
      <c r="BI36" s="13">
        <f t="shared" si="32"/>
        <v>0.16862125770455719</v>
      </c>
      <c r="BJ36" s="13">
        <f>'a28'!AC36</f>
        <v>21.980527544626685</v>
      </c>
      <c r="BK36" s="13">
        <f t="shared" si="33"/>
        <v>9.6440205713909169E-2</v>
      </c>
      <c r="BL36" s="13">
        <f t="shared" si="34"/>
        <v>227.91871276003019</v>
      </c>
      <c r="BM36" s="13">
        <f>'a28'!AE36</f>
        <v>64.961507320070794</v>
      </c>
      <c r="BN36" s="13">
        <f t="shared" si="35"/>
        <v>0.29109768741666076</v>
      </c>
      <c r="BO36" s="13">
        <v>100</v>
      </c>
      <c r="BP36" s="13">
        <f t="shared" si="36"/>
        <v>0.44810796335497272</v>
      </c>
      <c r="BQ36" s="13">
        <v>37.299720000000001</v>
      </c>
      <c r="BR36" s="13">
        <f t="shared" si="37"/>
        <v>0.16714301562910744</v>
      </c>
      <c r="BS36" s="13">
        <f>'a28'!AG36</f>
        <v>20.899279025994979</v>
      </c>
      <c r="BT36" s="13">
        <f t="shared" si="38"/>
        <v>9.3651333599259076E-2</v>
      </c>
      <c r="BU36" s="13">
        <f t="shared" si="39"/>
        <v>223.16050634606577</v>
      </c>
      <c r="BV36" s="13">
        <f>'a28'!AI36</f>
        <v>63.210240118270143</v>
      </c>
      <c r="BW36" s="13">
        <f t="shared" si="40"/>
        <v>0.28353450240909112</v>
      </c>
      <c r="BX36" s="13">
        <v>100</v>
      </c>
      <c r="BY36" s="13">
        <f t="shared" si="41"/>
        <v>0.4485578632173855</v>
      </c>
      <c r="BZ36" s="13">
        <v>40.020580000000002</v>
      </c>
      <c r="CA36" s="13">
        <f t="shared" si="42"/>
        <v>0.17951545849520434</v>
      </c>
      <c r="CB36" s="13">
        <f>'a28'!AK36</f>
        <v>19.705858067966012</v>
      </c>
      <c r="CC36" s="13">
        <f t="shared" si="43"/>
        <v>8.8392175878319101E-2</v>
      </c>
      <c r="CD36" s="13">
        <f t="shared" si="44"/>
        <v>222.93667818623615</v>
      </c>
      <c r="CE36" s="13">
        <f>'a28'!AM36</f>
        <v>68.317106268018733</v>
      </c>
      <c r="CF36" s="13">
        <f t="shared" si="45"/>
        <v>0.30000447258735058</v>
      </c>
      <c r="CG36" s="13">
        <v>100</v>
      </c>
      <c r="CH36" s="13">
        <f t="shared" si="46"/>
        <v>0.43913521660356331</v>
      </c>
      <c r="CI36" s="13">
        <v>39.353660000000005</v>
      </c>
      <c r="CJ36" s="13">
        <f t="shared" si="47"/>
        <v>0.17281578008242987</v>
      </c>
      <c r="CK36" s="13">
        <f>'a28'!AO36</f>
        <v>20.049526295710411</v>
      </c>
      <c r="CL36" s="13">
        <f t="shared" si="48"/>
        <v>8.8044530726656287E-2</v>
      </c>
      <c r="CM36" s="13">
        <f t="shared" si="49"/>
        <v>227.72029256372915</v>
      </c>
      <c r="CN36" s="13">
        <f>'a28'!AQ36</f>
        <v>68.339085534354666</v>
      </c>
      <c r="CO36" s="13">
        <f t="shared" si="50"/>
        <v>0.29980184617672684</v>
      </c>
      <c r="CP36" s="13">
        <v>100</v>
      </c>
      <c r="CQ36" s="13">
        <f t="shared" si="51"/>
        <v>0.43869748012067528</v>
      </c>
      <c r="CR36" s="13">
        <v>36.9452</v>
      </c>
      <c r="CS36" s="13">
        <f t="shared" si="52"/>
        <v>0.16207766142554372</v>
      </c>
      <c r="CT36" s="13">
        <f>'a28'!AS36</f>
        <v>22.663228484855942</v>
      </c>
      <c r="CU36" s="13">
        <f t="shared" si="53"/>
        <v>9.9423012277054121E-2</v>
      </c>
      <c r="CV36" s="13">
        <f t="shared" si="54"/>
        <v>227.94751401921062</v>
      </c>
    </row>
    <row r="37" spans="1:100" ht="15.75" customHeight="1">
      <c r="A37" s="1">
        <v>1999</v>
      </c>
      <c r="B37" s="13">
        <f>'a28'!C37</f>
        <v>68.076886615914873</v>
      </c>
      <c r="C37" s="13">
        <f t="shared" si="55"/>
        <v>0.29787305006994896</v>
      </c>
      <c r="D37" s="13">
        <v>100</v>
      </c>
      <c r="E37" s="13">
        <f t="shared" si="56"/>
        <v>0.43755386721858813</v>
      </c>
      <c r="F37" s="13">
        <v>37.661909999999999</v>
      </c>
      <c r="G37" s="13">
        <f t="shared" si="57"/>
        <v>0.16479114367338418</v>
      </c>
      <c r="H37" s="13">
        <f>'a28'!E37</f>
        <v>22.804492546795554</v>
      </c>
      <c r="I37" s="13">
        <f t="shared" si="4"/>
        <v>9.9781939038078651E-2</v>
      </c>
      <c r="J37" s="13">
        <f t="shared" si="58"/>
        <v>228.54328916271044</v>
      </c>
      <c r="K37" s="13">
        <f>'a28'!G37</f>
        <v>70.336696485658948</v>
      </c>
      <c r="L37" s="13">
        <f t="shared" si="5"/>
        <v>0.3022173579741016</v>
      </c>
      <c r="M37" s="13">
        <v>100</v>
      </c>
      <c r="N37" s="13">
        <f t="shared" si="6"/>
        <v>0.42967238024282406</v>
      </c>
      <c r="O37" s="13">
        <v>38.006129999999999</v>
      </c>
      <c r="P37" s="13">
        <f t="shared" si="7"/>
        <v>0.16330184340918202</v>
      </c>
      <c r="Q37" s="13">
        <f>'a28'!I37</f>
        <v>24.392635690164983</v>
      </c>
      <c r="R37" s="13">
        <f t="shared" si="8"/>
        <v>0.1048084183738925</v>
      </c>
      <c r="S37" s="13">
        <f t="shared" si="9"/>
        <v>232.7354621758239</v>
      </c>
      <c r="T37" s="13">
        <f>'a28'!K37</f>
        <v>66.223464752973641</v>
      </c>
      <c r="U37" s="13">
        <f t="shared" si="10"/>
        <v>0.2901939508836156</v>
      </c>
      <c r="V37" s="13">
        <v>100</v>
      </c>
      <c r="W37" s="13">
        <f t="shared" si="11"/>
        <v>0.43820411989329661</v>
      </c>
      <c r="X37" s="13">
        <v>38.870349999999995</v>
      </c>
      <c r="Y37" s="13">
        <f t="shared" si="12"/>
        <v>0.17033147511694399</v>
      </c>
      <c r="Z37" s="13">
        <f>'a28'!M37</f>
        <v>23.110338198281489</v>
      </c>
      <c r="AA37" s="13">
        <f t="shared" si="13"/>
        <v>0.10127045410614374</v>
      </c>
      <c r="AB37" s="13">
        <f t="shared" si="14"/>
        <v>228.20415295125514</v>
      </c>
      <c r="AC37" s="13">
        <f>'a28'!O37</f>
        <v>68.066597842755925</v>
      </c>
      <c r="AD37" s="13">
        <f t="shared" si="15"/>
        <v>0.29885590255634725</v>
      </c>
      <c r="AE37" s="13">
        <v>100</v>
      </c>
      <c r="AF37" s="13">
        <f t="shared" si="16"/>
        <v>0.43906396386484503</v>
      </c>
      <c r="AG37" s="13">
        <v>35.953790000000005</v>
      </c>
      <c r="AH37" s="13">
        <f t="shared" si="17"/>
        <v>0.15786013553364228</v>
      </c>
      <c r="AI37" s="13">
        <f>'a28'!Q37</f>
        <v>23.736859916211888</v>
      </c>
      <c r="AJ37" s="13">
        <f t="shared" si="18"/>
        <v>0.10421999804516545</v>
      </c>
      <c r="AK37" s="13">
        <f t="shared" si="19"/>
        <v>227.75724775896782</v>
      </c>
      <c r="AL37" s="13">
        <f>'a28'!S37</f>
        <v>68.711738993153489</v>
      </c>
      <c r="AM37" s="13">
        <f t="shared" si="20"/>
        <v>0.29960716234784696</v>
      </c>
      <c r="AN37" s="13">
        <v>100</v>
      </c>
      <c r="AO37" s="13">
        <f t="shared" si="21"/>
        <v>0.43603489991382716</v>
      </c>
      <c r="AP37" s="13">
        <v>36.969059999999999</v>
      </c>
      <c r="AQ37" s="13">
        <f t="shared" si="22"/>
        <v>0.16119800377008273</v>
      </c>
      <c r="AR37" s="13">
        <f>'a28'!U37</f>
        <v>23.658641541911081</v>
      </c>
      <c r="AS37" s="13">
        <f t="shared" si="23"/>
        <v>0.10315993396824312</v>
      </c>
      <c r="AT37" s="13">
        <f t="shared" si="24"/>
        <v>229.33944053506457</v>
      </c>
      <c r="AU37" s="13">
        <f>'a28'!W37</f>
        <v>69.125183490936408</v>
      </c>
      <c r="AV37" s="13">
        <f t="shared" si="25"/>
        <v>0.30195815712832136</v>
      </c>
      <c r="AW37" s="13">
        <v>100</v>
      </c>
      <c r="AX37" s="13">
        <f t="shared" si="26"/>
        <v>0.43682800085140266</v>
      </c>
      <c r="AY37" s="13">
        <v>35.468290000000003</v>
      </c>
      <c r="AZ37" s="13">
        <f t="shared" si="27"/>
        <v>0.15493542214317799</v>
      </c>
      <c r="BA37" s="13">
        <f>'a28'!Y37</f>
        <v>24.329580445840303</v>
      </c>
      <c r="BB37" s="13">
        <f t="shared" si="28"/>
        <v>0.10627841987709798</v>
      </c>
      <c r="BC37" s="13">
        <f t="shared" si="29"/>
        <v>228.92305393677671</v>
      </c>
      <c r="BD37" s="13">
        <f>'a28'!AA37</f>
        <v>67.656349863565154</v>
      </c>
      <c r="BE37" s="13">
        <f t="shared" si="30"/>
        <v>0.29571870436198333</v>
      </c>
      <c r="BF37" s="13">
        <v>100</v>
      </c>
      <c r="BG37" s="13">
        <f t="shared" si="31"/>
        <v>0.43708935666545051</v>
      </c>
      <c r="BH37" s="13">
        <v>38.723910000000004</v>
      </c>
      <c r="BI37" s="13">
        <f t="shared" si="32"/>
        <v>0.16925808909470808</v>
      </c>
      <c r="BJ37" s="13">
        <f>'a28'!AC37</f>
        <v>22.405910458445934</v>
      </c>
      <c r="BK37" s="13">
        <f t="shared" si="33"/>
        <v>9.793384987785822E-2</v>
      </c>
      <c r="BL37" s="13">
        <f t="shared" si="34"/>
        <v>228.78617032201106</v>
      </c>
      <c r="BM37" s="13">
        <f>'a28'!AE37</f>
        <v>65.212421046734732</v>
      </c>
      <c r="BN37" s="13">
        <f t="shared" si="35"/>
        <v>0.28945592717999769</v>
      </c>
      <c r="BO37" s="13">
        <v>100</v>
      </c>
      <c r="BP37" s="13">
        <f t="shared" si="36"/>
        <v>0.44386624899657995</v>
      </c>
      <c r="BQ37" s="13">
        <v>38.658340000000003</v>
      </c>
      <c r="BR37" s="13">
        <f t="shared" si="37"/>
        <v>0.17159132368234448</v>
      </c>
      <c r="BS37" s="13">
        <f>'a28'!AG37</f>
        <v>21.422331694746717</v>
      </c>
      <c r="BT37" s="13">
        <f t="shared" si="38"/>
        <v>9.5086500141077737E-2</v>
      </c>
      <c r="BU37" s="13">
        <f t="shared" si="39"/>
        <v>225.29309274148147</v>
      </c>
      <c r="BV37" s="13">
        <f>'a28'!AI37</f>
        <v>63.569220639432878</v>
      </c>
      <c r="BW37" s="13">
        <f t="shared" si="40"/>
        <v>0.28371755373174556</v>
      </c>
      <c r="BX37" s="13">
        <v>100</v>
      </c>
      <c r="BY37" s="13">
        <f t="shared" si="41"/>
        <v>0.4463127766517741</v>
      </c>
      <c r="BZ37" s="13">
        <v>40.170499999999997</v>
      </c>
      <c r="CA37" s="13">
        <f t="shared" si="42"/>
        <v>0.1792860739449009</v>
      </c>
      <c r="CB37" s="13">
        <f>'a28'!AK37</f>
        <v>20.318395621986269</v>
      </c>
      <c r="CC37" s="13">
        <f t="shared" si="43"/>
        <v>9.0683595671579423E-2</v>
      </c>
      <c r="CD37" s="13">
        <f t="shared" si="44"/>
        <v>224.05811626141914</v>
      </c>
      <c r="CE37" s="13">
        <f>'a28'!AM37</f>
        <v>68.658160079005867</v>
      </c>
      <c r="CF37" s="13">
        <f t="shared" si="45"/>
        <v>0.29943216070431422</v>
      </c>
      <c r="CG37" s="13">
        <v>100</v>
      </c>
      <c r="CH37" s="13">
        <f t="shared" si="46"/>
        <v>0.43612028105581863</v>
      </c>
      <c r="CI37" s="13">
        <v>40.000229999999995</v>
      </c>
      <c r="CJ37" s="13">
        <f t="shared" si="47"/>
        <v>0.17444911549897385</v>
      </c>
      <c r="CK37" s="13">
        <f>'a28'!AO37</f>
        <v>20.636151688018934</v>
      </c>
      <c r="CL37" s="13">
        <f t="shared" si="48"/>
        <v>8.9998442740893234E-2</v>
      </c>
      <c r="CM37" s="13">
        <f t="shared" si="49"/>
        <v>229.29454176702481</v>
      </c>
      <c r="CN37" s="13">
        <f>'a28'!AQ37</f>
        <v>68.55011062291608</v>
      </c>
      <c r="CO37" s="13">
        <f t="shared" si="50"/>
        <v>0.30065710908625254</v>
      </c>
      <c r="CP37" s="13">
        <v>100</v>
      </c>
      <c r="CQ37" s="13">
        <f t="shared" si="51"/>
        <v>0.43859463734511295</v>
      </c>
      <c r="CR37" s="13">
        <v>36.146450000000002</v>
      </c>
      <c r="CS37" s="13">
        <f t="shared" si="52"/>
        <v>0.1585363912906326</v>
      </c>
      <c r="CT37" s="13">
        <f>'a28'!AS37</f>
        <v>23.304403103673927</v>
      </c>
      <c r="CU37" s="13">
        <f t="shared" si="53"/>
        <v>0.1022118622780019</v>
      </c>
      <c r="CV37" s="13">
        <f t="shared" si="54"/>
        <v>228.00096372659002</v>
      </c>
    </row>
    <row r="38" spans="1:100" ht="15.75" customHeight="1">
      <c r="A38" s="1">
        <v>2000</v>
      </c>
      <c r="B38" s="13">
        <f>'a28'!C38</f>
        <v>68.273634031192998</v>
      </c>
      <c r="C38" s="13">
        <f t="shared" si="55"/>
        <v>0.29861917589984577</v>
      </c>
      <c r="D38" s="13">
        <v>100</v>
      </c>
      <c r="E38" s="13">
        <f t="shared" si="56"/>
        <v>0.43738579341391443</v>
      </c>
      <c r="F38" s="13">
        <v>36.99335</v>
      </c>
      <c r="G38" s="13">
        <f t="shared" si="57"/>
        <v>0.1618036574078863</v>
      </c>
      <c r="H38" s="13">
        <f>'a28'!E38</f>
        <v>23.364127234385496</v>
      </c>
      <c r="I38" s="13">
        <f t="shared" si="4"/>
        <v>0.10219137327835345</v>
      </c>
      <c r="J38" s="13">
        <f t="shared" si="58"/>
        <v>228.63111126557851</v>
      </c>
      <c r="K38" s="13">
        <f>'a28'!G38</f>
        <v>70.550186943856232</v>
      </c>
      <c r="L38" s="13">
        <f t="shared" si="5"/>
        <v>0.3022173135325657</v>
      </c>
      <c r="M38" s="13">
        <v>100</v>
      </c>
      <c r="N38" s="13">
        <f t="shared" si="6"/>
        <v>0.4283720945673325</v>
      </c>
      <c r="O38" s="13">
        <v>37.543500000000002</v>
      </c>
      <c r="P38" s="13">
        <f t="shared" si="7"/>
        <v>0.16082587732388648</v>
      </c>
      <c r="Q38" s="13">
        <f>'a28'!I38</f>
        <v>25.348223181038172</v>
      </c>
      <c r="R38" s="13">
        <f t="shared" si="8"/>
        <v>0.10858471457621534</v>
      </c>
      <c r="S38" s="13">
        <f t="shared" si="9"/>
        <v>233.44191012489441</v>
      </c>
      <c r="T38" s="13">
        <f>'a28'!K38</f>
        <v>66.528907452187298</v>
      </c>
      <c r="U38" s="13">
        <f t="shared" si="10"/>
        <v>0.2908175153041464</v>
      </c>
      <c r="V38" s="13">
        <v>100</v>
      </c>
      <c r="W38" s="13">
        <f t="shared" si="11"/>
        <v>0.43712955231250394</v>
      </c>
      <c r="X38" s="13">
        <v>38.400950000000002</v>
      </c>
      <c r="Y38" s="13">
        <f t="shared" si="12"/>
        <v>0.16786190081874849</v>
      </c>
      <c r="Z38" s="13">
        <f>'a28'!M38</f>
        <v>23.835275152048069</v>
      </c>
      <c r="AA38" s="13">
        <f t="shared" si="13"/>
        <v>0.10419103156460122</v>
      </c>
      <c r="AB38" s="13">
        <f t="shared" si="14"/>
        <v>228.76513260423536</v>
      </c>
      <c r="AC38" s="13">
        <f>'a28'!O38</f>
        <v>68.234704509750799</v>
      </c>
      <c r="AD38" s="13">
        <f t="shared" si="15"/>
        <v>0.29943730003963287</v>
      </c>
      <c r="AE38" s="13">
        <v>100</v>
      </c>
      <c r="AF38" s="13">
        <f t="shared" si="16"/>
        <v>0.43883431780208421</v>
      </c>
      <c r="AG38" s="13">
        <v>35.2166</v>
      </c>
      <c r="AH38" s="13">
        <f t="shared" si="17"/>
        <v>0.15454252636308877</v>
      </c>
      <c r="AI38" s="13">
        <f>'a28'!Q38</f>
        <v>24.425130726338345</v>
      </c>
      <c r="AJ38" s="13">
        <f t="shared" si="18"/>
        <v>0.10718585579519413</v>
      </c>
      <c r="AK38" s="13">
        <f t="shared" si="19"/>
        <v>227.87643523608915</v>
      </c>
      <c r="AL38" s="13">
        <f>'a28'!S38</f>
        <v>68.962328634794417</v>
      </c>
      <c r="AM38" s="13">
        <f t="shared" si="20"/>
        <v>0.30016589522424963</v>
      </c>
      <c r="AN38" s="13">
        <v>100</v>
      </c>
      <c r="AO38" s="13">
        <f t="shared" si="21"/>
        <v>0.43526067226332499</v>
      </c>
      <c r="AP38" s="13">
        <v>36.322049999999997</v>
      </c>
      <c r="AQ38" s="13">
        <f t="shared" si="22"/>
        <v>0.15809559900982104</v>
      </c>
      <c r="AR38" s="13">
        <f>'a28'!U38</f>
        <v>24.463003502918653</v>
      </c>
      <c r="AS38" s="13">
        <f t="shared" si="23"/>
        <v>0.10647783350260447</v>
      </c>
      <c r="AT38" s="13">
        <f t="shared" si="24"/>
        <v>229.74738213771303</v>
      </c>
      <c r="AU38" s="13">
        <f>'a28'!W38</f>
        <v>69.20978541246231</v>
      </c>
      <c r="AV38" s="13">
        <f t="shared" si="25"/>
        <v>0.3020881069317724</v>
      </c>
      <c r="AW38" s="13">
        <v>100</v>
      </c>
      <c r="AX38" s="13">
        <f t="shared" si="26"/>
        <v>0.43648178524387776</v>
      </c>
      <c r="AY38" s="13">
        <v>34.933680000000003</v>
      </c>
      <c r="AZ38" s="13">
        <f t="shared" si="27"/>
        <v>0.15247915011538349</v>
      </c>
      <c r="BA38" s="13">
        <f>'a28'!Y38</f>
        <v>24.961169375737313</v>
      </c>
      <c r="BB38" s="13">
        <f t="shared" si="28"/>
        <v>0.10895095770896633</v>
      </c>
      <c r="BC38" s="13">
        <f t="shared" si="29"/>
        <v>229.10463478819963</v>
      </c>
      <c r="BD38" s="13">
        <f>'a28'!AA38</f>
        <v>67.860602621350665</v>
      </c>
      <c r="BE38" s="13">
        <f t="shared" si="30"/>
        <v>0.29713773535603338</v>
      </c>
      <c r="BF38" s="13">
        <v>100</v>
      </c>
      <c r="BG38" s="13">
        <f t="shared" si="31"/>
        <v>0.43786486396828178</v>
      </c>
      <c r="BH38" s="13">
        <v>37.708439999999996</v>
      </c>
      <c r="BI38" s="13">
        <f t="shared" si="32"/>
        <v>0.16511200951056115</v>
      </c>
      <c r="BJ38" s="13">
        <f>'a28'!AC38</f>
        <v>22.811921984304078</v>
      </c>
      <c r="BK38" s="13">
        <f t="shared" si="33"/>
        <v>9.9885391165123627E-2</v>
      </c>
      <c r="BL38" s="13">
        <f t="shared" si="34"/>
        <v>228.38096460565475</v>
      </c>
      <c r="BM38" s="13">
        <f>'a28'!AE38</f>
        <v>65.428875991120123</v>
      </c>
      <c r="BN38" s="13">
        <f t="shared" si="35"/>
        <v>0.28872850139430645</v>
      </c>
      <c r="BO38" s="13">
        <v>100</v>
      </c>
      <c r="BP38" s="13">
        <f t="shared" si="36"/>
        <v>0.4412860484314175</v>
      </c>
      <c r="BQ38" s="13">
        <v>39.205550000000002</v>
      </c>
      <c r="BR38" s="13">
        <f t="shared" si="37"/>
        <v>0.17300862236080361</v>
      </c>
      <c r="BS38" s="13">
        <f>'a28'!AG38</f>
        <v>21.975955994571663</v>
      </c>
      <c r="BT38" s="13">
        <f t="shared" si="38"/>
        <v>9.6976827813472499E-2</v>
      </c>
      <c r="BU38" s="13">
        <f t="shared" si="39"/>
        <v>226.61038198569179</v>
      </c>
      <c r="BV38" s="13">
        <f>'a28'!AI38</f>
        <v>63.905157483636287</v>
      </c>
      <c r="BW38" s="13">
        <f t="shared" si="40"/>
        <v>0.28443377834166383</v>
      </c>
      <c r="BX38" s="13">
        <v>100</v>
      </c>
      <c r="BY38" s="13">
        <f t="shared" si="41"/>
        <v>0.44508735999046189</v>
      </c>
      <c r="BZ38" s="13">
        <v>39.730399999999996</v>
      </c>
      <c r="CA38" s="13">
        <f t="shared" si="42"/>
        <v>0.17683498847365045</v>
      </c>
      <c r="CB38" s="13">
        <f>'a28'!AK38</f>
        <v>21.039436661654584</v>
      </c>
      <c r="CC38" s="13">
        <f t="shared" si="43"/>
        <v>9.3643873194223765E-2</v>
      </c>
      <c r="CD38" s="13">
        <f t="shared" si="44"/>
        <v>224.67499414529087</v>
      </c>
      <c r="CE38" s="13">
        <f>'a28'!AM38</f>
        <v>68.977111362167207</v>
      </c>
      <c r="CF38" s="13">
        <f t="shared" si="45"/>
        <v>0.30058078345109823</v>
      </c>
      <c r="CG38" s="13">
        <v>100</v>
      </c>
      <c r="CH38" s="13">
        <f t="shared" si="46"/>
        <v>0.435768876827686</v>
      </c>
      <c r="CI38" s="13">
        <v>39.21622</v>
      </c>
      <c r="CJ38" s="13">
        <f t="shared" si="47"/>
        <v>0.17089208142827436</v>
      </c>
      <c r="CK38" s="13">
        <f>'a28'!AO38</f>
        <v>21.2861136316581</v>
      </c>
      <c r="CL38" s="13">
        <f t="shared" si="48"/>
        <v>9.2758258292941473E-2</v>
      </c>
      <c r="CM38" s="13">
        <f t="shared" si="49"/>
        <v>229.4794449938253</v>
      </c>
      <c r="CN38" s="13">
        <f>'a28'!AQ38</f>
        <v>68.786897502741866</v>
      </c>
      <c r="CO38" s="13">
        <f t="shared" si="50"/>
        <v>0.3005902102543373</v>
      </c>
      <c r="CP38" s="13">
        <v>100</v>
      </c>
      <c r="CQ38" s="13">
        <f t="shared" si="51"/>
        <v>0.43698759671833676</v>
      </c>
      <c r="CR38" s="13">
        <v>36.088700000000003</v>
      </c>
      <c r="CS38" s="13">
        <f t="shared" si="52"/>
        <v>0.15770314281689041</v>
      </c>
      <c r="CT38" s="13">
        <f>'a28'!AS38</f>
        <v>23.963849545581709</v>
      </c>
      <c r="CU38" s="13">
        <f t="shared" si="53"/>
        <v>0.10471905021043558</v>
      </c>
      <c r="CV38" s="13">
        <f t="shared" si="54"/>
        <v>228.83944704832356</v>
      </c>
    </row>
    <row r="39" spans="1:100" ht="15.75" customHeight="1">
      <c r="A39" s="1">
        <v>2001</v>
      </c>
      <c r="B39" s="13">
        <f>'a28'!C39</f>
        <v>68.481857260480822</v>
      </c>
      <c r="C39" s="13">
        <f t="shared" si="55"/>
        <v>0.29929770547333739</v>
      </c>
      <c r="D39" s="13">
        <v>100</v>
      </c>
      <c r="E39" s="13">
        <f t="shared" si="56"/>
        <v>0.4370467119998141</v>
      </c>
      <c r="F39" s="13">
        <v>36.427599999999998</v>
      </c>
      <c r="G39" s="13">
        <f t="shared" si="57"/>
        <v>0.15920562806044428</v>
      </c>
      <c r="H39" s="13">
        <f>'a28'!E39</f>
        <v>23.899036784527684</v>
      </c>
      <c r="I39" s="13">
        <f t="shared" si="4"/>
        <v>0.10444995446640434</v>
      </c>
      <c r="J39" s="13">
        <f t="shared" si="58"/>
        <v>228.80849404500847</v>
      </c>
      <c r="K39" s="13">
        <f>'a28'!G39</f>
        <v>70.750316550869385</v>
      </c>
      <c r="L39" s="13">
        <f t="shared" si="5"/>
        <v>0.30332452363602075</v>
      </c>
      <c r="M39" s="13">
        <v>100</v>
      </c>
      <c r="N39" s="13">
        <f t="shared" si="6"/>
        <v>0.42872532367813615</v>
      </c>
      <c r="O39" s="13">
        <v>36.210500000000003</v>
      </c>
      <c r="P39" s="13">
        <f t="shared" si="7"/>
        <v>0.1552435833304715</v>
      </c>
      <c r="Q39" s="13">
        <f>'a28'!I39</f>
        <v>26.288759522865412</v>
      </c>
      <c r="R39" s="13">
        <f t="shared" si="8"/>
        <v>0.11270656935537159</v>
      </c>
      <c r="S39" s="13">
        <f t="shared" si="9"/>
        <v>233.2495760737348</v>
      </c>
      <c r="T39" s="13">
        <f>'a28'!K39</f>
        <v>66.823500142686754</v>
      </c>
      <c r="U39" s="13">
        <f t="shared" si="10"/>
        <v>0.29216493295402335</v>
      </c>
      <c r="V39" s="13">
        <v>100</v>
      </c>
      <c r="W39" s="13">
        <f t="shared" si="11"/>
        <v>0.43721884117139931</v>
      </c>
      <c r="X39" s="13">
        <v>37.326450000000001</v>
      </c>
      <c r="Y39" s="13">
        <f t="shared" si="12"/>
        <v>0.16319827214042176</v>
      </c>
      <c r="Z39" s="13">
        <f>'a28'!M39</f>
        <v>24.568464031961835</v>
      </c>
      <c r="AA39" s="13">
        <f t="shared" si="13"/>
        <v>0.10741795373415558</v>
      </c>
      <c r="AB39" s="13">
        <f t="shared" si="14"/>
        <v>228.71841417464859</v>
      </c>
      <c r="AC39" s="13">
        <f>'a28'!O39</f>
        <v>68.447666051086699</v>
      </c>
      <c r="AD39" s="13">
        <f t="shared" si="15"/>
        <v>0.30002343970633211</v>
      </c>
      <c r="AE39" s="13">
        <v>100</v>
      </c>
      <c r="AF39" s="13">
        <f t="shared" si="16"/>
        <v>0.43832530313364698</v>
      </c>
      <c r="AG39" s="13">
        <v>34.521429999999995</v>
      </c>
      <c r="AH39" s="13">
        <f t="shared" si="17"/>
        <v>0.15131616269356973</v>
      </c>
      <c r="AI39" s="13">
        <f>'a28'!Q39</f>
        <v>25.171965587578583</v>
      </c>
      <c r="AJ39" s="13">
        <f t="shared" si="18"/>
        <v>0.11033509446645112</v>
      </c>
      <c r="AK39" s="13">
        <f t="shared" si="19"/>
        <v>228.14106163866529</v>
      </c>
      <c r="AL39" s="13">
        <f>'a28'!S39</f>
        <v>69.170086462941498</v>
      </c>
      <c r="AM39" s="13">
        <f t="shared" si="20"/>
        <v>0.30161080174710442</v>
      </c>
      <c r="AN39" s="13">
        <v>100</v>
      </c>
      <c r="AO39" s="13">
        <f t="shared" si="21"/>
        <v>0.43604225058861995</v>
      </c>
      <c r="AP39" s="13">
        <v>34.972270000000002</v>
      </c>
      <c r="AQ39" s="13">
        <f t="shared" si="22"/>
        <v>0.15249387318992877</v>
      </c>
      <c r="AR39" s="13">
        <f>'a28'!U39</f>
        <v>25.193217933825107</v>
      </c>
      <c r="AS39" s="13">
        <f t="shared" si="23"/>
        <v>0.10985307447434681</v>
      </c>
      <c r="AT39" s="13">
        <f t="shared" si="24"/>
        <v>229.33557439676662</v>
      </c>
      <c r="AU39" s="13">
        <f>'a28'!W39</f>
        <v>69.313934165466634</v>
      </c>
      <c r="AV39" s="13">
        <f t="shared" si="25"/>
        <v>0.30299893002812506</v>
      </c>
      <c r="AW39" s="13">
        <v>100</v>
      </c>
      <c r="AX39" s="13">
        <f t="shared" si="26"/>
        <v>0.4371399974279403</v>
      </c>
      <c r="AY39" s="13">
        <v>33.891399999999997</v>
      </c>
      <c r="AZ39" s="13">
        <f t="shared" si="27"/>
        <v>0.14815286508829295</v>
      </c>
      <c r="BA39" s="13">
        <f>'a28'!Y39</f>
        <v>25.554332276367838</v>
      </c>
      <c r="BB39" s="13">
        <f t="shared" si="28"/>
        <v>0.11170820745564168</v>
      </c>
      <c r="BC39" s="13">
        <f t="shared" si="29"/>
        <v>228.75966644183447</v>
      </c>
      <c r="BD39" s="13">
        <f>'a28'!AA39</f>
        <v>68.073072255640085</v>
      </c>
      <c r="BE39" s="13">
        <f t="shared" si="30"/>
        <v>0.29759084076705955</v>
      </c>
      <c r="BF39" s="13">
        <v>100</v>
      </c>
      <c r="BG39" s="13">
        <f t="shared" si="31"/>
        <v>0.43716381662560144</v>
      </c>
      <c r="BH39" s="13">
        <v>37.483980000000003</v>
      </c>
      <c r="BI39" s="13">
        <f t="shared" si="32"/>
        <v>0.16386639759117713</v>
      </c>
      <c r="BJ39" s="13">
        <f>'a28'!AC39</f>
        <v>23.190150044596539</v>
      </c>
      <c r="BK39" s="13">
        <f t="shared" si="33"/>
        <v>0.10137894501616183</v>
      </c>
      <c r="BL39" s="13">
        <f t="shared" si="34"/>
        <v>228.74720230023664</v>
      </c>
      <c r="BM39" s="13">
        <f>'a28'!AE39</f>
        <v>65.668784885695203</v>
      </c>
      <c r="BN39" s="13">
        <f t="shared" si="35"/>
        <v>0.29005136890687983</v>
      </c>
      <c r="BO39" s="13">
        <v>100</v>
      </c>
      <c r="BP39" s="13">
        <f t="shared" si="36"/>
        <v>0.44168834464007645</v>
      </c>
      <c r="BQ39" s="13">
        <v>38.209209999999999</v>
      </c>
      <c r="BR39" s="13">
        <f t="shared" si="37"/>
        <v>0.16876562714905055</v>
      </c>
      <c r="BS39" s="13">
        <f>'a28'!AG39</f>
        <v>22.525987047511855</v>
      </c>
      <c r="BT39" s="13">
        <f t="shared" si="38"/>
        <v>9.9494659303993135E-2</v>
      </c>
      <c r="BU39" s="13">
        <f t="shared" si="39"/>
        <v>226.40398193320706</v>
      </c>
      <c r="BV39" s="13">
        <f>'a28'!AI39</f>
        <v>64.267896794808337</v>
      </c>
      <c r="BW39" s="13">
        <f t="shared" si="40"/>
        <v>0.28649138108458927</v>
      </c>
      <c r="BX39" s="13">
        <v>100</v>
      </c>
      <c r="BY39" s="13">
        <f t="shared" si="41"/>
        <v>0.4457768113982104</v>
      </c>
      <c r="BZ39" s="13">
        <v>38.28792</v>
      </c>
      <c r="CA39" s="13">
        <f t="shared" si="42"/>
        <v>0.17067866892669767</v>
      </c>
      <c r="CB39" s="13">
        <f>'a28'!AK39</f>
        <v>21.771688456851034</v>
      </c>
      <c r="CC39" s="13">
        <f t="shared" si="43"/>
        <v>9.7053138590502783E-2</v>
      </c>
      <c r="CD39" s="13">
        <f t="shared" si="44"/>
        <v>224.32750525165935</v>
      </c>
      <c r="CE39" s="13">
        <f>'a28'!AM39</f>
        <v>69.326037101821214</v>
      </c>
      <c r="CF39" s="13">
        <f t="shared" si="45"/>
        <v>0.30079160713536723</v>
      </c>
      <c r="CG39" s="13">
        <v>100</v>
      </c>
      <c r="CH39" s="13">
        <f t="shared" si="46"/>
        <v>0.43387970769710327</v>
      </c>
      <c r="CI39" s="13">
        <v>39.202550000000002</v>
      </c>
      <c r="CJ39" s="13">
        <f t="shared" si="47"/>
        <v>0.17009190934981075</v>
      </c>
      <c r="CK39" s="13">
        <f>'a28'!AO39</f>
        <v>21.950041481129766</v>
      </c>
      <c r="CL39" s="13">
        <f t="shared" si="48"/>
        <v>9.5236775817718736E-2</v>
      </c>
      <c r="CM39" s="13">
        <f t="shared" si="49"/>
        <v>230.47862858295099</v>
      </c>
      <c r="CN39" s="13">
        <f>'a28'!AQ39</f>
        <v>69.009416465665623</v>
      </c>
      <c r="CO39" s="13">
        <f t="shared" si="50"/>
        <v>0.30181851716872166</v>
      </c>
      <c r="CP39" s="13">
        <v>100</v>
      </c>
      <c r="CQ39" s="13">
        <f t="shared" si="51"/>
        <v>0.43735845428990983</v>
      </c>
      <c r="CR39" s="13">
        <v>35.045429999999996</v>
      </c>
      <c r="CS39" s="13">
        <f t="shared" si="52"/>
        <v>0.15327415094725233</v>
      </c>
      <c r="CT39" s="13">
        <f>'a28'!AS39</f>
        <v>24.59055645071075</v>
      </c>
      <c r="CU39" s="13">
        <f t="shared" si="53"/>
        <v>0.10754887759411624</v>
      </c>
      <c r="CV39" s="13">
        <f t="shared" si="54"/>
        <v>228.64540291637636</v>
      </c>
    </row>
    <row r="40" spans="1:100" ht="15.75" customHeight="1">
      <c r="A40" s="1">
        <v>2002</v>
      </c>
      <c r="B40" s="13">
        <f>'a28'!C40</f>
        <v>68.675764638101526</v>
      </c>
      <c r="C40" s="13">
        <f t="shared" si="55"/>
        <v>0.30003096922228634</v>
      </c>
      <c r="D40" s="13">
        <v>100</v>
      </c>
      <c r="E40" s="13">
        <f t="shared" si="56"/>
        <v>0.43688042033947477</v>
      </c>
      <c r="F40" s="13">
        <v>35.709350000000001</v>
      </c>
      <c r="G40" s="13">
        <f t="shared" si="57"/>
        <v>0.15600715838049423</v>
      </c>
      <c r="H40" s="13">
        <f>'a28'!E40</f>
        <v>24.510471761251701</v>
      </c>
      <c r="I40" s="13">
        <f t="shared" si="4"/>
        <v>0.10708145205774469</v>
      </c>
      <c r="J40" s="13">
        <f t="shared" si="58"/>
        <v>228.89558639935322</v>
      </c>
      <c r="K40" s="13">
        <f>'a28'!G40</f>
        <v>70.846782963865479</v>
      </c>
      <c r="L40" s="13">
        <f t="shared" ref="L40:L46" si="59">K40/S40</f>
        <v>0.30387335741610755</v>
      </c>
      <c r="M40" s="13">
        <v>100</v>
      </c>
      <c r="N40" s="13">
        <f t="shared" ref="N40:N46" si="60">M40/S40</f>
        <v>0.42891623967046516</v>
      </c>
      <c r="O40" s="13">
        <v>35.165459999999996</v>
      </c>
      <c r="P40" s="13">
        <f t="shared" ref="P40:P46" si="61">O40/S40</f>
        <v>0.15083036869482153</v>
      </c>
      <c r="Q40" s="13">
        <f>'a28'!I40</f>
        <v>27.133510801087908</v>
      </c>
      <c r="R40" s="13">
        <f t="shared" ref="R40:R46" si="62">Q40/S40</f>
        <v>0.11638003421860577</v>
      </c>
      <c r="S40" s="13">
        <f t="shared" ref="S40:S45" si="63">K40+M40+O40+Q40</f>
        <v>233.14575376495338</v>
      </c>
      <c r="T40" s="13">
        <f>'a28'!K40</f>
        <v>67.188550220637651</v>
      </c>
      <c r="U40" s="13">
        <f t="shared" ref="U40:U46" si="64">T40/AB40</f>
        <v>0.29344033709121553</v>
      </c>
      <c r="V40" s="13">
        <v>100</v>
      </c>
      <c r="W40" s="13">
        <f t="shared" ref="W40:W46" si="65">V40/AB40</f>
        <v>0.4367415819028676</v>
      </c>
      <c r="X40" s="122">
        <v>36.529939999999996</v>
      </c>
      <c r="Y40" s="13">
        <f t="shared" ref="Y40:Y46" si="66">X40/AB40</f>
        <v>0.15954143782416838</v>
      </c>
      <c r="Z40" s="13">
        <f>'a28'!M40</f>
        <v>25.249861188228763</v>
      </c>
      <c r="AA40" s="13">
        <f t="shared" ref="AA40:AA46" si="67">Z40/AB40</f>
        <v>0.11027664318174851</v>
      </c>
      <c r="AB40" s="13">
        <f t="shared" ref="AB40:AB45" si="68">T40+V40+X40+Z40</f>
        <v>228.9683514088664</v>
      </c>
      <c r="AC40" s="13">
        <f>'a28'!O40</f>
        <v>68.740501489280931</v>
      </c>
      <c r="AD40" s="13">
        <f t="shared" ref="AD40:AD46" si="69">AC40/AK40</f>
        <v>0.29957008524632689</v>
      </c>
      <c r="AE40" s="13">
        <v>100</v>
      </c>
      <c r="AF40" s="13">
        <f t="shared" ref="AF40:AF46" si="70">AE40/AK40</f>
        <v>0.43579851580372952</v>
      </c>
      <c r="AG40" s="13">
        <v>34.761399999999995</v>
      </c>
      <c r="AH40" s="13">
        <f t="shared" ref="AH40:AH46" si="71">AG40/AK40</f>
        <v>0.15148966527259761</v>
      </c>
      <c r="AI40" s="13">
        <f>'a28'!Q40</f>
        <v>25.961936439522361</v>
      </c>
      <c r="AJ40" s="13">
        <f t="shared" ref="AJ40:AJ46" si="72">AI40/AK40</f>
        <v>0.11314173367734608</v>
      </c>
      <c r="AK40" s="13">
        <f t="shared" ref="AK40:AK46" si="73">AC40+AE40+AG40+AI40</f>
        <v>229.46383792880326</v>
      </c>
      <c r="AL40" s="13">
        <f>'a28'!S40</f>
        <v>69.32210198163429</v>
      </c>
      <c r="AM40" s="13">
        <f t="shared" ref="AM40:AM46" si="74">AL40/AT40</f>
        <v>0.30208901146297773</v>
      </c>
      <c r="AN40" s="13">
        <v>100</v>
      </c>
      <c r="AO40" s="13">
        <f t="shared" ref="AO40:AO46" si="75">AN40/AT40</f>
        <v>0.43577589661521093</v>
      </c>
      <c r="AP40" s="13">
        <v>34.100140000000003</v>
      </c>
      <c r="AQ40" s="13">
        <f t="shared" ref="AQ40:AQ46" si="76">AP40/AT40</f>
        <v>0.14860019083204221</v>
      </c>
      <c r="AR40" s="13">
        <f>'a28'!U40</f>
        <v>26.053506394370444</v>
      </c>
      <c r="AS40" s="13">
        <f t="shared" ref="AS40:AS46" si="77">AR40/AT40</f>
        <v>0.11353490108976912</v>
      </c>
      <c r="AT40" s="13">
        <f t="shared" ref="AT40:AT46" si="78">AL40+AN40+AP40+AR40</f>
        <v>229.47574837600473</v>
      </c>
      <c r="AU40" s="13">
        <f>'a28'!W40</f>
        <v>69.379616603835245</v>
      </c>
      <c r="AV40" s="13">
        <f t="shared" ref="AV40:AV45" si="79">AU40/BC40</f>
        <v>0.3032034391055709</v>
      </c>
      <c r="AW40" s="13">
        <v>100</v>
      </c>
      <c r="AX40" s="13">
        <f t="shared" ref="AX40:AX45" si="80">AW40/BC40</f>
        <v>0.43702092047711039</v>
      </c>
      <c r="AY40" s="13">
        <v>33.23265</v>
      </c>
      <c r="AZ40" s="13">
        <f t="shared" ref="AZ40:AZ45" si="81">AY40/BC40</f>
        <v>0.14523363292893643</v>
      </c>
      <c r="BA40" s="13">
        <f>'a28'!Y40</f>
        <v>26.209730958264636</v>
      </c>
      <c r="BB40" s="13">
        <f t="shared" ref="BB40:BB45" si="82">BA40/BC40</f>
        <v>0.11454200748838228</v>
      </c>
      <c r="BC40" s="13">
        <f t="shared" ref="BC40:BC45" si="83">AU40+AW40+AY40+BA40</f>
        <v>228.82199756209988</v>
      </c>
      <c r="BD40" s="13">
        <f>'a28'!AA40</f>
        <v>68.302656457113784</v>
      </c>
      <c r="BE40" s="13">
        <f t="shared" ref="BE40:BE45" si="84">BD40/BL40</f>
        <v>0.29818337138433476</v>
      </c>
      <c r="BF40" s="13">
        <v>100</v>
      </c>
      <c r="BG40" s="13">
        <f t="shared" ref="BG40:BG45" si="85">BF40/BL40</f>
        <v>0.43656189502901638</v>
      </c>
      <c r="BH40" s="13">
        <v>37.073499999999996</v>
      </c>
      <c r="BI40" s="13">
        <f t="shared" ref="BI40:BI45" si="86">BH40/BL40</f>
        <v>0.16184877415358237</v>
      </c>
      <c r="BJ40" s="13">
        <f>'a28'!AC40</f>
        <v>23.686437275107021</v>
      </c>
      <c r="BK40" s="13">
        <f t="shared" ref="BK40:BK45" si="87">BJ40/BL40</f>
        <v>0.10340595943306652</v>
      </c>
      <c r="BL40" s="13">
        <f t="shared" ref="BL40:BL45" si="88">BD40+BF40+BH40+BJ40</f>
        <v>229.06259373222079</v>
      </c>
      <c r="BM40" s="13">
        <f>'a28'!AE40</f>
        <v>65.936488695873209</v>
      </c>
      <c r="BN40" s="13">
        <f t="shared" ref="BN40:BN45" si="89">BM40/BU40</f>
        <v>0.29040005338567004</v>
      </c>
      <c r="BO40" s="13">
        <v>100</v>
      </c>
      <c r="BP40" s="13">
        <f t="shared" ref="BP40:BP45" si="90">BO40/BU40</f>
        <v>0.44042389749493199</v>
      </c>
      <c r="BQ40" s="13">
        <v>37.956159999999997</v>
      </c>
      <c r="BR40" s="13">
        <f t="shared" ref="BR40:BR45" si="91">BQ40/BU40</f>
        <v>0.16716799921141237</v>
      </c>
      <c r="BS40" s="13">
        <f>'a28'!AG40</f>
        <v>23.161333998493877</v>
      </c>
      <c r="BT40" s="13">
        <f t="shared" ref="BT40:BT45" si="92">BS40/BU40</f>
        <v>0.10200804990798551</v>
      </c>
      <c r="BU40" s="13">
        <f t="shared" ref="BU40:BU45" si="93">BM40+BO40+BQ40+BS40</f>
        <v>227.05398269436711</v>
      </c>
      <c r="BV40" s="13">
        <f>'a28'!AI40</f>
        <v>64.531335743041993</v>
      </c>
      <c r="BW40" s="13">
        <f t="shared" ref="BW40:BW45" si="94">BV40/CD40</f>
        <v>0.28774625235010398</v>
      </c>
      <c r="BX40" s="13">
        <v>100</v>
      </c>
      <c r="BY40" s="13">
        <f t="shared" ref="BY40:BY45" si="95">BX40/CD40</f>
        <v>0.44590159034656252</v>
      </c>
      <c r="BZ40" s="13">
        <v>37.268630000000002</v>
      </c>
      <c r="CA40" s="13">
        <f t="shared" ref="CA40:CA45" si="96">BZ40/CD40</f>
        <v>0.1661814138703761</v>
      </c>
      <c r="CB40" s="13">
        <f>'a28'!AK40</f>
        <v>22.464764782539344</v>
      </c>
      <c r="CC40" s="13">
        <f t="shared" ref="CC40:CC45" si="97">CB40/CD40</f>
        <v>0.10017074343295743</v>
      </c>
      <c r="CD40" s="13">
        <f t="shared" ref="CD40:CD45" si="98">BV40+BX40+BZ40+CB40</f>
        <v>224.26473052558134</v>
      </c>
      <c r="CE40" s="13">
        <f>'a28'!AM40</f>
        <v>69.66797981309081</v>
      </c>
      <c r="CF40" s="13">
        <f t="shared" ref="CF40:CF45" si="99">CE40/CM40</f>
        <v>0.30292747169705281</v>
      </c>
      <c r="CG40" s="13">
        <v>100</v>
      </c>
      <c r="CH40" s="13">
        <f t="shared" ref="CH40:CH45" si="100">CG40/CM40</f>
        <v>0.43481592621138687</v>
      </c>
      <c r="CI40" s="13">
        <v>37.709769999999999</v>
      </c>
      <c r="CJ40" s="13">
        <f t="shared" ref="CJ40:CJ45" si="101">CI40/CM40</f>
        <v>0.1639680856976837</v>
      </c>
      <c r="CK40" s="13">
        <f>'a28'!AO40</f>
        <v>22.604626571588216</v>
      </c>
      <c r="CL40" s="13">
        <f t="shared" ref="CL40:CL45" si="102">CK40/CM40</f>
        <v>9.8288516393876563E-2</v>
      </c>
      <c r="CM40" s="13">
        <f t="shared" ref="CM40:CM45" si="103">CE40+CG40+CI40+CK40</f>
        <v>229.98237638467904</v>
      </c>
      <c r="CN40" s="13">
        <f>'a28'!AQ40</f>
        <v>69.159319092533309</v>
      </c>
      <c r="CO40" s="13">
        <f t="shared" ref="CO40:CO45" si="104">CN40/CV40</f>
        <v>0.30250993400633197</v>
      </c>
      <c r="CP40" s="13">
        <v>100</v>
      </c>
      <c r="CQ40" s="13">
        <f t="shared" ref="CQ40:CQ45" si="105">CP40/CV40</f>
        <v>0.43741022609199182</v>
      </c>
      <c r="CR40" s="13">
        <v>34.127130000000001</v>
      </c>
      <c r="CS40" s="13">
        <f t="shared" ref="CS40:CS45" si="106">CR40/CV40</f>
        <v>0.14927555649170796</v>
      </c>
      <c r="CT40" s="13">
        <f>'a28'!AS40</f>
        <v>25.331891391735546</v>
      </c>
      <c r="CU40" s="13">
        <f t="shared" ref="CU40:CU45" si="107">CT40/CV40</f>
        <v>0.11080428340996826</v>
      </c>
      <c r="CV40" s="13">
        <f t="shared" ref="CV40:CV45" si="108">CN40+CP40+CR40+CT40</f>
        <v>228.61834048426886</v>
      </c>
    </row>
    <row r="41" spans="1:100" ht="15.75" customHeight="1">
      <c r="A41" s="1">
        <v>2003</v>
      </c>
      <c r="B41" s="13">
        <f>'a28'!C41</f>
        <v>68.836429077800119</v>
      </c>
      <c r="C41" s="13">
        <f t="shared" si="55"/>
        <v>0.30004440168864199</v>
      </c>
      <c r="D41" s="13">
        <f t="shared" ref="D41:D48" si="109">D40</f>
        <v>100</v>
      </c>
      <c r="E41" s="13">
        <f t="shared" si="56"/>
        <v>0.4358802536801068</v>
      </c>
      <c r="F41" s="13">
        <v>35.454120000000003</v>
      </c>
      <c r="G41" s="13">
        <f t="shared" si="57"/>
        <v>0.1545375081960495</v>
      </c>
      <c r="H41" s="13">
        <f>'a28'!E41</f>
        <v>25.130258943914395</v>
      </c>
      <c r="I41" s="13">
        <f t="shared" ref="I41:I45" si="110">H41/J41</f>
        <v>0.1095378364352018</v>
      </c>
      <c r="J41" s="13">
        <f t="shared" si="58"/>
        <v>229.42080802171449</v>
      </c>
      <c r="K41" s="13">
        <f>'a28'!G41</f>
        <v>70.987040037028464</v>
      </c>
      <c r="L41" s="13">
        <f t="shared" si="59"/>
        <v>0.30448722007696138</v>
      </c>
      <c r="M41" s="13">
        <f t="shared" ref="M41:M48" si="111">M40</f>
        <v>100</v>
      </c>
      <c r="N41" s="13">
        <f t="shared" si="60"/>
        <v>0.42893353479470886</v>
      </c>
      <c r="O41" s="13">
        <v>34.201500000000003</v>
      </c>
      <c r="P41" s="13">
        <f t="shared" si="61"/>
        <v>0.14670170290281237</v>
      </c>
      <c r="Q41" s="13">
        <f>'a28'!I41</f>
        <v>27.947813006248552</v>
      </c>
      <c r="R41" s="13">
        <f t="shared" si="62"/>
        <v>0.1198775422255173</v>
      </c>
      <c r="S41" s="13">
        <f t="shared" si="63"/>
        <v>233.13635304327704</v>
      </c>
      <c r="T41" s="13">
        <f>'a28'!K41</f>
        <v>67.453961128398703</v>
      </c>
      <c r="U41" s="13">
        <f t="shared" si="64"/>
        <v>0.29305771953138621</v>
      </c>
      <c r="V41" s="13">
        <f t="shared" ref="V41:V48" si="112">V40</f>
        <v>100</v>
      </c>
      <c r="W41" s="13">
        <f t="shared" si="65"/>
        <v>0.43445590833954206</v>
      </c>
      <c r="X41" s="122">
        <v>36.823540000000001</v>
      </c>
      <c r="Y41" s="13">
        <f t="shared" si="66"/>
        <v>0.1599820451897746</v>
      </c>
      <c r="Z41" s="13">
        <f>'a28'!M41</f>
        <v>25.895453319827137</v>
      </c>
      <c r="AA41" s="13">
        <f t="shared" si="67"/>
        <v>0.11250432693929709</v>
      </c>
      <c r="AB41" s="13">
        <f t="shared" si="68"/>
        <v>230.17295444822585</v>
      </c>
      <c r="AC41" s="13">
        <f>'a28'!O41</f>
        <v>68.954048625533474</v>
      </c>
      <c r="AD41" s="13">
        <f t="shared" si="69"/>
        <v>0.29967732437004857</v>
      </c>
      <c r="AE41" s="13">
        <f t="shared" ref="AE41:AE48" si="113">AE40</f>
        <v>100</v>
      </c>
      <c r="AF41" s="13">
        <f t="shared" si="70"/>
        <v>0.43460439284355379</v>
      </c>
      <c r="AG41" s="13">
        <v>34.45073</v>
      </c>
      <c r="AH41" s="13">
        <f t="shared" si="71"/>
        <v>0.14972438594667203</v>
      </c>
      <c r="AI41" s="13">
        <f>'a28'!Q41</f>
        <v>26.689536219547712</v>
      </c>
      <c r="AJ41" s="13">
        <f t="shared" si="72"/>
        <v>0.1159938968397257</v>
      </c>
      <c r="AK41" s="13">
        <f t="shared" si="73"/>
        <v>230.09431484508116</v>
      </c>
      <c r="AL41" s="13">
        <f>'a28'!S41</f>
        <v>69.428561134470883</v>
      </c>
      <c r="AM41" s="13">
        <f t="shared" si="74"/>
        <v>0.30278433949058153</v>
      </c>
      <c r="AN41" s="13">
        <f t="shared" ref="AN41:AN48" si="114">AN40</f>
        <v>100</v>
      </c>
      <c r="AO41" s="13">
        <f t="shared" si="75"/>
        <v>0.43610919561495975</v>
      </c>
      <c r="AP41" s="13">
        <v>33.01126</v>
      </c>
      <c r="AQ41" s="13">
        <f t="shared" si="76"/>
        <v>0.14396514044836295</v>
      </c>
      <c r="AR41" s="13">
        <f>'a28'!U41</f>
        <v>26.860549060634732</v>
      </c>
      <c r="AS41" s="13">
        <f t="shared" si="77"/>
        <v>0.11714132444609575</v>
      </c>
      <c r="AT41" s="13">
        <f t="shared" si="78"/>
        <v>229.30037019510561</v>
      </c>
      <c r="AU41" s="13">
        <f>'a28'!W41</f>
        <v>69.414673413985184</v>
      </c>
      <c r="AV41" s="13">
        <f t="shared" si="79"/>
        <v>0.30255928326119308</v>
      </c>
      <c r="AW41" s="13">
        <f t="shared" ref="AW41:AW48" si="115">AW40</f>
        <v>100</v>
      </c>
      <c r="AX41" s="13">
        <f t="shared" si="80"/>
        <v>0.43587222755734456</v>
      </c>
      <c r="AY41" s="13">
        <v>33.164320000000004</v>
      </c>
      <c r="AZ41" s="13">
        <f t="shared" si="81"/>
        <v>0.14455406033824594</v>
      </c>
      <c r="BA41" s="13">
        <f>'a28'!Y41</f>
        <v>26.846039147520962</v>
      </c>
      <c r="BB41" s="13">
        <f t="shared" si="82"/>
        <v>0.11701442884321638</v>
      </c>
      <c r="BC41" s="13">
        <f t="shared" si="83"/>
        <v>229.42503256150616</v>
      </c>
      <c r="BD41" s="13">
        <f>'a28'!AA41</f>
        <v>68.51641847882334</v>
      </c>
      <c r="BE41" s="13">
        <f t="shared" si="84"/>
        <v>0.29799046173300936</v>
      </c>
      <c r="BF41" s="13">
        <f t="shared" ref="BF41:BF48" si="116">BF40</f>
        <v>100</v>
      </c>
      <c r="BG41" s="13">
        <f t="shared" si="85"/>
        <v>0.43491832811592529</v>
      </c>
      <c r="BH41" s="13">
        <v>37.177329999999998</v>
      </c>
      <c r="BI41" s="13">
        <f t="shared" si="86"/>
        <v>0.16169102207414032</v>
      </c>
      <c r="BJ41" s="13">
        <f>'a28'!AC41</f>
        <v>24.234478352181821</v>
      </c>
      <c r="BK41" s="13">
        <f t="shared" si="87"/>
        <v>0.10540018807692501</v>
      </c>
      <c r="BL41" s="13">
        <f t="shared" si="88"/>
        <v>229.92822683100516</v>
      </c>
      <c r="BM41" s="13">
        <f>'a28'!AE41</f>
        <v>66.18211251062236</v>
      </c>
      <c r="BN41" s="13">
        <f t="shared" si="89"/>
        <v>0.29105558368180817</v>
      </c>
      <c r="BO41" s="13">
        <f t="shared" ref="BO41:BO48" si="117">BO40</f>
        <v>100</v>
      </c>
      <c r="BP41" s="13">
        <f t="shared" si="90"/>
        <v>0.43977983270795895</v>
      </c>
      <c r="BQ41" s="13">
        <v>37.453879999999998</v>
      </c>
      <c r="BR41" s="13">
        <f t="shared" si="91"/>
        <v>0.16471461080663968</v>
      </c>
      <c r="BS41" s="13">
        <f>'a28'!AG41</f>
        <v>23.750514470033572</v>
      </c>
      <c r="BT41" s="13">
        <f t="shared" si="92"/>
        <v>0.10444997280359322</v>
      </c>
      <c r="BU41" s="13">
        <f t="shared" si="93"/>
        <v>227.38650698065592</v>
      </c>
      <c r="BV41" s="13">
        <f>'a28'!AI41</f>
        <v>64.856199252772001</v>
      </c>
      <c r="BW41" s="13">
        <f t="shared" si="94"/>
        <v>0.28877277012164726</v>
      </c>
      <c r="BX41" s="13">
        <f t="shared" ref="BX41:BX48" si="118">BX40</f>
        <v>100</v>
      </c>
      <c r="BY41" s="13">
        <f t="shared" si="95"/>
        <v>0.44525083715772151</v>
      </c>
      <c r="BZ41" s="13">
        <v>36.599029999999999</v>
      </c>
      <c r="CA41" s="13">
        <f t="shared" si="96"/>
        <v>0.16295748746660563</v>
      </c>
      <c r="CB41" s="13">
        <f>'a28'!AK41</f>
        <v>23.137273791926205</v>
      </c>
      <c r="CC41" s="13">
        <f t="shared" si="97"/>
        <v>0.10301890525402553</v>
      </c>
      <c r="CD41" s="13">
        <f t="shared" si="98"/>
        <v>224.59250304469822</v>
      </c>
      <c r="CE41" s="13">
        <f>'a28'!AM41</f>
        <v>69.903367347323424</v>
      </c>
      <c r="CF41" s="13">
        <f t="shared" si="99"/>
        <v>0.30417723356448562</v>
      </c>
      <c r="CG41" s="13">
        <f t="shared" ref="CG41:CG48" si="119">CG40</f>
        <v>100</v>
      </c>
      <c r="CH41" s="13">
        <f t="shared" si="100"/>
        <v>0.43513960071929564</v>
      </c>
      <c r="CI41" s="13">
        <v>36.639800000000001</v>
      </c>
      <c r="CJ41" s="13">
        <f t="shared" si="101"/>
        <v>0.15943427942434849</v>
      </c>
      <c r="CK41" s="13">
        <f>'a28'!AO41</f>
        <v>23.268138805225615</v>
      </c>
      <c r="CL41" s="13">
        <f t="shared" si="102"/>
        <v>0.10124888629187023</v>
      </c>
      <c r="CM41" s="13">
        <f t="shared" si="103"/>
        <v>229.81130615254904</v>
      </c>
      <c r="CN41" s="13">
        <f>'a28'!AQ41</f>
        <v>69.251935039719612</v>
      </c>
      <c r="CO41" s="13">
        <f t="shared" si="104"/>
        <v>0.30311081403890799</v>
      </c>
      <c r="CP41" s="13">
        <f t="shared" ref="CP41:CP48" si="120">CP40</f>
        <v>100</v>
      </c>
      <c r="CQ41" s="13">
        <f t="shared" si="105"/>
        <v>0.43769291625578122</v>
      </c>
      <c r="CR41" s="13">
        <v>33.167540000000002</v>
      </c>
      <c r="CS41" s="13">
        <f t="shared" si="106"/>
        <v>0.14517197307630275</v>
      </c>
      <c r="CT41" s="13">
        <f>'a28'!AS41</f>
        <v>26.051209054152004</v>
      </c>
      <c r="CU41" s="13">
        <f t="shared" si="107"/>
        <v>0.11402429662900802</v>
      </c>
      <c r="CV41" s="13">
        <f t="shared" si="108"/>
        <v>228.47068409387163</v>
      </c>
    </row>
    <row r="42" spans="1:100" ht="15.75" customHeight="1">
      <c r="A42" s="1">
        <v>2004</v>
      </c>
      <c r="B42" s="13">
        <f>'a28'!C42</f>
        <v>69.017230568319846</v>
      </c>
      <c r="C42" s="13">
        <f t="shared" si="55"/>
        <v>0.29986593471879702</v>
      </c>
      <c r="D42" s="13">
        <f t="shared" si="109"/>
        <v>100</v>
      </c>
      <c r="E42" s="13">
        <f t="shared" si="56"/>
        <v>0.43447981359084104</v>
      </c>
      <c r="F42" s="13">
        <v>35.428513117861499</v>
      </c>
      <c r="G42" s="13">
        <f t="shared" si="57"/>
        <v>0.1539297377524913</v>
      </c>
      <c r="H42" s="13">
        <f>'a28'!E42</f>
        <v>25.714546554994637</v>
      </c>
      <c r="I42" s="13">
        <f t="shared" si="110"/>
        <v>0.11172451393787072</v>
      </c>
      <c r="J42" s="13">
        <f t="shared" si="58"/>
        <v>230.16029024117597</v>
      </c>
      <c r="K42" s="13">
        <f>'a28'!G42</f>
        <v>71.058871729858325</v>
      </c>
      <c r="L42" s="13">
        <f t="shared" si="59"/>
        <v>0.30412616781699259</v>
      </c>
      <c r="M42" s="13">
        <f t="shared" si="111"/>
        <v>100</v>
      </c>
      <c r="N42" s="13">
        <f t="shared" si="60"/>
        <v>0.42799183326914747</v>
      </c>
      <c r="O42" s="13">
        <v>33.916012090287843</v>
      </c>
      <c r="P42" s="13">
        <f t="shared" si="61"/>
        <v>0.14515776191700863</v>
      </c>
      <c r="Q42" s="13">
        <f>'a28'!I42</f>
        <v>28.67443428988863</v>
      </c>
      <c r="R42" s="13">
        <f t="shared" si="62"/>
        <v>0.12272423699685139</v>
      </c>
      <c r="S42" s="13">
        <f t="shared" si="63"/>
        <v>233.64931811003478</v>
      </c>
      <c r="T42" s="13">
        <f>'a28'!K42</f>
        <v>67.770239841945468</v>
      </c>
      <c r="U42" s="13">
        <f t="shared" si="64"/>
        <v>0.29290359822115131</v>
      </c>
      <c r="V42" s="13">
        <f t="shared" si="112"/>
        <v>100</v>
      </c>
      <c r="W42" s="13">
        <f t="shared" si="65"/>
        <v>0.4322009172525646</v>
      </c>
      <c r="X42" s="13">
        <v>37.096086023239302</v>
      </c>
      <c r="Y42" s="13">
        <f t="shared" si="66"/>
        <v>0.16032962405724069</v>
      </c>
      <c r="Z42" s="13">
        <f>'a28'!M42</f>
        <v>26.507546813486933</v>
      </c>
      <c r="AA42" s="13">
        <f t="shared" si="67"/>
        <v>0.11456586046904348</v>
      </c>
      <c r="AB42" s="13">
        <f t="shared" si="68"/>
        <v>231.37387267867169</v>
      </c>
      <c r="AC42" s="13">
        <f>'a28'!O42</f>
        <v>69.167830559861017</v>
      </c>
      <c r="AD42" s="13">
        <f t="shared" si="69"/>
        <v>0.30018004883685356</v>
      </c>
      <c r="AE42" s="13">
        <f t="shared" si="113"/>
        <v>100</v>
      </c>
      <c r="AF42" s="13">
        <f t="shared" si="70"/>
        <v>0.43398794845396227</v>
      </c>
      <c r="AG42" s="13">
        <v>33.863643001061014</v>
      </c>
      <c r="AH42" s="13">
        <f t="shared" si="71"/>
        <v>0.14696412953207846</v>
      </c>
      <c r="AI42" s="13">
        <f>'a28'!Q42</f>
        <v>27.389671441467527</v>
      </c>
      <c r="AJ42" s="13">
        <f t="shared" si="72"/>
        <v>0.11886787317710572</v>
      </c>
      <c r="AK42" s="13">
        <f t="shared" si="73"/>
        <v>230.42114500238955</v>
      </c>
      <c r="AL42" s="13">
        <f>'a28'!S42</f>
        <v>69.522891926407411</v>
      </c>
      <c r="AM42" s="13">
        <f t="shared" si="74"/>
        <v>0.30220062973301975</v>
      </c>
      <c r="AN42" s="13">
        <f t="shared" si="114"/>
        <v>100</v>
      </c>
      <c r="AO42" s="13">
        <f t="shared" si="75"/>
        <v>0.43467787567426058</v>
      </c>
      <c r="AP42" s="13">
        <v>32.979477226759691</v>
      </c>
      <c r="AQ42" s="13">
        <f t="shared" si="76"/>
        <v>0.14335449101775558</v>
      </c>
      <c r="AR42" s="13">
        <f>'a28'!U42</f>
        <v>27.553047964354011</v>
      </c>
      <c r="AS42" s="13">
        <f t="shared" si="77"/>
        <v>0.11976700357496411</v>
      </c>
      <c r="AT42" s="13">
        <f t="shared" si="78"/>
        <v>230.0554171175211</v>
      </c>
      <c r="AU42" s="13">
        <f>'a28'!W42</f>
        <v>69.483722577534905</v>
      </c>
      <c r="AV42" s="13">
        <f t="shared" si="79"/>
        <v>0.3015045788345041</v>
      </c>
      <c r="AW42" s="13">
        <f t="shared" si="115"/>
        <v>100</v>
      </c>
      <c r="AX42" s="13">
        <f t="shared" si="80"/>
        <v>0.43392116549032572</v>
      </c>
      <c r="AY42" s="13">
        <v>33.552483912767102</v>
      </c>
      <c r="AZ42" s="13">
        <f t="shared" si="81"/>
        <v>0.14559132924523305</v>
      </c>
      <c r="BA42" s="13">
        <f>'a28'!Y42</f>
        <v>27.420401651873309</v>
      </c>
      <c r="BB42" s="13">
        <f t="shared" si="82"/>
        <v>0.1189829264299372</v>
      </c>
      <c r="BC42" s="13">
        <f t="shared" si="83"/>
        <v>230.4566081421753</v>
      </c>
      <c r="BD42" s="13">
        <f>'a28'!AA42</f>
        <v>68.727726561080701</v>
      </c>
      <c r="BE42" s="13">
        <f t="shared" si="84"/>
        <v>0.29874982490654661</v>
      </c>
      <c r="BF42" s="13">
        <f t="shared" si="116"/>
        <v>100</v>
      </c>
      <c r="BG42" s="13">
        <f t="shared" si="85"/>
        <v>0.43468602826697217</v>
      </c>
      <c r="BH42" s="13">
        <v>36.549028769839168</v>
      </c>
      <c r="BI42" s="13">
        <f t="shared" si="86"/>
        <v>0.15887352152976689</v>
      </c>
      <c r="BJ42" s="13">
        <f>'a28'!AC42</f>
        <v>24.77434706748237</v>
      </c>
      <c r="BK42" s="13">
        <f t="shared" si="87"/>
        <v>0.10769062529671421</v>
      </c>
      <c r="BL42" s="13">
        <f t="shared" si="88"/>
        <v>230.05110239840226</v>
      </c>
      <c r="BM42" s="13">
        <f>'a28'!AE42</f>
        <v>66.496473142541618</v>
      </c>
      <c r="BN42" s="13">
        <f t="shared" si="89"/>
        <v>0.29007895524948968</v>
      </c>
      <c r="BO42" s="13">
        <f t="shared" si="117"/>
        <v>100</v>
      </c>
      <c r="BP42" s="13">
        <f t="shared" si="90"/>
        <v>0.43623209102786159</v>
      </c>
      <c r="BQ42" s="13">
        <v>38.415996695575807</v>
      </c>
      <c r="BR42" s="13">
        <f t="shared" si="91"/>
        <v>0.16758290567430456</v>
      </c>
      <c r="BS42" s="13">
        <f>'a28'!AG42</f>
        <v>24.32330179981356</v>
      </c>
      <c r="BT42" s="13">
        <f t="shared" si="92"/>
        <v>0.10610604804834418</v>
      </c>
      <c r="BU42" s="13">
        <f t="shared" si="93"/>
        <v>229.23577163793098</v>
      </c>
      <c r="BV42" s="13">
        <f>'a28'!AI42</f>
        <v>65.240458891550119</v>
      </c>
      <c r="BW42" s="13">
        <f t="shared" si="94"/>
        <v>0.28926482359221323</v>
      </c>
      <c r="BX42" s="13">
        <f t="shared" si="118"/>
        <v>100</v>
      </c>
      <c r="BY42" s="13">
        <f t="shared" si="95"/>
        <v>0.44338257042774804</v>
      </c>
      <c r="BZ42" s="13">
        <v>36.505759668837769</v>
      </c>
      <c r="CA42" s="13">
        <f t="shared" si="96"/>
        <v>0.16186017557386906</v>
      </c>
      <c r="CB42" s="13">
        <f>'a28'!AK42</f>
        <v>23.79264261660018</v>
      </c>
      <c r="CC42" s="13">
        <f t="shared" si="97"/>
        <v>0.10549243040616969</v>
      </c>
      <c r="CD42" s="13">
        <f t="shared" si="98"/>
        <v>225.53886117698806</v>
      </c>
      <c r="CE42" s="13">
        <f>'a28'!AM42</f>
        <v>70.163739697006093</v>
      </c>
      <c r="CF42" s="13">
        <f t="shared" si="99"/>
        <v>0.30301678531888171</v>
      </c>
      <c r="CG42" s="13">
        <f t="shared" si="119"/>
        <v>100</v>
      </c>
      <c r="CH42" s="13">
        <f t="shared" si="100"/>
        <v>0.43187091598512889</v>
      </c>
      <c r="CI42" s="13">
        <v>37.474260727011831</v>
      </c>
      <c r="CJ42" s="13">
        <f t="shared" si="101"/>
        <v>0.16184043306040141</v>
      </c>
      <c r="CK42" s="13">
        <f>'a28'!AO42</f>
        <v>23.912669692057747</v>
      </c>
      <c r="CL42" s="13">
        <f t="shared" si="102"/>
        <v>0.10327186563558809</v>
      </c>
      <c r="CM42" s="13">
        <f t="shared" si="103"/>
        <v>231.55067011607565</v>
      </c>
      <c r="CN42" s="13">
        <f>'a28'!AQ42</f>
        <v>69.399495086843615</v>
      </c>
      <c r="CO42" s="13">
        <f t="shared" si="104"/>
        <v>0.30273523617014175</v>
      </c>
      <c r="CP42" s="13">
        <f t="shared" si="120"/>
        <v>100</v>
      </c>
      <c r="CQ42" s="13">
        <f t="shared" si="105"/>
        <v>0.43622109323895164</v>
      </c>
      <c r="CR42" s="13">
        <v>33.1506088884991</v>
      </c>
      <c r="CS42" s="13">
        <f t="shared" si="106"/>
        <v>0.14460994850877987</v>
      </c>
      <c r="CT42" s="13">
        <f>'a28'!AS42</f>
        <v>26.691447040674632</v>
      </c>
      <c r="CU42" s="13">
        <f t="shared" si="107"/>
        <v>0.11643372208212668</v>
      </c>
      <c r="CV42" s="13">
        <f t="shared" si="108"/>
        <v>229.24155101601735</v>
      </c>
    </row>
    <row r="43" spans="1:100" ht="15.75" customHeight="1">
      <c r="A43" s="1">
        <v>2005</v>
      </c>
      <c r="B43" s="13">
        <f>'a28'!C43</f>
        <v>69.240565319331623</v>
      </c>
      <c r="C43" s="13">
        <f t="shared" si="55"/>
        <v>0.30025623319239475</v>
      </c>
      <c r="D43" s="13">
        <f t="shared" si="109"/>
        <v>100</v>
      </c>
      <c r="E43" s="13">
        <f t="shared" si="56"/>
        <v>0.43364208799803761</v>
      </c>
      <c r="F43" s="13">
        <v>35.066785125756475</v>
      </c>
      <c r="G43" s="13">
        <f t="shared" si="57"/>
        <v>0.15206433921311566</v>
      </c>
      <c r="H43" s="13">
        <f>'a28'!E43</f>
        <v>26.297571834625106</v>
      </c>
      <c r="I43" s="13">
        <f t="shared" si="110"/>
        <v>0.11403733959645215</v>
      </c>
      <c r="J43" s="13">
        <f t="shared" si="58"/>
        <v>230.60492227971318</v>
      </c>
      <c r="K43" s="13">
        <f>'a28'!G43</f>
        <v>71.169582571063629</v>
      </c>
      <c r="L43" s="13">
        <f t="shared" si="59"/>
        <v>0.3050966690409852</v>
      </c>
      <c r="M43" s="13">
        <f t="shared" si="111"/>
        <v>100</v>
      </c>
      <c r="N43" s="13">
        <f t="shared" si="60"/>
        <v>0.42868969863121337</v>
      </c>
      <c r="O43" s="13">
        <v>32.640220773276098</v>
      </c>
      <c r="P43" s="13">
        <f t="shared" si="61"/>
        <v>0.13992526406552</v>
      </c>
      <c r="Q43" s="13">
        <f>'a28'!I43</f>
        <v>29.459156276792847</v>
      </c>
      <c r="R43" s="13">
        <f t="shared" si="62"/>
        <v>0.12628836826228143</v>
      </c>
      <c r="S43" s="13">
        <f t="shared" si="63"/>
        <v>233.26895962113258</v>
      </c>
      <c r="T43" s="13">
        <f>'a28'!K43</f>
        <v>68.008402448299591</v>
      </c>
      <c r="U43" s="13">
        <f t="shared" si="64"/>
        <v>0.29500779245576852</v>
      </c>
      <c r="V43" s="13">
        <f t="shared" si="112"/>
        <v>100</v>
      </c>
      <c r="W43" s="13">
        <f t="shared" si="65"/>
        <v>0.43378138852774151</v>
      </c>
      <c r="X43" s="13">
        <v>35.349961794353447</v>
      </c>
      <c r="Y43" s="13">
        <f t="shared" si="66"/>
        <v>0.15334155511557251</v>
      </c>
      <c r="Z43" s="13">
        <f>'a28'!M43</f>
        <v>27.172503712288581</v>
      </c>
      <c r="AA43" s="13">
        <f t="shared" si="67"/>
        <v>0.11786926390091751</v>
      </c>
      <c r="AB43" s="13">
        <f t="shared" si="68"/>
        <v>230.53086795494161</v>
      </c>
      <c r="AC43" s="13">
        <f>'a28'!O43</f>
        <v>69.405325068421149</v>
      </c>
      <c r="AD43" s="13">
        <f t="shared" si="69"/>
        <v>0.29963441376964461</v>
      </c>
      <c r="AE43" s="13">
        <f t="shared" si="113"/>
        <v>100</v>
      </c>
      <c r="AF43" s="13">
        <f t="shared" si="70"/>
        <v>0.43171675008258958</v>
      </c>
      <c r="AG43" s="13">
        <v>34.078286685476336</v>
      </c>
      <c r="AH43" s="13">
        <f t="shared" si="71"/>
        <v>0.14712167176236626</v>
      </c>
      <c r="AI43" s="13">
        <f>'a28'!Q43</f>
        <v>28.149745026606148</v>
      </c>
      <c r="AJ43" s="13">
        <f t="shared" si="72"/>
        <v>0.12152716438539946</v>
      </c>
      <c r="AK43" s="13">
        <f t="shared" si="73"/>
        <v>231.63335678050365</v>
      </c>
      <c r="AL43" s="13">
        <f>'a28'!S43</f>
        <v>69.605861276004063</v>
      </c>
      <c r="AM43" s="13">
        <f t="shared" si="74"/>
        <v>0.30112230902054132</v>
      </c>
      <c r="AN43" s="13">
        <f t="shared" si="114"/>
        <v>100</v>
      </c>
      <c r="AO43" s="13">
        <f t="shared" si="75"/>
        <v>0.43261056396747766</v>
      </c>
      <c r="AP43" s="13">
        <v>33.249143936915054</v>
      </c>
      <c r="AQ43" s="13">
        <f t="shared" si="76"/>
        <v>0.1438393090998466</v>
      </c>
      <c r="AR43" s="13">
        <f>'a28'!U43</f>
        <v>28.29977538905824</v>
      </c>
      <c r="AS43" s="13">
        <f t="shared" si="77"/>
        <v>0.12242781791213429</v>
      </c>
      <c r="AT43" s="13">
        <f t="shared" si="78"/>
        <v>231.15478060197739</v>
      </c>
      <c r="AU43" s="13">
        <f>'a28'!W43</f>
        <v>69.614138177037418</v>
      </c>
      <c r="AV43" s="13">
        <f t="shared" si="79"/>
        <v>0.30212972411036881</v>
      </c>
      <c r="AW43" s="13">
        <f t="shared" si="115"/>
        <v>100</v>
      </c>
      <c r="AX43" s="13">
        <f t="shared" si="80"/>
        <v>0.43400626944775972</v>
      </c>
      <c r="AY43" s="13">
        <v>32.813253186777963</v>
      </c>
      <c r="AZ43" s="13">
        <f t="shared" si="81"/>
        <v>0.14241157604038318</v>
      </c>
      <c r="BA43" s="13">
        <f>'a28'!Y43</f>
        <v>27.984026718329986</v>
      </c>
      <c r="BB43" s="13">
        <f t="shared" si="82"/>
        <v>0.12145243040148831</v>
      </c>
      <c r="BC43" s="13">
        <f t="shared" si="83"/>
        <v>230.41141808214536</v>
      </c>
      <c r="BD43" s="13">
        <f>'a28'!AA43</f>
        <v>68.981807848996851</v>
      </c>
      <c r="BE43" s="13">
        <f t="shared" si="84"/>
        <v>0.29896572683695755</v>
      </c>
      <c r="BF43" s="13">
        <f t="shared" si="116"/>
        <v>100</v>
      </c>
      <c r="BG43" s="13">
        <f t="shared" si="85"/>
        <v>0.43339792933725668</v>
      </c>
      <c r="BH43" s="13">
        <v>36.407973979303208</v>
      </c>
      <c r="BI43" s="13">
        <f t="shared" si="86"/>
        <v>0.15779140533994732</v>
      </c>
      <c r="BJ43" s="13">
        <f>'a28'!AC43</f>
        <v>25.345053829355198</v>
      </c>
      <c r="BK43" s="13">
        <f t="shared" si="87"/>
        <v>0.1098449384858385</v>
      </c>
      <c r="BL43" s="13">
        <f t="shared" si="88"/>
        <v>230.73483565765525</v>
      </c>
      <c r="BM43" s="13">
        <f>'a28'!AE43</f>
        <v>66.82019280302741</v>
      </c>
      <c r="BN43" s="13">
        <f t="shared" si="89"/>
        <v>0.29202800643586135</v>
      </c>
      <c r="BO43" s="13">
        <f t="shared" si="117"/>
        <v>100</v>
      </c>
      <c r="BP43" s="13">
        <f t="shared" si="90"/>
        <v>0.43703556393005571</v>
      </c>
      <c r="BQ43" s="13">
        <v>37.010538509186432</v>
      </c>
      <c r="BR43" s="13">
        <f t="shared" si="91"/>
        <v>0.16174921568717335</v>
      </c>
      <c r="BS43" s="13">
        <f>'a28'!AG43</f>
        <v>24.983599267080315</v>
      </c>
      <c r="BT43" s="13">
        <f t="shared" si="92"/>
        <v>0.10918721394690972</v>
      </c>
      <c r="BU43" s="13">
        <f t="shared" si="93"/>
        <v>228.81433057929414</v>
      </c>
      <c r="BV43" s="13">
        <f>'a28'!AI43</f>
        <v>65.584719483805515</v>
      </c>
      <c r="BW43" s="13">
        <f t="shared" si="94"/>
        <v>0.28851095260297593</v>
      </c>
      <c r="BX43" s="13">
        <f t="shared" si="118"/>
        <v>100</v>
      </c>
      <c r="BY43" s="13">
        <f t="shared" si="95"/>
        <v>0.4399057507202061</v>
      </c>
      <c r="BZ43" s="13">
        <v>37.22883569714444</v>
      </c>
      <c r="CA43" s="13">
        <f t="shared" si="96"/>
        <v>0.16377178915791532</v>
      </c>
      <c r="CB43" s="13">
        <f>'a28'!AK43</f>
        <v>24.507865001172529</v>
      </c>
      <c r="CC43" s="13">
        <f t="shared" si="97"/>
        <v>0.10781150751890267</v>
      </c>
      <c r="CD43" s="13">
        <f t="shared" si="98"/>
        <v>227.32142018212247</v>
      </c>
      <c r="CE43" s="13">
        <f>'a28'!AM43</f>
        <v>70.484678827283119</v>
      </c>
      <c r="CF43" s="13">
        <f t="shared" si="99"/>
        <v>0.30340584030592271</v>
      </c>
      <c r="CG43" s="13">
        <f t="shared" si="119"/>
        <v>100</v>
      </c>
      <c r="CH43" s="13">
        <f t="shared" si="100"/>
        <v>0.43045644153305096</v>
      </c>
      <c r="CI43" s="13">
        <v>37.388268971081317</v>
      </c>
      <c r="CJ43" s="13">
        <f t="shared" si="101"/>
        <v>0.16094021216372248</v>
      </c>
      <c r="CK43" s="13">
        <f>'a28'!AO43</f>
        <v>24.438594906989344</v>
      </c>
      <c r="CL43" s="13">
        <f t="shared" si="102"/>
        <v>0.10519750599730376</v>
      </c>
      <c r="CM43" s="13">
        <f t="shared" si="103"/>
        <v>232.31154270535379</v>
      </c>
      <c r="CN43" s="13">
        <f>'a28'!AQ43</f>
        <v>69.575804162611973</v>
      </c>
      <c r="CO43" s="13">
        <f t="shared" si="104"/>
        <v>0.30339023417264921</v>
      </c>
      <c r="CP43" s="13">
        <f t="shared" si="120"/>
        <v>100</v>
      </c>
      <c r="CQ43" s="13">
        <f t="shared" si="105"/>
        <v>0.43605710034420608</v>
      </c>
      <c r="CR43" s="13">
        <v>32.468904782337006</v>
      </c>
      <c r="CS43" s="13">
        <f t="shared" si="106"/>
        <v>0.14158296470737999</v>
      </c>
      <c r="CT43" s="13">
        <f>'a28'!AS43</f>
        <v>27.283055517695914</v>
      </c>
      <c r="CU43" s="13">
        <f t="shared" si="107"/>
        <v>0.11896970077576473</v>
      </c>
      <c r="CV43" s="13">
        <f t="shared" si="108"/>
        <v>229.32776446264489</v>
      </c>
    </row>
    <row r="44" spans="1:100" ht="15.75" customHeight="1">
      <c r="A44" s="1">
        <v>2006</v>
      </c>
      <c r="B44" s="13">
        <f>'a28'!C44</f>
        <v>69.374415713814997</v>
      </c>
      <c r="C44" s="13">
        <f t="shared" si="55"/>
        <v>0.30055885917518788</v>
      </c>
      <c r="D44" s="13">
        <f t="shared" si="109"/>
        <v>100</v>
      </c>
      <c r="E44" s="13">
        <f t="shared" si="56"/>
        <v>0.43324164403064741</v>
      </c>
      <c r="F44" s="13">
        <v>34.60746435945164</v>
      </c>
      <c r="G44" s="13">
        <f t="shared" si="57"/>
        <v>0.14993394754820866</v>
      </c>
      <c r="H44" s="13">
        <f>'a28'!E44</f>
        <v>26.836189652565256</v>
      </c>
      <c r="I44" s="13">
        <f t="shared" si="110"/>
        <v>0.1162655492459562</v>
      </c>
      <c r="J44" s="13">
        <f t="shared" si="58"/>
        <v>230.81806972583186</v>
      </c>
      <c r="K44" s="13">
        <f>'a28'!G44</f>
        <v>71.114982373562896</v>
      </c>
      <c r="L44" s="13">
        <f t="shared" si="59"/>
        <v>0.30405045993759711</v>
      </c>
      <c r="M44" s="13">
        <f t="shared" si="111"/>
        <v>100</v>
      </c>
      <c r="N44" s="13">
        <f t="shared" si="60"/>
        <v>0.42754768375029267</v>
      </c>
      <c r="O44" s="13">
        <v>32.52895510919717</v>
      </c>
      <c r="P44" s="13">
        <f t="shared" si="61"/>
        <v>0.13907679411754501</v>
      </c>
      <c r="Q44" s="13">
        <f>'a28'!I44</f>
        <v>30.248102635049467</v>
      </c>
      <c r="R44" s="13">
        <f t="shared" si="62"/>
        <v>0.12932506219456524</v>
      </c>
      <c r="S44" s="13">
        <f t="shared" si="63"/>
        <v>233.89204011780953</v>
      </c>
      <c r="T44" s="13">
        <f>'a28'!K44</f>
        <v>68.130075406032489</v>
      </c>
      <c r="U44" s="13">
        <f t="shared" si="64"/>
        <v>0.29353620983950163</v>
      </c>
      <c r="V44" s="13">
        <f t="shared" si="112"/>
        <v>100</v>
      </c>
      <c r="W44" s="13">
        <f t="shared" si="65"/>
        <v>0.43084674145760715</v>
      </c>
      <c r="X44" s="13">
        <v>36.072236601718025</v>
      </c>
      <c r="Y44" s="13">
        <f t="shared" si="66"/>
        <v>0.15541605596938041</v>
      </c>
      <c r="Z44" s="13">
        <f>'a28'!M44</f>
        <v>27.898781902552205</v>
      </c>
      <c r="AA44" s="13">
        <f t="shared" si="67"/>
        <v>0.1202009927335108</v>
      </c>
      <c r="AB44" s="13">
        <f t="shared" si="68"/>
        <v>232.10109391030272</v>
      </c>
      <c r="AC44" s="13">
        <f>'a28'!O44</f>
        <v>69.519941152013303</v>
      </c>
      <c r="AD44" s="13">
        <f t="shared" si="69"/>
        <v>0.3003210460043223</v>
      </c>
      <c r="AE44" s="13">
        <f t="shared" si="113"/>
        <v>100</v>
      </c>
      <c r="AF44" s="13">
        <f t="shared" si="70"/>
        <v>0.43199266430280192</v>
      </c>
      <c r="AG44" s="13">
        <v>33.092751225417729</v>
      </c>
      <c r="AH44" s="13">
        <f t="shared" si="71"/>
        <v>0.14295825770978018</v>
      </c>
      <c r="AI44" s="13">
        <f>'a28'!Q44</f>
        <v>28.872719907037236</v>
      </c>
      <c r="AJ44" s="13">
        <f t="shared" si="72"/>
        <v>0.12472803198309564</v>
      </c>
      <c r="AK44" s="13">
        <f t="shared" si="73"/>
        <v>231.48541228446825</v>
      </c>
      <c r="AL44" s="13">
        <f>'a28'!S44</f>
        <v>69.570482543309808</v>
      </c>
      <c r="AM44" s="13">
        <f t="shared" si="74"/>
        <v>0.30084680647957052</v>
      </c>
      <c r="AN44" s="13">
        <f t="shared" si="114"/>
        <v>100</v>
      </c>
      <c r="AO44" s="13">
        <f t="shared" si="75"/>
        <v>0.43243455483046844</v>
      </c>
      <c r="AP44" s="13">
        <v>32.702583401012951</v>
      </c>
      <c r="AQ44" s="13">
        <f t="shared" si="76"/>
        <v>0.14141727094823303</v>
      </c>
      <c r="AR44" s="13">
        <f>'a28'!U44</f>
        <v>28.975799075735509</v>
      </c>
      <c r="AS44" s="13">
        <f t="shared" si="77"/>
        <v>0.12530136774172784</v>
      </c>
      <c r="AT44" s="13">
        <f t="shared" si="78"/>
        <v>231.2488650200583</v>
      </c>
      <c r="AU44" s="13">
        <f>'a28'!W44</f>
        <v>69.663654260627467</v>
      </c>
      <c r="AV44" s="13">
        <f t="shared" si="79"/>
        <v>0.30159773082549324</v>
      </c>
      <c r="AW44" s="13">
        <f t="shared" si="115"/>
        <v>100</v>
      </c>
      <c r="AX44" s="13">
        <f t="shared" si="80"/>
        <v>0.43293412329067327</v>
      </c>
      <c r="AY44" s="13">
        <v>32.86135326445018</v>
      </c>
      <c r="AZ44" s="13">
        <f t="shared" si="81"/>
        <v>0.14226801165689842</v>
      </c>
      <c r="BA44" s="13">
        <f>'a28'!Y44</f>
        <v>28.457016344774956</v>
      </c>
      <c r="BB44" s="13">
        <f t="shared" si="82"/>
        <v>0.12320013422693504</v>
      </c>
      <c r="BC44" s="13">
        <f t="shared" si="83"/>
        <v>230.98202386985261</v>
      </c>
      <c r="BD44" s="13">
        <f>'a28'!AA44</f>
        <v>69.145367209075843</v>
      </c>
      <c r="BE44" s="13">
        <f t="shared" si="84"/>
        <v>0.29923148697854118</v>
      </c>
      <c r="BF44" s="13">
        <f t="shared" si="116"/>
        <v>100</v>
      </c>
      <c r="BG44" s="13">
        <f t="shared" si="85"/>
        <v>0.43275710153328223</v>
      </c>
      <c r="BH44" s="13">
        <v>36.001048146259606</v>
      </c>
      <c r="BI44" s="13">
        <f t="shared" si="86"/>
        <v>0.1557970924793545</v>
      </c>
      <c r="BJ44" s="13">
        <f>'a28'!AC44</f>
        <v>25.93009302706772</v>
      </c>
      <c r="BK44" s="13">
        <f t="shared" si="87"/>
        <v>0.11221431900882198</v>
      </c>
      <c r="BL44" s="13">
        <f t="shared" si="88"/>
        <v>231.0765083824032</v>
      </c>
      <c r="BM44" s="13">
        <f>'a28'!AE44</f>
        <v>67.01817773352218</v>
      </c>
      <c r="BN44" s="13">
        <f t="shared" si="89"/>
        <v>0.29218542388553181</v>
      </c>
      <c r="BO44" s="13">
        <f t="shared" si="117"/>
        <v>100</v>
      </c>
      <c r="BP44" s="13">
        <f t="shared" si="90"/>
        <v>0.43597936226693618</v>
      </c>
      <c r="BQ44" s="13">
        <v>36.785606234886458</v>
      </c>
      <c r="BR44" s="13">
        <f t="shared" si="91"/>
        <v>0.1603776514688843</v>
      </c>
      <c r="BS44" s="13">
        <f>'a28'!AG44</f>
        <v>25.564871190027965</v>
      </c>
      <c r="BT44" s="13">
        <f t="shared" si="92"/>
        <v>0.11145756237864762</v>
      </c>
      <c r="BU44" s="13">
        <f t="shared" si="93"/>
        <v>229.36865515843661</v>
      </c>
      <c r="BV44" s="13">
        <f>'a28'!AI44</f>
        <v>65.797351535395848</v>
      </c>
      <c r="BW44" s="13">
        <f t="shared" si="94"/>
        <v>0.29020924732240549</v>
      </c>
      <c r="BX44" s="13">
        <f t="shared" si="118"/>
        <v>100</v>
      </c>
      <c r="BY44" s="13">
        <f t="shared" si="95"/>
        <v>0.44106524130577918</v>
      </c>
      <c r="BZ44" s="13">
        <v>35.816762346899246</v>
      </c>
      <c r="CA44" s="13">
        <f t="shared" si="96"/>
        <v>0.15797528927326859</v>
      </c>
      <c r="CB44" s="13">
        <f>'a28'!AK44</f>
        <v>25.109714329487705</v>
      </c>
      <c r="CC44" s="13">
        <f t="shared" si="97"/>
        <v>0.11075022209854675</v>
      </c>
      <c r="CD44" s="13">
        <f t="shared" si="98"/>
        <v>226.7238282117828</v>
      </c>
      <c r="CE44" s="13">
        <f>'a28'!AM44</f>
        <v>70.749839313257453</v>
      </c>
      <c r="CF44" s="13">
        <f t="shared" si="99"/>
        <v>0.30484402048032</v>
      </c>
      <c r="CG44" s="13">
        <f t="shared" si="119"/>
        <v>100</v>
      </c>
      <c r="CH44" s="13">
        <f t="shared" si="100"/>
        <v>0.43087591920960988</v>
      </c>
      <c r="CI44" s="13">
        <v>36.479936189014701</v>
      </c>
      <c r="CJ44" s="13">
        <f t="shared" si="101"/>
        <v>0.15718326038149621</v>
      </c>
      <c r="CK44" s="13">
        <f>'a28'!AO44</f>
        <v>24.855601149637284</v>
      </c>
      <c r="CL44" s="13">
        <f t="shared" si="102"/>
        <v>0.107096799928574</v>
      </c>
      <c r="CM44" s="13">
        <f t="shared" si="103"/>
        <v>232.08537665190943</v>
      </c>
      <c r="CN44" s="13">
        <f>'a28'!AQ44</f>
        <v>69.65312307061491</v>
      </c>
      <c r="CO44" s="13">
        <f t="shared" si="104"/>
        <v>0.3031428203949954</v>
      </c>
      <c r="CP44" s="13">
        <f t="shared" si="120"/>
        <v>100</v>
      </c>
      <c r="CQ44" s="13">
        <f t="shared" si="105"/>
        <v>0.43521784383977546</v>
      </c>
      <c r="CR44" s="13">
        <v>32.305680063114302</v>
      </c>
      <c r="CS44" s="13">
        <f t="shared" si="106"/>
        <v>0.14060008420846226</v>
      </c>
      <c r="CT44" s="13">
        <f>'a28'!AS44</f>
        <v>27.81118772357302</v>
      </c>
      <c r="CU44" s="13">
        <f t="shared" si="107"/>
        <v>0.12103925155676683</v>
      </c>
      <c r="CV44" s="13">
        <f t="shared" si="108"/>
        <v>229.76999085730225</v>
      </c>
    </row>
    <row r="45" spans="1:100" ht="15.75" customHeight="1">
      <c r="A45" s="1">
        <v>2007</v>
      </c>
      <c r="B45" s="13">
        <f>'a28'!C45</f>
        <v>69.474984810839487</v>
      </c>
      <c r="C45" s="13">
        <f t="shared" si="55"/>
        <v>0.30086265579733618</v>
      </c>
      <c r="D45" s="13">
        <f t="shared" si="109"/>
        <v>100</v>
      </c>
      <c r="E45" s="13">
        <f t="shared" si="56"/>
        <v>0.43305177628537683</v>
      </c>
      <c r="F45" s="13">
        <f>F44*POWER(J68/J67, 1)</f>
        <v>34.14663585942408</v>
      </c>
      <c r="G45" s="13">
        <f t="shared" si="57"/>
        <v>0.14787261313093544</v>
      </c>
      <c r="H45" s="13">
        <f>'a28'!E45</f>
        <v>27.297649209606405</v>
      </c>
      <c r="I45" s="13">
        <f t="shared" si="110"/>
        <v>0.11821295478635167</v>
      </c>
      <c r="J45" s="13">
        <f t="shared" si="58"/>
        <v>230.91926987986994</v>
      </c>
      <c r="K45" s="13">
        <f>'a28'!G45</f>
        <v>70.870632470935803</v>
      </c>
      <c r="L45" s="13">
        <f t="shared" si="59"/>
        <v>0.30282633680496612</v>
      </c>
      <c r="M45" s="13">
        <f t="shared" si="111"/>
        <v>100</v>
      </c>
      <c r="N45" s="13">
        <f t="shared" si="60"/>
        <v>0.42729453124205691</v>
      </c>
      <c r="O45" s="13">
        <f>O44*POWER(S68/S67, 1)</f>
        <v>32.230180364231479</v>
      </c>
      <c r="P45" s="13">
        <f t="shared" si="61"/>
        <v>0.13771779810581236</v>
      </c>
      <c r="Q45" s="13">
        <f>'a28'!I45</f>
        <v>30.929797641687351</v>
      </c>
      <c r="R45" s="13">
        <f t="shared" si="62"/>
        <v>0.13216133384716475</v>
      </c>
      <c r="S45" s="13">
        <f t="shared" si="63"/>
        <v>234.0306104768546</v>
      </c>
      <c r="T45" s="13">
        <f>'a28'!K45</f>
        <v>68.169743994325458</v>
      </c>
      <c r="U45" s="13">
        <f t="shared" si="64"/>
        <v>0.29373436859589458</v>
      </c>
      <c r="V45" s="13">
        <f t="shared" si="112"/>
        <v>100</v>
      </c>
      <c r="W45" s="13">
        <f t="shared" si="65"/>
        <v>0.43088671217592578</v>
      </c>
      <c r="X45" s="13">
        <f>X44*POWER(AB68/AB67, 1)</f>
        <v>35.34531848463542</v>
      </c>
      <c r="Y45" s="13">
        <f t="shared" si="66"/>
        <v>0.15229828072655532</v>
      </c>
      <c r="Z45" s="13">
        <f>'a28'!M45</f>
        <v>28.56450083598121</v>
      </c>
      <c r="AA45" s="13">
        <f t="shared" si="67"/>
        <v>0.12308063850162426</v>
      </c>
      <c r="AB45" s="13">
        <f t="shared" si="68"/>
        <v>232.07956331494211</v>
      </c>
      <c r="AC45" s="13">
        <f>'a28'!O45</f>
        <v>69.460693272237265</v>
      </c>
      <c r="AD45" s="13">
        <f t="shared" si="69"/>
        <v>0.30002659986170666</v>
      </c>
      <c r="AE45" s="13">
        <f t="shared" si="113"/>
        <v>100</v>
      </c>
      <c r="AF45" s="13">
        <f t="shared" si="70"/>
        <v>0.43193723777822446</v>
      </c>
      <c r="AG45" s="13">
        <f>AG44*POWER(AK68/AK67, 1)</f>
        <v>32.526450364797697</v>
      </c>
      <c r="AH45" s="13">
        <f t="shared" si="71"/>
        <v>0.14049385125301239</v>
      </c>
      <c r="AI45" s="13">
        <f>'a28'!Q45</f>
        <v>29.527973036800837</v>
      </c>
      <c r="AJ45" s="13">
        <f t="shared" si="72"/>
        <v>0.12754231110705644</v>
      </c>
      <c r="AK45" s="13">
        <f t="shared" si="73"/>
        <v>231.51511667383582</v>
      </c>
      <c r="AL45" s="13">
        <f>'a28'!S45</f>
        <v>69.462854536796712</v>
      </c>
      <c r="AM45" s="13">
        <f t="shared" si="74"/>
        <v>0.30031084090807886</v>
      </c>
      <c r="AN45" s="13">
        <f t="shared" si="114"/>
        <v>100</v>
      </c>
      <c r="AO45" s="13">
        <f t="shared" si="75"/>
        <v>0.43233299712581569</v>
      </c>
      <c r="AP45" s="13">
        <f>AP44*POWER(AT68/AT67, 1)</f>
        <v>32.288680063519287</v>
      </c>
      <c r="AQ45" s="13">
        <f t="shared" si="76"/>
        <v>0.13959461825097866</v>
      </c>
      <c r="AR45" s="13">
        <f>'a28'!U45</f>
        <v>29.551652213570485</v>
      </c>
      <c r="AS45" s="13">
        <f t="shared" si="77"/>
        <v>0.12776154371512674</v>
      </c>
      <c r="AT45" s="13">
        <f t="shared" si="78"/>
        <v>231.3031868138865</v>
      </c>
      <c r="AU45" s="13">
        <f>'a28'!W45</f>
        <v>69.639292647223911</v>
      </c>
      <c r="AV45" s="13">
        <f t="shared" si="79"/>
        <v>0.30154976176711135</v>
      </c>
      <c r="AW45" s="13">
        <f t="shared" si="115"/>
        <v>100</v>
      </c>
      <c r="AX45" s="13">
        <f t="shared" si="80"/>
        <v>0.43301669259435288</v>
      </c>
      <c r="AY45" s="13">
        <f>AY44*POWER(BC68/BC67, 1)</f>
        <v>32.463627122604791</v>
      </c>
      <c r="AZ45" s="13">
        <f t="shared" si="81"/>
        <v>0.14057292446246655</v>
      </c>
      <c r="BA45" s="13">
        <f>'a28'!Y45</f>
        <v>28.835059551165585</v>
      </c>
      <c r="BB45" s="13">
        <f t="shared" si="82"/>
        <v>0.12486062117606926</v>
      </c>
      <c r="BC45" s="13">
        <f t="shared" si="83"/>
        <v>230.93797932099429</v>
      </c>
      <c r="BD45" s="13">
        <f>'a28'!AA45</f>
        <v>69.28209683202536</v>
      </c>
      <c r="BE45" s="13">
        <f t="shared" si="84"/>
        <v>0.29956004544599663</v>
      </c>
      <c r="BF45" s="13">
        <f t="shared" si="116"/>
        <v>100</v>
      </c>
      <c r="BG45" s="13">
        <f t="shared" si="85"/>
        <v>0.4323772794756498</v>
      </c>
      <c r="BH45" s="13">
        <f>BH44*POWER(BL68/BL67, 1)</f>
        <v>35.527615203053436</v>
      </c>
      <c r="BI45" s="13">
        <f t="shared" si="86"/>
        <v>0.1536133360775398</v>
      </c>
      <c r="BJ45" s="13">
        <f>'a28'!AC45</f>
        <v>26.469785632493931</v>
      </c>
      <c r="BK45" s="13">
        <f t="shared" si="87"/>
        <v>0.11444933900081368</v>
      </c>
      <c r="BL45" s="13">
        <f t="shared" si="88"/>
        <v>231.27949766757274</v>
      </c>
      <c r="BM45" s="13">
        <f>'a28'!AE45</f>
        <v>67.174029247007681</v>
      </c>
      <c r="BN45" s="13">
        <f t="shared" si="89"/>
        <v>0.29247552266128951</v>
      </c>
      <c r="BO45" s="13">
        <f t="shared" si="117"/>
        <v>100</v>
      </c>
      <c r="BP45" s="13">
        <f t="shared" si="90"/>
        <v>0.43539970125332045</v>
      </c>
      <c r="BQ45" s="13">
        <f>BQ44*POWER(BU68/BU67, 1)</f>
        <v>36.495390088254894</v>
      </c>
      <c r="BR45" s="13">
        <f t="shared" si="91"/>
        <v>0.15890081941549572</v>
      </c>
      <c r="BS45" s="13">
        <f>'a28'!AG45</f>
        <v>26.004601368345735</v>
      </c>
      <c r="BT45" s="13">
        <f t="shared" si="92"/>
        <v>0.11322395666989421</v>
      </c>
      <c r="BU45" s="13">
        <f t="shared" si="93"/>
        <v>229.67402070360833</v>
      </c>
      <c r="BV45" s="13">
        <f>'a28'!AI45</f>
        <v>65.965546854458395</v>
      </c>
      <c r="BW45" s="13">
        <f t="shared" si="94"/>
        <v>0.29049326303016604</v>
      </c>
      <c r="BX45" s="13">
        <f t="shared" si="118"/>
        <v>100</v>
      </c>
      <c r="BY45" s="13">
        <f t="shared" si="95"/>
        <v>0.44037118902552169</v>
      </c>
      <c r="BZ45" s="13">
        <f>BZ44*POWER(CD68/CD67, 1)</f>
        <v>35.525288871970645</v>
      </c>
      <c r="CA45" s="13">
        <f t="shared" si="96"/>
        <v>0.15644313701024848</v>
      </c>
      <c r="CB45" s="13">
        <f>'a28'!AK45</f>
        <v>25.590323286915261</v>
      </c>
      <c r="CC45" s="13">
        <f t="shared" si="97"/>
        <v>0.11269241093406369</v>
      </c>
      <c r="CD45" s="13">
        <f t="shared" si="98"/>
        <v>227.08115901334432</v>
      </c>
      <c r="CE45" s="13">
        <f>'a28'!AM45</f>
        <v>71.051652422601364</v>
      </c>
      <c r="CF45" s="13">
        <f t="shared" si="99"/>
        <v>0.30615488167220783</v>
      </c>
      <c r="CG45" s="13">
        <f t="shared" si="119"/>
        <v>100</v>
      </c>
      <c r="CH45" s="13">
        <f t="shared" si="100"/>
        <v>0.43089058626146842</v>
      </c>
      <c r="CI45" s="13">
        <f>CI44*POWER(CM68/CM67, 1)</f>
        <v>35.807722273621586</v>
      </c>
      <c r="CJ45" s="13">
        <f t="shared" si="101"/>
        <v>0.15429210443168648</v>
      </c>
      <c r="CK45" s="13">
        <f>'a28'!AO45</f>
        <v>25.21810201922116</v>
      </c>
      <c r="CL45" s="13">
        <f t="shared" si="102"/>
        <v>0.10866242763463727</v>
      </c>
      <c r="CM45" s="13">
        <f t="shared" si="103"/>
        <v>232.07747671544411</v>
      </c>
      <c r="CN45" s="13">
        <f>'a28'!AQ45</f>
        <v>69.766003222548932</v>
      </c>
      <c r="CO45" s="13">
        <f t="shared" si="104"/>
        <v>0.30357650246968571</v>
      </c>
      <c r="CP45" s="13">
        <f t="shared" si="120"/>
        <v>100</v>
      </c>
      <c r="CQ45" s="13">
        <f t="shared" si="105"/>
        <v>0.43513529290376113</v>
      </c>
      <c r="CR45" s="13">
        <f>CR44*POWER(CV68/CV67, 1)</f>
        <v>31.829994738269257</v>
      </c>
      <c r="CS45" s="13">
        <f t="shared" si="106"/>
        <v>0.13850354083561969</v>
      </c>
      <c r="CT45" s="13">
        <f>'a28'!AS45</f>
        <v>28.217583311057648</v>
      </c>
      <c r="CU45" s="13">
        <f t="shared" si="107"/>
        <v>0.12278466379093352</v>
      </c>
      <c r="CV45" s="13">
        <f t="shared" si="108"/>
        <v>229.81358127187582</v>
      </c>
    </row>
    <row r="46" spans="1:100" ht="15.75" customHeight="1">
      <c r="A46" s="1">
        <v>2008</v>
      </c>
      <c r="B46" s="13">
        <f>'a28'!C46</f>
        <v>69.493284543127302</v>
      </c>
      <c r="C46" s="13">
        <f t="shared" si="55"/>
        <v>0.30092600463035424</v>
      </c>
      <c r="D46" s="13">
        <f t="shared" si="109"/>
        <v>100</v>
      </c>
      <c r="E46" s="13">
        <f t="shared" si="56"/>
        <v>0.43302889856012</v>
      </c>
      <c r="F46" s="13">
        <f>F45*POWER(J69/J68, 1)</f>
        <v>33.720744207048881</v>
      </c>
      <c r="G46" s="13">
        <f t="shared" si="57"/>
        <v>0.14602056722605924</v>
      </c>
      <c r="H46" s="13">
        <f>'a28'!E46</f>
        <v>27.717441025891006</v>
      </c>
      <c r="I46" s="13">
        <f>H46/J46</f>
        <v>0.12002452958346664</v>
      </c>
      <c r="J46" s="13">
        <f t="shared" si="58"/>
        <v>230.93146977606716</v>
      </c>
      <c r="K46" s="13">
        <f>'a28'!G46</f>
        <v>70.586910526222212</v>
      </c>
      <c r="L46" s="13">
        <f t="shared" si="59"/>
        <v>0.30183693595727529</v>
      </c>
      <c r="M46" s="13">
        <f t="shared" si="111"/>
        <v>100</v>
      </c>
      <c r="N46" s="13">
        <f t="shared" si="60"/>
        <v>0.42761035113605994</v>
      </c>
      <c r="O46" s="13">
        <f>O45*POWER(S69/S68, 1)</f>
        <v>31.894282311179285</v>
      </c>
      <c r="P46" s="13">
        <f t="shared" si="61"/>
        <v>0.13638325258316</v>
      </c>
      <c r="Q46" s="13">
        <f>'a28'!I46</f>
        <v>31.376569806378203</v>
      </c>
      <c r="R46" s="13">
        <f t="shared" si="62"/>
        <v>0.1341694603235048</v>
      </c>
      <c r="S46" s="13">
        <f>K46+M46+O46+Q46</f>
        <v>233.85776264377969</v>
      </c>
      <c r="T46" s="13">
        <f>'a28'!K46</f>
        <v>68.21813751836325</v>
      </c>
      <c r="U46" s="13">
        <f t="shared" si="64"/>
        <v>0.29370526852652246</v>
      </c>
      <c r="V46" s="13">
        <f t="shared" si="112"/>
        <v>100</v>
      </c>
      <c r="W46" s="13">
        <f t="shared" si="65"/>
        <v>0.4305383864334637</v>
      </c>
      <c r="X46" s="13">
        <f>X45*POWER(AB69/AB68, 1)</f>
        <v>34.88941979539068</v>
      </c>
      <c r="Y46" s="13">
        <f t="shared" si="66"/>
        <v>0.15021234502307251</v>
      </c>
      <c r="Z46" s="13">
        <f>'a28'!M46</f>
        <v>29.159769250062705</v>
      </c>
      <c r="AA46" s="13">
        <f t="shared" si="67"/>
        <v>0.1255440000169413</v>
      </c>
      <c r="AB46" s="13">
        <f>T46+V46+X46+Z46</f>
        <v>232.26732656381665</v>
      </c>
      <c r="AC46" s="13">
        <f>'a28'!O46</f>
        <v>69.360450158368891</v>
      </c>
      <c r="AD46" s="13">
        <f t="shared" si="69"/>
        <v>0.29960656830422933</v>
      </c>
      <c r="AE46" s="13">
        <f t="shared" si="113"/>
        <v>100</v>
      </c>
      <c r="AF46" s="13">
        <f t="shared" si="70"/>
        <v>0.43195591669336858</v>
      </c>
      <c r="AG46" s="13">
        <f>AG45*POWER(AK69/AK68, 1)</f>
        <v>32.074422029688641</v>
      </c>
      <c r="AH46" s="13">
        <f t="shared" si="71"/>
        <v>0.13854736370244131</v>
      </c>
      <c r="AI46" s="13">
        <f>'a28'!Q46</f>
        <v>30.070233160428167</v>
      </c>
      <c r="AJ46" s="13">
        <f t="shared" si="72"/>
        <v>0.12989015129996079</v>
      </c>
      <c r="AK46" s="13">
        <f t="shared" si="73"/>
        <v>231.5051053484857</v>
      </c>
      <c r="AL46" s="13">
        <f>'a28'!S46</f>
        <v>69.359701808269364</v>
      </c>
      <c r="AM46" s="13">
        <f t="shared" si="74"/>
        <v>0.29986399423756177</v>
      </c>
      <c r="AN46" s="13">
        <f t="shared" si="114"/>
        <v>100</v>
      </c>
      <c r="AO46" s="13">
        <f t="shared" si="75"/>
        <v>0.43233172349338256</v>
      </c>
      <c r="AP46" s="13">
        <f>AP45*POWER(AT69/AT68, 1)</f>
        <v>31.866592651106892</v>
      </c>
      <c r="AQ46" s="13">
        <f t="shared" si="76"/>
        <v>0.13776938922714602</v>
      </c>
      <c r="AR46" s="13">
        <f>'a28'!U46</f>
        <v>30.077573764697373</v>
      </c>
      <c r="AS46" s="13">
        <f t="shared" si="77"/>
        <v>0.13003489304190963</v>
      </c>
      <c r="AT46" s="13">
        <f t="shared" si="78"/>
        <v>231.30386822407363</v>
      </c>
      <c r="AU46" s="13">
        <f>'a28'!W46</f>
        <v>69.500119463338677</v>
      </c>
      <c r="AV46" s="13">
        <f t="shared" ref="AV46" si="121">AU46/BC46</f>
        <v>0.30120504268744758</v>
      </c>
      <c r="AW46" s="13">
        <f t="shared" si="115"/>
        <v>100</v>
      </c>
      <c r="AX46" s="13">
        <f t="shared" ref="AX46" si="122">AW46/BC46</f>
        <v>0.43338780568043955</v>
      </c>
      <c r="AY46" s="13">
        <f>AY45*POWER(BC69/BC68, 1)</f>
        <v>32.091464202141609</v>
      </c>
      <c r="AZ46" s="13">
        <f t="shared" ref="AZ46" si="123">AY46/BC46</f>
        <v>0.1390804925163853</v>
      </c>
      <c r="BA46" s="13">
        <f>'a28'!Y46</f>
        <v>29.148641807627385</v>
      </c>
      <c r="BB46" s="13">
        <f t="shared" ref="BB46" si="124">BA46/BC46</f>
        <v>0.12632665911572755</v>
      </c>
      <c r="BC46" s="13">
        <f t="shared" ref="BC46" si="125">AU46+AW46+AY46+BA46</f>
        <v>230.74022547310767</v>
      </c>
      <c r="BD46" s="13">
        <f>'a28'!AA46</f>
        <v>69.347757788117619</v>
      </c>
      <c r="BE46" s="13">
        <f t="shared" ref="BE46" si="126">BD46/BL46</f>
        <v>0.29969622706212296</v>
      </c>
      <c r="BF46" s="13">
        <f t="shared" si="116"/>
        <v>100</v>
      </c>
      <c r="BG46" s="13">
        <f t="shared" ref="BG46" si="127">BF46/BL46</f>
        <v>0.43216426402393993</v>
      </c>
      <c r="BH46" s="13">
        <f>BH45*POWER(BL69/BL68, 1)</f>
        <v>35.043760375258444</v>
      </c>
      <c r="BI46" s="13">
        <f t="shared" ref="BI46" si="128">BH46/BL46</f>
        <v>0.15144660911204874</v>
      </c>
      <c r="BJ46" s="13">
        <f>'a28'!AC46</f>
        <v>27.001978070871708</v>
      </c>
      <c r="BK46" s="13">
        <f t="shared" ref="BK46" si="129">BJ46/BL46</f>
        <v>0.11669289980188836</v>
      </c>
      <c r="BL46" s="13">
        <f t="shared" ref="BL46" si="130">BD46+BF46+BH46+BJ46</f>
        <v>231.39349623424778</v>
      </c>
      <c r="BM46" s="13">
        <f>'a28'!AE46</f>
        <v>67.234306940507679</v>
      </c>
      <c r="BN46" s="13">
        <f t="shared" ref="BN46" si="131">BM46/BU46</f>
        <v>0.29255947267143911</v>
      </c>
      <c r="BO46" s="13">
        <f t="shared" si="117"/>
        <v>100</v>
      </c>
      <c r="BP46" s="13">
        <f t="shared" ref="BP46" si="132">BO46/BU46</f>
        <v>0.43513421344598757</v>
      </c>
      <c r="BQ46" s="13">
        <f>BQ45*POWER(BU69/BU68, 1)</f>
        <v>36.240605757170499</v>
      </c>
      <c r="BR46" s="13">
        <f t="shared" ref="BR46" si="133">BQ46/BU46</f>
        <v>0.15769527480952514</v>
      </c>
      <c r="BS46" s="13">
        <f>'a28'!AG46</f>
        <v>26.339238683486005</v>
      </c>
      <c r="BT46" s="13">
        <f t="shared" ref="BT46" si="134">BS46/BU46</f>
        <v>0.11461103907304813</v>
      </c>
      <c r="BU46" s="13">
        <f t="shared" ref="BU46" si="135">BM46+BO46+BQ46+BS46</f>
        <v>229.81415138116418</v>
      </c>
      <c r="BV46" s="13">
        <f>'a28'!AI46</f>
        <v>66.124806666456237</v>
      </c>
      <c r="BW46" s="13">
        <f t="shared" ref="BW46" si="136">BV46/CD46</f>
        <v>0.29080978659826945</v>
      </c>
      <c r="BX46" s="13">
        <f t="shared" si="118"/>
        <v>100</v>
      </c>
      <c r="BY46" s="13">
        <f t="shared" ref="BY46" si="137">BX46/CD46</f>
        <v>0.43978924288604582</v>
      </c>
      <c r="BZ46" s="13">
        <f>BZ45*POWER(CD69/CD68, 1)</f>
        <v>35.25495287828614</v>
      </c>
      <c r="CA46" s="13">
        <f t="shared" ref="CA46" si="138">BZ46/CD46</f>
        <v>0.15504749034324683</v>
      </c>
      <c r="CB46" s="13">
        <f>'a28'!AK46</f>
        <v>26.001882042864811</v>
      </c>
      <c r="CC46" s="13">
        <f t="shared" ref="CC46" si="139">CB46/CD46</f>
        <v>0.11435348017243786</v>
      </c>
      <c r="CD46" s="13">
        <f>BV46+BX46+BZ46+CB46</f>
        <v>227.38164158760719</v>
      </c>
      <c r="CE46" s="13">
        <f>'a28'!AM46</f>
        <v>71.181444738264361</v>
      </c>
      <c r="CF46" s="13">
        <f t="shared" ref="CF46" si="140">CE46/CM46</f>
        <v>0.30669028591491143</v>
      </c>
      <c r="CG46" s="13">
        <f t="shared" si="119"/>
        <v>100</v>
      </c>
      <c r="CH46" s="13">
        <f t="shared" ref="CH46" si="141">CG46/CM46</f>
        <v>0.43085706821857567</v>
      </c>
      <c r="CI46" s="13">
        <f>CI45*POWER(CM69/CM68, 1)</f>
        <v>35.386595582631941</v>
      </c>
      <c r="CJ46" s="13">
        <f t="shared" ref="CJ46" si="142">CI46/CM46</f>
        <v>0.152465648269692</v>
      </c>
      <c r="CK46" s="13">
        <f>'a28'!AO46</f>
        <v>25.527490601830877</v>
      </c>
      <c r="CL46" s="13">
        <f t="shared" ref="CL46" si="143">CK46/CM46</f>
        <v>0.10998699759682096</v>
      </c>
      <c r="CM46" s="13">
        <f t="shared" ref="CM46" si="144">CE46+CG46+CI46+CK46</f>
        <v>232.09553092272716</v>
      </c>
      <c r="CN46" s="13">
        <f>'a28'!AQ46</f>
        <v>69.853143120446362</v>
      </c>
      <c r="CO46" s="13">
        <f t="shared" ref="CO46" si="145">CN46/CV46</f>
        <v>0.30396195658205483</v>
      </c>
      <c r="CP46" s="13">
        <f t="shared" si="120"/>
        <v>100</v>
      </c>
      <c r="CQ46" s="13">
        <f t="shared" ref="CQ46" si="146">CP46/CV46</f>
        <v>0.43514427984713494</v>
      </c>
      <c r="CR46" s="13">
        <f>CR45*POWER(CV69/CV68, 1)</f>
        <v>31.368008859000959</v>
      </c>
      <c r="CS46" s="13">
        <f t="shared" ref="CS46" si="147">CR46/CV46</f>
        <v>0.13649609625188522</v>
      </c>
      <c r="CT46" s="13">
        <f>'a28'!AS46</f>
        <v>28.587683000825759</v>
      </c>
      <c r="CU46" s="13">
        <f t="shared" ref="CU46" si="148">CT46/CV46</f>
        <v>0.12439766731892507</v>
      </c>
      <c r="CV46" s="13">
        <f t="shared" ref="CV46" si="149">CN46+CP46+CR46+CT46</f>
        <v>229.80883498027308</v>
      </c>
    </row>
    <row r="47" spans="1:100" ht="15.75" customHeight="1">
      <c r="A47" s="1">
        <v>2009</v>
      </c>
      <c r="B47" s="13">
        <f>'a28'!C47</f>
        <v>69.465988085948766</v>
      </c>
      <c r="C47" s="13">
        <f t="shared" si="55"/>
        <v>0.30090155392538392</v>
      </c>
      <c r="D47" s="13">
        <f t="shared" si="109"/>
        <v>100</v>
      </c>
      <c r="E47" s="13">
        <f t="shared" si="56"/>
        <v>0.43316385790566303</v>
      </c>
      <c r="F47" s="13">
        <f>F46*POWER(J70/J69, 1)</f>
        <v>33.321590648479827</v>
      </c>
      <c r="G47" s="13">
        <f t="shared" ref="G47:G48" si="150">F47/J47</f>
        <v>0.14433708756848787</v>
      </c>
      <c r="H47" s="13">
        <f>'a28'!E47</f>
        <v>28.07194053270884</v>
      </c>
      <c r="I47" s="13">
        <f>H47/J47</f>
        <v>0.12159750060046515</v>
      </c>
      <c r="J47" s="13">
        <f t="shared" si="58"/>
        <v>230.85951926713744</v>
      </c>
      <c r="K47" s="13">
        <f>'a28'!G47</f>
        <v>70.315836290178154</v>
      </c>
      <c r="L47" s="13">
        <f t="shared" ref="L47" si="151">K47/S47</f>
        <v>0.30101861698371168</v>
      </c>
      <c r="M47" s="13">
        <f t="shared" si="111"/>
        <v>100</v>
      </c>
      <c r="N47" s="13">
        <f t="shared" ref="N47" si="152">M47/S47</f>
        <v>0.42809505349758392</v>
      </c>
      <c r="O47" s="13">
        <f>O46*POWER(S70/S69, 1)</f>
        <v>31.484716906313544</v>
      </c>
      <c r="P47" s="13">
        <f t="shared" ref="P47:P48" si="153">O47/S47</f>
        <v>0.13478451568364583</v>
      </c>
      <c r="Q47" s="13">
        <f>'a28'!I47</f>
        <v>31.792428509297583</v>
      </c>
      <c r="R47" s="13">
        <f t="shared" ref="R47" si="154">Q47/S47</f>
        <v>0.13610181383505862</v>
      </c>
      <c r="S47" s="13">
        <f>K47+M47+O47+Q47</f>
        <v>233.59298170578927</v>
      </c>
      <c r="T47" s="13">
        <f>'a28'!K47</f>
        <v>68.188551138578418</v>
      </c>
      <c r="U47" s="13">
        <f t="shared" ref="U47" si="155">T47/AB47</f>
        <v>0.29368010102593245</v>
      </c>
      <c r="V47" s="13">
        <f t="shared" si="112"/>
        <v>100</v>
      </c>
      <c r="W47" s="13">
        <f t="shared" ref="W47" si="156">V47/AB47</f>
        <v>0.4306882843559639</v>
      </c>
      <c r="X47" s="13">
        <f>X46*POWER(AB70/AB69, 1)</f>
        <v>34.356625885090487</v>
      </c>
      <c r="Y47" s="13">
        <f t="shared" ref="Y47:Y48" si="157">X47/AB47</f>
        <v>0.14796996258709322</v>
      </c>
      <c r="Z47" s="13">
        <f>'a28'!M47</f>
        <v>29.64131058775169</v>
      </c>
      <c r="AA47" s="13">
        <f t="shared" ref="AA47" si="158">Z47/AB47</f>
        <v>0.12766165203101043</v>
      </c>
      <c r="AB47" s="13">
        <f>T47+V47+X47+Z47</f>
        <v>232.1864876114206</v>
      </c>
      <c r="AC47" s="13">
        <f>'a28'!O47</f>
        <v>69.249002261682165</v>
      </c>
      <c r="AD47" s="13">
        <f t="shared" ref="AD47" si="159">AC47/AK47</f>
        <v>0.2992986549186451</v>
      </c>
      <c r="AE47" s="13">
        <f t="shared" si="113"/>
        <v>100</v>
      </c>
      <c r="AF47" s="13">
        <f t="shared" ref="AF47" si="160">AE47/AK47</f>
        <v>0.43220645084190223</v>
      </c>
      <c r="AG47" s="13">
        <f>AG46*POWER(AK70/AK69, 1)</f>
        <v>31.610175900435092</v>
      </c>
      <c r="AH47" s="13">
        <f t="shared" ref="AH47:AH48" si="161">AG47/AK47</f>
        <v>0.13662121936415281</v>
      </c>
      <c r="AI47" s="13">
        <f>'a28'!Q47</f>
        <v>30.511732210016994</v>
      </c>
      <c r="AJ47" s="13">
        <f t="shared" ref="AJ47" si="162">AI47/AK47</f>
        <v>0.13187367487529994</v>
      </c>
      <c r="AK47" s="13">
        <f t="shared" ref="AK47" si="163">AC47+AE47+AG47+AI47</f>
        <v>231.37091037213423</v>
      </c>
      <c r="AL47" s="13">
        <f>'a28'!S47</f>
        <v>69.226662965552947</v>
      </c>
      <c r="AM47" s="13">
        <f t="shared" ref="AM47" si="164">AL47/AT47</f>
        <v>0.29942917759040288</v>
      </c>
      <c r="AN47" s="13">
        <f t="shared" si="114"/>
        <v>100</v>
      </c>
      <c r="AO47" s="13">
        <f t="shared" ref="AO47" si="165">AN47/AT47</f>
        <v>0.43253446687065972</v>
      </c>
      <c r="AP47" s="13">
        <f>AP46*POWER(AT70/AT69, 1)</f>
        <v>31.458618899293302</v>
      </c>
      <c r="AQ47" s="13">
        <f t="shared" ref="AQ47:AQ48" si="166">AP47/AT47</f>
        <v>0.13606936954093088</v>
      </c>
      <c r="AR47" s="13">
        <f>'a28'!U47</f>
        <v>30.510166496735724</v>
      </c>
      <c r="AS47" s="13">
        <f t="shared" ref="AS47" si="167">AR47/AT47</f>
        <v>0.13196698599800649</v>
      </c>
      <c r="AT47" s="13">
        <f t="shared" ref="AT47" si="168">AL47+AN47+AP47+AR47</f>
        <v>231.19544836158198</v>
      </c>
      <c r="AU47" s="13">
        <f>'a28'!W47</f>
        <v>69.289813941801583</v>
      </c>
      <c r="AV47" s="13">
        <f t="shared" ref="AV47" si="169">AU47/BC47</f>
        <v>0.3008083459588084</v>
      </c>
      <c r="AW47" s="13">
        <f t="shared" si="115"/>
        <v>100</v>
      </c>
      <c r="AX47" s="13">
        <f t="shared" ref="AX47" si="170">AW47/BC47</f>
        <v>0.43413068797019078</v>
      </c>
      <c r="AY47" s="13">
        <f>AY46*POWER(BC70/BC69, 1)</f>
        <v>31.700942965813567</v>
      </c>
      <c r="AZ47" s="13">
        <f t="shared" ref="AZ47:AZ48" si="171">AY47/BC47</f>
        <v>0.13762352179052426</v>
      </c>
      <c r="BA47" s="13">
        <f>'a28'!Y47</f>
        <v>29.354627030933823</v>
      </c>
      <c r="BB47" s="13">
        <f t="shared" ref="BB47" si="172">BA47/BC47</f>
        <v>0.1274374442804766</v>
      </c>
      <c r="BC47" s="13">
        <f t="shared" ref="BC47" si="173">AU47+AW47+AY47+BA47</f>
        <v>230.34538393854896</v>
      </c>
      <c r="BD47" s="13">
        <f>'a28'!AA47</f>
        <v>69.374767506831276</v>
      </c>
      <c r="BE47" s="13">
        <f t="shared" ref="BE47" si="174">BD47/BL47</f>
        <v>0.29961887586055219</v>
      </c>
      <c r="BF47" s="13">
        <f t="shared" si="116"/>
        <v>100</v>
      </c>
      <c r="BG47" s="13">
        <f t="shared" ref="BG47" si="175">BF47/BL47</f>
        <v>0.4318845116577133</v>
      </c>
      <c r="BH47" s="13">
        <f>BH46*POWER(BL70/BL69, 1)</f>
        <v>34.661789795280178</v>
      </c>
      <c r="BI47" s="13">
        <f t="shared" ref="BI47:BI48" si="176">BH47/BL47</f>
        <v>0.1496989015891689</v>
      </c>
      <c r="BJ47" s="13">
        <f>'a28'!AC47</f>
        <v>27.506823626663806</v>
      </c>
      <c r="BK47" s="13">
        <f t="shared" ref="BK47" si="177">BJ47/BL47</f>
        <v>0.11879771089256548</v>
      </c>
      <c r="BL47" s="13">
        <f t="shared" ref="BL47" si="178">BD47+BF47+BH47+BJ47</f>
        <v>231.54338092877529</v>
      </c>
      <c r="BM47" s="13">
        <f>'a28'!AE47</f>
        <v>67.310559036768936</v>
      </c>
      <c r="BN47" s="13">
        <f t="shared" ref="BN47" si="179">BM47/BU47</f>
        <v>0.29275448857087061</v>
      </c>
      <c r="BO47" s="13">
        <f t="shared" si="117"/>
        <v>100</v>
      </c>
      <c r="BP47" s="13">
        <f t="shared" ref="BP47" si="180">BO47/BU47</f>
        <v>0.43493100155497316</v>
      </c>
      <c r="BQ47" s="13">
        <f>BQ46*POWER(BU70/BU69, 1)</f>
        <v>36.022405800656379</v>
      </c>
      <c r="BR47" s="13">
        <f t="shared" ref="BR47:BR48" si="181">BQ47/BU47</f>
        <v>0.15667261033299154</v>
      </c>
      <c r="BS47" s="13">
        <f>'a28'!AG47</f>
        <v>26.588562123122895</v>
      </c>
      <c r="BT47" s="13">
        <f t="shared" ref="BT47" si="182">BS47/BU47</f>
        <v>0.11564189954116463</v>
      </c>
      <c r="BU47" s="13">
        <f t="shared" ref="BU47" si="183">BM47+BO47+BQ47+BS47</f>
        <v>229.92152696054822</v>
      </c>
      <c r="BV47" s="13">
        <f>'a28'!AI47</f>
        <v>66.319802084102591</v>
      </c>
      <c r="BW47" s="13">
        <f t="shared" ref="BW47" si="184">BV47/CD47</f>
        <v>0.29140315760816676</v>
      </c>
      <c r="BX47" s="13">
        <f t="shared" si="118"/>
        <v>100</v>
      </c>
      <c r="BY47" s="13">
        <f t="shared" ref="BY47" si="185">BX47/CD47</f>
        <v>0.4393908733904659</v>
      </c>
      <c r="BZ47" s="13">
        <f>BZ46*POWER(CD70/CD69, 1)</f>
        <v>34.985348606465159</v>
      </c>
      <c r="CA47" s="13">
        <f t="shared" ref="CA47:CA48" si="186">BZ47/CD47</f>
        <v>0.15372242880064646</v>
      </c>
      <c r="CB47" s="13">
        <f>'a28'!AK47</f>
        <v>26.282644268329179</v>
      </c>
      <c r="CC47" s="13">
        <f t="shared" ref="CC47" si="187">CB47/CD47</f>
        <v>0.1154835402007208</v>
      </c>
      <c r="CD47" s="13">
        <f>BV47+BX47+BZ47+CB47</f>
        <v>227.58779495889695</v>
      </c>
      <c r="CE47" s="13">
        <f>'a28'!AM47</f>
        <v>71.237259387883981</v>
      </c>
      <c r="CF47" s="13">
        <f t="shared" ref="CF47" si="188">CE47/CM47</f>
        <v>0.30707374455951675</v>
      </c>
      <c r="CG47" s="13">
        <f t="shared" si="119"/>
        <v>100</v>
      </c>
      <c r="CH47" s="13">
        <f t="shared" ref="CH47" si="189">CG47/CM47</f>
        <v>0.4310577739768352</v>
      </c>
      <c r="CI47" s="13">
        <f>CI46*POWER(CM70/CM69, 1)</f>
        <v>34.953567723069277</v>
      </c>
      <c r="CJ47" s="13">
        <f t="shared" ref="CJ47:CJ48" si="190">CI47/CM47</f>
        <v>0.15067007095254797</v>
      </c>
      <c r="CK47" s="13">
        <f>'a28'!AO47</f>
        <v>25.796637301123315</v>
      </c>
      <c r="CL47" s="13">
        <f t="shared" ref="CL47" si="191">CK47/CM47</f>
        <v>0.11119841051110009</v>
      </c>
      <c r="CM47" s="13">
        <f t="shared" ref="CM47" si="192">CE47+CG47+CI47+CK47</f>
        <v>231.98746441207658</v>
      </c>
      <c r="CN47" s="13">
        <f>'a28'!AQ47</f>
        <v>69.889751612674686</v>
      </c>
      <c r="CO47" s="13">
        <f t="shared" ref="CO47" si="193">CN47/CV47</f>
        <v>0.30438040638543234</v>
      </c>
      <c r="CP47" s="13">
        <f t="shared" si="120"/>
        <v>100</v>
      </c>
      <c r="CQ47" s="13">
        <f t="shared" ref="CQ47" si="194">CP47/CV47</f>
        <v>0.43551507819385665</v>
      </c>
      <c r="CR47" s="13">
        <f>CR46*POWER(CV70/CV69, 1)</f>
        <v>30.862017315273054</v>
      </c>
      <c r="CS47" s="13">
        <f t="shared" ref="CS47:CS48" si="195">CR47/CV47</f>
        <v>0.13440873884281301</v>
      </c>
      <c r="CT47" s="13">
        <f>'a28'!AS47</f>
        <v>28.861406383259215</v>
      </c>
      <c r="CU47" s="13">
        <f t="shared" ref="CU47" si="196">CT47/CV47</f>
        <v>0.1256957765778981</v>
      </c>
      <c r="CV47" s="13">
        <f t="shared" ref="CV47" si="197">CN47+CP47+CR47+CT47</f>
        <v>229.61317531120693</v>
      </c>
    </row>
    <row r="48" spans="1:100" ht="15.75" customHeight="1">
      <c r="A48" s="1">
        <v>2010</v>
      </c>
      <c r="B48" s="13">
        <f>'a28'!C48</f>
        <v>69.402952649806721</v>
      </c>
      <c r="C48" s="13">
        <f t="shared" si="55"/>
        <v>0.30085659935379472</v>
      </c>
      <c r="D48" s="13">
        <f t="shared" si="109"/>
        <v>100</v>
      </c>
      <c r="E48" s="13">
        <f t="shared" si="56"/>
        <v>0.43349250697136238</v>
      </c>
      <c r="F48" s="13">
        <f>F47*POWER(J71/J70, 1)</f>
        <v>32.933536404891676</v>
      </c>
      <c r="G48" s="13">
        <f t="shared" si="150"/>
        <v>0.14276441259589123</v>
      </c>
      <c r="H48" s="13">
        <f>'a28'!E48</f>
        <v>28.348005813874401</v>
      </c>
      <c r="I48" s="13">
        <f>H48/J48</f>
        <v>0.12288648107895171</v>
      </c>
      <c r="J48" s="13">
        <f t="shared" si="58"/>
        <v>230.68449486857278</v>
      </c>
      <c r="K48" s="13">
        <f>'a28'!G48</f>
        <v>69.999941146351361</v>
      </c>
      <c r="L48" s="13">
        <f t="shared" ref="L48" si="198">K48/S48</f>
        <v>0.30023066381377639</v>
      </c>
      <c r="M48" s="13">
        <f t="shared" si="111"/>
        <v>100</v>
      </c>
      <c r="N48" s="13">
        <f t="shared" ref="N48" si="199">M48/S48</f>
        <v>0.42890130891120815</v>
      </c>
      <c r="O48" s="13">
        <f>O47*POWER(S71/S70, 1)</f>
        <v>31.009831532043453</v>
      </c>
      <c r="P48" s="13">
        <f t="shared" si="153"/>
        <v>0.13300157333209492</v>
      </c>
      <c r="Q48" s="13">
        <f>'a28'!I48</f>
        <v>32.144097273310457</v>
      </c>
      <c r="R48" s="13">
        <f t="shared" ref="R48" si="200">Q48/S48</f>
        <v>0.13786645394292052</v>
      </c>
      <c r="S48" s="13">
        <f>K48+M48+O48+Q48</f>
        <v>233.15386995170527</v>
      </c>
      <c r="T48" s="13">
        <f>'a28'!K48</f>
        <v>68.16105042666554</v>
      </c>
      <c r="U48" s="13">
        <f t="shared" ref="U48" si="201">T48/AB48</f>
        <v>0.29375068533477983</v>
      </c>
      <c r="V48" s="13">
        <f t="shared" si="112"/>
        <v>100</v>
      </c>
      <c r="W48" s="13">
        <f t="shared" ref="W48" si="202">V48/AB48</f>
        <v>0.43096560791830241</v>
      </c>
      <c r="X48" s="13">
        <f>X47*POWER(AB71/AB70, 1)</f>
        <v>33.63197681352959</v>
      </c>
      <c r="Y48" s="13">
        <f t="shared" si="157"/>
        <v>0.1449422533293703</v>
      </c>
      <c r="Z48" s="13">
        <f>'a28'!M48</f>
        <v>30.244049878396805</v>
      </c>
      <c r="AA48" s="13">
        <f t="shared" ref="AA48" si="203">Z48/AB48</f>
        <v>0.13034145341754738</v>
      </c>
      <c r="AB48" s="13">
        <f>T48+V48+X48+Z48</f>
        <v>232.03707711859195</v>
      </c>
      <c r="AC48" s="13">
        <f>'a28'!O48</f>
        <v>69.121575883867052</v>
      </c>
      <c r="AD48" s="13">
        <f t="shared" ref="AD48" si="204">AC48/AK48</f>
        <v>0.29921883018710188</v>
      </c>
      <c r="AE48" s="13">
        <f t="shared" si="113"/>
        <v>100</v>
      </c>
      <c r="AF48" s="13">
        <f t="shared" ref="AF48" si="205">AE48/AK48</f>
        <v>0.43288774360385995</v>
      </c>
      <c r="AG48" s="13">
        <f>AG47*POWER(AK71/AK70, 1)</f>
        <v>31.057274991298648</v>
      </c>
      <c r="AH48" s="13">
        <f t="shared" si="161"/>
        <v>0.1344431369346786</v>
      </c>
      <c r="AI48" s="13">
        <f>'a28'!Q48</f>
        <v>30.827920458861801</v>
      </c>
      <c r="AJ48" s="13">
        <f t="shared" ref="AJ48" si="206">AI48/AK48</f>
        <v>0.13345028927435956</v>
      </c>
      <c r="AK48" s="13">
        <f t="shared" ref="AK48" si="207">AC48+AE48+AG48+AI48</f>
        <v>231.00677133402749</v>
      </c>
      <c r="AL48" s="13">
        <f>'a28'!S48</f>
        <v>69.060398667118932</v>
      </c>
      <c r="AM48" s="13">
        <f t="shared" ref="AM48" si="208">AL48/AT48</f>
        <v>0.29907547553841807</v>
      </c>
      <c r="AN48" s="13">
        <f t="shared" si="114"/>
        <v>100</v>
      </c>
      <c r="AO48" s="13">
        <f t="shared" ref="AO48" si="209">AN48/AT48</f>
        <v>0.43306363894596805</v>
      </c>
      <c r="AP48" s="13">
        <f>AP47*POWER(AT71/AT70, 1)</f>
        <v>30.972937392337194</v>
      </c>
      <c r="AQ48" s="13">
        <f t="shared" si="166"/>
        <v>0.13413252975971188</v>
      </c>
      <c r="AR48" s="13">
        <f>'a28'!U48</f>
        <v>30.879608383050329</v>
      </c>
      <c r="AS48" s="13">
        <f t="shared" ref="AS48" si="210">AR48/AT48</f>
        <v>0.13372835575590195</v>
      </c>
      <c r="AT48" s="13">
        <f t="shared" ref="AT48" si="211">AL48+AN48+AP48+AR48</f>
        <v>230.91294444250647</v>
      </c>
      <c r="AU48" s="13">
        <f>'a28'!W48</f>
        <v>69.037689498727445</v>
      </c>
      <c r="AV48" s="13">
        <f t="shared" ref="AV48" si="212">AU48/BC48</f>
        <v>0.30046736685275688</v>
      </c>
      <c r="AW48" s="13">
        <f t="shared" si="115"/>
        <v>100</v>
      </c>
      <c r="AX48" s="13">
        <f t="shared" ref="AX48" si="213">AW48/BC48</f>
        <v>0.4352222228675473</v>
      </c>
      <c r="AY48" s="13">
        <f>AY47*POWER(BC71/BC70, 1)</f>
        <v>31.257946003332311</v>
      </c>
      <c r="AZ48" s="13">
        <f t="shared" si="171"/>
        <v>0.13604152741844056</v>
      </c>
      <c r="BA48" s="13">
        <f>'a28'!Y48</f>
        <v>29.472043503691175</v>
      </c>
      <c r="BB48" s="13">
        <f t="shared" ref="BB48" si="214">BA48/BC48</f>
        <v>0.12826888286125532</v>
      </c>
      <c r="BC48" s="13">
        <f t="shared" ref="BC48" si="215">AU48+AW48+AY48+BA48</f>
        <v>229.76767900575092</v>
      </c>
      <c r="BD48" s="13">
        <f>'a28'!AA48</f>
        <v>69.421869463517623</v>
      </c>
      <c r="BE48" s="13">
        <f t="shared" ref="BE48" si="216">BD48/BL48</f>
        <v>0.29976075637631799</v>
      </c>
      <c r="BF48" s="13">
        <f t="shared" si="116"/>
        <v>100</v>
      </c>
      <c r="BG48" s="13">
        <f t="shared" ref="BG48" si="217">BF48/BL48</f>
        <v>0.43179585726058184</v>
      </c>
      <c r="BH48" s="13">
        <f>BH47*POWER(BL71/BL70, 1)</f>
        <v>34.247947464474159</v>
      </c>
      <c r="BI48" s="13">
        <f t="shared" si="176"/>
        <v>0.14788121834837989</v>
      </c>
      <c r="BJ48" s="13">
        <f>'a28'!AC48</f>
        <v>27.921103453746888</v>
      </c>
      <c r="BK48" s="13">
        <f t="shared" ref="BK48" si="218">BJ48/BL48</f>
        <v>0.12056216801472029</v>
      </c>
      <c r="BL48" s="13">
        <f t="shared" ref="BL48" si="219">BD48+BF48+BH48+BJ48</f>
        <v>231.59092038173867</v>
      </c>
      <c r="BM48" s="13">
        <f>'a28'!AE48</f>
        <v>67.361900321512181</v>
      </c>
      <c r="BN48" s="13">
        <f t="shared" ref="BN48" si="220">BM48/BU48</f>
        <v>0.29308796582324187</v>
      </c>
      <c r="BO48" s="13">
        <f t="shared" si="117"/>
        <v>100</v>
      </c>
      <c r="BP48" s="13">
        <f t="shared" ref="BP48" si="221">BO48/BU48</f>
        <v>0.43509456298643578</v>
      </c>
      <c r="BQ48" s="13">
        <f>BQ47*POWER(BU71/BU70, 1)</f>
        <v>35.722846924937642</v>
      </c>
      <c r="BR48" s="13">
        <f t="shared" si="181"/>
        <v>0.15542816471437085</v>
      </c>
      <c r="BS48" s="13">
        <f>'a28'!AG48</f>
        <v>26.750347252576468</v>
      </c>
      <c r="BT48" s="13">
        <f t="shared" ref="BT48" si="222">BS48/BU48</f>
        <v>0.11638930647595161</v>
      </c>
      <c r="BU48" s="13">
        <f t="shared" ref="BU48" si="223">BM48+BO48+BQ48+BS48</f>
        <v>229.83509449902627</v>
      </c>
      <c r="BV48" s="13">
        <f>'a28'!AI48</f>
        <v>66.425916822714143</v>
      </c>
      <c r="BW48" s="13">
        <f t="shared" ref="BW48" si="224">BV48/CD48</f>
        <v>0.29190237433804167</v>
      </c>
      <c r="BX48" s="13">
        <f t="shared" si="118"/>
        <v>100</v>
      </c>
      <c r="BY48" s="13">
        <f t="shared" ref="BY48" si="225">BX48/CD48</f>
        <v>0.43944048994778273</v>
      </c>
      <c r="BZ48" s="13">
        <f>BZ47*POWER(CD71/CD70, 1)</f>
        <v>34.699955068697889</v>
      </c>
      <c r="CA48" s="13">
        <f t="shared" si="186"/>
        <v>0.15248565256554647</v>
      </c>
      <c r="CB48" s="13">
        <f>'a28'!AK48</f>
        <v>26.436226475724496</v>
      </c>
      <c r="CC48" s="13">
        <f t="shared" ref="CC48" si="226">CB48/CD48</f>
        <v>0.11617148314862918</v>
      </c>
      <c r="CD48" s="13">
        <f>BV48+BX48+BZ48+CB48</f>
        <v>227.56209836713651</v>
      </c>
      <c r="CE48" s="13">
        <f>'a28'!AM48</f>
        <v>71.086815019621355</v>
      </c>
      <c r="CF48" s="13">
        <f t="shared" ref="CF48" si="227">CE48/CM48</f>
        <v>0.30638318572703921</v>
      </c>
      <c r="CG48" s="13">
        <f t="shared" si="119"/>
        <v>100</v>
      </c>
      <c r="CH48" s="13">
        <f t="shared" ref="CH48" si="228">CG48/CM48</f>
        <v>0.43099861154627828</v>
      </c>
      <c r="CI48" s="13">
        <f>CI47*POWER(CM71/CM70, 1)</f>
        <v>34.874281830295928</v>
      </c>
      <c r="CJ48" s="13">
        <f t="shared" si="190"/>
        <v>0.15030767047531143</v>
      </c>
      <c r="CK48" s="13">
        <f>'a28'!AO48</f>
        <v>26.058212078326321</v>
      </c>
      <c r="CL48" s="13">
        <f t="shared" ref="CL48" si="229">CK48/CM48</f>
        <v>0.11231053225137103</v>
      </c>
      <c r="CM48" s="13">
        <f t="shared" ref="CM48" si="230">CE48+CG48+CI48+CK48</f>
        <v>232.01930892824362</v>
      </c>
      <c r="CN48" s="13">
        <f>'a28'!AQ48</f>
        <v>69.891612373536731</v>
      </c>
      <c r="CO48" s="13">
        <f t="shared" ref="CO48" si="231">CN48/CV48</f>
        <v>0.30470712689399926</v>
      </c>
      <c r="CP48" s="13">
        <f t="shared" si="120"/>
        <v>100</v>
      </c>
      <c r="CQ48" s="13">
        <f t="shared" ref="CQ48" si="232">CP48/CV48</f>
        <v>0.43597095065640723</v>
      </c>
      <c r="CR48" s="13">
        <f>CR47*POWER(CV71/CV70, 1)</f>
        <v>30.425087229203211</v>
      </c>
      <c r="CS48" s="13">
        <f t="shared" si="195"/>
        <v>0.13264454203119838</v>
      </c>
      <c r="CT48" s="13">
        <f>'a28'!AS48</f>
        <v>29.056380987693558</v>
      </c>
      <c r="CU48" s="13">
        <f t="shared" ref="CU48" si="233">CT48/CV48</f>
        <v>0.12667738041839519</v>
      </c>
      <c r="CV48" s="13">
        <f t="shared" ref="CV48" si="234">CN48+CP48+CR48+CT48</f>
        <v>229.37308059043349</v>
      </c>
    </row>
    <row r="49" spans="1:138" ht="15.75" customHeight="1">
      <c r="B49" s="172" t="s">
        <v>435</v>
      </c>
      <c r="C49" s="13"/>
      <c r="D49" s="13"/>
      <c r="E49" s="13"/>
      <c r="F49" s="122"/>
      <c r="G49" s="13"/>
      <c r="H49" s="13"/>
      <c r="I49" s="13"/>
      <c r="J49" s="13"/>
      <c r="K49" s="172" t="s">
        <v>435</v>
      </c>
      <c r="L49" s="13"/>
      <c r="M49" s="13"/>
      <c r="N49" s="13"/>
      <c r="O49" s="122"/>
      <c r="P49" s="13"/>
      <c r="Q49" s="13"/>
      <c r="R49" s="13"/>
      <c r="S49" s="13"/>
      <c r="T49" s="172" t="s">
        <v>435</v>
      </c>
      <c r="U49" s="13"/>
      <c r="V49" s="13"/>
      <c r="W49" s="13"/>
      <c r="X49" s="122"/>
      <c r="Y49" s="13"/>
      <c r="Z49" s="13"/>
      <c r="AA49" s="13"/>
      <c r="AB49" s="13"/>
      <c r="AC49" s="172" t="s">
        <v>435</v>
      </c>
      <c r="AD49" s="13"/>
      <c r="AE49" s="13"/>
      <c r="AF49" s="13"/>
      <c r="AG49" s="122"/>
      <c r="AH49" s="13"/>
      <c r="AI49" s="13"/>
      <c r="AJ49" s="13"/>
      <c r="AK49" s="13"/>
      <c r="AL49" s="172" t="s">
        <v>435</v>
      </c>
      <c r="AM49" s="13"/>
      <c r="AN49" s="13"/>
      <c r="AO49" s="13"/>
      <c r="AP49" s="122"/>
      <c r="AQ49" s="13"/>
      <c r="AR49" s="13"/>
      <c r="AS49" s="13"/>
      <c r="AT49" s="13"/>
      <c r="AU49" s="172" t="s">
        <v>435</v>
      </c>
      <c r="AV49" s="13"/>
      <c r="AW49" s="13"/>
      <c r="AX49" s="13"/>
      <c r="AY49" s="122"/>
      <c r="AZ49" s="13"/>
      <c r="BA49" s="13"/>
      <c r="BB49" s="13"/>
      <c r="BC49" s="13"/>
      <c r="BD49" s="172" t="s">
        <v>435</v>
      </c>
      <c r="BE49" s="13"/>
      <c r="BF49" s="13"/>
      <c r="BG49" s="13"/>
      <c r="BH49" s="122"/>
      <c r="BI49" s="13"/>
      <c r="BJ49" s="13"/>
      <c r="BK49" s="13"/>
      <c r="BL49" s="13"/>
      <c r="BM49" s="172" t="s">
        <v>435</v>
      </c>
      <c r="BN49" s="13"/>
      <c r="BO49" s="13"/>
      <c r="BP49" s="13"/>
      <c r="BQ49" s="122"/>
      <c r="BR49" s="13"/>
      <c r="BS49" s="13"/>
      <c r="BT49" s="13"/>
      <c r="BU49" s="13"/>
      <c r="BV49" s="172" t="s">
        <v>435</v>
      </c>
      <c r="BW49" s="13"/>
      <c r="BX49" s="13"/>
      <c r="BY49" s="13"/>
      <c r="BZ49" s="122"/>
      <c r="CA49" s="13"/>
      <c r="CB49" s="13"/>
      <c r="CC49" s="13"/>
      <c r="CD49" s="13"/>
      <c r="CE49" s="172" t="s">
        <v>435</v>
      </c>
      <c r="CF49" s="13"/>
      <c r="CG49" s="13"/>
      <c r="CH49" s="13"/>
      <c r="CI49" s="122"/>
      <c r="CJ49" s="13"/>
      <c r="CK49" s="13"/>
      <c r="CL49" s="13"/>
      <c r="CM49" s="13"/>
      <c r="CN49" s="172" t="s">
        <v>435</v>
      </c>
      <c r="CO49" s="13"/>
      <c r="CP49" s="13"/>
      <c r="CQ49" s="13"/>
      <c r="CR49" s="122"/>
      <c r="CS49" s="13"/>
      <c r="CT49" s="13"/>
      <c r="CU49" s="13"/>
      <c r="CV49" s="13"/>
    </row>
    <row r="50" spans="1:138" s="252" customFormat="1" ht="15.75" customHeight="1">
      <c r="A50" s="252" t="s">
        <v>988</v>
      </c>
      <c r="B50" s="271">
        <f t="shared" ref="B50:AG50" si="235">(POWER(B48/B19, 1/29)-1)*100</f>
        <v>6.3761029971942662E-2</v>
      </c>
      <c r="C50" s="271">
        <f t="shared" si="235"/>
        <v>8.7868659116097092E-2</v>
      </c>
      <c r="D50" s="271">
        <f t="shared" si="235"/>
        <v>0</v>
      </c>
      <c r="E50" s="271">
        <f t="shared" si="235"/>
        <v>2.4092267666153688E-2</v>
      </c>
      <c r="F50" s="271">
        <f t="shared" si="235"/>
        <v>-1.0910948119024488</v>
      </c>
      <c r="G50" s="271">
        <f t="shared" si="235"/>
        <v>-1.0672654137188653</v>
      </c>
      <c r="H50" s="271">
        <f t="shared" si="235"/>
        <v>1.407786076605988</v>
      </c>
      <c r="I50" s="271">
        <f t="shared" si="235"/>
        <v>1.4322175118618885</v>
      </c>
      <c r="J50" s="271">
        <f t="shared" si="235"/>
        <v>-2.4086464690609155E-2</v>
      </c>
      <c r="K50" s="271">
        <f t="shared" si="235"/>
        <v>0.35711400253690684</v>
      </c>
      <c r="L50" s="271">
        <f t="shared" si="235"/>
        <v>0.28087386106603329</v>
      </c>
      <c r="M50" s="271">
        <f t="shared" si="235"/>
        <v>0</v>
      </c>
      <c r="N50" s="271">
        <f t="shared" si="235"/>
        <v>-7.5968846083940278E-2</v>
      </c>
      <c r="O50" s="271">
        <f t="shared" si="235"/>
        <v>-1.6172622024571259</v>
      </c>
      <c r="P50" s="271">
        <f t="shared" si="235"/>
        <v>-1.6920024331077088</v>
      </c>
      <c r="Q50" s="271">
        <f t="shared" si="235"/>
        <v>2.6185090797180788</v>
      </c>
      <c r="R50" s="271">
        <f t="shared" si="235"/>
        <v>2.5405509825016548</v>
      </c>
      <c r="S50" s="271">
        <f t="shared" si="235"/>
        <v>7.6026602616674488E-2</v>
      </c>
      <c r="T50" s="271">
        <f t="shared" si="235"/>
        <v>0.26186274900019679</v>
      </c>
      <c r="U50" s="271">
        <f t="shared" si="235"/>
        <v>0.205759514992776</v>
      </c>
      <c r="V50" s="271">
        <f t="shared" si="235"/>
        <v>0</v>
      </c>
      <c r="W50" s="271">
        <f t="shared" si="235"/>
        <v>-5.5956704243453892E-2</v>
      </c>
      <c r="X50" s="271">
        <f t="shared" si="235"/>
        <v>-1.1977489704554034</v>
      </c>
      <c r="Y50" s="271">
        <f t="shared" si="235"/>
        <v>-1.2530354538498822</v>
      </c>
      <c r="Z50" s="271">
        <f t="shared" si="235"/>
        <v>1.9208151360298409</v>
      </c>
      <c r="AA50" s="271">
        <f t="shared" si="235"/>
        <v>1.8637836069416602</v>
      </c>
      <c r="AB50" s="271">
        <f t="shared" si="235"/>
        <v>5.5988033301668239E-2</v>
      </c>
      <c r="AC50" s="271">
        <f t="shared" si="235"/>
        <v>0.16742127656397265</v>
      </c>
      <c r="AD50" s="271">
        <f t="shared" si="235"/>
        <v>0.17633388535971406</v>
      </c>
      <c r="AE50" s="271">
        <f t="shared" si="235"/>
        <v>0</v>
      </c>
      <c r="AF50" s="271">
        <f t="shared" si="235"/>
        <v>8.8977121325051201E-3</v>
      </c>
      <c r="AG50" s="271">
        <f t="shared" si="235"/>
        <v>-1.451324783448904</v>
      </c>
      <c r="AH50" s="271">
        <f t="shared" ref="AH50:BM50" si="236">(POWER(AH48/AH19, 1/29)-1)*100</f>
        <v>-1.442556206017731</v>
      </c>
      <c r="AI50" s="271">
        <f t="shared" si="236"/>
        <v>1.8147549367424798</v>
      </c>
      <c r="AJ50" s="271">
        <f t="shared" si="236"/>
        <v>1.8238141205451752</v>
      </c>
      <c r="AK50" s="271">
        <f t="shared" si="236"/>
        <v>-8.8969205101374627E-3</v>
      </c>
      <c r="AL50" s="271">
        <f t="shared" si="236"/>
        <v>0.19688798165558019</v>
      </c>
      <c r="AM50" s="271">
        <f t="shared" si="236"/>
        <v>0.1790162877200796</v>
      </c>
      <c r="AN50" s="271">
        <f t="shared" si="236"/>
        <v>0</v>
      </c>
      <c r="AO50" s="271">
        <f t="shared" si="236"/>
        <v>-1.7836575861274184E-2</v>
      </c>
      <c r="AP50" s="271">
        <f t="shared" si="236"/>
        <v>-1.4385101130787059</v>
      </c>
      <c r="AQ50" s="271">
        <f t="shared" si="236"/>
        <v>-1.4560901079923916</v>
      </c>
      <c r="AR50" s="271">
        <f t="shared" si="236"/>
        <v>2.0096139947402225</v>
      </c>
      <c r="AS50" s="271">
        <f t="shared" si="236"/>
        <v>1.9914189725542597</v>
      </c>
      <c r="AT50" s="271">
        <f t="shared" si="236"/>
        <v>1.7839757863225003E-2</v>
      </c>
      <c r="AU50" s="271">
        <f t="shared" si="236"/>
        <v>-3.5274336473989365E-2</v>
      </c>
      <c r="AV50" s="271">
        <f t="shared" si="236"/>
        <v>5.4846229747607111E-2</v>
      </c>
      <c r="AW50" s="271">
        <f t="shared" si="236"/>
        <v>0</v>
      </c>
      <c r="AX50" s="271">
        <f t="shared" si="236"/>
        <v>9.0152366870843714E-2</v>
      </c>
      <c r="AY50" s="271">
        <f t="shared" si="236"/>
        <v>-1.3954950297653146</v>
      </c>
      <c r="AZ50" s="271">
        <f t="shared" si="236"/>
        <v>-1.306600734693375</v>
      </c>
      <c r="BA50" s="271">
        <f t="shared" si="236"/>
        <v>1.5034544812730033</v>
      </c>
      <c r="BB50" s="271">
        <f t="shared" si="236"/>
        <v>1.5949622479435321</v>
      </c>
      <c r="BC50" s="271">
        <f t="shared" si="236"/>
        <v>-9.0071165583194279E-2</v>
      </c>
      <c r="BD50" s="271">
        <f t="shared" si="236"/>
        <v>4.7730706319559779E-2</v>
      </c>
      <c r="BE50" s="271">
        <f t="shared" si="236"/>
        <v>8.422619468464454E-2</v>
      </c>
      <c r="BF50" s="271">
        <f t="shared" si="236"/>
        <v>0</v>
      </c>
      <c r="BG50" s="271">
        <f t="shared" si="236"/>
        <v>3.6478077121215868E-2</v>
      </c>
      <c r="BH50" s="271">
        <f t="shared" si="236"/>
        <v>-0.98722012975923645</v>
      </c>
      <c r="BI50" s="271">
        <f t="shared" si="236"/>
        <v>-0.95110217155830457</v>
      </c>
      <c r="BJ50" s="271">
        <f t="shared" si="236"/>
        <v>1.1711255018233446</v>
      </c>
      <c r="BK50" s="271">
        <f t="shared" si="236"/>
        <v>1.208030783008307</v>
      </c>
      <c r="BL50" s="271">
        <f t="shared" si="236"/>
        <v>-3.6464775472311306E-2</v>
      </c>
      <c r="BM50" s="271">
        <f t="shared" si="236"/>
        <v>0.11661546671897227</v>
      </c>
      <c r="BN50" s="271">
        <f t="shared" ref="BN50:CV50" si="237">(POWER(BN48/BN19, 1/29)-1)*100</f>
        <v>8.830366130248013E-2</v>
      </c>
      <c r="BO50" s="271">
        <f t="shared" si="237"/>
        <v>0</v>
      </c>
      <c r="BP50" s="271">
        <f t="shared" si="237"/>
        <v>-2.8278827929328898E-2</v>
      </c>
      <c r="BQ50" s="271">
        <f t="shared" si="237"/>
        <v>-0.69213473301137363</v>
      </c>
      <c r="BR50" s="271">
        <f t="shared" si="237"/>
        <v>-0.72021783335051159</v>
      </c>
      <c r="BS50" s="271">
        <f t="shared" si="237"/>
        <v>1.1609400686427795</v>
      </c>
      <c r="BT50" s="271">
        <f t="shared" si="237"/>
        <v>1.1323329404690607</v>
      </c>
      <c r="BU50" s="271">
        <f t="shared" si="237"/>
        <v>2.8286827112489199E-2</v>
      </c>
      <c r="BV50" s="271">
        <f t="shared" si="237"/>
        <v>0.15426930154442964</v>
      </c>
      <c r="BW50" s="271">
        <f t="shared" si="237"/>
        <v>0.14407474276345589</v>
      </c>
      <c r="BX50" s="271">
        <f t="shared" si="237"/>
        <v>0</v>
      </c>
      <c r="BY50" s="271">
        <f t="shared" si="237"/>
        <v>-1.0178855931031183E-2</v>
      </c>
      <c r="BZ50" s="271">
        <f t="shared" si="237"/>
        <v>-0.85321690949001772</v>
      </c>
      <c r="CA50" s="271">
        <f t="shared" si="237"/>
        <v>-0.86330891770105556</v>
      </c>
      <c r="CB50" s="271">
        <f t="shared" si="237"/>
        <v>1.1673991013905871</v>
      </c>
      <c r="CC50" s="271">
        <f t="shared" si="237"/>
        <v>1.1571014175868699</v>
      </c>
      <c r="CD50" s="271">
        <f t="shared" si="237"/>
        <v>1.0179892127570866E-2</v>
      </c>
      <c r="CE50" s="271">
        <f t="shared" si="237"/>
        <v>0.10964288124291066</v>
      </c>
      <c r="CF50" s="271">
        <f t="shared" si="237"/>
        <v>5.1320150236366935E-2</v>
      </c>
      <c r="CG50" s="271">
        <f t="shared" si="237"/>
        <v>0</v>
      </c>
      <c r="CH50" s="271">
        <f t="shared" si="237"/>
        <v>-5.8258854320081266E-2</v>
      </c>
      <c r="CI50" s="271">
        <f t="shared" si="237"/>
        <v>-0.75431550727038665</v>
      </c>
      <c r="CJ50" s="271">
        <f t="shared" si="237"/>
        <v>-0.81213490601796945</v>
      </c>
      <c r="CK50" s="271">
        <f t="shared" si="237"/>
        <v>1.7335534969323607</v>
      </c>
      <c r="CL50" s="271">
        <f t="shared" si="237"/>
        <v>1.6742846942059408</v>
      </c>
      <c r="CM50" s="271">
        <f t="shared" si="237"/>
        <v>5.8292815046279145E-2</v>
      </c>
      <c r="CN50" s="271">
        <f t="shared" si="237"/>
        <v>8.6611334590647182E-2</v>
      </c>
      <c r="CO50" s="271">
        <f t="shared" si="237"/>
        <v>5.4428279380291933E-2</v>
      </c>
      <c r="CP50" s="271">
        <f t="shared" si="237"/>
        <v>0</v>
      </c>
      <c r="CQ50" s="271">
        <f t="shared" si="237"/>
        <v>-3.2155205158046485E-2</v>
      </c>
      <c r="CR50" s="271">
        <f t="shared" si="237"/>
        <v>-0.93002760832147091</v>
      </c>
      <c r="CS50" s="271">
        <f t="shared" si="237"/>
        <v>-0.96188376119403785</v>
      </c>
      <c r="CT50" s="271">
        <f t="shared" si="237"/>
        <v>1.4406873902245154</v>
      </c>
      <c r="CU50" s="271">
        <f t="shared" si="237"/>
        <v>1.4080689290804527</v>
      </c>
      <c r="CV50" s="271">
        <f t="shared" si="237"/>
        <v>3.2165548056006799E-2</v>
      </c>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c r="B51" s="78" t="s">
        <v>368</v>
      </c>
      <c r="K51" s="1" t="s">
        <v>492</v>
      </c>
    </row>
    <row r="52" spans="1:138">
      <c r="B52" s="78" t="s">
        <v>916</v>
      </c>
      <c r="T52" s="1" t="s">
        <v>492</v>
      </c>
      <c r="AC52" s="1" t="s">
        <v>492</v>
      </c>
      <c r="AL52" s="1" t="s">
        <v>492</v>
      </c>
      <c r="AU52" s="1" t="s">
        <v>492</v>
      </c>
      <c r="BD52" s="1" t="s">
        <v>492</v>
      </c>
      <c r="BM52" s="1" t="s">
        <v>492</v>
      </c>
      <c r="BV52" s="1" t="s">
        <v>492</v>
      </c>
      <c r="CE52" s="1" t="s">
        <v>492</v>
      </c>
      <c r="CN52" s="1" t="s">
        <v>492</v>
      </c>
    </row>
    <row r="53" spans="1:138">
      <c r="B53" s="78" t="s">
        <v>964</v>
      </c>
    </row>
    <row r="54" spans="1:138">
      <c r="B54" s="35" t="s">
        <v>461</v>
      </c>
    </row>
    <row r="55" spans="1:138" ht="39" customHeight="1">
      <c r="B55" s="658" t="s">
        <v>1122</v>
      </c>
      <c r="C55" s="658"/>
      <c r="D55" s="658"/>
      <c r="E55" s="658"/>
      <c r="F55" s="658"/>
      <c r="G55" s="658"/>
      <c r="H55" s="658"/>
      <c r="I55" s="658"/>
      <c r="J55" s="658"/>
    </row>
    <row r="56" spans="1:138">
      <c r="B56" s="1" t="s">
        <v>1123</v>
      </c>
    </row>
    <row r="58" spans="1:138">
      <c r="B58" s="1" t="s">
        <v>1120</v>
      </c>
      <c r="E58" s="1" t="s">
        <v>1124</v>
      </c>
    </row>
    <row r="59" spans="1:138" ht="63.75">
      <c r="A59" s="332" t="s">
        <v>1112</v>
      </c>
      <c r="B59" s="332" t="s">
        <v>1113</v>
      </c>
      <c r="C59" s="368" t="s">
        <v>1114</v>
      </c>
      <c r="D59" s="368" t="s">
        <v>1115</v>
      </c>
      <c r="E59" s="368" t="s">
        <v>1116</v>
      </c>
      <c r="F59" s="368" t="s">
        <v>394</v>
      </c>
      <c r="G59" s="332" t="s">
        <v>1121</v>
      </c>
      <c r="H59" s="368" t="s">
        <v>1117</v>
      </c>
      <c r="I59" s="368" t="s">
        <v>1118</v>
      </c>
      <c r="J59" s="368" t="s">
        <v>1119</v>
      </c>
      <c r="K59" s="332" t="s">
        <v>1113</v>
      </c>
      <c r="L59" s="368" t="s">
        <v>1114</v>
      </c>
      <c r="M59" s="368" t="s">
        <v>1115</v>
      </c>
      <c r="N59" s="368" t="s">
        <v>1116</v>
      </c>
      <c r="O59" s="368" t="s">
        <v>394</v>
      </c>
      <c r="P59" s="332" t="s">
        <v>1121</v>
      </c>
      <c r="Q59" s="368" t="s">
        <v>1117</v>
      </c>
      <c r="R59" s="368" t="s">
        <v>1118</v>
      </c>
      <c r="S59" s="368" t="s">
        <v>1119</v>
      </c>
      <c r="T59" s="332" t="s">
        <v>1113</v>
      </c>
      <c r="U59" s="368" t="s">
        <v>1114</v>
      </c>
      <c r="V59" s="368" t="s">
        <v>1115</v>
      </c>
      <c r="W59" s="368" t="s">
        <v>1116</v>
      </c>
      <c r="X59" s="368" t="s">
        <v>394</v>
      </c>
      <c r="Y59" s="332" t="s">
        <v>1121</v>
      </c>
      <c r="Z59" s="368" t="s">
        <v>1117</v>
      </c>
      <c r="AA59" s="368" t="s">
        <v>1118</v>
      </c>
      <c r="AB59" s="368" t="s">
        <v>1119</v>
      </c>
      <c r="AC59" s="332" t="s">
        <v>1113</v>
      </c>
      <c r="AD59" s="368" t="s">
        <v>1114</v>
      </c>
      <c r="AE59" s="368" t="s">
        <v>1115</v>
      </c>
      <c r="AF59" s="368" t="s">
        <v>1116</v>
      </c>
      <c r="AG59" s="368" t="s">
        <v>394</v>
      </c>
      <c r="AH59" s="332" t="s">
        <v>1121</v>
      </c>
      <c r="AI59" s="368" t="s">
        <v>1117</v>
      </c>
      <c r="AJ59" s="368" t="s">
        <v>1118</v>
      </c>
      <c r="AK59" s="368" t="s">
        <v>1119</v>
      </c>
      <c r="AL59" s="332" t="s">
        <v>1113</v>
      </c>
      <c r="AM59" s="368" t="s">
        <v>1114</v>
      </c>
      <c r="AN59" s="368" t="s">
        <v>1115</v>
      </c>
      <c r="AO59" s="368" t="s">
        <v>1116</v>
      </c>
      <c r="AP59" s="368" t="s">
        <v>394</v>
      </c>
      <c r="AQ59" s="332" t="s">
        <v>1121</v>
      </c>
      <c r="AR59" s="368" t="s">
        <v>1117</v>
      </c>
      <c r="AS59" s="368" t="s">
        <v>1118</v>
      </c>
      <c r="AT59" s="368" t="s">
        <v>1119</v>
      </c>
      <c r="AU59" s="332" t="s">
        <v>1113</v>
      </c>
      <c r="AV59" s="368" t="s">
        <v>1114</v>
      </c>
      <c r="AW59" s="368" t="s">
        <v>1115</v>
      </c>
      <c r="AX59" s="368" t="s">
        <v>1116</v>
      </c>
      <c r="AY59" s="368" t="s">
        <v>394</v>
      </c>
      <c r="AZ59" s="332" t="s">
        <v>1121</v>
      </c>
      <c r="BA59" s="368" t="s">
        <v>1117</v>
      </c>
      <c r="BB59" s="368" t="s">
        <v>1118</v>
      </c>
      <c r="BC59" s="368" t="s">
        <v>1119</v>
      </c>
      <c r="BD59" s="332" t="s">
        <v>1113</v>
      </c>
      <c r="BE59" s="368" t="s">
        <v>1114</v>
      </c>
      <c r="BF59" s="368" t="s">
        <v>1115</v>
      </c>
      <c r="BG59" s="368" t="s">
        <v>1116</v>
      </c>
      <c r="BH59" s="368" t="s">
        <v>394</v>
      </c>
      <c r="BI59" s="332" t="s">
        <v>1121</v>
      </c>
      <c r="BJ59" s="368" t="s">
        <v>1117</v>
      </c>
      <c r="BK59" s="368" t="s">
        <v>1118</v>
      </c>
      <c r="BL59" s="368" t="s">
        <v>1119</v>
      </c>
      <c r="BM59" s="332" t="s">
        <v>1113</v>
      </c>
      <c r="BN59" s="368" t="s">
        <v>1114</v>
      </c>
      <c r="BO59" s="368" t="s">
        <v>1115</v>
      </c>
      <c r="BP59" s="368" t="s">
        <v>1116</v>
      </c>
      <c r="BQ59" s="368" t="s">
        <v>394</v>
      </c>
      <c r="BR59" s="332" t="s">
        <v>1121</v>
      </c>
      <c r="BS59" s="368" t="s">
        <v>1117</v>
      </c>
      <c r="BT59" s="368" t="s">
        <v>1118</v>
      </c>
      <c r="BU59" s="368" t="s">
        <v>1119</v>
      </c>
      <c r="BV59" s="332" t="s">
        <v>1113</v>
      </c>
      <c r="BW59" s="368" t="s">
        <v>1114</v>
      </c>
      <c r="BX59" s="368" t="s">
        <v>1115</v>
      </c>
      <c r="BY59" s="368" t="s">
        <v>1116</v>
      </c>
      <c r="BZ59" s="368" t="s">
        <v>394</v>
      </c>
      <c r="CA59" s="332" t="s">
        <v>1121</v>
      </c>
      <c r="CB59" s="368" t="s">
        <v>1117</v>
      </c>
      <c r="CC59" s="368" t="s">
        <v>1118</v>
      </c>
      <c r="CD59" s="368" t="s">
        <v>1119</v>
      </c>
      <c r="CE59" s="332" t="s">
        <v>1113</v>
      </c>
      <c r="CF59" s="368" t="s">
        <v>1114</v>
      </c>
      <c r="CG59" s="368" t="s">
        <v>1115</v>
      </c>
      <c r="CH59" s="368" t="s">
        <v>1116</v>
      </c>
      <c r="CI59" s="368" t="s">
        <v>394</v>
      </c>
      <c r="CJ59" s="332" t="s">
        <v>1121</v>
      </c>
      <c r="CK59" s="368" t="s">
        <v>1117</v>
      </c>
      <c r="CL59" s="368" t="s">
        <v>1118</v>
      </c>
      <c r="CM59" s="368" t="s">
        <v>1119</v>
      </c>
      <c r="CN59" s="332" t="s">
        <v>1113</v>
      </c>
      <c r="CO59" s="368" t="s">
        <v>1114</v>
      </c>
      <c r="CP59" s="368" t="s">
        <v>1115</v>
      </c>
      <c r="CQ59" s="368" t="s">
        <v>1116</v>
      </c>
      <c r="CR59" s="368" t="s">
        <v>394</v>
      </c>
      <c r="CS59" s="332" t="s">
        <v>1121</v>
      </c>
      <c r="CT59" s="368" t="s">
        <v>1117</v>
      </c>
      <c r="CU59" s="368" t="s">
        <v>1118</v>
      </c>
      <c r="CV59" s="368" t="s">
        <v>1119</v>
      </c>
    </row>
    <row r="60" spans="1:138">
      <c r="A60" t="s">
        <v>105</v>
      </c>
      <c r="B60" t="s">
        <v>106</v>
      </c>
      <c r="C60" t="s">
        <v>107</v>
      </c>
      <c r="D60" t="s">
        <v>108</v>
      </c>
      <c r="E60" t="s">
        <v>109</v>
      </c>
      <c r="F60" t="s">
        <v>110</v>
      </c>
      <c r="G60" t="s">
        <v>111</v>
      </c>
      <c r="H60" t="s">
        <v>112</v>
      </c>
      <c r="I60" t="s">
        <v>138</v>
      </c>
      <c r="J60" t="s">
        <v>113</v>
      </c>
      <c r="K60"/>
      <c r="L60"/>
      <c r="M60"/>
      <c r="T60"/>
      <c r="U60"/>
      <c r="V60"/>
      <c r="AC60"/>
      <c r="AD60"/>
      <c r="AE60"/>
      <c r="AL60"/>
      <c r="AM60"/>
      <c r="AN60"/>
      <c r="AU60"/>
      <c r="AV60"/>
      <c r="AW60"/>
      <c r="BD60"/>
      <c r="BE60"/>
      <c r="BF60"/>
      <c r="BM60"/>
      <c r="BN60"/>
      <c r="BO60"/>
      <c r="BV60"/>
      <c r="BW60"/>
      <c r="BX60"/>
      <c r="CE60"/>
      <c r="CF60"/>
      <c r="CG60"/>
      <c r="CN60"/>
      <c r="CO60"/>
      <c r="CP60"/>
    </row>
    <row r="61" spans="1:138" ht="15">
      <c r="A61">
        <v>2000</v>
      </c>
      <c r="B61">
        <v>7118340</v>
      </c>
      <c r="C61">
        <v>3167300</v>
      </c>
      <c r="D61">
        <v>1123130</v>
      </c>
      <c r="E61">
        <f t="shared" ref="E61:E71" si="238">B61-C61</f>
        <v>3951040</v>
      </c>
      <c r="F61">
        <v>30685730</v>
      </c>
      <c r="G61">
        <v>23548038</v>
      </c>
      <c r="H61">
        <f t="shared" ref="H61:H71" si="239">E61+D61</f>
        <v>5074170</v>
      </c>
      <c r="I61">
        <f>F61-G61</f>
        <v>7137692</v>
      </c>
      <c r="J61">
        <f>100*(H61+I61)/F61</f>
        <v>39.79655038351703</v>
      </c>
      <c r="K61">
        <v>131750</v>
      </c>
      <c r="L61">
        <v>54290</v>
      </c>
      <c r="M61">
        <v>20630</v>
      </c>
      <c r="N61">
        <f t="shared" ref="N61:N71" si="240">K61-L61</f>
        <v>77460</v>
      </c>
      <c r="O61" s="373">
        <v>527966</v>
      </c>
      <c r="P61" s="373">
        <v>410538</v>
      </c>
      <c r="Q61">
        <f t="shared" ref="Q61:Q71" si="241">N61+M61</f>
        <v>98090</v>
      </c>
      <c r="R61">
        <f>O61-P61</f>
        <v>117428</v>
      </c>
      <c r="S61">
        <f>100*(Q61+R61)/O61</f>
        <v>40.82043161870272</v>
      </c>
      <c r="T61">
        <v>31390</v>
      </c>
      <c r="U61">
        <v>12810</v>
      </c>
      <c r="V61">
        <v>5600</v>
      </c>
      <c r="W61">
        <f t="shared" ref="W61:W71" si="242">T61-U61</f>
        <v>18580</v>
      </c>
      <c r="X61" s="374">
        <v>136470</v>
      </c>
      <c r="Y61" s="374">
        <v>103040</v>
      </c>
      <c r="Z61">
        <f t="shared" ref="Z61:Z71" si="243">W61+V61</f>
        <v>24180</v>
      </c>
      <c r="AA61">
        <f>X61-Y61</f>
        <v>33430</v>
      </c>
      <c r="AB61">
        <f>100*(Z61+AA61)/X61</f>
        <v>42.214406096578003</v>
      </c>
      <c r="AC61">
        <v>214300</v>
      </c>
      <c r="AD61">
        <v>97720</v>
      </c>
      <c r="AE61">
        <v>40940</v>
      </c>
      <c r="AF61">
        <f t="shared" ref="AF61:AF71" si="244">AC61-AD61</f>
        <v>116580</v>
      </c>
      <c r="AG61" s="375">
        <v>933821</v>
      </c>
      <c r="AH61" s="375">
        <v>725529</v>
      </c>
      <c r="AI61">
        <f t="shared" ref="AI61:AI71" si="245">AF61+AE61</f>
        <v>157520</v>
      </c>
      <c r="AJ61">
        <f>AG61-AH61</f>
        <v>208292</v>
      </c>
      <c r="AK61">
        <f>100*(AI61+AJ61)/AG61</f>
        <v>39.173674612158003</v>
      </c>
      <c r="AL61">
        <v>180280</v>
      </c>
      <c r="AM61">
        <v>80780</v>
      </c>
      <c r="AN61">
        <v>31200</v>
      </c>
      <c r="AO61">
        <f t="shared" ref="AO61:AO71" si="246">AL61-AM61</f>
        <v>99500</v>
      </c>
      <c r="AP61" s="376">
        <v>750517</v>
      </c>
      <c r="AQ61" s="376">
        <v>584882</v>
      </c>
      <c r="AR61">
        <f t="shared" ref="AR61:AR71" si="247">AO61+AN61</f>
        <v>130700</v>
      </c>
      <c r="AS61">
        <f>AP61-AQ61</f>
        <v>165635</v>
      </c>
      <c r="AT61">
        <f>100*(AR61+AS61)/AP61</f>
        <v>39.484115616301828</v>
      </c>
      <c r="AU61">
        <v>1714530</v>
      </c>
      <c r="AV61">
        <v>781610</v>
      </c>
      <c r="AW61">
        <v>261930</v>
      </c>
      <c r="AX61">
        <f t="shared" ref="AX61:AX71" si="248">AU61-AV61</f>
        <v>932920</v>
      </c>
      <c r="AY61" s="377">
        <v>7356951</v>
      </c>
      <c r="AZ61" s="377">
        <v>5760160</v>
      </c>
      <c r="BA61">
        <f t="shared" ref="BA61:BA71" si="249">AX61+AW61</f>
        <v>1194850</v>
      </c>
      <c r="BB61">
        <f>AY61-AZ61</f>
        <v>1596791</v>
      </c>
      <c r="BC61">
        <f>100*(BA61+BB61)/AY61</f>
        <v>37.945624484925887</v>
      </c>
      <c r="BD61">
        <v>2725440</v>
      </c>
      <c r="BE61">
        <v>1178590</v>
      </c>
      <c r="BF61">
        <v>426730</v>
      </c>
      <c r="BG61">
        <f t="shared" ref="BG61:BG71" si="250">BD61-BE61</f>
        <v>1546850</v>
      </c>
      <c r="BH61" s="378">
        <v>11683290</v>
      </c>
      <c r="BI61" s="378">
        <v>8916505</v>
      </c>
      <c r="BJ61">
        <f t="shared" ref="BJ61:BJ71" si="251">BG61+BF61</f>
        <v>1973580</v>
      </c>
      <c r="BK61">
        <f>BH61-BI61</f>
        <v>2766785</v>
      </c>
      <c r="BL61">
        <f>100*(BJ61+BK61)/BH61</f>
        <v>40.573888005861363</v>
      </c>
      <c r="BM61">
        <v>257060</v>
      </c>
      <c r="BN61">
        <v>112290</v>
      </c>
      <c r="BO61">
        <v>44190</v>
      </c>
      <c r="BP61">
        <f t="shared" ref="BP61:BP71" si="252">BM61-BN61</f>
        <v>144770</v>
      </c>
      <c r="BQ61" s="379">
        <v>1147313</v>
      </c>
      <c r="BR61" s="379">
        <v>857618</v>
      </c>
      <c r="BS61">
        <f t="shared" ref="BS61:BS71" si="253">BP61+BO61</f>
        <v>188960</v>
      </c>
      <c r="BT61">
        <f>BQ61-BR61</f>
        <v>289695</v>
      </c>
      <c r="BU61">
        <f>100*(BS61+BT61)/BQ61</f>
        <v>41.719652788733327</v>
      </c>
      <c r="BV61">
        <v>225110</v>
      </c>
      <c r="BW61">
        <v>98810</v>
      </c>
      <c r="BX61">
        <v>39790</v>
      </c>
      <c r="BY61">
        <f t="shared" ref="BY61:BY71" si="254">BV61-BW61</f>
        <v>126300</v>
      </c>
      <c r="BZ61" s="380">
        <v>1007565</v>
      </c>
      <c r="CA61" s="380">
        <v>743196</v>
      </c>
      <c r="CB61">
        <f t="shared" ref="CB61:CB71" si="255">BY61+BX61</f>
        <v>166090</v>
      </c>
      <c r="CC61">
        <f>BZ61-CA61</f>
        <v>264369</v>
      </c>
      <c r="CD61">
        <f>100*(CB61+CC61)/BZ61</f>
        <v>42.7227027536685</v>
      </c>
      <c r="CE61">
        <v>700830</v>
      </c>
      <c r="CF61">
        <v>300670</v>
      </c>
      <c r="CG61">
        <v>103720</v>
      </c>
      <c r="CH61">
        <f t="shared" ref="CH61:CH71" si="256">CE61-CF61</f>
        <v>400160</v>
      </c>
      <c r="CI61" s="381">
        <v>3004198</v>
      </c>
      <c r="CJ61" s="381">
        <v>2240808</v>
      </c>
      <c r="CK61">
        <f t="shared" ref="CK61:CK71" si="257">CH61+CG61</f>
        <v>503880</v>
      </c>
      <c r="CL61">
        <f>CI61-CJ61</f>
        <v>763390</v>
      </c>
      <c r="CM61">
        <f>100*(CK61+CL61)/CI61</f>
        <v>42.183304828776265</v>
      </c>
      <c r="CN61">
        <v>919060</v>
      </c>
      <c r="CO61">
        <v>443600</v>
      </c>
      <c r="CP61">
        <v>143530</v>
      </c>
      <c r="CQ61">
        <f t="shared" ref="CQ61:CQ71" si="258">CN61-CO61</f>
        <v>475460</v>
      </c>
      <c r="CR61" s="382">
        <v>4039230</v>
      </c>
      <c r="CS61" s="382">
        <v>3139937</v>
      </c>
      <c r="CT61">
        <f t="shared" ref="CT61:CT71" si="259">CQ61+CP61</f>
        <v>618990</v>
      </c>
      <c r="CU61">
        <f>CR61-CS61</f>
        <v>899293</v>
      </c>
      <c r="CV61">
        <f>100*(CT61+CU61)/CR61</f>
        <v>37.588426507032281</v>
      </c>
    </row>
    <row r="62" spans="1:138" ht="15">
      <c r="A62">
        <v>2001</v>
      </c>
      <c r="B62">
        <v>7187680</v>
      </c>
      <c r="C62">
        <v>3190830</v>
      </c>
      <c r="D62">
        <v>1185080</v>
      </c>
      <c r="E62">
        <f t="shared" si="238"/>
        <v>3996850</v>
      </c>
      <c r="F62">
        <v>31019020</v>
      </c>
      <c r="G62">
        <v>23897941</v>
      </c>
      <c r="H62">
        <f t="shared" si="239"/>
        <v>5181930</v>
      </c>
      <c r="I62">
        <f t="shared" ref="I62:I71" si="260">F62-G62</f>
        <v>7121079</v>
      </c>
      <c r="J62">
        <f t="shared" ref="J62:J71" si="261">100*(H62+I62)/F62</f>
        <v>39.6627907651499</v>
      </c>
      <c r="K62">
        <v>130900</v>
      </c>
      <c r="L62">
        <v>53760</v>
      </c>
      <c r="M62">
        <v>21800</v>
      </c>
      <c r="N62">
        <f t="shared" si="240"/>
        <v>77140</v>
      </c>
      <c r="O62" s="373">
        <v>522033</v>
      </c>
      <c r="P62" s="373">
        <v>409003</v>
      </c>
      <c r="Q62">
        <f t="shared" si="241"/>
        <v>98940</v>
      </c>
      <c r="R62">
        <f t="shared" ref="R62:R71" si="262">O62-P62</f>
        <v>113030</v>
      </c>
      <c r="S62">
        <f t="shared" ref="S62:S71" si="263">100*(Q62+R62)/O62</f>
        <v>40.604712728888785</v>
      </c>
      <c r="T62">
        <v>31410</v>
      </c>
      <c r="U62">
        <v>12610</v>
      </c>
      <c r="V62">
        <v>6070</v>
      </c>
      <c r="W62">
        <f t="shared" si="242"/>
        <v>18800</v>
      </c>
      <c r="X62" s="374">
        <v>136663</v>
      </c>
      <c r="Y62" s="374">
        <v>103771</v>
      </c>
      <c r="Z62">
        <f t="shared" si="243"/>
        <v>24870</v>
      </c>
      <c r="AA62">
        <f t="shared" ref="AA62:AA71" si="264">X62-Y62</f>
        <v>32892</v>
      </c>
      <c r="AB62">
        <f t="shared" ref="AB62:AB71" si="265">100*(Z62+AA62)/X62</f>
        <v>42.266012014956502</v>
      </c>
      <c r="AC62">
        <v>214220</v>
      </c>
      <c r="AD62">
        <v>96800</v>
      </c>
      <c r="AE62">
        <v>43310</v>
      </c>
      <c r="AF62">
        <f t="shared" si="244"/>
        <v>117420</v>
      </c>
      <c r="AG62" s="375">
        <v>932454</v>
      </c>
      <c r="AH62" s="375">
        <v>727799</v>
      </c>
      <c r="AI62">
        <f t="shared" si="245"/>
        <v>160730</v>
      </c>
      <c r="AJ62">
        <f t="shared" ref="AJ62:AJ71" si="266">AG62-AH62</f>
        <v>204655</v>
      </c>
      <c r="AK62">
        <f t="shared" ref="AK62:AK71" si="267">100*(AI62+AJ62)/AG62</f>
        <v>39.185311018023413</v>
      </c>
      <c r="AL62">
        <v>180160</v>
      </c>
      <c r="AM62">
        <v>81090</v>
      </c>
      <c r="AN62">
        <v>32220</v>
      </c>
      <c r="AO62">
        <f t="shared" si="246"/>
        <v>99070</v>
      </c>
      <c r="AP62" s="376">
        <v>749801</v>
      </c>
      <c r="AQ62" s="376">
        <v>587447</v>
      </c>
      <c r="AR62">
        <f t="shared" si="247"/>
        <v>131290</v>
      </c>
      <c r="AS62">
        <f t="shared" ref="AS62:AS71" si="268">AP62-AQ62</f>
        <v>162354</v>
      </c>
      <c r="AT62">
        <f t="shared" ref="AT62:AT71" si="269">100*(AR62+AS62)/AP62</f>
        <v>39.162924562650623</v>
      </c>
      <c r="AU62">
        <v>1725700</v>
      </c>
      <c r="AV62">
        <v>786550</v>
      </c>
      <c r="AW62">
        <v>275340</v>
      </c>
      <c r="AX62">
        <f t="shared" si="248"/>
        <v>939150</v>
      </c>
      <c r="AY62" s="377">
        <v>7396331</v>
      </c>
      <c r="AZ62" s="377">
        <v>5815584</v>
      </c>
      <c r="BA62">
        <f t="shared" si="249"/>
        <v>1214490</v>
      </c>
      <c r="BB62">
        <f t="shared" ref="BB62:BB71" si="270">AY62-AZ62</f>
        <v>1580747</v>
      </c>
      <c r="BC62">
        <f t="shared" ref="BC62:BC71" si="271">100*(BA62+BB62)/AY62</f>
        <v>37.792210759632042</v>
      </c>
      <c r="BD62">
        <v>2766660</v>
      </c>
      <c r="BE62">
        <v>1187570</v>
      </c>
      <c r="BF62">
        <v>454420</v>
      </c>
      <c r="BG62">
        <f t="shared" si="250"/>
        <v>1579090</v>
      </c>
      <c r="BH62" s="378">
        <v>11896663</v>
      </c>
      <c r="BI62" s="378">
        <v>9104085</v>
      </c>
      <c r="BJ62">
        <f t="shared" si="251"/>
        <v>2033510</v>
      </c>
      <c r="BK62">
        <f t="shared" ref="BK62:BK71" si="272">BH62-BI62</f>
        <v>2792578</v>
      </c>
      <c r="BL62">
        <f t="shared" ref="BL62:BL71" si="273">100*(BJ62+BK62)/BH62</f>
        <v>40.56673707576654</v>
      </c>
      <c r="BM62">
        <v>257100</v>
      </c>
      <c r="BN62">
        <v>112600</v>
      </c>
      <c r="BO62">
        <v>46420</v>
      </c>
      <c r="BP62">
        <f t="shared" si="252"/>
        <v>144500</v>
      </c>
      <c r="BQ62" s="379">
        <v>1151439</v>
      </c>
      <c r="BR62" s="379">
        <v>863069</v>
      </c>
      <c r="BS62">
        <f t="shared" si="253"/>
        <v>190920</v>
      </c>
      <c r="BT62">
        <f t="shared" ref="BT62:BT71" si="274">BQ62-BR62</f>
        <v>288370</v>
      </c>
      <c r="BU62">
        <f t="shared" ref="BU62:BU71" si="275">100*(BS62+BT62)/BQ62</f>
        <v>41.625305378747811</v>
      </c>
      <c r="BV62">
        <v>223340</v>
      </c>
      <c r="BW62">
        <v>98170</v>
      </c>
      <c r="BX62">
        <v>41160</v>
      </c>
      <c r="BY62">
        <f t="shared" si="254"/>
        <v>125170</v>
      </c>
      <c r="BZ62" s="380">
        <v>1000221</v>
      </c>
      <c r="CA62" s="380">
        <v>741954</v>
      </c>
      <c r="CB62">
        <f t="shared" si="255"/>
        <v>166330</v>
      </c>
      <c r="CC62">
        <f t="shared" ref="CC62:CC71" si="276">BZ62-CA62</f>
        <v>258267</v>
      </c>
      <c r="CD62">
        <f t="shared" ref="CD62:CD71" si="277">100*(CB62+CC62)/BZ62</f>
        <v>42.450318479616001</v>
      </c>
      <c r="CE62">
        <v>711600</v>
      </c>
      <c r="CF62">
        <v>307860</v>
      </c>
      <c r="CG62">
        <v>109810</v>
      </c>
      <c r="CH62">
        <f t="shared" si="256"/>
        <v>403740</v>
      </c>
      <c r="CI62" s="381">
        <v>3058017</v>
      </c>
      <c r="CJ62" s="381">
        <v>2294517</v>
      </c>
      <c r="CK62">
        <f t="shared" si="257"/>
        <v>513550</v>
      </c>
      <c r="CL62">
        <f t="shared" ref="CL62:CL71" si="278">CI62-CJ62</f>
        <v>763500</v>
      </c>
      <c r="CM62">
        <f t="shared" ref="CM62:CM71" si="279">100*(CK62+CL62)/CI62</f>
        <v>41.760722716714788</v>
      </c>
      <c r="CN62">
        <v>927880</v>
      </c>
      <c r="CO62">
        <v>447520</v>
      </c>
      <c r="CP62">
        <v>149180</v>
      </c>
      <c r="CQ62">
        <f t="shared" si="258"/>
        <v>480360</v>
      </c>
      <c r="CR62" s="382">
        <v>4076264</v>
      </c>
      <c r="CS62" s="382">
        <v>3183961</v>
      </c>
      <c r="CT62">
        <f t="shared" si="259"/>
        <v>629540</v>
      </c>
      <c r="CU62">
        <f t="shared" ref="CU62:CU71" si="280">CR62-CS62</f>
        <v>892303</v>
      </c>
      <c r="CV62">
        <f t="shared" ref="CV62:CV71" si="281">100*(CT62+CU62)/CR62</f>
        <v>37.334259998861704</v>
      </c>
    </row>
    <row r="63" spans="1:138" ht="15">
      <c r="A63">
        <v>2002</v>
      </c>
      <c r="B63">
        <v>7249010</v>
      </c>
      <c r="C63">
        <v>3150910</v>
      </c>
      <c r="D63">
        <v>1171990</v>
      </c>
      <c r="E63">
        <f t="shared" si="238"/>
        <v>4098100</v>
      </c>
      <c r="F63">
        <v>31353656</v>
      </c>
      <c r="G63">
        <v>24257671</v>
      </c>
      <c r="H63">
        <f t="shared" si="239"/>
        <v>5270090</v>
      </c>
      <c r="I63">
        <f t="shared" si="260"/>
        <v>7095985</v>
      </c>
      <c r="J63">
        <f t="shared" si="261"/>
        <v>39.440615792939745</v>
      </c>
      <c r="K63">
        <v>130890</v>
      </c>
      <c r="L63">
        <v>53730</v>
      </c>
      <c r="M63">
        <v>21720</v>
      </c>
      <c r="N63">
        <f t="shared" si="240"/>
        <v>77160</v>
      </c>
      <c r="O63" s="373">
        <v>519531</v>
      </c>
      <c r="P63" s="373">
        <v>410036</v>
      </c>
      <c r="Q63">
        <f t="shared" si="241"/>
        <v>98880</v>
      </c>
      <c r="R63">
        <f t="shared" si="262"/>
        <v>109495</v>
      </c>
      <c r="S63">
        <f t="shared" si="263"/>
        <v>40.10828997692149</v>
      </c>
      <c r="T63">
        <v>31420</v>
      </c>
      <c r="U63">
        <v>12490</v>
      </c>
      <c r="V63">
        <v>6010</v>
      </c>
      <c r="W63">
        <f t="shared" si="242"/>
        <v>18930</v>
      </c>
      <c r="X63" s="374">
        <v>136876</v>
      </c>
      <c r="Y63" s="374">
        <v>104592</v>
      </c>
      <c r="Z63">
        <f t="shared" si="243"/>
        <v>24940</v>
      </c>
      <c r="AA63">
        <f t="shared" si="264"/>
        <v>32284</v>
      </c>
      <c r="AB63">
        <f t="shared" si="265"/>
        <v>41.807183143867441</v>
      </c>
      <c r="AC63">
        <v>214450</v>
      </c>
      <c r="AD63">
        <v>95750</v>
      </c>
      <c r="AE63">
        <v>42870</v>
      </c>
      <c r="AF63">
        <f t="shared" si="244"/>
        <v>118700</v>
      </c>
      <c r="AG63" s="375">
        <v>935015</v>
      </c>
      <c r="AH63" s="375">
        <v>734140</v>
      </c>
      <c r="AI63">
        <f t="shared" si="245"/>
        <v>161570</v>
      </c>
      <c r="AJ63">
        <f t="shared" si="266"/>
        <v>200875</v>
      </c>
      <c r="AK63">
        <f t="shared" si="267"/>
        <v>38.76354924787303</v>
      </c>
      <c r="AL63">
        <v>180160</v>
      </c>
      <c r="AM63">
        <v>80230</v>
      </c>
      <c r="AN63">
        <v>31970</v>
      </c>
      <c r="AO63">
        <f t="shared" si="246"/>
        <v>99930</v>
      </c>
      <c r="AP63" s="376">
        <v>749331</v>
      </c>
      <c r="AQ63" s="376">
        <v>590175</v>
      </c>
      <c r="AR63">
        <f t="shared" si="247"/>
        <v>131900</v>
      </c>
      <c r="AS63">
        <f t="shared" si="268"/>
        <v>159156</v>
      </c>
      <c r="AT63">
        <f t="shared" si="269"/>
        <v>38.842113832204994</v>
      </c>
      <c r="AU63">
        <v>1728810</v>
      </c>
      <c r="AV63">
        <v>774390</v>
      </c>
      <c r="AW63">
        <v>273430</v>
      </c>
      <c r="AX63">
        <f t="shared" si="248"/>
        <v>954420</v>
      </c>
      <c r="AY63" s="377">
        <v>7441076</v>
      </c>
      <c r="AZ63" s="377">
        <v>5870392</v>
      </c>
      <c r="BA63">
        <f t="shared" si="249"/>
        <v>1227850</v>
      </c>
      <c r="BB63">
        <f t="shared" si="270"/>
        <v>1570684</v>
      </c>
      <c r="BC63">
        <f t="shared" si="271"/>
        <v>37.60926511165858</v>
      </c>
      <c r="BD63">
        <v>2804720</v>
      </c>
      <c r="BE63">
        <v>1169380</v>
      </c>
      <c r="BF63">
        <v>449510</v>
      </c>
      <c r="BG63">
        <f t="shared" si="250"/>
        <v>1635340</v>
      </c>
      <c r="BH63" s="378">
        <v>12091029</v>
      </c>
      <c r="BI63" s="378">
        <v>9288379</v>
      </c>
      <c r="BJ63">
        <f t="shared" si="251"/>
        <v>2084850</v>
      </c>
      <c r="BK63">
        <f t="shared" si="272"/>
        <v>2802650</v>
      </c>
      <c r="BL63">
        <f t="shared" si="273"/>
        <v>40.422531448729465</v>
      </c>
      <c r="BM63">
        <v>257900</v>
      </c>
      <c r="BN63">
        <v>110780</v>
      </c>
      <c r="BO63">
        <v>46270</v>
      </c>
      <c r="BP63">
        <f t="shared" si="252"/>
        <v>147120</v>
      </c>
      <c r="BQ63" s="379">
        <v>1156613</v>
      </c>
      <c r="BR63" s="379">
        <v>869973</v>
      </c>
      <c r="BS63">
        <f t="shared" si="253"/>
        <v>193390</v>
      </c>
      <c r="BT63">
        <f t="shared" si="274"/>
        <v>286640</v>
      </c>
      <c r="BU63">
        <f t="shared" si="275"/>
        <v>41.503078384904889</v>
      </c>
      <c r="BV63">
        <v>222900</v>
      </c>
      <c r="BW63">
        <v>96480</v>
      </c>
      <c r="BX63">
        <v>41470</v>
      </c>
      <c r="BY63">
        <f t="shared" si="254"/>
        <v>126420</v>
      </c>
      <c r="BZ63" s="380">
        <v>996801</v>
      </c>
      <c r="CA63" s="380">
        <v>743468</v>
      </c>
      <c r="CB63">
        <f t="shared" si="255"/>
        <v>167890</v>
      </c>
      <c r="CC63">
        <f t="shared" si="276"/>
        <v>253333</v>
      </c>
      <c r="CD63">
        <f t="shared" si="277"/>
        <v>42.257481683906818</v>
      </c>
      <c r="CE63">
        <v>719830</v>
      </c>
      <c r="CF63">
        <v>306820</v>
      </c>
      <c r="CG63">
        <v>107700</v>
      </c>
      <c r="CH63">
        <f t="shared" si="256"/>
        <v>413010</v>
      </c>
      <c r="CI63" s="381">
        <v>3128364</v>
      </c>
      <c r="CJ63" s="381">
        <v>2359462</v>
      </c>
      <c r="CK63">
        <f t="shared" si="257"/>
        <v>520710</v>
      </c>
      <c r="CL63">
        <f t="shared" si="278"/>
        <v>768902</v>
      </c>
      <c r="CM63">
        <f t="shared" si="279"/>
        <v>41.223208041008014</v>
      </c>
      <c r="CN63">
        <v>938750</v>
      </c>
      <c r="CO63">
        <v>444640</v>
      </c>
      <c r="CP63">
        <v>145860</v>
      </c>
      <c r="CQ63">
        <f t="shared" si="258"/>
        <v>494110</v>
      </c>
      <c r="CR63" s="382">
        <v>4098178</v>
      </c>
      <c r="CS63" s="382">
        <v>3218517</v>
      </c>
      <c r="CT63">
        <f t="shared" si="259"/>
        <v>639970</v>
      </c>
      <c r="CU63">
        <f t="shared" si="280"/>
        <v>879661</v>
      </c>
      <c r="CV63">
        <f t="shared" si="281"/>
        <v>37.080649010365093</v>
      </c>
    </row>
    <row r="64" spans="1:138" ht="15">
      <c r="A64">
        <v>2003</v>
      </c>
      <c r="B64">
        <v>7319570</v>
      </c>
      <c r="C64">
        <v>3288590</v>
      </c>
      <c r="D64">
        <v>1213490</v>
      </c>
      <c r="E64">
        <f t="shared" si="238"/>
        <v>4030980</v>
      </c>
      <c r="F64">
        <v>31639670</v>
      </c>
      <c r="G64">
        <v>24585731</v>
      </c>
      <c r="H64">
        <f t="shared" si="239"/>
        <v>5244470</v>
      </c>
      <c r="I64">
        <f t="shared" si="260"/>
        <v>7053939</v>
      </c>
      <c r="J64">
        <f t="shared" si="261"/>
        <v>38.87021893717602</v>
      </c>
      <c r="K64">
        <v>130530</v>
      </c>
      <c r="L64">
        <v>56410</v>
      </c>
      <c r="M64">
        <v>22280</v>
      </c>
      <c r="N64">
        <f t="shared" si="240"/>
        <v>74120</v>
      </c>
      <c r="O64" s="373">
        <v>518520</v>
      </c>
      <c r="P64" s="373">
        <v>411930</v>
      </c>
      <c r="Q64">
        <f t="shared" si="241"/>
        <v>96400</v>
      </c>
      <c r="R64">
        <f t="shared" si="262"/>
        <v>106590</v>
      </c>
      <c r="S64">
        <f t="shared" si="263"/>
        <v>39.147959577258348</v>
      </c>
      <c r="T64">
        <v>31790</v>
      </c>
      <c r="U64">
        <v>13310</v>
      </c>
      <c r="V64">
        <v>6080</v>
      </c>
      <c r="W64">
        <f t="shared" si="242"/>
        <v>18480</v>
      </c>
      <c r="X64" s="374">
        <v>137221</v>
      </c>
      <c r="Y64" s="374">
        <v>105593</v>
      </c>
      <c r="Z64">
        <f t="shared" si="243"/>
        <v>24560</v>
      </c>
      <c r="AA64">
        <f t="shared" si="264"/>
        <v>31628</v>
      </c>
      <c r="AB64">
        <f t="shared" si="265"/>
        <v>40.947085358655016</v>
      </c>
      <c r="AC64">
        <v>214540</v>
      </c>
      <c r="AD64">
        <v>99890</v>
      </c>
      <c r="AE64">
        <v>43780</v>
      </c>
      <c r="AF64">
        <f t="shared" si="244"/>
        <v>114650</v>
      </c>
      <c r="AG64" s="375">
        <v>937491</v>
      </c>
      <c r="AH64" s="375">
        <v>739992</v>
      </c>
      <c r="AI64">
        <f t="shared" si="245"/>
        <v>158430</v>
      </c>
      <c r="AJ64">
        <f t="shared" si="266"/>
        <v>197499</v>
      </c>
      <c r="AK64">
        <f t="shared" si="267"/>
        <v>37.96612447479496</v>
      </c>
      <c r="AL64">
        <v>180150</v>
      </c>
      <c r="AM64">
        <v>83760</v>
      </c>
      <c r="AN64">
        <v>32640</v>
      </c>
      <c r="AO64">
        <f t="shared" si="246"/>
        <v>96390</v>
      </c>
      <c r="AP64" s="376">
        <v>749389</v>
      </c>
      <c r="AQ64" s="376">
        <v>593021</v>
      </c>
      <c r="AR64">
        <f t="shared" si="247"/>
        <v>129030</v>
      </c>
      <c r="AS64">
        <f t="shared" si="268"/>
        <v>156368</v>
      </c>
      <c r="AT64">
        <f t="shared" si="269"/>
        <v>38.084092507362662</v>
      </c>
      <c r="AU64">
        <v>1754150</v>
      </c>
      <c r="AV64">
        <v>824290</v>
      </c>
      <c r="AW64">
        <v>278630</v>
      </c>
      <c r="AX64">
        <f t="shared" si="248"/>
        <v>929860</v>
      </c>
      <c r="AY64" s="377">
        <v>7485838</v>
      </c>
      <c r="AZ64" s="377">
        <v>5925421</v>
      </c>
      <c r="BA64">
        <f t="shared" si="249"/>
        <v>1208490</v>
      </c>
      <c r="BB64">
        <f t="shared" si="270"/>
        <v>1560417</v>
      </c>
      <c r="BC64">
        <f t="shared" si="271"/>
        <v>36.988604348638056</v>
      </c>
      <c r="BD64">
        <v>2830190</v>
      </c>
      <c r="BE64">
        <v>1208450</v>
      </c>
      <c r="BF64">
        <v>470510</v>
      </c>
      <c r="BG64">
        <f t="shared" si="250"/>
        <v>1621740</v>
      </c>
      <c r="BH64" s="378">
        <v>12242273</v>
      </c>
      <c r="BI64" s="378">
        <v>9447593</v>
      </c>
      <c r="BJ64">
        <f t="shared" si="251"/>
        <v>2092250</v>
      </c>
      <c r="BK64">
        <f t="shared" si="272"/>
        <v>2794680</v>
      </c>
      <c r="BL64">
        <f t="shared" si="273"/>
        <v>39.918485725649148</v>
      </c>
      <c r="BM64">
        <v>258570</v>
      </c>
      <c r="BN64">
        <v>114700</v>
      </c>
      <c r="BO64">
        <v>48060</v>
      </c>
      <c r="BP64">
        <f t="shared" si="252"/>
        <v>143870</v>
      </c>
      <c r="BQ64" s="379">
        <v>1163819</v>
      </c>
      <c r="BR64" s="379">
        <v>878587</v>
      </c>
      <c r="BS64">
        <f t="shared" si="253"/>
        <v>191930</v>
      </c>
      <c r="BT64">
        <f t="shared" si="274"/>
        <v>285232</v>
      </c>
      <c r="BU64">
        <f t="shared" si="275"/>
        <v>40.999674347987103</v>
      </c>
      <c r="BV64">
        <v>221980</v>
      </c>
      <c r="BW64">
        <v>99340</v>
      </c>
      <c r="BX64">
        <v>42550</v>
      </c>
      <c r="BY64">
        <f t="shared" si="254"/>
        <v>122640</v>
      </c>
      <c r="BZ64" s="380">
        <v>996483</v>
      </c>
      <c r="CA64" s="380">
        <v>747613</v>
      </c>
      <c r="CB64">
        <f t="shared" si="255"/>
        <v>165190</v>
      </c>
      <c r="CC64">
        <f t="shared" si="276"/>
        <v>248870</v>
      </c>
      <c r="CD64">
        <f t="shared" si="277"/>
        <v>41.552138872414282</v>
      </c>
      <c r="CE64">
        <v>730520</v>
      </c>
      <c r="CF64">
        <v>322290</v>
      </c>
      <c r="CG64">
        <v>113310</v>
      </c>
      <c r="CH64">
        <f t="shared" si="256"/>
        <v>408230</v>
      </c>
      <c r="CI64" s="381">
        <v>3183396</v>
      </c>
      <c r="CJ64" s="381">
        <v>2412787</v>
      </c>
      <c r="CK64">
        <f t="shared" si="257"/>
        <v>521540</v>
      </c>
      <c r="CL64">
        <f t="shared" si="278"/>
        <v>770609</v>
      </c>
      <c r="CM64">
        <f t="shared" si="279"/>
        <v>40.590269008316902</v>
      </c>
      <c r="CN64">
        <v>947710</v>
      </c>
      <c r="CO64">
        <v>459450</v>
      </c>
      <c r="CP64">
        <v>150250</v>
      </c>
      <c r="CQ64">
        <f t="shared" si="258"/>
        <v>488260</v>
      </c>
      <c r="CR64" s="382">
        <v>4122396</v>
      </c>
      <c r="CS64" s="382">
        <v>3252732</v>
      </c>
      <c r="CT64">
        <f t="shared" si="259"/>
        <v>638510</v>
      </c>
      <c r="CU64">
        <f t="shared" si="280"/>
        <v>869664</v>
      </c>
      <c r="CV64">
        <f t="shared" si="281"/>
        <v>36.584888982038599</v>
      </c>
      <c r="CW64" s="134"/>
    </row>
    <row r="65" spans="1:101" ht="15">
      <c r="A65">
        <v>2004</v>
      </c>
      <c r="B65">
        <v>7449160</v>
      </c>
      <c r="C65">
        <v>3381150</v>
      </c>
      <c r="D65">
        <v>1202650</v>
      </c>
      <c r="E65">
        <f t="shared" si="238"/>
        <v>4068010</v>
      </c>
      <c r="F65">
        <v>31940676</v>
      </c>
      <c r="G65">
        <v>24916744</v>
      </c>
      <c r="H65">
        <f t="shared" si="239"/>
        <v>5270660</v>
      </c>
      <c r="I65">
        <f t="shared" si="260"/>
        <v>7023932</v>
      </c>
      <c r="J65">
        <f t="shared" si="261"/>
        <v>38.491959281012086</v>
      </c>
      <c r="K65">
        <v>130650</v>
      </c>
      <c r="L65">
        <v>58300</v>
      </c>
      <c r="M65">
        <v>22110</v>
      </c>
      <c r="N65">
        <f t="shared" si="240"/>
        <v>72350</v>
      </c>
      <c r="O65" s="373">
        <v>517447</v>
      </c>
      <c r="P65" s="373">
        <v>413447</v>
      </c>
      <c r="Q65">
        <f t="shared" si="241"/>
        <v>94460</v>
      </c>
      <c r="R65">
        <f t="shared" si="262"/>
        <v>104000</v>
      </c>
      <c r="S65">
        <f t="shared" si="263"/>
        <v>38.353686464507476</v>
      </c>
      <c r="T65">
        <v>31980</v>
      </c>
      <c r="U65">
        <v>13700</v>
      </c>
      <c r="V65">
        <v>6140</v>
      </c>
      <c r="W65">
        <f t="shared" si="242"/>
        <v>18280</v>
      </c>
      <c r="X65" s="374">
        <v>137674</v>
      </c>
      <c r="Y65" s="374">
        <v>106675</v>
      </c>
      <c r="Z65">
        <f t="shared" si="243"/>
        <v>24420</v>
      </c>
      <c r="AA65">
        <f t="shared" si="264"/>
        <v>30999</v>
      </c>
      <c r="AB65">
        <f t="shared" si="265"/>
        <v>40.253787933814664</v>
      </c>
      <c r="AC65">
        <v>215640</v>
      </c>
      <c r="AD65">
        <v>102300</v>
      </c>
      <c r="AE65">
        <v>43070</v>
      </c>
      <c r="AF65">
        <f t="shared" si="244"/>
        <v>113340</v>
      </c>
      <c r="AG65" s="375">
        <v>939376</v>
      </c>
      <c r="AH65" s="375">
        <v>745260</v>
      </c>
      <c r="AI65">
        <f t="shared" si="245"/>
        <v>156410</v>
      </c>
      <c r="AJ65">
        <f t="shared" si="266"/>
        <v>194116</v>
      </c>
      <c r="AK65">
        <f t="shared" si="267"/>
        <v>37.314770656265438</v>
      </c>
      <c r="AL65">
        <v>182020</v>
      </c>
      <c r="AM65">
        <v>86310</v>
      </c>
      <c r="AN65">
        <v>31930</v>
      </c>
      <c r="AO65">
        <f t="shared" si="246"/>
        <v>95710</v>
      </c>
      <c r="AP65" s="376">
        <v>749369</v>
      </c>
      <c r="AQ65" s="376">
        <v>595460</v>
      </c>
      <c r="AR65">
        <f t="shared" si="247"/>
        <v>127640</v>
      </c>
      <c r="AS65">
        <f t="shared" si="268"/>
        <v>153909</v>
      </c>
      <c r="AT65">
        <f t="shared" si="269"/>
        <v>37.571476802483154</v>
      </c>
      <c r="AU65">
        <v>1778740</v>
      </c>
      <c r="AV65">
        <v>847560</v>
      </c>
      <c r="AW65">
        <v>271850</v>
      </c>
      <c r="AX65">
        <f t="shared" si="248"/>
        <v>931180</v>
      </c>
      <c r="AY65" s="377">
        <v>7535929</v>
      </c>
      <c r="AZ65" s="377">
        <v>5982286</v>
      </c>
      <c r="BA65">
        <f t="shared" si="249"/>
        <v>1203030</v>
      </c>
      <c r="BB65">
        <f t="shared" si="270"/>
        <v>1553643</v>
      </c>
      <c r="BC65">
        <f t="shared" si="271"/>
        <v>36.580400372668052</v>
      </c>
      <c r="BD65">
        <v>2883680</v>
      </c>
      <c r="BE65">
        <v>1236370</v>
      </c>
      <c r="BF65">
        <v>470180</v>
      </c>
      <c r="BG65">
        <f t="shared" si="250"/>
        <v>1647310</v>
      </c>
      <c r="BH65" s="378">
        <v>12390599</v>
      </c>
      <c r="BI65" s="378">
        <v>9601097</v>
      </c>
      <c r="BJ65">
        <f t="shared" si="251"/>
        <v>2117490</v>
      </c>
      <c r="BK65">
        <f t="shared" si="272"/>
        <v>2789502</v>
      </c>
      <c r="BL65">
        <f t="shared" si="273"/>
        <v>39.602540603565657</v>
      </c>
      <c r="BM65">
        <v>260270</v>
      </c>
      <c r="BN65">
        <v>116870</v>
      </c>
      <c r="BO65">
        <v>47910</v>
      </c>
      <c r="BP65">
        <f t="shared" si="252"/>
        <v>143400</v>
      </c>
      <c r="BQ65" s="379">
        <v>1173566</v>
      </c>
      <c r="BR65" s="379">
        <v>888796</v>
      </c>
      <c r="BS65">
        <f t="shared" si="253"/>
        <v>191310</v>
      </c>
      <c r="BT65">
        <f t="shared" si="274"/>
        <v>284770</v>
      </c>
      <c r="BU65">
        <f t="shared" si="275"/>
        <v>40.566955757068627</v>
      </c>
      <c r="BV65">
        <v>221900</v>
      </c>
      <c r="BW65">
        <v>100940</v>
      </c>
      <c r="BX65">
        <v>42280</v>
      </c>
      <c r="BY65">
        <f t="shared" si="254"/>
        <v>120960</v>
      </c>
      <c r="BZ65" s="380">
        <v>997447</v>
      </c>
      <c r="CA65" s="380">
        <v>752280</v>
      </c>
      <c r="CB65">
        <f t="shared" si="255"/>
        <v>163240</v>
      </c>
      <c r="CC65">
        <f t="shared" si="276"/>
        <v>245167</v>
      </c>
      <c r="CD65">
        <f t="shared" si="277"/>
        <v>40.94523318030933</v>
      </c>
      <c r="CE65">
        <v>755880</v>
      </c>
      <c r="CF65">
        <v>338290</v>
      </c>
      <c r="CG65">
        <v>114010</v>
      </c>
      <c r="CH65">
        <f t="shared" si="256"/>
        <v>417590</v>
      </c>
      <c r="CI65" s="381">
        <v>3239471</v>
      </c>
      <c r="CJ65" s="381">
        <v>2467082</v>
      </c>
      <c r="CK65">
        <f t="shared" si="257"/>
        <v>531600</v>
      </c>
      <c r="CL65">
        <f t="shared" si="278"/>
        <v>772389</v>
      </c>
      <c r="CM65">
        <f t="shared" si="279"/>
        <v>40.253146269869369</v>
      </c>
      <c r="CN65">
        <v>968810</v>
      </c>
      <c r="CO65">
        <v>473700</v>
      </c>
      <c r="CP65">
        <v>147760</v>
      </c>
      <c r="CQ65">
        <f t="shared" si="258"/>
        <v>495110</v>
      </c>
      <c r="CR65" s="382">
        <v>4155170</v>
      </c>
      <c r="CS65" s="382">
        <v>3292077</v>
      </c>
      <c r="CT65">
        <f t="shared" si="259"/>
        <v>642870</v>
      </c>
      <c r="CU65">
        <f t="shared" si="280"/>
        <v>863093</v>
      </c>
      <c r="CV65">
        <f t="shared" si="281"/>
        <v>36.243114000149212</v>
      </c>
      <c r="CW65" s="134"/>
    </row>
    <row r="66" spans="1:101" ht="15">
      <c r="A66">
        <v>2005</v>
      </c>
      <c r="B66">
        <v>7486160</v>
      </c>
      <c r="C66">
        <v>3446960</v>
      </c>
      <c r="D66">
        <v>1219840</v>
      </c>
      <c r="E66">
        <f t="shared" si="238"/>
        <v>4039200</v>
      </c>
      <c r="F66">
        <v>32245209</v>
      </c>
      <c r="G66">
        <v>25239226</v>
      </c>
      <c r="H66">
        <f t="shared" si="239"/>
        <v>5259040</v>
      </c>
      <c r="I66">
        <f t="shared" si="260"/>
        <v>7005983</v>
      </c>
      <c r="J66">
        <f t="shared" si="261"/>
        <v>38.036729735570951</v>
      </c>
      <c r="K66">
        <v>129540</v>
      </c>
      <c r="L66">
        <v>59410</v>
      </c>
      <c r="M66">
        <v>22060</v>
      </c>
      <c r="N66">
        <f t="shared" si="240"/>
        <v>70130</v>
      </c>
      <c r="O66" s="373">
        <v>514363</v>
      </c>
      <c r="P66" s="373">
        <v>412862</v>
      </c>
      <c r="Q66">
        <f t="shared" si="241"/>
        <v>92190</v>
      </c>
      <c r="R66">
        <f t="shared" si="262"/>
        <v>101501</v>
      </c>
      <c r="S66">
        <f t="shared" si="263"/>
        <v>37.656479956762055</v>
      </c>
      <c r="T66">
        <v>32070</v>
      </c>
      <c r="U66">
        <v>14190</v>
      </c>
      <c r="V66">
        <v>5980</v>
      </c>
      <c r="W66">
        <f t="shared" si="242"/>
        <v>17880</v>
      </c>
      <c r="X66" s="374">
        <v>138055</v>
      </c>
      <c r="Y66" s="374">
        <v>107540</v>
      </c>
      <c r="Z66">
        <f t="shared" si="243"/>
        <v>23860</v>
      </c>
      <c r="AA66">
        <f t="shared" si="264"/>
        <v>30515</v>
      </c>
      <c r="AB66">
        <f t="shared" si="265"/>
        <v>39.38647640433161</v>
      </c>
      <c r="AC66">
        <v>214870</v>
      </c>
      <c r="AD66">
        <v>104520</v>
      </c>
      <c r="AE66">
        <v>42660</v>
      </c>
      <c r="AF66">
        <f t="shared" si="244"/>
        <v>110350</v>
      </c>
      <c r="AG66" s="375">
        <v>937941</v>
      </c>
      <c r="AH66" s="375">
        <v>747741</v>
      </c>
      <c r="AI66">
        <f t="shared" si="245"/>
        <v>153010</v>
      </c>
      <c r="AJ66">
        <f t="shared" si="266"/>
        <v>190200</v>
      </c>
      <c r="AK66">
        <f t="shared" si="267"/>
        <v>36.591853858611579</v>
      </c>
      <c r="AL66">
        <v>181730</v>
      </c>
      <c r="AM66">
        <v>88530</v>
      </c>
      <c r="AN66">
        <v>31760</v>
      </c>
      <c r="AO66">
        <f t="shared" si="246"/>
        <v>93200</v>
      </c>
      <c r="AP66" s="376">
        <v>747960</v>
      </c>
      <c r="AQ66" s="376">
        <v>596552</v>
      </c>
      <c r="AR66">
        <f t="shared" si="247"/>
        <v>124960</v>
      </c>
      <c r="AS66">
        <f t="shared" si="268"/>
        <v>151408</v>
      </c>
      <c r="AT66">
        <f t="shared" si="269"/>
        <v>36.949569495694959</v>
      </c>
      <c r="AU66">
        <v>1784680</v>
      </c>
      <c r="AV66">
        <v>863810</v>
      </c>
      <c r="AW66">
        <v>265080</v>
      </c>
      <c r="AX66">
        <f t="shared" si="248"/>
        <v>920870</v>
      </c>
      <c r="AY66" s="377">
        <v>7581911</v>
      </c>
      <c r="AZ66" s="377">
        <v>6031816</v>
      </c>
      <c r="BA66">
        <f t="shared" si="249"/>
        <v>1185950</v>
      </c>
      <c r="BB66">
        <f t="shared" si="270"/>
        <v>1550095</v>
      </c>
      <c r="BC66">
        <f t="shared" si="271"/>
        <v>36.086482682268361</v>
      </c>
      <c r="BD66">
        <v>2891660</v>
      </c>
      <c r="BE66">
        <v>1259530</v>
      </c>
      <c r="BF66">
        <v>488800</v>
      </c>
      <c r="BG66">
        <f t="shared" si="250"/>
        <v>1632130</v>
      </c>
      <c r="BH66" s="378">
        <v>12528480</v>
      </c>
      <c r="BI66" s="378">
        <v>9743206</v>
      </c>
      <c r="BJ66">
        <f t="shared" si="251"/>
        <v>2120930</v>
      </c>
      <c r="BK66">
        <f t="shared" si="272"/>
        <v>2785274</v>
      </c>
      <c r="BL66">
        <f t="shared" si="273"/>
        <v>39.160408924306857</v>
      </c>
      <c r="BM66">
        <v>260530</v>
      </c>
      <c r="BN66">
        <v>118670</v>
      </c>
      <c r="BO66">
        <v>47520</v>
      </c>
      <c r="BP66">
        <f t="shared" si="252"/>
        <v>141860</v>
      </c>
      <c r="BQ66" s="379">
        <v>1178301</v>
      </c>
      <c r="BR66" s="379">
        <v>895310</v>
      </c>
      <c r="BS66">
        <f t="shared" si="253"/>
        <v>189380</v>
      </c>
      <c r="BT66">
        <f t="shared" si="274"/>
        <v>282991</v>
      </c>
      <c r="BU66">
        <f t="shared" si="275"/>
        <v>40.089162276871527</v>
      </c>
      <c r="BV66">
        <v>221170</v>
      </c>
      <c r="BW66">
        <v>102890</v>
      </c>
      <c r="BX66">
        <v>41640</v>
      </c>
      <c r="BY66">
        <f t="shared" si="254"/>
        <v>118280</v>
      </c>
      <c r="BZ66" s="380">
        <v>993579</v>
      </c>
      <c r="CA66" s="380">
        <v>752832</v>
      </c>
      <c r="CB66">
        <f t="shared" si="255"/>
        <v>159920</v>
      </c>
      <c r="CC66">
        <f t="shared" si="276"/>
        <v>240747</v>
      </c>
      <c r="CD66">
        <f t="shared" si="277"/>
        <v>40.325630875853861</v>
      </c>
      <c r="CE66">
        <v>771640</v>
      </c>
      <c r="CF66">
        <v>342650</v>
      </c>
      <c r="CG66">
        <v>118200</v>
      </c>
      <c r="CH66">
        <f t="shared" si="256"/>
        <v>428990</v>
      </c>
      <c r="CI66" s="381">
        <v>3322200</v>
      </c>
      <c r="CJ66" s="381">
        <v>2541132</v>
      </c>
      <c r="CK66">
        <f t="shared" si="257"/>
        <v>547190</v>
      </c>
      <c r="CL66">
        <f t="shared" si="278"/>
        <v>781068</v>
      </c>
      <c r="CM66">
        <f t="shared" si="279"/>
        <v>39.981277466738909</v>
      </c>
      <c r="CN66">
        <v>978570</v>
      </c>
      <c r="CO66">
        <v>485750</v>
      </c>
      <c r="CP66">
        <v>150730</v>
      </c>
      <c r="CQ66">
        <f t="shared" si="258"/>
        <v>492820</v>
      </c>
      <c r="CR66" s="382">
        <v>4196788</v>
      </c>
      <c r="CS66" s="382">
        <v>3336784</v>
      </c>
      <c r="CT66">
        <f t="shared" si="259"/>
        <v>643550</v>
      </c>
      <c r="CU66">
        <f t="shared" si="280"/>
        <v>860004</v>
      </c>
      <c r="CV66">
        <f t="shared" si="281"/>
        <v>35.826303353898268</v>
      </c>
      <c r="CW66" s="134"/>
    </row>
    <row r="67" spans="1:101" ht="15">
      <c r="A67">
        <v>2006</v>
      </c>
      <c r="B67">
        <v>7629330</v>
      </c>
      <c r="C67">
        <v>3506390</v>
      </c>
      <c r="D67">
        <v>1154270</v>
      </c>
      <c r="E67">
        <f t="shared" si="238"/>
        <v>4122940</v>
      </c>
      <c r="F67">
        <v>32576074</v>
      </c>
      <c r="G67">
        <v>25579612</v>
      </c>
      <c r="H67">
        <f t="shared" si="239"/>
        <v>5277210</v>
      </c>
      <c r="I67">
        <f t="shared" si="260"/>
        <v>6996462</v>
      </c>
      <c r="J67">
        <f t="shared" si="261"/>
        <v>37.676952723032251</v>
      </c>
      <c r="K67">
        <v>129220</v>
      </c>
      <c r="L67">
        <v>60700</v>
      </c>
      <c r="M67">
        <v>21400</v>
      </c>
      <c r="N67">
        <f t="shared" si="240"/>
        <v>68520</v>
      </c>
      <c r="O67" s="373">
        <v>510313</v>
      </c>
      <c r="P67" s="373">
        <v>411623</v>
      </c>
      <c r="Q67">
        <f t="shared" si="241"/>
        <v>89920</v>
      </c>
      <c r="R67">
        <f t="shared" si="262"/>
        <v>98690</v>
      </c>
      <c r="S67">
        <f t="shared" si="263"/>
        <v>36.959669849680488</v>
      </c>
      <c r="T67">
        <v>32310</v>
      </c>
      <c r="U67">
        <v>14520</v>
      </c>
      <c r="V67">
        <v>5730</v>
      </c>
      <c r="W67">
        <f t="shared" si="242"/>
        <v>17790</v>
      </c>
      <c r="X67" s="374">
        <v>137920</v>
      </c>
      <c r="Y67" s="374">
        <v>107968</v>
      </c>
      <c r="Z67">
        <f t="shared" si="243"/>
        <v>23520</v>
      </c>
      <c r="AA67">
        <f t="shared" si="264"/>
        <v>29952</v>
      </c>
      <c r="AB67">
        <f t="shared" si="265"/>
        <v>38.770301624129928</v>
      </c>
      <c r="AC67">
        <v>215870</v>
      </c>
      <c r="AD67">
        <v>106210</v>
      </c>
      <c r="AE67">
        <v>40830</v>
      </c>
      <c r="AF67">
        <f t="shared" si="244"/>
        <v>109660</v>
      </c>
      <c r="AG67" s="375">
        <v>938010</v>
      </c>
      <c r="AH67" s="375">
        <v>751420</v>
      </c>
      <c r="AI67">
        <f t="shared" si="245"/>
        <v>150490</v>
      </c>
      <c r="AJ67">
        <f t="shared" si="266"/>
        <v>186590</v>
      </c>
      <c r="AK67">
        <f t="shared" si="267"/>
        <v>35.935651005852819</v>
      </c>
      <c r="AL67">
        <v>182760</v>
      </c>
      <c r="AM67">
        <v>90370</v>
      </c>
      <c r="AN67">
        <v>30620</v>
      </c>
      <c r="AO67">
        <f t="shared" si="246"/>
        <v>92390</v>
      </c>
      <c r="AP67" s="376">
        <v>745674</v>
      </c>
      <c r="AQ67" s="376">
        <v>597217</v>
      </c>
      <c r="AR67">
        <f t="shared" si="247"/>
        <v>123010</v>
      </c>
      <c r="AS67">
        <f t="shared" si="268"/>
        <v>148457</v>
      </c>
      <c r="AT67">
        <f t="shared" si="269"/>
        <v>36.405587428286353</v>
      </c>
      <c r="AU67">
        <v>1804340</v>
      </c>
      <c r="AV67">
        <v>876130</v>
      </c>
      <c r="AW67">
        <v>253240</v>
      </c>
      <c r="AX67">
        <f t="shared" si="248"/>
        <v>928210</v>
      </c>
      <c r="AY67" s="377">
        <v>7631552</v>
      </c>
      <c r="AZ67" s="377">
        <v>6083627</v>
      </c>
      <c r="BA67">
        <f t="shared" si="249"/>
        <v>1181450</v>
      </c>
      <c r="BB67">
        <f t="shared" si="270"/>
        <v>1547925</v>
      </c>
      <c r="BC67">
        <f t="shared" si="271"/>
        <v>35.764350423085631</v>
      </c>
      <c r="BD67">
        <v>2952140</v>
      </c>
      <c r="BE67">
        <v>1275180</v>
      </c>
      <c r="BF67">
        <v>458920</v>
      </c>
      <c r="BG67">
        <f t="shared" si="250"/>
        <v>1676960</v>
      </c>
      <c r="BH67" s="378">
        <v>12665346</v>
      </c>
      <c r="BI67" s="378">
        <v>9883163</v>
      </c>
      <c r="BJ67">
        <f t="shared" si="251"/>
        <v>2135880</v>
      </c>
      <c r="BK67">
        <f t="shared" si="272"/>
        <v>2782183</v>
      </c>
      <c r="BL67">
        <f t="shared" si="273"/>
        <v>38.830861786168335</v>
      </c>
      <c r="BM67">
        <v>263280</v>
      </c>
      <c r="BN67">
        <v>120220</v>
      </c>
      <c r="BO67">
        <v>46300</v>
      </c>
      <c r="BP67">
        <f t="shared" si="252"/>
        <v>143060</v>
      </c>
      <c r="BQ67" s="379">
        <v>1184031</v>
      </c>
      <c r="BR67" s="379">
        <v>902137</v>
      </c>
      <c r="BS67">
        <f t="shared" si="253"/>
        <v>189360</v>
      </c>
      <c r="BT67">
        <f t="shared" si="274"/>
        <v>281894</v>
      </c>
      <c r="BU67">
        <f t="shared" si="275"/>
        <v>39.800816025931752</v>
      </c>
      <c r="BV67">
        <v>224080</v>
      </c>
      <c r="BW67">
        <v>105090</v>
      </c>
      <c r="BX67">
        <v>40610</v>
      </c>
      <c r="BY67">
        <f t="shared" si="254"/>
        <v>118990</v>
      </c>
      <c r="BZ67" s="380">
        <v>992122</v>
      </c>
      <c r="CA67" s="380">
        <v>754736</v>
      </c>
      <c r="CB67">
        <f t="shared" si="255"/>
        <v>159600</v>
      </c>
      <c r="CC67">
        <f t="shared" si="276"/>
        <v>237386</v>
      </c>
      <c r="CD67">
        <f t="shared" si="277"/>
        <v>40.013828944424176</v>
      </c>
      <c r="CE67">
        <v>800750</v>
      </c>
      <c r="CF67">
        <v>356490</v>
      </c>
      <c r="CG67">
        <v>111310</v>
      </c>
      <c r="CH67">
        <f t="shared" si="256"/>
        <v>444260</v>
      </c>
      <c r="CI67" s="381">
        <v>3421253</v>
      </c>
      <c r="CJ67" s="381">
        <v>2627270</v>
      </c>
      <c r="CK67">
        <f t="shared" si="257"/>
        <v>555570</v>
      </c>
      <c r="CL67">
        <f t="shared" si="278"/>
        <v>793983</v>
      </c>
      <c r="CM67">
        <f t="shared" si="279"/>
        <v>39.446161976328554</v>
      </c>
      <c r="CN67">
        <v>1004470</v>
      </c>
      <c r="CO67">
        <v>494280</v>
      </c>
      <c r="CP67">
        <v>140050</v>
      </c>
      <c r="CQ67">
        <f t="shared" si="258"/>
        <v>510190</v>
      </c>
      <c r="CR67" s="382">
        <v>4243580</v>
      </c>
      <c r="CS67" s="382">
        <v>3385953</v>
      </c>
      <c r="CT67">
        <f t="shared" si="259"/>
        <v>650240</v>
      </c>
      <c r="CU67">
        <f t="shared" si="280"/>
        <v>857627</v>
      </c>
      <c r="CV67">
        <f t="shared" si="281"/>
        <v>35.532899108771367</v>
      </c>
    </row>
    <row r="68" spans="1:101" ht="15">
      <c r="A68">
        <v>2007</v>
      </c>
      <c r="B68">
        <v>7727870</v>
      </c>
      <c r="C68">
        <v>3601280</v>
      </c>
      <c r="D68">
        <v>1144640</v>
      </c>
      <c r="E68">
        <f t="shared" si="238"/>
        <v>4126590</v>
      </c>
      <c r="F68">
        <v>32929733</v>
      </c>
      <c r="G68">
        <v>25959252</v>
      </c>
      <c r="H68">
        <f t="shared" si="239"/>
        <v>5271230</v>
      </c>
      <c r="I68">
        <f t="shared" si="260"/>
        <v>6970481</v>
      </c>
      <c r="J68">
        <f t="shared" si="261"/>
        <v>37.175251314670547</v>
      </c>
      <c r="K68">
        <v>129900</v>
      </c>
      <c r="L68">
        <v>62310</v>
      </c>
      <c r="M68">
        <v>21200</v>
      </c>
      <c r="N68">
        <f t="shared" si="240"/>
        <v>67590</v>
      </c>
      <c r="O68" s="373">
        <v>506379</v>
      </c>
      <c r="P68" s="373">
        <v>409732</v>
      </c>
      <c r="Q68">
        <f t="shared" si="241"/>
        <v>88790</v>
      </c>
      <c r="R68">
        <f t="shared" si="262"/>
        <v>96647</v>
      </c>
      <c r="S68">
        <f t="shared" si="263"/>
        <v>36.620199494844769</v>
      </c>
      <c r="T68">
        <v>32630</v>
      </c>
      <c r="U68">
        <v>15200</v>
      </c>
      <c r="V68">
        <v>5470</v>
      </c>
      <c r="W68">
        <f t="shared" si="242"/>
        <v>17430</v>
      </c>
      <c r="X68" s="374">
        <v>138161</v>
      </c>
      <c r="Y68" s="374">
        <v>108575</v>
      </c>
      <c r="Z68">
        <f t="shared" si="243"/>
        <v>22900</v>
      </c>
      <c r="AA68">
        <f t="shared" si="264"/>
        <v>29586</v>
      </c>
      <c r="AB68">
        <f t="shared" si="265"/>
        <v>37.989012818378555</v>
      </c>
      <c r="AC68">
        <v>216430</v>
      </c>
      <c r="AD68">
        <v>109020</v>
      </c>
      <c r="AE68">
        <v>40010</v>
      </c>
      <c r="AF68">
        <f t="shared" si="244"/>
        <v>107410</v>
      </c>
      <c r="AG68" s="375">
        <v>935794</v>
      </c>
      <c r="AH68" s="375">
        <v>752685</v>
      </c>
      <c r="AI68">
        <f t="shared" si="245"/>
        <v>147420</v>
      </c>
      <c r="AJ68">
        <f t="shared" si="266"/>
        <v>183109</v>
      </c>
      <c r="AK68">
        <f t="shared" si="267"/>
        <v>35.320700923493845</v>
      </c>
      <c r="AL68">
        <v>183590</v>
      </c>
      <c r="AM68">
        <v>92200</v>
      </c>
      <c r="AN68">
        <v>30080</v>
      </c>
      <c r="AO68">
        <f t="shared" si="246"/>
        <v>91390</v>
      </c>
      <c r="AP68" s="376">
        <v>745515</v>
      </c>
      <c r="AQ68" s="376">
        <v>599011</v>
      </c>
      <c r="AR68">
        <f t="shared" si="247"/>
        <v>121470</v>
      </c>
      <c r="AS68">
        <f t="shared" si="268"/>
        <v>146504</v>
      </c>
      <c r="AT68">
        <f t="shared" si="269"/>
        <v>35.944816670355394</v>
      </c>
      <c r="AU68">
        <v>1818710</v>
      </c>
      <c r="AV68">
        <v>894580</v>
      </c>
      <c r="AW68">
        <v>248970</v>
      </c>
      <c r="AX68">
        <f t="shared" si="248"/>
        <v>924130</v>
      </c>
      <c r="AY68" s="377">
        <v>7687423</v>
      </c>
      <c r="AZ68" s="377">
        <v>6144442</v>
      </c>
      <c r="BA68">
        <f t="shared" si="249"/>
        <v>1173100</v>
      </c>
      <c r="BB68">
        <f t="shared" si="270"/>
        <v>1542981</v>
      </c>
      <c r="BC68">
        <f t="shared" si="271"/>
        <v>35.331488848733834</v>
      </c>
      <c r="BD68">
        <v>2983620</v>
      </c>
      <c r="BE68">
        <v>1303860</v>
      </c>
      <c r="BF68">
        <v>457140</v>
      </c>
      <c r="BG68">
        <f t="shared" si="250"/>
        <v>1679760</v>
      </c>
      <c r="BH68" s="378">
        <v>12792937</v>
      </c>
      <c r="BI68" s="378">
        <v>10027556</v>
      </c>
      <c r="BJ68">
        <f t="shared" si="251"/>
        <v>2136900</v>
      </c>
      <c r="BK68">
        <f t="shared" si="272"/>
        <v>2765381</v>
      </c>
      <c r="BL68">
        <f t="shared" si="273"/>
        <v>38.320215287544997</v>
      </c>
      <c r="BM68">
        <v>266880</v>
      </c>
      <c r="BN68">
        <v>123330</v>
      </c>
      <c r="BO68">
        <v>45840</v>
      </c>
      <c r="BP68">
        <f t="shared" si="252"/>
        <v>143550</v>
      </c>
      <c r="BQ68" s="379">
        <v>1193558</v>
      </c>
      <c r="BR68" s="379">
        <v>911650</v>
      </c>
      <c r="BS68">
        <f t="shared" si="253"/>
        <v>189390</v>
      </c>
      <c r="BT68">
        <f t="shared" si="274"/>
        <v>281908</v>
      </c>
      <c r="BU68">
        <f t="shared" si="275"/>
        <v>39.486811700813867</v>
      </c>
      <c r="BV68">
        <v>227800</v>
      </c>
      <c r="BW68">
        <v>108170</v>
      </c>
      <c r="BX68">
        <v>40670</v>
      </c>
      <c r="BY68">
        <f t="shared" si="254"/>
        <v>119630</v>
      </c>
      <c r="BZ68" s="380">
        <v>1000257</v>
      </c>
      <c r="CA68" s="380">
        <v>763573</v>
      </c>
      <c r="CB68">
        <f t="shared" si="255"/>
        <v>160300</v>
      </c>
      <c r="CC68">
        <f t="shared" si="276"/>
        <v>236684</v>
      </c>
      <c r="CD68">
        <f t="shared" si="277"/>
        <v>39.688200132565932</v>
      </c>
      <c r="CE68">
        <v>821670</v>
      </c>
      <c r="CF68">
        <v>373490</v>
      </c>
      <c r="CG68">
        <v>111410</v>
      </c>
      <c r="CH68">
        <f t="shared" si="256"/>
        <v>448180</v>
      </c>
      <c r="CI68" s="381">
        <v>3512691</v>
      </c>
      <c r="CJ68" s="381">
        <v>2712192</v>
      </c>
      <c r="CK68">
        <f t="shared" si="257"/>
        <v>559590</v>
      </c>
      <c r="CL68">
        <f t="shared" si="278"/>
        <v>800499</v>
      </c>
      <c r="CM68">
        <f t="shared" si="279"/>
        <v>38.719289570303793</v>
      </c>
      <c r="CN68">
        <v>1026430</v>
      </c>
      <c r="CO68">
        <v>511800</v>
      </c>
      <c r="CP68">
        <v>138570</v>
      </c>
      <c r="CQ68">
        <f t="shared" si="258"/>
        <v>514630</v>
      </c>
      <c r="CR68" s="382">
        <v>4309632</v>
      </c>
      <c r="CS68" s="382">
        <v>3454043</v>
      </c>
      <c r="CT68">
        <f t="shared" si="259"/>
        <v>653200</v>
      </c>
      <c r="CU68">
        <f t="shared" si="280"/>
        <v>855589</v>
      </c>
      <c r="CV68">
        <f t="shared" si="281"/>
        <v>35.00969456324809</v>
      </c>
    </row>
    <row r="69" spans="1:101" ht="15">
      <c r="A69">
        <v>2008</v>
      </c>
      <c r="B69">
        <v>7832060</v>
      </c>
      <c r="C69">
        <v>3684480</v>
      </c>
      <c r="D69">
        <v>1141260</v>
      </c>
      <c r="E69">
        <f t="shared" si="238"/>
        <v>4147580</v>
      </c>
      <c r="F69">
        <v>33315976</v>
      </c>
      <c r="G69">
        <v>26373993</v>
      </c>
      <c r="H69">
        <f t="shared" si="239"/>
        <v>5288840</v>
      </c>
      <c r="I69">
        <f t="shared" si="260"/>
        <v>6941983</v>
      </c>
      <c r="J69">
        <f t="shared" si="261"/>
        <v>36.711585456779055</v>
      </c>
      <c r="K69">
        <v>131230</v>
      </c>
      <c r="L69">
        <v>63810</v>
      </c>
      <c r="M69">
        <v>21090</v>
      </c>
      <c r="N69">
        <f t="shared" si="240"/>
        <v>67420</v>
      </c>
      <c r="O69" s="373">
        <v>506193</v>
      </c>
      <c r="P69" s="373">
        <v>411266</v>
      </c>
      <c r="Q69">
        <f t="shared" si="241"/>
        <v>88510</v>
      </c>
      <c r="R69">
        <f t="shared" si="262"/>
        <v>94927</v>
      </c>
      <c r="S69">
        <f t="shared" si="263"/>
        <v>36.238549328023105</v>
      </c>
      <c r="T69">
        <v>32950</v>
      </c>
      <c r="U69">
        <v>15540</v>
      </c>
      <c r="V69">
        <v>5500</v>
      </c>
      <c r="W69">
        <f t="shared" si="242"/>
        <v>17410</v>
      </c>
      <c r="X69" s="374">
        <v>139545</v>
      </c>
      <c r="Y69" s="374">
        <v>110127</v>
      </c>
      <c r="Z69">
        <f t="shared" si="243"/>
        <v>22910</v>
      </c>
      <c r="AA69">
        <f t="shared" si="264"/>
        <v>29418</v>
      </c>
      <c r="AB69">
        <f t="shared" si="265"/>
        <v>37.49901465477086</v>
      </c>
      <c r="AC69">
        <v>217210</v>
      </c>
      <c r="AD69">
        <v>110380</v>
      </c>
      <c r="AE69">
        <v>39820</v>
      </c>
      <c r="AF69">
        <f t="shared" si="244"/>
        <v>106830</v>
      </c>
      <c r="AG69" s="375">
        <v>936737</v>
      </c>
      <c r="AH69" s="375">
        <v>757123</v>
      </c>
      <c r="AI69">
        <f t="shared" si="245"/>
        <v>146650</v>
      </c>
      <c r="AJ69">
        <f t="shared" si="266"/>
        <v>179614</v>
      </c>
      <c r="AK69">
        <f t="shared" si="267"/>
        <v>34.829840179260557</v>
      </c>
      <c r="AL69">
        <v>184820</v>
      </c>
      <c r="AM69">
        <v>94220</v>
      </c>
      <c r="AN69">
        <v>29920</v>
      </c>
      <c r="AO69">
        <f t="shared" si="246"/>
        <v>90600</v>
      </c>
      <c r="AP69" s="376">
        <v>746902</v>
      </c>
      <c r="AQ69" s="376">
        <v>602459</v>
      </c>
      <c r="AR69">
        <f t="shared" si="247"/>
        <v>120520</v>
      </c>
      <c r="AS69">
        <f t="shared" si="268"/>
        <v>144443</v>
      </c>
      <c r="AT69">
        <f t="shared" si="269"/>
        <v>35.474935132052131</v>
      </c>
      <c r="AU69">
        <v>1835730</v>
      </c>
      <c r="AV69">
        <v>909870</v>
      </c>
      <c r="AW69">
        <v>245580</v>
      </c>
      <c r="AX69">
        <f t="shared" si="248"/>
        <v>925860</v>
      </c>
      <c r="AY69" s="377">
        <v>7751332</v>
      </c>
      <c r="AZ69" s="377">
        <v>6215507</v>
      </c>
      <c r="BA69">
        <f t="shared" si="249"/>
        <v>1171440</v>
      </c>
      <c r="BB69">
        <f t="shared" si="270"/>
        <v>1535825</v>
      </c>
      <c r="BC69">
        <f t="shared" si="271"/>
        <v>34.926448770353275</v>
      </c>
      <c r="BD69">
        <v>3017330</v>
      </c>
      <c r="BE69">
        <v>1333350</v>
      </c>
      <c r="BF69">
        <v>456670</v>
      </c>
      <c r="BG69">
        <f t="shared" si="250"/>
        <v>1683980</v>
      </c>
      <c r="BH69" s="378">
        <v>12932297</v>
      </c>
      <c r="BI69" s="378">
        <v>10184755</v>
      </c>
      <c r="BJ69">
        <f t="shared" si="251"/>
        <v>2140650</v>
      </c>
      <c r="BK69">
        <f t="shared" si="272"/>
        <v>2747542</v>
      </c>
      <c r="BL69">
        <f t="shared" si="273"/>
        <v>37.798327706207182</v>
      </c>
      <c r="BM69">
        <v>270220</v>
      </c>
      <c r="BN69">
        <v>125620</v>
      </c>
      <c r="BO69">
        <v>46100</v>
      </c>
      <c r="BP69">
        <f t="shared" si="252"/>
        <v>144600</v>
      </c>
      <c r="BQ69" s="379">
        <v>1205517</v>
      </c>
      <c r="BR69" s="379">
        <v>923520</v>
      </c>
      <c r="BS69">
        <f t="shared" si="253"/>
        <v>190700</v>
      </c>
      <c r="BT69">
        <f t="shared" si="274"/>
        <v>281997</v>
      </c>
      <c r="BU69">
        <f t="shared" si="275"/>
        <v>39.211143434725514</v>
      </c>
      <c r="BV69">
        <v>232570</v>
      </c>
      <c r="BW69">
        <v>111200</v>
      </c>
      <c r="BX69">
        <v>40710</v>
      </c>
      <c r="BY69">
        <f t="shared" si="254"/>
        <v>121370</v>
      </c>
      <c r="BZ69" s="380">
        <v>1013792</v>
      </c>
      <c r="CA69" s="380">
        <v>776578</v>
      </c>
      <c r="CB69">
        <f t="shared" si="255"/>
        <v>162080</v>
      </c>
      <c r="CC69">
        <f t="shared" si="276"/>
        <v>237214</v>
      </c>
      <c r="CD69">
        <f t="shared" si="277"/>
        <v>39.386185726460653</v>
      </c>
      <c r="CE69">
        <v>846200</v>
      </c>
      <c r="CF69">
        <v>390200</v>
      </c>
      <c r="CG69">
        <v>112020</v>
      </c>
      <c r="CH69">
        <f t="shared" si="256"/>
        <v>456000</v>
      </c>
      <c r="CI69" s="381">
        <v>3591391</v>
      </c>
      <c r="CJ69" s="381">
        <v>2785204</v>
      </c>
      <c r="CK69">
        <f t="shared" si="257"/>
        <v>568020</v>
      </c>
      <c r="CL69">
        <f t="shared" si="278"/>
        <v>806187</v>
      </c>
      <c r="CM69">
        <f t="shared" si="279"/>
        <v>38.263920581189851</v>
      </c>
      <c r="CN69">
        <v>1043320</v>
      </c>
      <c r="CO69">
        <v>522770</v>
      </c>
      <c r="CP69">
        <v>138510</v>
      </c>
      <c r="CQ69">
        <f t="shared" si="258"/>
        <v>520550</v>
      </c>
      <c r="CR69" s="382">
        <v>4383860</v>
      </c>
      <c r="CS69" s="382">
        <v>3530420</v>
      </c>
      <c r="CT69">
        <f t="shared" si="259"/>
        <v>659060</v>
      </c>
      <c r="CU69">
        <f t="shared" si="280"/>
        <v>853440</v>
      </c>
      <c r="CV69">
        <f t="shared" si="281"/>
        <v>34.501557987709461</v>
      </c>
    </row>
    <row r="70" spans="1:101" ht="15">
      <c r="A70">
        <v>2009</v>
      </c>
      <c r="B70">
        <v>7926210</v>
      </c>
      <c r="C70">
        <v>3762060</v>
      </c>
      <c r="D70">
        <v>1146310</v>
      </c>
      <c r="E70">
        <f t="shared" si="238"/>
        <v>4164150</v>
      </c>
      <c r="F70">
        <v>33720184</v>
      </c>
      <c r="G70">
        <v>26797963</v>
      </c>
      <c r="H70">
        <f t="shared" si="239"/>
        <v>5310460</v>
      </c>
      <c r="I70">
        <f t="shared" si="260"/>
        <v>6922221</v>
      </c>
      <c r="J70">
        <f t="shared" si="261"/>
        <v>36.277029211940246</v>
      </c>
      <c r="K70">
        <v>132170</v>
      </c>
      <c r="L70">
        <v>65350</v>
      </c>
      <c r="M70">
        <v>21100</v>
      </c>
      <c r="N70">
        <f t="shared" si="240"/>
        <v>66820</v>
      </c>
      <c r="O70" s="373">
        <v>508143</v>
      </c>
      <c r="P70" s="373">
        <v>414284</v>
      </c>
      <c r="Q70">
        <f t="shared" si="241"/>
        <v>87920</v>
      </c>
      <c r="R70">
        <f t="shared" si="262"/>
        <v>93859</v>
      </c>
      <c r="S70">
        <f t="shared" si="263"/>
        <v>35.773197702221616</v>
      </c>
      <c r="T70">
        <v>33310</v>
      </c>
      <c r="U70">
        <v>15880</v>
      </c>
      <c r="V70">
        <v>5470</v>
      </c>
      <c r="W70">
        <f t="shared" si="242"/>
        <v>17430</v>
      </c>
      <c r="X70" s="374">
        <v>141097</v>
      </c>
      <c r="Y70" s="374">
        <v>111895</v>
      </c>
      <c r="Z70">
        <f t="shared" si="243"/>
        <v>22900</v>
      </c>
      <c r="AA70">
        <f t="shared" si="264"/>
        <v>29202</v>
      </c>
      <c r="AB70">
        <f t="shared" si="265"/>
        <v>36.926369802334563</v>
      </c>
      <c r="AC70">
        <v>218170</v>
      </c>
      <c r="AD70">
        <v>112150</v>
      </c>
      <c r="AE70">
        <v>39740</v>
      </c>
      <c r="AF70">
        <f t="shared" si="244"/>
        <v>106020</v>
      </c>
      <c r="AG70" s="375">
        <v>939124</v>
      </c>
      <c r="AH70" s="375">
        <v>762523</v>
      </c>
      <c r="AI70">
        <f t="shared" si="245"/>
        <v>145760</v>
      </c>
      <c r="AJ70">
        <f t="shared" si="266"/>
        <v>176601</v>
      </c>
      <c r="AK70">
        <f t="shared" si="267"/>
        <v>34.325712046545505</v>
      </c>
      <c r="AL70">
        <v>186180</v>
      </c>
      <c r="AM70">
        <v>96140</v>
      </c>
      <c r="AN70">
        <v>29890</v>
      </c>
      <c r="AO70">
        <f t="shared" si="246"/>
        <v>90040</v>
      </c>
      <c r="AP70" s="376">
        <v>749324</v>
      </c>
      <c r="AQ70" s="376">
        <v>606835</v>
      </c>
      <c r="AR70">
        <f t="shared" si="247"/>
        <v>119930</v>
      </c>
      <c r="AS70">
        <f t="shared" si="268"/>
        <v>142489</v>
      </c>
      <c r="AT70">
        <f t="shared" si="269"/>
        <v>35.020765383198722</v>
      </c>
      <c r="AU70">
        <v>1854770</v>
      </c>
      <c r="AV70">
        <v>927890</v>
      </c>
      <c r="AW70">
        <v>243420</v>
      </c>
      <c r="AX70">
        <f t="shared" si="248"/>
        <v>926880</v>
      </c>
      <c r="AY70" s="377">
        <v>7828357</v>
      </c>
      <c r="AZ70" s="377">
        <v>6297762</v>
      </c>
      <c r="BA70">
        <f t="shared" si="249"/>
        <v>1170300</v>
      </c>
      <c r="BB70">
        <f t="shared" si="270"/>
        <v>1530595</v>
      </c>
      <c r="BC70">
        <f t="shared" si="271"/>
        <v>34.50142858839984</v>
      </c>
      <c r="BD70">
        <v>3057010</v>
      </c>
      <c r="BE70">
        <v>1363990</v>
      </c>
      <c r="BF70">
        <v>460770</v>
      </c>
      <c r="BG70">
        <f t="shared" si="250"/>
        <v>1693020</v>
      </c>
      <c r="BH70" s="378">
        <v>13064900</v>
      </c>
      <c r="BI70" s="378">
        <v>10334203</v>
      </c>
      <c r="BJ70">
        <f t="shared" si="251"/>
        <v>2153790</v>
      </c>
      <c r="BK70">
        <f t="shared" si="272"/>
        <v>2730697</v>
      </c>
      <c r="BL70">
        <f t="shared" si="273"/>
        <v>37.386332846022547</v>
      </c>
      <c r="BM70">
        <v>273430</v>
      </c>
      <c r="BN70">
        <v>127390</v>
      </c>
      <c r="BO70">
        <v>46290</v>
      </c>
      <c r="BP70">
        <f t="shared" si="252"/>
        <v>146040</v>
      </c>
      <c r="BQ70" s="379">
        <v>1219562</v>
      </c>
      <c r="BR70" s="379">
        <v>936567</v>
      </c>
      <c r="BS70">
        <f t="shared" si="253"/>
        <v>192330</v>
      </c>
      <c r="BT70">
        <f t="shared" si="274"/>
        <v>282995</v>
      </c>
      <c r="BU70">
        <f t="shared" si="275"/>
        <v>38.97505825862072</v>
      </c>
      <c r="BV70">
        <v>236080</v>
      </c>
      <c r="BW70">
        <v>113690</v>
      </c>
      <c r="BX70">
        <v>41330</v>
      </c>
      <c r="BY70">
        <f t="shared" si="254"/>
        <v>122390</v>
      </c>
      <c r="BZ70" s="380">
        <v>1029124</v>
      </c>
      <c r="CA70" s="380">
        <v>790611</v>
      </c>
      <c r="CB70">
        <f t="shared" si="255"/>
        <v>163720</v>
      </c>
      <c r="CC70">
        <f t="shared" si="276"/>
        <v>238513</v>
      </c>
      <c r="CD70">
        <f t="shared" si="277"/>
        <v>39.084988786579657</v>
      </c>
      <c r="CE70">
        <v>857770</v>
      </c>
      <c r="CF70">
        <v>398300</v>
      </c>
      <c r="CG70">
        <v>113800</v>
      </c>
      <c r="CH70">
        <f t="shared" si="256"/>
        <v>459470</v>
      </c>
      <c r="CI70" s="381">
        <v>3670742</v>
      </c>
      <c r="CJ70" s="381">
        <v>2856630</v>
      </c>
      <c r="CK70">
        <f t="shared" si="257"/>
        <v>573270</v>
      </c>
      <c r="CL70">
        <f t="shared" si="278"/>
        <v>814112</v>
      </c>
      <c r="CM70">
        <f t="shared" si="279"/>
        <v>37.795682725726842</v>
      </c>
      <c r="CN70">
        <v>1056430</v>
      </c>
      <c r="CO70">
        <v>533440</v>
      </c>
      <c r="CP70">
        <v>139100</v>
      </c>
      <c r="CQ70">
        <f t="shared" si="258"/>
        <v>522990</v>
      </c>
      <c r="CR70" s="382">
        <v>4460292</v>
      </c>
      <c r="CS70" s="382">
        <v>3608335</v>
      </c>
      <c r="CT70">
        <f t="shared" si="259"/>
        <v>662090</v>
      </c>
      <c r="CU70">
        <f t="shared" si="280"/>
        <v>851957</v>
      </c>
      <c r="CV70">
        <f t="shared" si="281"/>
        <v>33.945019743102023</v>
      </c>
    </row>
    <row r="71" spans="1:101" ht="15">
      <c r="A71">
        <v>2010</v>
      </c>
      <c r="B71" s="369">
        <f t="shared" ref="B71:D71" si="282">B70*POWER(B70/B65, 1/5)</f>
        <v>8025225.212817234</v>
      </c>
      <c r="C71" s="369">
        <f t="shared" si="282"/>
        <v>3843244.1397577091</v>
      </c>
      <c r="D71" s="369">
        <f t="shared" si="282"/>
        <v>1135362.7623990604</v>
      </c>
      <c r="E71" s="369">
        <f t="shared" si="238"/>
        <v>4181981.0730595249</v>
      </c>
      <c r="F71">
        <v>34108752</v>
      </c>
      <c r="G71">
        <v>27196554</v>
      </c>
      <c r="H71" s="369">
        <f t="shared" si="239"/>
        <v>5317343.8354585851</v>
      </c>
      <c r="I71">
        <f t="shared" si="260"/>
        <v>6912198</v>
      </c>
      <c r="J71">
        <f t="shared" si="261"/>
        <v>35.854556729189575</v>
      </c>
      <c r="K71" s="369">
        <f t="shared" ref="K71" si="283">K70*POWER(K70/K65, 1/5)</f>
        <v>132476.11551725768</v>
      </c>
      <c r="L71" s="369">
        <f t="shared" ref="L71" si="284">L70*POWER(L70/L65, 1/5)</f>
        <v>66859.172841347056</v>
      </c>
      <c r="M71" s="369">
        <f t="shared" ref="M71" si="285">M70*POWER(M70/M65, 1/5)</f>
        <v>20903.605365183106</v>
      </c>
      <c r="N71" s="369">
        <f t="shared" si="240"/>
        <v>65616.942675910628</v>
      </c>
      <c r="O71" s="373">
        <v>509739</v>
      </c>
      <c r="P71" s="373">
        <v>416660</v>
      </c>
      <c r="Q71" s="369">
        <f t="shared" si="241"/>
        <v>86520.548041093731</v>
      </c>
      <c r="R71">
        <f t="shared" si="262"/>
        <v>93079</v>
      </c>
      <c r="S71">
        <f t="shared" si="263"/>
        <v>35.233628982890018</v>
      </c>
      <c r="T71" s="369">
        <f t="shared" ref="T71" si="286">T70*POWER(T70/T65, 1/5)</f>
        <v>33582.565257930466</v>
      </c>
      <c r="U71" s="369">
        <f t="shared" ref="U71" si="287">U70*POWER(U70/U65, 1/5)</f>
        <v>16355.976740370985</v>
      </c>
      <c r="V71" s="369">
        <f t="shared" ref="V71" si="288">V70*POWER(V70/V65, 1/5)</f>
        <v>5345.0419413738855</v>
      </c>
      <c r="W71" s="369">
        <f t="shared" si="242"/>
        <v>17226.588517559481</v>
      </c>
      <c r="X71" s="374">
        <v>142266</v>
      </c>
      <c r="Y71" s="374">
        <v>113412</v>
      </c>
      <c r="Z71" s="369">
        <f t="shared" si="243"/>
        <v>22571.630458933367</v>
      </c>
      <c r="AA71">
        <f t="shared" si="264"/>
        <v>28854</v>
      </c>
      <c r="AB71">
        <f t="shared" si="265"/>
        <v>36.14751975801201</v>
      </c>
      <c r="AC71" s="369">
        <f t="shared" ref="AC71" si="289">AC70*POWER(AC70/AC65, 1/5)</f>
        <v>218679.55090636076</v>
      </c>
      <c r="AD71" s="369">
        <f t="shared" ref="AD71" si="290">AD70*POWER(AD70/AD65, 1/5)</f>
        <v>114231.00737848914</v>
      </c>
      <c r="AE71" s="369">
        <f t="shared" ref="AE71" si="291">AE70*POWER(AE70/AE65, 1/5)</f>
        <v>39105.555634442404</v>
      </c>
      <c r="AF71" s="369">
        <f t="shared" si="244"/>
        <v>104448.54352787162</v>
      </c>
      <c r="AG71" s="375">
        <v>942506</v>
      </c>
      <c r="AH71" s="375">
        <v>768197</v>
      </c>
      <c r="AI71" s="369">
        <f t="shared" si="245"/>
        <v>143554.09916231403</v>
      </c>
      <c r="AJ71">
        <f t="shared" si="266"/>
        <v>174309</v>
      </c>
      <c r="AK71">
        <f t="shared" si="267"/>
        <v>33.72531306562653</v>
      </c>
      <c r="AL71" s="369">
        <f t="shared" ref="AL71" si="292">AL70*POWER(AL70/AL65, 1/5)</f>
        <v>187023.34020494638</v>
      </c>
      <c r="AM71" s="369">
        <f t="shared" ref="AM71" si="293">AM70*POWER(AM70/AM65, 1/5)</f>
        <v>98236.463159779101</v>
      </c>
      <c r="AN71" s="369">
        <f t="shared" ref="AN71" si="294">AN70*POWER(AN70/AN65, 1/5)</f>
        <v>29497.914626196831</v>
      </c>
      <c r="AO71" s="369">
        <f t="shared" si="246"/>
        <v>88786.877045167275</v>
      </c>
      <c r="AP71" s="376">
        <v>751755</v>
      </c>
      <c r="AQ71" s="376">
        <v>610834</v>
      </c>
      <c r="AR71" s="369">
        <f t="shared" si="247"/>
        <v>118284.7916713641</v>
      </c>
      <c r="AS71">
        <f t="shared" si="268"/>
        <v>140921</v>
      </c>
      <c r="AT71">
        <f t="shared" si="269"/>
        <v>34.480088815021396</v>
      </c>
      <c r="AU71" s="369">
        <f t="shared" ref="AU71" si="295">AU70*POWER(AU70/AU65, 1/5)</f>
        <v>1870361.6152085136</v>
      </c>
      <c r="AV71" s="369">
        <f t="shared" ref="AV71" si="296">AV70*POWER(AV70/AV65, 1/5)</f>
        <v>944847.46606252366</v>
      </c>
      <c r="AW71" s="369">
        <f t="shared" ref="AW71" si="297">AW70*POWER(AW70/AW65, 1/5)</f>
        <v>238101.2318193675</v>
      </c>
      <c r="AX71" s="369">
        <f t="shared" si="248"/>
        <v>925514.14914598991</v>
      </c>
      <c r="AY71" s="377">
        <v>7907375</v>
      </c>
      <c r="AZ71" s="377">
        <v>6380957</v>
      </c>
      <c r="BA71" s="369">
        <f t="shared" si="249"/>
        <v>1163615.3809653574</v>
      </c>
      <c r="BB71">
        <f t="shared" si="270"/>
        <v>1526418</v>
      </c>
      <c r="BC71">
        <f t="shared" si="271"/>
        <v>34.019296934385402</v>
      </c>
      <c r="BD71" s="369">
        <f t="shared" ref="BD71" si="298">BD70*POWER(BD70/BD65, 1/5)</f>
        <v>3092906.6916154861</v>
      </c>
      <c r="BE71" s="369">
        <f t="shared" ref="BE71" si="299">BE70*POWER(BE70/BE65, 1/5)</f>
        <v>1391053.1751630774</v>
      </c>
      <c r="BF71" s="369">
        <f t="shared" ref="BF71" si="300">BF70*POWER(BF70/BF65, 1/5)</f>
        <v>458910.7210810387</v>
      </c>
      <c r="BG71" s="369">
        <f t="shared" si="250"/>
        <v>1701853.5164524086</v>
      </c>
      <c r="BH71" s="378">
        <v>13210667</v>
      </c>
      <c r="BI71" s="378">
        <v>10491416</v>
      </c>
      <c r="BJ71" s="369">
        <f t="shared" si="251"/>
        <v>2160764.2375334473</v>
      </c>
      <c r="BK71">
        <f t="shared" si="272"/>
        <v>2719251</v>
      </c>
      <c r="BL71">
        <f t="shared" si="273"/>
        <v>36.939960999194419</v>
      </c>
      <c r="BM71" s="369">
        <f t="shared" ref="BM71" si="301">BM70*POWER(BM70/BM65, 1/5)</f>
        <v>276140.79608295375</v>
      </c>
      <c r="BN71" s="369">
        <f t="shared" ref="BN71" si="302">BN70*POWER(BN70/BN65, 1/5)</f>
        <v>129605.01191538296</v>
      </c>
      <c r="BO71" s="369">
        <f t="shared" ref="BO71" si="303">BO70*POWER(BO70/BO65, 1/5)</f>
        <v>45972.63351536441</v>
      </c>
      <c r="BP71" s="369">
        <f t="shared" si="252"/>
        <v>146535.78416757079</v>
      </c>
      <c r="BQ71" s="379">
        <v>1235412</v>
      </c>
      <c r="BR71" s="379">
        <v>950422</v>
      </c>
      <c r="BS71" s="369">
        <f t="shared" si="253"/>
        <v>192508.41768293519</v>
      </c>
      <c r="BT71">
        <f t="shared" si="274"/>
        <v>284990</v>
      </c>
      <c r="BU71">
        <f t="shared" si="275"/>
        <v>38.650945407923444</v>
      </c>
      <c r="BV71" s="369">
        <f t="shared" ref="BV71" si="304">BV70*POWER(BV70/BV65, 1/5)</f>
        <v>239022.93526373678</v>
      </c>
      <c r="BW71" s="369">
        <f t="shared" ref="BW71" si="305">BW70*POWER(BW70/BW65, 1/5)</f>
        <v>116427.09454165505</v>
      </c>
      <c r="BX71" s="369">
        <f t="shared" ref="BX71" si="306">BX70*POWER(BX70/BX65, 1/5)</f>
        <v>41142.576999929581</v>
      </c>
      <c r="BY71" s="369">
        <f t="shared" si="254"/>
        <v>122595.84072208173</v>
      </c>
      <c r="BZ71" s="380">
        <v>1045622</v>
      </c>
      <c r="CA71" s="380">
        <v>804013</v>
      </c>
      <c r="CB71" s="369">
        <f t="shared" si="255"/>
        <v>163738.41772201131</v>
      </c>
      <c r="CC71">
        <f t="shared" si="276"/>
        <v>241609</v>
      </c>
      <c r="CD71">
        <f t="shared" si="277"/>
        <v>38.766152368830355</v>
      </c>
      <c r="CE71" s="369">
        <f t="shared" ref="CE71" si="307">CE70*POWER(CE70/CE65, 1/5)</f>
        <v>879740.2304786304</v>
      </c>
      <c r="CF71" s="369">
        <f t="shared" ref="CF71" si="308">CF70*POWER(CF70/CF65, 1/5)</f>
        <v>411523.4005924791</v>
      </c>
      <c r="CG71" s="369">
        <f t="shared" ref="CG71" si="309">CG70*POWER(CG70/CG65, 1/5)</f>
        <v>113758.0464397992</v>
      </c>
      <c r="CH71" s="369">
        <f t="shared" si="256"/>
        <v>468216.8298861513</v>
      </c>
      <c r="CI71" s="381">
        <v>3720946</v>
      </c>
      <c r="CJ71" s="381">
        <v>2899754</v>
      </c>
      <c r="CK71" s="369">
        <f t="shared" si="257"/>
        <v>581974.87632595049</v>
      </c>
      <c r="CL71">
        <f t="shared" si="278"/>
        <v>821192</v>
      </c>
      <c r="CM71">
        <f t="shared" si="279"/>
        <v>37.709950005346776</v>
      </c>
      <c r="CN71" s="369">
        <f t="shared" ref="CN71" si="310">CN70*POWER(CN70/CN65, 1/5)</f>
        <v>1074882.8857920717</v>
      </c>
      <c r="CO71" s="369">
        <f t="shared" ref="CO71" si="311">CO70*POWER(CO70/CO65, 1/5)</f>
        <v>546263.29101369041</v>
      </c>
      <c r="CP71" s="369">
        <f t="shared" ref="CP71" si="312">CP70*POWER(CP70/CP65, 1/5)</f>
        <v>137429.88386762005</v>
      </c>
      <c r="CQ71" s="369">
        <f t="shared" si="258"/>
        <v>528619.59477838129</v>
      </c>
      <c r="CR71" s="382">
        <v>4530960</v>
      </c>
      <c r="CS71" s="382">
        <v>3680749</v>
      </c>
      <c r="CT71" s="369">
        <f t="shared" si="259"/>
        <v>666049.47864600131</v>
      </c>
      <c r="CU71">
        <f t="shared" si="280"/>
        <v>850211</v>
      </c>
      <c r="CV71">
        <f t="shared" si="281"/>
        <v>33.464441942678839</v>
      </c>
    </row>
    <row r="79" spans="1:101">
      <c r="B79" s="1" t="s">
        <v>917</v>
      </c>
    </row>
    <row r="81" spans="1:96">
      <c r="A81" s="1">
        <v>1971</v>
      </c>
      <c r="F81" s="134">
        <v>56.319890122319443</v>
      </c>
      <c r="O81" s="134">
        <v>54.88252719881239</v>
      </c>
      <c r="X81" s="134">
        <v>52.270372717859637</v>
      </c>
      <c r="AG81" s="134">
        <v>52.962266525858723</v>
      </c>
      <c r="AP81" s="134">
        <v>54.098604282342905</v>
      </c>
      <c r="AY81" s="134">
        <v>60.036161711796161</v>
      </c>
      <c r="BH81" s="134">
        <v>54.957417914895672</v>
      </c>
      <c r="BQ81" s="134">
        <v>51.849599309645548</v>
      </c>
      <c r="BZ81" s="134">
        <v>53.51938543565381</v>
      </c>
      <c r="CI81" s="134">
        <v>61.082196074658022</v>
      </c>
      <c r="CR81" s="134">
        <v>52.78710854657465</v>
      </c>
    </row>
    <row r="82" spans="1:96">
      <c r="A82" s="1">
        <v>1972</v>
      </c>
      <c r="F82" s="134">
        <v>55.50168032322896</v>
      </c>
      <c r="O82" s="134">
        <v>54.014738612677732</v>
      </c>
      <c r="X82" s="134">
        <v>51.757379311197255</v>
      </c>
      <c r="AG82" s="134">
        <v>52.459667928562801</v>
      </c>
      <c r="AP82" s="134">
        <v>53.440516645140185</v>
      </c>
      <c r="AY82" s="134">
        <v>58.947486914887392</v>
      </c>
      <c r="BH82" s="134">
        <v>54.307452055117949</v>
      </c>
      <c r="BQ82" s="134">
        <v>51.062846252652562</v>
      </c>
      <c r="BZ82" s="134">
        <v>53.517761061836204</v>
      </c>
      <c r="CI82" s="134">
        <v>59.376940300965416</v>
      </c>
      <c r="CR82" s="134">
        <v>52.307947552753632</v>
      </c>
    </row>
    <row r="83" spans="1:96">
      <c r="A83" s="1">
        <v>1973</v>
      </c>
      <c r="F83" s="134">
        <v>55.501680323228989</v>
      </c>
      <c r="O83" s="134">
        <v>53.341534173547359</v>
      </c>
      <c r="X83" s="134">
        <v>51.108259260781153</v>
      </c>
      <c r="AG83" s="134">
        <v>51.616642968879681</v>
      </c>
      <c r="AP83" s="134">
        <v>52.64782363939468</v>
      </c>
      <c r="AY83" s="134">
        <v>57.853613316705534</v>
      </c>
      <c r="BH83" s="134">
        <v>53.687242877129329</v>
      </c>
      <c r="BQ83" s="134">
        <v>50.105575629556633</v>
      </c>
      <c r="BZ83" s="134">
        <v>53.344853462255365</v>
      </c>
      <c r="CI83" s="134">
        <v>57.601349953116291</v>
      </c>
      <c r="CR83" s="134">
        <v>51.775922548779256</v>
      </c>
    </row>
    <row r="84" spans="1:96">
      <c r="A84" s="1">
        <v>1974</v>
      </c>
      <c r="F84" s="134">
        <v>55.501680323228989</v>
      </c>
      <c r="O84" s="134">
        <v>52.965949816976384</v>
      </c>
      <c r="X84" s="134">
        <v>50.377662446285875</v>
      </c>
      <c r="AG84" s="134">
        <v>51.009717755160075</v>
      </c>
      <c r="AP84" s="134">
        <v>51.852850131413042</v>
      </c>
      <c r="AY84" s="134">
        <v>56.642107217565247</v>
      </c>
      <c r="BH84" s="134">
        <v>52.978693770282248</v>
      </c>
      <c r="BQ84" s="134">
        <v>48.880924204358955</v>
      </c>
      <c r="BZ84" s="134">
        <v>52.823877297293926</v>
      </c>
      <c r="CI84" s="134">
        <v>55.918412189277525</v>
      </c>
      <c r="CR84" s="134">
        <v>51.060911331585125</v>
      </c>
    </row>
    <row r="85" spans="1:96">
      <c r="A85" s="1">
        <v>1975</v>
      </c>
      <c r="F85" s="134">
        <v>52.761797789842824</v>
      </c>
      <c r="O85" s="134">
        <v>52.308572943754051</v>
      </c>
      <c r="X85" s="134">
        <v>49.470636168417919</v>
      </c>
      <c r="AG85" s="134">
        <v>50.306620361990504</v>
      </c>
      <c r="AP85" s="134">
        <v>50.742040456211605</v>
      </c>
      <c r="AY85" s="134">
        <v>55.396330236253078</v>
      </c>
      <c r="BH85" s="134">
        <v>52.374787665484206</v>
      </c>
      <c r="BQ85" s="134">
        <v>47.840730696835685</v>
      </c>
      <c r="BZ85" s="134">
        <v>51.558711260184182</v>
      </c>
      <c r="CI85" s="134">
        <v>53.516792160649828</v>
      </c>
      <c r="CR85" s="134">
        <v>50.756360535167616</v>
      </c>
    </row>
    <row r="86" spans="1:96">
      <c r="A86" s="1">
        <v>1976</v>
      </c>
      <c r="F86" s="134">
        <v>50.795847772574227</v>
      </c>
      <c r="O86" s="134">
        <v>51.664606914922395</v>
      </c>
      <c r="X86" s="134">
        <v>48.915286442703504</v>
      </c>
      <c r="AG86" s="134">
        <v>49.547505712694495</v>
      </c>
      <c r="AP86" s="134">
        <v>49.638118901120741</v>
      </c>
      <c r="AY86" s="134">
        <v>53.666654013795849</v>
      </c>
      <c r="BH86" s="134">
        <v>50.342519318749375</v>
      </c>
      <c r="BQ86" s="134">
        <v>46.77978016757622</v>
      </c>
      <c r="BZ86" s="134">
        <v>50.000736006625203</v>
      </c>
      <c r="CI86" s="134">
        <v>51.039587367233729</v>
      </c>
      <c r="CR86" s="134">
        <v>47.199681329521511</v>
      </c>
    </row>
    <row r="87" spans="1:96">
      <c r="A87" s="1">
        <v>1977</v>
      </c>
      <c r="F87" s="134">
        <v>48.93133312616677</v>
      </c>
      <c r="O87" s="134">
        <v>51.34191527865439</v>
      </c>
      <c r="X87" s="134">
        <v>48.146391220621396</v>
      </c>
      <c r="AG87" s="134">
        <v>49.01091341236647</v>
      </c>
      <c r="AP87" s="134">
        <v>48.990422445881087</v>
      </c>
      <c r="AY87" s="134">
        <v>52.242845951267135</v>
      </c>
      <c r="BH87" s="134">
        <v>48.357718490747359</v>
      </c>
      <c r="BQ87" s="134">
        <v>45.722923115584528</v>
      </c>
      <c r="BZ87" s="134">
        <v>48.502920847859798</v>
      </c>
      <c r="CI87" s="134">
        <v>48.214512904833533</v>
      </c>
      <c r="CR87" s="134">
        <v>43.710431901675939</v>
      </c>
    </row>
    <row r="88" spans="1:96">
      <c r="A88" s="1">
        <v>1978</v>
      </c>
      <c r="F88" s="134">
        <v>47.732316740037781</v>
      </c>
      <c r="O88" s="134">
        <v>52.41312854154797</v>
      </c>
      <c r="X88" s="134">
        <v>48.010087102516252</v>
      </c>
      <c r="AG88" s="134">
        <v>48.557186454530878</v>
      </c>
      <c r="AP88" s="134">
        <v>49.42568586918059</v>
      </c>
      <c r="AY88" s="134">
        <v>49.204252649181775</v>
      </c>
      <c r="BH88" s="134">
        <v>47.447147222406855</v>
      </c>
      <c r="BQ88" s="134">
        <v>45.522180020412854</v>
      </c>
      <c r="BZ88" s="134">
        <v>49.040381837055108</v>
      </c>
      <c r="CI88" s="134">
        <v>47.237294664233048</v>
      </c>
      <c r="CR88" s="134">
        <v>43.651702331043374</v>
      </c>
    </row>
    <row r="89" spans="1:96">
      <c r="A89" s="1">
        <v>1979</v>
      </c>
      <c r="F89" s="134">
        <v>46.847773662067659</v>
      </c>
      <c r="O89" s="134">
        <v>52.426872685862534</v>
      </c>
      <c r="X89" s="134">
        <v>45.741334154834078</v>
      </c>
      <c r="AG89" s="134">
        <v>46.702359083837116</v>
      </c>
      <c r="AP89" s="134">
        <v>47.400420208447365</v>
      </c>
      <c r="AY89" s="134">
        <v>49.52805792426598</v>
      </c>
      <c r="BH89" s="134">
        <v>46.233917058981092</v>
      </c>
      <c r="BQ89" s="134">
        <v>44.925190843656068</v>
      </c>
      <c r="BZ89" s="134">
        <v>48.28445723435037</v>
      </c>
      <c r="CI89" s="134">
        <v>45.808965491224015</v>
      </c>
      <c r="CR89" s="134">
        <v>41.764193770183155</v>
      </c>
    </row>
    <row r="90" spans="1:96">
      <c r="A90" s="1">
        <v>1980</v>
      </c>
      <c r="F90" s="134">
        <v>45.926446998716571</v>
      </c>
      <c r="O90" s="134">
        <v>50.431437131031494</v>
      </c>
      <c r="X90" s="134">
        <v>48.042495701348493</v>
      </c>
      <c r="AG90" s="134">
        <v>47.76406400426059</v>
      </c>
      <c r="AP90" s="134">
        <v>47.613240620412697</v>
      </c>
      <c r="AY90" s="134">
        <v>47.811028772798487</v>
      </c>
      <c r="BH90" s="134">
        <v>45.977435026912843</v>
      </c>
      <c r="BQ90" s="134">
        <v>43.830722893332023</v>
      </c>
      <c r="BZ90" s="134">
        <v>44.549247476392708</v>
      </c>
      <c r="CI90" s="134">
        <v>45.088314574369434</v>
      </c>
      <c r="CR90" s="134">
        <v>40.820783194014133</v>
      </c>
    </row>
    <row r="91" spans="1:96">
      <c r="A91" s="1">
        <v>1981</v>
      </c>
      <c r="F91" s="134">
        <v>45.270148652400152</v>
      </c>
      <c r="O91" s="134">
        <v>49.756656834722762</v>
      </c>
      <c r="X91" s="134">
        <v>47.69952507293511</v>
      </c>
      <c r="AG91" s="134">
        <v>47.455922931853834</v>
      </c>
      <c r="AP91" s="134">
        <v>47.148932069586245</v>
      </c>
      <c r="AY91" s="134">
        <v>46.984485994451276</v>
      </c>
      <c r="BH91" s="134">
        <v>45.665496734309848</v>
      </c>
      <c r="BQ91" s="134">
        <v>43.693850511690385</v>
      </c>
      <c r="BZ91" s="134">
        <v>44.488596968056527</v>
      </c>
      <c r="CI91" s="134">
        <v>43.437814132789072</v>
      </c>
      <c r="CR91" s="134">
        <v>39.89446221094861</v>
      </c>
    </row>
    <row r="92" spans="1:96">
      <c r="A92" s="1">
        <v>1982</v>
      </c>
      <c r="F92" s="134">
        <v>44.641456670539121</v>
      </c>
      <c r="O92" s="134">
        <v>49.298084506820729</v>
      </c>
      <c r="X92" s="134">
        <v>47.316760907647918</v>
      </c>
      <c r="AG92" s="134">
        <v>46.948864160156084</v>
      </c>
      <c r="AP92" s="134">
        <v>46.570675681571373</v>
      </c>
      <c r="AY92" s="134">
        <v>46.217550871520068</v>
      </c>
      <c r="BH92" s="134">
        <v>45.125717383941925</v>
      </c>
      <c r="BQ92" s="134">
        <v>43.200317973745868</v>
      </c>
      <c r="BZ92" s="134">
        <v>44.289406348628098</v>
      </c>
      <c r="CI92" s="134">
        <v>42.437896418969977</v>
      </c>
      <c r="CR92" s="134">
        <v>39.441085381536794</v>
      </c>
    </row>
    <row r="93" spans="1:96">
      <c r="A93" s="1">
        <v>1983</v>
      </c>
      <c r="F93" s="134">
        <v>44.106666294844707</v>
      </c>
      <c r="O93" s="134">
        <v>48.405287105597345</v>
      </c>
      <c r="X93" s="134">
        <v>46.388624924929239</v>
      </c>
      <c r="AG93" s="134">
        <v>46.241705073697936</v>
      </c>
      <c r="AP93" s="134">
        <v>45.660819754811754</v>
      </c>
      <c r="AY93" s="134">
        <v>45.516837059444889</v>
      </c>
      <c r="BH93" s="134">
        <v>44.558079046883357</v>
      </c>
      <c r="BQ93" s="134">
        <v>42.557782082200902</v>
      </c>
      <c r="BZ93" s="134">
        <v>43.954320861457006</v>
      </c>
      <c r="CI93" s="134">
        <v>42.396119018011525</v>
      </c>
      <c r="CR93" s="134">
        <v>39.222573933523265</v>
      </c>
    </row>
    <row r="94" spans="1:96">
      <c r="A94" s="1">
        <v>1984</v>
      </c>
      <c r="F94" s="134">
        <v>43.599666771218274</v>
      </c>
      <c r="O94" s="134">
        <v>47.885641040647698</v>
      </c>
      <c r="X94" s="134">
        <v>45.633394870205464</v>
      </c>
      <c r="AG94" s="134">
        <v>45.611575446664091</v>
      </c>
      <c r="AP94" s="134">
        <v>44.859881378755141</v>
      </c>
      <c r="AY94" s="134">
        <v>44.781736465344409</v>
      </c>
      <c r="BH94" s="134">
        <v>43.953929442377763</v>
      </c>
      <c r="BQ94" s="134">
        <v>42.068607134043617</v>
      </c>
      <c r="BZ94" s="134">
        <v>43.670289431377689</v>
      </c>
      <c r="CI94" s="134">
        <v>42.751345862849334</v>
      </c>
      <c r="CR94" s="134">
        <v>38.908992042602463</v>
      </c>
    </row>
    <row r="95" spans="1:96">
      <c r="A95" s="1">
        <v>1985</v>
      </c>
      <c r="F95" s="134">
        <v>43.112280275933792</v>
      </c>
      <c r="O95" s="134">
        <v>47.487868394577852</v>
      </c>
      <c r="X95" s="134">
        <v>44.934000455044071</v>
      </c>
      <c r="AG95" s="134">
        <v>44.995726206108962</v>
      </c>
      <c r="AP95" s="134">
        <v>44.252874947687317</v>
      </c>
      <c r="AY95" s="134">
        <v>44.01622166500718</v>
      </c>
      <c r="BH95" s="134">
        <v>43.388427228256113</v>
      </c>
      <c r="BQ95" s="134">
        <v>41.604180112185681</v>
      </c>
      <c r="BZ95" s="134">
        <v>43.547847981112874</v>
      </c>
      <c r="CI95" s="134">
        <v>42.871310830864566</v>
      </c>
      <c r="CR95" s="134">
        <v>38.752831751797821</v>
      </c>
    </row>
    <row r="96" spans="1:96">
      <c r="A96" s="1">
        <v>1986</v>
      </c>
      <c r="F96" s="134">
        <v>42.594310591355793</v>
      </c>
      <c r="O96" s="134">
        <v>47.246803546182129</v>
      </c>
      <c r="X96" s="134">
        <v>44.350013269235347</v>
      </c>
      <c r="AG96" s="134">
        <v>44.576581244755651</v>
      </c>
      <c r="AP96" s="134">
        <v>43.724018449782228</v>
      </c>
      <c r="AY96" s="134">
        <v>43.208121758878804</v>
      </c>
      <c r="BH96" s="134">
        <v>42.77229782141471</v>
      </c>
      <c r="BQ96" s="134">
        <v>41.185869316640165</v>
      </c>
      <c r="BZ96" s="134">
        <v>43.688501102717659</v>
      </c>
      <c r="CI96" s="134">
        <v>42.723675314391556</v>
      </c>
      <c r="CR96" s="134">
        <v>38.587318203012785</v>
      </c>
    </row>
    <row r="97" spans="1:98">
      <c r="A97" s="1">
        <v>1987</v>
      </c>
      <c r="F97" s="134">
        <v>41.955036682113189</v>
      </c>
      <c r="O97" s="134">
        <v>46.89794272598099</v>
      </c>
      <c r="X97" s="134">
        <v>43.973200774564887</v>
      </c>
      <c r="AG97" s="134">
        <v>44.175762241370322</v>
      </c>
      <c r="AP97" s="134">
        <v>43.122054778817827</v>
      </c>
      <c r="AY97" s="134">
        <v>42.231612702063387</v>
      </c>
      <c r="BH97" s="134">
        <v>41.89188225061578</v>
      </c>
      <c r="BQ97" s="134">
        <v>40.886267425823384</v>
      </c>
      <c r="BZ97" s="134">
        <v>43.848779098503364</v>
      </c>
      <c r="CI97" s="134">
        <v>42.976998124495758</v>
      </c>
      <c r="CR97" s="134">
        <v>38.252070339763954</v>
      </c>
    </row>
    <row r="98" spans="1:98">
      <c r="A98" s="1">
        <v>1988</v>
      </c>
      <c r="F98" s="134">
        <v>41.76306869189461</v>
      </c>
      <c r="O98" s="134">
        <v>46.302007642870009</v>
      </c>
      <c r="X98" s="134">
        <v>43.408408903670981</v>
      </c>
      <c r="AG98" s="134">
        <v>43.659025429481957</v>
      </c>
      <c r="AP98" s="134">
        <v>42.647797533403939</v>
      </c>
      <c r="AY98" s="134">
        <v>41.942336452351938</v>
      </c>
      <c r="BH98" s="134">
        <v>41.686593012685996</v>
      </c>
      <c r="BQ98" s="134">
        <v>40.637939662046627</v>
      </c>
      <c r="BZ98" s="134">
        <v>43.486544612505938</v>
      </c>
      <c r="CI98" s="134">
        <v>43.106055476300895</v>
      </c>
      <c r="CR98" s="134">
        <v>38.494552776889243</v>
      </c>
    </row>
    <row r="99" spans="1:98">
      <c r="A99" s="1">
        <v>1989</v>
      </c>
      <c r="F99" s="134">
        <v>41.363856123843227</v>
      </c>
      <c r="O99" s="134">
        <v>45.581899291024712</v>
      </c>
      <c r="X99" s="134">
        <v>42.817732036902022</v>
      </c>
      <c r="AG99" s="134">
        <v>43.026474144657406</v>
      </c>
      <c r="AP99" s="134">
        <v>42.042743164885884</v>
      </c>
      <c r="AY99" s="134">
        <v>41.459044083863958</v>
      </c>
      <c r="BH99" s="134">
        <v>41.215133773887295</v>
      </c>
      <c r="BQ99" s="134">
        <v>40.486770672366852</v>
      </c>
      <c r="BZ99" s="134">
        <v>43.292131085749475</v>
      </c>
      <c r="CI99" s="134">
        <v>42.856915742771811</v>
      </c>
      <c r="CR99" s="134">
        <v>38.51787215284272</v>
      </c>
    </row>
    <row r="100" spans="1:98">
      <c r="A100" s="1">
        <v>1990</v>
      </c>
      <c r="F100" s="134">
        <v>41.088057046452619</v>
      </c>
      <c r="O100" s="134">
        <v>44.846704335269564</v>
      </c>
      <c r="X100" s="134">
        <v>42.348230140544153</v>
      </c>
      <c r="AG100" s="134">
        <v>42.435861109372269</v>
      </c>
      <c r="AP100" s="134">
        <v>41.444219284635672</v>
      </c>
      <c r="AY100" s="134">
        <v>41.075242443963141</v>
      </c>
      <c r="BH100" s="134">
        <v>41.068321165476334</v>
      </c>
      <c r="BQ100" s="134">
        <v>40.313095115831054</v>
      </c>
      <c r="BZ100" s="134">
        <v>43.237602323579075</v>
      </c>
      <c r="CI100" s="134">
        <v>42.436659214784662</v>
      </c>
      <c r="CR100" s="134">
        <v>38.423960992303599</v>
      </c>
    </row>
    <row r="101" spans="1:98">
      <c r="A101" s="1">
        <v>1991</v>
      </c>
      <c r="F101" s="134">
        <v>40.940110365892593</v>
      </c>
      <c r="O101" s="134">
        <v>44.116422270058827</v>
      </c>
      <c r="X101" s="134">
        <v>42.100096670316169</v>
      </c>
      <c r="AG101" s="134">
        <v>41.86846110075065</v>
      </c>
      <c r="AP101" s="134">
        <v>40.819306358343439</v>
      </c>
      <c r="AY101" s="134">
        <v>40.772126608254993</v>
      </c>
      <c r="BH101" s="134">
        <v>41.162493440537062</v>
      </c>
      <c r="BQ101" s="134">
        <v>40.070820915162393</v>
      </c>
      <c r="BZ101" s="134">
        <v>42.854767285700234</v>
      </c>
      <c r="CI101" s="134">
        <v>42.149361122859105</v>
      </c>
      <c r="CR101" s="134">
        <v>38.462687752158757</v>
      </c>
    </row>
    <row r="102" spans="1:98">
      <c r="A102" s="1">
        <v>1992</v>
      </c>
      <c r="F102" s="134">
        <v>40.661996725919799</v>
      </c>
      <c r="O102" s="134">
        <v>43.257337201058128</v>
      </c>
      <c r="X102" s="134">
        <v>41.585946237714396</v>
      </c>
      <c r="AG102" s="134">
        <v>41.247214252556155</v>
      </c>
      <c r="AP102" s="134">
        <v>40.257039464897908</v>
      </c>
      <c r="AY102" s="134">
        <v>40.360996690288303</v>
      </c>
      <c r="BH102" s="134">
        <v>41.079212873775283</v>
      </c>
      <c r="BQ102" s="134">
        <v>39.803941575670457</v>
      </c>
      <c r="BZ102" s="134">
        <v>42.218159995460915</v>
      </c>
      <c r="CI102" s="134">
        <v>41.85282873466749</v>
      </c>
      <c r="CR102" s="134">
        <v>38.310377425600407</v>
      </c>
    </row>
    <row r="103" spans="1:98">
      <c r="A103" s="1">
        <v>1993</v>
      </c>
      <c r="F103" s="134">
        <v>40.399149509701139</v>
      </c>
      <c r="O103" s="134">
        <v>42.795390116490459</v>
      </c>
      <c r="X103" s="134">
        <v>41.33247496327629</v>
      </c>
      <c r="AG103" s="134">
        <v>40.631751417792486</v>
      </c>
      <c r="AP103" s="134">
        <v>39.734943184458629</v>
      </c>
      <c r="AY103" s="134">
        <v>39.874619817913377</v>
      </c>
      <c r="BH103" s="134">
        <v>40.767478808123798</v>
      </c>
      <c r="BQ103" s="134">
        <v>39.639565534370298</v>
      </c>
      <c r="BZ103" s="134">
        <v>42.649983936817897</v>
      </c>
      <c r="CI103" s="134">
        <v>41.953618445666919</v>
      </c>
      <c r="CR103" s="134">
        <v>38.398562932151364</v>
      </c>
    </row>
    <row r="104" spans="1:98">
      <c r="A104" s="1">
        <v>1994</v>
      </c>
      <c r="F104" s="134">
        <v>39.78881432938271</v>
      </c>
      <c r="O104" s="134">
        <v>42.156410223671955</v>
      </c>
      <c r="X104" s="134">
        <v>40.94714798691281</v>
      </c>
      <c r="AG104" s="134">
        <v>39.91497521742879</v>
      </c>
      <c r="AP104" s="134">
        <v>39.064062532473393</v>
      </c>
      <c r="AY104" s="134">
        <v>39.22816972395416</v>
      </c>
      <c r="BH104" s="134">
        <v>40.137310286981432</v>
      </c>
      <c r="BQ104" s="134">
        <v>39.170303699025929</v>
      </c>
      <c r="BZ104" s="134">
        <v>41.311146093329903</v>
      </c>
      <c r="CI104" s="134">
        <v>41.540160702676602</v>
      </c>
      <c r="CR104" s="134">
        <v>38.028344228071866</v>
      </c>
    </row>
    <row r="105" spans="1:98">
      <c r="A105" s="1">
        <v>1995</v>
      </c>
      <c r="F105" s="134">
        <v>39.219941342846766</v>
      </c>
      <c r="O105" s="134">
        <v>41.569549792542347</v>
      </c>
      <c r="X105" s="134">
        <v>40.697844726671065</v>
      </c>
      <c r="AG105" s="134">
        <v>39.163426620861799</v>
      </c>
      <c r="AP105" s="134">
        <v>38.403974305769431</v>
      </c>
      <c r="AY105" s="134">
        <v>38.552189879198963</v>
      </c>
      <c r="BH105" s="134">
        <v>39.537112358944775</v>
      </c>
      <c r="BQ105" s="134">
        <v>38.768123063839148</v>
      </c>
      <c r="BZ105" s="134">
        <v>40.834923727850779</v>
      </c>
      <c r="CI105" s="134">
        <v>41.121817641080696</v>
      </c>
      <c r="CR105" s="134">
        <v>37.68044109219025</v>
      </c>
    </row>
    <row r="106" spans="1:98">
      <c r="A106" s="1">
        <v>1996</v>
      </c>
      <c r="F106" s="134">
        <v>38.58193</v>
      </c>
      <c r="H106" s="135"/>
      <c r="O106" s="134">
        <v>41.064010000000003</v>
      </c>
      <c r="Q106" s="135"/>
      <c r="X106" s="134">
        <v>40.371960000000001</v>
      </c>
      <c r="Z106" s="135"/>
      <c r="AG106" s="134">
        <v>38.204320000000003</v>
      </c>
      <c r="AI106" s="135"/>
      <c r="AP106" s="134">
        <v>38.003270000000001</v>
      </c>
      <c r="AR106" s="135"/>
      <c r="AY106" s="134">
        <v>37.739789999999999</v>
      </c>
      <c r="BA106" s="135"/>
      <c r="BH106" s="134">
        <v>39.047979999999995</v>
      </c>
      <c r="BJ106" s="135"/>
      <c r="BQ106" s="134">
        <v>38.195659999999997</v>
      </c>
      <c r="BS106" s="135"/>
      <c r="BZ106" s="134">
        <v>40.412999999999997</v>
      </c>
      <c r="CB106" s="135"/>
      <c r="CI106" s="134">
        <v>40.686679999999996</v>
      </c>
      <c r="CK106" s="135"/>
      <c r="CR106" s="134">
        <v>36.740469999999995</v>
      </c>
      <c r="CT106" s="135"/>
    </row>
    <row r="107" spans="1:98">
      <c r="A107" s="1">
        <v>1997</v>
      </c>
      <c r="F107" s="134">
        <v>38.082230000000003</v>
      </c>
      <c r="O107" s="134">
        <v>39.471679999999999</v>
      </c>
      <c r="X107" s="134">
        <v>40.409329999999997</v>
      </c>
      <c r="AG107" s="134">
        <v>36.742069999999998</v>
      </c>
      <c r="AP107" s="134">
        <v>37.302639999999997</v>
      </c>
      <c r="AY107" s="134">
        <v>36.72052</v>
      </c>
      <c r="BH107" s="134">
        <v>38.830010000000001</v>
      </c>
      <c r="BQ107" s="134">
        <v>37.538319999999999</v>
      </c>
      <c r="BZ107" s="134">
        <v>39.932369999999999</v>
      </c>
      <c r="CI107" s="134">
        <v>40.03725</v>
      </c>
      <c r="CR107" s="134">
        <v>36.916939999999997</v>
      </c>
    </row>
    <row r="108" spans="1:98">
      <c r="A108" s="1">
        <v>1998</v>
      </c>
      <c r="F108" s="134">
        <v>37.521819999999998</v>
      </c>
      <c r="O108" s="134">
        <v>38.846000000000004</v>
      </c>
      <c r="X108" s="134">
        <v>39.642899999999997</v>
      </c>
      <c r="AG108" s="134">
        <v>36.402079999999998</v>
      </c>
      <c r="AP108" s="134">
        <v>36.685790000000004</v>
      </c>
      <c r="AY108" s="134">
        <v>35.470839999999995</v>
      </c>
      <c r="BH108" s="134">
        <v>38.431939999999997</v>
      </c>
      <c r="BQ108" s="134">
        <v>37.299720000000001</v>
      </c>
      <c r="BZ108" s="134">
        <v>40.020580000000002</v>
      </c>
      <c r="CI108" s="134">
        <v>39.353660000000005</v>
      </c>
      <c r="CR108" s="134">
        <v>36.9452</v>
      </c>
    </row>
    <row r="109" spans="1:98">
      <c r="A109" s="1">
        <v>1999</v>
      </c>
      <c r="F109" s="134">
        <v>37.661909999999999</v>
      </c>
      <c r="H109" s="135"/>
      <c r="O109" s="134">
        <v>38.006129999999999</v>
      </c>
      <c r="Q109" s="135"/>
      <c r="X109" s="134">
        <v>38.870349999999995</v>
      </c>
      <c r="Z109" s="135"/>
      <c r="AG109" s="134">
        <v>35.953790000000005</v>
      </c>
      <c r="AI109" s="135"/>
      <c r="AP109" s="134">
        <v>36.969059999999999</v>
      </c>
      <c r="AR109" s="135"/>
      <c r="AY109" s="134">
        <v>35.468290000000003</v>
      </c>
      <c r="BA109" s="135"/>
      <c r="BH109" s="134">
        <v>38.723910000000004</v>
      </c>
      <c r="BJ109" s="135"/>
      <c r="BQ109" s="134">
        <v>38.658340000000003</v>
      </c>
      <c r="BS109" s="135"/>
      <c r="BZ109" s="134">
        <v>40.170499999999997</v>
      </c>
      <c r="CB109" s="135"/>
      <c r="CI109" s="134">
        <v>40.000229999999995</v>
      </c>
      <c r="CK109" s="135"/>
      <c r="CR109" s="134">
        <v>36.146450000000002</v>
      </c>
      <c r="CT109" s="135"/>
    </row>
    <row r="110" spans="1:98">
      <c r="A110" s="1">
        <v>2000</v>
      </c>
      <c r="F110" s="134">
        <v>36.99335</v>
      </c>
      <c r="O110" s="134">
        <v>37.543500000000002</v>
      </c>
      <c r="X110" s="134">
        <v>38.400950000000002</v>
      </c>
      <c r="AG110" s="134">
        <v>35.2166</v>
      </c>
      <c r="AP110" s="134">
        <v>36.322049999999997</v>
      </c>
      <c r="AY110" s="134">
        <v>34.933680000000003</v>
      </c>
      <c r="BH110" s="134">
        <v>37.708439999999996</v>
      </c>
      <c r="BQ110" s="134">
        <v>39.205550000000002</v>
      </c>
      <c r="BZ110" s="134">
        <v>39.730399999999996</v>
      </c>
      <c r="CI110" s="134">
        <v>39.21622</v>
      </c>
      <c r="CR110" s="134">
        <v>36.088700000000003</v>
      </c>
    </row>
    <row r="111" spans="1:98">
      <c r="A111" s="1">
        <v>2001</v>
      </c>
      <c r="F111" s="134">
        <v>36.427599999999998</v>
      </c>
      <c r="H111" s="135"/>
      <c r="O111" s="134">
        <v>36.210500000000003</v>
      </c>
      <c r="Q111" s="135"/>
      <c r="X111" s="134">
        <v>37.326450000000001</v>
      </c>
      <c r="Z111" s="135"/>
      <c r="AG111" s="134">
        <v>34.521429999999995</v>
      </c>
      <c r="AI111" s="135"/>
      <c r="AP111" s="134">
        <v>34.972270000000002</v>
      </c>
      <c r="AR111" s="135"/>
      <c r="AY111" s="134">
        <v>33.891399999999997</v>
      </c>
      <c r="BA111" s="135"/>
      <c r="BH111" s="134">
        <v>37.483980000000003</v>
      </c>
      <c r="BJ111" s="135"/>
      <c r="BQ111" s="134">
        <v>38.209209999999999</v>
      </c>
      <c r="BS111" s="135"/>
      <c r="BZ111" s="134">
        <v>38.28792</v>
      </c>
      <c r="CB111" s="135"/>
      <c r="CI111" s="134">
        <v>39.202550000000002</v>
      </c>
      <c r="CK111" s="135"/>
      <c r="CR111" s="134">
        <v>35.045429999999996</v>
      </c>
      <c r="CT111" s="135"/>
    </row>
    <row r="112" spans="1:98">
      <c r="A112" s="1">
        <v>2002</v>
      </c>
      <c r="F112" s="134">
        <v>35.709350000000001</v>
      </c>
      <c r="O112" s="134">
        <v>35.165459999999996</v>
      </c>
      <c r="X112" s="134">
        <v>36.529939999999996</v>
      </c>
      <c r="AG112" s="134">
        <v>34.761399999999995</v>
      </c>
      <c r="AP112" s="134">
        <v>34.100140000000003</v>
      </c>
      <c r="AY112" s="134">
        <v>33.23265</v>
      </c>
      <c r="BH112" s="134">
        <v>37.073499999999996</v>
      </c>
      <c r="BQ112" s="134">
        <v>37.956159999999997</v>
      </c>
      <c r="BZ112" s="134">
        <v>37.268630000000002</v>
      </c>
      <c r="CI112" s="134">
        <v>37.709769999999999</v>
      </c>
      <c r="CR112" s="134">
        <v>34.127130000000001</v>
      </c>
    </row>
    <row r="113" spans="1:96">
      <c r="A113" s="1">
        <v>2003</v>
      </c>
      <c r="F113" s="134">
        <v>35.454120000000003</v>
      </c>
      <c r="O113" s="134">
        <v>34.201500000000003</v>
      </c>
      <c r="X113" s="134">
        <v>36.823540000000001</v>
      </c>
      <c r="AG113" s="134">
        <v>34.45073</v>
      </c>
      <c r="AP113" s="134">
        <v>33.01126</v>
      </c>
      <c r="AY113" s="134">
        <v>33.164320000000004</v>
      </c>
      <c r="BH113" s="134">
        <v>37.177329999999998</v>
      </c>
      <c r="BQ113" s="134">
        <v>37.453879999999998</v>
      </c>
      <c r="BZ113" s="134">
        <v>36.599029999999999</v>
      </c>
      <c r="CI113" s="134">
        <v>36.639800000000001</v>
      </c>
      <c r="CR113" s="134">
        <v>33.167540000000002</v>
      </c>
    </row>
    <row r="169" spans="2:13">
      <c r="B169" s="1" t="s">
        <v>336</v>
      </c>
    </row>
    <row r="170" spans="2:13">
      <c r="B170" s="1" t="s">
        <v>76</v>
      </c>
      <c r="C170" s="1" t="s">
        <v>325</v>
      </c>
      <c r="D170" s="1" t="s">
        <v>326</v>
      </c>
      <c r="E170" s="1" t="s">
        <v>327</v>
      </c>
      <c r="F170" s="1" t="s">
        <v>328</v>
      </c>
      <c r="G170" s="1" t="s">
        <v>329</v>
      </c>
      <c r="H170" s="1" t="s">
        <v>330</v>
      </c>
      <c r="I170" s="1" t="s">
        <v>331</v>
      </c>
      <c r="J170" s="1" t="s">
        <v>332</v>
      </c>
      <c r="K170" s="1" t="s">
        <v>333</v>
      </c>
      <c r="L170" s="1" t="s">
        <v>334</v>
      </c>
      <c r="M170" s="1" t="s">
        <v>335</v>
      </c>
    </row>
    <row r="171" spans="2:13">
      <c r="B171" s="1">
        <v>1971</v>
      </c>
      <c r="C171" s="1">
        <v>7770002</v>
      </c>
      <c r="D171" s="1">
        <v>234296</v>
      </c>
      <c r="E171" s="1">
        <v>42938</v>
      </c>
      <c r="F171" s="1">
        <v>292048</v>
      </c>
      <c r="G171" s="1">
        <v>248198</v>
      </c>
      <c r="H171" s="1">
        <v>2191892</v>
      </c>
      <c r="I171" s="1">
        <v>2676002</v>
      </c>
      <c r="J171" s="1">
        <v>347932</v>
      </c>
      <c r="K171" s="1">
        <v>342078</v>
      </c>
      <c r="L171" s="1">
        <v>623165</v>
      </c>
      <c r="M171" s="1">
        <v>746943</v>
      </c>
    </row>
    <row r="172" spans="2:13">
      <c r="B172" s="1">
        <v>1972</v>
      </c>
      <c r="C172" s="1">
        <v>7699798</v>
      </c>
      <c r="D172" s="1">
        <v>233398</v>
      </c>
      <c r="E172" s="1">
        <v>42571</v>
      </c>
      <c r="F172" s="1">
        <v>288966</v>
      </c>
      <c r="G172" s="1">
        <v>245859</v>
      </c>
      <c r="H172" s="1">
        <v>2146780</v>
      </c>
      <c r="I172" s="1">
        <v>2666493</v>
      </c>
      <c r="J172" s="1">
        <v>343140</v>
      </c>
      <c r="K172" s="1">
        <v>330748</v>
      </c>
      <c r="L172" s="1">
        <v>623115</v>
      </c>
      <c r="M172" s="1">
        <v>752829</v>
      </c>
    </row>
    <row r="173" spans="2:13">
      <c r="B173" s="1">
        <v>1973</v>
      </c>
      <c r="C173" s="1">
        <v>7614853</v>
      </c>
      <c r="D173" s="1">
        <v>232236</v>
      </c>
      <c r="E173" s="1">
        <v>42193</v>
      </c>
      <c r="F173" s="1">
        <v>286926</v>
      </c>
      <c r="G173" s="1">
        <v>243603</v>
      </c>
      <c r="H173" s="1">
        <v>2096947</v>
      </c>
      <c r="I173" s="1">
        <v>2648488</v>
      </c>
      <c r="J173" s="1">
        <v>338710</v>
      </c>
      <c r="K173" s="1">
        <v>320962</v>
      </c>
      <c r="L173" s="1">
        <v>621304</v>
      </c>
      <c r="M173" s="1">
        <v>756754</v>
      </c>
    </row>
    <row r="174" spans="2:13">
      <c r="B174" s="1">
        <v>1974</v>
      </c>
      <c r="C174" s="1">
        <v>7537655</v>
      </c>
      <c r="D174" s="1">
        <v>230430</v>
      </c>
      <c r="E174" s="1">
        <v>41883</v>
      </c>
      <c r="F174" s="1">
        <v>283332</v>
      </c>
      <c r="G174" s="1">
        <v>241447</v>
      </c>
      <c r="H174" s="1">
        <v>2055073</v>
      </c>
      <c r="I174" s="1">
        <v>2631891</v>
      </c>
      <c r="J174" s="1">
        <v>335568</v>
      </c>
      <c r="K174" s="1">
        <v>313605</v>
      </c>
      <c r="L174" s="1">
        <v>616458</v>
      </c>
      <c r="M174" s="1">
        <v>761359</v>
      </c>
    </row>
    <row r="175" spans="2:13">
      <c r="B175" s="1">
        <v>1975</v>
      </c>
      <c r="C175" s="1">
        <v>7478778</v>
      </c>
      <c r="D175" s="1">
        <v>229300</v>
      </c>
      <c r="E175" s="1">
        <v>41758</v>
      </c>
      <c r="F175" s="1">
        <v>280370</v>
      </c>
      <c r="G175" s="1">
        <v>240984</v>
      </c>
      <c r="H175" s="1">
        <v>2017182</v>
      </c>
      <c r="I175" s="1">
        <v>2617016</v>
      </c>
      <c r="J175" s="1">
        <v>331681</v>
      </c>
      <c r="K175" s="1">
        <v>310658</v>
      </c>
      <c r="L175" s="1">
        <v>620157</v>
      </c>
      <c r="M175" s="1">
        <v>762586</v>
      </c>
    </row>
    <row r="176" spans="2:13">
      <c r="B176" s="1">
        <v>1976</v>
      </c>
      <c r="C176" s="1">
        <v>7408665</v>
      </c>
      <c r="D176" s="1">
        <v>227822</v>
      </c>
      <c r="E176" s="1">
        <v>41317</v>
      </c>
      <c r="F176" s="1">
        <v>277448</v>
      </c>
      <c r="G176" s="1">
        <v>240264</v>
      </c>
      <c r="H176" s="1">
        <v>1985275</v>
      </c>
      <c r="I176" s="1">
        <v>2591409</v>
      </c>
      <c r="J176" s="1">
        <v>327676</v>
      </c>
      <c r="K176" s="1">
        <v>309654</v>
      </c>
      <c r="L176" s="1">
        <v>625782</v>
      </c>
      <c r="M176" s="1">
        <v>754725</v>
      </c>
    </row>
    <row r="177" spans="2:13">
      <c r="B177" s="1">
        <v>1977</v>
      </c>
      <c r="C177" s="1">
        <v>7319277</v>
      </c>
      <c r="D177" s="1">
        <v>224076</v>
      </c>
      <c r="E177" s="1">
        <v>40967</v>
      </c>
      <c r="F177" s="1">
        <v>272651</v>
      </c>
      <c r="G177" s="1">
        <v>237323</v>
      </c>
      <c r="H177" s="1">
        <v>1941370</v>
      </c>
      <c r="I177" s="1">
        <v>2562160</v>
      </c>
      <c r="J177" s="1">
        <v>323583</v>
      </c>
      <c r="K177" s="1">
        <v>308026</v>
      </c>
      <c r="L177" s="1">
        <v>635149</v>
      </c>
      <c r="M177" s="1">
        <v>746721</v>
      </c>
    </row>
    <row r="178" spans="2:13">
      <c r="B178" s="1">
        <v>1978</v>
      </c>
      <c r="C178" s="1">
        <v>7205937</v>
      </c>
      <c r="D178" s="1">
        <v>220032</v>
      </c>
      <c r="E178" s="1">
        <v>40622</v>
      </c>
      <c r="F178" s="1">
        <v>267489</v>
      </c>
      <c r="G178" s="1">
        <v>233099</v>
      </c>
      <c r="H178" s="1">
        <v>1889820</v>
      </c>
      <c r="I178" s="1">
        <v>2525531</v>
      </c>
      <c r="J178" s="1">
        <v>317662</v>
      </c>
      <c r="K178" s="1">
        <v>304261</v>
      </c>
      <c r="L178" s="1">
        <v>641087</v>
      </c>
      <c r="M178" s="1">
        <v>738951</v>
      </c>
    </row>
    <row r="179" spans="2:13">
      <c r="B179" s="1">
        <v>1979</v>
      </c>
      <c r="C179" s="1">
        <v>7086025</v>
      </c>
      <c r="D179" s="1">
        <v>215940</v>
      </c>
      <c r="E179" s="1">
        <v>40100</v>
      </c>
      <c r="F179" s="1">
        <v>262197</v>
      </c>
      <c r="G179" s="1">
        <v>228551</v>
      </c>
      <c r="H179" s="1">
        <v>1844535</v>
      </c>
      <c r="I179" s="1">
        <v>2476793</v>
      </c>
      <c r="J179" s="1">
        <v>309243</v>
      </c>
      <c r="K179" s="1">
        <v>301406</v>
      </c>
      <c r="L179" s="1">
        <v>646830</v>
      </c>
      <c r="M179" s="1">
        <v>733200</v>
      </c>
    </row>
    <row r="180" spans="2:13">
      <c r="B180" s="1">
        <v>1980</v>
      </c>
      <c r="C180" s="1">
        <v>7006395</v>
      </c>
      <c r="D180" s="1">
        <v>212343</v>
      </c>
      <c r="E180" s="1">
        <v>39494</v>
      </c>
      <c r="F180" s="1">
        <v>256494</v>
      </c>
      <c r="G180" s="1">
        <v>224211</v>
      </c>
      <c r="H180" s="1">
        <v>1810915</v>
      </c>
      <c r="I180" s="1">
        <v>2437063</v>
      </c>
      <c r="J180" s="1">
        <v>301974</v>
      </c>
      <c r="K180" s="1">
        <v>299031</v>
      </c>
      <c r="L180" s="1">
        <v>659158</v>
      </c>
      <c r="M180" s="1">
        <v>738571</v>
      </c>
    </row>
    <row r="181" spans="2:13">
      <c r="B181" s="1">
        <v>1981</v>
      </c>
      <c r="C181" s="1">
        <v>6914159</v>
      </c>
      <c r="D181" s="1">
        <v>208096</v>
      </c>
      <c r="E181" s="1">
        <v>38463</v>
      </c>
      <c r="F181" s="1">
        <v>250068</v>
      </c>
      <c r="G181" s="1">
        <v>218582</v>
      </c>
      <c r="H181" s="1">
        <v>1775056</v>
      </c>
      <c r="I181" s="1">
        <v>2390745</v>
      </c>
      <c r="J181" s="1">
        <v>296309</v>
      </c>
      <c r="K181" s="1">
        <v>296273</v>
      </c>
      <c r="L181" s="1">
        <v>671898</v>
      </c>
      <c r="M181" s="1">
        <v>741700</v>
      </c>
    </row>
    <row r="182" spans="2:13">
      <c r="B182" s="1">
        <v>1982</v>
      </c>
      <c r="C182" s="1">
        <v>6827375</v>
      </c>
      <c r="D182" s="1">
        <v>202366</v>
      </c>
      <c r="E182" s="1">
        <v>37524</v>
      </c>
      <c r="F182" s="1">
        <v>244810</v>
      </c>
      <c r="G182" s="1">
        <v>212881</v>
      </c>
      <c r="H182" s="1">
        <v>1736815</v>
      </c>
      <c r="I182" s="1">
        <v>2358447</v>
      </c>
      <c r="J182" s="1">
        <v>293210</v>
      </c>
      <c r="K182" s="1">
        <v>294204</v>
      </c>
      <c r="L182" s="1">
        <v>681379</v>
      </c>
      <c r="M182" s="1">
        <v>738434</v>
      </c>
    </row>
    <row r="183" spans="2:13">
      <c r="B183" s="1">
        <v>1983</v>
      </c>
      <c r="C183" s="1">
        <v>6745815</v>
      </c>
      <c r="D183" s="1">
        <v>198213</v>
      </c>
      <c r="E183" s="1">
        <v>36953</v>
      </c>
      <c r="F183" s="1">
        <v>240631</v>
      </c>
      <c r="G183" s="1">
        <v>209142</v>
      </c>
      <c r="H183" s="1">
        <v>1698048</v>
      </c>
      <c r="I183" s="1">
        <v>2334714</v>
      </c>
      <c r="J183" s="1">
        <v>291566</v>
      </c>
      <c r="K183" s="1">
        <v>294158</v>
      </c>
      <c r="L183" s="1">
        <v>681006</v>
      </c>
      <c r="M183" s="1">
        <v>734203</v>
      </c>
    </row>
    <row r="184" spans="2:13">
      <c r="B184" s="1">
        <v>1984</v>
      </c>
      <c r="C184" s="1">
        <v>6696617</v>
      </c>
      <c r="D184" s="1">
        <v>193258</v>
      </c>
      <c r="E184" s="1">
        <v>36505</v>
      </c>
      <c r="F184" s="1">
        <v>237545</v>
      </c>
      <c r="G184" s="1">
        <v>205705</v>
      </c>
      <c r="H184" s="1">
        <v>1670920</v>
      </c>
      <c r="I184" s="1">
        <v>2326077</v>
      </c>
      <c r="J184" s="1">
        <v>290451</v>
      </c>
      <c r="K184" s="1">
        <v>295264</v>
      </c>
      <c r="L184" s="1">
        <v>677046</v>
      </c>
      <c r="M184" s="1">
        <v>736376</v>
      </c>
    </row>
    <row r="185" spans="2:13">
      <c r="B185" s="1">
        <v>1985</v>
      </c>
      <c r="C185" s="1">
        <v>6673857</v>
      </c>
      <c r="D185" s="1">
        <v>188320</v>
      </c>
      <c r="E185" s="1">
        <v>36306</v>
      </c>
      <c r="F185" s="1">
        <v>235309</v>
      </c>
      <c r="G185" s="1">
        <v>202434</v>
      </c>
      <c r="H185" s="1">
        <v>1652711</v>
      </c>
      <c r="I185" s="1">
        <v>2329142</v>
      </c>
      <c r="J185" s="1">
        <v>290357</v>
      </c>
      <c r="K185" s="1">
        <v>296688</v>
      </c>
      <c r="L185" s="1">
        <v>676833</v>
      </c>
      <c r="M185" s="1">
        <v>737641</v>
      </c>
    </row>
    <row r="186" spans="2:13">
      <c r="B186" s="1">
        <v>1986</v>
      </c>
      <c r="C186" s="1">
        <v>6665475</v>
      </c>
      <c r="D186" s="1">
        <v>183182</v>
      </c>
      <c r="E186" s="1">
        <v>36019</v>
      </c>
      <c r="F186" s="1">
        <v>232528</v>
      </c>
      <c r="G186" s="1">
        <v>199232</v>
      </c>
      <c r="H186" s="1">
        <v>1641524</v>
      </c>
      <c r="I186" s="1">
        <v>2339264</v>
      </c>
      <c r="J186" s="1">
        <v>290439</v>
      </c>
      <c r="K186" s="1">
        <v>296772</v>
      </c>
      <c r="L186" s="1">
        <v>681031</v>
      </c>
      <c r="M186" s="1">
        <v>737476</v>
      </c>
    </row>
    <row r="187" spans="2:13">
      <c r="B187" s="1">
        <v>1987</v>
      </c>
      <c r="C187" s="1">
        <v>6692806</v>
      </c>
      <c r="D187" s="1">
        <v>177987</v>
      </c>
      <c r="E187" s="1">
        <v>35736</v>
      </c>
      <c r="F187" s="1">
        <v>230982</v>
      </c>
      <c r="G187" s="1">
        <v>197053</v>
      </c>
      <c r="H187" s="1">
        <v>1641405</v>
      </c>
      <c r="I187" s="1">
        <v>2371873</v>
      </c>
      <c r="J187" s="1">
        <v>291233</v>
      </c>
      <c r="K187" s="1">
        <v>296592</v>
      </c>
      <c r="L187" s="1">
        <v>680281</v>
      </c>
      <c r="M187" s="1">
        <v>741400</v>
      </c>
    </row>
    <row r="188" spans="2:13">
      <c r="B188" s="1">
        <v>1988</v>
      </c>
      <c r="C188" s="1">
        <v>6720917</v>
      </c>
      <c r="D188" s="1">
        <v>173518</v>
      </c>
      <c r="E188" s="1">
        <v>35667</v>
      </c>
      <c r="F188" s="1">
        <v>229026</v>
      </c>
      <c r="G188" s="1">
        <v>194499</v>
      </c>
      <c r="H188" s="1">
        <v>1638994</v>
      </c>
      <c r="I188" s="1">
        <v>2402880</v>
      </c>
      <c r="J188" s="1">
        <v>290917</v>
      </c>
      <c r="K188" s="1">
        <v>293614</v>
      </c>
      <c r="L188" s="1">
        <v>682475</v>
      </c>
      <c r="M188" s="1">
        <v>750873</v>
      </c>
    </row>
    <row r="189" spans="2:13">
      <c r="B189" s="1">
        <v>1989</v>
      </c>
      <c r="C189" s="1">
        <v>6780049</v>
      </c>
      <c r="D189" s="1">
        <v>169106</v>
      </c>
      <c r="E189" s="1">
        <v>35729</v>
      </c>
      <c r="F189" s="1">
        <v>227254</v>
      </c>
      <c r="G189" s="1">
        <v>192464</v>
      </c>
      <c r="H189" s="1">
        <v>1646485</v>
      </c>
      <c r="I189" s="1">
        <v>2442498</v>
      </c>
      <c r="J189" s="1">
        <v>290192</v>
      </c>
      <c r="K189" s="1">
        <v>290257</v>
      </c>
      <c r="L189" s="1">
        <v>691745</v>
      </c>
      <c r="M189" s="1">
        <v>765411</v>
      </c>
    </row>
    <row r="190" spans="2:13">
      <c r="B190" s="1">
        <v>1990</v>
      </c>
      <c r="C190" s="1">
        <v>6866773</v>
      </c>
      <c r="D190" s="1">
        <v>165196</v>
      </c>
      <c r="E190" s="1">
        <v>35650</v>
      </c>
      <c r="F190" s="1">
        <v>226569</v>
      </c>
      <c r="G190" s="1">
        <v>190954</v>
      </c>
      <c r="H190" s="1">
        <v>1663029</v>
      </c>
      <c r="I190" s="1">
        <v>2484463</v>
      </c>
      <c r="J190" s="1">
        <v>290838</v>
      </c>
      <c r="K190" s="1">
        <v>286683</v>
      </c>
      <c r="L190" s="1">
        <v>706724</v>
      </c>
      <c r="M190" s="1">
        <v>786965</v>
      </c>
    </row>
    <row r="191" spans="2:13">
      <c r="B191" s="1">
        <v>1991</v>
      </c>
      <c r="C191" s="1">
        <v>6937062</v>
      </c>
      <c r="D191" s="1">
        <v>160877</v>
      </c>
      <c r="E191" s="1">
        <v>35343</v>
      </c>
      <c r="F191" s="1">
        <v>225758</v>
      </c>
      <c r="G191" s="1">
        <v>189278</v>
      </c>
      <c r="H191" s="1">
        <v>1679338</v>
      </c>
      <c r="I191" s="1">
        <v>2514523</v>
      </c>
      <c r="J191" s="1">
        <v>291505</v>
      </c>
      <c r="K191" s="1">
        <v>284777</v>
      </c>
      <c r="L191" s="1">
        <v>719455</v>
      </c>
      <c r="M191" s="1">
        <v>805577</v>
      </c>
    </row>
    <row r="192" spans="2:13">
      <c r="B192" s="1">
        <v>1992</v>
      </c>
      <c r="C192" s="1">
        <v>7023447</v>
      </c>
      <c r="D192" s="1">
        <v>156966</v>
      </c>
      <c r="E192" s="1">
        <v>35189</v>
      </c>
      <c r="F192" s="1">
        <v>224956</v>
      </c>
      <c r="G192" s="1">
        <v>187063</v>
      </c>
      <c r="H192" s="1">
        <v>1693082</v>
      </c>
      <c r="I192" s="1">
        <v>2559827</v>
      </c>
      <c r="J192" s="1">
        <v>291739</v>
      </c>
      <c r="K192" s="1">
        <v>283925</v>
      </c>
      <c r="L192" s="1">
        <v>730533</v>
      </c>
      <c r="M192" s="1">
        <v>828391</v>
      </c>
    </row>
    <row r="193" spans="2:13">
      <c r="B193" s="1">
        <v>1993</v>
      </c>
      <c r="C193" s="1">
        <v>7077670</v>
      </c>
      <c r="D193" s="1">
        <v>152971</v>
      </c>
      <c r="E193" s="1">
        <v>35247</v>
      </c>
      <c r="F193" s="1">
        <v>223812</v>
      </c>
      <c r="G193" s="1">
        <v>184402</v>
      </c>
      <c r="H193" s="1">
        <v>1698267</v>
      </c>
      <c r="I193" s="1">
        <v>2589858</v>
      </c>
      <c r="J193" s="1">
        <v>291908</v>
      </c>
      <c r="K193" s="1">
        <v>283395</v>
      </c>
      <c r="L193" s="1">
        <v>736483</v>
      </c>
      <c r="M193" s="1">
        <v>849181</v>
      </c>
    </row>
    <row r="194" spans="2:13">
      <c r="B194" s="1">
        <v>1994</v>
      </c>
      <c r="C194" s="1">
        <v>7124812</v>
      </c>
      <c r="D194" s="1">
        <v>147756</v>
      </c>
      <c r="E194" s="1">
        <v>35328</v>
      </c>
      <c r="F194" s="1">
        <v>222293</v>
      </c>
      <c r="G194" s="1">
        <v>182059</v>
      </c>
      <c r="H194" s="1">
        <v>1697831</v>
      </c>
      <c r="I194" s="1">
        <v>2621643</v>
      </c>
      <c r="J194" s="1">
        <v>292654</v>
      </c>
      <c r="K194" s="1">
        <v>282699</v>
      </c>
      <c r="L194" s="1">
        <v>739351</v>
      </c>
      <c r="M194" s="1">
        <v>870677</v>
      </c>
    </row>
    <row r="195" spans="2:13">
      <c r="B195" s="1">
        <v>1995</v>
      </c>
      <c r="C195" s="1">
        <v>7160626</v>
      </c>
      <c r="D195" s="1">
        <v>142602</v>
      </c>
      <c r="E195" s="1">
        <v>35249</v>
      </c>
      <c r="F195" s="1">
        <v>220961</v>
      </c>
      <c r="G195" s="1">
        <v>179589</v>
      </c>
      <c r="H195" s="1">
        <v>1690171</v>
      </c>
      <c r="I195" s="1">
        <v>2652689</v>
      </c>
      <c r="J195" s="1">
        <v>293954</v>
      </c>
      <c r="K195" s="1">
        <v>281640</v>
      </c>
      <c r="L195" s="1">
        <v>742162</v>
      </c>
      <c r="M195" s="1">
        <v>888411</v>
      </c>
    </row>
    <row r="196" spans="2:13">
      <c r="B196" s="1">
        <v>1996</v>
      </c>
      <c r="C196" s="1">
        <v>7198047</v>
      </c>
      <c r="D196" s="1">
        <v>137203</v>
      </c>
      <c r="E196" s="1">
        <v>35306</v>
      </c>
      <c r="F196" s="1">
        <v>220079</v>
      </c>
      <c r="G196" s="1">
        <v>177305</v>
      </c>
      <c r="H196" s="1">
        <v>1683129</v>
      </c>
      <c r="I196" s="1">
        <v>2687527</v>
      </c>
      <c r="J196" s="1">
        <v>294295</v>
      </c>
      <c r="K196" s="1">
        <v>280587</v>
      </c>
      <c r="L196" s="1">
        <v>745388</v>
      </c>
      <c r="M196" s="1">
        <v>903557</v>
      </c>
    </row>
    <row r="197" spans="2:13">
      <c r="B197" s="1">
        <v>1997</v>
      </c>
      <c r="C197" s="1">
        <v>7201692</v>
      </c>
      <c r="D197" s="1">
        <v>131533</v>
      </c>
      <c r="E197" s="1">
        <v>34843</v>
      </c>
      <c r="F197" s="1">
        <v>217401</v>
      </c>
      <c r="G197" s="1">
        <v>174592</v>
      </c>
      <c r="H197" s="1">
        <v>1664663</v>
      </c>
      <c r="I197" s="1">
        <v>2709476</v>
      </c>
      <c r="J197" s="1">
        <v>293056</v>
      </c>
      <c r="K197" s="1">
        <v>277114</v>
      </c>
      <c r="L197" s="1">
        <v>751973</v>
      </c>
      <c r="M197" s="1">
        <v>913386</v>
      </c>
    </row>
    <row r="198" spans="2:13">
      <c r="B198" s="1">
        <v>1998</v>
      </c>
      <c r="C198" s="1">
        <v>7189595</v>
      </c>
      <c r="D198" s="1">
        <v>125831</v>
      </c>
      <c r="E198" s="1">
        <v>34287</v>
      </c>
      <c r="F198" s="1">
        <v>214035</v>
      </c>
      <c r="G198" s="1">
        <v>171255</v>
      </c>
      <c r="H198" s="1">
        <v>1642069</v>
      </c>
      <c r="I198" s="1">
        <v>2731584</v>
      </c>
      <c r="J198" s="1">
        <v>291355</v>
      </c>
      <c r="K198" s="1">
        <v>273975</v>
      </c>
      <c r="L198" s="1">
        <v>760499</v>
      </c>
      <c r="M198" s="1">
        <v>911636</v>
      </c>
    </row>
    <row r="199" spans="2:13">
      <c r="B199" s="1">
        <v>1999</v>
      </c>
      <c r="C199" s="1">
        <v>7157941</v>
      </c>
      <c r="D199" s="1">
        <v>121353</v>
      </c>
      <c r="E199" s="1">
        <v>33918</v>
      </c>
      <c r="F199" s="1">
        <v>211106</v>
      </c>
      <c r="G199" s="1">
        <v>168464</v>
      </c>
      <c r="H199" s="1">
        <v>1616863</v>
      </c>
      <c r="I199" s="1">
        <v>2744445</v>
      </c>
      <c r="J199" s="1">
        <v>290694</v>
      </c>
      <c r="K199" s="1">
        <v>269649</v>
      </c>
      <c r="L199" s="1">
        <v>762460</v>
      </c>
      <c r="M199" s="1">
        <v>906141</v>
      </c>
    </row>
    <row r="200" spans="2:13">
      <c r="B200" s="1">
        <v>2000</v>
      </c>
      <c r="C200" s="1">
        <v>7137778</v>
      </c>
      <c r="D200" s="1">
        <v>117367</v>
      </c>
      <c r="E200" s="1">
        <v>33428</v>
      </c>
      <c r="F200" s="1">
        <v>208310</v>
      </c>
      <c r="G200" s="1">
        <v>165611</v>
      </c>
      <c r="H200" s="1">
        <v>1596734</v>
      </c>
      <c r="I200" s="1">
        <v>2766649</v>
      </c>
      <c r="J200" s="1">
        <v>289809</v>
      </c>
      <c r="K200" s="1">
        <v>264349</v>
      </c>
      <c r="L200" s="1">
        <v>763577</v>
      </c>
      <c r="M200" s="1">
        <v>899323</v>
      </c>
    </row>
    <row r="201" spans="2:13">
      <c r="B201" s="1">
        <v>2001</v>
      </c>
      <c r="C201" s="1">
        <v>7121952</v>
      </c>
      <c r="D201" s="1">
        <v>112995</v>
      </c>
      <c r="E201" s="1">
        <v>32902</v>
      </c>
      <c r="F201" s="1">
        <v>204633</v>
      </c>
      <c r="G201" s="1">
        <v>162339</v>
      </c>
      <c r="H201" s="1">
        <v>1580565</v>
      </c>
      <c r="I201" s="1">
        <v>2793673</v>
      </c>
      <c r="J201" s="1">
        <v>288338</v>
      </c>
      <c r="K201" s="1">
        <v>258241</v>
      </c>
      <c r="L201" s="1">
        <v>763161</v>
      </c>
      <c r="M201" s="1">
        <v>892698</v>
      </c>
    </row>
    <row r="202" spans="2:13">
      <c r="B202" s="1">
        <v>2002</v>
      </c>
      <c r="C202" s="1">
        <v>7089944</v>
      </c>
      <c r="D202" s="1">
        <v>109391</v>
      </c>
      <c r="E202" s="1">
        <v>32338</v>
      </c>
      <c r="F202" s="1">
        <v>200657</v>
      </c>
      <c r="G202" s="1">
        <v>159150</v>
      </c>
      <c r="H202" s="1">
        <v>1567195</v>
      </c>
      <c r="I202" s="1">
        <v>2803605</v>
      </c>
      <c r="J202" s="1">
        <v>286318</v>
      </c>
      <c r="K202" s="1">
        <v>253184</v>
      </c>
      <c r="L202" s="1">
        <v>764265</v>
      </c>
      <c r="M202" s="1">
        <v>881560</v>
      </c>
    </row>
    <row r="203" spans="2:13">
      <c r="B203" s="1">
        <v>2003</v>
      </c>
      <c r="C203" s="1">
        <v>7038734</v>
      </c>
      <c r="D203" s="1">
        <v>106356</v>
      </c>
      <c r="E203" s="1">
        <v>31724</v>
      </c>
      <c r="F203" s="1">
        <v>197009</v>
      </c>
      <c r="G203" s="1">
        <v>156089</v>
      </c>
      <c r="H203" s="1">
        <v>1554087</v>
      </c>
      <c r="I203" s="1">
        <v>2794162</v>
      </c>
      <c r="J203" s="1">
        <v>284428</v>
      </c>
      <c r="K203" s="1">
        <v>248392</v>
      </c>
      <c r="L203" s="1">
        <v>762420</v>
      </c>
      <c r="M203" s="1">
        <v>871752</v>
      </c>
    </row>
    <row r="204" spans="2:13">
      <c r="B204" s="1">
        <v>2004</v>
      </c>
      <c r="C204" s="1">
        <v>6997515</v>
      </c>
      <c r="D204" s="1">
        <v>103636</v>
      </c>
      <c r="E204" s="1">
        <v>31122</v>
      </c>
      <c r="F204" s="1">
        <v>193116</v>
      </c>
      <c r="G204" s="1">
        <v>153333</v>
      </c>
      <c r="H204" s="1">
        <v>1545073</v>
      </c>
      <c r="I204" s="1">
        <v>2785138</v>
      </c>
      <c r="J204" s="1">
        <v>283420</v>
      </c>
      <c r="K204" s="1">
        <v>244239</v>
      </c>
      <c r="L204" s="1">
        <v>761431</v>
      </c>
      <c r="M204" s="1">
        <v>864781</v>
      </c>
    </row>
    <row r="205" spans="2:13">
      <c r="B205" s="1">
        <v>2005</v>
      </c>
      <c r="C205" s="1">
        <v>6967853</v>
      </c>
      <c r="D205" s="1">
        <v>101458</v>
      </c>
      <c r="E205" s="1">
        <v>30529</v>
      </c>
      <c r="F205" s="1">
        <v>189490</v>
      </c>
      <c r="G205" s="1">
        <v>150784</v>
      </c>
      <c r="H205" s="1">
        <v>1538081</v>
      </c>
      <c r="I205" s="1">
        <v>2777653</v>
      </c>
      <c r="J205" s="1">
        <v>282600</v>
      </c>
      <c r="K205" s="1">
        <v>240950</v>
      </c>
      <c r="L205" s="1">
        <v>763440</v>
      </c>
      <c r="M205" s="1">
        <v>860899</v>
      </c>
    </row>
    <row r="207" spans="2:13">
      <c r="B207" s="1" t="s">
        <v>337</v>
      </c>
    </row>
    <row r="209" spans="2:2">
      <c r="B209" s="1">
        <v>1971</v>
      </c>
    </row>
    <row r="210" spans="2:2">
      <c r="B210" s="1">
        <v>1972</v>
      </c>
    </row>
    <row r="211" spans="2:2">
      <c r="B211" s="1">
        <v>1973</v>
      </c>
    </row>
    <row r="212" spans="2:2">
      <c r="B212" s="1">
        <v>1974</v>
      </c>
    </row>
    <row r="213" spans="2:2">
      <c r="B213" s="1">
        <v>1975</v>
      </c>
    </row>
    <row r="214" spans="2:2">
      <c r="B214" s="1">
        <v>1976</v>
      </c>
    </row>
    <row r="215" spans="2:2">
      <c r="B215" s="1">
        <v>1977</v>
      </c>
    </row>
    <row r="216" spans="2:2">
      <c r="B216" s="1">
        <v>1978</v>
      </c>
    </row>
    <row r="217" spans="2:2">
      <c r="B217" s="1">
        <v>1979</v>
      </c>
    </row>
    <row r="218" spans="2:2">
      <c r="B218" s="1">
        <v>1980</v>
      </c>
    </row>
    <row r="219" spans="2:2">
      <c r="B219" s="1">
        <v>1981</v>
      </c>
    </row>
    <row r="220" spans="2:2">
      <c r="B220" s="1">
        <v>1982</v>
      </c>
    </row>
    <row r="221" spans="2:2">
      <c r="B221" s="1">
        <v>1983</v>
      </c>
    </row>
    <row r="222" spans="2:2">
      <c r="B222" s="1">
        <v>1984</v>
      </c>
    </row>
    <row r="223" spans="2:2">
      <c r="B223" s="1">
        <v>1985</v>
      </c>
    </row>
    <row r="224" spans="2:2">
      <c r="B224" s="1">
        <v>1986</v>
      </c>
    </row>
    <row r="225" spans="2:2">
      <c r="B225" s="1">
        <v>1987</v>
      </c>
    </row>
    <row r="226" spans="2:2">
      <c r="B226" s="1">
        <v>1988</v>
      </c>
    </row>
    <row r="227" spans="2:2">
      <c r="B227" s="1">
        <v>1989</v>
      </c>
    </row>
    <row r="228" spans="2:2">
      <c r="B228" s="1">
        <v>1990</v>
      </c>
    </row>
    <row r="229" spans="2:2">
      <c r="B229" s="1">
        <v>1991</v>
      </c>
    </row>
    <row r="230" spans="2:2">
      <c r="B230" s="1">
        <v>1992</v>
      </c>
    </row>
    <row r="231" spans="2:2">
      <c r="B231" s="1">
        <v>1993</v>
      </c>
    </row>
    <row r="232" spans="2:2">
      <c r="B232" s="1">
        <v>1994</v>
      </c>
    </row>
    <row r="233" spans="2:2">
      <c r="B233" s="1">
        <v>1995</v>
      </c>
    </row>
    <row r="234" spans="2:2">
      <c r="B234" s="1">
        <v>1996</v>
      </c>
    </row>
    <row r="235" spans="2:2">
      <c r="B235" s="1">
        <v>1997</v>
      </c>
    </row>
    <row r="236" spans="2:2">
      <c r="B236" s="1">
        <v>1998</v>
      </c>
    </row>
    <row r="237" spans="2:2">
      <c r="B237" s="1">
        <v>1999</v>
      </c>
    </row>
    <row r="238" spans="2:2">
      <c r="B238" s="1">
        <v>2000</v>
      </c>
    </row>
    <row r="239" spans="2:2">
      <c r="B239" s="1">
        <v>2001</v>
      </c>
    </row>
    <row r="240" spans="2:2">
      <c r="B240" s="1">
        <v>2002</v>
      </c>
    </row>
    <row r="241" spans="2:2">
      <c r="B241" s="1">
        <v>2003</v>
      </c>
    </row>
    <row r="242" spans="2:2">
      <c r="B242" s="1">
        <v>2004</v>
      </c>
    </row>
    <row r="243" spans="2:2">
      <c r="B243" s="1">
        <v>2005</v>
      </c>
    </row>
  </sheetData>
  <mergeCells count="1">
    <mergeCell ref="B55:J55"/>
  </mergeCells>
  <phoneticPr fontId="0" type="noConversion"/>
  <pageMargins left="0.55118110236220474" right="0.55118110236220474" top="0.98425196850393704" bottom="0.98425196850393704" header="0.51181102362204722" footer="0.51181102362204722"/>
  <pageSetup scale="67" orientation="landscape" r:id="rId1"/>
  <headerFooter alignWithMargins="0"/>
  <colBreaks count="10" manualBreakCount="10">
    <brk id="10" max="1048575" man="1"/>
    <brk id="19" max="1048575" man="1"/>
    <brk id="28" max="1048575" man="1"/>
    <brk id="37" max="1048575" man="1"/>
    <brk id="46" max="1048575" man="1"/>
    <brk id="55" max="1048575" man="1"/>
    <brk id="64" max="1048575" man="1"/>
    <brk id="73" max="1048575" man="1"/>
    <brk id="82" max="1048575" man="1"/>
    <brk id="91" max="1048575" man="1"/>
  </colBreaks>
</worksheet>
</file>

<file path=xl/worksheets/sheet59.xml><?xml version="1.0" encoding="utf-8"?>
<worksheet xmlns="http://schemas.openxmlformats.org/spreadsheetml/2006/main" xmlns:r="http://schemas.openxmlformats.org/officeDocument/2006/relationships">
  <dimension ref="A1:L38"/>
  <sheetViews>
    <sheetView topLeftCell="A7" workbookViewId="0">
      <selection activeCell="E9" sqref="E9"/>
    </sheetView>
  </sheetViews>
  <sheetFormatPr defaultRowHeight="12.75"/>
  <cols>
    <col min="3" max="3" width="10.375" bestFit="1" customWidth="1"/>
    <col min="4" max="4" width="6.125" bestFit="1" customWidth="1"/>
    <col min="5" max="5" width="8.75" bestFit="1" customWidth="1"/>
    <col min="6" max="6" width="11.75" bestFit="1" customWidth="1"/>
    <col min="7" max="8" width="7" bestFit="1" customWidth="1"/>
    <col min="9" max="9" width="7.125" bestFit="1" customWidth="1"/>
    <col min="10" max="10" width="10.625" bestFit="1" customWidth="1"/>
    <col min="11" max="11" width="7" bestFit="1" customWidth="1"/>
    <col min="12" max="12" width="12.75" bestFit="1" customWidth="1"/>
  </cols>
  <sheetData>
    <row r="1" spans="1:12" ht="15.75">
      <c r="A1" s="2" t="s">
        <v>1432</v>
      </c>
    </row>
    <row r="3" spans="1:12">
      <c r="A3" s="582"/>
      <c r="B3" s="581" t="s">
        <v>321</v>
      </c>
      <c r="C3" s="581" t="s">
        <v>370</v>
      </c>
      <c r="D3" s="581" t="s">
        <v>450</v>
      </c>
      <c r="E3" s="581" t="s">
        <v>372</v>
      </c>
      <c r="F3" s="581" t="s">
        <v>373</v>
      </c>
      <c r="G3" s="581" t="s">
        <v>374</v>
      </c>
      <c r="H3" s="581" t="s">
        <v>375</v>
      </c>
      <c r="I3" s="581" t="s">
        <v>376</v>
      </c>
      <c r="J3" s="581" t="s">
        <v>377</v>
      </c>
      <c r="K3" s="581" t="s">
        <v>378</v>
      </c>
      <c r="L3" s="581" t="s">
        <v>379</v>
      </c>
    </row>
    <row r="4" spans="1:12">
      <c r="A4" s="583">
        <v>1981</v>
      </c>
      <c r="B4" s="7">
        <f>('a30-1'!B4*1000000)/'a1'!$F$19</f>
        <v>26080.790365317527</v>
      </c>
      <c r="C4" s="7">
        <f>('a30-1'!C4*1000000)/'a1'!$L19</f>
        <v>16278.406819374868</v>
      </c>
      <c r="D4" s="7">
        <f>('a30-1'!D4*1000000)/'a1'!$R19</f>
        <v>17094.155449976122</v>
      </c>
      <c r="E4" s="7">
        <f>('a30-1'!E4*1000000)/'a1'!$X19</f>
        <v>18687.029972943285</v>
      </c>
      <c r="F4" s="7">
        <f>('a30-1'!F4*1000000)/'a1'!$AD19</f>
        <v>17131.015035997498</v>
      </c>
      <c r="G4" s="7">
        <f>('a30-1'!G4*1000000)/'a1'!$AJ19</f>
        <v>23706.139121613232</v>
      </c>
      <c r="H4" s="7">
        <f>('a30-1'!H4*1000000)/'a1'!$AP19</f>
        <v>28533.458855057586</v>
      </c>
      <c r="I4" s="7">
        <f>('a30-1'!I4*1000000)/'a1'!$AV19</f>
        <v>23783.611528229096</v>
      </c>
      <c r="J4" s="7">
        <f>('a30-1'!J4*1000000)/'a1'!$BB19</f>
        <v>23970.058180349861</v>
      </c>
      <c r="K4" s="7">
        <f>('a30-1'!K4*1000000)/'a1'!$BH19</f>
        <v>35785.804572817295</v>
      </c>
      <c r="L4" s="7">
        <f>('a30-1'!L4*1000000)/'a1'!$BN19</f>
        <v>29888.649021176992</v>
      </c>
    </row>
    <row r="5" spans="1:12">
      <c r="A5" s="583">
        <v>1982</v>
      </c>
      <c r="B5" s="7">
        <f>('a30-1'!B5*1000000)/'a1'!F20</f>
        <v>25035.531793639529</v>
      </c>
      <c r="C5" s="7">
        <f>('a30-1'!C5*1000000)/'a1'!$L20</f>
        <v>16483.238787371796</v>
      </c>
      <c r="D5" s="7">
        <f>('a30-1'!D5*1000000)/'a1'!$R20</f>
        <v>17242.774379389586</v>
      </c>
      <c r="E5" s="7">
        <f>('a30-1'!E5*1000000)/'a1'!$X20</f>
        <v>19290.18273929675</v>
      </c>
      <c r="F5" s="7">
        <f>('a30-1'!F5*1000000)/'a1'!$AD20</f>
        <v>17428.621103473426</v>
      </c>
      <c r="G5" s="7">
        <f>('a30-1'!G5*1000000)/'a1'!$AJ20</f>
        <v>22735.053826905048</v>
      </c>
      <c r="H5" s="7">
        <f>('a30-1'!H5*1000000)/'a1'!$AP20</f>
        <v>27426.468741816407</v>
      </c>
      <c r="I5" s="7">
        <f>('a30-1'!I5*1000000)/'a1'!$AV20</f>
        <v>22943.407346176515</v>
      </c>
      <c r="J5" s="7">
        <f>('a30-1'!J5*1000000)/'a1'!$BB20</f>
        <v>23265.172078955424</v>
      </c>
      <c r="K5" s="7">
        <f>('a30-1'!K5*1000000)/'a1'!$BH20</f>
        <v>33496.537932937717</v>
      </c>
      <c r="L5" s="7">
        <f>('a30-1'!L5*1000000)/'a1'!$BN20</f>
        <v>27576.44411827793</v>
      </c>
    </row>
    <row r="6" spans="1:12">
      <c r="A6" s="583">
        <v>1983</v>
      </c>
      <c r="B6" s="7">
        <f>('a30-1'!B6*1000000)/'a1'!F21</f>
        <v>25463.00229385656</v>
      </c>
      <c r="C6" s="7">
        <f>('a30-1'!C6*1000000)/'a1'!$L21</f>
        <v>16843.243019248435</v>
      </c>
      <c r="D6" s="7">
        <f>('a30-1'!D6*1000000)/'a1'!$R21</f>
        <v>18648.782593403783</v>
      </c>
      <c r="E6" s="7">
        <f>('a30-1'!E6*1000000)/'a1'!$X21</f>
        <v>19558.004305018261</v>
      </c>
      <c r="F6" s="7">
        <f>('a30-1'!F6*1000000)/'a1'!$AD21</f>
        <v>18454.427691713692</v>
      </c>
      <c r="G6" s="7">
        <f>('a30-1'!G6*1000000)/'a1'!$AJ21</f>
        <v>23080.350435924651</v>
      </c>
      <c r="H6" s="7">
        <f>('a30-1'!H6*1000000)/'a1'!$AP21</f>
        <v>28279.018766834328</v>
      </c>
      <c r="I6" s="7">
        <f>('a30-1'!I6*1000000)/'a1'!$AV21</f>
        <v>22790.237715993931</v>
      </c>
      <c r="J6" s="7">
        <f>('a30-1'!J6*1000000)/'a1'!$BB21</f>
        <v>23586.540411026628</v>
      </c>
      <c r="K6" s="7">
        <f>('a30-1'!K6*1000000)/'a1'!$BH21</f>
        <v>32772.988823886495</v>
      </c>
      <c r="L6" s="7">
        <f>('a30-1'!L6*1000000)/'a1'!$BN21</f>
        <v>27454.495302152845</v>
      </c>
    </row>
    <row r="7" spans="1:12">
      <c r="A7" s="583">
        <v>1984</v>
      </c>
      <c r="B7" s="7">
        <f>('a30-1'!B7*1000000)/'a1'!F22</f>
        <v>26690.380966525121</v>
      </c>
      <c r="C7" s="7">
        <f>('a30-1'!C7*1000000)/'a1'!$L22</f>
        <v>17280.821976847423</v>
      </c>
      <c r="D7" s="7">
        <f>('a30-1'!D7*1000000)/'a1'!$R22</f>
        <v>18852.271200903899</v>
      </c>
      <c r="E7" s="7">
        <f>('a30-1'!E7*1000000)/'a1'!$X22</f>
        <v>20562.502920324434</v>
      </c>
      <c r="F7" s="7">
        <f>('a30-1'!F7*1000000)/'a1'!$AD22</f>
        <v>18697.049777373115</v>
      </c>
      <c r="G7" s="7">
        <f>('a30-1'!G7*1000000)/'a1'!$AJ22</f>
        <v>23972.964250922152</v>
      </c>
      <c r="H7" s="7">
        <f>('a30-1'!H7*1000000)/'a1'!$AP22</f>
        <v>30096.152881204918</v>
      </c>
      <c r="I7" s="7">
        <f>('a30-1'!I7*1000000)/'a1'!$AV22</f>
        <v>24392.382978326383</v>
      </c>
      <c r="J7" s="7">
        <f>('a30-1'!J7*1000000)/'a1'!$BB22</f>
        <v>23751.866471518755</v>
      </c>
      <c r="K7" s="7">
        <f>('a30-1'!K7*1000000)/'a1'!$BH22</f>
        <v>34162.145814352858</v>
      </c>
      <c r="L7" s="7">
        <f>('a30-1'!L7*1000000)/'a1'!$BN22</f>
        <v>27293.878455378206</v>
      </c>
    </row>
    <row r="8" spans="1:12">
      <c r="A8" s="583">
        <v>1985</v>
      </c>
      <c r="B8" s="7">
        <f>('a30-1'!B8*1000000)/'a1'!F23</f>
        <v>27711.817406902748</v>
      </c>
      <c r="C8" s="7">
        <f>('a30-1'!C8*1000000)/'a1'!$L23</f>
        <v>17540.891631781105</v>
      </c>
      <c r="D8" s="7">
        <f>('a30-1'!D8*1000000)/'a1'!$R23</f>
        <v>18633.58904238397</v>
      </c>
      <c r="E8" s="7">
        <f>('a30-1'!E8*1000000)/'a1'!$X23</f>
        <v>21358.065943593032</v>
      </c>
      <c r="F8" s="7">
        <f>('a30-1'!F8*1000000)/'a1'!$AD23</f>
        <v>19194.317055332114</v>
      </c>
      <c r="G8" s="7">
        <f>('a30-1'!G8*1000000)/'a1'!$AJ23</f>
        <v>24616.5427655967</v>
      </c>
      <c r="H8" s="7">
        <f>('a30-1'!H8*1000000)/'a1'!$AP23</f>
        <v>30920.990414170206</v>
      </c>
      <c r="I8" s="7">
        <f>('a30-1'!I8*1000000)/'a1'!$AV23</f>
        <v>25713.744636233885</v>
      </c>
      <c r="J8" s="7">
        <f>('a30-1'!J8*1000000)/'a1'!$BB23</f>
        <v>24127.548471697522</v>
      </c>
      <c r="K8" s="7">
        <f>('a30-1'!K8*1000000)/'a1'!$BH23</f>
        <v>36736.272556758398</v>
      </c>
      <c r="L8" s="7">
        <f>('a30-1'!L8*1000000)/'a1'!$BN23</f>
        <v>28915.029287785983</v>
      </c>
    </row>
    <row r="9" spans="1:12">
      <c r="A9" s="583">
        <v>1986</v>
      </c>
      <c r="B9" s="7">
        <f>('a30-1'!B9*1000000)/'a1'!F24</f>
        <v>28101.922899058776</v>
      </c>
      <c r="C9" s="7">
        <f>('a30-1'!C9*1000000)/'a1'!$L24</f>
        <v>17643.404719020797</v>
      </c>
      <c r="D9" s="7">
        <f>('a30-1'!D9*1000000)/'a1'!$R24</f>
        <v>19317.013921330468</v>
      </c>
      <c r="E9" s="7">
        <f>('a30-1'!E9*1000000)/'a1'!$X24</f>
        <v>21707.661904852957</v>
      </c>
      <c r="F9" s="7">
        <f>('a30-1'!F9*1000000)/'a1'!$AD24</f>
        <v>20469.808377435627</v>
      </c>
      <c r="G9" s="7">
        <f>('a30-1'!G9*1000000)/'a1'!$AJ24</f>
        <v>24947.787548616092</v>
      </c>
      <c r="H9" s="7">
        <f>('a30-1'!H9*1000000)/'a1'!$AP24</f>
        <v>31695.837786821503</v>
      </c>
      <c r="I9" s="7">
        <f>('a30-1'!I9*1000000)/'a1'!$AV24</f>
        <v>25557.188297030283</v>
      </c>
      <c r="J9" s="7">
        <f>('a30-1'!J9*1000000)/'a1'!$BB24</f>
        <v>25414.180965221727</v>
      </c>
      <c r="K9" s="7">
        <f>('a30-1'!K9*1000000)/'a1'!$BH24</f>
        <v>35488.074050630312</v>
      </c>
      <c r="L9" s="7">
        <f>('a30-1'!L9*1000000)/'a1'!$BN24</f>
        <v>28694.365900358269</v>
      </c>
    </row>
    <row r="10" spans="1:12">
      <c r="A10" s="583">
        <v>1987</v>
      </c>
      <c r="B10" s="7">
        <f>('a30-1'!B10*1000000)/'a1'!F25</f>
        <v>28913.507637522114</v>
      </c>
      <c r="C10" s="7">
        <f>('a30-1'!C10*1000000)/'a1'!$L25</f>
        <v>18282.740133717634</v>
      </c>
      <c r="D10" s="7">
        <f>('a30-1'!D10*1000000)/'a1'!$R25</f>
        <v>19573.852815198887</v>
      </c>
      <c r="E10" s="7">
        <f>('a30-1'!E10*1000000)/'a1'!$X25</f>
        <v>22308.48942375051</v>
      </c>
      <c r="F10" s="7">
        <f>('a30-1'!F10*1000000)/'a1'!$AD25</f>
        <v>21468.380033197394</v>
      </c>
      <c r="G10" s="7">
        <f>('a30-1'!G10*1000000)/'a1'!$AJ25</f>
        <v>25742.467101072489</v>
      </c>
      <c r="H10" s="7">
        <f>('a30-1'!H10*1000000)/'a1'!$AP25</f>
        <v>32589.934887571988</v>
      </c>
      <c r="I10" s="7">
        <f>('a30-1'!I10*1000000)/'a1'!$AV25</f>
        <v>25779.949070124629</v>
      </c>
      <c r="J10" s="7">
        <f>('a30-1'!J10*1000000)/'a1'!$BB25</f>
        <v>25425.082712125011</v>
      </c>
      <c r="K10" s="7">
        <f>('a30-1'!K10*1000000)/'a1'!$BH25</f>
        <v>36107.923504543651</v>
      </c>
      <c r="L10" s="7">
        <f>('a30-1'!L10*1000000)/'a1'!$BN25</f>
        <v>30014.258765598293</v>
      </c>
    </row>
    <row r="11" spans="1:12">
      <c r="A11" s="583">
        <v>1988</v>
      </c>
      <c r="B11" s="7">
        <f>('a30-1'!B11*1000000)/'a1'!F26</f>
        <v>29960.793523468252</v>
      </c>
      <c r="C11" s="7">
        <f>('a30-1'!C11*1000000)/'a1'!$L26</f>
        <v>19430.173466299813</v>
      </c>
      <c r="D11" s="7">
        <f>('a30-1'!D11*1000000)/'a1'!$R26</f>
        <v>20109.986155047995</v>
      </c>
      <c r="E11" s="7">
        <f>('a30-1'!E11*1000000)/'a1'!$X26</f>
        <v>22486.224053070833</v>
      </c>
      <c r="F11" s="7">
        <f>('a30-1'!F11*1000000)/'a1'!$AD26</f>
        <v>21519.848729853809</v>
      </c>
      <c r="G11" s="7">
        <f>('a30-1'!G11*1000000)/'a1'!$AJ26</f>
        <v>26699.713927457597</v>
      </c>
      <c r="H11" s="7">
        <f>('a30-1'!H11*1000000)/'a1'!$AP26</f>
        <v>33641.709914601845</v>
      </c>
      <c r="I11" s="7">
        <f>('a30-1'!I11*1000000)/'a1'!$AV26</f>
        <v>25556.36609106548</v>
      </c>
      <c r="J11" s="7">
        <f>('a30-1'!J11*1000000)/'a1'!$BB26</f>
        <v>24665.807581025554</v>
      </c>
      <c r="K11" s="7">
        <f>('a30-1'!K11*1000000)/'a1'!$BH26</f>
        <v>38741.536114342751</v>
      </c>
      <c r="L11" s="7">
        <f>('a30-1'!L11*1000000)/'a1'!$BN26</f>
        <v>31085.53112100736</v>
      </c>
    </row>
    <row r="12" spans="1:12">
      <c r="A12" s="583">
        <v>1989</v>
      </c>
      <c r="B12" s="7">
        <f>('a30-1'!B12*1000000)/'a1'!F27</f>
        <v>30198.871340426864</v>
      </c>
      <c r="C12" s="7">
        <f>('a30-1'!C12*1000000)/'a1'!$L27</f>
        <v>20202.896187848084</v>
      </c>
      <c r="D12" s="7">
        <f>('a30-1'!D12*1000000)/'a1'!$R27</f>
        <v>20514.317764477193</v>
      </c>
      <c r="E12" s="7">
        <f>('a30-1'!E12*1000000)/'a1'!$X27</f>
        <v>22828.130168912452</v>
      </c>
      <c r="F12" s="7">
        <f>('a30-1'!F12*1000000)/'a1'!$AD27</f>
        <v>21579.885979195489</v>
      </c>
      <c r="G12" s="7">
        <f>('a30-1'!G12*1000000)/'a1'!$AJ27</f>
        <v>26517.632598271106</v>
      </c>
      <c r="H12" s="7">
        <f>('a30-1'!H12*1000000)/'a1'!$AP27</f>
        <v>33863.770320701988</v>
      </c>
      <c r="I12" s="7">
        <f>('a30-1'!I12*1000000)/'a1'!$AV27</f>
        <v>26196.964645512922</v>
      </c>
      <c r="J12" s="7">
        <f>('a30-1'!J12*1000000)/'a1'!$BB27</f>
        <v>25481.661972908631</v>
      </c>
      <c r="K12" s="7">
        <f>('a30-1'!K12*1000000)/'a1'!$BH27</f>
        <v>38634.6852391102</v>
      </c>
      <c r="L12" s="7">
        <f>('a30-1'!L12*1000000)/'a1'!$BN27</f>
        <v>31284.204928481493</v>
      </c>
    </row>
    <row r="13" spans="1:12">
      <c r="A13" s="583">
        <v>1990</v>
      </c>
      <c r="B13" s="7">
        <f>('a30-1'!B13*1000000)/'a1'!F28</f>
        <v>29804.408905116143</v>
      </c>
      <c r="C13" s="7">
        <f>('a30-1'!C13*1000000)/'a1'!$L28</f>
        <v>20198.556206786659</v>
      </c>
      <c r="D13" s="7">
        <f>('a30-1'!D13*1000000)/'a1'!$R28</f>
        <v>20605.196159627005</v>
      </c>
      <c r="E13" s="7">
        <f>('a30-1'!E13*1000000)/'a1'!$X28</f>
        <v>22599.788456490245</v>
      </c>
      <c r="F13" s="7">
        <f>('a30-1'!F13*1000000)/'a1'!$AD28</f>
        <v>21309.02134144694</v>
      </c>
      <c r="G13" s="7">
        <f>('a30-1'!G13*1000000)/'a1'!$AJ28</f>
        <v>26339.483886347636</v>
      </c>
      <c r="H13" s="7">
        <f>('a30-1'!H13*1000000)/'a1'!$AP28</f>
        <v>32656.612889565407</v>
      </c>
      <c r="I13" s="7">
        <f>('a30-1'!I13*1000000)/'a1'!$AV28</f>
        <v>26803.362700726691</v>
      </c>
      <c r="J13" s="7">
        <f>('a30-1'!J13*1000000)/'a1'!$BB28</f>
        <v>27579.890188513356</v>
      </c>
      <c r="K13" s="7">
        <f>('a30-1'!K13*1000000)/'a1'!$BH28</f>
        <v>38732.814504189519</v>
      </c>
      <c r="L13" s="7">
        <f>('a30-1'!L13*1000000)/'a1'!$BN28</f>
        <v>30803.335610494301</v>
      </c>
    </row>
    <row r="14" spans="1:12">
      <c r="A14" s="583">
        <v>1991</v>
      </c>
      <c r="B14" s="7">
        <f>('a30-1'!B14*1000000)/'a1'!F29</f>
        <v>28820.447815811869</v>
      </c>
      <c r="C14" s="7">
        <f>('a30-1'!C14*1000000)/'a1'!$L29</f>
        <v>20210.681038706516</v>
      </c>
      <c r="D14" s="7">
        <f>('a30-1'!D14*1000000)/'a1'!$R29</f>
        <v>20557.034264280617</v>
      </c>
      <c r="E14" s="7">
        <f>('a30-1'!E14*1000000)/'a1'!$X29</f>
        <v>22295.837345308966</v>
      </c>
      <c r="F14" s="7">
        <f>('a30-1'!F14*1000000)/'a1'!$AD29</f>
        <v>21153.028500456698</v>
      </c>
      <c r="G14" s="7">
        <f>('a30-1'!G14*1000000)/'a1'!$AJ29</f>
        <v>25373.41900750998</v>
      </c>
      <c r="H14" s="7">
        <f>('a30-1'!H14*1000000)/'a1'!$AP29</f>
        <v>30965.220495669004</v>
      </c>
      <c r="I14" s="7">
        <f>('a30-1'!I14*1000000)/'a1'!$AV29</f>
        <v>25805.602719528768</v>
      </c>
      <c r="J14" s="7">
        <f>('a30-1'!J14*1000000)/'a1'!$BB29</f>
        <v>28021.976378086252</v>
      </c>
      <c r="K14" s="7">
        <f>('a30-1'!K14*1000000)/'a1'!$BH29</f>
        <v>38255.128831241374</v>
      </c>
      <c r="L14" s="7">
        <f>('a30-1'!L14*1000000)/'a1'!$BN29</f>
        <v>30112.452268029963</v>
      </c>
    </row>
    <row r="15" spans="1:12">
      <c r="A15" s="583">
        <v>1992</v>
      </c>
      <c r="B15" s="7">
        <f>('a30-1'!B15*1000000)/'a1'!F30</f>
        <v>28730.584580228784</v>
      </c>
      <c r="C15" s="7">
        <f>('a30-1'!C15*1000000)/'a1'!$L30</f>
        <v>19894.537061138511</v>
      </c>
      <c r="D15" s="7">
        <f>('a30-1'!D15*1000000)/'a1'!$R30</f>
        <v>21043.056861351251</v>
      </c>
      <c r="E15" s="7">
        <f>('a30-1'!E15*1000000)/'a1'!$X30</f>
        <v>22499.295775413808</v>
      </c>
      <c r="F15" s="7">
        <f>('a30-1'!F15*1000000)/'a1'!$AD30</f>
        <v>21423.005102115832</v>
      </c>
      <c r="G15" s="7">
        <f>('a30-1'!G15*1000000)/'a1'!$AJ30</f>
        <v>25325.984070345894</v>
      </c>
      <c r="H15" s="7">
        <f>('a30-1'!H15*1000000)/'a1'!$AP30</f>
        <v>30829.992418800051</v>
      </c>
      <c r="I15" s="7">
        <f>('a30-1'!I15*1000000)/'a1'!$AV30</f>
        <v>26002.773461407454</v>
      </c>
      <c r="J15" s="7">
        <f>('a30-1'!J15*1000000)/'a1'!$BB30</f>
        <v>26912.484623927408</v>
      </c>
      <c r="K15" s="7">
        <f>('a30-1'!K15*1000000)/'a1'!$BH30</f>
        <v>38016.509462629605</v>
      </c>
      <c r="L15" s="7">
        <f>('a30-1'!L15*1000000)/'a1'!$BN30</f>
        <v>30043.801865889145</v>
      </c>
    </row>
    <row r="16" spans="1:12">
      <c r="A16" s="583">
        <v>1993</v>
      </c>
      <c r="B16" s="7">
        <f>('a30-1'!B16*1000000)/'a1'!F31</f>
        <v>29081.11776690929</v>
      </c>
      <c r="C16" s="7">
        <f>('a30-1'!C16*1000000)/'a1'!$L31</f>
        <v>20061.140355565825</v>
      </c>
      <c r="D16" s="7">
        <f>('a30-1'!D16*1000000)/'a1'!$R31</f>
        <v>21070.231583407098</v>
      </c>
      <c r="E16" s="7">
        <f>('a30-1'!E16*1000000)/'a1'!$X31</f>
        <v>22604.64864572341</v>
      </c>
      <c r="F16" s="7">
        <f>('a30-1'!F16*1000000)/'a1'!$AD31</f>
        <v>22018.877902597716</v>
      </c>
      <c r="G16" s="7">
        <f>('a30-1'!G16*1000000)/'a1'!$AJ31</f>
        <v>25663.11052398667</v>
      </c>
      <c r="H16" s="7">
        <f>('a30-1'!H16*1000000)/'a1'!$AP31</f>
        <v>30781.649232678126</v>
      </c>
      <c r="I16" s="7">
        <f>('a30-1'!I16*1000000)/'a1'!$AV31</f>
        <v>25982.04395419544</v>
      </c>
      <c r="J16" s="7">
        <f>('a30-1'!J16*1000000)/'a1'!$BB31</f>
        <v>28599.662329923529</v>
      </c>
      <c r="K16" s="7">
        <f>('a30-1'!K16*1000000)/'a1'!$BH31</f>
        <v>40215.31950757547</v>
      </c>
      <c r="L16" s="7">
        <f>('a30-1'!L16*1000000)/'a1'!$BN31</f>
        <v>30515.963464033015</v>
      </c>
    </row>
    <row r="17" spans="1:12">
      <c r="A17" s="583">
        <v>1994</v>
      </c>
      <c r="B17" s="7">
        <f>('a30-1'!B17*1000000)/'a1'!F32</f>
        <v>30146.241829023013</v>
      </c>
      <c r="C17" s="7">
        <f>('a30-1'!C17*1000000)/'a1'!$L32</f>
        <v>21127.4470551782</v>
      </c>
      <c r="D17" s="7">
        <f>('a30-1'!D17*1000000)/'a1'!$R32</f>
        <v>21897.974324962343</v>
      </c>
      <c r="E17" s="7">
        <f>('a30-1'!E17*1000000)/'a1'!$X32</f>
        <v>22626.665415144071</v>
      </c>
      <c r="F17" s="7">
        <f>('a30-1'!F17*1000000)/'a1'!$AD32</f>
        <v>22443.797196691481</v>
      </c>
      <c r="G17" s="7">
        <f>('a30-1'!G17*1000000)/'a1'!$AJ32</f>
        <v>26663.411380035297</v>
      </c>
      <c r="H17" s="7">
        <f>('a30-1'!H17*1000000)/'a1'!$AP32</f>
        <v>32211.692124313693</v>
      </c>
      <c r="I17" s="7">
        <f>('a30-1'!I17*1000000)/'a1'!$AV32</f>
        <v>26860.927859832802</v>
      </c>
      <c r="J17" s="7">
        <f>('a30-1'!J17*1000000)/'a1'!$BB32</f>
        <v>29762.028576381152</v>
      </c>
      <c r="K17" s="7">
        <f>('a30-1'!K17*1000000)/'a1'!$BH32</f>
        <v>42191.271144328348</v>
      </c>
      <c r="L17" s="7">
        <f>('a30-1'!L17*1000000)/'a1'!$BN32</f>
        <v>30452.316669273612</v>
      </c>
    </row>
    <row r="18" spans="1:12">
      <c r="A18" s="583">
        <v>1995</v>
      </c>
      <c r="B18" s="7">
        <f>('a30-1'!B18*1000000)/'a1'!F33</f>
        <v>30673.826374991379</v>
      </c>
      <c r="C18" s="7">
        <f>('a30-1'!C18*1000000)/'a1'!$L33</f>
        <v>21873.573529645029</v>
      </c>
      <c r="D18" s="7">
        <f>('a30-1'!D18*1000000)/'a1'!$R33</f>
        <v>23122.419372837852</v>
      </c>
      <c r="E18" s="7">
        <f>('a30-1'!E18*1000000)/'a1'!$X33</f>
        <v>22974.399862086801</v>
      </c>
      <c r="F18" s="7">
        <f>('a30-1'!F18*1000000)/'a1'!$AD33</f>
        <v>23149.559953285403</v>
      </c>
      <c r="G18" s="7">
        <f>('a30-1'!G18*1000000)/'a1'!$AJ33</f>
        <v>27012.47877367344</v>
      </c>
      <c r="H18" s="7">
        <f>('a30-1'!H18*1000000)/'a1'!$AP33</f>
        <v>32948.409053819414</v>
      </c>
      <c r="I18" s="7">
        <f>('a30-1'!I18*1000000)/'a1'!$AV33</f>
        <v>26792.720187751849</v>
      </c>
      <c r="J18" s="7">
        <f>('a30-1'!J18*1000000)/'a1'!$BB33</f>
        <v>29957.000040426468</v>
      </c>
      <c r="K18" s="7">
        <f>('a30-1'!K18*1000000)/'a1'!$BH33</f>
        <v>42975.748202883209</v>
      </c>
      <c r="L18" s="7">
        <f>('a30-1'!L18*1000000)/'a1'!$BN33</f>
        <v>30343.702927153405</v>
      </c>
    </row>
    <row r="19" spans="1:12">
      <c r="A19" s="583">
        <v>1996</v>
      </c>
      <c r="B19" s="7">
        <f>('a30-1'!B19*1000000)/'a1'!F34</f>
        <v>30846.243685203532</v>
      </c>
      <c r="C19" s="7">
        <f>('a30-1'!C19*1000000)/'a1'!$L34</f>
        <v>21145.331946871349</v>
      </c>
      <c r="D19" s="7">
        <f>('a30-1'!D19*1000000)/'a1'!$R34</f>
        <v>23582.368845635308</v>
      </c>
      <c r="E19" s="7">
        <f>('a30-1'!E19*1000000)/'a1'!$X34</f>
        <v>23035.947631712599</v>
      </c>
      <c r="F19" s="7">
        <f>('a30-1'!F19*1000000)/'a1'!$AD34</f>
        <v>23274.949884881451</v>
      </c>
      <c r="G19" s="7">
        <f>('a30-1'!G19*1000000)/'a1'!$AJ34</f>
        <v>27174.665239481117</v>
      </c>
      <c r="H19" s="7">
        <f>('a30-1'!H19*1000000)/'a1'!$AP34</f>
        <v>32912.13502455088</v>
      </c>
      <c r="I19" s="7">
        <f>('a30-1'!I19*1000000)/'a1'!$AV34</f>
        <v>27492.602689482243</v>
      </c>
      <c r="J19" s="7">
        <f>('a30-1'!J19*1000000)/'a1'!$BB34</f>
        <v>30685.660168115061</v>
      </c>
      <c r="K19" s="7">
        <f>('a30-1'!K19*1000000)/'a1'!$BH34</f>
        <v>43206.938189989451</v>
      </c>
      <c r="L19" s="7">
        <f>('a30-1'!L19*1000000)/'a1'!$BN34</f>
        <v>30312.955806145961</v>
      </c>
    </row>
    <row r="20" spans="1:12">
      <c r="A20" s="583">
        <v>1997</v>
      </c>
      <c r="B20" s="7">
        <f>('a30-1'!B20*1000000)/'a1'!F35</f>
        <v>31831.861675142351</v>
      </c>
      <c r="C20" s="7">
        <f>('a30-1'!C20*1000000)/'a1'!$L35</f>
        <v>21743.984055500798</v>
      </c>
      <c r="D20" s="7">
        <f>('a30-1'!D20*1000000)/'a1'!$R35</f>
        <v>23608.508762261656</v>
      </c>
      <c r="E20" s="7">
        <f>('a30-1'!E20*1000000)/'a1'!$X35</f>
        <v>23998.232522023762</v>
      </c>
      <c r="F20" s="7">
        <f>('a30-1'!F20*1000000)/'a1'!$AD35</f>
        <v>23537.19746289423</v>
      </c>
      <c r="G20" s="7">
        <f>('a30-1'!G20*1000000)/'a1'!$AJ35</f>
        <v>27940.050677623862</v>
      </c>
      <c r="H20" s="7">
        <f>('a30-1'!H20*1000000)/'a1'!$AP35</f>
        <v>33955.009823515175</v>
      </c>
      <c r="I20" s="7">
        <f>('a30-1'!I20*1000000)/'a1'!$AV35</f>
        <v>28467.743071203244</v>
      </c>
      <c r="J20" s="7">
        <f>('a30-1'!J20*1000000)/'a1'!$BB35</f>
        <v>31914.663690610687</v>
      </c>
      <c r="K20" s="7">
        <f>('a30-1'!K20*1000000)/'a1'!$BH35</f>
        <v>45238.47217235696</v>
      </c>
      <c r="L20" s="7">
        <f>('a30-1'!L20*1000000)/'a1'!$BN35</f>
        <v>30688.730615514476</v>
      </c>
    </row>
    <row r="21" spans="1:12">
      <c r="A21" s="583">
        <v>1998</v>
      </c>
      <c r="B21" s="7">
        <f>('a30-1'!B21*1000000)/'a1'!F36</f>
        <v>32862.288669343732</v>
      </c>
      <c r="C21" s="7">
        <f>('a30-1'!C21*1000000)/'a1'!$L36</f>
        <v>23397.543359828691</v>
      </c>
      <c r="D21" s="7">
        <f>('a30-1'!D21*1000000)/'a1'!$R36</f>
        <v>24741.539277193602</v>
      </c>
      <c r="E21" s="7">
        <f>('a30-1'!E21*1000000)/'a1'!$X36</f>
        <v>24907.816396876704</v>
      </c>
      <c r="F21" s="7">
        <f>('a30-1'!F21*1000000)/'a1'!$AD36</f>
        <v>24464.045407911741</v>
      </c>
      <c r="G21" s="7">
        <f>('a30-1'!G21*1000000)/'a1'!$AJ36</f>
        <v>28744.088317672788</v>
      </c>
      <c r="H21" s="7">
        <f>('a30-1'!H21*1000000)/'a1'!$AP36</f>
        <v>35162.632509292489</v>
      </c>
      <c r="I21" s="7">
        <f>('a30-1'!I21*1000000)/'a1'!$AV36</f>
        <v>29640.726196033545</v>
      </c>
      <c r="J21" s="7">
        <f>('a30-1'!J21*1000000)/'a1'!$BB36</f>
        <v>33291.000381389749</v>
      </c>
      <c r="K21" s="7">
        <f>('a30-1'!K21*1000000)/'a1'!$BH36</f>
        <v>46480.48716379689</v>
      </c>
      <c r="L21" s="7">
        <f>('a30-1'!L21*1000000)/'a1'!$BN36</f>
        <v>30821.621179213344</v>
      </c>
    </row>
    <row r="22" spans="1:12">
      <c r="A22" s="583">
        <v>1999</v>
      </c>
      <c r="B22" s="7">
        <f>('a30-1'!B22*1000000)/'a1'!F37</f>
        <v>34399.400078009858</v>
      </c>
      <c r="C22" s="7">
        <f>('a30-1'!C22*1000000)/'a1'!$L37</f>
        <v>24980.827969227252</v>
      </c>
      <c r="D22" s="7">
        <f>('a30-1'!D22*1000000)/'a1'!$R37</f>
        <v>25696.905658162181</v>
      </c>
      <c r="E22" s="7">
        <f>('a30-1'!E22*1000000)/'a1'!$X37</f>
        <v>26218.054710725391</v>
      </c>
      <c r="F22" s="7">
        <f>('a30-1'!F22*1000000)/'a1'!$AD37</f>
        <v>25989.840141433331</v>
      </c>
      <c r="G22" s="7">
        <f>('a30-1'!G22*1000000)/'a1'!$AJ37</f>
        <v>30412.180384392177</v>
      </c>
      <c r="H22" s="7">
        <f>('a30-1'!H22*1000000)/'a1'!$AP37</f>
        <v>37349.5003241702</v>
      </c>
      <c r="I22" s="7">
        <f>('a30-1'!I22*1000000)/'a1'!$AV37</f>
        <v>29977.732028066046</v>
      </c>
      <c r="J22" s="7">
        <f>('a30-1'!J22*1000000)/'a1'!$BB37</f>
        <v>33450.169734772171</v>
      </c>
      <c r="K22" s="7">
        <f>('a30-1'!K22*1000000)/'a1'!$BH37</f>
        <v>46263.883940485495</v>
      </c>
      <c r="L22" s="7">
        <f>('a30-1'!L22*1000000)/'a1'!$BN37</f>
        <v>31587.173974011406</v>
      </c>
    </row>
    <row r="23" spans="1:12">
      <c r="A23" s="583">
        <v>2000</v>
      </c>
      <c r="B23" s="7">
        <f>('a30-1'!B23*1000000)/'a1'!F38</f>
        <v>35864.064501642948</v>
      </c>
      <c r="C23" s="7">
        <f>('a30-1'!C23*1000000)/'a1'!$L38</f>
        <v>26541.481837845618</v>
      </c>
      <c r="D23" s="7">
        <f>('a30-1'!D23*1000000)/'a1'!$R38</f>
        <v>26159.595515497913</v>
      </c>
      <c r="E23" s="7">
        <f>('a30-1'!E23*1000000)/'a1'!$X38</f>
        <v>27022.309414759358</v>
      </c>
      <c r="F23" s="7">
        <f>('a30-1'!F23*1000000)/'a1'!$AD38</f>
        <v>26537.706674199253</v>
      </c>
      <c r="G23" s="7">
        <f>('a30-1'!G23*1000000)/'a1'!$AJ38</f>
        <v>31586.182917352584</v>
      </c>
      <c r="H23" s="7">
        <f>('a30-1'!H23*1000000)/'a1'!$AP38</f>
        <v>38964.538242224582</v>
      </c>
      <c r="I23" s="7">
        <f>('a30-1'!I23*1000000)/'a1'!$AV38</f>
        <v>31123.154710179351</v>
      </c>
      <c r="J23" s="7">
        <f>('a30-1'!J23*1000000)/'a1'!$BB38</f>
        <v>34558.564459861147</v>
      </c>
      <c r="K23" s="7">
        <f>('a30-1'!K23*1000000)/'a1'!$BH38</f>
        <v>48227.846500130814</v>
      </c>
      <c r="L23" s="7">
        <f>('a30-1'!L23*1000000)/'a1'!$BN38</f>
        <v>32822.592424793831</v>
      </c>
    </row>
    <row r="24" spans="1:12">
      <c r="A24" s="583">
        <v>2001</v>
      </c>
      <c r="B24" s="7">
        <f>('a30-1'!B24*1000000)/'a1'!F39</f>
        <v>36111.585730303537</v>
      </c>
      <c r="C24" s="7">
        <f>('a30-1'!C24*1000000)/'a1'!$L39</f>
        <v>27264.559903301131</v>
      </c>
      <c r="D24" s="7">
        <f>('a30-1'!D24*1000000)/'a1'!$R39</f>
        <v>25844.595830619844</v>
      </c>
      <c r="E24" s="7">
        <f>('a30-1'!E24*1000000)/'a1'!$X39</f>
        <v>27922.020818185134</v>
      </c>
      <c r="F24" s="7">
        <f>('a30-1'!F24*1000000)/'a1'!$AD39</f>
        <v>27004.498526942483</v>
      </c>
      <c r="G24" s="7">
        <f>('a30-1'!G24*1000000)/'a1'!$AJ39</f>
        <v>31884.998115957762</v>
      </c>
      <c r="H24" s="7">
        <f>('a30-1'!H24*1000000)/'a1'!$AP39</f>
        <v>38948.484965910189</v>
      </c>
      <c r="I24" s="7">
        <f>('a30-1'!I24*1000000)/'a1'!$AV39</f>
        <v>31261.751599520252</v>
      </c>
      <c r="J24" s="7">
        <f>('a30-1'!J24*1000000)/'a1'!$BB39</f>
        <v>34479.380057007402</v>
      </c>
      <c r="K24" s="7">
        <f>('a30-1'!K24*1000000)/'a1'!$BH39</f>
        <v>48199.208833698438</v>
      </c>
      <c r="L24" s="7">
        <f>('a30-1'!L24*1000000)/'a1'!$BN39</f>
        <v>32726.781189834612</v>
      </c>
    </row>
    <row r="25" spans="1:12">
      <c r="A25" s="583">
        <v>2002</v>
      </c>
      <c r="B25" s="7">
        <f>('a30-1'!B25*1000000)/'a1'!F40</f>
        <v>36770.990917295261</v>
      </c>
      <c r="C25" s="7">
        <f>('a30-1'!C25*1000000)/'a1'!$L40</f>
        <v>31676.646821845086</v>
      </c>
      <c r="D25" s="7">
        <f>('a30-1'!D25*1000000)/'a1'!$R40</f>
        <v>27039.071860662207</v>
      </c>
      <c r="E25" s="7">
        <f>('a30-1'!E25*1000000)/'a1'!$X40</f>
        <v>28964.241215381571</v>
      </c>
      <c r="F25" s="7">
        <f>('a30-1'!F25*1000000)/'a1'!$AD40</f>
        <v>28250.532808598604</v>
      </c>
      <c r="G25" s="7">
        <f>('a30-1'!G25*1000000)/'a1'!$AJ40</f>
        <v>32447.995424317665</v>
      </c>
      <c r="H25" s="7">
        <f>('a30-1'!H25*1000000)/'a1'!$AP40</f>
        <v>39513.841212356696</v>
      </c>
      <c r="I25" s="7">
        <f>('a30-1'!I25*1000000)/'a1'!$AV40</f>
        <v>31608.671180420763</v>
      </c>
      <c r="J25" s="7">
        <f>('a30-1'!J25*1000000)/'a1'!$BB40</f>
        <v>34453.215837464049</v>
      </c>
      <c r="K25" s="7">
        <f>('a30-1'!K25*1000000)/'a1'!$BH40</f>
        <v>48138.260125739842</v>
      </c>
      <c r="L25" s="7">
        <f>('a30-1'!L25*1000000)/'a1'!$BN40</f>
        <v>33720.594859471697</v>
      </c>
    </row>
    <row r="26" spans="1:12">
      <c r="A26" s="583">
        <v>2003</v>
      </c>
      <c r="B26" s="7">
        <f>('a30-1'!B26*1000000)/'a1'!F41</f>
        <v>37124.028158321496</v>
      </c>
      <c r="C26" s="7">
        <f>('a30-1'!C26*1000000)/'a1'!$L41</f>
        <v>33593.689732315048</v>
      </c>
      <c r="D26" s="7">
        <f>('a30-1'!D26*1000000)/'a1'!$R41</f>
        <v>27532.229031999475</v>
      </c>
      <c r="E26" s="7">
        <f>('a30-1'!E26*1000000)/'a1'!$X41</f>
        <v>29295.214567393181</v>
      </c>
      <c r="F26" s="7">
        <f>('a30-1'!F26*1000000)/'a1'!$AD41</f>
        <v>29043.660902415166</v>
      </c>
      <c r="G26" s="7">
        <f>('a30-1'!G26*1000000)/'a1'!$AJ41</f>
        <v>32651.254275072475</v>
      </c>
      <c r="H26" s="7">
        <f>('a30-1'!H26*1000000)/'a1'!$AP41</f>
        <v>39562.996185430595</v>
      </c>
      <c r="I26" s="7">
        <f>('a30-1'!I26*1000000)/'a1'!$AV41</f>
        <v>31842.580332508751</v>
      </c>
      <c r="J26" s="7">
        <f>('a30-1'!J26*1000000)/'a1'!$BB41</f>
        <v>36047.780042409155</v>
      </c>
      <c r="K26" s="7">
        <f>('a30-1'!K26*1000000)/'a1'!$BH41</f>
        <v>48802.913618035585</v>
      </c>
      <c r="L26" s="7">
        <f>('a30-1'!L26*1000000)/'a1'!$BN41</f>
        <v>34308.931019727359</v>
      </c>
    </row>
    <row r="27" spans="1:12">
      <c r="A27" s="583">
        <v>2004</v>
      </c>
      <c r="B27" s="7">
        <f>('a30-1'!B27*1000000)/'a1'!F42</f>
        <v>37921.520508833317</v>
      </c>
      <c r="C27" s="7">
        <f>('a30-1'!C27*1000000)/'a1'!$L42</f>
        <v>33257.512363585061</v>
      </c>
      <c r="D27" s="7">
        <f>('a30-1'!D27*1000000)/'a1'!$R42</f>
        <v>28160.727515725554</v>
      </c>
      <c r="E27" s="7">
        <f>('a30-1'!E27*1000000)/'a1'!$X42</f>
        <v>29498.305257958473</v>
      </c>
      <c r="F27" s="7">
        <f>('a30-1'!F27*1000000)/'a1'!$AD42</f>
        <v>29846.444141671192</v>
      </c>
      <c r="G27" s="7">
        <f>('a30-1'!G27*1000000)/'a1'!$AJ42</f>
        <v>33310.823390188525</v>
      </c>
      <c r="H27" s="7">
        <f>('a30-1'!H27*1000000)/'a1'!$AP42</f>
        <v>40093.299767024982</v>
      </c>
      <c r="I27" s="7">
        <f>('a30-1'!I27*1000000)/'a1'!$AV42</f>
        <v>32261.500418382944</v>
      </c>
      <c r="J27" s="7">
        <f>('a30-1'!J27*1000000)/'a1'!$BB42</f>
        <v>37837.599391245851</v>
      </c>
      <c r="K27" s="7">
        <f>('a30-1'!K27*1000000)/'a1'!$BH42</f>
        <v>50490.959789422406</v>
      </c>
      <c r="L27" s="7">
        <f>('a30-1'!L27*1000000)/'a1'!$BN42</f>
        <v>35267.149117845962</v>
      </c>
    </row>
    <row r="28" spans="1:12">
      <c r="A28" s="583">
        <v>2005</v>
      </c>
      <c r="B28" s="7">
        <f>('a30-1'!B28*1000000)/'a1'!F43</f>
        <v>38697.438741984894</v>
      </c>
      <c r="C28" s="7">
        <f>('a30-1'!C28*1000000)/'a1'!$L43</f>
        <v>34203.471089483501</v>
      </c>
      <c r="D28" s="7">
        <f>('a30-1'!D28*1000000)/'a1'!$R43</f>
        <v>28401.7239505994</v>
      </c>
      <c r="E28" s="7">
        <f>('a30-1'!E28*1000000)/'a1'!$X43</f>
        <v>29869.682634622008</v>
      </c>
      <c r="F28" s="7">
        <f>('a30-1'!F28*1000000)/'a1'!$AD43</f>
        <v>30266.324402374459</v>
      </c>
      <c r="G28" s="7">
        <f>('a30-1'!G28*1000000)/'a1'!$AJ43</f>
        <v>33706.409901144973</v>
      </c>
      <c r="H28" s="7">
        <f>('a30-1'!H28*1000000)/'a1'!$AP43</f>
        <v>40747.880030139328</v>
      </c>
      <c r="I28" s="7">
        <f>('a30-1'!I28*1000000)/'a1'!$AV43</f>
        <v>32979.688551567044</v>
      </c>
      <c r="J28" s="7">
        <f>('a30-1'!J28*1000000)/'a1'!$BB43</f>
        <v>39155.416932121152</v>
      </c>
      <c r="K28" s="7">
        <f>('a30-1'!K28*1000000)/'a1'!$BH43</f>
        <v>51433.387514297756</v>
      </c>
      <c r="L28" s="7">
        <f>('a30-1'!L28*1000000)/'a1'!$BN43</f>
        <v>36572.96961390473</v>
      </c>
    </row>
    <row r="29" spans="1:12">
      <c r="A29" s="583">
        <v>2006</v>
      </c>
      <c r="B29" s="7">
        <f>('a30-1'!B29*1000000)/'a1'!F44</f>
        <v>39385.746729332699</v>
      </c>
      <c r="C29" s="7">
        <f>('a30-1'!C29*1000000)/'a1'!$L44</f>
        <v>35525.256068334529</v>
      </c>
      <c r="D29" s="7">
        <f>('a30-1'!D29*1000000)/'a1'!$R44</f>
        <v>29560.614849187936</v>
      </c>
      <c r="E29" s="7">
        <f>('a30-1'!E29*1000000)/'a1'!$X44</f>
        <v>30035.927122312129</v>
      </c>
      <c r="F29" s="7">
        <f>('a30-1'!F29*1000000)/'a1'!$AD44</f>
        <v>31077.924133066193</v>
      </c>
      <c r="G29" s="7">
        <f>('a30-1'!G29*1000000)/'a1'!$AJ44</f>
        <v>34073.409969557964</v>
      </c>
      <c r="H29" s="7">
        <f>('a30-1'!H29*1000000)/'a1'!$AP44</f>
        <v>41293.621192820159</v>
      </c>
      <c r="I29" s="7">
        <f>('a30-1'!I29*1000000)/'a1'!$AV44</f>
        <v>33935.766884481913</v>
      </c>
      <c r="J29" s="7">
        <f>('a30-1'!J29*1000000)/'a1'!$BB44</f>
        <v>38569.853304331526</v>
      </c>
      <c r="K29" s="7">
        <f>('a30-1'!K29*1000000)/'a1'!$BH44</f>
        <v>52861.334721518695</v>
      </c>
      <c r="L29" s="7">
        <f>('a30-1'!L29*1000000)/'a1'!$BN44</f>
        <v>37640.152889777026</v>
      </c>
    </row>
    <row r="30" spans="1:12">
      <c r="A30" s="583">
        <v>2007</v>
      </c>
      <c r="B30" s="7">
        <f>('a30-1'!B30*1000000)/'a1'!F45</f>
        <v>39819.94023455945</v>
      </c>
      <c r="C30" s="7">
        <f>('a30-1'!C30*1000000)/'a1'!$L45</f>
        <v>39083.374310546053</v>
      </c>
      <c r="D30" s="7">
        <f>('a30-1'!D30*1000000)/'a1'!$R45</f>
        <v>30030.182178762458</v>
      </c>
      <c r="E30" s="7">
        <f>('a30-1'!E30*1000000)/'a1'!$X45</f>
        <v>30574.03659352379</v>
      </c>
      <c r="F30" s="7">
        <f>('a30-1'!F30*1000000)/'a1'!$AD45</f>
        <v>31440.011267378926</v>
      </c>
      <c r="G30" s="7">
        <f>('a30-1'!G30*1000000)/'a1'!$AJ45</f>
        <v>34547.988318061849</v>
      </c>
      <c r="H30" s="7">
        <f>('a30-1'!H30*1000000)/'a1'!$AP45</f>
        <v>41681.828027449832</v>
      </c>
      <c r="I30" s="7">
        <f>('a30-1'!I30*1000000)/'a1'!$AV45</f>
        <v>34571.424262582965</v>
      </c>
      <c r="J30" s="7">
        <f>('a30-1'!J30*1000000)/'a1'!$BB45</f>
        <v>39615.818734585213</v>
      </c>
      <c r="K30" s="7">
        <f>('a30-1'!K30*1000000)/'a1'!$BH45</f>
        <v>52383.770733036297</v>
      </c>
      <c r="L30" s="7">
        <f>('a30-1'!L30*1000000)/'a1'!$BN45</f>
        <v>38169.384300098012</v>
      </c>
    </row>
    <row r="31" spans="1:12">
      <c r="A31" s="583">
        <v>2008</v>
      </c>
      <c r="B31" s="7">
        <f>('a30-1'!B31*1000000)/'a1'!F46</f>
        <v>39562.250855265353</v>
      </c>
      <c r="C31" s="7">
        <f>('a30-1'!C31*1000000)/'a1'!$L46</f>
        <v>39878.070222227492</v>
      </c>
      <c r="D31" s="7">
        <f>('a30-1'!D31*1000000)/'a1'!$R46</f>
        <v>29861.335053208641</v>
      </c>
      <c r="E31" s="7">
        <f>('a30-1'!E31*1000000)/'a1'!$X46</f>
        <v>30925.435848055538</v>
      </c>
      <c r="F31" s="7">
        <f>('a30-1'!F31*1000000)/'a1'!$AD46</f>
        <v>31318.700445306076</v>
      </c>
      <c r="G31" s="7">
        <f>('a30-1'!G31*1000000)/'a1'!$AJ46</f>
        <v>34627.080868165627</v>
      </c>
      <c r="H31" s="7">
        <f>('a30-1'!H31*1000000)/'a1'!$AP46</f>
        <v>40877.115643106554</v>
      </c>
      <c r="I31" s="7">
        <f>('a30-1'!I31*1000000)/'a1'!$AV46</f>
        <v>34887.106527738724</v>
      </c>
      <c r="J31" s="7">
        <f>('a30-1'!J31*1000000)/'a1'!$BB46</f>
        <v>40870.316593541873</v>
      </c>
      <c r="K31" s="7">
        <f>('a30-1'!K31*1000000)/'a1'!$BH46</f>
        <v>51937.536180271098</v>
      </c>
      <c r="L31" s="7">
        <f>('a30-1'!L31*1000000)/'a1'!$BN46</f>
        <v>37608.180918186255</v>
      </c>
    </row>
    <row r="32" spans="1:12">
      <c r="A32" s="583">
        <v>2009</v>
      </c>
      <c r="B32" s="7">
        <f>('a30-1'!B32*1000000)/'a1'!F47</f>
        <v>38125.651983393684</v>
      </c>
      <c r="C32" s="7">
        <f>('a30-1'!C32*1000000)/'a1'!$L47</f>
        <v>35657.285449174742</v>
      </c>
      <c r="D32" s="7">
        <f>('a30-1'!D32*1000000)/'a1'!$R47</f>
        <v>29511.612578580694</v>
      </c>
      <c r="E32" s="7">
        <f>('a30-1'!E32*1000000)/'a1'!$X47</f>
        <v>30806.368488080381</v>
      </c>
      <c r="F32" s="7">
        <f>('a30-1'!F32*1000000)/'a1'!$AD47</f>
        <v>31113.376857007115</v>
      </c>
      <c r="G32" s="7">
        <f>('a30-1'!G32*1000000)/'a1'!$AJ47</f>
        <v>34167.705943916459</v>
      </c>
      <c r="H32" s="7">
        <f>('a30-1'!H32*1000000)/'a1'!$AP47</f>
        <v>38991.572840205437</v>
      </c>
      <c r="I32" s="7">
        <f>('a30-1'!I32*1000000)/'a1'!$AV47</f>
        <v>34501.730949308032</v>
      </c>
      <c r="J32" s="7">
        <f>('a30-1'!J32*1000000)/'a1'!$BB47</f>
        <v>38683.38509256416</v>
      </c>
      <c r="K32" s="7">
        <f>('a30-1'!K32*1000000)/'a1'!$BH47</f>
        <v>48552.853891665502</v>
      </c>
      <c r="L32" s="7">
        <f>('a30-1'!L32*1000000)/'a1'!$BN47</f>
        <v>36287.086136961436</v>
      </c>
    </row>
    <row r="33" spans="1:12">
      <c r="A33" s="583">
        <v>2010</v>
      </c>
      <c r="B33" s="117">
        <f t="shared" ref="B33:L33" si="0">B32*(POWER(B32/B27,1/5))</f>
        <v>38166.60995020315</v>
      </c>
      <c r="C33" s="117">
        <f t="shared" si="0"/>
        <v>36157.63205672655</v>
      </c>
      <c r="D33" s="117">
        <f t="shared" si="0"/>
        <v>29789.468527637211</v>
      </c>
      <c r="E33" s="117">
        <f t="shared" si="0"/>
        <v>31074.860948380618</v>
      </c>
      <c r="F33" s="117">
        <f t="shared" si="0"/>
        <v>31373.14521877225</v>
      </c>
      <c r="G33" s="117">
        <f t="shared" si="0"/>
        <v>34341.70959527338</v>
      </c>
      <c r="H33" s="117">
        <f t="shared" si="0"/>
        <v>38774.88734329251</v>
      </c>
      <c r="I33" s="117">
        <f t="shared" si="0"/>
        <v>34968.109112462422</v>
      </c>
      <c r="J33" s="117">
        <f t="shared" si="0"/>
        <v>38854.797550517134</v>
      </c>
      <c r="K33" s="117">
        <f t="shared" si="0"/>
        <v>48174.25305752267</v>
      </c>
      <c r="L33" s="117">
        <f t="shared" si="0"/>
        <v>36494.586220324229</v>
      </c>
    </row>
    <row r="34" spans="1:12">
      <c r="A34" s="1"/>
      <c r="B34" s="1" t="s">
        <v>1431</v>
      </c>
      <c r="C34" s="1"/>
      <c r="D34" s="1"/>
      <c r="E34" s="1"/>
      <c r="F34" s="1"/>
      <c r="G34" s="1"/>
      <c r="H34" s="1"/>
      <c r="I34" s="1"/>
      <c r="J34" s="1"/>
      <c r="K34" s="1"/>
      <c r="L34" s="1"/>
    </row>
    <row r="35" spans="1:12">
      <c r="A35" s="1"/>
      <c r="B35" s="13">
        <f>100*(POWER(B33/B4, 1/29)-1)</f>
        <v>1.3216297665156418</v>
      </c>
      <c r="C35" s="13">
        <f>100*(POWER(C33/C4, 1/29)-1)</f>
        <v>2.790105833310097</v>
      </c>
      <c r="D35" s="13">
        <f t="shared" ref="D35:L35" si="1">100*(POWER(D33/D4, 1/29)-1)</f>
        <v>1.9336938302620288</v>
      </c>
      <c r="E35" s="13">
        <f t="shared" si="1"/>
        <v>1.7691551950665962</v>
      </c>
      <c r="F35" s="13">
        <f t="shared" si="1"/>
        <v>2.1083376060971437</v>
      </c>
      <c r="G35" s="13">
        <f t="shared" si="1"/>
        <v>1.2862243344832436</v>
      </c>
      <c r="H35" s="13">
        <f t="shared" si="1"/>
        <v>1.0631824213967134</v>
      </c>
      <c r="I35" s="13">
        <f t="shared" si="1"/>
        <v>1.3379743312771808</v>
      </c>
      <c r="J35" s="13">
        <f t="shared" si="1"/>
        <v>1.6795557530022931</v>
      </c>
      <c r="K35" s="13">
        <f>100*(POWER(K33/K4, 1/29)-1)</f>
        <v>1.0303526923468587</v>
      </c>
      <c r="L35" s="13">
        <f t="shared" si="1"/>
        <v>0.69094557274957946</v>
      </c>
    </row>
    <row r="36" spans="1:12">
      <c r="A36" s="1"/>
      <c r="B36" s="13"/>
      <c r="C36" s="13"/>
      <c r="D36" s="13"/>
      <c r="E36" s="13"/>
      <c r="F36" s="13"/>
      <c r="G36" s="13"/>
      <c r="H36" s="13"/>
      <c r="I36" s="13"/>
      <c r="J36" s="13"/>
      <c r="K36" s="13"/>
      <c r="L36" s="13"/>
    </row>
    <row r="37" spans="1:12">
      <c r="A37" s="1" t="s">
        <v>1427</v>
      </c>
    </row>
    <row r="38" spans="1:12">
      <c r="A38" s="1" t="s">
        <v>1428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EH61"/>
  <sheetViews>
    <sheetView view="pageBreakPreview" zoomScaleSheetLayoutView="100" workbookViewId="0">
      <pane xSplit="1" ySplit="4" topLeftCell="R5" activePane="bottomRight" state="frozen"/>
      <selection activeCell="E9" sqref="E9"/>
      <selection pane="topRight" activeCell="E9" sqref="E9"/>
      <selection pane="bottomLeft" activeCell="E9" sqref="E9"/>
      <selection pane="bottomRight" activeCell="E9" sqref="E9"/>
    </sheetView>
  </sheetViews>
  <sheetFormatPr defaultColWidth="8.875" defaultRowHeight="12.75"/>
  <cols>
    <col min="1" max="1" width="8.875" style="1" customWidth="1"/>
    <col min="2" max="23" width="17.375" style="1" customWidth="1"/>
    <col min="24" max="49" width="12" style="1" customWidth="1"/>
    <col min="50" max="16384" width="8.875" style="1"/>
  </cols>
  <sheetData>
    <row r="1" spans="1:43" ht="15.75">
      <c r="B1" s="2" t="s">
        <v>497</v>
      </c>
      <c r="J1" s="2" t="s">
        <v>498</v>
      </c>
      <c r="R1" s="2" t="s">
        <v>499</v>
      </c>
    </row>
    <row r="3" spans="1:43" s="3" customFormat="1" ht="15">
      <c r="B3" s="3" t="s">
        <v>321</v>
      </c>
      <c r="D3" s="3" t="s">
        <v>370</v>
      </c>
      <c r="F3" s="3" t="s">
        <v>371</v>
      </c>
      <c r="H3" s="3" t="s">
        <v>372</v>
      </c>
      <c r="J3" s="3" t="s">
        <v>373</v>
      </c>
      <c r="L3" s="3" t="s">
        <v>374</v>
      </c>
      <c r="N3" s="3" t="s">
        <v>375</v>
      </c>
      <c r="P3" s="3" t="s">
        <v>376</v>
      </c>
      <c r="R3" s="3" t="s">
        <v>377</v>
      </c>
      <c r="T3" s="3" t="s">
        <v>378</v>
      </c>
      <c r="V3" s="3" t="s">
        <v>379</v>
      </c>
    </row>
    <row r="4" spans="1:43" s="4" customFormat="1" ht="78.75" customHeight="1">
      <c r="B4" s="4" t="s">
        <v>352</v>
      </c>
      <c r="C4" s="4" t="s">
        <v>647</v>
      </c>
      <c r="D4" s="4" t="s">
        <v>352</v>
      </c>
      <c r="E4" s="4" t="s">
        <v>647</v>
      </c>
      <c r="F4" s="4" t="s">
        <v>352</v>
      </c>
      <c r="G4" s="4" t="s">
        <v>647</v>
      </c>
      <c r="H4" s="4" t="s">
        <v>352</v>
      </c>
      <c r="I4" s="4" t="s">
        <v>647</v>
      </c>
      <c r="J4" s="4" t="s">
        <v>352</v>
      </c>
      <c r="K4" s="4" t="s">
        <v>647</v>
      </c>
      <c r="L4" s="4" t="s">
        <v>352</v>
      </c>
      <c r="M4" s="4" t="s">
        <v>647</v>
      </c>
      <c r="N4" s="4" t="s">
        <v>352</v>
      </c>
      <c r="O4" s="4" t="s">
        <v>647</v>
      </c>
      <c r="P4" s="4" t="s">
        <v>352</v>
      </c>
      <c r="Q4" s="4" t="s">
        <v>647</v>
      </c>
      <c r="R4" s="4" t="s">
        <v>352</v>
      </c>
      <c r="S4" s="4" t="s">
        <v>647</v>
      </c>
      <c r="T4" s="4" t="s">
        <v>352</v>
      </c>
      <c r="U4" s="4" t="s">
        <v>647</v>
      </c>
      <c r="V4" s="4" t="s">
        <v>352</v>
      </c>
      <c r="W4" s="4" t="s">
        <v>647</v>
      </c>
    </row>
    <row r="5" spans="1:43" s="4" customFormat="1" hidden="1"/>
    <row r="6" spans="1:43" hidden="1">
      <c r="A6" s="1">
        <v>1971</v>
      </c>
      <c r="B6" s="9">
        <f>'a26'!B4</f>
        <v>2.8610284148125276</v>
      </c>
      <c r="C6" s="9">
        <f t="shared" ref="C6:C15" si="0">(C$59-B6)/C$61</f>
        <v>0.76351284951485421</v>
      </c>
      <c r="D6" s="9">
        <f>'a26'!C4</f>
        <v>2.5353559667577663</v>
      </c>
      <c r="E6" s="9">
        <f t="shared" ref="E6:E15" si="1">(C$59-D6)/C$61</f>
        <v>0.82220700243978828</v>
      </c>
      <c r="F6" s="9">
        <f>'a26'!D4</f>
        <v>3.0800636195646995</v>
      </c>
      <c r="G6" s="9">
        <f t="shared" ref="G6:G15" si="2">(C$59-F6)/C$61</f>
        <v>0.72403734005601739</v>
      </c>
      <c r="H6" s="9">
        <f>'a26'!E4</f>
        <v>2.806840456397826</v>
      </c>
      <c r="I6" s="9">
        <f t="shared" ref="I6:I15" si="3">(C$59-H6)/C$61</f>
        <v>0.77327884702824423</v>
      </c>
      <c r="J6" s="9">
        <f>'a26'!F4</f>
        <v>2.3246616316326589</v>
      </c>
      <c r="K6" s="9">
        <f t="shared" ref="K6:K15" si="4">(C$59-J6)/C$61</f>
        <v>0.86017928287098699</v>
      </c>
      <c r="L6" s="9">
        <f>'a26'!G4</f>
        <v>3.247736237684657</v>
      </c>
      <c r="M6" s="9">
        <f t="shared" ref="M6:M15" si="5">(C$59-L6)/C$61</f>
        <v>0.69381862690407758</v>
      </c>
      <c r="N6" s="9">
        <f>'a26'!H4</f>
        <v>2.5113204382812095</v>
      </c>
      <c r="O6" s="9">
        <f t="shared" ref="O6:O15" si="6">(C$59-N6)/C$61</f>
        <v>0.82653879345392234</v>
      </c>
      <c r="P6" s="9">
        <f>'a26'!I4</f>
        <v>2.7718823894021276</v>
      </c>
      <c r="Q6" s="9">
        <f t="shared" ref="Q6:Q15" si="7">(C$59-P6)/C$61</f>
        <v>0.77957914704582709</v>
      </c>
      <c r="R6" s="9">
        <f>'a26'!J4</f>
        <v>3.9883256744182929</v>
      </c>
      <c r="S6" s="9">
        <f t="shared" ref="S6:S15" si="8">(C$59-R6)/C$61</f>
        <v>0.56034626866846238</v>
      </c>
      <c r="T6" s="9">
        <f>'a26'!K4</f>
        <v>2.8550854899759948</v>
      </c>
      <c r="U6" s="9">
        <f t="shared" ref="U6:U15" si="9">(C$59-T6)/C$61</f>
        <v>0.76458391015034943</v>
      </c>
      <c r="V6" s="9">
        <f>'a26'!L4</f>
        <v>3.2828285283106475</v>
      </c>
      <c r="W6" s="9">
        <f t="shared" ref="W6:W15" si="10">(C$59-V6)/C$61</f>
        <v>0.68749413650032754</v>
      </c>
      <c r="X6" s="9"/>
      <c r="Y6" s="9"/>
      <c r="Z6" s="9"/>
      <c r="AA6" s="9"/>
      <c r="AB6" s="9"/>
      <c r="AC6" s="9"/>
      <c r="AD6" s="9"/>
      <c r="AE6" s="9"/>
      <c r="AF6" s="9"/>
      <c r="AG6" s="9"/>
      <c r="AH6" s="9"/>
      <c r="AI6" s="9"/>
      <c r="AJ6" s="9"/>
      <c r="AK6" s="9"/>
      <c r="AL6" s="9"/>
      <c r="AM6" s="9"/>
      <c r="AN6" s="9"/>
      <c r="AO6" s="9"/>
      <c r="AP6" s="9"/>
      <c r="AQ6" s="9"/>
    </row>
    <row r="7" spans="1:43" hidden="1">
      <c r="A7" s="1">
        <v>1972</v>
      </c>
      <c r="B7" s="9">
        <f>'a26'!B5</f>
        <v>2.8532023085322757</v>
      </c>
      <c r="C7" s="9">
        <f t="shared" si="0"/>
        <v>0.76492330557757471</v>
      </c>
      <c r="D7" s="9">
        <f>'a26'!C5</f>
        <v>2.7677557627409231</v>
      </c>
      <c r="E7" s="9">
        <f t="shared" si="1"/>
        <v>0.78032286625745684</v>
      </c>
      <c r="F7" s="9">
        <f>'a26'!D5</f>
        <v>3.2188908744926596</v>
      </c>
      <c r="G7" s="9">
        <f t="shared" si="2"/>
        <v>0.69901726795731667</v>
      </c>
      <c r="H7" s="9">
        <f>'a26'!E5</f>
        <v>2.7359832936529478</v>
      </c>
      <c r="I7" s="9">
        <f t="shared" si="3"/>
        <v>0.78604904349655447</v>
      </c>
      <c r="J7" s="9">
        <f>'a26'!F5</f>
        <v>2.3960318751486911</v>
      </c>
      <c r="K7" s="9">
        <f t="shared" si="4"/>
        <v>0.84731661667911007</v>
      </c>
      <c r="L7" s="9">
        <f>'a26'!G5</f>
        <v>3.0870590804427409</v>
      </c>
      <c r="M7" s="9">
        <f t="shared" si="5"/>
        <v>0.72277658664255351</v>
      </c>
      <c r="N7" s="9">
        <f>'a26'!H5</f>
        <v>2.520400925587023</v>
      </c>
      <c r="O7" s="9">
        <f t="shared" si="6"/>
        <v>0.82490226720264193</v>
      </c>
      <c r="P7" s="9">
        <f>'a26'!I5</f>
        <v>2.8124114711403139</v>
      </c>
      <c r="Q7" s="9">
        <f t="shared" si="7"/>
        <v>0.77227481370213469</v>
      </c>
      <c r="R7" s="9">
        <f>'a26'!J5</f>
        <v>3.9982352651870605</v>
      </c>
      <c r="S7" s="9">
        <f t="shared" si="8"/>
        <v>0.55856031766315117</v>
      </c>
      <c r="T7" s="9">
        <f>'a26'!K5</f>
        <v>2.8812002378906203</v>
      </c>
      <c r="U7" s="9">
        <f t="shared" si="9"/>
        <v>0.75987739286019362</v>
      </c>
      <c r="V7" s="9">
        <f>'a26'!L5</f>
        <v>3.2410794662344409</v>
      </c>
      <c r="W7" s="9">
        <f t="shared" si="10"/>
        <v>0.69501834018599329</v>
      </c>
      <c r="X7" s="9"/>
      <c r="Y7" s="9"/>
      <c r="Z7" s="9"/>
      <c r="AA7" s="9"/>
      <c r="AB7" s="9"/>
      <c r="AC7" s="9"/>
      <c r="AD7" s="9"/>
      <c r="AE7" s="9"/>
      <c r="AF7" s="9"/>
      <c r="AG7" s="9"/>
      <c r="AH7" s="9"/>
      <c r="AI7" s="9"/>
      <c r="AJ7" s="9"/>
      <c r="AK7" s="9"/>
      <c r="AL7" s="9"/>
      <c r="AM7" s="9"/>
      <c r="AN7" s="9"/>
      <c r="AO7" s="9"/>
      <c r="AP7" s="9"/>
      <c r="AQ7" s="9"/>
    </row>
    <row r="8" spans="1:43" hidden="1">
      <c r="A8" s="1">
        <v>1973</v>
      </c>
      <c r="B8" s="9">
        <f>'a26'!B6</f>
        <v>2.7724339242583746</v>
      </c>
      <c r="C8" s="9">
        <f t="shared" si="0"/>
        <v>0.77947974695414168</v>
      </c>
      <c r="D8" s="9">
        <f>'a26'!C6</f>
        <v>2.931923827436091</v>
      </c>
      <c r="E8" s="9">
        <f t="shared" si="1"/>
        <v>0.75073575948142257</v>
      </c>
      <c r="F8" s="9">
        <f>'a26'!D6</f>
        <v>3.182890500031653</v>
      </c>
      <c r="G8" s="9">
        <f t="shared" si="2"/>
        <v>0.70550541731287375</v>
      </c>
      <c r="H8" s="9">
        <f>'a26'!E6</f>
        <v>2.641200156768154</v>
      </c>
      <c r="I8" s="9">
        <f t="shared" si="3"/>
        <v>0.80313128660385458</v>
      </c>
      <c r="J8" s="9">
        <f>'a26'!F6</f>
        <v>2.4328089196139069</v>
      </c>
      <c r="K8" s="9">
        <f t="shared" si="4"/>
        <v>0.84068849236321597</v>
      </c>
      <c r="L8" s="9">
        <f>'a26'!G6</f>
        <v>2.9396846988332976</v>
      </c>
      <c r="M8" s="9">
        <f t="shared" si="5"/>
        <v>0.74933706034264314</v>
      </c>
      <c r="N8" s="9">
        <f>'a26'!H6</f>
        <v>2.4881807022072455</v>
      </c>
      <c r="O8" s="9">
        <f t="shared" si="6"/>
        <v>0.83070914073346702</v>
      </c>
      <c r="P8" s="9">
        <f>'a26'!I6</f>
        <v>2.6315231387122342</v>
      </c>
      <c r="Q8" s="9">
        <f t="shared" si="7"/>
        <v>0.80487532230912873</v>
      </c>
      <c r="R8" s="9">
        <f>'a26'!J6</f>
        <v>3.2878990407894819</v>
      </c>
      <c r="S8" s="9">
        <f t="shared" si="8"/>
        <v>0.68658030594260577</v>
      </c>
      <c r="T8" s="9">
        <f>'a26'!K6</f>
        <v>2.7916234733548535</v>
      </c>
      <c r="U8" s="9">
        <f t="shared" si="9"/>
        <v>0.77602132013309277</v>
      </c>
      <c r="V8" s="9">
        <f>'a26'!L6</f>
        <v>3.1214884089122106</v>
      </c>
      <c r="W8" s="9">
        <f t="shared" si="10"/>
        <v>0.71657157825955997</v>
      </c>
      <c r="X8" s="9"/>
      <c r="Y8" s="9"/>
      <c r="Z8" s="9"/>
      <c r="AA8" s="9"/>
      <c r="AB8" s="9"/>
      <c r="AC8" s="9"/>
      <c r="AD8" s="9"/>
      <c r="AE8" s="9"/>
      <c r="AF8" s="9"/>
      <c r="AG8" s="9"/>
      <c r="AH8" s="9"/>
      <c r="AI8" s="9"/>
      <c r="AJ8" s="9"/>
      <c r="AK8" s="9"/>
      <c r="AL8" s="9"/>
      <c r="AM8" s="9"/>
      <c r="AN8" s="9"/>
      <c r="AO8" s="9"/>
      <c r="AP8" s="9"/>
      <c r="AQ8" s="9"/>
    </row>
    <row r="9" spans="1:43" hidden="1">
      <c r="A9" s="1">
        <v>1974</v>
      </c>
      <c r="B9" s="9">
        <f>'a26'!B7</f>
        <v>2.6490572964302661</v>
      </c>
      <c r="C9" s="9">
        <f t="shared" si="0"/>
        <v>0.80171523756551843</v>
      </c>
      <c r="D9" s="9">
        <f>'a26'!C7</f>
        <v>3.0231200893385766</v>
      </c>
      <c r="E9" s="9">
        <f t="shared" si="1"/>
        <v>0.73429995911127033</v>
      </c>
      <c r="F9" s="9">
        <f>'a26'!D7</f>
        <v>3.3005754657778033</v>
      </c>
      <c r="G9" s="9">
        <f t="shared" si="2"/>
        <v>0.68429570363359837</v>
      </c>
      <c r="H9" s="9">
        <f>'a26'!E7</f>
        <v>2.528798809633412</v>
      </c>
      <c r="I9" s="9">
        <f t="shared" si="3"/>
        <v>0.82338876277999662</v>
      </c>
      <c r="J9" s="9">
        <f>'a26'!F7</f>
        <v>2.4414515082820678</v>
      </c>
      <c r="K9" s="9">
        <f t="shared" si="4"/>
        <v>0.83913088617335796</v>
      </c>
      <c r="L9" s="9">
        <f>'a26'!G7</f>
        <v>2.7182169024419052</v>
      </c>
      <c r="M9" s="9">
        <f t="shared" si="5"/>
        <v>0.78925098240447766</v>
      </c>
      <c r="N9" s="9">
        <f>'a26'!H7</f>
        <v>2.4264000529505623</v>
      </c>
      <c r="O9" s="9">
        <f t="shared" si="6"/>
        <v>0.84184352712977584</v>
      </c>
      <c r="P9" s="9">
        <f>'a26'!I7</f>
        <v>2.5968393138603494</v>
      </c>
      <c r="Q9" s="9">
        <f t="shared" si="7"/>
        <v>0.81112619717446532</v>
      </c>
      <c r="R9" s="9">
        <f>'a26'!J7</f>
        <v>2.9254827915473807</v>
      </c>
      <c r="S9" s="9">
        <f t="shared" si="8"/>
        <v>0.7518965919304218</v>
      </c>
      <c r="T9" s="9">
        <f>'a26'!K7</f>
        <v>2.6966297865186908</v>
      </c>
      <c r="U9" s="9">
        <f t="shared" si="9"/>
        <v>0.79314150949933448</v>
      </c>
      <c r="V9" s="9">
        <f>'a26'!L7</f>
        <v>3.0269750611182085</v>
      </c>
      <c r="W9" s="9">
        <f t="shared" si="10"/>
        <v>0.73360519876385233</v>
      </c>
      <c r="X9" s="9"/>
      <c r="Y9" s="9"/>
      <c r="Z9" s="9"/>
      <c r="AA9" s="9"/>
      <c r="AB9" s="9"/>
      <c r="AC9" s="9"/>
      <c r="AD9" s="9"/>
      <c r="AE9" s="9"/>
      <c r="AF9" s="9"/>
      <c r="AG9" s="9"/>
      <c r="AH9" s="9"/>
      <c r="AI9" s="9"/>
      <c r="AJ9" s="9"/>
      <c r="AK9" s="9"/>
      <c r="AL9" s="9"/>
      <c r="AM9" s="9"/>
      <c r="AN9" s="9"/>
      <c r="AO9" s="9"/>
      <c r="AP9" s="9"/>
      <c r="AQ9" s="9"/>
    </row>
    <row r="10" spans="1:43" hidden="1">
      <c r="A10" s="1">
        <v>1975</v>
      </c>
      <c r="B10" s="9">
        <f>'a26'!B8</f>
        <v>2.5733829506990178</v>
      </c>
      <c r="C10" s="9">
        <f t="shared" si="0"/>
        <v>0.81535360841136095</v>
      </c>
      <c r="D10" s="9">
        <f>'a26'!C8</f>
        <v>3.1406507512024255</v>
      </c>
      <c r="E10" s="9">
        <f t="shared" si="1"/>
        <v>0.71311805477146717</v>
      </c>
      <c r="F10" s="9">
        <f>'a26'!D8</f>
        <v>3.7246339583868493</v>
      </c>
      <c r="G10" s="9">
        <f t="shared" si="2"/>
        <v>0.60786997538124332</v>
      </c>
      <c r="H10" s="9">
        <f>'a26'!E8</f>
        <v>2.461237487553301</v>
      </c>
      <c r="I10" s="9">
        <f t="shared" si="3"/>
        <v>0.83556496802445757</v>
      </c>
      <c r="J10" s="9">
        <f>'a26'!F8</f>
        <v>2.4465144120425681</v>
      </c>
      <c r="K10" s="9">
        <f t="shared" si="4"/>
        <v>0.83821842689306569</v>
      </c>
      <c r="L10" s="9">
        <f>'a26'!G8</f>
        <v>2.5181269307788368</v>
      </c>
      <c r="M10" s="9">
        <f t="shared" si="5"/>
        <v>0.8253120967716443</v>
      </c>
      <c r="N10" s="9">
        <f>'a26'!H8</f>
        <v>2.3876125869192006</v>
      </c>
      <c r="O10" s="9">
        <f t="shared" si="6"/>
        <v>0.84883397865987453</v>
      </c>
      <c r="P10" s="9">
        <f>'a26'!I8</f>
        <v>2.5178029238305499</v>
      </c>
      <c r="Q10" s="9">
        <f t="shared" si="7"/>
        <v>0.82537049076071223</v>
      </c>
      <c r="R10" s="9">
        <f>'a26'!J8</f>
        <v>2.5641736315316788</v>
      </c>
      <c r="S10" s="9">
        <f t="shared" si="8"/>
        <v>0.81701335331999825</v>
      </c>
      <c r="T10" s="9">
        <f>'a26'!K8</f>
        <v>2.562521540701979</v>
      </c>
      <c r="U10" s="9">
        <f t="shared" si="9"/>
        <v>0.81731110055770129</v>
      </c>
      <c r="V10" s="9">
        <f>'a26'!L8</f>
        <v>2.9668427224318914</v>
      </c>
      <c r="W10" s="9">
        <f t="shared" si="10"/>
        <v>0.74444251921779259</v>
      </c>
      <c r="X10" s="9"/>
      <c r="Y10" s="9"/>
      <c r="Z10" s="9"/>
      <c r="AA10" s="9"/>
      <c r="AB10" s="9"/>
      <c r="AC10" s="9"/>
      <c r="AD10" s="9"/>
      <c r="AE10" s="9"/>
      <c r="AF10" s="9"/>
      <c r="AG10" s="9"/>
      <c r="AH10" s="9"/>
      <c r="AI10" s="9"/>
      <c r="AJ10" s="9"/>
      <c r="AK10" s="9"/>
      <c r="AL10" s="9"/>
      <c r="AM10" s="9"/>
      <c r="AN10" s="9"/>
      <c r="AO10" s="9"/>
      <c r="AP10" s="9"/>
      <c r="AQ10" s="9"/>
    </row>
    <row r="11" spans="1:43" hidden="1">
      <c r="A11" s="1">
        <v>1976</v>
      </c>
      <c r="B11" s="9">
        <f>'a26'!B9</f>
        <v>2.5308695512491854</v>
      </c>
      <c r="C11" s="9">
        <f t="shared" si="0"/>
        <v>0.82301556441522805</v>
      </c>
      <c r="D11" s="9">
        <f>'a26'!C9</f>
        <v>4.1102940819075764</v>
      </c>
      <c r="E11" s="9">
        <f t="shared" si="1"/>
        <v>0.53836457385839676</v>
      </c>
      <c r="F11" s="9">
        <f>'a26'!D9</f>
        <v>3.0299782998901601</v>
      </c>
      <c r="G11" s="9">
        <f t="shared" si="2"/>
        <v>0.73306394156876609</v>
      </c>
      <c r="H11" s="9">
        <f>'a26'!E9</f>
        <v>2.7362730958356525</v>
      </c>
      <c r="I11" s="9">
        <f t="shared" si="3"/>
        <v>0.78599681404413613</v>
      </c>
      <c r="J11" s="9">
        <f>'a26'!F9</f>
        <v>2.3038922209119148</v>
      </c>
      <c r="K11" s="9">
        <f t="shared" si="4"/>
        <v>0.86392243945756797</v>
      </c>
      <c r="L11" s="9">
        <f>'a26'!G9</f>
        <v>2.3048232410639922</v>
      </c>
      <c r="M11" s="9">
        <f t="shared" si="5"/>
        <v>0.86375464681957048</v>
      </c>
      <c r="N11" s="9">
        <f>'a26'!H9</f>
        <v>2.3347988115484979</v>
      </c>
      <c r="O11" s="9">
        <f t="shared" si="6"/>
        <v>0.85835231472627072</v>
      </c>
      <c r="P11" s="9">
        <f>'a26'!I9</f>
        <v>2.4641132302959536</v>
      </c>
      <c r="Q11" s="9">
        <f t="shared" si="7"/>
        <v>0.83504668873703791</v>
      </c>
      <c r="R11" s="9">
        <f>'a26'!J9</f>
        <v>2.6866279311961772</v>
      </c>
      <c r="S11" s="9">
        <f t="shared" si="8"/>
        <v>0.79494408883737544</v>
      </c>
      <c r="T11" s="9">
        <f>'a26'!K9</f>
        <v>2.4994399735199417</v>
      </c>
      <c r="U11" s="9">
        <f t="shared" si="9"/>
        <v>0.82867994423189628</v>
      </c>
      <c r="V11" s="9">
        <f>'a26'!L9</f>
        <v>3.1602676587859575</v>
      </c>
      <c r="W11" s="9">
        <f t="shared" si="10"/>
        <v>0.70958260748232926</v>
      </c>
      <c r="X11" s="9"/>
      <c r="Y11" s="9"/>
      <c r="Z11" s="9"/>
      <c r="AA11" s="9"/>
      <c r="AB11" s="9"/>
      <c r="AC11" s="9"/>
      <c r="AD11" s="9"/>
      <c r="AE11" s="9"/>
      <c r="AF11" s="9"/>
      <c r="AG11" s="9"/>
      <c r="AH11" s="9"/>
      <c r="AI11" s="9"/>
      <c r="AJ11" s="9"/>
      <c r="AK11" s="9"/>
      <c r="AL11" s="9"/>
      <c r="AM11" s="9"/>
      <c r="AN11" s="9"/>
      <c r="AO11" s="9"/>
      <c r="AP11" s="9"/>
      <c r="AQ11" s="9"/>
    </row>
    <row r="12" spans="1:43" hidden="1">
      <c r="A12" s="1">
        <v>1977</v>
      </c>
      <c r="B12" s="9">
        <f>'a26'!B10</f>
        <v>2.5448588271210872</v>
      </c>
      <c r="C12" s="9">
        <f t="shared" si="0"/>
        <v>0.82049435421694805</v>
      </c>
      <c r="D12" s="9">
        <f>'a26'!C10</f>
        <v>5.0754574313479166</v>
      </c>
      <c r="E12" s="9">
        <f t="shared" si="1"/>
        <v>0.36441849531242321</v>
      </c>
      <c r="F12" s="9">
        <f>'a26'!D10</f>
        <v>2.8851857955013598</v>
      </c>
      <c r="G12" s="9">
        <f t="shared" si="2"/>
        <v>0.75915909774713397</v>
      </c>
      <c r="H12" s="9">
        <f>'a26'!E10</f>
        <v>2.4113335310756949</v>
      </c>
      <c r="I12" s="9">
        <f t="shared" si="3"/>
        <v>0.84455888344638264</v>
      </c>
      <c r="J12" s="9">
        <f>'a26'!F10</f>
        <v>2.3224047179493867</v>
      </c>
      <c r="K12" s="9">
        <f t="shared" si="4"/>
        <v>0.86058603400285461</v>
      </c>
      <c r="L12" s="9">
        <f>'a26'!G10</f>
        <v>2.1579490296510428</v>
      </c>
      <c r="M12" s="9">
        <f t="shared" si="5"/>
        <v>0.89022497759790875</v>
      </c>
      <c r="N12" s="9">
        <f>'a26'!H10</f>
        <v>2.4179227688851777</v>
      </c>
      <c r="O12" s="9">
        <f t="shared" si="6"/>
        <v>0.84337134138085457</v>
      </c>
      <c r="P12" s="9">
        <f>'a26'!I10</f>
        <v>2.6051709733884549</v>
      </c>
      <c r="Q12" s="9">
        <f t="shared" si="7"/>
        <v>0.80962462803227353</v>
      </c>
      <c r="R12" s="9">
        <f>'a26'!J10</f>
        <v>3.0295149304702038</v>
      </c>
      <c r="S12" s="9">
        <f t="shared" si="8"/>
        <v>0.73314745208910048</v>
      </c>
      <c r="T12" s="9">
        <f>'a26'!K10</f>
        <v>2.4667137670819366</v>
      </c>
      <c r="U12" s="9">
        <f t="shared" si="9"/>
        <v>0.83457800830455076</v>
      </c>
      <c r="V12" s="9">
        <f>'a26'!L10</f>
        <v>3.3193446575495971</v>
      </c>
      <c r="W12" s="9">
        <f t="shared" si="10"/>
        <v>0.68091303549967674</v>
      </c>
      <c r="X12" s="9"/>
      <c r="Y12" s="9"/>
      <c r="Z12" s="9"/>
      <c r="AA12" s="9"/>
      <c r="AB12" s="9"/>
      <c r="AC12" s="9"/>
      <c r="AD12" s="9"/>
      <c r="AE12" s="9"/>
      <c r="AF12" s="9"/>
      <c r="AG12" s="9"/>
      <c r="AH12" s="9"/>
      <c r="AI12" s="9"/>
      <c r="AJ12" s="9"/>
      <c r="AK12" s="9"/>
      <c r="AL12" s="9"/>
      <c r="AM12" s="9"/>
      <c r="AN12" s="9"/>
      <c r="AO12" s="9"/>
      <c r="AP12" s="9"/>
      <c r="AQ12" s="9"/>
    </row>
    <row r="13" spans="1:43" hidden="1">
      <c r="A13" s="1">
        <v>1978</v>
      </c>
      <c r="B13" s="9">
        <f>'a26'!B11</f>
        <v>2.5404030928529777</v>
      </c>
      <c r="C13" s="9">
        <f t="shared" si="0"/>
        <v>0.8212973866812765</v>
      </c>
      <c r="D13" s="9">
        <f>'a26'!C11</f>
        <v>5.5747324182385816</v>
      </c>
      <c r="E13" s="9">
        <f t="shared" si="1"/>
        <v>0.27443691226113703</v>
      </c>
      <c r="F13" s="9">
        <f>'a26'!D11</f>
        <v>3.1659388646288207</v>
      </c>
      <c r="G13" s="9">
        <f t="shared" si="2"/>
        <v>0.70856051726561609</v>
      </c>
      <c r="H13" s="9">
        <f>'a26'!E11</f>
        <v>2.3281604799123743</v>
      </c>
      <c r="I13" s="9">
        <f t="shared" si="3"/>
        <v>0.85954870470197886</v>
      </c>
      <c r="J13" s="9">
        <f>'a26'!F11</f>
        <v>2.5316885946029726</v>
      </c>
      <c r="K13" s="9">
        <f t="shared" si="4"/>
        <v>0.82286795273930491</v>
      </c>
      <c r="L13" s="9">
        <f>'a26'!G11</f>
        <v>2.1094280074041736</v>
      </c>
      <c r="M13" s="9">
        <f t="shared" si="5"/>
        <v>0.89896965439461773</v>
      </c>
      <c r="N13" s="9">
        <f>'a26'!H11</f>
        <v>2.51784605548628</v>
      </c>
      <c r="O13" s="9">
        <f t="shared" si="6"/>
        <v>0.82536271737978173</v>
      </c>
      <c r="P13" s="9">
        <f>'a26'!I11</f>
        <v>2.4035708457954486</v>
      </c>
      <c r="Q13" s="9">
        <f t="shared" si="7"/>
        <v>0.84595790949131933</v>
      </c>
      <c r="R13" s="9">
        <f>'a26'!J11</f>
        <v>2.6249719254827752</v>
      </c>
      <c r="S13" s="9">
        <f t="shared" si="8"/>
        <v>0.80605601141387317</v>
      </c>
      <c r="T13" s="9">
        <f>'a26'!K11</f>
        <v>2.3771354346839524</v>
      </c>
      <c r="U13" s="9">
        <f t="shared" si="9"/>
        <v>0.85072221814462845</v>
      </c>
      <c r="V13" s="9">
        <f>'a26'!L11</f>
        <v>3.1611071719822323</v>
      </c>
      <c r="W13" s="9">
        <f t="shared" si="10"/>
        <v>0.7094313066393535</v>
      </c>
      <c r="X13" s="9"/>
      <c r="Y13" s="9"/>
      <c r="Z13" s="9"/>
      <c r="AA13" s="9"/>
      <c r="AB13" s="9"/>
      <c r="AC13" s="9"/>
      <c r="AD13" s="9"/>
      <c r="AE13" s="9"/>
      <c r="AF13" s="9"/>
      <c r="AG13" s="9"/>
      <c r="AH13" s="9"/>
      <c r="AI13" s="9"/>
      <c r="AJ13" s="9"/>
      <c r="AK13" s="9"/>
      <c r="AL13" s="9"/>
      <c r="AM13" s="9"/>
      <c r="AN13" s="9"/>
      <c r="AO13" s="9"/>
      <c r="AP13" s="9"/>
      <c r="AQ13" s="9"/>
    </row>
    <row r="14" spans="1:43" hidden="1">
      <c r="A14" s="1">
        <v>1979</v>
      </c>
      <c r="B14" s="9">
        <f>'a26'!B12</f>
        <v>2.5550735637773512</v>
      </c>
      <c r="C14" s="9">
        <f t="shared" si="0"/>
        <v>0.81865340844775025</v>
      </c>
      <c r="D14" s="9">
        <f>'a26'!C12</f>
        <v>5.5256676371570821</v>
      </c>
      <c r="E14" s="9">
        <f t="shared" si="1"/>
        <v>0.28327958771995176</v>
      </c>
      <c r="F14" s="9">
        <f>'a26'!D12</f>
        <v>4.3836076587168291</v>
      </c>
      <c r="G14" s="9">
        <f t="shared" si="2"/>
        <v>0.48910677213300918</v>
      </c>
      <c r="H14" s="9">
        <f>'a26'!E12</f>
        <v>2.4389841508091119</v>
      </c>
      <c r="I14" s="9">
        <f t="shared" si="3"/>
        <v>0.83957556443123083</v>
      </c>
      <c r="J14" s="9">
        <f>'a26'!F12</f>
        <v>2.9818743783574058</v>
      </c>
      <c r="K14" s="9">
        <f t="shared" si="4"/>
        <v>0.74173344659934726</v>
      </c>
      <c r="L14" s="9">
        <f>'a26'!G12</f>
        <v>2.0200958885351854</v>
      </c>
      <c r="M14" s="9">
        <f t="shared" si="5"/>
        <v>0.91506949052543818</v>
      </c>
      <c r="N14" s="9">
        <f>'a26'!H12</f>
        <v>2.6404284205836124</v>
      </c>
      <c r="O14" s="9">
        <f t="shared" si="6"/>
        <v>0.80327037236902687</v>
      </c>
      <c r="P14" s="9">
        <f>'a26'!I12</f>
        <v>2.5967547337059567</v>
      </c>
      <c r="Q14" s="9">
        <f t="shared" si="7"/>
        <v>0.81114144059019189</v>
      </c>
      <c r="R14" s="9">
        <f>'a26'!J12</f>
        <v>2.5722193066507755</v>
      </c>
      <c r="S14" s="9">
        <f t="shared" si="8"/>
        <v>0.81556332557388322</v>
      </c>
      <c r="T14" s="9">
        <f>'a26'!K12</f>
        <v>2.2788830621181813</v>
      </c>
      <c r="U14" s="9">
        <f t="shared" si="9"/>
        <v>0.86842970250524376</v>
      </c>
      <c r="V14" s="9">
        <f>'a26'!L12</f>
        <v>2.959597773169508</v>
      </c>
      <c r="W14" s="9">
        <f t="shared" si="10"/>
        <v>0.74574823654966882</v>
      </c>
      <c r="X14" s="9"/>
      <c r="Y14" s="9"/>
      <c r="Z14" s="9"/>
      <c r="AA14" s="9"/>
      <c r="AB14" s="9"/>
      <c r="AC14" s="9"/>
      <c r="AD14" s="9"/>
      <c r="AE14" s="9"/>
      <c r="AF14" s="9"/>
      <c r="AG14" s="9"/>
      <c r="AH14" s="9"/>
      <c r="AI14" s="9"/>
      <c r="AJ14" s="9"/>
      <c r="AK14" s="9"/>
      <c r="AL14" s="9"/>
      <c r="AM14" s="9"/>
      <c r="AN14" s="9"/>
      <c r="AO14" s="9"/>
      <c r="AP14" s="9"/>
      <c r="AQ14" s="9"/>
    </row>
    <row r="15" spans="1:43" hidden="1">
      <c r="A15" s="1">
        <v>1980</v>
      </c>
      <c r="B15" s="9">
        <f>'a26'!B13</f>
        <v>2.6529538936338484</v>
      </c>
      <c r="C15" s="9">
        <f t="shared" si="0"/>
        <v>0.80101297529703352</v>
      </c>
      <c r="D15" s="9">
        <f>'a26'!C13</f>
        <v>5.5113227332499592</v>
      </c>
      <c r="E15" s="9">
        <f t="shared" si="1"/>
        <v>0.28586489080176658</v>
      </c>
      <c r="F15" s="9">
        <f>'a26'!D13</f>
        <v>5.9329862277460528</v>
      </c>
      <c r="G15" s="9">
        <f t="shared" si="2"/>
        <v>0.20987079987807161</v>
      </c>
      <c r="H15" s="9">
        <f>'a26'!E13</f>
        <v>2.5977039323795013</v>
      </c>
      <c r="I15" s="9">
        <f t="shared" si="3"/>
        <v>0.81097037173731834</v>
      </c>
      <c r="J15" s="9">
        <f>'a26'!F13</f>
        <v>3.3331789831126826</v>
      </c>
      <c r="K15" s="9">
        <f t="shared" si="4"/>
        <v>0.67841975114276198</v>
      </c>
      <c r="L15" s="9">
        <f>'a26'!G13</f>
        <v>2.1521164976044527</v>
      </c>
      <c r="M15" s="9">
        <f t="shared" si="5"/>
        <v>0.89127614274843636</v>
      </c>
      <c r="N15" s="9">
        <f>'a26'!H13</f>
        <v>2.6836712510727958</v>
      </c>
      <c r="O15" s="9">
        <f t="shared" si="6"/>
        <v>0.79547695502347249</v>
      </c>
      <c r="P15" s="9">
        <f>'a26'!I13</f>
        <v>2.9379328142251344</v>
      </c>
      <c r="Q15" s="9">
        <f t="shared" si="7"/>
        <v>0.74965279286380837</v>
      </c>
      <c r="R15" s="9">
        <f>'a26'!J13</f>
        <v>2.4438921808525493</v>
      </c>
      <c r="S15" s="9">
        <f t="shared" si="8"/>
        <v>0.83869101718859362</v>
      </c>
      <c r="T15" s="9">
        <f>'a26'!K13</f>
        <v>2.4061593607067273</v>
      </c>
      <c r="U15" s="9">
        <f t="shared" si="9"/>
        <v>0.8454913956951462</v>
      </c>
      <c r="V15" s="9">
        <f>'a26'!L13</f>
        <v>3.1641470921125285</v>
      </c>
      <c r="W15" s="9">
        <f t="shared" si="10"/>
        <v>0.70888343856493419</v>
      </c>
      <c r="X15" s="9"/>
      <c r="Y15" s="9"/>
      <c r="Z15" s="9"/>
      <c r="AA15" s="9"/>
      <c r="AB15" s="9"/>
      <c r="AC15" s="9"/>
      <c r="AD15" s="9"/>
      <c r="AE15" s="9"/>
      <c r="AF15" s="9"/>
      <c r="AG15" s="9"/>
      <c r="AH15" s="9"/>
      <c r="AI15" s="9"/>
      <c r="AJ15" s="9"/>
      <c r="AK15" s="9"/>
      <c r="AL15" s="9"/>
      <c r="AM15" s="9"/>
      <c r="AN15" s="9"/>
      <c r="AO15" s="9"/>
      <c r="AP15" s="9"/>
      <c r="AQ15" s="9"/>
    </row>
    <row r="16" spans="1:43" hidden="1">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row>
    <row r="17" spans="1:43">
      <c r="A17" s="1">
        <v>1981</v>
      </c>
      <c r="B17" s="9">
        <f>'a26'!B15</f>
        <v>2.65462729352992</v>
      </c>
      <c r="C17" s="9">
        <f t="shared" ref="C17:C44" si="11">(C$59-B17)/C$61</f>
        <v>0.80071138764357608</v>
      </c>
      <c r="D17" s="9">
        <f>'a26'!C15</f>
        <v>5.4615670978847151</v>
      </c>
      <c r="E17" s="9">
        <f t="shared" ref="E17:E44" si="12">(C$59-D17)/C$61</f>
        <v>0.29483207512591869</v>
      </c>
      <c r="F17" s="9">
        <f>'a26'!D15</f>
        <v>5.3820960698689957</v>
      </c>
      <c r="G17" s="9">
        <f t="shared" ref="G17:G44" si="13">(C$59-F17)/C$61</f>
        <v>0.30915470112427162</v>
      </c>
      <c r="H17" s="9">
        <f>'a26'!E15</f>
        <v>2.4104046242774571</v>
      </c>
      <c r="I17" s="9">
        <f t="shared" ref="I17:I44" si="14">(C$59-H17)/C$61</f>
        <v>0.84472629520624887</v>
      </c>
      <c r="J17" s="9">
        <f>'a26'!F15</f>
        <v>3.3661678348171997</v>
      </c>
      <c r="K17" s="9">
        <f t="shared" ref="K17:K44" si="15">(C$59-J17)/C$61</f>
        <v>0.67247435195923233</v>
      </c>
      <c r="L17" s="9">
        <f>'a26'!G15</f>
        <v>2.470600717961414</v>
      </c>
      <c r="M17" s="9">
        <f t="shared" ref="M17:M44" si="16">(C$59-L17)/C$61</f>
        <v>0.83387748453996946</v>
      </c>
      <c r="N17" s="9">
        <f>'a26'!H15</f>
        <v>2.6612939332885603</v>
      </c>
      <c r="O17" s="9">
        <f t="shared" ref="O17:O44" si="17">(C$59-N17)/C$61</f>
        <v>0.79950989585074472</v>
      </c>
      <c r="P17" s="9">
        <f>'a26'!I15</f>
        <v>3.0096274591879451</v>
      </c>
      <c r="Q17" s="9">
        <f t="shared" ref="Q17:Q44" si="18">(C$59-P17)/C$61</f>
        <v>0.73673166158457126</v>
      </c>
      <c r="R17" s="9">
        <f>'a26'!J15</f>
        <v>2.0692341941228851</v>
      </c>
      <c r="S17" s="9">
        <f t="shared" ref="S17:S44" si="19">(C$59-R17)/C$61</f>
        <v>0.90621356414952425</v>
      </c>
      <c r="T17" s="9">
        <f>'a26'!K15</f>
        <v>2.2516069077673664</v>
      </c>
      <c r="U17" s="9">
        <f t="shared" ref="U17:U44" si="20">(C$59-T17)/C$61</f>
        <v>0.87334553368541668</v>
      </c>
      <c r="V17" s="9">
        <f>'a26'!L15</f>
        <v>2.8843756151978477</v>
      </c>
      <c r="W17" s="9">
        <f t="shared" ref="W17:W44" si="21">(C$59-V17)/C$61</f>
        <v>0.75930511208428519</v>
      </c>
      <c r="X17" s="9"/>
      <c r="Y17" s="9"/>
      <c r="Z17" s="9"/>
      <c r="AA17" s="9"/>
      <c r="AB17" s="9"/>
      <c r="AC17" s="9"/>
      <c r="AD17" s="9"/>
      <c r="AE17" s="9"/>
      <c r="AF17" s="9"/>
      <c r="AG17" s="9"/>
      <c r="AH17" s="9"/>
      <c r="AI17" s="9"/>
      <c r="AJ17" s="9"/>
      <c r="AK17" s="9"/>
      <c r="AL17" s="9"/>
      <c r="AM17" s="9"/>
      <c r="AN17" s="9"/>
      <c r="AO17" s="9"/>
      <c r="AP17" s="9"/>
      <c r="AQ17" s="9"/>
    </row>
    <row r="18" spans="1:43">
      <c r="A18" s="1">
        <v>1982</v>
      </c>
      <c r="B18" s="9">
        <f>'a26'!B16</f>
        <v>2.7755720207096548</v>
      </c>
      <c r="C18" s="9">
        <f t="shared" si="11"/>
        <v>0.77891418510171984</v>
      </c>
      <c r="D18" s="9">
        <f>'a26'!C16</f>
        <v>5.1119394653916688</v>
      </c>
      <c r="E18" s="9">
        <f t="shared" si="12"/>
        <v>0.3578435391011548</v>
      </c>
      <c r="F18" s="9">
        <f>'a26'!D16</f>
        <v>4.864864864864864</v>
      </c>
      <c r="G18" s="9">
        <f t="shared" si="13"/>
        <v>0.40237243454136362</v>
      </c>
      <c r="H18" s="9">
        <f>'a26'!E16</f>
        <v>2.5816485225505441</v>
      </c>
      <c r="I18" s="9">
        <f t="shared" si="14"/>
        <v>0.81386394988739541</v>
      </c>
      <c r="J18" s="9">
        <f>'a26'!F16</f>
        <v>3.5459915611814345</v>
      </c>
      <c r="K18" s="9">
        <f t="shared" si="15"/>
        <v>0.64006571144390334</v>
      </c>
      <c r="L18" s="9">
        <f>'a26'!G16</f>
        <v>2.496203275797312</v>
      </c>
      <c r="M18" s="9">
        <f t="shared" si="16"/>
        <v>0.82926327644878628</v>
      </c>
      <c r="N18" s="9">
        <f>'a26'!H16</f>
        <v>2.8292205717936429</v>
      </c>
      <c r="O18" s="9">
        <f t="shared" si="17"/>
        <v>0.76924540200283376</v>
      </c>
      <c r="P18" s="9">
        <f>'a26'!I16</f>
        <v>2.9545241443975625</v>
      </c>
      <c r="Q18" s="9">
        <f t="shared" si="18"/>
        <v>0.74666262873974709</v>
      </c>
      <c r="R18" s="9">
        <f>'a26'!J16</f>
        <v>2.0112337406385494</v>
      </c>
      <c r="S18" s="9">
        <f t="shared" si="19"/>
        <v>0.91666666666666674</v>
      </c>
      <c r="T18" s="9">
        <f>'a26'!K16</f>
        <v>2.7806636276900241</v>
      </c>
      <c r="U18" s="9">
        <f t="shared" si="20"/>
        <v>0.77799655279808322</v>
      </c>
      <c r="V18" s="9">
        <f>'a26'!L16</f>
        <v>2.8590050626004184</v>
      </c>
      <c r="W18" s="9">
        <f t="shared" si="21"/>
        <v>0.76387750714821523</v>
      </c>
      <c r="X18" s="9"/>
      <c r="Y18" s="9"/>
      <c r="Z18" s="9"/>
      <c r="AA18" s="9"/>
      <c r="AB18" s="9"/>
      <c r="AC18" s="9"/>
      <c r="AD18" s="9"/>
      <c r="AE18" s="9"/>
      <c r="AF18" s="9"/>
      <c r="AG18" s="9"/>
      <c r="AH18" s="9"/>
      <c r="AI18" s="9"/>
      <c r="AJ18" s="9"/>
      <c r="AK18" s="9"/>
      <c r="AL18" s="9"/>
      <c r="AM18" s="9"/>
      <c r="AN18" s="9"/>
      <c r="AO18" s="9"/>
      <c r="AP18" s="9"/>
      <c r="AQ18" s="9"/>
    </row>
    <row r="19" spans="1:43">
      <c r="A19" s="1">
        <v>1983</v>
      </c>
      <c r="B19" s="9">
        <f>'a26'!B17</f>
        <v>2.8884799785140589</v>
      </c>
      <c r="C19" s="9">
        <f t="shared" si="11"/>
        <v>0.75856540527279381</v>
      </c>
      <c r="D19" s="9">
        <f>'a26'!C17</f>
        <v>5.2856893897556185</v>
      </c>
      <c r="E19" s="9">
        <f t="shared" si="12"/>
        <v>0.32652954649224175</v>
      </c>
      <c r="F19" s="9">
        <f>'a26'!D17</f>
        <v>4.5625</v>
      </c>
      <c r="G19" s="9">
        <f t="shared" si="13"/>
        <v>0.45686599002482053</v>
      </c>
      <c r="H19" s="9">
        <f>'a26'!E17</f>
        <v>2.6348547717842323</v>
      </c>
      <c r="I19" s="9">
        <f t="shared" si="14"/>
        <v>0.80427488041671302</v>
      </c>
      <c r="J19" s="9">
        <f>'a26'!F17</f>
        <v>3.6809621775597408</v>
      </c>
      <c r="K19" s="9">
        <f t="shared" si="15"/>
        <v>0.61574070008540838</v>
      </c>
      <c r="L19" s="9">
        <f>'a26'!G17</f>
        <v>2.5749882463563702</v>
      </c>
      <c r="M19" s="9">
        <f t="shared" si="16"/>
        <v>0.81506429481002574</v>
      </c>
      <c r="N19" s="9">
        <f>'a26'!H17</f>
        <v>3.033198773109087</v>
      </c>
      <c r="O19" s="9">
        <f t="shared" si="17"/>
        <v>0.73248353340488404</v>
      </c>
      <c r="P19" s="9">
        <f>'a26'!I17</f>
        <v>3.1187066974595843</v>
      </c>
      <c r="Q19" s="9">
        <f t="shared" si="18"/>
        <v>0.71707291080509372</v>
      </c>
      <c r="R19" s="9">
        <f>'a26'!J17</f>
        <v>2.1768504719324389</v>
      </c>
      <c r="S19" s="9">
        <f t="shared" si="19"/>
        <v>0.88681847468250241</v>
      </c>
      <c r="T19" s="9">
        <f>'a26'!K17</f>
        <v>2.5023443197999518</v>
      </c>
      <c r="U19" s="9">
        <f t="shared" si="20"/>
        <v>0.82815650988636269</v>
      </c>
      <c r="V19" s="9">
        <f>'a26'!L17</f>
        <v>3.0500772246643701</v>
      </c>
      <c r="W19" s="9">
        <f t="shared" si="21"/>
        <v>0.72944162297420734</v>
      </c>
      <c r="X19" s="9"/>
      <c r="Y19" s="9"/>
      <c r="Z19" s="9"/>
      <c r="AA19" s="9"/>
      <c r="AB19" s="9"/>
      <c r="AC19" s="9"/>
      <c r="AD19" s="9"/>
      <c r="AE19" s="9"/>
      <c r="AF19" s="9"/>
      <c r="AG19" s="9"/>
      <c r="AH19" s="9"/>
      <c r="AI19" s="9"/>
      <c r="AJ19" s="9"/>
      <c r="AK19" s="9"/>
      <c r="AL19" s="9"/>
      <c r="AM19" s="9"/>
      <c r="AN19" s="9"/>
      <c r="AO19" s="9"/>
      <c r="AP19" s="9"/>
      <c r="AQ19" s="9"/>
    </row>
    <row r="20" spans="1:43">
      <c r="A20" s="1">
        <v>1984</v>
      </c>
      <c r="B20" s="9">
        <f>'a26'!B18</f>
        <v>2.9369018848878055</v>
      </c>
      <c r="C20" s="9">
        <f t="shared" si="11"/>
        <v>0.74983859158439836</v>
      </c>
      <c r="D20" s="9">
        <f>'a26'!C18</f>
        <v>4.1196521160086554</v>
      </c>
      <c r="E20" s="9">
        <f t="shared" si="12"/>
        <v>0.53667802687572685</v>
      </c>
      <c r="F20" s="9">
        <f>'a26'!D18</f>
        <v>4.2145270270270272</v>
      </c>
      <c r="G20" s="9">
        <f t="shared" si="13"/>
        <v>0.51957924382142473</v>
      </c>
      <c r="H20" s="9">
        <f>'a26'!E18</f>
        <v>2.7852499439587537</v>
      </c>
      <c r="I20" s="9">
        <f t="shared" si="14"/>
        <v>0.7771699862584609</v>
      </c>
      <c r="J20" s="9">
        <f>'a26'!F18</f>
        <v>3.8779383851657183</v>
      </c>
      <c r="K20" s="9">
        <f t="shared" si="15"/>
        <v>0.58024076227717591</v>
      </c>
      <c r="L20" s="9">
        <f>'a26'!G18</f>
        <v>2.6062403741942841</v>
      </c>
      <c r="M20" s="9">
        <f t="shared" si="16"/>
        <v>0.80943189581064934</v>
      </c>
      <c r="N20" s="9">
        <f>'a26'!H18</f>
        <v>3.086302023022955</v>
      </c>
      <c r="O20" s="9">
        <f t="shared" si="17"/>
        <v>0.72291302693474069</v>
      </c>
      <c r="P20" s="9">
        <f>'a26'!I18</f>
        <v>2.9791025433338736</v>
      </c>
      <c r="Q20" s="9">
        <f t="shared" si="18"/>
        <v>0.74223299917042185</v>
      </c>
      <c r="R20" s="9">
        <f>'a26'!J18</f>
        <v>2.3744376090349832</v>
      </c>
      <c r="S20" s="9">
        <f t="shared" si="19"/>
        <v>0.85120843241344735</v>
      </c>
      <c r="T20" s="9">
        <f>'a26'!K18</f>
        <v>2.5733445096395644</v>
      </c>
      <c r="U20" s="9">
        <f t="shared" si="20"/>
        <v>0.81536053643194006</v>
      </c>
      <c r="V20" s="9">
        <f>'a26'!L18</f>
        <v>3.2414294502544601</v>
      </c>
      <c r="W20" s="9">
        <f t="shared" si="21"/>
        <v>0.69495526449225564</v>
      </c>
      <c r="X20" s="9"/>
      <c r="Y20" s="9"/>
      <c r="Z20" s="9"/>
      <c r="AA20" s="9"/>
      <c r="AB20" s="9"/>
      <c r="AC20" s="9"/>
      <c r="AD20" s="9"/>
      <c r="AE20" s="9"/>
      <c r="AF20" s="9"/>
      <c r="AG20" s="9"/>
      <c r="AH20" s="9"/>
      <c r="AI20" s="9"/>
      <c r="AJ20" s="9"/>
      <c r="AK20" s="9"/>
      <c r="AL20" s="9"/>
      <c r="AM20" s="9"/>
      <c r="AN20" s="9"/>
      <c r="AO20" s="9"/>
      <c r="AP20" s="9"/>
      <c r="AQ20" s="9"/>
    </row>
    <row r="21" spans="1:43">
      <c r="A21" s="1">
        <v>1985</v>
      </c>
      <c r="B21" s="9">
        <f>'a26'!B19</f>
        <v>3.0177188696828683</v>
      </c>
      <c r="C21" s="9">
        <f t="shared" si="11"/>
        <v>0.73527339120338275</v>
      </c>
      <c r="D21" s="9">
        <f>'a26'!C19</f>
        <v>3.969662879860878</v>
      </c>
      <c r="E21" s="9">
        <f t="shared" si="12"/>
        <v>0.56370976141800977</v>
      </c>
      <c r="F21" s="9">
        <f>'a26'!D19</f>
        <v>4.2387820512820511</v>
      </c>
      <c r="G21" s="9">
        <f t="shared" si="13"/>
        <v>0.51520789429116609</v>
      </c>
      <c r="H21" s="9">
        <f>'a26'!E19</f>
        <v>2.9348832424647671</v>
      </c>
      <c r="I21" s="9">
        <f t="shared" si="14"/>
        <v>0.75020240039839625</v>
      </c>
      <c r="J21" s="9">
        <f>'a26'!F19</f>
        <v>3.7640758033507282</v>
      </c>
      <c r="K21" s="9">
        <f t="shared" si="15"/>
        <v>0.6007615887376111</v>
      </c>
      <c r="L21" s="9">
        <f>'a26'!G19</f>
        <v>2.8116774667646469</v>
      </c>
      <c r="M21" s="9">
        <f t="shared" si="16"/>
        <v>0.77240709927105622</v>
      </c>
      <c r="N21" s="9">
        <f>'a26'!H19</f>
        <v>3.1424328613856716</v>
      </c>
      <c r="O21" s="9">
        <f t="shared" si="17"/>
        <v>0.71279687486125587</v>
      </c>
      <c r="P21" s="9">
        <f>'a26'!I19</f>
        <v>3.0895034195658639</v>
      </c>
      <c r="Q21" s="9">
        <f t="shared" si="18"/>
        <v>0.72233605685518609</v>
      </c>
      <c r="R21" s="9">
        <f>'a26'!J19</f>
        <v>2.8515190415062044</v>
      </c>
      <c r="S21" s="9">
        <f t="shared" si="19"/>
        <v>0.7652266715295668</v>
      </c>
      <c r="T21" s="9">
        <f>'a26'!K19</f>
        <v>2.5031616982836491</v>
      </c>
      <c r="U21" s="9">
        <f t="shared" si="20"/>
        <v>0.82800919826081298</v>
      </c>
      <c r="V21" s="9">
        <f>'a26'!L19</f>
        <v>3.2281910975481423</v>
      </c>
      <c r="W21" s="9">
        <f t="shared" si="21"/>
        <v>0.69734113994122271</v>
      </c>
      <c r="X21" s="9"/>
      <c r="Y21" s="9"/>
      <c r="Z21" s="9"/>
      <c r="AA21" s="9"/>
      <c r="AB21" s="9"/>
      <c r="AC21" s="9"/>
      <c r="AD21" s="9"/>
      <c r="AE21" s="9"/>
      <c r="AF21" s="9"/>
      <c r="AG21" s="9"/>
      <c r="AH21" s="9"/>
      <c r="AI21" s="9"/>
      <c r="AJ21" s="9"/>
      <c r="AK21" s="9"/>
      <c r="AL21" s="9"/>
      <c r="AM21" s="9"/>
      <c r="AN21" s="9"/>
      <c r="AO21" s="9"/>
      <c r="AP21" s="9"/>
      <c r="AQ21" s="9"/>
    </row>
    <row r="22" spans="1:43">
      <c r="A22" s="1">
        <v>1986</v>
      </c>
      <c r="B22" s="9">
        <f>'a26'!B20</f>
        <v>3.1752657879043369</v>
      </c>
      <c r="C22" s="9">
        <f t="shared" si="11"/>
        <v>0.70687957721581418</v>
      </c>
      <c r="D22" s="9">
        <f>'a26'!C20</f>
        <v>3.2153371090322529</v>
      </c>
      <c r="E22" s="9">
        <f t="shared" si="12"/>
        <v>0.69965774354755561</v>
      </c>
      <c r="F22" s="9">
        <f>'a26'!D20</f>
        <v>3.5504652827487471</v>
      </c>
      <c r="G22" s="9">
        <f t="shared" si="13"/>
        <v>0.63925943722763534</v>
      </c>
      <c r="H22" s="9">
        <f>'a26'!E20</f>
        <v>3.4843857748005123</v>
      </c>
      <c r="I22" s="9">
        <f t="shared" si="14"/>
        <v>0.65116858326649807</v>
      </c>
      <c r="J22" s="9">
        <f>'a26'!F20</f>
        <v>3.6583493282149706</v>
      </c>
      <c r="K22" s="9">
        <f t="shared" si="15"/>
        <v>0.61981608946955191</v>
      </c>
      <c r="L22" s="9">
        <f>'a26'!G20</f>
        <v>3.1480379370164484</v>
      </c>
      <c r="M22" s="9">
        <f t="shared" si="16"/>
        <v>0.71178670292870938</v>
      </c>
      <c r="N22" s="9">
        <f>'a26'!H20</f>
        <v>3.2292436925079127</v>
      </c>
      <c r="O22" s="9">
        <f t="shared" si="17"/>
        <v>0.6971514365447401</v>
      </c>
      <c r="P22" s="9">
        <f>'a26'!I20</f>
        <v>3.3280723150871654</v>
      </c>
      <c r="Q22" s="9">
        <f t="shared" si="18"/>
        <v>0.67934009781567484</v>
      </c>
      <c r="R22" s="9">
        <f>'a26'!J20</f>
        <v>2.9288151364764268</v>
      </c>
      <c r="S22" s="9">
        <f t="shared" si="19"/>
        <v>0.75129602174392818</v>
      </c>
      <c r="T22" s="9">
        <f>'a26'!K20</f>
        <v>2.6870868744098204</v>
      </c>
      <c r="U22" s="9">
        <f t="shared" si="20"/>
        <v>0.79486137602784424</v>
      </c>
      <c r="V22" s="9">
        <f>'a26'!L20</f>
        <v>3.3387407482510394</v>
      </c>
      <c r="W22" s="9">
        <f t="shared" si="21"/>
        <v>0.67741738482189839</v>
      </c>
      <c r="X22" s="9"/>
      <c r="Y22" s="9"/>
      <c r="Z22" s="9"/>
      <c r="AA22" s="9"/>
      <c r="AB22" s="9"/>
      <c r="AC22" s="9"/>
      <c r="AD22" s="9"/>
      <c r="AE22" s="9"/>
      <c r="AF22" s="9"/>
      <c r="AG22" s="9"/>
      <c r="AH22" s="9"/>
      <c r="AI22" s="9"/>
      <c r="AJ22" s="9"/>
      <c r="AK22" s="9"/>
      <c r="AL22" s="9"/>
      <c r="AM22" s="9"/>
      <c r="AN22" s="9"/>
      <c r="AO22" s="9"/>
      <c r="AP22" s="9"/>
      <c r="AQ22" s="9"/>
    </row>
    <row r="23" spans="1:43">
      <c r="A23" s="1">
        <v>1987</v>
      </c>
      <c r="B23" s="9">
        <f>'a26'!B21</f>
        <v>3.2396427240222536</v>
      </c>
      <c r="C23" s="9">
        <f t="shared" si="11"/>
        <v>0.69527727632756597</v>
      </c>
      <c r="D23" s="9">
        <f>'a26'!C21</f>
        <v>3.2271060172950907</v>
      </c>
      <c r="E23" s="9">
        <f t="shared" si="12"/>
        <v>0.69753669798332552</v>
      </c>
      <c r="F23" s="9">
        <f>'a26'!D21</f>
        <v>3.6357435197817187</v>
      </c>
      <c r="G23" s="9">
        <f t="shared" si="13"/>
        <v>0.62389020990896338</v>
      </c>
      <c r="H23" s="9">
        <f>'a26'!E21</f>
        <v>3.6452565522332963</v>
      </c>
      <c r="I23" s="9">
        <f t="shared" si="14"/>
        <v>0.62217572842664015</v>
      </c>
      <c r="J23" s="9">
        <f>'a26'!F21</f>
        <v>3.6600287907869484</v>
      </c>
      <c r="K23" s="9">
        <f t="shared" si="15"/>
        <v>0.61951340917338271</v>
      </c>
      <c r="L23" s="9">
        <f>'a26'!G21</f>
        <v>3.1033141159410036</v>
      </c>
      <c r="M23" s="9">
        <f t="shared" si="16"/>
        <v>0.71984703105676806</v>
      </c>
      <c r="N23" s="9">
        <f>'a26'!H21</f>
        <v>3.3109398444959761</v>
      </c>
      <c r="O23" s="9">
        <f t="shared" si="17"/>
        <v>0.68242778869916065</v>
      </c>
      <c r="P23" s="9">
        <f>'a26'!I21</f>
        <v>3.1219207549788357</v>
      </c>
      <c r="Q23" s="9">
        <f t="shared" si="18"/>
        <v>0.71649365890745464</v>
      </c>
      <c r="R23" s="9">
        <f>'a26'!J21</f>
        <v>3.3076858743832065</v>
      </c>
      <c r="S23" s="9">
        <f t="shared" si="19"/>
        <v>0.6830142338238645</v>
      </c>
      <c r="T23" s="9">
        <f>'a26'!K21</f>
        <v>2.8844465257858687</v>
      </c>
      <c r="U23" s="9">
        <f t="shared" si="20"/>
        <v>0.75929233225927339</v>
      </c>
      <c r="V23" s="9">
        <f>'a26'!L21</f>
        <v>3.4195579116770016</v>
      </c>
      <c r="W23" s="9">
        <f t="shared" si="21"/>
        <v>0.66285215224721894</v>
      </c>
      <c r="X23" s="9"/>
      <c r="Y23" s="9"/>
      <c r="Z23" s="9"/>
      <c r="AA23" s="9"/>
      <c r="AB23" s="9"/>
      <c r="AC23" s="9"/>
      <c r="AD23" s="9"/>
      <c r="AE23" s="9"/>
      <c r="AF23" s="9"/>
      <c r="AG23" s="9"/>
      <c r="AH23" s="9"/>
      <c r="AI23" s="9"/>
      <c r="AJ23" s="9"/>
      <c r="AK23" s="9"/>
      <c r="AL23" s="9"/>
      <c r="AM23" s="9"/>
      <c r="AN23" s="9"/>
      <c r="AO23" s="9"/>
      <c r="AP23" s="9"/>
      <c r="AQ23" s="9"/>
    </row>
    <row r="24" spans="1:43">
      <c r="A24" s="1">
        <v>1988</v>
      </c>
      <c r="B24" s="9">
        <f>'a26'!B22</f>
        <v>3.237816187056731</v>
      </c>
      <c r="C24" s="9">
        <f t="shared" si="11"/>
        <v>0.69560646303223739</v>
      </c>
      <c r="D24" s="9">
        <f>'a26'!C22</f>
        <v>3.1258119825711548</v>
      </c>
      <c r="E24" s="9">
        <f t="shared" si="12"/>
        <v>0.71579236437445537</v>
      </c>
      <c r="F24" s="9">
        <f>'a26'!D22</f>
        <v>3.5027898326100435</v>
      </c>
      <c r="G24" s="9">
        <f t="shared" si="13"/>
        <v>0.64785172121702461</v>
      </c>
      <c r="H24" s="9">
        <f>'a26'!E22</f>
        <v>3.598150843249722</v>
      </c>
      <c r="I24" s="9">
        <f t="shared" si="14"/>
        <v>0.63066533110329781</v>
      </c>
      <c r="J24" s="9">
        <f>'a26'!F22</f>
        <v>3.6722222222222225</v>
      </c>
      <c r="K24" s="9">
        <f t="shared" si="15"/>
        <v>0.61731585413421242</v>
      </c>
      <c r="L24" s="9">
        <f>'a26'!G22</f>
        <v>3.1292054048714095</v>
      </c>
      <c r="M24" s="9">
        <f t="shared" si="16"/>
        <v>0.71518078654949746</v>
      </c>
      <c r="N24" s="9">
        <f>'a26'!H22</f>
        <v>3.288107109537667</v>
      </c>
      <c r="O24" s="9">
        <f t="shared" si="17"/>
        <v>0.68654280685725844</v>
      </c>
      <c r="P24" s="9">
        <f>'a26'!I22</f>
        <v>2.8355584500162814</v>
      </c>
      <c r="Q24" s="9">
        <f t="shared" si="18"/>
        <v>0.76810316109224663</v>
      </c>
      <c r="R24" s="9">
        <f>'a26'!J22</f>
        <v>2.890802348336595</v>
      </c>
      <c r="S24" s="9">
        <f t="shared" si="19"/>
        <v>0.75814685734119447</v>
      </c>
      <c r="T24" s="9">
        <f>'a26'!K22</f>
        <v>3.1492358803986717</v>
      </c>
      <c r="U24" s="9">
        <f t="shared" si="20"/>
        <v>0.71157080418599528</v>
      </c>
      <c r="V24" s="9">
        <f>'a26'!L22</f>
        <v>3.4537866009255653</v>
      </c>
      <c r="W24" s="9">
        <f t="shared" si="21"/>
        <v>0.65668330396676067</v>
      </c>
      <c r="X24" s="9"/>
      <c r="Y24" s="9"/>
      <c r="Z24" s="9"/>
      <c r="AA24" s="9"/>
      <c r="AB24" s="9"/>
      <c r="AC24" s="9"/>
      <c r="AD24" s="9"/>
      <c r="AE24" s="9"/>
      <c r="AF24" s="9"/>
      <c r="AG24" s="9"/>
      <c r="AH24" s="9"/>
      <c r="AI24" s="9"/>
      <c r="AJ24" s="9"/>
      <c r="AK24" s="9"/>
      <c r="AL24" s="9"/>
      <c r="AM24" s="9"/>
      <c r="AN24" s="9"/>
      <c r="AO24" s="9"/>
      <c r="AP24" s="9"/>
      <c r="AQ24" s="9"/>
    </row>
    <row r="25" spans="1:43">
      <c r="A25" s="1">
        <v>1989</v>
      </c>
      <c r="B25" s="9">
        <f>'a26'!B23</f>
        <v>3.2775456822530109</v>
      </c>
      <c r="C25" s="9">
        <f t="shared" si="11"/>
        <v>0.6884462347703465</v>
      </c>
      <c r="D25" s="9">
        <f>'a26'!C23</f>
        <v>2.9963112989472447</v>
      </c>
      <c r="E25" s="9">
        <f t="shared" si="12"/>
        <v>0.73913155985723444</v>
      </c>
      <c r="F25" s="9">
        <f>'a26'!D23</f>
        <v>3.7645011600928076</v>
      </c>
      <c r="G25" s="9">
        <f t="shared" si="13"/>
        <v>0.60068492903300186</v>
      </c>
      <c r="H25" s="9">
        <f>'a26'!E23</f>
        <v>3.7084056142564261</v>
      </c>
      <c r="I25" s="9">
        <f t="shared" si="14"/>
        <v>0.61079472052870309</v>
      </c>
      <c r="J25" s="9">
        <f>'a26'!F23</f>
        <v>3.6333642643571502</v>
      </c>
      <c r="K25" s="9">
        <f t="shared" si="15"/>
        <v>0.62431901001953827</v>
      </c>
      <c r="L25" s="9">
        <f>'a26'!G23</f>
        <v>3.2013241168362057</v>
      </c>
      <c r="M25" s="9">
        <f t="shared" si="16"/>
        <v>0.70218322800841004</v>
      </c>
      <c r="N25" s="9">
        <f>'a26'!H23</f>
        <v>3.289045841471673</v>
      </c>
      <c r="O25" s="9">
        <f t="shared" si="17"/>
        <v>0.6863736243672468</v>
      </c>
      <c r="P25" s="9">
        <f>'a26'!I23</f>
        <v>2.9569465648854965</v>
      </c>
      <c r="Q25" s="9">
        <f t="shared" si="18"/>
        <v>0.74622604922736735</v>
      </c>
      <c r="R25" s="9">
        <f>'a26'!J23</f>
        <v>3.1591112436623914</v>
      </c>
      <c r="S25" s="9">
        <f t="shared" si="19"/>
        <v>0.70979102181554254</v>
      </c>
      <c r="T25" s="9">
        <f>'a26'!K23</f>
        <v>3.2515594565940975</v>
      </c>
      <c r="U25" s="9">
        <f t="shared" si="20"/>
        <v>0.69312958920169732</v>
      </c>
      <c r="V25" s="9">
        <f>'a26'!L23</f>
        <v>3.4329860976648723</v>
      </c>
      <c r="W25" s="9">
        <f t="shared" si="21"/>
        <v>0.66043206419069411</v>
      </c>
      <c r="X25" s="9"/>
      <c r="Y25" s="9"/>
      <c r="Z25" s="9"/>
      <c r="AA25" s="9"/>
      <c r="AB25" s="9"/>
      <c r="AC25" s="9"/>
      <c r="AD25" s="9"/>
      <c r="AE25" s="9"/>
      <c r="AF25" s="9"/>
      <c r="AG25" s="9"/>
      <c r="AH25" s="9"/>
      <c r="AI25" s="9"/>
      <c r="AJ25" s="9"/>
      <c r="AK25" s="9"/>
      <c r="AL25" s="9"/>
      <c r="AM25" s="9"/>
      <c r="AN25" s="9"/>
      <c r="AO25" s="9"/>
      <c r="AP25" s="9"/>
      <c r="AQ25" s="9"/>
    </row>
    <row r="26" spans="1:43">
      <c r="A26" s="1">
        <v>1990</v>
      </c>
      <c r="B26" s="9">
        <f>'a26'!B24</f>
        <v>3.4055749890686493</v>
      </c>
      <c r="C26" s="9">
        <f t="shared" si="11"/>
        <v>0.66537221743177566</v>
      </c>
      <c r="D26" s="9">
        <f>'a26'!C24</f>
        <v>3.0391393724984295</v>
      </c>
      <c r="E26" s="9">
        <f t="shared" si="12"/>
        <v>0.73141289187193748</v>
      </c>
      <c r="F26" s="9">
        <f>'a26'!D24</f>
        <v>3.8588754134509373</v>
      </c>
      <c r="G26" s="9">
        <f t="shared" si="13"/>
        <v>0.58367637675335937</v>
      </c>
      <c r="H26" s="9">
        <f>'a26'!E24</f>
        <v>3.6894372554920252</v>
      </c>
      <c r="I26" s="9">
        <f t="shared" si="14"/>
        <v>0.61421328343355641</v>
      </c>
      <c r="J26" s="9">
        <f>'a26'!F24</f>
        <v>3.9214525360173669</v>
      </c>
      <c r="K26" s="9">
        <f t="shared" si="15"/>
        <v>0.57239844635594739</v>
      </c>
      <c r="L26" s="9">
        <f>'a26'!G24</f>
        <v>3.326896551724138</v>
      </c>
      <c r="M26" s="9">
        <f t="shared" si="16"/>
        <v>0.67955199917560027</v>
      </c>
      <c r="N26" s="9">
        <f>'a26'!H24</f>
        <v>3.4564007718664311</v>
      </c>
      <c r="O26" s="9">
        <f t="shared" si="17"/>
        <v>0.65621216632557677</v>
      </c>
      <c r="P26" s="9">
        <f>'a26'!I24</f>
        <v>3.0700138185168129</v>
      </c>
      <c r="Q26" s="9">
        <f t="shared" si="18"/>
        <v>0.72584856038826562</v>
      </c>
      <c r="R26" s="9">
        <f>'a26'!J24</f>
        <v>3.2078365753329154</v>
      </c>
      <c r="S26" s="9">
        <f t="shared" si="19"/>
        <v>0.70100952345585643</v>
      </c>
      <c r="T26" s="9">
        <f>'a26'!K24</f>
        <v>3.306985935138905</v>
      </c>
      <c r="U26" s="9">
        <f t="shared" si="20"/>
        <v>0.68314038002164257</v>
      </c>
      <c r="V26" s="9">
        <f>'a26'!L24</f>
        <v>3.5479491210518792</v>
      </c>
      <c r="W26" s="9">
        <f t="shared" si="21"/>
        <v>0.63971291120218232</v>
      </c>
      <c r="X26" s="9"/>
      <c r="Y26" s="9"/>
      <c r="Z26" s="9"/>
      <c r="AA26" s="9"/>
      <c r="AB26" s="9"/>
      <c r="AC26" s="9"/>
      <c r="AD26" s="9"/>
      <c r="AE26" s="9"/>
      <c r="AF26" s="9"/>
      <c r="AG26" s="9"/>
      <c r="AH26" s="9"/>
      <c r="AI26" s="9"/>
      <c r="AJ26" s="9"/>
      <c r="AK26" s="9"/>
      <c r="AL26" s="9"/>
      <c r="AM26" s="9"/>
      <c r="AN26" s="9"/>
      <c r="AO26" s="9"/>
      <c r="AP26" s="9"/>
      <c r="AQ26" s="9"/>
    </row>
    <row r="27" spans="1:43">
      <c r="A27" s="1">
        <v>1991</v>
      </c>
      <c r="B27" s="9">
        <f>'a26'!B25</f>
        <v>3.5781117396705677</v>
      </c>
      <c r="C27" s="9">
        <f t="shared" si="11"/>
        <v>0.63427686845310671</v>
      </c>
      <c r="D27" s="9">
        <f>'a26'!C25</f>
        <v>3.2659962984478956</v>
      </c>
      <c r="E27" s="9">
        <f t="shared" si="12"/>
        <v>0.69052771664974766</v>
      </c>
      <c r="F27" s="9">
        <f>'a26'!D25</f>
        <v>4.072110286320255</v>
      </c>
      <c r="G27" s="9">
        <f t="shared" si="13"/>
        <v>0.54524622918675858</v>
      </c>
      <c r="H27" s="9">
        <f>'a26'!E25</f>
        <v>3.7692531240918337</v>
      </c>
      <c r="I27" s="9">
        <f t="shared" si="14"/>
        <v>0.59982850871461579</v>
      </c>
      <c r="J27" s="9">
        <f>'a26'!F25</f>
        <v>4.1909814323607426</v>
      </c>
      <c r="K27" s="9">
        <f t="shared" si="15"/>
        <v>0.52382273676135882</v>
      </c>
      <c r="L27" s="9">
        <f>'a26'!G25</f>
        <v>3.5178550046514196</v>
      </c>
      <c r="M27" s="9">
        <f t="shared" si="16"/>
        <v>0.64513660817347884</v>
      </c>
      <c r="N27" s="9">
        <f>'a26'!H25</f>
        <v>3.6521666934768287</v>
      </c>
      <c r="O27" s="9">
        <f t="shared" si="17"/>
        <v>0.62093035170133426</v>
      </c>
      <c r="P27" s="9">
        <f>'a26'!I25</f>
        <v>3.2513832639324627</v>
      </c>
      <c r="Q27" s="9">
        <f t="shared" si="18"/>
        <v>0.69316134343540059</v>
      </c>
      <c r="R27" s="9">
        <f>'a26'!J25</f>
        <v>3.3773649810801514</v>
      </c>
      <c r="S27" s="9">
        <f t="shared" si="19"/>
        <v>0.67045635191346231</v>
      </c>
      <c r="T27" s="9">
        <f>'a26'!K25</f>
        <v>3.3533854688857696</v>
      </c>
      <c r="U27" s="9">
        <f t="shared" si="20"/>
        <v>0.67477804742135405</v>
      </c>
      <c r="V27" s="9">
        <f>'a26'!L25</f>
        <v>3.697900613034693</v>
      </c>
      <c r="W27" s="9">
        <f t="shared" si="21"/>
        <v>0.61268797908302008</v>
      </c>
      <c r="X27" s="9"/>
      <c r="Y27" s="9"/>
      <c r="Z27" s="9"/>
      <c r="AA27" s="9"/>
      <c r="AB27" s="9"/>
      <c r="AC27" s="9"/>
      <c r="AD27" s="9"/>
      <c r="AE27" s="9"/>
      <c r="AF27" s="9"/>
      <c r="AG27" s="9"/>
      <c r="AH27" s="9"/>
      <c r="AI27" s="9"/>
      <c r="AJ27" s="9"/>
      <c r="AK27" s="9"/>
      <c r="AL27" s="9"/>
      <c r="AM27" s="9"/>
      <c r="AN27" s="9"/>
      <c r="AO27" s="9"/>
      <c r="AP27" s="9"/>
      <c r="AQ27" s="9"/>
    </row>
    <row r="28" spans="1:43">
      <c r="A28" s="1">
        <v>1992</v>
      </c>
      <c r="B28" s="9">
        <f>'a26'!B26</f>
        <v>3.7470178124418148</v>
      </c>
      <c r="C28" s="9">
        <f t="shared" si="11"/>
        <v>0.60383585655787064</v>
      </c>
      <c r="D28" s="9">
        <f>'a26'!C26</f>
        <v>3.4727741935483869</v>
      </c>
      <c r="E28" s="9">
        <f t="shared" si="12"/>
        <v>0.65326127464946071</v>
      </c>
      <c r="F28" s="9">
        <f>'a26'!D26</f>
        <v>4.4811912225705326</v>
      </c>
      <c r="G28" s="9">
        <f t="shared" si="13"/>
        <v>0.47151982348567911</v>
      </c>
      <c r="H28" s="9">
        <f>'a26'!E26</f>
        <v>3.9287991498405948</v>
      </c>
      <c r="I28" s="9">
        <f t="shared" si="14"/>
        <v>0.57107440657979647</v>
      </c>
      <c r="J28" s="9">
        <f>'a26'!F26</f>
        <v>4.2896792574211933</v>
      </c>
      <c r="K28" s="9">
        <f t="shared" si="15"/>
        <v>0.50603497094924321</v>
      </c>
      <c r="L28" s="9">
        <f>'a26'!G26</f>
        <v>3.7563625809494439</v>
      </c>
      <c r="M28" s="9">
        <f t="shared" si="16"/>
        <v>0.60215170036009902</v>
      </c>
      <c r="N28" s="9">
        <f>'a26'!H26</f>
        <v>3.8314969393433498</v>
      </c>
      <c r="O28" s="9">
        <f t="shared" si="17"/>
        <v>0.58861064846016309</v>
      </c>
      <c r="P28" s="9">
        <f>'a26'!I26</f>
        <v>3.3800201929549023</v>
      </c>
      <c r="Q28" s="9">
        <f t="shared" si="18"/>
        <v>0.66997781769063935</v>
      </c>
      <c r="R28" s="9">
        <f>'a26'!J26</f>
        <v>3.5507510880247084</v>
      </c>
      <c r="S28" s="9">
        <f t="shared" si="19"/>
        <v>0.63920792811572169</v>
      </c>
      <c r="T28" s="9">
        <f>'a26'!K26</f>
        <v>3.4341765840757841</v>
      </c>
      <c r="U28" s="9">
        <f t="shared" si="20"/>
        <v>0.66021750937687895</v>
      </c>
      <c r="V28" s="9">
        <f>'a26'!L26</f>
        <v>3.784276158229416</v>
      </c>
      <c r="W28" s="9">
        <f t="shared" si="21"/>
        <v>0.59712098995355845</v>
      </c>
      <c r="X28" s="9"/>
      <c r="Y28" s="9"/>
      <c r="Z28" s="9"/>
      <c r="AA28" s="9"/>
      <c r="AB28" s="9"/>
      <c r="AC28" s="9"/>
      <c r="AD28" s="9"/>
      <c r="AE28" s="9"/>
      <c r="AF28" s="9"/>
      <c r="AG28" s="9"/>
      <c r="AH28" s="9"/>
      <c r="AI28" s="9"/>
      <c r="AJ28" s="9"/>
      <c r="AK28" s="9"/>
      <c r="AL28" s="9"/>
      <c r="AM28" s="9"/>
      <c r="AN28" s="9"/>
      <c r="AO28" s="9"/>
      <c r="AP28" s="9"/>
      <c r="AQ28" s="9"/>
    </row>
    <row r="29" spans="1:43">
      <c r="A29" s="1">
        <v>1993</v>
      </c>
      <c r="B29" s="9">
        <f>'a26'!B27</f>
        <v>3.9556091194155298</v>
      </c>
      <c r="C29" s="9">
        <f t="shared" si="11"/>
        <v>0.5662425933160613</v>
      </c>
      <c r="D29" s="9">
        <f>'a26'!C27</f>
        <v>3.577165156092649</v>
      </c>
      <c r="E29" s="9">
        <f t="shared" si="12"/>
        <v>0.634447466001688</v>
      </c>
      <c r="F29" s="9">
        <f>'a26'!D27</f>
        <v>4.6282178217821786</v>
      </c>
      <c r="G29" s="9">
        <f t="shared" si="13"/>
        <v>0.44502202869307111</v>
      </c>
      <c r="H29" s="9">
        <f>'a26'!E27</f>
        <v>4.0109350128036541</v>
      </c>
      <c r="I29" s="9">
        <f t="shared" si="14"/>
        <v>0.55627151204520986</v>
      </c>
      <c r="J29" s="9">
        <f>'a26'!F27</f>
        <v>4.509144701452394</v>
      </c>
      <c r="K29" s="9">
        <f t="shared" si="15"/>
        <v>0.46648192183303455</v>
      </c>
      <c r="L29" s="9">
        <f>'a26'!G27</f>
        <v>3.9213618958550231</v>
      </c>
      <c r="M29" s="9">
        <f t="shared" si="16"/>
        <v>0.57241478193355466</v>
      </c>
      <c r="N29" s="9">
        <f>'a26'!H27</f>
        <v>4.1281380517694135</v>
      </c>
      <c r="O29" s="9">
        <f t="shared" si="17"/>
        <v>0.53514865337720685</v>
      </c>
      <c r="P29" s="9">
        <f>'a26'!I27</f>
        <v>3.6831975900926031</v>
      </c>
      <c r="Q29" s="9">
        <f t="shared" si="18"/>
        <v>0.61533782398754433</v>
      </c>
      <c r="R29" s="9">
        <f>'a26'!J27</f>
        <v>3.9009308962424409</v>
      </c>
      <c r="S29" s="9">
        <f t="shared" si="19"/>
        <v>0.57609694854860871</v>
      </c>
      <c r="T29" s="9">
        <f>'a26'!K27</f>
        <v>3.5891277128547583</v>
      </c>
      <c r="U29" s="9">
        <f t="shared" si="20"/>
        <v>0.6322915202342082</v>
      </c>
      <c r="V29" s="9">
        <f>'a26'!L27</f>
        <v>3.8212964275030306</v>
      </c>
      <c r="W29" s="9">
        <f t="shared" si="21"/>
        <v>0.5904490305690715</v>
      </c>
      <c r="X29" s="9"/>
      <c r="Y29" s="9"/>
      <c r="Z29" s="9"/>
      <c r="AA29" s="9"/>
      <c r="AB29" s="9"/>
      <c r="AC29" s="9"/>
      <c r="AD29" s="9"/>
      <c r="AE29" s="9"/>
      <c r="AF29" s="9"/>
      <c r="AG29" s="9"/>
      <c r="AH29" s="9"/>
      <c r="AI29" s="9"/>
      <c r="AJ29" s="9"/>
      <c r="AK29" s="9"/>
      <c r="AL29" s="9"/>
      <c r="AM29" s="9"/>
      <c r="AN29" s="9"/>
      <c r="AO29" s="9"/>
      <c r="AP29" s="9"/>
      <c r="AQ29" s="9"/>
    </row>
    <row r="30" spans="1:43">
      <c r="A30" s="1">
        <v>1994</v>
      </c>
      <c r="B30" s="9">
        <f>'a26'!B28</f>
        <v>4.1010827662365097</v>
      </c>
      <c r="C30" s="9">
        <f t="shared" si="11"/>
        <v>0.54002467858591285</v>
      </c>
      <c r="D30" s="9">
        <f>'a26'!C28</f>
        <v>3.7595505617977523</v>
      </c>
      <c r="E30" s="9">
        <f t="shared" si="12"/>
        <v>0.60157714811734708</v>
      </c>
      <c r="F30" s="9">
        <f>'a26'!D28</f>
        <v>4.8417626439659491</v>
      </c>
      <c r="G30" s="9">
        <f t="shared" si="13"/>
        <v>0.40653602066737976</v>
      </c>
      <c r="H30" s="9">
        <f>'a26'!E28</f>
        <v>4.2089943440474551</v>
      </c>
      <c r="I30" s="9">
        <f t="shared" si="14"/>
        <v>0.52057636882486868</v>
      </c>
      <c r="J30" s="9">
        <f>'a26'!F28</f>
        <v>4.617574037949991</v>
      </c>
      <c r="K30" s="9">
        <f t="shared" si="15"/>
        <v>0.44694029927345907</v>
      </c>
      <c r="L30" s="9">
        <f>'a26'!G28</f>
        <v>4.0604680383226013</v>
      </c>
      <c r="M30" s="9">
        <f t="shared" si="16"/>
        <v>0.54734444746848865</v>
      </c>
      <c r="N30" s="9">
        <f>'a26'!H28</f>
        <v>4.3266524435820397</v>
      </c>
      <c r="O30" s="9">
        <f t="shared" si="17"/>
        <v>0.49937149709504142</v>
      </c>
      <c r="P30" s="9">
        <f>'a26'!I28</f>
        <v>3.7726750232634521</v>
      </c>
      <c r="Q30" s="9">
        <f t="shared" si="18"/>
        <v>0.59921179865985885</v>
      </c>
      <c r="R30" s="9">
        <f>'a26'!J28</f>
        <v>4.1172596414991851</v>
      </c>
      <c r="S30" s="9">
        <f t="shared" si="19"/>
        <v>0.53710920938922047</v>
      </c>
      <c r="T30" s="9">
        <f>'a26'!K28</f>
        <v>3.7045558275590222</v>
      </c>
      <c r="U30" s="9">
        <f t="shared" si="20"/>
        <v>0.61148854639728811</v>
      </c>
      <c r="V30" s="9">
        <f>'a26'!L28</f>
        <v>3.8351021149682829</v>
      </c>
      <c r="W30" s="9">
        <f t="shared" si="21"/>
        <v>0.58796090749891516</v>
      </c>
      <c r="X30" s="9"/>
      <c r="Y30" s="9"/>
      <c r="Z30" s="9"/>
      <c r="AA30" s="9"/>
      <c r="AB30" s="9"/>
      <c r="AC30" s="9"/>
      <c r="AD30" s="9"/>
      <c r="AE30" s="9"/>
      <c r="AF30" s="9"/>
      <c r="AG30" s="9"/>
      <c r="AH30" s="9"/>
      <c r="AI30" s="9"/>
      <c r="AJ30" s="9"/>
      <c r="AK30" s="9"/>
      <c r="AL30" s="9"/>
      <c r="AM30" s="9"/>
      <c r="AN30" s="9"/>
      <c r="AO30" s="9"/>
      <c r="AP30" s="9"/>
      <c r="AQ30" s="9"/>
    </row>
    <row r="31" spans="1:43">
      <c r="A31" s="1">
        <v>1995</v>
      </c>
      <c r="B31" s="9">
        <f>'a26'!B29</f>
        <v>4.112893292377807</v>
      </c>
      <c r="C31" s="9">
        <f t="shared" si="11"/>
        <v>0.53789613246049828</v>
      </c>
      <c r="D31" s="9">
        <f>'a26'!C29</f>
        <v>3.6552787370498274</v>
      </c>
      <c r="E31" s="9">
        <f t="shared" si="12"/>
        <v>0.62036948521577906</v>
      </c>
      <c r="F31" s="9">
        <f>'a26'!D29</f>
        <v>5.0732298739088266</v>
      </c>
      <c r="G31" s="9">
        <f t="shared" si="13"/>
        <v>0.36481995572996839</v>
      </c>
      <c r="H31" s="9">
        <f>'a26'!E29</f>
        <v>4.1962042415237066</v>
      </c>
      <c r="I31" s="9">
        <f t="shared" si="14"/>
        <v>0.52288145861044444</v>
      </c>
      <c r="J31" s="9">
        <f>'a26'!F29</f>
        <v>4.2394943628288351</v>
      </c>
      <c r="K31" s="9">
        <f t="shared" si="15"/>
        <v>0.51507951830140442</v>
      </c>
      <c r="L31" s="9">
        <f>'a26'!G29</f>
        <v>3.9642559630064094</v>
      </c>
      <c r="M31" s="9">
        <f t="shared" si="16"/>
        <v>0.56468422028489929</v>
      </c>
      <c r="N31" s="9">
        <f>'a26'!H29</f>
        <v>4.4973575060208724</v>
      </c>
      <c r="O31" s="9">
        <f t="shared" si="17"/>
        <v>0.46860626319303034</v>
      </c>
      <c r="P31" s="9">
        <f>'a26'!I29</f>
        <v>3.8936260248611481</v>
      </c>
      <c r="Q31" s="9">
        <f t="shared" si="18"/>
        <v>0.57741346531418569</v>
      </c>
      <c r="R31" s="9">
        <f>'a26'!J29</f>
        <v>3.9277633824179996</v>
      </c>
      <c r="S31" s="9">
        <f t="shared" si="19"/>
        <v>0.57126107724186681</v>
      </c>
      <c r="T31" s="9">
        <f>'a26'!K29</f>
        <v>3.6146222550802243</v>
      </c>
      <c r="U31" s="9">
        <f t="shared" si="20"/>
        <v>0.62769677920201294</v>
      </c>
      <c r="V31" s="9">
        <f>'a26'!L29</f>
        <v>3.7240980238983887</v>
      </c>
      <c r="W31" s="9">
        <f t="shared" si="21"/>
        <v>0.60796656390450132</v>
      </c>
      <c r="X31" s="9"/>
      <c r="Y31" s="9"/>
      <c r="Z31" s="9"/>
      <c r="AA31" s="9"/>
      <c r="AB31" s="9"/>
      <c r="AC31" s="9"/>
      <c r="AD31" s="9"/>
      <c r="AE31" s="9"/>
      <c r="AF31" s="9"/>
      <c r="AG31" s="9"/>
      <c r="AH31" s="9"/>
      <c r="AI31" s="9"/>
      <c r="AJ31" s="9"/>
      <c r="AK31" s="9"/>
      <c r="AL31" s="9"/>
      <c r="AM31" s="9"/>
      <c r="AN31" s="9"/>
      <c r="AO31" s="9"/>
      <c r="AP31" s="9"/>
      <c r="AQ31" s="9"/>
    </row>
    <row r="32" spans="1:43">
      <c r="A32" s="1">
        <v>1996</v>
      </c>
      <c r="B32" s="9">
        <f>'a26'!B30</f>
        <v>4.1514296595381053</v>
      </c>
      <c r="C32" s="9">
        <f t="shared" si="11"/>
        <v>0.53095093509797031</v>
      </c>
      <c r="D32" s="9">
        <f>'a26'!C30</f>
        <v>3.4926755978465001</v>
      </c>
      <c r="E32" s="9">
        <f t="shared" si="12"/>
        <v>0.64967455408322483</v>
      </c>
      <c r="F32" s="9">
        <f>'a26'!D30</f>
        <v>5.1241545893719804</v>
      </c>
      <c r="G32" s="9">
        <f t="shared" si="13"/>
        <v>0.35564207453398056</v>
      </c>
      <c r="H32" s="9">
        <f>'a26'!E30</f>
        <v>4.3940989804874748</v>
      </c>
      <c r="I32" s="9">
        <f t="shared" si="14"/>
        <v>0.48721597895087476</v>
      </c>
      <c r="J32" s="9">
        <f>'a26'!F30</f>
        <v>4.1344281723524929</v>
      </c>
      <c r="K32" s="9">
        <f t="shared" si="15"/>
        <v>0.53401501956315611</v>
      </c>
      <c r="L32" s="9">
        <f>'a26'!G30</f>
        <v>3.944576544105991</v>
      </c>
      <c r="M32" s="9">
        <f t="shared" si="16"/>
        <v>0.56823093364463906</v>
      </c>
      <c r="N32" s="9">
        <f>'a26'!H30</f>
        <v>4.5808053971477101</v>
      </c>
      <c r="O32" s="9">
        <f t="shared" si="17"/>
        <v>0.45356690904343311</v>
      </c>
      <c r="P32" s="9">
        <f>'a26'!I30</f>
        <v>4.0238326599498793</v>
      </c>
      <c r="Q32" s="9">
        <f t="shared" si="18"/>
        <v>0.55394704008421336</v>
      </c>
      <c r="R32" s="9">
        <f>'a26'!J30</f>
        <v>3.736710518483243</v>
      </c>
      <c r="S32" s="9">
        <f t="shared" si="19"/>
        <v>0.60569348342026019</v>
      </c>
      <c r="T32" s="9">
        <f>'a26'!K30</f>
        <v>3.6101949025487259</v>
      </c>
      <c r="U32" s="9">
        <f t="shared" si="20"/>
        <v>0.62849469658215518</v>
      </c>
      <c r="V32" s="9">
        <f>'a26'!L30</f>
        <v>3.8095899142998797</v>
      </c>
      <c r="W32" s="9">
        <f t="shared" si="21"/>
        <v>0.59255883101509499</v>
      </c>
      <c r="X32" s="9"/>
      <c r="Y32" s="9"/>
      <c r="Z32" s="9"/>
      <c r="AA32" s="9"/>
      <c r="AB32" s="9"/>
      <c r="AC32" s="9"/>
      <c r="AD32" s="9"/>
      <c r="AE32" s="9"/>
      <c r="AF32" s="9"/>
      <c r="AG32" s="9"/>
      <c r="AH32" s="9"/>
      <c r="AI32" s="9"/>
      <c r="AJ32" s="9"/>
      <c r="AK32" s="9"/>
      <c r="AL32" s="9"/>
      <c r="AM32" s="9"/>
      <c r="AN32" s="9"/>
      <c r="AO32" s="9"/>
      <c r="AP32" s="9"/>
      <c r="AQ32" s="9"/>
    </row>
    <row r="33" spans="1:138">
      <c r="A33" s="1">
        <v>1997</v>
      </c>
      <c r="B33" s="9">
        <f>'a26'!B31</f>
        <v>4.308585668093583</v>
      </c>
      <c r="C33" s="9">
        <f t="shared" si="11"/>
        <v>0.50262757260807234</v>
      </c>
      <c r="D33" s="9">
        <f>'a26'!C31</f>
        <v>3.5757956975720222</v>
      </c>
      <c r="E33" s="9">
        <f t="shared" si="12"/>
        <v>0.63469427597383676</v>
      </c>
      <c r="F33" s="9">
        <f>'a26'!D31</f>
        <v>5.212464589235128</v>
      </c>
      <c r="G33" s="9">
        <f t="shared" si="13"/>
        <v>0.339726449286195</v>
      </c>
      <c r="H33" s="9">
        <f>'a26'!E31</f>
        <v>4.5195548903494505</v>
      </c>
      <c r="I33" s="9">
        <f t="shared" si="14"/>
        <v>0.46460575078217997</v>
      </c>
      <c r="J33" s="9">
        <f>'a26'!F31</f>
        <v>4.5792753864051861</v>
      </c>
      <c r="K33" s="9">
        <f t="shared" si="15"/>
        <v>0.45384265445891081</v>
      </c>
      <c r="L33" s="9">
        <f>'a26'!G31</f>
        <v>4.0790556603000248</v>
      </c>
      <c r="M33" s="9">
        <f t="shared" si="16"/>
        <v>0.54399450265930938</v>
      </c>
      <c r="N33" s="9">
        <f>'a26'!H31</f>
        <v>4.6797871085419747</v>
      </c>
      <c r="O33" s="9">
        <f t="shared" si="17"/>
        <v>0.4357279799597859</v>
      </c>
      <c r="P33" s="9">
        <f>'a26'!I31</f>
        <v>4.3439979523931411</v>
      </c>
      <c r="Q33" s="9">
        <f t="shared" si="18"/>
        <v>0.49624541150566914</v>
      </c>
      <c r="R33" s="9">
        <f>'a26'!J31</f>
        <v>4.2431218416619876</v>
      </c>
      <c r="S33" s="9">
        <f t="shared" si="19"/>
        <v>0.51442575775568822</v>
      </c>
      <c r="T33" s="9">
        <f>'a26'!K31</f>
        <v>3.8560180180180184</v>
      </c>
      <c r="U33" s="9">
        <f t="shared" si="20"/>
        <v>0.58419134940612294</v>
      </c>
      <c r="V33" s="9">
        <f>'a26'!L31</f>
        <v>3.9588134548194835</v>
      </c>
      <c r="W33" s="9">
        <f t="shared" si="21"/>
        <v>0.56566509358175521</v>
      </c>
      <c r="X33" s="9"/>
      <c r="Y33" s="9"/>
      <c r="Z33" s="9"/>
      <c r="AA33" s="9"/>
      <c r="AB33" s="9"/>
      <c r="AC33" s="9"/>
      <c r="AD33" s="9"/>
      <c r="AE33" s="9"/>
      <c r="AF33" s="9"/>
      <c r="AG33" s="9"/>
      <c r="AH33" s="9"/>
      <c r="AI33" s="9"/>
      <c r="AJ33" s="9"/>
      <c r="AK33" s="9"/>
      <c r="AL33" s="9"/>
      <c r="AM33" s="9"/>
      <c r="AN33" s="9"/>
      <c r="AO33" s="9"/>
      <c r="AP33" s="9"/>
      <c r="AQ33" s="9"/>
    </row>
    <row r="34" spans="1:138">
      <c r="A34" s="1">
        <v>1998</v>
      </c>
      <c r="B34" s="9">
        <f>'a26'!B32</f>
        <v>4.3547399106135032</v>
      </c>
      <c r="C34" s="9">
        <f t="shared" si="11"/>
        <v>0.49430944749561828</v>
      </c>
      <c r="D34" s="9">
        <f>'a26'!C32</f>
        <v>4.0029640607632455</v>
      </c>
      <c r="E34" s="9">
        <f t="shared" si="12"/>
        <v>0.55770807286210278</v>
      </c>
      <c r="F34" s="9">
        <f>'a26'!D32</f>
        <v>5.3772621809744781</v>
      </c>
      <c r="G34" s="9">
        <f t="shared" si="13"/>
        <v>0.31002588631568595</v>
      </c>
      <c r="H34" s="9">
        <f>'a26'!E32</f>
        <v>4.7199127454035521</v>
      </c>
      <c r="I34" s="9">
        <f t="shared" si="14"/>
        <v>0.4284963572657845</v>
      </c>
      <c r="J34" s="9">
        <f>'a26'!F32</f>
        <v>4.4012242626599889</v>
      </c>
      <c r="K34" s="9">
        <f t="shared" si="15"/>
        <v>0.48593182855999945</v>
      </c>
      <c r="L34" s="9">
        <f>'a26'!G32</f>
        <v>3.9849226208501349</v>
      </c>
      <c r="M34" s="9">
        <f t="shared" si="16"/>
        <v>0.56095958228382725</v>
      </c>
      <c r="N34" s="9">
        <f>'a26'!H32</f>
        <v>4.7757083236125153</v>
      </c>
      <c r="O34" s="9">
        <f t="shared" si="17"/>
        <v>0.41844062728465531</v>
      </c>
      <c r="P34" s="9">
        <f>'a26'!I32</f>
        <v>4.3555512214149879</v>
      </c>
      <c r="Q34" s="9">
        <f t="shared" si="18"/>
        <v>0.49416322941503937</v>
      </c>
      <c r="R34" s="9">
        <f>'a26'!J32</f>
        <v>4.0136504530281361</v>
      </c>
      <c r="S34" s="9">
        <f t="shared" si="19"/>
        <v>0.55578212319839082</v>
      </c>
      <c r="T34" s="9">
        <f>'a26'!K32</f>
        <v>3.8107087840468576</v>
      </c>
      <c r="U34" s="9">
        <f t="shared" si="20"/>
        <v>0.59235718327846743</v>
      </c>
      <c r="V34" s="9">
        <f>'a26'!L32</f>
        <v>4.1711028660536646</v>
      </c>
      <c r="W34" s="9">
        <f t="shared" si="21"/>
        <v>0.52740534136216277</v>
      </c>
      <c r="X34" s="9"/>
      <c r="Y34" s="9"/>
      <c r="Z34" s="9"/>
      <c r="AA34" s="9"/>
      <c r="AB34" s="9"/>
      <c r="AC34" s="9"/>
      <c r="AD34" s="9"/>
      <c r="AE34" s="9"/>
      <c r="AF34" s="9"/>
      <c r="AG34" s="9"/>
      <c r="AH34" s="9"/>
      <c r="AI34" s="9"/>
      <c r="AJ34" s="9"/>
      <c r="AK34" s="9"/>
      <c r="AL34" s="9"/>
      <c r="AM34" s="9"/>
      <c r="AN34" s="9"/>
      <c r="AO34" s="9"/>
      <c r="AP34" s="9"/>
      <c r="AQ34" s="9"/>
    </row>
    <row r="35" spans="1:138">
      <c r="A35" s="1">
        <v>1999</v>
      </c>
      <c r="B35" s="9">
        <f>'a26'!B33</f>
        <v>4.5282820133942279</v>
      </c>
      <c r="C35" s="9">
        <f t="shared" si="11"/>
        <v>0.46303290942687209</v>
      </c>
      <c r="D35" s="9">
        <f>'a26'!C33</f>
        <v>3.9440200525185007</v>
      </c>
      <c r="E35" s="9">
        <f t="shared" si="12"/>
        <v>0.56833122706071615</v>
      </c>
      <c r="F35" s="9">
        <f>'a26'!D33</f>
        <v>5.2824360105913506</v>
      </c>
      <c r="G35" s="9">
        <f t="shared" si="13"/>
        <v>0.32711588511354944</v>
      </c>
      <c r="H35" s="9">
        <f>'a26'!E33</f>
        <v>4.5500089142449633</v>
      </c>
      <c r="I35" s="9">
        <f t="shared" si="14"/>
        <v>0.45911718966385573</v>
      </c>
      <c r="J35" s="9">
        <f>'a26'!F33</f>
        <v>4.6022442944878312</v>
      </c>
      <c r="K35" s="9">
        <f t="shared" si="15"/>
        <v>0.44970309456806351</v>
      </c>
      <c r="L35" s="9">
        <f>'a26'!G33</f>
        <v>4.2349247764655624</v>
      </c>
      <c r="M35" s="9">
        <f t="shared" si="16"/>
        <v>0.51590306970224176</v>
      </c>
      <c r="N35" s="9">
        <f>'a26'!H33</f>
        <v>4.9290436478028639</v>
      </c>
      <c r="O35" s="9">
        <f t="shared" si="17"/>
        <v>0.39080584571016558</v>
      </c>
      <c r="P35" s="9">
        <f>'a26'!I33</f>
        <v>4.6360668149339892</v>
      </c>
      <c r="Q35" s="9">
        <f t="shared" si="18"/>
        <v>0.44360744785545092</v>
      </c>
      <c r="R35" s="9">
        <f>'a26'!J33</f>
        <v>4.1391219957755316</v>
      </c>
      <c r="S35" s="9">
        <f t="shared" si="19"/>
        <v>0.53316907760079479</v>
      </c>
      <c r="T35" s="9">
        <f>'a26'!K33</f>
        <v>4.1068639340286195</v>
      </c>
      <c r="U35" s="9">
        <f t="shared" si="20"/>
        <v>0.53898277053227928</v>
      </c>
      <c r="V35" s="9">
        <f>'a26'!L33</f>
        <v>4.2626207823076534</v>
      </c>
      <c r="W35" s="9">
        <f t="shared" si="21"/>
        <v>0.51091157099851292</v>
      </c>
      <c r="X35" s="9"/>
      <c r="Y35" s="9"/>
      <c r="Z35" s="9"/>
      <c r="AA35" s="9"/>
      <c r="AB35" s="9"/>
      <c r="AC35" s="9"/>
      <c r="AD35" s="9"/>
      <c r="AE35" s="9"/>
      <c r="AF35" s="9"/>
      <c r="AG35" s="9"/>
      <c r="AH35" s="9"/>
      <c r="AI35" s="9"/>
      <c r="AJ35" s="9"/>
      <c r="AK35" s="9"/>
      <c r="AL35" s="9"/>
      <c r="AM35" s="9"/>
      <c r="AN35" s="9"/>
      <c r="AO35" s="9"/>
      <c r="AP35" s="9"/>
      <c r="AQ35" s="9"/>
    </row>
    <row r="36" spans="1:138">
      <c r="A36" s="1">
        <v>2000</v>
      </c>
      <c r="B36" s="9">
        <f>'a26'!B34</f>
        <v>4.5594488145886203</v>
      </c>
      <c r="C36" s="9">
        <f t="shared" si="11"/>
        <v>0.45741588837884933</v>
      </c>
      <c r="D36" s="9">
        <f>'a26'!C34</f>
        <v>4.1927917620137301</v>
      </c>
      <c r="E36" s="9">
        <f t="shared" si="12"/>
        <v>0.52349647101142616</v>
      </c>
      <c r="F36" s="9">
        <f>'a26'!D34</f>
        <v>5.1095041322314048</v>
      </c>
      <c r="G36" s="9">
        <f t="shared" si="13"/>
        <v>0.35828244579340179</v>
      </c>
      <c r="H36" s="9">
        <f>'a26'!E34</f>
        <v>4.8839438548442322</v>
      </c>
      <c r="I36" s="9">
        <f t="shared" si="14"/>
        <v>0.39893393318151255</v>
      </c>
      <c r="J36" s="9">
        <f>'a26'!F34</f>
        <v>4.651274581209031</v>
      </c>
      <c r="K36" s="9">
        <f t="shared" si="15"/>
        <v>0.44086663583796065</v>
      </c>
      <c r="L36" s="9">
        <f>'a26'!G34</f>
        <v>4.2436277926688177</v>
      </c>
      <c r="M36" s="9">
        <f t="shared" si="16"/>
        <v>0.51433457299030572</v>
      </c>
      <c r="N36" s="9">
        <f>'a26'!H34</f>
        <v>4.9085769422123056</v>
      </c>
      <c r="O36" s="9">
        <f t="shared" si="17"/>
        <v>0.39449444741711698</v>
      </c>
      <c r="P36" s="9">
        <f>'a26'!I34</f>
        <v>4.7073115555153384</v>
      </c>
      <c r="Q36" s="9">
        <f t="shared" si="18"/>
        <v>0.43076740036676731</v>
      </c>
      <c r="R36" s="9">
        <f>'a26'!J34</f>
        <v>4.2552372573816459</v>
      </c>
      <c r="S36" s="9">
        <f t="shared" si="19"/>
        <v>0.51224226305957199</v>
      </c>
      <c r="T36" s="9">
        <f>'a26'!K34</f>
        <v>4.1641392535772237</v>
      </c>
      <c r="U36" s="9">
        <f t="shared" si="20"/>
        <v>0.52866035491348873</v>
      </c>
      <c r="V36" s="9">
        <f>'a26'!L34</f>
        <v>4.3424866607245329</v>
      </c>
      <c r="W36" s="9">
        <f t="shared" si="21"/>
        <v>0.49651778328547824</v>
      </c>
      <c r="X36" s="9"/>
      <c r="Y36" s="9"/>
      <c r="Z36" s="9"/>
      <c r="AA36" s="9"/>
      <c r="AB36" s="9"/>
      <c r="AC36" s="9"/>
      <c r="AD36" s="9"/>
      <c r="AE36" s="9"/>
      <c r="AF36" s="9"/>
      <c r="AG36" s="9"/>
      <c r="AH36" s="9"/>
      <c r="AI36" s="9"/>
      <c r="AJ36" s="9"/>
      <c r="AK36" s="9"/>
      <c r="AL36" s="9"/>
      <c r="AM36" s="9"/>
      <c r="AN36" s="9"/>
      <c r="AO36" s="9"/>
      <c r="AP36" s="9"/>
      <c r="AQ36" s="9"/>
    </row>
    <row r="37" spans="1:138">
      <c r="A37" s="1">
        <v>2001</v>
      </c>
      <c r="B37" s="9">
        <f>'a26'!B35</f>
        <v>4.7909685652633902</v>
      </c>
      <c r="C37" s="9">
        <f t="shared" si="11"/>
        <v>0.4156903579189849</v>
      </c>
      <c r="D37" s="9">
        <f>'a26'!C35</f>
        <v>4.2308029837648098</v>
      </c>
      <c r="E37" s="9">
        <f t="shared" si="12"/>
        <v>0.51664591771578383</v>
      </c>
      <c r="F37" s="9">
        <f>'a26'!D35</f>
        <v>5.9773003648155658</v>
      </c>
      <c r="G37" s="9">
        <f t="shared" si="13"/>
        <v>0.20188430684364353</v>
      </c>
      <c r="H37" s="9">
        <f>'a26'!E35</f>
        <v>5.0855125234469822</v>
      </c>
      <c r="I37" s="9">
        <f t="shared" si="14"/>
        <v>0.36260632140314114</v>
      </c>
      <c r="J37" s="9">
        <f>'a26'!F35</f>
        <v>5.1373614738476734</v>
      </c>
      <c r="K37" s="9">
        <f t="shared" si="15"/>
        <v>0.35326187043102891</v>
      </c>
      <c r="L37" s="9">
        <f>'a26'!G35</f>
        <v>4.5094395381602013</v>
      </c>
      <c r="M37" s="9">
        <f t="shared" si="16"/>
        <v>0.46642878503586521</v>
      </c>
      <c r="N37" s="9">
        <f>'a26'!H35</f>
        <v>5.1477675368799778</v>
      </c>
      <c r="O37" s="9">
        <f t="shared" si="17"/>
        <v>0.35138644296207128</v>
      </c>
      <c r="P37" s="9">
        <f>'a26'!I35</f>
        <v>5.1058152694350136</v>
      </c>
      <c r="Q37" s="9">
        <f t="shared" si="18"/>
        <v>0.35894726923297648</v>
      </c>
      <c r="R37" s="9">
        <f>'a26'!J35</f>
        <v>4.7021196063588189</v>
      </c>
      <c r="S37" s="9">
        <f t="shared" si="19"/>
        <v>0.43170311678856299</v>
      </c>
      <c r="T37" s="9">
        <f>'a26'!K35</f>
        <v>4.3134176209704114</v>
      </c>
      <c r="U37" s="9">
        <f t="shared" si="20"/>
        <v>0.50175673633447093</v>
      </c>
      <c r="V37" s="9">
        <f>'a26'!L35</f>
        <v>4.4712768949514832</v>
      </c>
      <c r="W37" s="9">
        <f t="shared" si="21"/>
        <v>0.47330662818744668</v>
      </c>
      <c r="X37" s="9"/>
      <c r="Y37" s="9"/>
      <c r="Z37" s="9"/>
      <c r="AA37" s="9"/>
      <c r="AB37" s="9"/>
      <c r="AC37" s="9"/>
      <c r="AD37" s="9"/>
      <c r="AE37" s="9"/>
      <c r="AF37" s="9"/>
      <c r="AG37" s="9"/>
      <c r="AH37" s="9"/>
      <c r="AI37" s="9"/>
      <c r="AJ37" s="9"/>
      <c r="AK37" s="9"/>
      <c r="AL37" s="9"/>
      <c r="AM37" s="9"/>
      <c r="AN37" s="9"/>
      <c r="AO37" s="9"/>
      <c r="AP37" s="9"/>
      <c r="AQ37" s="9"/>
    </row>
    <row r="38" spans="1:138">
      <c r="A38" s="1">
        <v>2002</v>
      </c>
      <c r="B38" s="9">
        <f>'a26'!B36</f>
        <v>5.0427328136482181</v>
      </c>
      <c r="C38" s="9">
        <f t="shared" si="11"/>
        <v>0.37031627305551662</v>
      </c>
      <c r="D38" s="9">
        <f>'a26'!C36</f>
        <v>4.4233024197846706</v>
      </c>
      <c r="E38" s="9">
        <f t="shared" si="12"/>
        <v>0.48195280381192218</v>
      </c>
      <c r="F38" s="9">
        <f>'a26'!D36</f>
        <v>5.3633921719109754</v>
      </c>
      <c r="G38" s="9">
        <f t="shared" si="13"/>
        <v>0.31252560171349125</v>
      </c>
      <c r="H38" s="9">
        <f>'a26'!E36</f>
        <v>5.5441255221163113</v>
      </c>
      <c r="I38" s="9">
        <f t="shared" si="14"/>
        <v>0.27995302469953415</v>
      </c>
      <c r="J38" s="9">
        <f>'a26'!F36</f>
        <v>5.4314917127071825</v>
      </c>
      <c r="K38" s="9">
        <f t="shared" si="15"/>
        <v>0.30025239627199729</v>
      </c>
      <c r="L38" s="9">
        <f>'a26'!G36</f>
        <v>4.6613441670891742</v>
      </c>
      <c r="M38" s="9">
        <f t="shared" si="16"/>
        <v>0.43905184979428374</v>
      </c>
      <c r="N38" s="9">
        <f>'a26'!H36</f>
        <v>5.5590943003139115</v>
      </c>
      <c r="O38" s="9">
        <f t="shared" si="17"/>
        <v>0.27725528418793388</v>
      </c>
      <c r="P38" s="9">
        <f>'a26'!I36</f>
        <v>5.172818650223836</v>
      </c>
      <c r="Q38" s="9">
        <f t="shared" si="18"/>
        <v>0.34687161867672972</v>
      </c>
      <c r="R38" s="9">
        <f>'a26'!J36</f>
        <v>4.7193028505433361</v>
      </c>
      <c r="S38" s="9">
        <f t="shared" si="19"/>
        <v>0.42860627525979189</v>
      </c>
      <c r="T38" s="9">
        <f>'a26'!K36</f>
        <v>4.3223701850031278</v>
      </c>
      <c r="U38" s="9">
        <f t="shared" si="20"/>
        <v>0.50014326499065564</v>
      </c>
      <c r="V38" s="9">
        <f>'a26'!L36</f>
        <v>4.6984784522653902</v>
      </c>
      <c r="W38" s="9">
        <f t="shared" si="21"/>
        <v>0.43235934195117492</v>
      </c>
      <c r="X38" s="9"/>
      <c r="Y38" s="9"/>
      <c r="Z38" s="9"/>
      <c r="AA38" s="9"/>
      <c r="AB38" s="9"/>
      <c r="AC38" s="9"/>
      <c r="AD38" s="9"/>
      <c r="AE38" s="9"/>
      <c r="AF38" s="9"/>
      <c r="AG38" s="9"/>
      <c r="AH38" s="9"/>
      <c r="AI38" s="9"/>
      <c r="AJ38" s="9"/>
      <c r="AK38" s="9"/>
      <c r="AL38" s="9"/>
      <c r="AM38" s="9"/>
      <c r="AN38" s="9"/>
      <c r="AO38" s="9"/>
      <c r="AP38" s="9"/>
      <c r="AQ38" s="9"/>
    </row>
    <row r="39" spans="1:138">
      <c r="A39" s="1">
        <v>2003</v>
      </c>
      <c r="B39" s="9">
        <f>'a26'!B37</f>
        <v>5.1146569004862288</v>
      </c>
      <c r="C39" s="9">
        <f t="shared" si="11"/>
        <v>0.35735379072988066</v>
      </c>
      <c r="D39" s="9">
        <f>'a26'!C37</f>
        <v>4.8022101708789524</v>
      </c>
      <c r="E39" s="9">
        <f t="shared" si="12"/>
        <v>0.4136643452087827</v>
      </c>
      <c r="F39" s="9">
        <f>'a26'!D37</f>
        <v>6.122201138519924</v>
      </c>
      <c r="G39" s="9">
        <f t="shared" si="13"/>
        <v>0.17576963788240921</v>
      </c>
      <c r="H39" s="9">
        <f>'a26'!E37</f>
        <v>5.7615352567440885</v>
      </c>
      <c r="I39" s="9">
        <f t="shared" si="14"/>
        <v>0.24077046477519437</v>
      </c>
      <c r="J39" s="9">
        <f>'a26'!F37</f>
        <v>5.5959273308045514</v>
      </c>
      <c r="K39" s="9">
        <f t="shared" si="15"/>
        <v>0.27061706981880534</v>
      </c>
      <c r="L39" s="9">
        <f>'a26'!G37</f>
        <v>4.7895330021470439</v>
      </c>
      <c r="M39" s="9">
        <f t="shared" si="16"/>
        <v>0.41594908155860344</v>
      </c>
      <c r="N39" s="9">
        <f>'a26'!H37</f>
        <v>5.5809833879357562</v>
      </c>
      <c r="O39" s="9">
        <f t="shared" si="17"/>
        <v>0.27331033439578012</v>
      </c>
      <c r="P39" s="9">
        <f>'a26'!I37</f>
        <v>5.1748240301194954</v>
      </c>
      <c r="Q39" s="9">
        <f t="shared" si="18"/>
        <v>0.34651020009504901</v>
      </c>
      <c r="R39" s="9">
        <f>'a26'!J37</f>
        <v>4.7990908192509139</v>
      </c>
      <c r="S39" s="9">
        <f t="shared" si="19"/>
        <v>0.41422652878487676</v>
      </c>
      <c r="T39" s="9">
        <f>'a26'!K37</f>
        <v>4.3483927656147028</v>
      </c>
      <c r="U39" s="9">
        <f t="shared" si="20"/>
        <v>0.49545335850627176</v>
      </c>
      <c r="V39" s="9">
        <f>'a26'!L37</f>
        <v>4.814119447024753</v>
      </c>
      <c r="W39" s="9">
        <f t="shared" si="21"/>
        <v>0.41151800191354221</v>
      </c>
    </row>
    <row r="40" spans="1:138">
      <c r="A40" s="1">
        <v>2004</v>
      </c>
      <c r="B40" s="9">
        <f>'a26'!B38</f>
        <v>5.1754643887531531</v>
      </c>
      <c r="C40" s="9">
        <f t="shared" si="11"/>
        <v>0.34639479178281629</v>
      </c>
      <c r="D40" s="9">
        <f>'a26'!C38</f>
        <v>5.0413354531001593</v>
      </c>
      <c r="E40" s="9">
        <f t="shared" si="12"/>
        <v>0.37056811165650638</v>
      </c>
      <c r="F40" s="9">
        <f>'a26'!D38</f>
        <v>5.9570484581497798</v>
      </c>
      <c r="G40" s="9">
        <f t="shared" si="13"/>
        <v>0.20553419652256186</v>
      </c>
      <c r="H40" s="9">
        <f>'a26'!E38</f>
        <v>5.6306382555013448</v>
      </c>
      <c r="I40" s="9">
        <f t="shared" si="14"/>
        <v>0.26436131089756892</v>
      </c>
      <c r="J40" s="9">
        <f>'a26'!F38</f>
        <v>5.4707966841738909</v>
      </c>
      <c r="K40" s="9">
        <f t="shared" si="15"/>
        <v>0.29316867758545601</v>
      </c>
      <c r="L40" s="9">
        <f>'a26'!G38</f>
        <v>4.7246292018263958</v>
      </c>
      <c r="M40" s="9">
        <f t="shared" si="16"/>
        <v>0.42764633628243248</v>
      </c>
      <c r="N40" s="9">
        <f>'a26'!H38</f>
        <v>5.7289863578731648</v>
      </c>
      <c r="O40" s="9">
        <f t="shared" si="17"/>
        <v>0.24663657368087305</v>
      </c>
      <c r="P40" s="9">
        <f>'a26'!I38</f>
        <v>5.1374111063614816</v>
      </c>
      <c r="Q40" s="9">
        <f t="shared" si="18"/>
        <v>0.35325292543622533</v>
      </c>
      <c r="R40" s="9">
        <f>'a26'!J38</f>
        <v>4.6654485656860958</v>
      </c>
      <c r="S40" s="9">
        <f t="shared" si="19"/>
        <v>0.43831213662434404</v>
      </c>
      <c r="T40" s="9">
        <f>'a26'!K38</f>
        <v>4.3868752512394478</v>
      </c>
      <c r="U40" s="9">
        <f t="shared" si="20"/>
        <v>0.48851787191635132</v>
      </c>
      <c r="V40" s="9">
        <f>'a26'!L38</f>
        <v>4.9948917990155097</v>
      </c>
      <c r="W40" s="9">
        <f t="shared" si="21"/>
        <v>0.37893839582245092</v>
      </c>
    </row>
    <row r="41" spans="1:138">
      <c r="A41" s="1">
        <v>2005</v>
      </c>
      <c r="B41" s="9">
        <f>'a26'!B39</f>
        <v>5.2743730398643285</v>
      </c>
      <c r="C41" s="9">
        <f t="shared" si="11"/>
        <v>0.32856902995189186</v>
      </c>
      <c r="D41" s="9">
        <f>'a26'!C39</f>
        <v>5.3047471720003863</v>
      </c>
      <c r="E41" s="9">
        <f t="shared" si="12"/>
        <v>0.32309486728567771</v>
      </c>
      <c r="F41" s="9">
        <f>'a26'!D39</f>
        <v>5.7501761804087383</v>
      </c>
      <c r="G41" s="9">
        <f t="shared" si="13"/>
        <v>0.24281764858670593</v>
      </c>
      <c r="H41" s="9">
        <f>'a26'!E39</f>
        <v>5.7321002955477169</v>
      </c>
      <c r="I41" s="9">
        <f t="shared" si="14"/>
        <v>0.24607536583181933</v>
      </c>
      <c r="J41" s="9">
        <f>'a26'!F39</f>
        <v>6.0368030423848369</v>
      </c>
      <c r="K41" s="9">
        <f t="shared" si="15"/>
        <v>0.19116046674739259</v>
      </c>
      <c r="L41" s="9">
        <f>'a26'!G39</f>
        <v>4.968201261678697</v>
      </c>
      <c r="M41" s="9">
        <f t="shared" si="16"/>
        <v>0.38374868447122279</v>
      </c>
      <c r="N41" s="9">
        <f>'a26'!H39</f>
        <v>5.8447700824271145</v>
      </c>
      <c r="O41" s="9">
        <f t="shared" si="17"/>
        <v>0.22576951023789715</v>
      </c>
      <c r="P41" s="9">
        <f>'a26'!I39</f>
        <v>5.3265514502893012</v>
      </c>
      <c r="Q41" s="9">
        <f t="shared" si="18"/>
        <v>0.31916520221283678</v>
      </c>
      <c r="R41" s="9">
        <f>'a26'!J39</f>
        <v>4.7406638067283815</v>
      </c>
      <c r="S41" s="9">
        <f t="shared" si="19"/>
        <v>0.42475650768984058</v>
      </c>
      <c r="T41" s="9">
        <f>'a26'!K39</f>
        <v>4.2388099079626986</v>
      </c>
      <c r="U41" s="9">
        <f t="shared" si="20"/>
        <v>0.51520287383492647</v>
      </c>
      <c r="V41" s="9">
        <f>'a26'!L39</f>
        <v>4.9626349403162786</v>
      </c>
      <c r="W41" s="9">
        <f t="shared" si="21"/>
        <v>0.3847518719352731</v>
      </c>
    </row>
    <row r="42" spans="1:138">
      <c r="A42" s="1">
        <v>2006</v>
      </c>
      <c r="B42" s="9">
        <f>'a26'!B40</f>
        <v>5.3499970698203212</v>
      </c>
      <c r="C42" s="9">
        <f t="shared" si="11"/>
        <v>0.31493972724130309</v>
      </c>
      <c r="D42" s="9">
        <f>'a26'!C40</f>
        <v>4.320740169622205</v>
      </c>
      <c r="E42" s="9">
        <f t="shared" si="12"/>
        <v>0.50043703369172121</v>
      </c>
      <c r="F42" s="9">
        <f>'a26'!D40</f>
        <v>6.2954393024815554</v>
      </c>
      <c r="G42" s="9">
        <f t="shared" si="13"/>
        <v>0.14454787703425459</v>
      </c>
      <c r="H42" s="9">
        <f>'a26'!E40</f>
        <v>6.0669010868572473</v>
      </c>
      <c r="I42" s="9">
        <f t="shared" si="14"/>
        <v>0.18573606184130709</v>
      </c>
      <c r="J42" s="9">
        <f>'a26'!F40</f>
        <v>6.2021758306380477</v>
      </c>
      <c r="K42" s="9">
        <f t="shared" si="15"/>
        <v>0.16135623927487214</v>
      </c>
      <c r="L42" s="9">
        <f>'a26'!G40</f>
        <v>5.0507000128340334</v>
      </c>
      <c r="M42" s="9">
        <f t="shared" si="16"/>
        <v>0.36888038859495265</v>
      </c>
      <c r="N42" s="9">
        <f>'a26'!H40</f>
        <v>5.8506336770889611</v>
      </c>
      <c r="O42" s="9">
        <f t="shared" si="17"/>
        <v>0.22471274684317982</v>
      </c>
      <c r="P42" s="9">
        <f>'a26'!I40</f>
        <v>5.4115495258727853</v>
      </c>
      <c r="Q42" s="9">
        <f t="shared" si="18"/>
        <v>0.30384646685029471</v>
      </c>
      <c r="R42" s="9">
        <f>'a26'!J40</f>
        <v>4.9883840991223538</v>
      </c>
      <c r="S42" s="9">
        <f t="shared" si="19"/>
        <v>0.38011124275807578</v>
      </c>
      <c r="T42" s="9">
        <f>'a26'!K40</f>
        <v>4.3486520861312963</v>
      </c>
      <c r="U42" s="9">
        <f t="shared" si="20"/>
        <v>0.49540662259677615</v>
      </c>
      <c r="V42" s="9">
        <f>'a26'!L40</f>
        <v>5.2806559922017442</v>
      </c>
      <c r="W42" s="9">
        <f t="shared" si="21"/>
        <v>0.3274366880313056</v>
      </c>
    </row>
    <row r="43" spans="1:138">
      <c r="A43" s="1">
        <v>2007</v>
      </c>
      <c r="B43" s="9">
        <f>'a26'!B41</f>
        <v>5.2970584516555501</v>
      </c>
      <c r="C43" s="9">
        <f t="shared" si="11"/>
        <v>0.32448056303738276</v>
      </c>
      <c r="D43" s="9">
        <f>'a26'!C41</f>
        <v>5.0040415246849985</v>
      </c>
      <c r="E43" s="9">
        <f t="shared" si="12"/>
        <v>0.37728939112194931</v>
      </c>
      <c r="F43" s="9">
        <f>'a26'!D41</f>
        <v>6.0475120385232746</v>
      </c>
      <c r="G43" s="9">
        <f t="shared" si="13"/>
        <v>0.1892304433119551</v>
      </c>
      <c r="H43" s="9">
        <f>'a26'!E41</f>
        <v>6.1510150622134914</v>
      </c>
      <c r="I43" s="9">
        <f t="shared" si="14"/>
        <v>0.17057666299694005</v>
      </c>
      <c r="J43" s="9">
        <f>'a26'!F41</f>
        <v>6.0395350143202107</v>
      </c>
      <c r="K43" s="9">
        <f t="shared" si="15"/>
        <v>0.19066809848130431</v>
      </c>
      <c r="L43" s="9">
        <f>'a26'!G41</f>
        <v>5.0088090872689719</v>
      </c>
      <c r="M43" s="9">
        <f t="shared" si="16"/>
        <v>0.37643015955644743</v>
      </c>
      <c r="N43" s="9">
        <f>'a26'!H41</f>
        <v>5.892148520106832</v>
      </c>
      <c r="O43" s="9">
        <f t="shared" si="17"/>
        <v>0.21723075516933757</v>
      </c>
      <c r="P43" s="9">
        <f>'a26'!I41</f>
        <v>5.2648383545190667</v>
      </c>
      <c r="Q43" s="9">
        <f t="shared" si="18"/>
        <v>0.33028741381607374</v>
      </c>
      <c r="R43" s="9">
        <f>'a26'!J41</f>
        <v>4.7755776876746845</v>
      </c>
      <c r="S43" s="9">
        <f t="shared" si="19"/>
        <v>0.41846417108075573</v>
      </c>
      <c r="T43" s="9">
        <f>'a26'!K41</f>
        <v>4.242069474029166</v>
      </c>
      <c r="U43" s="9">
        <f t="shared" si="20"/>
        <v>0.5146154201822859</v>
      </c>
      <c r="V43" s="9">
        <f>'a26'!L41</f>
        <v>4.9812918806762134</v>
      </c>
      <c r="W43" s="9">
        <f t="shared" si="21"/>
        <v>0.38138943425551808</v>
      </c>
    </row>
    <row r="44" spans="1:138">
      <c r="A44" s="1">
        <v>2008</v>
      </c>
      <c r="B44" s="9">
        <f>'a26'!B42</f>
        <v>5.3423491075152398</v>
      </c>
      <c r="C44" s="9">
        <f t="shared" si="11"/>
        <v>0.31631807739582118</v>
      </c>
      <c r="D44" s="9">
        <f>'a26'!C42</f>
        <v>5.1121645508597133</v>
      </c>
      <c r="E44" s="9">
        <f t="shared" si="12"/>
        <v>0.35780297318604132</v>
      </c>
      <c r="F44" s="9">
        <f>'a26'!D42</f>
        <v>6.0119485294117645</v>
      </c>
      <c r="G44" s="9">
        <f t="shared" si="13"/>
        <v>0.19563985882992754</v>
      </c>
      <c r="H44" s="9">
        <f>'a26'!E42</f>
        <v>6.2244479759116764</v>
      </c>
      <c r="I44" s="9">
        <f t="shared" si="14"/>
        <v>0.15734225311035355</v>
      </c>
      <c r="J44" s="9">
        <f>'a26'!F42</f>
        <v>6.0475838003595221</v>
      </c>
      <c r="K44" s="9">
        <f t="shared" si="15"/>
        <v>0.18921751007116042</v>
      </c>
      <c r="L44" s="9">
        <f>'a26'!G42</f>
        <v>5.140233874009807</v>
      </c>
      <c r="M44" s="9">
        <f t="shared" si="16"/>
        <v>0.35274419355849984</v>
      </c>
      <c r="N44" s="9">
        <f>'a26'!H42</f>
        <v>5.9144455921464649</v>
      </c>
      <c r="O44" s="9">
        <f t="shared" si="17"/>
        <v>0.21321227659097028</v>
      </c>
      <c r="P44" s="9">
        <f>'a26'!I42</f>
        <v>5.3339580209895052</v>
      </c>
      <c r="Q44" s="9">
        <f t="shared" si="18"/>
        <v>0.31783035673873022</v>
      </c>
      <c r="R44" s="9">
        <f>'a26'!J42</f>
        <v>4.1304871117649027</v>
      </c>
      <c r="S44" s="9">
        <f t="shared" si="19"/>
        <v>0.53472529522262968</v>
      </c>
      <c r="T44" s="9">
        <f>'a26'!K42</f>
        <v>4.2150599101911261</v>
      </c>
      <c r="U44" s="9">
        <f t="shared" si="20"/>
        <v>0.51948320522156299</v>
      </c>
      <c r="V44" s="9">
        <f>'a26'!L42</f>
        <v>5.2835354530334104</v>
      </c>
      <c r="W44" s="9">
        <f t="shared" si="21"/>
        <v>0.32691773865316615</v>
      </c>
    </row>
    <row r="45" spans="1:138">
      <c r="A45" s="1">
        <v>2009</v>
      </c>
      <c r="B45" s="9">
        <f>'a26'!B43</f>
        <v>5.5429171482185691</v>
      </c>
      <c r="C45" s="9">
        <f t="shared" ref="C45" si="22">(C$59-B45)/C$61</f>
        <v>0.28017080327665422</v>
      </c>
      <c r="D45" s="9">
        <f>'a26'!C43</f>
        <v>4.935860500379075</v>
      </c>
      <c r="E45" s="9">
        <f t="shared" ref="E45" si="23">(C$59-D45)/C$61</f>
        <v>0.38957728188794261</v>
      </c>
      <c r="F45" s="9">
        <f>'a26'!D43</f>
        <v>6.1113730111962283</v>
      </c>
      <c r="G45" s="9">
        <f t="shared" ref="G45" si="24">(C$59-F45)/C$61</f>
        <v>0.1777211316757091</v>
      </c>
      <c r="H45" s="9">
        <f>'a26'!E43</f>
        <v>6.562690634023344</v>
      </c>
      <c r="I45" s="9">
        <f t="shared" ref="I45" si="25">(C$59-H45)/C$61</f>
        <v>9.6382640408930881E-2</v>
      </c>
      <c r="J45" s="9">
        <f>'a26'!F43</f>
        <v>6.4251827616175037</v>
      </c>
      <c r="K45" s="9">
        <f t="shared" ref="K45" si="26">(C$59-J45)/C$61</f>
        <v>0.12116492745709288</v>
      </c>
      <c r="L45" s="9">
        <f>'a26'!G43</f>
        <v>5.354910418537548</v>
      </c>
      <c r="M45" s="9">
        <f t="shared" ref="M45" si="27">(C$59-L45)/C$61</f>
        <v>0.31405422144336115</v>
      </c>
      <c r="N45" s="9">
        <f>'a26'!H43</f>
        <v>6.1773207754451303</v>
      </c>
      <c r="O45" s="9">
        <f t="shared" ref="O45" si="28">(C$59-N45)/C$61</f>
        <v>0.16583572907870556</v>
      </c>
      <c r="P45" s="9">
        <f>'a26'!I43</f>
        <v>5.4510891089108906</v>
      </c>
      <c r="Q45" s="9">
        <f t="shared" ref="Q45" si="29">(C$59-P45)/C$61</f>
        <v>0.29672046541146113</v>
      </c>
      <c r="R45" s="9">
        <f>'a26'!J43</f>
        <v>4.3760525707492652</v>
      </c>
      <c r="S45" s="9">
        <f t="shared" ref="S45" si="30">(C$59-R45)/C$61</f>
        <v>0.49046838405682464</v>
      </c>
      <c r="T45" s="9">
        <f>'a26'!K43</f>
        <v>4.3358614259922454</v>
      </c>
      <c r="U45" s="9">
        <f t="shared" ref="U45" si="31">(C$59-T45)/C$61</f>
        <v>0.49771181287828892</v>
      </c>
      <c r="V45" s="9">
        <f>'a26'!L43</f>
        <v>5.3662380655375905</v>
      </c>
      <c r="W45" s="9">
        <f t="shared" ref="W45" si="32">(C$59-V45)/C$61</f>
        <v>0.31201270196797593</v>
      </c>
    </row>
    <row r="46" spans="1:138">
      <c r="A46" s="1">
        <v>2010</v>
      </c>
      <c r="B46" s="9">
        <f>'a26'!B44</f>
        <v>5.5850573293625381</v>
      </c>
      <c r="C46" s="9">
        <f t="shared" ref="C46" si="33">(C$59-B46)/C$61</f>
        <v>0.27257611035398904</v>
      </c>
      <c r="D46" s="9">
        <f>'a26'!C44</f>
        <v>4.9097844378473905</v>
      </c>
      <c r="E46" s="9">
        <f t="shared" ref="E46" si="34">(C$59-D46)/C$61</f>
        <v>0.39427682712444195</v>
      </c>
      <c r="F46" s="9">
        <f>'a26'!D44</f>
        <v>5.9298968436545145</v>
      </c>
      <c r="G46" s="9">
        <f t="shared" ref="G46" si="35">(C$59-F46)/C$61</f>
        <v>0.21042758256999314</v>
      </c>
      <c r="H46" s="9">
        <f>'a26'!E44</f>
        <v>6.6350964797327689</v>
      </c>
      <c r="I46" s="9">
        <f t="shared" ref="I46" si="36">(C$59-H46)/C$61</f>
        <v>8.3333333333333301E-2</v>
      </c>
      <c r="J46" s="9">
        <f>'a26'!F44</f>
        <v>6.4829557348055715</v>
      </c>
      <c r="K46" s="9">
        <f t="shared" ref="K46" si="37">(C$59-J46)/C$61</f>
        <v>0.11075282246177441</v>
      </c>
      <c r="L46" s="9">
        <f>'a26'!G44</f>
        <v>5.408916608702417</v>
      </c>
      <c r="M46" s="9">
        <f t="shared" ref="M46" si="38">(C$59-L46)/C$61</f>
        <v>0.30432098302124905</v>
      </c>
      <c r="N46" s="9">
        <f>'a26'!H44</f>
        <v>6.2829369889715752</v>
      </c>
      <c r="O46" s="9">
        <f t="shared" ref="O46" si="39">(C$59-N46)/C$61</f>
        <v>0.14680110018976961</v>
      </c>
      <c r="P46" s="9">
        <f>'a26'!I44</f>
        <v>5.4798300773271009</v>
      </c>
      <c r="Q46" s="9">
        <f t="shared" ref="Q46" si="40">(C$59-P46)/C$61</f>
        <v>0.29154063885410952</v>
      </c>
      <c r="R46" s="9">
        <f>'a26'!J44</f>
        <v>4.3060879512470649</v>
      </c>
      <c r="S46" s="9">
        <f t="shared" ref="S46" si="41">(C$59-R46)/C$61</f>
        <v>0.50307772236875481</v>
      </c>
      <c r="T46" s="9">
        <f>'a26'!K44</f>
        <v>4.2923951219791618</v>
      </c>
      <c r="U46" s="9">
        <f t="shared" ref="U46" si="42">(C$59-T46)/C$61</f>
        <v>0.50554550562713518</v>
      </c>
      <c r="V46" s="9">
        <f>'a26'!L44</f>
        <v>5.3779026226450961</v>
      </c>
      <c r="W46" s="9">
        <f t="shared" ref="W46" si="43">(C$59-V46)/C$61</f>
        <v>0.30991046303815883</v>
      </c>
    </row>
    <row r="47" spans="1:138">
      <c r="B47" s="257" t="s">
        <v>967</v>
      </c>
      <c r="C47" s="9"/>
      <c r="D47" s="9"/>
      <c r="E47" s="9"/>
      <c r="F47" s="9"/>
      <c r="G47" s="9"/>
      <c r="H47" s="9"/>
      <c r="I47" s="9"/>
      <c r="J47" s="257" t="s">
        <v>967</v>
      </c>
      <c r="K47" s="9"/>
      <c r="L47" s="9"/>
      <c r="M47" s="9"/>
      <c r="N47" s="9"/>
      <c r="O47" s="9"/>
      <c r="P47" s="9"/>
      <c r="Q47" s="9"/>
      <c r="R47" s="257" t="s">
        <v>967</v>
      </c>
      <c r="S47" s="9"/>
      <c r="T47" s="9"/>
      <c r="U47" s="9"/>
      <c r="V47" s="9"/>
      <c r="W47" s="9"/>
    </row>
    <row r="48" spans="1:138">
      <c r="A48" s="1" t="s">
        <v>988</v>
      </c>
      <c r="B48" s="13">
        <f>(POWER(B46/B17, 1/29)-1)*100</f>
        <v>2.5979684547997151</v>
      </c>
      <c r="D48" s="13">
        <f>(POWER(D46/D17, 1/29)-1)*100</f>
        <v>-0.36658754077526501</v>
      </c>
      <c r="F48" s="13">
        <f>(POWER(F46/F17, 1/29)-1)*100</f>
        <v>0.33479683414991968</v>
      </c>
      <c r="H48" s="13">
        <f>(POWER(H46/H17, 1/29)-1)*100</f>
        <v>3.553324107103073</v>
      </c>
      <c r="J48" s="13">
        <f>(POWER(J46/J17, 1/29)-1)*100</f>
        <v>2.2857370578923009</v>
      </c>
      <c r="L48" s="13">
        <f>(POWER(L46/L17, 1/29)-1)*100</f>
        <v>2.7388615636057434</v>
      </c>
      <c r="N48" s="13">
        <f>(POWER(N46/N17, 1/29)-1)*100</f>
        <v>3.006463750967181</v>
      </c>
      <c r="P48" s="13">
        <f>(POWER(P46/P17, 1/29)-1)*100</f>
        <v>2.0879041656000741</v>
      </c>
      <c r="R48" s="13">
        <f>(POWER(R46/R17, 1/29)-1)*100</f>
        <v>2.5592744130965794</v>
      </c>
      <c r="T48" s="13">
        <f>(POWER(T46/T17, 1/29)-1)*100</f>
        <v>2.2497640460150237</v>
      </c>
      <c r="V48" s="13">
        <f>(POWER(V46/V17, 1/29)-1)*100</f>
        <v>2.1714822058586547</v>
      </c>
      <c r="X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row>
    <row r="49" spans="1:138">
      <c r="B49" s="267" t="s">
        <v>968</v>
      </c>
      <c r="C49" s="13"/>
      <c r="D49" s="13"/>
      <c r="E49" s="13"/>
      <c r="F49" s="13"/>
      <c r="G49" s="13"/>
      <c r="H49" s="13"/>
      <c r="I49" s="13"/>
      <c r="J49" s="267" t="s">
        <v>968</v>
      </c>
      <c r="K49" s="13"/>
      <c r="L49" s="13"/>
      <c r="M49" s="13"/>
      <c r="N49" s="13"/>
      <c r="O49" s="13"/>
      <c r="P49" s="13"/>
      <c r="Q49" s="13"/>
      <c r="R49" s="267" t="s">
        <v>968</v>
      </c>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row>
    <row r="50" spans="1:138" s="252" customFormat="1">
      <c r="A50" s="252" t="s">
        <v>988</v>
      </c>
      <c r="B50" s="271"/>
      <c r="C50" s="253">
        <f>C46-C17</f>
        <v>-0.52813527728958709</v>
      </c>
      <c r="D50" s="271"/>
      <c r="E50" s="271">
        <f>E46-E17</f>
        <v>9.9444751998523262E-2</v>
      </c>
      <c r="F50" s="271"/>
      <c r="G50" s="271">
        <f>G46-G17</f>
        <v>-9.8727118554278487E-2</v>
      </c>
      <c r="H50" s="271"/>
      <c r="I50" s="271">
        <f>I46-I17</f>
        <v>-0.76139296187291561</v>
      </c>
      <c r="J50" s="271"/>
      <c r="K50" s="271">
        <f>K46-K17</f>
        <v>-0.56172152949745791</v>
      </c>
      <c r="L50" s="271"/>
      <c r="M50" s="271">
        <f>M46-M17</f>
        <v>-0.52955650151872047</v>
      </c>
      <c r="N50" s="271"/>
      <c r="O50" s="271">
        <f>O46-O17</f>
        <v>-0.65270879566097517</v>
      </c>
      <c r="P50" s="271"/>
      <c r="Q50" s="271">
        <f>Q46-Q17</f>
        <v>-0.44519102273046174</v>
      </c>
      <c r="R50" s="271"/>
      <c r="S50" s="271">
        <f>S46-S17</f>
        <v>-0.40313584178076944</v>
      </c>
      <c r="T50" s="271"/>
      <c r="U50" s="271">
        <f>U46-U17</f>
        <v>-0.36780002805828149</v>
      </c>
      <c r="V50" s="271"/>
      <c r="W50" s="271">
        <f>W46-W17</f>
        <v>-0.44939464904612636</v>
      </c>
      <c r="X50" s="271"/>
      <c r="Y50" s="271"/>
      <c r="Z50" s="271"/>
      <c r="AA50" s="271"/>
      <c r="AB50" s="271"/>
      <c r="AC50" s="271"/>
      <c r="AD50" s="271"/>
      <c r="AE50" s="271"/>
      <c r="AF50" s="271"/>
      <c r="AG50" s="271"/>
      <c r="AH50" s="271"/>
      <c r="AI50" s="271"/>
      <c r="AJ50" s="271"/>
      <c r="AK50" s="271"/>
      <c r="AL50" s="271"/>
      <c r="AM50" s="271"/>
      <c r="AN50" s="271"/>
      <c r="AO50" s="271"/>
      <c r="AP50" s="271"/>
      <c r="AQ50" s="271"/>
      <c r="AR50" s="271"/>
      <c r="AS50" s="271"/>
      <c r="AT50" s="271"/>
      <c r="AU50" s="271"/>
      <c r="AV50" s="271"/>
      <c r="AW50" s="271"/>
      <c r="AX50" s="271"/>
      <c r="AY50" s="271"/>
      <c r="AZ50" s="271"/>
      <c r="BA50" s="271"/>
      <c r="BB50" s="271"/>
      <c r="BC50" s="271"/>
      <c r="BD50" s="271"/>
      <c r="BE50" s="271"/>
      <c r="BF50" s="271"/>
      <c r="BG50" s="271"/>
      <c r="BH50" s="271"/>
      <c r="BI50" s="271"/>
      <c r="BJ50" s="271"/>
      <c r="BK50" s="271"/>
      <c r="BL50" s="271"/>
      <c r="BM50" s="271"/>
      <c r="BN50" s="271"/>
      <c r="BO50" s="271"/>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269"/>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c r="B51" s="1" t="s">
        <v>648</v>
      </c>
      <c r="J51" s="1" t="s">
        <v>380</v>
      </c>
      <c r="R51" s="1" t="s">
        <v>380</v>
      </c>
      <c r="AR51" s="164"/>
    </row>
    <row r="52" spans="1:138">
      <c r="B52" s="1" t="s">
        <v>1031</v>
      </c>
      <c r="F52" s="142"/>
      <c r="K52" s="142"/>
      <c r="P52" s="142"/>
      <c r="U52" s="142"/>
      <c r="Z52" s="142"/>
      <c r="AE52" s="142"/>
      <c r="AJ52" s="142"/>
      <c r="AO52" s="142"/>
      <c r="AT52" s="142"/>
      <c r="AY52" s="142"/>
      <c r="BD52" s="142"/>
    </row>
    <row r="53" spans="1:138">
      <c r="C53" s="1">
        <f>(C46-C17)/C17</f>
        <v>-0.65958257299654899</v>
      </c>
      <c r="E53" s="1">
        <f>(E46-E17)/E17</f>
        <v>0.33729285375769169</v>
      </c>
      <c r="G53" s="1">
        <f>(G46-G17)/G17</f>
        <v>-0.31934535750304804</v>
      </c>
      <c r="I53" s="1">
        <f>(I46-I17)/I17</f>
        <v>-0.90134871637565572</v>
      </c>
      <c r="K53" s="1">
        <f>(K46-K17)/K17</f>
        <v>-0.83530550698461636</v>
      </c>
      <c r="M53" s="1">
        <f>(M46-M17)/M17</f>
        <v>-0.63505312391407753</v>
      </c>
      <c r="O53" s="1">
        <f>(O46-O17)/O17</f>
        <v>-0.81638613736786703</v>
      </c>
      <c r="Q53" s="1">
        <f>(Q46-Q17)/Q17</f>
        <v>-0.60427839055123489</v>
      </c>
      <c r="S53" s="1">
        <f>(S46-S17)/S17</f>
        <v>-0.44485743507835251</v>
      </c>
      <c r="U53" s="1">
        <f>(U46-U17)/U17</f>
        <v>-0.42113918703655367</v>
      </c>
      <c r="W53" s="1">
        <f>(W46-W17)/W17</f>
        <v>-0.59184989261107745</v>
      </c>
    </row>
    <row r="54" spans="1:138">
      <c r="I54" s="1" t="s">
        <v>1475</v>
      </c>
      <c r="K54" s="1" t="s">
        <v>1475</v>
      </c>
    </row>
    <row r="55" spans="1:138">
      <c r="B55" s="1" t="s">
        <v>572</v>
      </c>
      <c r="C55" s="142">
        <f>MAX(B17:B46,D17:D46,F17:F46,H17:H46,J17:J46,L17:L46,N17:N46,P17:P46,R17:R46,T17:T46,V17:V46)</f>
        <v>6.6350964797327689</v>
      </c>
    </row>
    <row r="56" spans="1:138">
      <c r="B56" s="1" t="s">
        <v>573</v>
      </c>
      <c r="C56" s="142">
        <f>MIN(B17:B46,D17:D46,F17:F46,H17:H46,J17:J46,L17:L46,N17:N46,P17:P46,R17:R46,T17:T46,V17:V46)</f>
        <v>2.0112337406385494</v>
      </c>
    </row>
    <row r="57" spans="1:138">
      <c r="B57" s="1" t="s">
        <v>433</v>
      </c>
      <c r="C57" s="142">
        <f>C55-C56</f>
        <v>4.6238627390942195</v>
      </c>
    </row>
    <row r="58" spans="1:138">
      <c r="B58" s="1" t="s">
        <v>434</v>
      </c>
      <c r="C58" s="142">
        <f>C57/10</f>
        <v>0.46238627390942194</v>
      </c>
    </row>
    <row r="59" spans="1:138">
      <c r="B59" s="1" t="s">
        <v>576</v>
      </c>
      <c r="C59" s="142">
        <f>C55+C58</f>
        <v>7.0974827536421907</v>
      </c>
    </row>
    <row r="60" spans="1:138">
      <c r="B60" s="1" t="s">
        <v>577</v>
      </c>
      <c r="C60" s="142">
        <f>C56-C58</f>
        <v>1.5488474667291274</v>
      </c>
    </row>
    <row r="61" spans="1:138">
      <c r="B61" s="1" t="s">
        <v>432</v>
      </c>
      <c r="C61" s="142">
        <f>C59-C60</f>
        <v>5.5486352869130631</v>
      </c>
    </row>
  </sheetData>
  <phoneticPr fontId="0" type="noConversion"/>
  <pageMargins left="0.15748031496062992" right="0.15748031496062992" top="0.39370078740157483" bottom="0.39370078740157483" header="0.51181102362204722" footer="0.51181102362204722"/>
  <pageSetup scale="85" orientation="landscape" r:id="rId1"/>
  <headerFooter alignWithMargins="0"/>
  <colBreaks count="2" manualBreakCount="2">
    <brk id="9" max="43" man="1"/>
    <brk id="17" max="1048575" man="1"/>
  </colBreaks>
</worksheet>
</file>

<file path=xl/worksheets/sheet60.xml><?xml version="1.0" encoding="utf-8"?>
<worksheet xmlns="http://schemas.openxmlformats.org/spreadsheetml/2006/main" xmlns:r="http://schemas.openxmlformats.org/officeDocument/2006/relationships">
  <dimension ref="A1:L38"/>
  <sheetViews>
    <sheetView workbookViewId="0">
      <selection activeCell="E9" sqref="E9"/>
    </sheetView>
  </sheetViews>
  <sheetFormatPr defaultRowHeight="12.75"/>
  <cols>
    <col min="2" max="2" width="8.25" bestFit="1" customWidth="1"/>
    <col min="3" max="3" width="10.5" bestFit="1" customWidth="1"/>
    <col min="4" max="4" width="5.25" bestFit="1" customWidth="1"/>
    <col min="5" max="5" width="8.875" bestFit="1" customWidth="1"/>
    <col min="6" max="6" width="11.875" bestFit="1" customWidth="1"/>
    <col min="7" max="8" width="7" bestFit="1" customWidth="1"/>
    <col min="9" max="9" width="7.25" bestFit="1" customWidth="1"/>
    <col min="10" max="10" width="10.75" bestFit="1" customWidth="1"/>
    <col min="11" max="11" width="7" bestFit="1" customWidth="1"/>
    <col min="12" max="12" width="12.875" bestFit="1" customWidth="1"/>
  </cols>
  <sheetData>
    <row r="1" spans="1:12" ht="15.75">
      <c r="A1" s="2" t="s">
        <v>1433</v>
      </c>
    </row>
    <row r="3" spans="1:12">
      <c r="A3" s="582"/>
      <c r="B3" s="581" t="s">
        <v>321</v>
      </c>
      <c r="C3" s="581" t="s">
        <v>370</v>
      </c>
      <c r="D3" s="581" t="s">
        <v>450</v>
      </c>
      <c r="E3" s="581" t="s">
        <v>372</v>
      </c>
      <c r="F3" s="581" t="s">
        <v>373</v>
      </c>
      <c r="G3" s="581" t="s">
        <v>374</v>
      </c>
      <c r="H3" s="581" t="s">
        <v>375</v>
      </c>
      <c r="I3" s="581" t="s">
        <v>376</v>
      </c>
      <c r="J3" s="581" t="s">
        <v>377</v>
      </c>
      <c r="K3" s="581" t="s">
        <v>378</v>
      </c>
      <c r="L3" s="581" t="s">
        <v>379</v>
      </c>
    </row>
    <row r="4" spans="1:12">
      <c r="A4" s="583">
        <v>1981</v>
      </c>
      <c r="B4" s="7">
        <v>647323</v>
      </c>
      <c r="C4" s="7">
        <v>9365</v>
      </c>
      <c r="D4" s="7">
        <v>2112</v>
      </c>
      <c r="E4" s="7">
        <v>15975</v>
      </c>
      <c r="F4" s="7">
        <v>12102</v>
      </c>
      <c r="G4" s="7">
        <v>155209</v>
      </c>
      <c r="H4" s="7">
        <v>251445</v>
      </c>
      <c r="I4" s="7">
        <v>24629</v>
      </c>
      <c r="J4" s="7">
        <v>23389</v>
      </c>
      <c r="K4" s="7">
        <v>81989</v>
      </c>
      <c r="L4" s="7">
        <v>84482</v>
      </c>
    </row>
    <row r="5" spans="1:12">
      <c r="A5" s="583">
        <v>1982</v>
      </c>
      <c r="B5" s="7">
        <v>628816</v>
      </c>
      <c r="C5" s="7">
        <v>9458</v>
      </c>
      <c r="D5" s="7">
        <v>2131</v>
      </c>
      <c r="E5" s="7">
        <v>16571</v>
      </c>
      <c r="F5" s="7">
        <v>12330</v>
      </c>
      <c r="G5" s="7">
        <v>149611</v>
      </c>
      <c r="H5" s="7">
        <v>244652</v>
      </c>
      <c r="I5" s="7">
        <v>23981</v>
      </c>
      <c r="J5" s="7">
        <v>22953</v>
      </c>
      <c r="K5" s="7">
        <v>79381</v>
      </c>
      <c r="L5" s="7">
        <v>79324</v>
      </c>
    </row>
    <row r="6" spans="1:12">
      <c r="A6" s="583">
        <v>1983</v>
      </c>
      <c r="B6" s="7">
        <v>645906</v>
      </c>
      <c r="C6" s="7">
        <v>9755</v>
      </c>
      <c r="D6" s="7">
        <v>2333</v>
      </c>
      <c r="E6" s="7">
        <v>16982</v>
      </c>
      <c r="F6" s="7">
        <v>13192</v>
      </c>
      <c r="G6" s="7">
        <v>152399</v>
      </c>
      <c r="H6" s="7">
        <v>255630</v>
      </c>
      <c r="I6" s="7">
        <v>24152</v>
      </c>
      <c r="J6" s="7">
        <v>23616</v>
      </c>
      <c r="K6" s="7">
        <v>78445</v>
      </c>
      <c r="L6" s="7">
        <v>79824</v>
      </c>
    </row>
    <row r="7" spans="1:12">
      <c r="A7" s="583">
        <v>1984</v>
      </c>
      <c r="B7" s="7">
        <v>683462</v>
      </c>
      <c r="C7" s="7">
        <v>10024</v>
      </c>
      <c r="D7" s="7">
        <v>2386</v>
      </c>
      <c r="E7" s="7">
        <v>18043</v>
      </c>
      <c r="F7" s="7">
        <v>13471</v>
      </c>
      <c r="G7" s="7">
        <v>158970</v>
      </c>
      <c r="H7" s="7">
        <v>275906</v>
      </c>
      <c r="I7" s="7">
        <v>26144</v>
      </c>
      <c r="J7" s="7">
        <v>24099</v>
      </c>
      <c r="K7" s="7">
        <v>81781</v>
      </c>
      <c r="L7" s="7">
        <v>80440</v>
      </c>
    </row>
    <row r="8" spans="1:12">
      <c r="A8" s="583">
        <v>1985</v>
      </c>
      <c r="B8" s="7">
        <v>716132</v>
      </c>
      <c r="C8" s="7">
        <v>10161</v>
      </c>
      <c r="D8" s="7">
        <v>2378</v>
      </c>
      <c r="E8" s="7">
        <v>18920</v>
      </c>
      <c r="F8" s="7">
        <v>13883</v>
      </c>
      <c r="G8" s="7">
        <v>164089</v>
      </c>
      <c r="H8" s="7">
        <v>287400</v>
      </c>
      <c r="I8" s="7">
        <v>27835</v>
      </c>
      <c r="J8" s="7">
        <v>24729</v>
      </c>
      <c r="K8" s="7">
        <v>88332</v>
      </c>
      <c r="L8" s="7">
        <v>86026</v>
      </c>
    </row>
    <row r="9" spans="1:12">
      <c r="A9" s="583">
        <v>1986</v>
      </c>
      <c r="B9" s="7">
        <v>733468</v>
      </c>
      <c r="C9" s="7">
        <v>10168</v>
      </c>
      <c r="D9" s="7">
        <v>2481</v>
      </c>
      <c r="E9" s="7">
        <v>19300</v>
      </c>
      <c r="F9" s="7">
        <v>14841</v>
      </c>
      <c r="G9" s="7">
        <v>167354</v>
      </c>
      <c r="H9" s="7">
        <v>299125</v>
      </c>
      <c r="I9" s="7">
        <v>27897</v>
      </c>
      <c r="J9" s="7">
        <v>26144</v>
      </c>
      <c r="K9" s="7">
        <v>86340</v>
      </c>
      <c r="L9" s="7">
        <v>86187</v>
      </c>
    </row>
    <row r="10" spans="1:12">
      <c r="A10" s="583">
        <v>1987</v>
      </c>
      <c r="B10" s="7">
        <v>764664</v>
      </c>
      <c r="C10" s="7">
        <v>10517</v>
      </c>
      <c r="D10" s="7">
        <v>2518</v>
      </c>
      <c r="E10" s="7">
        <v>19935</v>
      </c>
      <c r="F10" s="7">
        <v>15624</v>
      </c>
      <c r="G10" s="7">
        <v>174585</v>
      </c>
      <c r="H10" s="7">
        <v>314100</v>
      </c>
      <c r="I10" s="7">
        <v>28316</v>
      </c>
      <c r="J10" s="7">
        <v>26259</v>
      </c>
      <c r="K10" s="7">
        <v>88135</v>
      </c>
      <c r="L10" s="7">
        <v>91503</v>
      </c>
    </row>
    <row r="11" spans="1:12">
      <c r="A11" s="583">
        <v>1988</v>
      </c>
      <c r="B11" s="7">
        <v>802702</v>
      </c>
      <c r="C11" s="7">
        <v>11172</v>
      </c>
      <c r="D11" s="7">
        <v>2600</v>
      </c>
      <c r="E11" s="7">
        <v>20175</v>
      </c>
      <c r="F11" s="7">
        <v>15717</v>
      </c>
      <c r="G11" s="7">
        <v>182548</v>
      </c>
      <c r="H11" s="7">
        <v>330988</v>
      </c>
      <c r="I11" s="7">
        <v>28167</v>
      </c>
      <c r="J11" s="7">
        <v>25362</v>
      </c>
      <c r="K11" s="7">
        <v>95173</v>
      </c>
      <c r="L11" s="7">
        <v>96824</v>
      </c>
    </row>
    <row r="12" spans="1:12">
      <c r="A12" s="583">
        <v>1989</v>
      </c>
      <c r="B12" s="7">
        <v>823728</v>
      </c>
      <c r="C12" s="7">
        <v>11648</v>
      </c>
      <c r="D12" s="7">
        <v>2670</v>
      </c>
      <c r="E12" s="7">
        <v>20633</v>
      </c>
      <c r="F12" s="7">
        <v>15864</v>
      </c>
      <c r="G12" s="7">
        <v>183638</v>
      </c>
      <c r="H12" s="7">
        <v>342136</v>
      </c>
      <c r="I12" s="7">
        <v>28916</v>
      </c>
      <c r="J12" s="7">
        <v>25977</v>
      </c>
      <c r="K12" s="7">
        <v>96522</v>
      </c>
      <c r="L12" s="7">
        <v>100007</v>
      </c>
    </row>
    <row r="13" spans="1:12">
      <c r="A13" s="583">
        <v>1990</v>
      </c>
      <c r="B13" s="7">
        <v>825318</v>
      </c>
      <c r="C13" s="7">
        <v>11662</v>
      </c>
      <c r="D13" s="7">
        <v>2687</v>
      </c>
      <c r="E13" s="7">
        <v>20576</v>
      </c>
      <c r="F13" s="7">
        <v>15772</v>
      </c>
      <c r="G13" s="7">
        <v>184297</v>
      </c>
      <c r="H13" s="7">
        <v>336227</v>
      </c>
      <c r="I13" s="7">
        <v>29629</v>
      </c>
      <c r="J13" s="7">
        <v>27793</v>
      </c>
      <c r="K13" s="7">
        <v>98683</v>
      </c>
      <c r="L13" s="7">
        <v>101408</v>
      </c>
    </row>
    <row r="14" spans="1:12">
      <c r="A14" s="583">
        <v>1991</v>
      </c>
      <c r="B14" s="7">
        <v>808051</v>
      </c>
      <c r="C14" s="7">
        <v>11715</v>
      </c>
      <c r="D14" s="7">
        <v>2680</v>
      </c>
      <c r="E14" s="7">
        <v>20400</v>
      </c>
      <c r="F14" s="7">
        <v>15771</v>
      </c>
      <c r="G14" s="7">
        <v>179324</v>
      </c>
      <c r="H14" s="7">
        <v>323008</v>
      </c>
      <c r="I14" s="7">
        <v>28634</v>
      </c>
      <c r="J14" s="7">
        <v>28098</v>
      </c>
      <c r="K14" s="7">
        <v>99169</v>
      </c>
      <c r="L14" s="7">
        <v>101593</v>
      </c>
    </row>
    <row r="15" spans="1:12">
      <c r="A15" s="583">
        <v>1992</v>
      </c>
      <c r="B15" s="7">
        <v>815123</v>
      </c>
      <c r="C15" s="7">
        <v>11541</v>
      </c>
      <c r="D15" s="7">
        <v>2753</v>
      </c>
      <c r="E15" s="7">
        <v>20687</v>
      </c>
      <c r="F15" s="7">
        <v>16027</v>
      </c>
      <c r="G15" s="7">
        <v>180068</v>
      </c>
      <c r="H15" s="7">
        <v>325941</v>
      </c>
      <c r="I15" s="7">
        <v>28933</v>
      </c>
      <c r="J15" s="7">
        <v>27020</v>
      </c>
      <c r="K15" s="7">
        <v>100085</v>
      </c>
      <c r="L15" s="7">
        <v>104216</v>
      </c>
    </row>
    <row r="16" spans="1:12">
      <c r="A16" s="583">
        <v>1993</v>
      </c>
      <c r="B16" s="7">
        <v>834185</v>
      </c>
      <c r="C16" s="7">
        <v>11635</v>
      </c>
      <c r="D16" s="7">
        <v>2785</v>
      </c>
      <c r="E16" s="7">
        <v>20885</v>
      </c>
      <c r="F16" s="7">
        <v>16488</v>
      </c>
      <c r="G16" s="7">
        <v>183659</v>
      </c>
      <c r="H16" s="7">
        <v>329057</v>
      </c>
      <c r="I16" s="7">
        <v>29038</v>
      </c>
      <c r="J16" s="7">
        <v>28797</v>
      </c>
      <c r="K16" s="7">
        <v>107266</v>
      </c>
      <c r="L16" s="7">
        <v>108874</v>
      </c>
    </row>
    <row r="17" spans="1:12">
      <c r="A17" s="583">
        <v>1994</v>
      </c>
      <c r="B17" s="7">
        <v>874261</v>
      </c>
      <c r="C17" s="7">
        <v>12137</v>
      </c>
      <c r="D17" s="7">
        <v>2922</v>
      </c>
      <c r="E17" s="7">
        <v>20972</v>
      </c>
      <c r="F17" s="7">
        <v>16837</v>
      </c>
      <c r="G17" s="7">
        <v>191774</v>
      </c>
      <c r="H17" s="7">
        <v>348503</v>
      </c>
      <c r="I17" s="7">
        <v>30171</v>
      </c>
      <c r="J17" s="7">
        <v>30047</v>
      </c>
      <c r="K17" s="7">
        <v>113942</v>
      </c>
      <c r="L17" s="7">
        <v>111945</v>
      </c>
    </row>
    <row r="18" spans="1:12">
      <c r="A18" s="583">
        <v>1995</v>
      </c>
      <c r="B18" s="7">
        <v>898814</v>
      </c>
      <c r="C18" s="7">
        <v>12411</v>
      </c>
      <c r="D18" s="7">
        <v>3108</v>
      </c>
      <c r="E18" s="7">
        <v>21323</v>
      </c>
      <c r="F18" s="7">
        <v>17384</v>
      </c>
      <c r="G18" s="7">
        <v>195009</v>
      </c>
      <c r="H18" s="7">
        <v>360789</v>
      </c>
      <c r="I18" s="7">
        <v>30253</v>
      </c>
      <c r="J18" s="7">
        <v>30382</v>
      </c>
      <c r="K18" s="7">
        <v>117518</v>
      </c>
      <c r="L18" s="7">
        <v>114620</v>
      </c>
    </row>
    <row r="19" spans="1:12">
      <c r="A19" s="583">
        <v>1996</v>
      </c>
      <c r="B19" s="7">
        <v>913364</v>
      </c>
      <c r="C19" s="7">
        <v>11835</v>
      </c>
      <c r="D19" s="7">
        <v>3201</v>
      </c>
      <c r="E19" s="7">
        <v>21454</v>
      </c>
      <c r="F19" s="7">
        <v>17509</v>
      </c>
      <c r="G19" s="7">
        <v>196932</v>
      </c>
      <c r="H19" s="7">
        <v>364762</v>
      </c>
      <c r="I19" s="7">
        <v>31182</v>
      </c>
      <c r="J19" s="7">
        <v>31267</v>
      </c>
      <c r="K19" s="7">
        <v>119905</v>
      </c>
      <c r="L19" s="7">
        <v>117442</v>
      </c>
    </row>
    <row r="20" spans="1:12">
      <c r="A20" s="583">
        <v>1997</v>
      </c>
      <c r="B20" s="7">
        <v>951962</v>
      </c>
      <c r="C20" s="7">
        <v>11979</v>
      </c>
      <c r="D20" s="7">
        <v>3213</v>
      </c>
      <c r="E20" s="7">
        <v>22376</v>
      </c>
      <c r="F20" s="7">
        <v>17712</v>
      </c>
      <c r="G20" s="7">
        <v>203253</v>
      </c>
      <c r="H20" s="7">
        <v>381235</v>
      </c>
      <c r="I20" s="7">
        <v>32343</v>
      </c>
      <c r="J20" s="7">
        <v>32486</v>
      </c>
      <c r="K20" s="7">
        <v>128018</v>
      </c>
      <c r="L20" s="7">
        <v>121177</v>
      </c>
    </row>
    <row r="21" spans="1:12">
      <c r="A21" s="583">
        <v>1998</v>
      </c>
      <c r="B21" s="7">
        <v>990968</v>
      </c>
      <c r="C21" s="7">
        <v>12631</v>
      </c>
      <c r="D21" s="7">
        <v>3360</v>
      </c>
      <c r="E21" s="7">
        <v>23210</v>
      </c>
      <c r="F21" s="7">
        <v>18361</v>
      </c>
      <c r="G21" s="7">
        <v>209715</v>
      </c>
      <c r="H21" s="7">
        <v>399655</v>
      </c>
      <c r="I21" s="7">
        <v>33716</v>
      </c>
      <c r="J21" s="7">
        <v>33868</v>
      </c>
      <c r="K21" s="7">
        <v>134750</v>
      </c>
      <c r="L21" s="7">
        <v>122766</v>
      </c>
    </row>
    <row r="22" spans="1:12">
      <c r="A22" s="583">
        <v>1999</v>
      </c>
      <c r="B22" s="7">
        <v>1045786</v>
      </c>
      <c r="C22" s="7">
        <v>13323</v>
      </c>
      <c r="D22" s="7">
        <v>3502</v>
      </c>
      <c r="E22" s="7">
        <v>24482</v>
      </c>
      <c r="F22" s="7">
        <v>19508</v>
      </c>
      <c r="G22" s="7">
        <v>222716</v>
      </c>
      <c r="H22" s="7">
        <v>429697</v>
      </c>
      <c r="I22" s="7">
        <v>34248</v>
      </c>
      <c r="J22" s="7">
        <v>33936</v>
      </c>
      <c r="K22" s="7">
        <v>136603</v>
      </c>
      <c r="L22" s="7">
        <v>126708</v>
      </c>
    </row>
    <row r="23" spans="1:12">
      <c r="A23" s="583">
        <v>2000</v>
      </c>
      <c r="B23" s="7">
        <v>1100515</v>
      </c>
      <c r="C23" s="7">
        <v>14013</v>
      </c>
      <c r="D23" s="7">
        <v>3570</v>
      </c>
      <c r="E23" s="7">
        <v>25234</v>
      </c>
      <c r="F23" s="7">
        <v>19917</v>
      </c>
      <c r="G23" s="7">
        <v>232378</v>
      </c>
      <c r="H23" s="7">
        <v>455234</v>
      </c>
      <c r="I23" s="7">
        <v>35708</v>
      </c>
      <c r="J23" s="7">
        <v>34820</v>
      </c>
      <c r="K23" s="7">
        <v>144886</v>
      </c>
      <c r="L23" s="7">
        <v>132578</v>
      </c>
    </row>
    <row r="24" spans="1:12">
      <c r="A24" s="583">
        <v>2001</v>
      </c>
      <c r="B24" s="7">
        <v>1120146</v>
      </c>
      <c r="C24" s="7">
        <v>14233</v>
      </c>
      <c r="D24" s="7">
        <v>3532</v>
      </c>
      <c r="E24" s="7">
        <v>26036</v>
      </c>
      <c r="F24" s="7">
        <v>20248</v>
      </c>
      <c r="G24" s="7">
        <v>235832</v>
      </c>
      <c r="H24" s="7">
        <v>463357</v>
      </c>
      <c r="I24" s="7">
        <v>35996</v>
      </c>
      <c r="J24" s="7">
        <v>34487</v>
      </c>
      <c r="K24" s="7">
        <v>147394</v>
      </c>
      <c r="L24" s="7">
        <v>133403</v>
      </c>
    </row>
    <row r="25" spans="1:12">
      <c r="A25" s="583">
        <v>2002</v>
      </c>
      <c r="B25" s="7">
        <v>1152905</v>
      </c>
      <c r="C25" s="7">
        <v>16457</v>
      </c>
      <c r="D25" s="7">
        <v>3701</v>
      </c>
      <c r="E25" s="7">
        <v>27082</v>
      </c>
      <c r="F25" s="7">
        <v>21169</v>
      </c>
      <c r="G25" s="7">
        <v>241448</v>
      </c>
      <c r="H25" s="7">
        <v>477763</v>
      </c>
      <c r="I25" s="7">
        <v>36559</v>
      </c>
      <c r="J25" s="7">
        <v>34343</v>
      </c>
      <c r="K25" s="7">
        <v>150594</v>
      </c>
      <c r="L25" s="7">
        <v>138193</v>
      </c>
    </row>
    <row r="26" spans="1:12">
      <c r="A26" s="583">
        <v>2003</v>
      </c>
      <c r="B26" s="7">
        <v>1174592</v>
      </c>
      <c r="C26" s="7">
        <v>17419</v>
      </c>
      <c r="D26" s="7">
        <v>3778</v>
      </c>
      <c r="E26" s="7">
        <v>27464</v>
      </c>
      <c r="F26" s="7">
        <v>21765</v>
      </c>
      <c r="G26" s="7">
        <v>244422</v>
      </c>
      <c r="H26" s="7">
        <v>484341</v>
      </c>
      <c r="I26" s="7">
        <v>37059</v>
      </c>
      <c r="J26" s="7">
        <v>35921</v>
      </c>
      <c r="K26" s="7">
        <v>155359</v>
      </c>
      <c r="L26" s="7">
        <v>141435</v>
      </c>
    </row>
    <row r="27" spans="1:12">
      <c r="A27" s="583">
        <v>2004</v>
      </c>
      <c r="B27" s="7">
        <v>1211239</v>
      </c>
      <c r="C27" s="7">
        <v>17209</v>
      </c>
      <c r="D27" s="7">
        <v>3877</v>
      </c>
      <c r="E27" s="7">
        <v>27710</v>
      </c>
      <c r="F27" s="7">
        <v>22366</v>
      </c>
      <c r="G27" s="7">
        <v>251028</v>
      </c>
      <c r="H27" s="7">
        <v>496780</v>
      </c>
      <c r="I27" s="7">
        <v>37861</v>
      </c>
      <c r="J27" s="7">
        <v>37741</v>
      </c>
      <c r="K27" s="7">
        <v>163564</v>
      </c>
      <c r="L27" s="7">
        <v>146541</v>
      </c>
    </row>
    <row r="28" spans="1:12">
      <c r="A28" s="583">
        <v>2005</v>
      </c>
      <c r="B28" s="7">
        <v>1247807</v>
      </c>
      <c r="C28" s="7">
        <v>17593</v>
      </c>
      <c r="D28" s="7">
        <v>3921</v>
      </c>
      <c r="E28" s="7">
        <v>28016</v>
      </c>
      <c r="F28" s="7">
        <v>22638</v>
      </c>
      <c r="G28" s="7">
        <v>255559</v>
      </c>
      <c r="H28" s="7">
        <v>510509</v>
      </c>
      <c r="I28" s="7">
        <v>38860</v>
      </c>
      <c r="J28" s="7">
        <v>38904</v>
      </c>
      <c r="K28" s="7">
        <v>170872</v>
      </c>
      <c r="L28" s="7">
        <v>153489</v>
      </c>
    </row>
    <row r="29" spans="1:12">
      <c r="A29" s="583">
        <v>2006</v>
      </c>
      <c r="B29" s="7">
        <v>1283033</v>
      </c>
      <c r="C29" s="7">
        <v>18129</v>
      </c>
      <c r="D29" s="7">
        <v>4077</v>
      </c>
      <c r="E29" s="7">
        <v>28174</v>
      </c>
      <c r="F29" s="7">
        <v>23174</v>
      </c>
      <c r="G29" s="7">
        <v>260033</v>
      </c>
      <c r="H29" s="7">
        <v>522998</v>
      </c>
      <c r="I29" s="7">
        <v>40181</v>
      </c>
      <c r="J29" s="7">
        <v>38266</v>
      </c>
      <c r="K29" s="7">
        <v>180852</v>
      </c>
      <c r="L29" s="7">
        <v>159729</v>
      </c>
    </row>
    <row r="30" spans="1:12">
      <c r="A30" s="583">
        <v>2007</v>
      </c>
      <c r="B30" s="7">
        <v>1311260</v>
      </c>
      <c r="C30" s="7">
        <v>19791</v>
      </c>
      <c r="D30" s="7">
        <v>4149</v>
      </c>
      <c r="E30" s="7">
        <v>28611</v>
      </c>
      <c r="F30" s="7">
        <v>23439</v>
      </c>
      <c r="G30" s="7">
        <v>265585</v>
      </c>
      <c r="H30" s="7">
        <v>533233</v>
      </c>
      <c r="I30" s="7">
        <v>41263</v>
      </c>
      <c r="J30" s="7">
        <v>39626</v>
      </c>
      <c r="K30" s="7">
        <v>184008</v>
      </c>
      <c r="L30" s="7">
        <v>164496</v>
      </c>
    </row>
    <row r="31" spans="1:12">
      <c r="A31" s="583">
        <v>2008</v>
      </c>
      <c r="B31" s="7">
        <v>1318055</v>
      </c>
      <c r="C31" s="7">
        <v>20186</v>
      </c>
      <c r="D31" s="7">
        <v>4167</v>
      </c>
      <c r="E31" s="7">
        <v>28969</v>
      </c>
      <c r="F31" s="7">
        <v>23392</v>
      </c>
      <c r="G31" s="7">
        <v>268406</v>
      </c>
      <c r="H31" s="7">
        <v>528635</v>
      </c>
      <c r="I31" s="7">
        <v>42057</v>
      </c>
      <c r="J31" s="7">
        <v>41434</v>
      </c>
      <c r="K31" s="7">
        <v>186528</v>
      </c>
      <c r="L31" s="7">
        <v>164869</v>
      </c>
    </row>
    <row r="32" spans="1:12">
      <c r="A32" s="583">
        <v>2009</v>
      </c>
      <c r="B32" s="7">
        <v>1285604</v>
      </c>
      <c r="C32" s="7">
        <v>18119</v>
      </c>
      <c r="D32" s="7">
        <v>4164</v>
      </c>
      <c r="E32" s="7">
        <v>28931</v>
      </c>
      <c r="F32" s="7">
        <v>23314</v>
      </c>
      <c r="G32" s="7">
        <v>267477</v>
      </c>
      <c r="H32" s="7">
        <v>509421</v>
      </c>
      <c r="I32" s="7">
        <v>42077</v>
      </c>
      <c r="J32" s="7">
        <v>39810</v>
      </c>
      <c r="K32" s="7">
        <v>178225</v>
      </c>
      <c r="L32" s="7">
        <v>161851</v>
      </c>
    </row>
    <row r="33" spans="1:12">
      <c r="A33" s="583">
        <v>2010</v>
      </c>
      <c r="B33" s="117">
        <f t="shared" ref="B33:L33" si="0">B32*(POWER(B32/B27,1/5))</f>
        <v>1301016.1534822714</v>
      </c>
      <c r="C33" s="117">
        <f t="shared" si="0"/>
        <v>18306.694876466296</v>
      </c>
      <c r="D33" s="117">
        <f t="shared" si="0"/>
        <v>4223.900748830848</v>
      </c>
      <c r="E33" s="117">
        <f t="shared" si="0"/>
        <v>29181.581792401168</v>
      </c>
      <c r="F33" s="117">
        <f t="shared" si="0"/>
        <v>23508.368319777954</v>
      </c>
      <c r="G33" s="117">
        <f t="shared" si="0"/>
        <v>270893.94576884946</v>
      </c>
      <c r="H33" s="117">
        <f t="shared" si="0"/>
        <v>511987.54038990219</v>
      </c>
      <c r="I33" s="117">
        <f t="shared" si="0"/>
        <v>42974.942618066736</v>
      </c>
      <c r="J33" s="117">
        <f t="shared" si="0"/>
        <v>40237.216747297316</v>
      </c>
      <c r="K33" s="117">
        <f t="shared" si="0"/>
        <v>181311.2714872119</v>
      </c>
      <c r="L33" s="117">
        <f t="shared" si="0"/>
        <v>165099.83311921952</v>
      </c>
    </row>
    <row r="34" spans="1:12">
      <c r="A34" s="1"/>
      <c r="B34" s="1" t="s">
        <v>1431</v>
      </c>
      <c r="C34" s="1"/>
      <c r="D34" s="1"/>
      <c r="E34" s="1"/>
      <c r="F34" s="1"/>
      <c r="G34" s="1"/>
      <c r="H34" s="1"/>
      <c r="I34" s="1"/>
      <c r="J34" s="1"/>
      <c r="K34" s="1"/>
      <c r="L34" s="1"/>
    </row>
    <row r="35" spans="1:12">
      <c r="A35" s="1"/>
      <c r="B35" s="13">
        <f>100*(POWER(B33/B4, 1/29)-1)</f>
        <v>2.4362921366977819</v>
      </c>
      <c r="C35" s="13">
        <f>100*(POWER(C33/C4, 1/29)-1)</f>
        <v>2.3382545638912955</v>
      </c>
      <c r="D35" s="13">
        <f t="shared" ref="D35:L35" si="1">100*(POWER(D33/D4, 1/29)-1)</f>
        <v>2.4188730400150238</v>
      </c>
      <c r="E35" s="13">
        <f t="shared" si="1"/>
        <v>2.0993631555949799</v>
      </c>
      <c r="F35" s="13">
        <f t="shared" si="1"/>
        <v>2.3160186336703026</v>
      </c>
      <c r="G35" s="13">
        <f t="shared" si="1"/>
        <v>1.9390946914344065</v>
      </c>
      <c r="H35" s="13">
        <f t="shared" si="1"/>
        <v>2.4822946426648951</v>
      </c>
      <c r="I35" s="13">
        <f t="shared" si="1"/>
        <v>1.9381730294930843</v>
      </c>
      <c r="J35" s="13">
        <f t="shared" si="1"/>
        <v>1.8883898863912618</v>
      </c>
      <c r="K35" s="13">
        <f>100*(POWER(K33/K4, 1/29)-1)</f>
        <v>2.7744462114798862</v>
      </c>
      <c r="L35" s="13">
        <f t="shared" si="1"/>
        <v>2.3372818219743907</v>
      </c>
    </row>
    <row r="36" spans="1:12">
      <c r="A36" s="1"/>
      <c r="B36" s="13"/>
      <c r="C36" s="13"/>
      <c r="D36" s="13"/>
      <c r="E36" s="13"/>
      <c r="F36" s="13"/>
      <c r="G36" s="13"/>
      <c r="H36" s="13"/>
      <c r="I36" s="13"/>
      <c r="J36" s="13"/>
      <c r="K36" s="13"/>
      <c r="L36" s="13"/>
    </row>
    <row r="37" spans="1:12">
      <c r="A37" s="1" t="s">
        <v>1427</v>
      </c>
    </row>
    <row r="38" spans="1:12">
      <c r="A38" s="1" t="s">
        <v>1428</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dimension ref="A1:EH57"/>
  <sheetViews>
    <sheetView workbookViewId="0">
      <pane xSplit="1" ySplit="18" topLeftCell="B34" activePane="bottomRight" state="frozen"/>
      <selection activeCell="E9" sqref="E9"/>
      <selection pane="topRight" activeCell="E9" sqref="E9"/>
      <selection pane="bottomLeft" activeCell="E9" sqref="E9"/>
      <selection pane="bottomRight" activeCell="E9" sqref="E9"/>
    </sheetView>
  </sheetViews>
  <sheetFormatPr defaultColWidth="8.875" defaultRowHeight="12.75"/>
  <cols>
    <col min="1" max="1" width="8.875" style="1"/>
    <col min="2" max="89" width="9.75" style="1" customWidth="1"/>
    <col min="90" max="16384" width="8.875" style="1"/>
  </cols>
  <sheetData>
    <row r="1" spans="1:89" ht="15.75">
      <c r="B1" s="2" t="s">
        <v>1452</v>
      </c>
      <c r="C1" s="2"/>
      <c r="R1" s="2" t="s">
        <v>1452</v>
      </c>
      <c r="AA1" s="2"/>
      <c r="AH1" s="2" t="s">
        <v>1452</v>
      </c>
      <c r="AX1" s="2" t="s">
        <v>1452</v>
      </c>
      <c r="AY1" s="2"/>
      <c r="BN1" s="2" t="s">
        <v>1452</v>
      </c>
      <c r="BW1" s="2"/>
      <c r="CD1" s="2" t="s">
        <v>1452</v>
      </c>
    </row>
    <row r="3" spans="1:89" s="3" customFormat="1" ht="15">
      <c r="B3" s="3" t="s">
        <v>321</v>
      </c>
      <c r="J3" s="3" t="s">
        <v>370</v>
      </c>
      <c r="R3" s="3" t="s">
        <v>371</v>
      </c>
      <c r="Z3" s="3" t="s">
        <v>372</v>
      </c>
      <c r="AH3" s="3" t="s">
        <v>373</v>
      </c>
      <c r="AP3" s="3" t="s">
        <v>374</v>
      </c>
      <c r="AX3" s="3" t="s">
        <v>375</v>
      </c>
      <c r="BF3" s="3" t="s">
        <v>376</v>
      </c>
      <c r="BN3" s="3" t="s">
        <v>377</v>
      </c>
      <c r="BV3" s="3" t="s">
        <v>378</v>
      </c>
      <c r="CD3" s="3" t="s">
        <v>379</v>
      </c>
    </row>
    <row r="4" spans="1:89" s="4" customFormat="1" ht="63.75">
      <c r="B4" s="4" t="s">
        <v>24</v>
      </c>
      <c r="C4" s="4" t="s">
        <v>180</v>
      </c>
      <c r="D4" s="4" t="s">
        <v>25</v>
      </c>
      <c r="E4" s="4" t="s">
        <v>181</v>
      </c>
      <c r="F4" s="4" t="s">
        <v>628</v>
      </c>
      <c r="G4" s="4" t="s">
        <v>22</v>
      </c>
      <c r="H4" s="4" t="s">
        <v>23</v>
      </c>
      <c r="I4" s="4" t="s">
        <v>182</v>
      </c>
      <c r="J4" s="4" t="s">
        <v>24</v>
      </c>
      <c r="K4" s="4" t="s">
        <v>180</v>
      </c>
      <c r="L4" s="4" t="s">
        <v>25</v>
      </c>
      <c r="M4" s="4" t="s">
        <v>181</v>
      </c>
      <c r="N4" s="4" t="s">
        <v>628</v>
      </c>
      <c r="O4" s="4" t="s">
        <v>22</v>
      </c>
      <c r="P4" s="4" t="s">
        <v>23</v>
      </c>
      <c r="Q4" s="4" t="s">
        <v>182</v>
      </c>
      <c r="R4" s="4" t="s">
        <v>24</v>
      </c>
      <c r="S4" s="4" t="s">
        <v>180</v>
      </c>
      <c r="T4" s="4" t="s">
        <v>25</v>
      </c>
      <c r="U4" s="4" t="s">
        <v>181</v>
      </c>
      <c r="V4" s="4" t="s">
        <v>628</v>
      </c>
      <c r="W4" s="4" t="s">
        <v>22</v>
      </c>
      <c r="X4" s="4" t="s">
        <v>23</v>
      </c>
      <c r="Y4" s="4" t="s">
        <v>182</v>
      </c>
      <c r="Z4" s="4" t="s">
        <v>24</v>
      </c>
      <c r="AA4" s="4" t="s">
        <v>180</v>
      </c>
      <c r="AB4" s="4" t="s">
        <v>25</v>
      </c>
      <c r="AC4" s="4" t="s">
        <v>181</v>
      </c>
      <c r="AD4" s="4" t="s">
        <v>628</v>
      </c>
      <c r="AE4" s="4" t="s">
        <v>22</v>
      </c>
      <c r="AF4" s="4" t="s">
        <v>23</v>
      </c>
      <c r="AG4" s="4" t="s">
        <v>182</v>
      </c>
      <c r="AH4" s="4" t="s">
        <v>24</v>
      </c>
      <c r="AI4" s="4" t="s">
        <v>180</v>
      </c>
      <c r="AJ4" s="4" t="s">
        <v>25</v>
      </c>
      <c r="AK4" s="4" t="s">
        <v>181</v>
      </c>
      <c r="AL4" s="4" t="s">
        <v>628</v>
      </c>
      <c r="AM4" s="4" t="s">
        <v>22</v>
      </c>
      <c r="AN4" s="4" t="s">
        <v>23</v>
      </c>
      <c r="AO4" s="4" t="s">
        <v>182</v>
      </c>
      <c r="AP4" s="4" t="s">
        <v>24</v>
      </c>
      <c r="AQ4" s="4" t="s">
        <v>180</v>
      </c>
      <c r="AR4" s="4" t="s">
        <v>25</v>
      </c>
      <c r="AS4" s="4" t="s">
        <v>181</v>
      </c>
      <c r="AT4" s="4" t="s">
        <v>628</v>
      </c>
      <c r="AU4" s="4" t="s">
        <v>22</v>
      </c>
      <c r="AV4" s="4" t="s">
        <v>23</v>
      </c>
      <c r="AW4" s="4" t="s">
        <v>182</v>
      </c>
      <c r="AX4" s="4" t="s">
        <v>24</v>
      </c>
      <c r="AY4" s="4" t="s">
        <v>180</v>
      </c>
      <c r="AZ4" s="4" t="s">
        <v>25</v>
      </c>
      <c r="BA4" s="4" t="s">
        <v>181</v>
      </c>
      <c r="BB4" s="4" t="s">
        <v>628</v>
      </c>
      <c r="BC4" s="4" t="s">
        <v>22</v>
      </c>
      <c r="BD4" s="4" t="s">
        <v>23</v>
      </c>
      <c r="BE4" s="4" t="s">
        <v>182</v>
      </c>
      <c r="BF4" s="4" t="s">
        <v>24</v>
      </c>
      <c r="BG4" s="4" t="s">
        <v>180</v>
      </c>
      <c r="BH4" s="4" t="s">
        <v>25</v>
      </c>
      <c r="BI4" s="4" t="s">
        <v>181</v>
      </c>
      <c r="BJ4" s="4" t="s">
        <v>628</v>
      </c>
      <c r="BK4" s="4" t="s">
        <v>22</v>
      </c>
      <c r="BL4" s="4" t="s">
        <v>23</v>
      </c>
      <c r="BM4" s="4" t="s">
        <v>182</v>
      </c>
      <c r="BN4" s="4" t="s">
        <v>24</v>
      </c>
      <c r="BO4" s="4" t="s">
        <v>180</v>
      </c>
      <c r="BP4" s="4" t="s">
        <v>25</v>
      </c>
      <c r="BQ4" s="4" t="s">
        <v>181</v>
      </c>
      <c r="BR4" s="4" t="s">
        <v>628</v>
      </c>
      <c r="BS4" s="4" t="s">
        <v>22</v>
      </c>
      <c r="BT4" s="4" t="s">
        <v>23</v>
      </c>
      <c r="BU4" s="4" t="s">
        <v>182</v>
      </c>
      <c r="BV4" s="4" t="s">
        <v>24</v>
      </c>
      <c r="BW4" s="4" t="s">
        <v>180</v>
      </c>
      <c r="BX4" s="4" t="s">
        <v>25</v>
      </c>
      <c r="BY4" s="4" t="s">
        <v>181</v>
      </c>
      <c r="BZ4" s="4" t="s">
        <v>628</v>
      </c>
      <c r="CA4" s="4" t="s">
        <v>22</v>
      </c>
      <c r="CB4" s="4" t="s">
        <v>23</v>
      </c>
      <c r="CC4" s="4" t="s">
        <v>182</v>
      </c>
      <c r="CD4" s="4" t="s">
        <v>24</v>
      </c>
      <c r="CE4" s="4" t="s">
        <v>180</v>
      </c>
      <c r="CF4" s="4" t="s">
        <v>25</v>
      </c>
      <c r="CG4" s="4" t="s">
        <v>181</v>
      </c>
      <c r="CH4" s="4" t="s">
        <v>628</v>
      </c>
      <c r="CI4" s="4" t="s">
        <v>22</v>
      </c>
      <c r="CJ4" s="4" t="s">
        <v>23</v>
      </c>
      <c r="CK4" s="4" t="s">
        <v>182</v>
      </c>
    </row>
    <row r="5" spans="1:89" s="4" customFormat="1" hidden="1"/>
    <row r="6" spans="1:89" s="4" customFormat="1" ht="38.25">
      <c r="B6" s="4" t="s">
        <v>105</v>
      </c>
      <c r="C6" s="4" t="s">
        <v>266</v>
      </c>
      <c r="D6" s="4" t="s">
        <v>106</v>
      </c>
      <c r="E6" s="4" t="s">
        <v>184</v>
      </c>
      <c r="F6" s="4" t="s">
        <v>107</v>
      </c>
      <c r="G6" s="4" t="s">
        <v>108</v>
      </c>
      <c r="H6" s="4" t="s">
        <v>1448</v>
      </c>
      <c r="I6" s="4" t="s">
        <v>1449</v>
      </c>
      <c r="J6" s="4" t="s">
        <v>110</v>
      </c>
      <c r="K6" s="4" t="s">
        <v>186</v>
      </c>
      <c r="L6" s="4" t="s">
        <v>111</v>
      </c>
      <c r="M6" s="4" t="s">
        <v>187</v>
      </c>
      <c r="N6" s="4" t="s">
        <v>112</v>
      </c>
      <c r="O6" s="4" t="s">
        <v>138</v>
      </c>
      <c r="P6" s="4" t="s">
        <v>1450</v>
      </c>
      <c r="Q6" s="4" t="s">
        <v>1451</v>
      </c>
      <c r="R6" s="4" t="s">
        <v>105</v>
      </c>
      <c r="S6" s="4" t="s">
        <v>266</v>
      </c>
      <c r="T6" s="4" t="s">
        <v>106</v>
      </c>
      <c r="U6" s="4" t="s">
        <v>184</v>
      </c>
      <c r="V6" s="4" t="s">
        <v>107</v>
      </c>
      <c r="W6" s="4" t="s">
        <v>108</v>
      </c>
      <c r="X6" s="4" t="s">
        <v>1448</v>
      </c>
      <c r="Y6" s="4" t="s">
        <v>1449</v>
      </c>
      <c r="Z6" s="4" t="s">
        <v>110</v>
      </c>
      <c r="AA6" s="4" t="s">
        <v>186</v>
      </c>
      <c r="AB6" s="4" t="s">
        <v>111</v>
      </c>
      <c r="AC6" s="4" t="s">
        <v>187</v>
      </c>
      <c r="AD6" s="4" t="s">
        <v>112</v>
      </c>
      <c r="AE6" s="4" t="s">
        <v>138</v>
      </c>
      <c r="AF6" s="4" t="s">
        <v>1450</v>
      </c>
      <c r="AG6" s="4" t="s">
        <v>1451</v>
      </c>
      <c r="AH6" s="4" t="s">
        <v>105</v>
      </c>
      <c r="AI6" s="4" t="s">
        <v>266</v>
      </c>
      <c r="AJ6" s="4" t="s">
        <v>106</v>
      </c>
      <c r="AK6" s="4" t="s">
        <v>184</v>
      </c>
      <c r="AL6" s="4" t="s">
        <v>107</v>
      </c>
      <c r="AM6" s="4" t="s">
        <v>108</v>
      </c>
      <c r="AN6" s="4" t="s">
        <v>1448</v>
      </c>
      <c r="AO6" s="4" t="s">
        <v>1449</v>
      </c>
      <c r="AP6" s="4" t="s">
        <v>110</v>
      </c>
      <c r="AQ6" s="4" t="s">
        <v>186</v>
      </c>
      <c r="AR6" s="4" t="s">
        <v>111</v>
      </c>
      <c r="AS6" s="4" t="s">
        <v>187</v>
      </c>
      <c r="AT6" s="4" t="s">
        <v>112</v>
      </c>
      <c r="AU6" s="4" t="s">
        <v>138</v>
      </c>
      <c r="AV6" s="4" t="s">
        <v>1450</v>
      </c>
      <c r="AW6" s="4" t="s">
        <v>1451</v>
      </c>
      <c r="AX6" s="4" t="s">
        <v>105</v>
      </c>
      <c r="AY6" s="4" t="s">
        <v>266</v>
      </c>
      <c r="AZ6" s="4" t="s">
        <v>106</v>
      </c>
      <c r="BA6" s="4" t="s">
        <v>184</v>
      </c>
      <c r="BB6" s="4" t="s">
        <v>107</v>
      </c>
      <c r="BC6" s="4" t="s">
        <v>108</v>
      </c>
      <c r="BD6" s="4" t="s">
        <v>1448</v>
      </c>
      <c r="BE6" s="4" t="s">
        <v>1449</v>
      </c>
      <c r="BF6" s="4" t="s">
        <v>110</v>
      </c>
      <c r="BG6" s="4" t="s">
        <v>186</v>
      </c>
      <c r="BH6" s="4" t="s">
        <v>111</v>
      </c>
      <c r="BI6" s="4" t="s">
        <v>187</v>
      </c>
      <c r="BJ6" s="4" t="s">
        <v>112</v>
      </c>
      <c r="BK6" s="4" t="s">
        <v>138</v>
      </c>
      <c r="BL6" s="4" t="s">
        <v>1450</v>
      </c>
      <c r="BM6" s="4" t="s">
        <v>1451</v>
      </c>
      <c r="BN6" s="4" t="s">
        <v>105</v>
      </c>
      <c r="BO6" s="4" t="s">
        <v>266</v>
      </c>
      <c r="BP6" s="4" t="s">
        <v>106</v>
      </c>
      <c r="BQ6" s="4" t="s">
        <v>184</v>
      </c>
      <c r="BR6" s="4" t="s">
        <v>107</v>
      </c>
      <c r="BS6" s="4" t="s">
        <v>108</v>
      </c>
      <c r="BT6" s="4" t="s">
        <v>1448</v>
      </c>
      <c r="BU6" s="4" t="s">
        <v>1449</v>
      </c>
      <c r="BV6" s="4" t="s">
        <v>110</v>
      </c>
      <c r="BW6" s="4" t="s">
        <v>186</v>
      </c>
      <c r="BX6" s="4" t="s">
        <v>111</v>
      </c>
      <c r="BY6" s="4" t="s">
        <v>187</v>
      </c>
      <c r="BZ6" s="4" t="s">
        <v>112</v>
      </c>
      <c r="CA6" s="4" t="s">
        <v>138</v>
      </c>
      <c r="CB6" s="4" t="s">
        <v>1450</v>
      </c>
      <c r="CC6" s="4" t="s">
        <v>1451</v>
      </c>
      <c r="CD6" s="4" t="s">
        <v>105</v>
      </c>
      <c r="CE6" s="4" t="s">
        <v>266</v>
      </c>
      <c r="CF6" s="4" t="s">
        <v>106</v>
      </c>
      <c r="CG6" s="4" t="s">
        <v>184</v>
      </c>
      <c r="CH6" s="4" t="s">
        <v>107</v>
      </c>
      <c r="CI6" s="4" t="s">
        <v>108</v>
      </c>
      <c r="CJ6" s="4" t="s">
        <v>1448</v>
      </c>
      <c r="CK6" s="4" t="s">
        <v>1449</v>
      </c>
    </row>
    <row r="7" spans="1:89" s="4" customFormat="1" hidden="1"/>
    <row r="8" spans="1:89" hidden="1">
      <c r="A8" s="1">
        <v>1971</v>
      </c>
      <c r="B8" s="9">
        <f>'1'!I8</f>
        <v>9.286072550406746E-2</v>
      </c>
      <c r="C8" s="9">
        <f>'1'!K8</f>
        <v>9.8142272288917642E-2</v>
      </c>
      <c r="D8" s="9">
        <f>'2'!I8</f>
        <v>0.18222616585167906</v>
      </c>
      <c r="E8" s="9">
        <f>'2'!K8</f>
        <v>0.27402070198874739</v>
      </c>
      <c r="F8" s="9">
        <f>'3'!D8</f>
        <v>-46.459539597108417</v>
      </c>
      <c r="G8" s="9" t="e">
        <f>'8'!F5</f>
        <v>#REF!</v>
      </c>
      <c r="H8" s="9" t="e">
        <f>SUM(B8,D8,F8,G8)/4</f>
        <v>#REF!</v>
      </c>
      <c r="I8" s="9" t="e">
        <f>SUM(C8,E8,F8,G8)/4</f>
        <v>#REF!</v>
      </c>
      <c r="J8" s="9">
        <f>'1'!S8</f>
        <v>-1.2416360431895312E-2</v>
      </c>
      <c r="K8" s="9">
        <f>'1'!U8</f>
        <v>-7.921006185159718E-2</v>
      </c>
      <c r="L8" s="9">
        <f>'2'!S8</f>
        <v>0.13783193796692461</v>
      </c>
      <c r="M8" s="9">
        <f>'2'!U8</f>
        <v>0.19628988799083394</v>
      </c>
      <c r="N8" s="9">
        <f>'3'!G8</f>
        <v>-87.44282039190017</v>
      </c>
      <c r="O8" s="9" t="e">
        <f>'8'!K5</f>
        <v>#REF!</v>
      </c>
      <c r="P8" s="9" t="e">
        <f>SUM(J8,L8,N8,O8)/4</f>
        <v>#REF!</v>
      </c>
      <c r="Q8" s="9" t="e">
        <f>SUM(K8,M8,N8,O8)/4</f>
        <v>#REF!</v>
      </c>
      <c r="R8" s="9">
        <f>'1'!AC8</f>
        <v>6.2557182280176912E-2</v>
      </c>
      <c r="S8" s="9">
        <f>'1'!AE8</f>
        <v>5.0253326247256869E-2</v>
      </c>
      <c r="T8" s="9">
        <f>'2'!AC8</f>
        <v>6.5786261073974367E-2</v>
      </c>
      <c r="U8" s="9">
        <f>'2'!AE8</f>
        <v>4.1538166056354214E-2</v>
      </c>
      <c r="V8" s="9">
        <f>'3'!J8</f>
        <v>-73.855883474873721</v>
      </c>
      <c r="W8" s="9" t="e">
        <f>'8'!P5</f>
        <v>#REF!</v>
      </c>
      <c r="X8" s="9" t="e">
        <f>SUM(R8,T8,V8,W8)/4</f>
        <v>#REF!</v>
      </c>
      <c r="Y8" s="9" t="e">
        <f>SUM(S8,U8,V8,W8)/4</f>
        <v>#REF!</v>
      </c>
      <c r="Z8" s="9">
        <f>'1'!AM8</f>
        <v>0.10115269880784397</v>
      </c>
      <c r="AA8" s="9">
        <f>'1'!AO8</f>
        <v>0.1108536899076922</v>
      </c>
      <c r="AB8" s="9">
        <f>'2'!AM8</f>
        <v>0.10973413383196122</v>
      </c>
      <c r="AC8" s="9">
        <f>'2'!AO8</f>
        <v>0.14088791842055143</v>
      </c>
      <c r="AD8" s="9">
        <f>'3'!M8</f>
        <v>-51.230603824914851</v>
      </c>
      <c r="AE8" s="9" t="e">
        <f>'8'!U5</f>
        <v>#REF!</v>
      </c>
      <c r="AF8" s="9" t="e">
        <f>SUM(Z8,AB8,AD8,AE8)/4</f>
        <v>#REF!</v>
      </c>
      <c r="AG8" s="9" t="e">
        <f>SUM(AA8,AC8,AD8,AE8)/4</f>
        <v>#REF!</v>
      </c>
      <c r="AH8" s="9">
        <f>'1'!AW8</f>
        <v>3.5682580310753394E-2</v>
      </c>
      <c r="AI8" s="9">
        <f>'1'!AY8</f>
        <v>5.7614758664340038E-3</v>
      </c>
      <c r="AJ8" s="9">
        <f>'2'!AW8</f>
        <v>0.11807951407484041</v>
      </c>
      <c r="AK8" s="9">
        <f>'2'!AY8</f>
        <v>0.15792033913589126</v>
      </c>
      <c r="AL8" s="9">
        <f>'3'!P8</f>
        <v>-61.037687169951042</v>
      </c>
      <c r="AM8" s="9" t="e">
        <f>'8'!Z5</f>
        <v>#REF!</v>
      </c>
      <c r="AN8" s="9" t="e">
        <f>SUM(AH8,AJ8,AL8,AM8)/4</f>
        <v>#REF!</v>
      </c>
      <c r="AO8" s="9" t="e">
        <f>SUM(AI8,AK8,AL8,AM8)/4</f>
        <v>#REF!</v>
      </c>
      <c r="AP8" s="9">
        <f>'1'!BG8</f>
        <v>5.6224012902191242E-2</v>
      </c>
      <c r="AQ8" s="9">
        <f>'1'!BI8</f>
        <v>3.9946561660017352E-2</v>
      </c>
      <c r="AR8" s="9">
        <f>'2'!BG8</f>
        <v>0.15785953627863655</v>
      </c>
      <c r="AS8" s="9">
        <f>'2'!BI8</f>
        <v>0.23269200996821837</v>
      </c>
      <c r="AT8" s="9">
        <f>'3'!S8</f>
        <v>-41.292861930799653</v>
      </c>
      <c r="AU8" s="9" t="e">
        <f>'8'!AE5</f>
        <v>#REF!</v>
      </c>
      <c r="AV8" s="9" t="e">
        <f>SUM(AP8,AR8,AT8,AU8)/4</f>
        <v>#REF!</v>
      </c>
      <c r="AW8" s="9" t="e">
        <f>SUM(AQ8,AS8,AT8,AU8)/4</f>
        <v>#REF!</v>
      </c>
      <c r="AX8" s="9">
        <f>'1'!BQ8</f>
        <v>0.17118963708997967</v>
      </c>
      <c r="AY8" s="9">
        <f>'1'!BS8</f>
        <v>0.21218701412252566</v>
      </c>
      <c r="AZ8" s="9">
        <f>'2'!BQ8</f>
        <v>0.15969280418157433</v>
      </c>
      <c r="BA8" s="9">
        <f>'2'!BS8</f>
        <v>0.23590935724775663</v>
      </c>
      <c r="BB8" s="9">
        <f>'3'!V8</f>
        <v>-41.269291869468965</v>
      </c>
      <c r="BC8" s="9" t="e">
        <f>'8'!AJ5</f>
        <v>#REF!</v>
      </c>
      <c r="BD8" s="9" t="e">
        <f>SUM(AX8,AZ8,BB8,BC8)/4</f>
        <v>#REF!</v>
      </c>
      <c r="BE8" s="9" t="e">
        <f>SUM(AY8,BA8,BB8,BC8)/4</f>
        <v>#REF!</v>
      </c>
      <c r="BF8" s="9">
        <f>'1'!CA8</f>
        <v>0.1266627610322468</v>
      </c>
      <c r="BG8" s="9">
        <f>'1'!CC8</f>
        <v>0.14897035701114769</v>
      </c>
      <c r="BH8" s="9">
        <f>'2'!CA8</f>
        <v>0.21607209009362854</v>
      </c>
      <c r="BI8" s="9">
        <f>'2'!CC8</f>
        <v>0.32681075465456128</v>
      </c>
      <c r="BJ8" s="9">
        <f>'3'!Y8</f>
        <v>-61.228690455242877</v>
      </c>
      <c r="BK8" s="9" t="e">
        <f>'8'!AO5</f>
        <v>#REF!</v>
      </c>
      <c r="BL8" s="9" t="e">
        <f>SUM(BF8,BH8,BJ8,BK8)/4</f>
        <v>#REF!</v>
      </c>
      <c r="BM8" s="9" t="e">
        <f>SUM(BG8,BI8,BJ8,BK8)/4</f>
        <v>#REF!</v>
      </c>
      <c r="BN8" s="9">
        <f>'1'!CK8</f>
        <v>1.3077925063923111E-2</v>
      </c>
      <c r="BO8" s="9">
        <f>'1'!CM8</f>
        <v>-3.3268589750641814E-2</v>
      </c>
      <c r="BP8" s="9">
        <f>'2'!CK8</f>
        <v>0.30657179370537407</v>
      </c>
      <c r="BQ8" s="9">
        <f>'2'!CM8</f>
        <v>0.44758819428118407</v>
      </c>
      <c r="BR8" s="9">
        <f>'3'!AB8</f>
        <v>-62.175584769885326</v>
      </c>
      <c r="BS8" s="9" t="e">
        <f>'8'!AT5</f>
        <v>#REF!</v>
      </c>
      <c r="BT8" s="9" t="e">
        <f>SUM(BN8,BP8,BR8,BS8)/4</f>
        <v>#REF!</v>
      </c>
      <c r="BU8" s="9" t="e">
        <f>SUM(BO8,BQ8,BR8,BS8)/4</f>
        <v>#REF!</v>
      </c>
      <c r="BV8" s="9">
        <f>'1'!CU8</f>
        <v>0.12164088674446942</v>
      </c>
      <c r="BW8" s="9">
        <f>'1'!CW8</f>
        <v>0.14158147064749127</v>
      </c>
      <c r="BX8" s="9">
        <f>'2'!CU8</f>
        <v>0.2415980883363375</v>
      </c>
      <c r="BY8" s="9">
        <f>'2'!CW8</f>
        <v>0.36358311211320782</v>
      </c>
      <c r="BZ8" s="9">
        <f>'3'!AE8</f>
        <v>-52.036767110410516</v>
      </c>
      <c r="CA8" s="9" t="e">
        <f>'8'!AY5</f>
        <v>#REF!</v>
      </c>
      <c r="CB8" s="9" t="e">
        <f>SUM(BV8,BX8,BZ8,CA8)/4</f>
        <v>#REF!</v>
      </c>
      <c r="CC8" s="9" t="e">
        <f>SUM(BW8,BY8,BZ8,CA8)/4</f>
        <v>#REF!</v>
      </c>
      <c r="CD8" s="9">
        <f>'1'!DE8</f>
        <v>0.13780551677973304</v>
      </c>
      <c r="CE8" s="9">
        <f>'1'!DG8</f>
        <v>0.16517151640617717</v>
      </c>
      <c r="CF8" s="9">
        <f>'2'!DE8</f>
        <v>0.26908540722552432</v>
      </c>
      <c r="CG8" s="9">
        <f>'2'!DG8</f>
        <v>0.40066379342618608</v>
      </c>
      <c r="CH8" s="9">
        <f>'3'!AH8</f>
        <v>-46.326652926995003</v>
      </c>
      <c r="CI8" s="9" t="e">
        <f>'8'!BD5</f>
        <v>#REF!</v>
      </c>
      <c r="CJ8" s="9" t="e">
        <f>SUM(CD8,CF8,CH8,CI8)/4</f>
        <v>#REF!</v>
      </c>
      <c r="CK8" s="142" t="e">
        <f>SUM(CE8,CG8,CH8,CI8)/4</f>
        <v>#REF!</v>
      </c>
    </row>
    <row r="9" spans="1:89" hidden="1">
      <c r="A9" s="1">
        <v>1972</v>
      </c>
      <c r="B9" s="9">
        <f>'1'!I9</f>
        <v>0.11701940637881059</v>
      </c>
      <c r="C9" s="9">
        <f>'1'!K9</f>
        <v>0.13473280170859125</v>
      </c>
      <c r="D9" s="9">
        <f>'2'!I9</f>
        <v>0.18446376732384434</v>
      </c>
      <c r="E9" s="9">
        <f>'2'!K9</f>
        <v>0.27766795749607875</v>
      </c>
      <c r="F9" s="9">
        <f>'3'!D9</f>
        <v>-46.459539597108417</v>
      </c>
      <c r="G9" s="9" t="e">
        <f>'8'!F6</f>
        <v>#REF!</v>
      </c>
      <c r="H9" s="9" t="e">
        <f t="shared" ref="H9:H17" si="0">SUM(B9,D9,F9,G9)/4</f>
        <v>#REF!</v>
      </c>
      <c r="I9" s="9" t="e">
        <f t="shared" ref="I9:I17" si="1">SUM(C9,E9,F9,G9)/4</f>
        <v>#REF!</v>
      </c>
      <c r="J9" s="9">
        <f>'1'!S9</f>
        <v>2.5894125630057758E-3</v>
      </c>
      <c r="K9" s="9">
        <f>'1'!U9</f>
        <v>-5.1912721225290656E-2</v>
      </c>
      <c r="L9" s="9">
        <f>'2'!S9</f>
        <v>0.13896666149846171</v>
      </c>
      <c r="M9" s="9">
        <f>'2'!U9</f>
        <v>0.198416560835287</v>
      </c>
      <c r="N9" s="9">
        <f>'3'!G9</f>
        <v>-87.44282039190017</v>
      </c>
      <c r="O9" s="9" t="e">
        <f>'8'!K6</f>
        <v>#REF!</v>
      </c>
      <c r="P9" s="9" t="e">
        <f t="shared" ref="P9:P17" si="2">SUM(J9,L9,N9,O9)/4</f>
        <v>#REF!</v>
      </c>
      <c r="Q9" s="9" t="e">
        <f t="shared" ref="Q9:Q17" si="3">SUM(K9,M9,N9,O9)/4</f>
        <v>#REF!</v>
      </c>
      <c r="R9" s="9">
        <f>'1'!AC9</f>
        <v>8.9395039799158638E-2</v>
      </c>
      <c r="S9" s="9">
        <f>'1'!AE9</f>
        <v>9.2780878493023008E-2</v>
      </c>
      <c r="T9" s="9">
        <f>'2'!AC9</f>
        <v>6.7713291953682697E-2</v>
      </c>
      <c r="U9" s="9">
        <f>'2'!AE9</f>
        <v>4.6282963286511491E-2</v>
      </c>
      <c r="V9" s="9">
        <f>'3'!J9</f>
        <v>-73.855883474873721</v>
      </c>
      <c r="W9" s="9" t="e">
        <f>'8'!P6</f>
        <v>#REF!</v>
      </c>
      <c r="X9" s="9" t="e">
        <f t="shared" ref="X9:X17" si="4">SUM(R9,T9,V9,W9)/4</f>
        <v>#REF!</v>
      </c>
      <c r="Y9" s="9" t="e">
        <f t="shared" ref="Y9:Y17" si="5">SUM(S9,U9,V9,W9)/4</f>
        <v>#REF!</v>
      </c>
      <c r="Z9" s="9">
        <f>'1'!AM9</f>
        <v>0.11779214078635432</v>
      </c>
      <c r="AA9" s="9">
        <f>'1'!AO9</f>
        <v>0.13588122501184977</v>
      </c>
      <c r="AB9" s="9">
        <f>'2'!AM9</f>
        <v>0.11111257190512831</v>
      </c>
      <c r="AC9" s="9">
        <f>'2'!AO9</f>
        <v>0.14373704175378091</v>
      </c>
      <c r="AD9" s="9">
        <f>'3'!M9</f>
        <v>-51.230603824914851</v>
      </c>
      <c r="AE9" s="9" t="e">
        <f>'8'!U6</f>
        <v>#REF!</v>
      </c>
      <c r="AF9" s="9" t="e">
        <f t="shared" ref="AF9:AF17" si="6">SUM(Z9,AB9,AD9,AE9)/4</f>
        <v>#REF!</v>
      </c>
      <c r="AG9" s="9" t="e">
        <f t="shared" ref="AG9:AG17" si="7">SUM(AA9,AC9,AD9,AE9)/4</f>
        <v>#REF!</v>
      </c>
      <c r="AH9" s="9">
        <f>'1'!AW9</f>
        <v>4.5322110922740022E-2</v>
      </c>
      <c r="AI9" s="9">
        <f>'1'!AY9</f>
        <v>2.195016764162808E-2</v>
      </c>
      <c r="AJ9" s="9">
        <f>'2'!AW9</f>
        <v>0.11808227942356452</v>
      </c>
      <c r="AK9" s="9">
        <f>'2'!AY9</f>
        <v>0.15792589839189977</v>
      </c>
      <c r="AL9" s="9">
        <f>'3'!P9</f>
        <v>-61.037687169951042</v>
      </c>
      <c r="AM9" s="9" t="e">
        <f>'8'!Z6</f>
        <v>#REF!</v>
      </c>
      <c r="AN9" s="9" t="e">
        <f t="shared" ref="AN9:AN17" si="8">SUM(AH9,AJ9,AL9,AM9)/4</f>
        <v>#REF!</v>
      </c>
      <c r="AO9" s="9" t="e">
        <f t="shared" ref="AO9:AO17" si="9">SUM(AI9,AK9,AL9,AM9)/4</f>
        <v>#REF!</v>
      </c>
      <c r="AP9" s="9">
        <f>'1'!BG9</f>
        <v>7.9451696223627369E-2</v>
      </c>
      <c r="AQ9" s="9">
        <f>'1'!BI9</f>
        <v>7.7236034910803594E-2</v>
      </c>
      <c r="AR9" s="9">
        <f>'2'!BG9</f>
        <v>0.16060116109357234</v>
      </c>
      <c r="AS9" s="9">
        <f>'2'!BI9</f>
        <v>0.23749670982075108</v>
      </c>
      <c r="AT9" s="9">
        <f>'3'!S9</f>
        <v>-41.292861930799653</v>
      </c>
      <c r="AU9" s="9" t="e">
        <f>'8'!AE6</f>
        <v>#REF!</v>
      </c>
      <c r="AV9" s="9" t="e">
        <f t="shared" ref="AV9:AV17" si="10">SUM(AP9,AR9,AT9,AU9)/4</f>
        <v>#REF!</v>
      </c>
      <c r="AW9" s="9" t="e">
        <f t="shared" ref="AW9:AW17" si="11">SUM(AQ9,AS9,AT9,AU9)/4</f>
        <v>#REF!</v>
      </c>
      <c r="AX9" s="9">
        <f>'1'!BQ9</f>
        <v>0.19490336844051109</v>
      </c>
      <c r="AY9" s="9">
        <f>'1'!BS9</f>
        <v>0.24428163692473856</v>
      </c>
      <c r="AZ9" s="9">
        <f>'2'!BQ9</f>
        <v>0.16194006716399267</v>
      </c>
      <c r="BA9" s="9">
        <f>'2'!BS9</f>
        <v>0.23982830590446202</v>
      </c>
      <c r="BB9" s="9">
        <f>'3'!V9</f>
        <v>-41.269291869468965</v>
      </c>
      <c r="BC9" s="9" t="e">
        <f>'8'!AJ6</f>
        <v>#REF!</v>
      </c>
      <c r="BD9" s="9" t="e">
        <f t="shared" ref="BD9:BD17" si="12">SUM(AX9,AZ9,BB9,BC9)/4</f>
        <v>#REF!</v>
      </c>
      <c r="BE9" s="9" t="e">
        <f t="shared" ref="BE9:BE17" si="13">SUM(AY9,BA9,BB9,BC9)/4</f>
        <v>#REF!</v>
      </c>
      <c r="BF9" s="9">
        <f>'1'!CA9</f>
        <v>0.14764483322259325</v>
      </c>
      <c r="BG9" s="9">
        <f>'1'!CC9</f>
        <v>0.179261134221949</v>
      </c>
      <c r="BH9" s="9">
        <f>'2'!CA9</f>
        <v>0.21773206200284898</v>
      </c>
      <c r="BI9" s="9">
        <f>'2'!CC9</f>
        <v>0.32927659941237913</v>
      </c>
      <c r="BJ9" s="9">
        <f>'3'!Y9</f>
        <v>-61.228690455242877</v>
      </c>
      <c r="BK9" s="9" t="e">
        <f>'8'!AO6</f>
        <v>#REF!</v>
      </c>
      <c r="BL9" s="9" t="e">
        <f t="shared" ref="BL9:BL17" si="14">SUM(BF9,BH9,BJ9,BK9)/4</f>
        <v>#REF!</v>
      </c>
      <c r="BM9" s="9" t="e">
        <f t="shared" ref="BM9:BM17" si="15">SUM(BG9,BI9,BJ9,BK9)/4</f>
        <v>#REF!</v>
      </c>
      <c r="BN9" s="9">
        <f>'1'!CK9</f>
        <v>4.7271215409419448E-2</v>
      </c>
      <c r="BO9" s="9">
        <f>'1'!CM9</f>
        <v>2.5191689245728836E-2</v>
      </c>
      <c r="BP9" s="9">
        <f>'2'!CK9</f>
        <v>0.30311238567460042</v>
      </c>
      <c r="BQ9" s="9">
        <f>'2'!CM9</f>
        <v>0.44341815442797961</v>
      </c>
      <c r="BR9" s="9">
        <f>'3'!AB9</f>
        <v>-62.175584769885326</v>
      </c>
      <c r="BS9" s="9" t="e">
        <f>'8'!AT6</f>
        <v>#REF!</v>
      </c>
      <c r="BT9" s="9" t="e">
        <f t="shared" ref="BT9:BT17" si="16">SUM(BN9,BP9,BR9,BS9)/4</f>
        <v>#REF!</v>
      </c>
      <c r="BU9" s="9" t="e">
        <f t="shared" ref="BU9:BU17" si="17">SUM(BO9,BQ9,BR9,BS9)/4</f>
        <v>#REF!</v>
      </c>
      <c r="BV9" s="9">
        <f>'1'!CU9</f>
        <v>0.15091165735650389</v>
      </c>
      <c r="BW9" s="9">
        <f>'1'!CW9</f>
        <v>0.18389529401284924</v>
      </c>
      <c r="BX9" s="9">
        <f>'2'!CU9</f>
        <v>0.24106852498669612</v>
      </c>
      <c r="BY9" s="9">
        <f>'2'!CW9</f>
        <v>0.3628441572857159</v>
      </c>
      <c r="BZ9" s="9">
        <f>'3'!AE9</f>
        <v>-52.036767110410516</v>
      </c>
      <c r="CA9" s="9" t="e">
        <f>'8'!AY6</f>
        <v>#REF!</v>
      </c>
      <c r="CB9" s="9" t="e">
        <f t="shared" ref="CB9:CB17" si="18">SUM(BV9,BX9,BZ9,CA9)/4</f>
        <v>#REF!</v>
      </c>
      <c r="CC9" s="9" t="e">
        <f t="shared" ref="CC9:CC17" si="19">SUM(BW9,BY9,BZ9,CA9)/4</f>
        <v>#REF!</v>
      </c>
      <c r="CD9" s="9">
        <f>'1'!DE9</f>
        <v>0.16746903410538064</v>
      </c>
      <c r="CE9" s="9">
        <f>'1'!DG9</f>
        <v>0.20705603600821712</v>
      </c>
      <c r="CF9" s="9">
        <f>'2'!DE9</f>
        <v>0.26989759491711973</v>
      </c>
      <c r="CG9" s="9">
        <f>'2'!DG9</f>
        <v>0.40172309755741614</v>
      </c>
      <c r="CH9" s="9">
        <f>'3'!AH9</f>
        <v>-46.326652926995003</v>
      </c>
      <c r="CI9" s="9" t="e">
        <f>'8'!BD6</f>
        <v>#REF!</v>
      </c>
      <c r="CJ9" s="9" t="e">
        <f t="shared" ref="CJ9:CJ17" si="20">SUM(CD9,CF9,CH9,CI9)/4</f>
        <v>#REF!</v>
      </c>
      <c r="CK9" s="142" t="e">
        <f t="shared" ref="CK9:CK17" si="21">SUM(CE9,CG9,CH9,CI9)/4</f>
        <v>#REF!</v>
      </c>
    </row>
    <row r="10" spans="1:89" hidden="1">
      <c r="A10" s="1">
        <v>1973</v>
      </c>
      <c r="B10" s="9">
        <f>'1'!I10</f>
        <v>0.14042456734718101</v>
      </c>
      <c r="C10" s="9">
        <f>'1'!K10</f>
        <v>0.16894147879647725</v>
      </c>
      <c r="D10" s="9">
        <f>'2'!I10</f>
        <v>0.1879740233961798</v>
      </c>
      <c r="E10" s="9">
        <f>'2'!K10</f>
        <v>0.28334237294913689</v>
      </c>
      <c r="F10" s="9">
        <f>'3'!D10</f>
        <v>-46.459539597108417</v>
      </c>
      <c r="G10" s="9" t="e">
        <f>'8'!F7</f>
        <v>#REF!</v>
      </c>
      <c r="H10" s="9" t="e">
        <f>SUM(B10,D10,F10,G10)/4</f>
        <v>#REF!</v>
      </c>
      <c r="I10" s="9" t="e">
        <f>SUM(C10,E10,F10,G10)/4</f>
        <v>#REF!</v>
      </c>
      <c r="J10" s="9">
        <f>'1'!S10</f>
        <v>2.5739830537903206E-2</v>
      </c>
      <c r="K10" s="9">
        <f>'1'!U10</f>
        <v>-1.1217482358619154E-2</v>
      </c>
      <c r="L10" s="9">
        <f>'2'!S10</f>
        <v>0.13950414057840363</v>
      </c>
      <c r="M10" s="9">
        <f>'2'!U10</f>
        <v>0.19942109131092231</v>
      </c>
      <c r="N10" s="9">
        <f>'3'!G10</f>
        <v>-87.44282039190017</v>
      </c>
      <c r="O10" s="9" t="e">
        <f>'8'!K7</f>
        <v>#REF!</v>
      </c>
      <c r="P10" s="9" t="e">
        <f t="shared" si="2"/>
        <v>#REF!</v>
      </c>
      <c r="Q10" s="9" t="e">
        <f t="shared" si="3"/>
        <v>#REF!</v>
      </c>
      <c r="R10" s="9">
        <f>'1'!AC10</f>
        <v>0.13012305695109949</v>
      </c>
      <c r="S10" s="9">
        <f>'1'!AE10</f>
        <v>0.15402984068565281</v>
      </c>
      <c r="T10" s="9">
        <f>'2'!AC10</f>
        <v>7.3241703614914236E-2</v>
      </c>
      <c r="U10" s="9">
        <f>'2'!AE10</f>
        <v>5.9677111503833612E-2</v>
      </c>
      <c r="V10" s="9">
        <f>'3'!J10</f>
        <v>-73.855883474873721</v>
      </c>
      <c r="W10" s="9" t="e">
        <f>'8'!P7</f>
        <v>#REF!</v>
      </c>
      <c r="X10" s="9" t="e">
        <f t="shared" si="4"/>
        <v>#REF!</v>
      </c>
      <c r="Y10" s="9" t="e">
        <f t="shared" si="5"/>
        <v>#REF!</v>
      </c>
      <c r="Z10" s="9">
        <f>'1'!AM10</f>
        <v>0.1451847564371459</v>
      </c>
      <c r="AA10" s="9">
        <f>'1'!AO10</f>
        <v>0.17575706418875314</v>
      </c>
      <c r="AB10" s="9">
        <f>'2'!AM10</f>
        <v>0.11460129379679383</v>
      </c>
      <c r="AC10" s="9">
        <f>'2'!AO10</f>
        <v>0.1508841004059048</v>
      </c>
      <c r="AD10" s="9">
        <f>'3'!M10</f>
        <v>-51.230603824914851</v>
      </c>
      <c r="AE10" s="9" t="e">
        <f>'8'!U7</f>
        <v>#REF!</v>
      </c>
      <c r="AF10" s="9" t="e">
        <f t="shared" si="6"/>
        <v>#REF!</v>
      </c>
      <c r="AG10" s="9" t="e">
        <f t="shared" si="7"/>
        <v>#REF!</v>
      </c>
      <c r="AH10" s="9">
        <f>'1'!AW10</f>
        <v>5.2927324606308376E-2</v>
      </c>
      <c r="AI10" s="9">
        <f>'1'!AY10</f>
        <v>3.453883014622422E-2</v>
      </c>
      <c r="AJ10" s="9">
        <f>'2'!AW10</f>
        <v>0.1219471156694063</v>
      </c>
      <c r="AK10" s="9">
        <f>'2'!AY10</f>
        <v>0.1656422542353265</v>
      </c>
      <c r="AL10" s="9">
        <f>'3'!P10</f>
        <v>-61.037687169951042</v>
      </c>
      <c r="AM10" s="9" t="e">
        <f>'8'!Z7</f>
        <v>#REF!</v>
      </c>
      <c r="AN10" s="9" t="e">
        <f t="shared" si="8"/>
        <v>#REF!</v>
      </c>
      <c r="AO10" s="9" t="e">
        <f t="shared" si="9"/>
        <v>#REF!</v>
      </c>
      <c r="AP10" s="9">
        <f>'1'!BG10</f>
        <v>0.11517841301717084</v>
      </c>
      <c r="AQ10" s="9">
        <f>'1'!BI10</f>
        <v>0.13199139154012865</v>
      </c>
      <c r="AR10" s="9">
        <f>'2'!BG10</f>
        <v>0.16505726305514878</v>
      </c>
      <c r="AS10" s="9">
        <f>'2'!BI10</f>
        <v>0.24521948063984525</v>
      </c>
      <c r="AT10" s="9">
        <f>'3'!S10</f>
        <v>-41.292861930799653</v>
      </c>
      <c r="AU10" s="9" t="e">
        <f>'8'!AE7</f>
        <v>#REF!</v>
      </c>
      <c r="AV10" s="9" t="e">
        <f t="shared" si="10"/>
        <v>#REF!</v>
      </c>
      <c r="AW10" s="9" t="e">
        <f t="shared" si="11"/>
        <v>#REF!</v>
      </c>
      <c r="AX10" s="9">
        <f>'1'!BQ10</f>
        <v>0.22066435838334109</v>
      </c>
      <c r="AY10" s="9">
        <f>'1'!BS10</f>
        <v>0.27801086886818199</v>
      </c>
      <c r="AZ10" s="9">
        <f>'2'!BQ10</f>
        <v>0.165522488513411</v>
      </c>
      <c r="BA10" s="9">
        <f>'2'!BS10</f>
        <v>0.24601967097493183</v>
      </c>
      <c r="BB10" s="9">
        <f>'3'!V10</f>
        <v>-41.269291869468965</v>
      </c>
      <c r="BC10" s="9" t="e">
        <f>'8'!AJ7</f>
        <v>#REF!</v>
      </c>
      <c r="BD10" s="9" t="e">
        <f t="shared" si="12"/>
        <v>#REF!</v>
      </c>
      <c r="BE10" s="9" t="e">
        <f t="shared" si="13"/>
        <v>#REF!</v>
      </c>
      <c r="BF10" s="9">
        <f>'1'!CA10</f>
        <v>0.17549003198845856</v>
      </c>
      <c r="BG10" s="9">
        <f>'1'!CC10</f>
        <v>0.21808473988423713</v>
      </c>
      <c r="BH10" s="9">
        <f>'2'!CA10</f>
        <v>0.22000816179587743</v>
      </c>
      <c r="BI10" s="9">
        <f>'2'!CC10</f>
        <v>0.33264020181805054</v>
      </c>
      <c r="BJ10" s="9">
        <f>'3'!Y10</f>
        <v>-61.228690455242877</v>
      </c>
      <c r="BK10" s="9" t="e">
        <f>'8'!AO7</f>
        <v>#REF!</v>
      </c>
      <c r="BL10" s="9" t="e">
        <f t="shared" si="14"/>
        <v>#REF!</v>
      </c>
      <c r="BM10" s="9" t="e">
        <f t="shared" si="15"/>
        <v>#REF!</v>
      </c>
      <c r="BN10" s="9">
        <f>'1'!CK10</f>
        <v>7.6673146900038541E-2</v>
      </c>
      <c r="BO10" s="9">
        <f>'1'!CM10</f>
        <v>7.2848379042191463E-2</v>
      </c>
      <c r="BP10" s="9">
        <f>'2'!CK10</f>
        <v>0.30480393190451716</v>
      </c>
      <c r="BQ10" s="9">
        <f>'2'!CM10</f>
        <v>0.4454610424040274</v>
      </c>
      <c r="BR10" s="9">
        <f>'3'!AB10</f>
        <v>-62.175584769885326</v>
      </c>
      <c r="BS10" s="9" t="e">
        <f>'8'!AT7</f>
        <v>#REF!</v>
      </c>
      <c r="BT10" s="9" t="e">
        <f t="shared" si="16"/>
        <v>#REF!</v>
      </c>
      <c r="BU10" s="9" t="e">
        <f t="shared" si="17"/>
        <v>#REF!</v>
      </c>
      <c r="BV10" s="9">
        <f>'1'!CU10</f>
        <v>0.19048774376849695</v>
      </c>
      <c r="BW10" s="9">
        <f>'1'!CW10</f>
        <v>0.23838346723277301</v>
      </c>
      <c r="BX10" s="9">
        <f>'2'!CU10</f>
        <v>0.26933007881023613</v>
      </c>
      <c r="BY10" s="9">
        <f>'2'!CW10</f>
        <v>0.40098311895205185</v>
      </c>
      <c r="BZ10" s="9">
        <f>'3'!AE10</f>
        <v>-52.036767110410516</v>
      </c>
      <c r="CA10" s="9" t="e">
        <f>'8'!AY7</f>
        <v>#REF!</v>
      </c>
      <c r="CB10" s="9" t="e">
        <f t="shared" si="18"/>
        <v>#REF!</v>
      </c>
      <c r="CC10" s="9" t="e">
        <f t="shared" si="19"/>
        <v>#REF!</v>
      </c>
      <c r="CD10" s="9">
        <f>'1'!DE10</f>
        <v>0.20138348001919087</v>
      </c>
      <c r="CE10" s="9">
        <f>'1'!DG10</f>
        <v>0.25287453583476444</v>
      </c>
      <c r="CF10" s="9">
        <f>'2'!DE10</f>
        <v>0.27626040124614148</v>
      </c>
      <c r="CG10" s="9">
        <f>'2'!DG10</f>
        <v>0.40995350732031161</v>
      </c>
      <c r="CH10" s="9">
        <f>'3'!AH10</f>
        <v>-46.326652926995003</v>
      </c>
      <c r="CI10" s="9" t="e">
        <f>'8'!BD7</f>
        <v>#REF!</v>
      </c>
      <c r="CJ10" s="9" t="e">
        <f t="shared" si="20"/>
        <v>#REF!</v>
      </c>
      <c r="CK10" s="142" t="e">
        <f t="shared" si="21"/>
        <v>#REF!</v>
      </c>
    </row>
    <row r="11" spans="1:89" hidden="1">
      <c r="A11" s="1">
        <v>1974</v>
      </c>
      <c r="B11" s="9">
        <f>'1'!I11</f>
        <v>0.15667009511655916</v>
      </c>
      <c r="C11" s="9">
        <f>'1'!K11</f>
        <v>0.19201167353458995</v>
      </c>
      <c r="D11" s="9">
        <f>'2'!I11</f>
        <v>0.19036063609921283</v>
      </c>
      <c r="E11" s="9">
        <f>'2'!K11</f>
        <v>0.28716794494552289</v>
      </c>
      <c r="F11" s="9">
        <f>'3'!D11</f>
        <v>-46.457663086515652</v>
      </c>
      <c r="G11" s="9" t="e">
        <f>'8'!F8</f>
        <v>#REF!</v>
      </c>
      <c r="H11" s="9" t="e">
        <f t="shared" si="0"/>
        <v>#REF!</v>
      </c>
      <c r="I11" s="9" t="e">
        <f t="shared" si="1"/>
        <v>#REF!</v>
      </c>
      <c r="J11" s="9">
        <f>'1'!S11</f>
        <v>5.7303145352137402E-2</v>
      </c>
      <c r="K11" s="9">
        <f>'1'!U11</f>
        <v>4.1710344266765814E-2</v>
      </c>
      <c r="L11" s="9">
        <f>'2'!S11</f>
        <v>0.14152999978354736</v>
      </c>
      <c r="M11" s="9">
        <f>'2'!U11</f>
        <v>0.20319130568088586</v>
      </c>
      <c r="N11" s="9">
        <f>'3'!G11</f>
        <v>-87.439966198175895</v>
      </c>
      <c r="O11" s="9" t="e">
        <f>'8'!K8</f>
        <v>#REF!</v>
      </c>
      <c r="P11" s="9" t="e">
        <f t="shared" si="2"/>
        <v>#REF!</v>
      </c>
      <c r="Q11" s="9" t="e">
        <f t="shared" si="3"/>
        <v>#REF!</v>
      </c>
      <c r="R11" s="9">
        <f>'1'!AC11</f>
        <v>0.15674721092182259</v>
      </c>
      <c r="S11" s="9">
        <f>'1'!AE11</f>
        <v>0.19211991774968218</v>
      </c>
      <c r="T11" s="9">
        <f>'2'!AC11</f>
        <v>7.6205404211708974E-2</v>
      </c>
      <c r="U11" s="9">
        <f>'2'!AE11</f>
        <v>6.6728270060586209E-2</v>
      </c>
      <c r="V11" s="9">
        <f>'3'!J11</f>
        <v>-73.844297223950846</v>
      </c>
      <c r="W11" s="9" t="e">
        <f>'8'!P8</f>
        <v>#REF!</v>
      </c>
      <c r="X11" s="9" t="e">
        <f t="shared" si="4"/>
        <v>#REF!</v>
      </c>
      <c r="Y11" s="9" t="e">
        <f t="shared" si="5"/>
        <v>#REF!</v>
      </c>
      <c r="Z11" s="9">
        <f>'1'!AM11</f>
        <v>0.18141872196920064</v>
      </c>
      <c r="AA11" s="9">
        <f>'1'!AO11</f>
        <v>0.22615859186423803</v>
      </c>
      <c r="AB11" s="9">
        <f>'2'!AM11</f>
        <v>0.11796817052604915</v>
      </c>
      <c r="AC11" s="9">
        <f>'2'!AO11</f>
        <v>0.15769645648764188</v>
      </c>
      <c r="AD11" s="9">
        <f>'3'!M11</f>
        <v>-51.22519050547529</v>
      </c>
      <c r="AE11" s="9" t="e">
        <f>'8'!U8</f>
        <v>#REF!</v>
      </c>
      <c r="AF11" s="9" t="e">
        <f t="shared" si="6"/>
        <v>#REF!</v>
      </c>
      <c r="AG11" s="9" t="e">
        <f t="shared" si="7"/>
        <v>#REF!</v>
      </c>
      <c r="AH11" s="9">
        <f>'1'!AW11</f>
        <v>7.4120690290924676E-2</v>
      </c>
      <c r="AI11" s="9">
        <f>'1'!AY11</f>
        <v>6.8800602574472153E-2</v>
      </c>
      <c r="AJ11" s="9">
        <f>'2'!AW11</f>
        <v>0.13470367282978349</v>
      </c>
      <c r="AK11" s="9">
        <f>'2'!AY11</f>
        <v>0.19038496481371858</v>
      </c>
      <c r="AL11" s="9">
        <f>'3'!P11</f>
        <v>-61.041362834804609</v>
      </c>
      <c r="AM11" s="9" t="e">
        <f>'8'!Z8</f>
        <v>#REF!</v>
      </c>
      <c r="AN11" s="9" t="e">
        <f t="shared" si="8"/>
        <v>#REF!</v>
      </c>
      <c r="AO11" s="9" t="e">
        <f t="shared" si="9"/>
        <v>#REF!</v>
      </c>
      <c r="AP11" s="9">
        <f>'1'!BG11</f>
        <v>0.1370364837946457</v>
      </c>
      <c r="AQ11" s="9">
        <f>'1'!BI11</f>
        <v>0.16406181830860714</v>
      </c>
      <c r="AR11" s="9">
        <f>'2'!BG11</f>
        <v>0.17021454062564204</v>
      </c>
      <c r="AS11" s="9">
        <f>'2'!BI11</f>
        <v>0.25402699774085374</v>
      </c>
      <c r="AT11" s="9">
        <f>'3'!S11</f>
        <v>-41.28140434669389</v>
      </c>
      <c r="AU11" s="9" t="e">
        <f>'8'!AE8</f>
        <v>#REF!</v>
      </c>
      <c r="AV11" s="9" t="e">
        <f t="shared" si="10"/>
        <v>#REF!</v>
      </c>
      <c r="AW11" s="9" t="e">
        <f t="shared" si="11"/>
        <v>#REF!</v>
      </c>
      <c r="AX11" s="9">
        <f>'1'!BQ11</f>
        <v>0.24697777184003003</v>
      </c>
      <c r="AY11" s="9">
        <f>'1'!BS11</f>
        <v>0.31132047953146885</v>
      </c>
      <c r="AZ11" s="9">
        <f>'2'!BQ11</f>
        <v>0.16936964928392917</v>
      </c>
      <c r="BA11" s="9">
        <f>'2'!BS11</f>
        <v>0.25259352212616382</v>
      </c>
      <c r="BB11" s="9">
        <f>'3'!V11</f>
        <v>-41.266663016901475</v>
      </c>
      <c r="BC11" s="9" t="e">
        <f>'8'!AJ8</f>
        <v>#REF!</v>
      </c>
      <c r="BD11" s="9" t="e">
        <f t="shared" si="12"/>
        <v>#REF!</v>
      </c>
      <c r="BE11" s="9" t="e">
        <f t="shared" si="13"/>
        <v>#REF!</v>
      </c>
      <c r="BF11" s="9">
        <f>'1'!CA11</f>
        <v>0.20600645308420301</v>
      </c>
      <c r="BG11" s="9">
        <f>'1'!CC11</f>
        <v>0.25895968478189596</v>
      </c>
      <c r="BH11" s="9">
        <f>'2'!CA11</f>
        <v>0.22169947193785583</v>
      </c>
      <c r="BI11" s="9">
        <f>'2'!CC11</f>
        <v>0.33512663968444001</v>
      </c>
      <c r="BJ11" s="9">
        <f>'3'!Y11</f>
        <v>-61.219915101696678</v>
      </c>
      <c r="BK11" s="9" t="e">
        <f>'8'!AO8</f>
        <v>#REF!</v>
      </c>
      <c r="BL11" s="9" t="e">
        <f t="shared" si="14"/>
        <v>#REF!</v>
      </c>
      <c r="BM11" s="9" t="e">
        <f t="shared" si="15"/>
        <v>#REF!</v>
      </c>
      <c r="BN11" s="9">
        <f>'1'!CK11</f>
        <v>0.13695212040339574</v>
      </c>
      <c r="BO11" s="9">
        <f>'1'!CM11</f>
        <v>0.16394000826898886</v>
      </c>
      <c r="BP11" s="9">
        <f>'2'!CK11</f>
        <v>0.30798845645659978</v>
      </c>
      <c r="BQ11" s="9">
        <f>'2'!CM11</f>
        <v>0.44928698224322722</v>
      </c>
      <c r="BR11" s="9">
        <f>'3'!AB11</f>
        <v>-62.194542448042029</v>
      </c>
      <c r="BS11" s="9" t="e">
        <f>'8'!AT8</f>
        <v>#REF!</v>
      </c>
      <c r="BT11" s="9" t="e">
        <f t="shared" si="16"/>
        <v>#REF!</v>
      </c>
      <c r="BU11" s="9" t="e">
        <f t="shared" si="17"/>
        <v>#REF!</v>
      </c>
      <c r="BV11" s="9">
        <f>'1'!CU11</f>
        <v>0.23851755972165808</v>
      </c>
      <c r="BW11" s="9">
        <f>'1'!CW11</f>
        <v>0.30073218734784096</v>
      </c>
      <c r="BX11" s="9">
        <f>'2'!CU11</f>
        <v>0.33996310890536313</v>
      </c>
      <c r="BY11" s="9">
        <f>'2'!CW11</f>
        <v>0.48632436070842278</v>
      </c>
      <c r="BZ11" s="9">
        <f>'3'!AE11</f>
        <v>-52.058527021079009</v>
      </c>
      <c r="CA11" s="9" t="e">
        <f>'8'!AY8</f>
        <v>#REF!</v>
      </c>
      <c r="CB11" s="9" t="e">
        <f t="shared" si="18"/>
        <v>#REF!</v>
      </c>
      <c r="CC11" s="9" t="e">
        <f t="shared" si="19"/>
        <v>#REF!</v>
      </c>
      <c r="CD11" s="9">
        <f>'1'!DE11</f>
        <v>0.24645220588302014</v>
      </c>
      <c r="CE11" s="9">
        <f>'1'!DG11</f>
        <v>0.31066598985490684</v>
      </c>
      <c r="CF11" s="9">
        <f>'2'!DE11</f>
        <v>0.27309027700476329</v>
      </c>
      <c r="CG11" s="9">
        <f>'2'!DG11</f>
        <v>0.40586795090083516</v>
      </c>
      <c r="CH11" s="9">
        <f>'3'!AH11</f>
        <v>-46.344817049310002</v>
      </c>
      <c r="CI11" s="9" t="e">
        <f>'8'!BD8</f>
        <v>#REF!</v>
      </c>
      <c r="CJ11" s="9" t="e">
        <f t="shared" si="20"/>
        <v>#REF!</v>
      </c>
      <c r="CK11" s="142" t="e">
        <f t="shared" si="21"/>
        <v>#REF!</v>
      </c>
    </row>
    <row r="12" spans="1:89" hidden="1">
      <c r="A12" s="1">
        <v>1975</v>
      </c>
      <c r="B12" s="9">
        <f>'1'!I12</f>
        <v>0.17627869346084327</v>
      </c>
      <c r="C12" s="9">
        <f>'1'!K12</f>
        <v>0.21916255159999537</v>
      </c>
      <c r="D12" s="9">
        <f>'2'!I12</f>
        <v>0.1915218716260664</v>
      </c>
      <c r="E12" s="9">
        <f>'2'!K12</f>
        <v>0.28901995227485333</v>
      </c>
      <c r="F12" s="9">
        <f>'3'!D12</f>
        <v>-46.455786575922893</v>
      </c>
      <c r="G12" s="9" t="e">
        <f>'8'!F9</f>
        <v>#REF!</v>
      </c>
      <c r="H12" s="9" t="e">
        <f t="shared" si="0"/>
        <v>#REF!</v>
      </c>
      <c r="I12" s="9" t="e">
        <f t="shared" si="1"/>
        <v>#REF!</v>
      </c>
      <c r="J12" s="9">
        <f>'1'!S12</f>
        <v>8.1780805350767524E-2</v>
      </c>
      <c r="K12" s="9">
        <f>'1'!U12</f>
        <v>8.0899101556527603E-2</v>
      </c>
      <c r="L12" s="9">
        <f>'2'!S12</f>
        <v>0.13899596912834475</v>
      </c>
      <c r="M12" s="9">
        <f>'2'!U12</f>
        <v>0.19847138210454693</v>
      </c>
      <c r="N12" s="9">
        <f>'3'!G12</f>
        <v>-87.43711200445162</v>
      </c>
      <c r="O12" s="9" t="e">
        <f>'8'!K9</f>
        <v>#REF!</v>
      </c>
      <c r="P12" s="9" t="e">
        <f t="shared" si="2"/>
        <v>#REF!</v>
      </c>
      <c r="Q12" s="9" t="e">
        <f t="shared" si="3"/>
        <v>#REF!</v>
      </c>
      <c r="R12" s="9">
        <f>'1'!AC12</f>
        <v>0.19233748999705619</v>
      </c>
      <c r="S12" s="9">
        <f>'1'!AE12</f>
        <v>0.2408585284475564</v>
      </c>
      <c r="T12" s="9">
        <f>'2'!AC12</f>
        <v>7.7454191193426461E-2</v>
      </c>
      <c r="U12" s="9">
        <f>'2'!AE12</f>
        <v>6.9673074202520169E-2</v>
      </c>
      <c r="V12" s="9">
        <f>'3'!J12</f>
        <v>-73.832710973027972</v>
      </c>
      <c r="W12" s="9" t="e">
        <f>'8'!P9</f>
        <v>#REF!</v>
      </c>
      <c r="X12" s="9" t="e">
        <f t="shared" si="4"/>
        <v>#REF!</v>
      </c>
      <c r="Y12" s="9" t="e">
        <f t="shared" si="5"/>
        <v>#REF!</v>
      </c>
      <c r="Z12" s="9">
        <f>'1'!AM12</f>
        <v>0.20252667241918984</v>
      </c>
      <c r="AA12" s="9">
        <f>'1'!AO12</f>
        <v>0.25438277477023619</v>
      </c>
      <c r="AB12" s="9">
        <f>'2'!AM12</f>
        <v>0.11906144780304653</v>
      </c>
      <c r="AC12" s="9">
        <f>'2'!AO12</f>
        <v>0.15989089993278777</v>
      </c>
      <c r="AD12" s="9">
        <f>'3'!M12</f>
        <v>-51.219777186035735</v>
      </c>
      <c r="AE12" s="9" t="e">
        <f>'8'!U9</f>
        <v>#REF!</v>
      </c>
      <c r="AF12" s="9" t="e">
        <f t="shared" si="6"/>
        <v>#REF!</v>
      </c>
      <c r="AG12" s="9" t="e">
        <f t="shared" si="7"/>
        <v>#REF!</v>
      </c>
      <c r="AH12" s="9">
        <f>'1'!AW12</f>
        <v>0.10072057943871146</v>
      </c>
      <c r="AI12" s="9">
        <f>'1'!AY12</f>
        <v>0.11019526163607579</v>
      </c>
      <c r="AJ12" s="9">
        <f>'2'!AW12</f>
        <v>0.1408775998370807</v>
      </c>
      <c r="AK12" s="9">
        <f>'2'!AY12</f>
        <v>0.2019799178391212</v>
      </c>
      <c r="AL12" s="9">
        <f>'3'!P12</f>
        <v>-61.045038499658169</v>
      </c>
      <c r="AM12" s="9" t="e">
        <f>'8'!Z9</f>
        <v>#REF!</v>
      </c>
      <c r="AN12" s="9" t="e">
        <f t="shared" si="8"/>
        <v>#REF!</v>
      </c>
      <c r="AO12" s="9" t="e">
        <f t="shared" si="9"/>
        <v>#REF!</v>
      </c>
      <c r="AP12" s="9">
        <f>'1'!BG12</f>
        <v>0.16010866461186965</v>
      </c>
      <c r="AQ12" s="9">
        <f>'1'!BI12</f>
        <v>0.19682682479393981</v>
      </c>
      <c r="AR12" s="9">
        <f>'2'!BG12</f>
        <v>0.17341672314485557</v>
      </c>
      <c r="AS12" s="9">
        <f>'2'!BI12</f>
        <v>0.25942701168013405</v>
      </c>
      <c r="AT12" s="9">
        <f>'3'!S12</f>
        <v>-41.269946762588127</v>
      </c>
      <c r="AU12" s="9" t="e">
        <f>'8'!AE9</f>
        <v>#REF!</v>
      </c>
      <c r="AV12" s="9" t="e">
        <f t="shared" si="10"/>
        <v>#REF!</v>
      </c>
      <c r="AW12" s="9" t="e">
        <f t="shared" si="11"/>
        <v>#REF!</v>
      </c>
      <c r="AX12" s="9">
        <f>'1'!BQ12</f>
        <v>0.27348310403594156</v>
      </c>
      <c r="AY12" s="9">
        <f>'1'!BS12</f>
        <v>0.34378073533594206</v>
      </c>
      <c r="AZ12" s="9">
        <f>'2'!BQ12</f>
        <v>0.17059700118734988</v>
      </c>
      <c r="BA12" s="9">
        <f>'2'!BS12</f>
        <v>0.25467469558411365</v>
      </c>
      <c r="BB12" s="9">
        <f>'3'!V12</f>
        <v>-41.264034164333992</v>
      </c>
      <c r="BC12" s="9" t="e">
        <f>'8'!AJ9</f>
        <v>#REF!</v>
      </c>
      <c r="BD12" s="9" t="e">
        <f t="shared" si="12"/>
        <v>#REF!</v>
      </c>
      <c r="BE12" s="9" t="e">
        <f t="shared" si="13"/>
        <v>#REF!</v>
      </c>
      <c r="BF12" s="9">
        <f>'1'!CA12</f>
        <v>0.22382835048391519</v>
      </c>
      <c r="BG12" s="9">
        <f>'1'!CC12</f>
        <v>0.28207567238815395</v>
      </c>
      <c r="BH12" s="9">
        <f>'2'!CA12</f>
        <v>0.22232355051983427</v>
      </c>
      <c r="BI12" s="9">
        <f>'2'!CC12</f>
        <v>0.33604134334715363</v>
      </c>
      <c r="BJ12" s="9">
        <f>'3'!Y12</f>
        <v>-61.211139748150487</v>
      </c>
      <c r="BK12" s="9" t="e">
        <f>'8'!AO9</f>
        <v>#REF!</v>
      </c>
      <c r="BL12" s="9" t="e">
        <f t="shared" si="14"/>
        <v>#REF!</v>
      </c>
      <c r="BM12" s="9" t="e">
        <f t="shared" si="15"/>
        <v>#REF!</v>
      </c>
      <c r="BN12" s="9">
        <f>'1'!CK12</f>
        <v>0.19026976059198314</v>
      </c>
      <c r="BO12" s="9">
        <f>'1'!CM12</f>
        <v>0.23809138733362956</v>
      </c>
      <c r="BP12" s="9">
        <f>'2'!CK12</f>
        <v>0.30331827630138131</v>
      </c>
      <c r="BQ12" s="9">
        <f>'2'!CM12</f>
        <v>0.44366720656511927</v>
      </c>
      <c r="BR12" s="9">
        <f>'3'!AB12</f>
        <v>-62.213500126198731</v>
      </c>
      <c r="BS12" s="9" t="e">
        <f>'8'!AT9</f>
        <v>#REF!</v>
      </c>
      <c r="BT12" s="9" t="e">
        <f t="shared" si="16"/>
        <v>#REF!</v>
      </c>
      <c r="BU12" s="9" t="e">
        <f t="shared" si="17"/>
        <v>#REF!</v>
      </c>
      <c r="BV12" s="9">
        <f>'1'!CU12</f>
        <v>0.28885023544913124</v>
      </c>
      <c r="BW12" s="9">
        <f>'1'!CW12</f>
        <v>0.36212585637971378</v>
      </c>
      <c r="BX12" s="9">
        <f>'2'!CU12</f>
        <v>0.37861369303241471</v>
      </c>
      <c r="BY12" s="9">
        <f>'2'!CW12</f>
        <v>0.52806370544308889</v>
      </c>
      <c r="BZ12" s="9">
        <f>'3'!AE12</f>
        <v>-52.080286931747509</v>
      </c>
      <c r="CA12" s="9" t="e">
        <f>'8'!AY9</f>
        <v>#REF!</v>
      </c>
      <c r="CB12" s="9" t="e">
        <f t="shared" si="18"/>
        <v>#REF!</v>
      </c>
      <c r="CC12" s="9" t="e">
        <f t="shared" si="19"/>
        <v>#REF!</v>
      </c>
      <c r="CD12" s="9">
        <f>'1'!DE12</f>
        <v>0.27596989850844073</v>
      </c>
      <c r="CE12" s="9">
        <f>'1'!DG12</f>
        <v>0.34677251297489753</v>
      </c>
      <c r="CF12" s="9">
        <f>'2'!DE12</f>
        <v>0.266553346803238</v>
      </c>
      <c r="CG12" s="9">
        <f>'2'!DG12</f>
        <v>0.39734845970050231</v>
      </c>
      <c r="CH12" s="9">
        <f>'3'!AH12</f>
        <v>-46.362981171625002</v>
      </c>
      <c r="CI12" s="9" t="e">
        <f>'8'!BD9</f>
        <v>#REF!</v>
      </c>
      <c r="CJ12" s="9" t="e">
        <f t="shared" si="20"/>
        <v>#REF!</v>
      </c>
      <c r="CK12" s="142" t="e">
        <f t="shared" si="21"/>
        <v>#REF!</v>
      </c>
    </row>
    <row r="13" spans="1:89" hidden="1">
      <c r="A13" s="1">
        <v>1976</v>
      </c>
      <c r="B13" s="9">
        <f>'1'!I13</f>
        <v>0.19630893151526885</v>
      </c>
      <c r="C13" s="9">
        <f>'1'!K13</f>
        <v>0.24615179438609688</v>
      </c>
      <c r="D13" s="9">
        <f>'2'!I13</f>
        <v>0.20342458928402068</v>
      </c>
      <c r="E13" s="9">
        <f>'2'!K13</f>
        <v>0.30765948316408981</v>
      </c>
      <c r="F13" s="9">
        <f>'3'!D13</f>
        <v>-46.452971810033745</v>
      </c>
      <c r="G13" s="9" t="e">
        <f>'8'!F10</f>
        <v>#REF!</v>
      </c>
      <c r="H13" s="9" t="e">
        <f t="shared" si="0"/>
        <v>#REF!</v>
      </c>
      <c r="I13" s="9" t="e">
        <f t="shared" si="1"/>
        <v>#REF!</v>
      </c>
      <c r="J13" s="9">
        <f>'1'!S13</f>
        <v>9.6300027666184035E-2</v>
      </c>
      <c r="K13" s="9">
        <f>'1'!U13</f>
        <v>0.10343440148278413</v>
      </c>
      <c r="L13" s="9">
        <f>'2'!S13</f>
        <v>0.1237257938219465</v>
      </c>
      <c r="M13" s="9">
        <f>'2'!U13</f>
        <v>0.1691582091081231</v>
      </c>
      <c r="N13" s="9">
        <f>'3'!G13</f>
        <v>-87.412185379259611</v>
      </c>
      <c r="O13" s="9" t="e">
        <f>'8'!K10</f>
        <v>#REF!</v>
      </c>
      <c r="P13" s="9" t="e">
        <f t="shared" si="2"/>
        <v>#REF!</v>
      </c>
      <c r="Q13" s="9" t="e">
        <f t="shared" si="3"/>
        <v>#REF!</v>
      </c>
      <c r="R13" s="9">
        <f>'1'!AC13</f>
        <v>0.22587763313615664</v>
      </c>
      <c r="S13" s="9">
        <f>'1'!AE13</f>
        <v>0.28469955453350698</v>
      </c>
      <c r="T13" s="9">
        <f>'2'!AC13</f>
        <v>7.1273227996526037E-2</v>
      </c>
      <c r="U13" s="9">
        <f>'2'!AE13</f>
        <v>5.4944414593473163E-2</v>
      </c>
      <c r="V13" s="9">
        <f>'3'!J13</f>
        <v>-73.835554362143341</v>
      </c>
      <c r="W13" s="9" t="e">
        <f>'8'!P10</f>
        <v>#REF!</v>
      </c>
      <c r="X13" s="9" t="e">
        <f t="shared" si="4"/>
        <v>#REF!</v>
      </c>
      <c r="Y13" s="9" t="e">
        <f t="shared" si="5"/>
        <v>#REF!</v>
      </c>
      <c r="Z13" s="9">
        <f>'1'!AM13</f>
        <v>0.24779738211647265</v>
      </c>
      <c r="AA13" s="9">
        <f>'1'!AO13</f>
        <v>0.31234028426431837</v>
      </c>
      <c r="AB13" s="9">
        <f>'2'!AM13</f>
        <v>0.11896429501176536</v>
      </c>
      <c r="AC13" s="9">
        <f>'2'!AO13</f>
        <v>0.15969623966825883</v>
      </c>
      <c r="AD13" s="9">
        <f>'3'!M13</f>
        <v>-51.224162211171269</v>
      </c>
      <c r="AE13" s="9" t="e">
        <f>'8'!U10</f>
        <v>#REF!</v>
      </c>
      <c r="AF13" s="9" t="e">
        <f t="shared" si="6"/>
        <v>#REF!</v>
      </c>
      <c r="AG13" s="9" t="e">
        <f t="shared" si="7"/>
        <v>#REF!</v>
      </c>
      <c r="AH13" s="9">
        <f>'1'!AW13</f>
        <v>0.1202438167095297</v>
      </c>
      <c r="AI13" s="9">
        <f>'1'!AY13</f>
        <v>0.1395160972441179</v>
      </c>
      <c r="AJ13" s="9">
        <f>'2'!AW13</f>
        <v>0.13537247919063625</v>
      </c>
      <c r="AK13" s="9">
        <f>'2'!AY13</f>
        <v>0.19165262809195238</v>
      </c>
      <c r="AL13" s="9">
        <f>'3'!P13</f>
        <v>-61.056356290488921</v>
      </c>
      <c r="AM13" s="9" t="e">
        <f>'8'!Z10</f>
        <v>#REF!</v>
      </c>
      <c r="AN13" s="9" t="e">
        <f t="shared" si="8"/>
        <v>#REF!</v>
      </c>
      <c r="AO13" s="9" t="e">
        <f t="shared" si="9"/>
        <v>#REF!</v>
      </c>
      <c r="AP13" s="9">
        <f>'1'!BG13</f>
        <v>0.18492236822300859</v>
      </c>
      <c r="AQ13" s="9">
        <f>'1'!BI13</f>
        <v>0.23089929018851513</v>
      </c>
      <c r="AR13" s="9">
        <f>'2'!BG13</f>
        <v>0.16957077529556883</v>
      </c>
      <c r="AS13" s="9">
        <f>'2'!BI13</f>
        <v>0.25293509195127756</v>
      </c>
      <c r="AT13" s="9">
        <f>'3'!S13</f>
        <v>-41.273050104112137</v>
      </c>
      <c r="AU13" s="9" t="e">
        <f>'8'!AE10</f>
        <v>#REF!</v>
      </c>
      <c r="AV13" s="9" t="e">
        <f t="shared" si="10"/>
        <v>#REF!</v>
      </c>
      <c r="AW13" s="9" t="e">
        <f t="shared" si="11"/>
        <v>#REF!</v>
      </c>
      <c r="AX13" s="9">
        <f>'1'!BQ13</f>
        <v>0.29601655225865847</v>
      </c>
      <c r="AY13" s="9">
        <f>'1'!BS13</f>
        <v>0.37056647610921928</v>
      </c>
      <c r="AZ13" s="9">
        <f>'2'!BQ13</f>
        <v>0.17500502750655153</v>
      </c>
      <c r="BA13" s="9">
        <f>'2'!BS13</f>
        <v>0.26208633576989682</v>
      </c>
      <c r="BB13" s="9">
        <f>'3'!V13</f>
        <v>-41.267893030488096</v>
      </c>
      <c r="BC13" s="9" t="e">
        <f>'8'!AJ10</f>
        <v>#REF!</v>
      </c>
      <c r="BD13" s="9" t="e">
        <f t="shared" si="12"/>
        <v>#REF!</v>
      </c>
      <c r="BE13" s="9" t="e">
        <f t="shared" si="13"/>
        <v>#REF!</v>
      </c>
      <c r="BF13" s="9">
        <f>'1'!CA13</f>
        <v>0.25616271397513662</v>
      </c>
      <c r="BG13" s="9">
        <f>'1'!CC13</f>
        <v>0.3226894667523843</v>
      </c>
      <c r="BH13" s="9">
        <f>'2'!CA13</f>
        <v>0.22465988999906616</v>
      </c>
      <c r="BI13" s="9">
        <f>'2'!CC13</f>
        <v>0.33945253253001961</v>
      </c>
      <c r="BJ13" s="9">
        <f>'3'!Y13</f>
        <v>-61.227595008424359</v>
      </c>
      <c r="BK13" s="9" t="e">
        <f>'8'!AO10</f>
        <v>#REF!</v>
      </c>
      <c r="BL13" s="9" t="e">
        <f t="shared" si="14"/>
        <v>#REF!</v>
      </c>
      <c r="BM13" s="9" t="e">
        <f t="shared" si="15"/>
        <v>#REF!</v>
      </c>
      <c r="BN13" s="9">
        <f>'1'!CK13</f>
        <v>0.22156482541592737</v>
      </c>
      <c r="BO13" s="9">
        <f>'1'!CM13</f>
        <v>0.27916939933678142</v>
      </c>
      <c r="BP13" s="9">
        <f>'2'!CK13</f>
        <v>0.28984312411974267</v>
      </c>
      <c r="BQ13" s="9">
        <f>'2'!CM13</f>
        <v>0.42712999711899419</v>
      </c>
      <c r="BR13" s="9">
        <f>'3'!AB13</f>
        <v>-62.181437234922335</v>
      </c>
      <c r="BS13" s="9" t="e">
        <f>'8'!AT10</f>
        <v>#REF!</v>
      </c>
      <c r="BT13" s="9" t="e">
        <f t="shared" si="16"/>
        <v>#REF!</v>
      </c>
      <c r="BU13" s="9" t="e">
        <f t="shared" si="17"/>
        <v>#REF!</v>
      </c>
      <c r="BV13" s="9">
        <f>'1'!CU13</f>
        <v>0.33785196071458812</v>
      </c>
      <c r="BW13" s="9">
        <f>'1'!CW13</f>
        <v>0.41845917988099318</v>
      </c>
      <c r="BX13" s="9">
        <f>'2'!CU13</f>
        <v>0.41806609316154691</v>
      </c>
      <c r="BY13" s="9">
        <f>'2'!CW13</f>
        <v>0.56769580519113483</v>
      </c>
      <c r="BZ13" s="9">
        <f>'3'!AE13</f>
        <v>-52.046497862655492</v>
      </c>
      <c r="CA13" s="9" t="e">
        <f>'8'!AY10</f>
        <v>#REF!</v>
      </c>
      <c r="CB13" s="9" t="e">
        <f t="shared" si="18"/>
        <v>#REF!</v>
      </c>
      <c r="CC13" s="9" t="e">
        <f t="shared" si="19"/>
        <v>#REF!</v>
      </c>
      <c r="CD13" s="9">
        <f>'1'!DE13</f>
        <v>0.32479144607416083</v>
      </c>
      <c r="CE13" s="9">
        <f>'1'!DG13</f>
        <v>0.40375400382981197</v>
      </c>
      <c r="CF13" s="9">
        <f>'2'!DE13</f>
        <v>0.286991795728815</v>
      </c>
      <c r="CG13" s="9">
        <f>'2'!DG13</f>
        <v>0.42356751055896508</v>
      </c>
      <c r="CH13" s="9">
        <f>'3'!AH13</f>
        <v>-46.350665896695432</v>
      </c>
      <c r="CI13" s="9" t="e">
        <f>'8'!BD10</f>
        <v>#REF!</v>
      </c>
      <c r="CJ13" s="9" t="e">
        <f t="shared" si="20"/>
        <v>#REF!</v>
      </c>
      <c r="CK13" s="142" t="e">
        <f t="shared" si="21"/>
        <v>#REF!</v>
      </c>
    </row>
    <row r="14" spans="1:89" hidden="1">
      <c r="A14" s="1">
        <v>1977</v>
      </c>
      <c r="B14" s="9">
        <f>'1'!I14</f>
        <v>0.21573246635837778</v>
      </c>
      <c r="C14" s="9">
        <f>'1'!K14</f>
        <v>0.27164147961976548</v>
      </c>
      <c r="D14" s="9">
        <f>'2'!I14</f>
        <v>0.20836169809978436</v>
      </c>
      <c r="E14" s="9">
        <f>'2'!K14</f>
        <v>0.31521322780513367</v>
      </c>
      <c r="F14" s="9">
        <f>'3'!D14</f>
        <v>-52.990013765375096</v>
      </c>
      <c r="G14" s="9" t="e">
        <f>'8'!F11</f>
        <v>#REF!</v>
      </c>
      <c r="H14" s="9" t="e">
        <f t="shared" si="0"/>
        <v>#REF!</v>
      </c>
      <c r="I14" s="9" t="e">
        <f t="shared" si="1"/>
        <v>#REF!</v>
      </c>
      <c r="J14" s="9">
        <f>'1'!S14</f>
        <v>0.10671715287462524</v>
      </c>
      <c r="K14" s="9">
        <f>'1'!U14</f>
        <v>0.11929359307061004</v>
      </c>
      <c r="L14" s="9">
        <f>'2'!S14</f>
        <v>0.12979057114203205</v>
      </c>
      <c r="M14" s="9">
        <f>'2'!U14</f>
        <v>0.18098395398900693</v>
      </c>
      <c r="N14" s="9">
        <f>'3'!G14</f>
        <v>-71.290685817298581</v>
      </c>
      <c r="O14" s="9" t="e">
        <f>'8'!K11</f>
        <v>#REF!</v>
      </c>
      <c r="P14" s="9" t="e">
        <f t="shared" si="2"/>
        <v>#REF!</v>
      </c>
      <c r="Q14" s="9" t="e">
        <f t="shared" si="3"/>
        <v>#REF!</v>
      </c>
      <c r="R14" s="9">
        <f>'1'!AC14</f>
        <v>0.250816337099728</v>
      </c>
      <c r="S14" s="9">
        <f>'1'!AE14</f>
        <v>0.31608763303012105</v>
      </c>
      <c r="T14" s="9">
        <f>'2'!AC14</f>
        <v>7.3882762195263629E-2</v>
      </c>
      <c r="U14" s="9">
        <f>'2'!AE14</f>
        <v>6.1209813823309492E-2</v>
      </c>
      <c r="V14" s="9">
        <f>'3'!J14</f>
        <v>-69.688068343820603</v>
      </c>
      <c r="W14" s="9" t="e">
        <f>'8'!P11</f>
        <v>#REF!</v>
      </c>
      <c r="X14" s="9" t="e">
        <f t="shared" si="4"/>
        <v>#REF!</v>
      </c>
      <c r="Y14" s="9" t="e">
        <f t="shared" si="5"/>
        <v>#REF!</v>
      </c>
      <c r="Z14" s="9">
        <f>'1'!AM14</f>
        <v>0.25861168891021857</v>
      </c>
      <c r="AA14" s="9">
        <f>'1'!AO14</f>
        <v>0.32569893200632027</v>
      </c>
      <c r="AB14" s="9">
        <f>'2'!AM14</f>
        <v>0.12549083950552753</v>
      </c>
      <c r="AC14" s="9">
        <f>'2'!AO14</f>
        <v>0.17262561681780192</v>
      </c>
      <c r="AD14" s="9">
        <f>'3'!M14</f>
        <v>-59.205556510235986</v>
      </c>
      <c r="AE14" s="9" t="e">
        <f>'8'!U11</f>
        <v>#REF!</v>
      </c>
      <c r="AF14" s="9" t="e">
        <f t="shared" si="6"/>
        <v>#REF!</v>
      </c>
      <c r="AG14" s="9" t="e">
        <f t="shared" si="7"/>
        <v>#REF!</v>
      </c>
      <c r="AH14" s="9">
        <f>'1'!AW14</f>
        <v>0.12865242621116021</v>
      </c>
      <c r="AI14" s="9">
        <f>'1'!AY14</f>
        <v>0.15188270020886652</v>
      </c>
      <c r="AJ14" s="9">
        <f>'2'!AW14</f>
        <v>0.14052380094533734</v>
      </c>
      <c r="AK14" s="9">
        <f>'2'!AY14</f>
        <v>0.20132188465812936</v>
      </c>
      <c r="AL14" s="9">
        <f>'3'!P14</f>
        <v>-68.767816728577884</v>
      </c>
      <c r="AM14" s="9" t="e">
        <f>'8'!Z11</f>
        <v>#REF!</v>
      </c>
      <c r="AN14" s="9" t="e">
        <f t="shared" si="8"/>
        <v>#REF!</v>
      </c>
      <c r="AO14" s="9" t="e">
        <f t="shared" si="9"/>
        <v>#REF!</v>
      </c>
      <c r="AP14" s="9">
        <f>'1'!BG14</f>
        <v>0.20882377782231279</v>
      </c>
      <c r="AQ14" s="9">
        <f>'1'!BI14</f>
        <v>0.26264989136899192</v>
      </c>
      <c r="AR14" s="9">
        <f>'2'!BG14</f>
        <v>0.1763089310631655</v>
      </c>
      <c r="AS14" s="9">
        <f>'2'!BI14</f>
        <v>0.26426012079328259</v>
      </c>
      <c r="AT14" s="9">
        <f>'3'!S14</f>
        <v>-56.097514686815892</v>
      </c>
      <c r="AU14" s="9" t="e">
        <f>'8'!AE11</f>
        <v>#REF!</v>
      </c>
      <c r="AV14" s="9" t="e">
        <f t="shared" si="10"/>
        <v>#REF!</v>
      </c>
      <c r="AW14" s="9" t="e">
        <f t="shared" si="11"/>
        <v>#REF!</v>
      </c>
      <c r="AX14" s="9">
        <f>'1'!BQ14</f>
        <v>0.3143807153620688</v>
      </c>
      <c r="AY14" s="9">
        <f>'1'!BS14</f>
        <v>0.39187437366732492</v>
      </c>
      <c r="AZ14" s="9">
        <f>'2'!BQ14</f>
        <v>0.17997732417787871</v>
      </c>
      <c r="BA14" s="9">
        <f>'2'!BS14</f>
        <v>0.27033113158932842</v>
      </c>
      <c r="BB14" s="9">
        <f>'3'!V14</f>
        <v>-43.994099595619346</v>
      </c>
      <c r="BC14" s="9" t="e">
        <f>'8'!AJ11</f>
        <v>#REF!</v>
      </c>
      <c r="BD14" s="9" t="e">
        <f t="shared" si="12"/>
        <v>#REF!</v>
      </c>
      <c r="BE14" s="9" t="e">
        <f t="shared" si="13"/>
        <v>#REF!</v>
      </c>
      <c r="BF14" s="9">
        <f>'1'!CA14</f>
        <v>0.26311969760328935</v>
      </c>
      <c r="BG14" s="9">
        <f>'1'!CC14</f>
        <v>0.33121495426930952</v>
      </c>
      <c r="BH14" s="9">
        <f>'2'!CA14</f>
        <v>0.22716105701069064</v>
      </c>
      <c r="BI14" s="9">
        <f>'2'!CC14</f>
        <v>0.34308158722608417</v>
      </c>
      <c r="BJ14" s="9">
        <f>'3'!Y14</f>
        <v>-77.209213133604976</v>
      </c>
      <c r="BK14" s="9" t="e">
        <f>'8'!AO11</f>
        <v>#REF!</v>
      </c>
      <c r="BL14" s="9" t="e">
        <f t="shared" si="14"/>
        <v>#REF!</v>
      </c>
      <c r="BM14" s="9" t="e">
        <f t="shared" si="15"/>
        <v>#REF!</v>
      </c>
      <c r="BN14" s="9">
        <f>'1'!CK14</f>
        <v>0.2354209281273146</v>
      </c>
      <c r="BO14" s="9">
        <f>'1'!CM14</f>
        <v>0.29682824483713149</v>
      </c>
      <c r="BP14" s="9">
        <f>'2'!CK14</f>
        <v>0.29433490541595614</v>
      </c>
      <c r="BQ14" s="9">
        <f>'2'!CM14</f>
        <v>0.43269669755487822</v>
      </c>
      <c r="BR14" s="9">
        <f>'3'!AB14</f>
        <v>-71.812658090959701</v>
      </c>
      <c r="BS14" s="9" t="e">
        <f>'8'!AT11</f>
        <v>#REF!</v>
      </c>
      <c r="BT14" s="9" t="e">
        <f t="shared" si="16"/>
        <v>#REF!</v>
      </c>
      <c r="BU14" s="9" t="e">
        <f t="shared" si="17"/>
        <v>#REF!</v>
      </c>
      <c r="BV14" s="9">
        <f>'1'!CU14</f>
        <v>0.36326136022507521</v>
      </c>
      <c r="BW14" s="9">
        <f>'1'!CW14</f>
        <v>0.44645932160866086</v>
      </c>
      <c r="BX14" s="9">
        <f>'2'!CU14</f>
        <v>0.42117290263185325</v>
      </c>
      <c r="BY14" s="9">
        <f>'2'!CW14</f>
        <v>0.57070126547753341</v>
      </c>
      <c r="BZ14" s="9">
        <f>'3'!AE14</f>
        <v>-49.783148864069851</v>
      </c>
      <c r="CA14" s="9" t="e">
        <f>'8'!AY11</f>
        <v>#REF!</v>
      </c>
      <c r="CB14" s="9" t="e">
        <f t="shared" si="18"/>
        <v>#REF!</v>
      </c>
      <c r="CC14" s="9" t="e">
        <f t="shared" si="19"/>
        <v>#REF!</v>
      </c>
      <c r="CD14" s="9">
        <f>'1'!DE14</f>
        <v>0.35339745067387968</v>
      </c>
      <c r="CE14" s="9">
        <f>'1'!DG14</f>
        <v>0.43568319560976976</v>
      </c>
      <c r="CF14" s="9">
        <f>'2'!DE14</f>
        <v>0.29294624257665036</v>
      </c>
      <c r="CG14" s="9">
        <f>'2'!DG14</f>
        <v>0.43098159467021352</v>
      </c>
      <c r="CH14" s="9">
        <f>'3'!AH14</f>
        <v>-49.667134906792931</v>
      </c>
      <c r="CI14" s="9" t="e">
        <f>'8'!BD11</f>
        <v>#REF!</v>
      </c>
      <c r="CJ14" s="9" t="e">
        <f t="shared" si="20"/>
        <v>#REF!</v>
      </c>
      <c r="CK14" s="142" t="e">
        <f t="shared" si="21"/>
        <v>#REF!</v>
      </c>
    </row>
    <row r="15" spans="1:89" hidden="1">
      <c r="A15" s="1">
        <v>1978</v>
      </c>
      <c r="B15" s="9">
        <f>'1'!I15</f>
        <v>0.23022843159693168</v>
      </c>
      <c r="C15" s="9">
        <f>'1'!K15</f>
        <v>0.29024740783902736</v>
      </c>
      <c r="D15" s="9">
        <f>'2'!I15</f>
        <v>0.2147298950211077</v>
      </c>
      <c r="E15" s="9">
        <f>'2'!K15</f>
        <v>0.3248090217240977</v>
      </c>
      <c r="F15" s="9">
        <f>'3'!D15</f>
        <v>-47.343954220727156</v>
      </c>
      <c r="G15" s="9" t="e">
        <f>'8'!F12</f>
        <v>#REF!</v>
      </c>
      <c r="H15" s="9" t="e">
        <f t="shared" si="0"/>
        <v>#REF!</v>
      </c>
      <c r="I15" s="9" t="e">
        <f t="shared" si="1"/>
        <v>#REF!</v>
      </c>
      <c r="J15" s="9">
        <f>'1'!S15</f>
        <v>0.12925271164548124</v>
      </c>
      <c r="K15" s="9">
        <f>'1'!U15</f>
        <v>0.15275968548378399</v>
      </c>
      <c r="L15" s="9">
        <f>'2'!S15</f>
        <v>0.13824399151284511</v>
      </c>
      <c r="M15" s="9">
        <f>'2'!U15</f>
        <v>0.19706307975689449</v>
      </c>
      <c r="N15" s="9">
        <f>'3'!G15</f>
        <v>-87.16824395894038</v>
      </c>
      <c r="O15" s="9" t="e">
        <f>'8'!K12</f>
        <v>#REF!</v>
      </c>
      <c r="P15" s="9" t="e">
        <f t="shared" si="2"/>
        <v>#REF!</v>
      </c>
      <c r="Q15" s="9" t="e">
        <f t="shared" si="3"/>
        <v>#REF!</v>
      </c>
      <c r="R15" s="9">
        <f>'1'!AC15</f>
        <v>0.2626035352568013</v>
      </c>
      <c r="S15" s="9">
        <f>'1'!AE15</f>
        <v>0.33058492569036108</v>
      </c>
      <c r="T15" s="9">
        <f>'2'!AC15</f>
        <v>7.7817521435605955E-2</v>
      </c>
      <c r="U15" s="9">
        <f>'2'!AE15</f>
        <v>7.0526966302625962E-2</v>
      </c>
      <c r="V15" s="9">
        <f>'3'!J15</f>
        <v>-73.563601756623655</v>
      </c>
      <c r="W15" s="9" t="e">
        <f>'8'!P12</f>
        <v>#REF!</v>
      </c>
      <c r="X15" s="9" t="e">
        <f t="shared" si="4"/>
        <v>#REF!</v>
      </c>
      <c r="Y15" s="9" t="e">
        <f t="shared" si="5"/>
        <v>#REF!</v>
      </c>
      <c r="Z15" s="9">
        <f>'1'!AM15</f>
        <v>0.29030065048200349</v>
      </c>
      <c r="AA15" s="9">
        <f>'1'!AO15</f>
        <v>0.36383997954062741</v>
      </c>
      <c r="AB15" s="9">
        <f>'2'!AM15</f>
        <v>0.12594988683736782</v>
      </c>
      <c r="AC15" s="9">
        <f>'2'!AO15</f>
        <v>0.17352391605212328</v>
      </c>
      <c r="AD15" s="9">
        <f>'3'!M15</f>
        <v>-58.115508044358869</v>
      </c>
      <c r="AE15" s="9" t="e">
        <f>'8'!U12</f>
        <v>#REF!</v>
      </c>
      <c r="AF15" s="9" t="e">
        <f t="shared" si="6"/>
        <v>#REF!</v>
      </c>
      <c r="AG15" s="9" t="e">
        <f t="shared" si="7"/>
        <v>#REF!</v>
      </c>
      <c r="AH15" s="9">
        <f>'1'!AW15</f>
        <v>0.13894613311518775</v>
      </c>
      <c r="AI15" s="9">
        <f>'1'!AY15</f>
        <v>0.16681512222436429</v>
      </c>
      <c r="AJ15" s="9">
        <f>'2'!AW15</f>
        <v>0.14227771258617553</v>
      </c>
      <c r="AK15" s="9">
        <f>'2'!AY15</f>
        <v>0.20457646999400733</v>
      </c>
      <c r="AL15" s="9">
        <f>'3'!P15</f>
        <v>-76.988009380491306</v>
      </c>
      <c r="AM15" s="9" t="e">
        <f>'8'!Z12</f>
        <v>#REF!</v>
      </c>
      <c r="AN15" s="9" t="e">
        <f t="shared" si="8"/>
        <v>#REF!</v>
      </c>
      <c r="AO15" s="9" t="e">
        <f t="shared" si="9"/>
        <v>#REF!</v>
      </c>
      <c r="AP15" s="9">
        <f>'1'!BG15</f>
        <v>0.22494830740052849</v>
      </c>
      <c r="AQ15" s="9">
        <f>'1'!BI15</f>
        <v>0.28351051327252563</v>
      </c>
      <c r="AR15" s="9">
        <f>'2'!BG15</f>
        <v>0.18094992913658789</v>
      </c>
      <c r="AS15" s="9">
        <f>'2'!BI15</f>
        <v>0.27192981157084267</v>
      </c>
      <c r="AT15" s="9">
        <f>'3'!S15</f>
        <v>-45.17824782685333</v>
      </c>
      <c r="AU15" s="9" t="e">
        <f>'8'!AE12</f>
        <v>#REF!</v>
      </c>
      <c r="AV15" s="9" t="e">
        <f t="shared" si="10"/>
        <v>#REF!</v>
      </c>
      <c r="AW15" s="9" t="e">
        <f t="shared" si="11"/>
        <v>#REF!</v>
      </c>
      <c r="AX15" s="9">
        <f>'1'!BQ15</f>
        <v>0.32458778871812832</v>
      </c>
      <c r="AY15" s="9">
        <f>'1'!BS15</f>
        <v>0.40352296846101071</v>
      </c>
      <c r="AZ15" s="9">
        <f>'2'!BQ15</f>
        <v>0.18127604050861831</v>
      </c>
      <c r="BA15" s="9">
        <f>'2'!BS15</f>
        <v>0.27246482797164495</v>
      </c>
      <c r="BB15" s="9">
        <f>'3'!V15</f>
        <v>-39.667260646215894</v>
      </c>
      <c r="BC15" s="9" t="e">
        <f>'8'!AJ12</f>
        <v>#REF!</v>
      </c>
      <c r="BD15" s="9" t="e">
        <f t="shared" si="12"/>
        <v>#REF!</v>
      </c>
      <c r="BE15" s="9" t="e">
        <f t="shared" si="13"/>
        <v>#REF!</v>
      </c>
      <c r="BF15" s="9">
        <f>'1'!CA15</f>
        <v>0.26318350227580833</v>
      </c>
      <c r="BG15" s="9">
        <f>'1'!CC15</f>
        <v>0.33129280661569771</v>
      </c>
      <c r="BH15" s="9">
        <f>'2'!CA15</f>
        <v>0.22925775914249699</v>
      </c>
      <c r="BI15" s="9">
        <f>'2'!CC15</f>
        <v>0.34610584130422711</v>
      </c>
      <c r="BJ15" s="9">
        <f>'3'!Y15</f>
        <v>-85.507966291002973</v>
      </c>
      <c r="BK15" s="9" t="e">
        <f>'8'!AO12</f>
        <v>#REF!</v>
      </c>
      <c r="BL15" s="9" t="e">
        <f t="shared" si="14"/>
        <v>#REF!</v>
      </c>
      <c r="BM15" s="9" t="e">
        <f t="shared" si="15"/>
        <v>#REF!</v>
      </c>
      <c r="BN15" s="9">
        <f>'1'!CK15</f>
        <v>0.25882339734967713</v>
      </c>
      <c r="BO15" s="9">
        <f>'1'!CM15</f>
        <v>0.32595866601040263</v>
      </c>
      <c r="BP15" s="9">
        <f>'2'!CK15</f>
        <v>0.30416063691170925</v>
      </c>
      <c r="BQ15" s="9">
        <f>'2'!CM15</f>
        <v>0.44468500653223025</v>
      </c>
      <c r="BR15" s="9">
        <f>'3'!AB15</f>
        <v>-56.538895469618794</v>
      </c>
      <c r="BS15" s="9" t="e">
        <f>'8'!AT12</f>
        <v>#REF!</v>
      </c>
      <c r="BT15" s="9" t="e">
        <f t="shared" si="16"/>
        <v>#REF!</v>
      </c>
      <c r="BU15" s="9" t="e">
        <f t="shared" si="17"/>
        <v>#REF!</v>
      </c>
      <c r="BV15" s="9">
        <f>'1'!CU15</f>
        <v>0.39900995497212355</v>
      </c>
      <c r="BW15" s="9">
        <f>'1'!CW15</f>
        <v>0.48456282463778444</v>
      </c>
      <c r="BX15" s="9">
        <f>'2'!CU15</f>
        <v>0.44629236837394137</v>
      </c>
      <c r="BY15" s="9">
        <f>'2'!CW15</f>
        <v>0.59442870065935305</v>
      </c>
      <c r="BZ15" s="9">
        <f>'3'!AE15</f>
        <v>-39.4807805253918</v>
      </c>
      <c r="CA15" s="9" t="e">
        <f>'8'!AY12</f>
        <v>#REF!</v>
      </c>
      <c r="CB15" s="9" t="e">
        <f t="shared" si="18"/>
        <v>#REF!</v>
      </c>
      <c r="CC15" s="9" t="e">
        <f t="shared" si="19"/>
        <v>#REF!</v>
      </c>
      <c r="CD15" s="9">
        <f>'1'!DE15</f>
        <v>0.38515166697819375</v>
      </c>
      <c r="CE15" s="9">
        <f>'1'!DG15</f>
        <v>0.46996457123642205</v>
      </c>
      <c r="CF15" s="9">
        <f>'2'!DE15</f>
        <v>0.29665959825628496</v>
      </c>
      <c r="CG15" s="9">
        <f>'2'!DG15</f>
        <v>0.43555620954199775</v>
      </c>
      <c r="CH15" s="9">
        <f>'3'!AH15</f>
        <v>-44.562792140288664</v>
      </c>
      <c r="CI15" s="9" t="e">
        <f>'8'!BD12</f>
        <v>#REF!</v>
      </c>
      <c r="CJ15" s="9" t="e">
        <f t="shared" si="20"/>
        <v>#REF!</v>
      </c>
      <c r="CK15" s="142" t="e">
        <f t="shared" si="21"/>
        <v>#REF!</v>
      </c>
    </row>
    <row r="16" spans="1:89" hidden="1">
      <c r="A16" s="1">
        <v>1979</v>
      </c>
      <c r="B16" s="9">
        <f>'1'!I16</f>
        <v>0.23867823350722323</v>
      </c>
      <c r="C16" s="9">
        <f>'1'!K16</f>
        <v>0.30093433176376611</v>
      </c>
      <c r="D16" s="9">
        <f>'2'!I16</f>
        <v>0.23598434718089964</v>
      </c>
      <c r="E16" s="9">
        <f>'2'!K16</f>
        <v>0.35569981345484375</v>
      </c>
      <c r="F16" s="9">
        <f>'3'!D16</f>
        <v>-48.90443694740248</v>
      </c>
      <c r="G16" s="9" t="e">
        <f>'8'!F13</f>
        <v>#REF!</v>
      </c>
      <c r="H16" s="9" t="e">
        <f t="shared" si="0"/>
        <v>#REF!</v>
      </c>
      <c r="I16" s="9" t="e">
        <f t="shared" si="1"/>
        <v>#REF!</v>
      </c>
      <c r="J16" s="9">
        <f>'1'!S16</f>
        <v>0.14030256842829705</v>
      </c>
      <c r="K16" s="9">
        <f>'1'!U16</f>
        <v>0.16876618613995059</v>
      </c>
      <c r="L16" s="9">
        <f>'2'!S16</f>
        <v>0.16972312234618461</v>
      </c>
      <c r="M16" s="9">
        <f>'2'!U16</f>
        <v>0.25319368302344475</v>
      </c>
      <c r="N16" s="9">
        <f>'3'!G16</f>
        <v>-77.828534352792914</v>
      </c>
      <c r="O16" s="9" t="e">
        <f>'8'!K13</f>
        <v>#REF!</v>
      </c>
      <c r="P16" s="9" t="e">
        <f t="shared" si="2"/>
        <v>#REF!</v>
      </c>
      <c r="Q16" s="9" t="e">
        <f t="shared" si="3"/>
        <v>#REF!</v>
      </c>
      <c r="R16" s="9">
        <f>'1'!AC16</f>
        <v>0.26986742557639565</v>
      </c>
      <c r="S16" s="9">
        <f>'1'!AE16</f>
        <v>0.33941470083500974</v>
      </c>
      <c r="T16" s="9">
        <f>'2'!AC16</f>
        <v>8.0259164521288867E-2</v>
      </c>
      <c r="U16" s="9">
        <f>'2'!AE16</f>
        <v>7.6231876216169225E-2</v>
      </c>
      <c r="V16" s="9">
        <f>'3'!J16</f>
        <v>-67.637476152095417</v>
      </c>
      <c r="W16" s="9" t="e">
        <f>'8'!P13</f>
        <v>#REF!</v>
      </c>
      <c r="X16" s="9" t="e">
        <f t="shared" si="4"/>
        <v>#REF!</v>
      </c>
      <c r="Y16" s="9" t="e">
        <f t="shared" si="5"/>
        <v>#REF!</v>
      </c>
      <c r="Z16" s="9">
        <f>'1'!AM16</f>
        <v>0.30541782327969458</v>
      </c>
      <c r="AA16" s="9">
        <f>'1'!AO16</f>
        <v>0.38153182927385565</v>
      </c>
      <c r="AB16" s="9">
        <f>'2'!AM16</f>
        <v>0.14297298533735509</v>
      </c>
      <c r="AC16" s="9">
        <f>'2'!AO16</f>
        <v>0.20586143261986306</v>
      </c>
      <c r="AD16" s="9">
        <f>'3'!M16</f>
        <v>-56.244428692007055</v>
      </c>
      <c r="AE16" s="9" t="e">
        <f>'8'!U13</f>
        <v>#REF!</v>
      </c>
      <c r="AF16" s="9" t="e">
        <f t="shared" si="6"/>
        <v>#REF!</v>
      </c>
      <c r="AG16" s="9" t="e">
        <f t="shared" si="7"/>
        <v>#REF!</v>
      </c>
      <c r="AH16" s="9">
        <f>'1'!AW16</f>
        <v>0.14506558808336645</v>
      </c>
      <c r="AI16" s="9">
        <f>'1'!AY16</f>
        <v>0.17558700962238644</v>
      </c>
      <c r="AJ16" s="9">
        <f>'2'!AW16</f>
        <v>0.16198941198457475</v>
      </c>
      <c r="AK16" s="9">
        <f>'2'!AY16</f>
        <v>0.23991405143898709</v>
      </c>
      <c r="AL16" s="9">
        <f>'3'!P16</f>
        <v>-69.044066673529841</v>
      </c>
      <c r="AM16" s="9" t="e">
        <f>'8'!Z13</f>
        <v>#REF!</v>
      </c>
      <c r="AN16" s="9" t="e">
        <f t="shared" si="8"/>
        <v>#REF!</v>
      </c>
      <c r="AO16" s="9" t="e">
        <f t="shared" si="9"/>
        <v>#REF!</v>
      </c>
      <c r="AP16" s="9">
        <f>'1'!BG16</f>
        <v>0.25030707764932819</v>
      </c>
      <c r="AQ16" s="9">
        <f>'1'!BI16</f>
        <v>0.31545649297391259</v>
      </c>
      <c r="AR16" s="9">
        <f>'2'!BG16</f>
        <v>0.19467483426303003</v>
      </c>
      <c r="AS16" s="9">
        <f>'2'!BI16</f>
        <v>0.2940179321889701</v>
      </c>
      <c r="AT16" s="9">
        <f>'3'!S16</f>
        <v>-49.675518390436139</v>
      </c>
      <c r="AU16" s="9" t="e">
        <f>'8'!AE13</f>
        <v>#REF!</v>
      </c>
      <c r="AV16" s="9" t="e">
        <f t="shared" si="10"/>
        <v>#REF!</v>
      </c>
      <c r="AW16" s="9" t="e">
        <f t="shared" si="11"/>
        <v>#REF!</v>
      </c>
      <c r="AX16" s="9">
        <f>'1'!BQ16</f>
        <v>0.33641670997878365</v>
      </c>
      <c r="AY16" s="9">
        <f>'1'!BS16</f>
        <v>0.41685379734709532</v>
      </c>
      <c r="AZ16" s="9">
        <f>'2'!BQ16</f>
        <v>0.19514435887023393</v>
      </c>
      <c r="BA16" s="9">
        <f>'2'!BS16</f>
        <v>0.29475842225433713</v>
      </c>
      <c r="BB16" s="9">
        <f>'3'!V16</f>
        <v>-42.457693345112652</v>
      </c>
      <c r="BC16" s="9" t="e">
        <f>'8'!AJ13</f>
        <v>#REF!</v>
      </c>
      <c r="BD16" s="9" t="e">
        <f t="shared" si="12"/>
        <v>#REF!</v>
      </c>
      <c r="BE16" s="9" t="e">
        <f t="shared" si="13"/>
        <v>#REF!</v>
      </c>
      <c r="BF16" s="9">
        <f>'1'!CA16</f>
        <v>0.27811350904572102</v>
      </c>
      <c r="BG16" s="9">
        <f>'1'!CC16</f>
        <v>0.34934420754847967</v>
      </c>
      <c r="BH16" s="9">
        <f>'2'!CA16</f>
        <v>0.25083708405764155</v>
      </c>
      <c r="BI16" s="9">
        <f>'2'!CC16</f>
        <v>0.37632138539691556</v>
      </c>
      <c r="BJ16" s="9">
        <f>'3'!Y16</f>
        <v>-67.882716261126262</v>
      </c>
      <c r="BK16" s="9" t="e">
        <f>'8'!AO13</f>
        <v>#REF!</v>
      </c>
      <c r="BL16" s="9" t="e">
        <f t="shared" si="14"/>
        <v>#REF!</v>
      </c>
      <c r="BM16" s="9" t="e">
        <f t="shared" si="15"/>
        <v>#REF!</v>
      </c>
      <c r="BN16" s="9">
        <f>'1'!CK16</f>
        <v>0.28644658365049636</v>
      </c>
      <c r="BO16" s="9">
        <f>'1'!CM16</f>
        <v>0.35927865545292392</v>
      </c>
      <c r="BP16" s="9">
        <f>'2'!CK16</f>
        <v>0.37489455213577616</v>
      </c>
      <c r="BQ16" s="9">
        <f>'2'!CM16</f>
        <v>0.52417941773037824</v>
      </c>
      <c r="BR16" s="9">
        <f>'3'!AB16</f>
        <v>-66.927941104730877</v>
      </c>
      <c r="BS16" s="9" t="e">
        <f>'8'!AT13</f>
        <v>#REF!</v>
      </c>
      <c r="BT16" s="9" t="e">
        <f t="shared" si="16"/>
        <v>#REF!</v>
      </c>
      <c r="BU16" s="9" t="e">
        <f t="shared" si="17"/>
        <v>#REF!</v>
      </c>
      <c r="BV16" s="9">
        <f>'1'!CU16</f>
        <v>0.44318464077202485</v>
      </c>
      <c r="BW16" s="9">
        <f>'1'!CW16</f>
        <v>0.52971434417067353</v>
      </c>
      <c r="BX16" s="9">
        <f>'2'!CU16</f>
        <v>0.46911929908194117</v>
      </c>
      <c r="BY16" s="9">
        <f>'2'!CW16</f>
        <v>0.61515526778984175</v>
      </c>
      <c r="BZ16" s="9">
        <f>'3'!AE16</f>
        <v>-45.066609612005038</v>
      </c>
      <c r="CA16" s="9" t="e">
        <f>'8'!AY13</f>
        <v>#REF!</v>
      </c>
      <c r="CB16" s="9" t="e">
        <f t="shared" si="18"/>
        <v>#REF!</v>
      </c>
      <c r="CC16" s="9" t="e">
        <f t="shared" si="19"/>
        <v>#REF!</v>
      </c>
      <c r="CD16" s="9">
        <f>'1'!DE16</f>
        <v>0.41312828752527125</v>
      </c>
      <c r="CE16" s="9">
        <f>'1'!DG16</f>
        <v>0.49921766586032734</v>
      </c>
      <c r="CF16" s="9">
        <f>'2'!DE16</f>
        <v>0.3358775237305513</v>
      </c>
      <c r="CG16" s="9">
        <f>'2'!DG16</f>
        <v>0.4817256282281514</v>
      </c>
      <c r="CH16" s="9">
        <f>'3'!AH16</f>
        <v>-44.777422945036513</v>
      </c>
      <c r="CI16" s="9" t="e">
        <f>'8'!BD13</f>
        <v>#REF!</v>
      </c>
      <c r="CJ16" s="9" t="e">
        <f t="shared" si="20"/>
        <v>#REF!</v>
      </c>
      <c r="CK16" s="142" t="e">
        <f t="shared" si="21"/>
        <v>#REF!</v>
      </c>
    </row>
    <row r="17" spans="1:89" hidden="1">
      <c r="A17" s="1">
        <v>1980</v>
      </c>
      <c r="B17" s="9">
        <f>'1'!I17</f>
        <v>0.24956313042265793</v>
      </c>
      <c r="C17" s="9">
        <f>'1'!K17</f>
        <v>0.31453377627592888</v>
      </c>
      <c r="D17" s="9">
        <f>'2'!I17</f>
        <v>0.25753477765760036</v>
      </c>
      <c r="E17" s="9">
        <f>'2'!K17</f>
        <v>0.38537867383194491</v>
      </c>
      <c r="F17" s="9">
        <f>'3'!D17</f>
        <v>-45.339100796180233</v>
      </c>
      <c r="G17" s="9" t="e">
        <f>'8'!F14</f>
        <v>#REF!</v>
      </c>
      <c r="H17" s="9" t="e">
        <f t="shared" si="0"/>
        <v>#REF!</v>
      </c>
      <c r="I17" s="9" t="e">
        <f t="shared" si="1"/>
        <v>#REF!</v>
      </c>
      <c r="J17" s="9">
        <f>'1'!S17</f>
        <v>0.13921200840914363</v>
      </c>
      <c r="K17" s="9">
        <f>'1'!U17</f>
        <v>0.16719785286766153</v>
      </c>
      <c r="L17" s="9">
        <f>'2'!S17</f>
        <v>0.18314890620265148</v>
      </c>
      <c r="M17" s="9">
        <f>'2'!U17</f>
        <v>0.27552762197553909</v>
      </c>
      <c r="N17" s="9">
        <f>'3'!G17</f>
        <v>-94.543165043061521</v>
      </c>
      <c r="O17" s="9" t="e">
        <f>'8'!K14</f>
        <v>#REF!</v>
      </c>
      <c r="P17" s="9" t="e">
        <f t="shared" si="2"/>
        <v>#REF!</v>
      </c>
      <c r="Q17" s="9" t="e">
        <f t="shared" si="3"/>
        <v>#REF!</v>
      </c>
      <c r="R17" s="9">
        <f>'1'!AC17</f>
        <v>0.28704086757580499</v>
      </c>
      <c r="S17" s="9">
        <f>'1'!AE17</f>
        <v>0.35998336304343242</v>
      </c>
      <c r="T17" s="9">
        <f>'2'!AC17</f>
        <v>8.5481496406001917E-2</v>
      </c>
      <c r="U17" s="9">
        <f>'2'!AE17</f>
        <v>8.8242975190385584E-2</v>
      </c>
      <c r="V17" s="9">
        <f>'3'!J17</f>
        <v>-54.99250458466485</v>
      </c>
      <c r="W17" s="9" t="e">
        <f>'8'!P14</f>
        <v>#REF!</v>
      </c>
      <c r="X17" s="9" t="e">
        <f t="shared" si="4"/>
        <v>#REF!</v>
      </c>
      <c r="Y17" s="9" t="e">
        <f t="shared" si="5"/>
        <v>#REF!</v>
      </c>
      <c r="Z17" s="9">
        <f>'1'!AM17</f>
        <v>0.31461096359536805</v>
      </c>
      <c r="AA17" s="9">
        <f>'1'!AO17</f>
        <v>0.39213865060078529</v>
      </c>
      <c r="AB17" s="9">
        <f>'2'!AM17</f>
        <v>0.1516760979957773</v>
      </c>
      <c r="AC17" s="9">
        <f>'2'!AO17</f>
        <v>0.22170239547797832</v>
      </c>
      <c r="AD17" s="9">
        <f>'3'!M17</f>
        <v>-49.190557495225946</v>
      </c>
      <c r="AE17" s="9" t="e">
        <f>'8'!U14</f>
        <v>#REF!</v>
      </c>
      <c r="AF17" s="9" t="e">
        <f t="shared" si="6"/>
        <v>#REF!</v>
      </c>
      <c r="AG17" s="9" t="e">
        <f t="shared" si="7"/>
        <v>#REF!</v>
      </c>
      <c r="AH17" s="9">
        <f>'1'!AW17</f>
        <v>0.15764756609148828</v>
      </c>
      <c r="AI17" s="9">
        <f>'1'!AY17</f>
        <v>0.19338283660959807</v>
      </c>
      <c r="AJ17" s="9">
        <f>'2'!AW17</f>
        <v>0.17567252495932173</v>
      </c>
      <c r="AK17" s="9">
        <f>'2'!AY17</f>
        <v>0.26320019492523766</v>
      </c>
      <c r="AL17" s="9">
        <f>'3'!P17</f>
        <v>-60.056884834913873</v>
      </c>
      <c r="AM17" s="9" t="e">
        <f>'8'!Z14</f>
        <v>#REF!</v>
      </c>
      <c r="AN17" s="9" t="e">
        <f t="shared" si="8"/>
        <v>#REF!</v>
      </c>
      <c r="AO17" s="9" t="e">
        <f t="shared" si="9"/>
        <v>#REF!</v>
      </c>
      <c r="AP17" s="9">
        <f>'1'!BG17</f>
        <v>0.26771835401395672</v>
      </c>
      <c r="AQ17" s="9">
        <f>'1'!BI17</f>
        <v>0.3368105155560861</v>
      </c>
      <c r="AR17" s="9">
        <f>'2'!BG17</f>
        <v>0.20484311367519481</v>
      </c>
      <c r="AS17" s="9">
        <f>'2'!BI17</f>
        <v>0.3098402260256683</v>
      </c>
      <c r="AT17" s="9">
        <f>'3'!S17</f>
        <v>-49.211440494915799</v>
      </c>
      <c r="AU17" s="9" t="e">
        <f>'8'!AE14</f>
        <v>#REF!</v>
      </c>
      <c r="AV17" s="9" t="e">
        <f t="shared" si="10"/>
        <v>#REF!</v>
      </c>
      <c r="AW17" s="9" t="e">
        <f t="shared" si="11"/>
        <v>#REF!</v>
      </c>
      <c r="AX17" s="9">
        <f>'1'!BQ17</f>
        <v>0.35615667039285021</v>
      </c>
      <c r="AY17" s="9">
        <f>'1'!BS17</f>
        <v>0.43870938188493103</v>
      </c>
      <c r="AZ17" s="9">
        <f>'2'!BQ17</f>
        <v>0.20494050941541084</v>
      </c>
      <c r="BA17" s="9">
        <f>'2'!BS17</f>
        <v>0.30998964576498461</v>
      </c>
      <c r="BB17" s="9">
        <f>'3'!V17</f>
        <v>-37.508909906445055</v>
      </c>
      <c r="BC17" s="9" t="e">
        <f>'8'!AJ14</f>
        <v>#REF!</v>
      </c>
      <c r="BD17" s="9" t="e">
        <f t="shared" si="12"/>
        <v>#REF!</v>
      </c>
      <c r="BE17" s="9" t="e">
        <f t="shared" si="13"/>
        <v>#REF!</v>
      </c>
      <c r="BF17" s="9">
        <f>'1'!CA17</f>
        <v>0.29318715164736187</v>
      </c>
      <c r="BG17" s="9">
        <f>'1'!CC17</f>
        <v>0.36724251773274502</v>
      </c>
      <c r="BH17" s="9">
        <f>'2'!CA17</f>
        <v>0.25900212020054197</v>
      </c>
      <c r="BI17" s="9">
        <f>'2'!CC17</f>
        <v>0.38734362655971694</v>
      </c>
      <c r="BJ17" s="9">
        <f>'3'!Y17</f>
        <v>-58.183004496758564</v>
      </c>
      <c r="BK17" s="9" t="e">
        <f>'8'!AO14</f>
        <v>#REF!</v>
      </c>
      <c r="BL17" s="9" t="e">
        <f t="shared" si="14"/>
        <v>#REF!</v>
      </c>
      <c r="BM17" s="9" t="e">
        <f t="shared" si="15"/>
        <v>#REF!</v>
      </c>
      <c r="BN17" s="9">
        <f>'1'!CK17</f>
        <v>0.31409896663044168</v>
      </c>
      <c r="BO17" s="9">
        <f>'1'!CM17</f>
        <v>0.39155088923672682</v>
      </c>
      <c r="BP17" s="9">
        <f>'2'!CK17</f>
        <v>0.37819042215859522</v>
      </c>
      <c r="BQ17" s="9">
        <f>'2'!CM17</f>
        <v>0.52762299018568415</v>
      </c>
      <c r="BR17" s="9">
        <f>'3'!AB17</f>
        <v>-46.69755591745961</v>
      </c>
      <c r="BS17" s="9" t="e">
        <f>'8'!AT14</f>
        <v>#REF!</v>
      </c>
      <c r="BT17" s="9" t="e">
        <f t="shared" si="16"/>
        <v>#REF!</v>
      </c>
      <c r="BU17" s="9" t="e">
        <f t="shared" si="17"/>
        <v>#REF!</v>
      </c>
      <c r="BV17" s="9">
        <f>'1'!CU17</f>
        <v>0.47794652011180722</v>
      </c>
      <c r="BW17" s="9">
        <f>'1'!CW17</f>
        <v>0.56385624768401343</v>
      </c>
      <c r="BX17" s="9">
        <f>'2'!CU17</f>
        <v>0.49078262798173633</v>
      </c>
      <c r="BY17" s="9">
        <f>'2'!CW17</f>
        <v>0.63414292288839547</v>
      </c>
      <c r="BZ17" s="9">
        <f>'3'!AE17</f>
        <v>-42.795287769167302</v>
      </c>
      <c r="CA17" s="9" t="e">
        <f>'8'!AY14</f>
        <v>#REF!</v>
      </c>
      <c r="CB17" s="9" t="e">
        <f t="shared" si="18"/>
        <v>#REF!</v>
      </c>
      <c r="CC17" s="9" t="e">
        <f t="shared" si="19"/>
        <v>#REF!</v>
      </c>
      <c r="CD17" s="9">
        <f>'1'!DE17</f>
        <v>0.45949506836533488</v>
      </c>
      <c r="CE17" s="9">
        <f>'1'!DG17</f>
        <v>0.54588007309118203</v>
      </c>
      <c r="CF17" s="9">
        <f>'2'!DE17</f>
        <v>0.33836390207543393</v>
      </c>
      <c r="CG17" s="9">
        <f>'2'!DG17</f>
        <v>0.48452877159872637</v>
      </c>
      <c r="CH17" s="9">
        <f>'3'!AH17</f>
        <v>-42.164777444460185</v>
      </c>
      <c r="CI17" s="9" t="e">
        <f>'8'!BD14</f>
        <v>#REF!</v>
      </c>
      <c r="CJ17" s="9" t="e">
        <f t="shared" si="20"/>
        <v>#REF!</v>
      </c>
      <c r="CK17" s="142" t="e">
        <f t="shared" si="21"/>
        <v>#REF!</v>
      </c>
    </row>
    <row r="18" spans="1:89" hidden="1">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142"/>
    </row>
    <row r="19" spans="1:89">
      <c r="A19" s="1">
        <v>1981</v>
      </c>
      <c r="B19" s="9">
        <f>'1'!I19</f>
        <v>0.26502024105489891</v>
      </c>
      <c r="C19" s="9">
        <f>'1'!K19</f>
        <v>0.33353132290435233</v>
      </c>
      <c r="D19" s="9">
        <f>'2'!I19</f>
        <v>0.25267986708165169</v>
      </c>
      <c r="E19" s="9">
        <f>'2'!K19</f>
        <v>0.3788279641332209</v>
      </c>
      <c r="F19" s="9">
        <f>'3'!D19</f>
        <v>0.6415022695162006</v>
      </c>
      <c r="G19" s="9">
        <f>'8'!F16</f>
        <v>0.63201595297490964</v>
      </c>
      <c r="H19" s="9">
        <f>SUM(0.4*B19,0.1*D19,0.25*F19,0.25*G19)</f>
        <v>0.44965563875290226</v>
      </c>
      <c r="I19" s="9">
        <f>SUM(0.4*C19,0.1*E19,0.25*F19,0.25*G19)</f>
        <v>0.48967488119784058</v>
      </c>
      <c r="J19" s="9">
        <f>'1'!S19</f>
        <v>8.3333333333333315E-2</v>
      </c>
      <c r="K19" s="9">
        <f>'1'!U19</f>
        <v>8.3333333333332898E-2</v>
      </c>
      <c r="L19" s="9">
        <f>'2'!S19</f>
        <v>0.17423122566164023</v>
      </c>
      <c r="M19" s="9">
        <f>'2'!U19</f>
        <v>0.26079231774301537</v>
      </c>
      <c r="N19" s="9">
        <f>'3'!G19</f>
        <v>0.44335753567434699</v>
      </c>
      <c r="O19" s="9">
        <f>'8'!K16</f>
        <v>0.41310207481519734</v>
      </c>
      <c r="P19" s="9">
        <f>SUM(0.4*J19,0.1*L19,0.25*N19,0.25*O19)</f>
        <v>0.26487135852188343</v>
      </c>
      <c r="Q19" s="9">
        <f>SUM(0.4*K19,0.1*M19,0.25*N19,0.25*O19)</f>
        <v>0.27352746773002079</v>
      </c>
      <c r="R19" s="9">
        <f>'1'!AC19</f>
        <v>0.19516874738276771</v>
      </c>
      <c r="S19" s="9">
        <f>'1'!AE19</f>
        <v>0.24463500382446471</v>
      </c>
      <c r="T19" s="9">
        <f>'2'!AC19</f>
        <v>8.3333333333333329E-2</v>
      </c>
      <c r="U19" s="9">
        <f>'2'!AE19</f>
        <v>8.3333333333333245E-2</v>
      </c>
      <c r="V19" s="9">
        <f>'3'!J19</f>
        <v>0.44198121002238394</v>
      </c>
      <c r="W19" s="9">
        <f>'8'!P16</f>
        <v>0.45114132979063915</v>
      </c>
      <c r="X19" s="9">
        <f>SUM(0.4*R19,0.1*T19,0.25*V19,0.25*W19)</f>
        <v>0.3096814672396962</v>
      </c>
      <c r="Y19" s="9">
        <f>SUM(0.4*S19,0.1*U19,0.25*V19,0.25*W19)</f>
        <v>0.32946796981637494</v>
      </c>
      <c r="Z19" s="9">
        <f>'1'!AM19</f>
        <v>0.23002808436799582</v>
      </c>
      <c r="AA19" s="9">
        <f>'1'!AO19</f>
        <v>0.28999261744489518</v>
      </c>
      <c r="AB19" s="9">
        <f>'2'!AM19</f>
        <v>0.13918839018427517</v>
      </c>
      <c r="AC19" s="9">
        <f>'2'!AO19</f>
        <v>0.19883118184636644</v>
      </c>
      <c r="AD19" s="9">
        <f>'3'!M19</f>
        <v>0.52454765506693046</v>
      </c>
      <c r="AE19" s="9">
        <f>'8'!U16</f>
        <v>0.62943653895762197</v>
      </c>
      <c r="AF19" s="9">
        <f>SUM(0.4*Z19,0.1*AB19,0.25*AD19,0.25*AE19)</f>
        <v>0.39442612127176396</v>
      </c>
      <c r="AG19" s="9">
        <f>SUM(0.4*AA19,0.1*AC19,0.25*AD19,0.25*AE19)</f>
        <v>0.42437621366873285</v>
      </c>
      <c r="AH19" s="9">
        <f>'1'!AW19</f>
        <v>9.6809081306642272E-2</v>
      </c>
      <c r="AI19" s="9">
        <f>'1'!AY19</f>
        <v>0.10421530401163399</v>
      </c>
      <c r="AJ19" s="9">
        <f>'2'!AW19</f>
        <v>0.15780172121188507</v>
      </c>
      <c r="AK19" s="9">
        <f>'2'!AY19</f>
        <v>0.23259024566263012</v>
      </c>
      <c r="AL19" s="9">
        <f>'3'!P19</f>
        <v>0.35043375775672592</v>
      </c>
      <c r="AM19" s="9">
        <f>'8'!Z16</f>
        <v>0.52017136127858687</v>
      </c>
      <c r="AN19" s="9">
        <f>SUM(0.4*AH19,0.1*AJ19,0.25*AL19,0.25*AM19)</f>
        <v>0.27215508440267366</v>
      </c>
      <c r="AO19" s="9">
        <f>SUM(0.4*AI19,0.1*AK19,0.25*AL19,0.25*AM19)</f>
        <v>0.28259642592974477</v>
      </c>
      <c r="AP19" s="9">
        <f>'1'!BG19</f>
        <v>0.188111806241578</v>
      </c>
      <c r="AQ19" s="9">
        <f>'1'!BI19</f>
        <v>0.23519526027862409</v>
      </c>
      <c r="AR19" s="9">
        <f>'2'!BG19</f>
        <v>0.19975876004372442</v>
      </c>
      <c r="AS19" s="9">
        <f>'2'!BI19</f>
        <v>0.30198439988856512</v>
      </c>
      <c r="AT19" s="9">
        <f>'3'!S19</f>
        <v>0.59749980492452193</v>
      </c>
      <c r="AU19" s="9">
        <f>'8'!AE16</f>
        <v>0.56113307019886161</v>
      </c>
      <c r="AV19" s="9">
        <f>SUM(0.4*AP19,0.1*AR19,0.25*AT19,0.25*AU19)</f>
        <v>0.38487881728184953</v>
      </c>
      <c r="AW19" s="9">
        <f>SUM(0.4*AQ19,0.1*AS19,0.25*AT19,0.25*AU19)</f>
        <v>0.41393476288115205</v>
      </c>
      <c r="AX19" s="9">
        <f>'1'!BQ19</f>
        <v>0.27753848440949125</v>
      </c>
      <c r="AY19" s="9">
        <f>'1'!BS19</f>
        <v>0.34865500221180429</v>
      </c>
      <c r="AZ19" s="9">
        <f>'2'!BQ19</f>
        <v>0.1964830485415941</v>
      </c>
      <c r="BA19" s="9">
        <f>'2'!BS19</f>
        <v>0.2968643394138179</v>
      </c>
      <c r="BB19" s="9">
        <f>'3'!V19</f>
        <v>0.76271200423824892</v>
      </c>
      <c r="BC19" s="9">
        <f>'8'!AJ16</f>
        <v>0.68187528276174003</v>
      </c>
      <c r="BD19" s="9">
        <f>SUM(0.4*AX19,0.1*AZ19,0.25*BB19,0.25*BC19)</f>
        <v>0.49181052036795314</v>
      </c>
      <c r="BE19" s="9">
        <f>SUM(0.4*AY19,0.1*BA19,0.25*BB19,0.25*BC19)</f>
        <v>0.53029525657610077</v>
      </c>
      <c r="BF19" s="9">
        <f>'1'!CA19</f>
        <v>0.21362570375886047</v>
      </c>
      <c r="BG19" s="9">
        <f>'1'!CC19</f>
        <v>0.26890816307309789</v>
      </c>
      <c r="BH19" s="9">
        <f>'2'!CA19</f>
        <v>0.24237508530571805</v>
      </c>
      <c r="BI19" s="9">
        <f>'2'!CC19</f>
        <v>0.36466558199935523</v>
      </c>
      <c r="BJ19" s="9">
        <f>'3'!Y19</f>
        <v>0.48355227539159917</v>
      </c>
      <c r="BK19" s="9">
        <f>'8'!AO16</f>
        <v>0.61454232118591945</v>
      </c>
      <c r="BL19" s="9">
        <f>SUM(0.4*BF19,0.1*BH19,0.25*BJ19,0.25*BK19)</f>
        <v>0.38421143917849565</v>
      </c>
      <c r="BM19" s="9">
        <f>SUM(0.4*BG19,0.1*BI19,0.25*BJ19,0.25*BK19)</f>
        <v>0.41855347257355435</v>
      </c>
      <c r="BN19" s="9">
        <f>'1'!CK19</f>
        <v>0.23938063782464369</v>
      </c>
      <c r="BO19" s="9">
        <f>'1'!CM19</f>
        <v>0.30181754722819948</v>
      </c>
      <c r="BP19" s="9">
        <f>'2'!CK19</f>
        <v>0.34372283562385231</v>
      </c>
      <c r="BQ19" s="9">
        <f>'2'!CM19</f>
        <v>0.49052332979265789</v>
      </c>
      <c r="BR19" s="9">
        <f>'3'!AB19</f>
        <v>0.37606661066813751</v>
      </c>
      <c r="BS19" s="9">
        <f>'8'!AT16</f>
        <v>0.72083174572819975</v>
      </c>
      <c r="BT19" s="9">
        <f>SUM(0.4*BN19,0.1*BP19,0.25*BR19,0.25*BS19)</f>
        <v>0.40434912779132703</v>
      </c>
      <c r="BU19" s="9">
        <f>SUM(0.4*BO19,0.1*BQ19,0.25*BR19,0.25*BS19)</f>
        <v>0.44400394096962992</v>
      </c>
      <c r="BV19" s="9">
        <f>'1'!CU19</f>
        <v>0.40135810621035933</v>
      </c>
      <c r="BW19" s="9">
        <f>'1'!CW19</f>
        <v>0.48701524306958188</v>
      </c>
      <c r="BX19" s="9">
        <f>'2'!CU19</f>
        <v>0.57940196497283902</v>
      </c>
      <c r="BY19" s="9">
        <f>'2'!CW19</f>
        <v>0.70575899557294919</v>
      </c>
      <c r="BZ19" s="9">
        <f>'3'!AE19</f>
        <v>0.7141753287934689</v>
      </c>
      <c r="CA19" s="9">
        <f>'8'!AY16</f>
        <v>0.71288901997033804</v>
      </c>
      <c r="CB19" s="9">
        <f>SUM(0.4*BV19,0.1*BX19,0.25*BZ19,0.25*CA19)</f>
        <v>0.57524952617237934</v>
      </c>
      <c r="CC19" s="9">
        <f>SUM(0.4*BW19,0.1*BY19,0.25*BZ19,0.25*CA19)</f>
        <v>0.62214808397607946</v>
      </c>
      <c r="CD19" s="9">
        <f>'1'!DE19</f>
        <v>0.36764837310457554</v>
      </c>
      <c r="CE19" s="9">
        <f>'1'!DG19</f>
        <v>0.451214749674409</v>
      </c>
      <c r="CF19" s="9">
        <f>'2'!DE19</f>
        <v>0.31093925165954012</v>
      </c>
      <c r="CG19" s="9">
        <f>'2'!DG19</f>
        <v>0.45280902750841306</v>
      </c>
      <c r="CH19" s="9">
        <f>'3'!AH19</f>
        <v>0.66047047631749756</v>
      </c>
      <c r="CI19" s="9">
        <f>'8'!BD16</f>
        <v>0.60953060721864039</v>
      </c>
      <c r="CJ19" s="9">
        <f>SUM(0.4*CD19,0.1*CF19,0.25*CH19,0.25*CI19)</f>
        <v>0.49565354529181876</v>
      </c>
      <c r="CK19" s="9">
        <f>SUM(0.4*CE19,0.1*CG19,0.25*CH19,0.25*CI19)</f>
        <v>0.54326707350463943</v>
      </c>
    </row>
    <row r="20" spans="1:89">
      <c r="A20" s="1">
        <v>1982</v>
      </c>
      <c r="B20" s="9">
        <f>'1'!I20</f>
        <v>0.24478856353058198</v>
      </c>
      <c r="C20" s="9">
        <f>'1'!K20</f>
        <v>0.30859140147898034</v>
      </c>
      <c r="D20" s="9">
        <f>'2'!I20</f>
        <v>0.25213587905563967</v>
      </c>
      <c r="E20" s="9">
        <f>'2'!K20</f>
        <v>0.3780891859005715</v>
      </c>
      <c r="F20" s="9">
        <f>'3'!D20</f>
        <v>0.63333307819238305</v>
      </c>
      <c r="G20" s="9">
        <f>'8'!F17</f>
        <v>0.60180498696168072</v>
      </c>
      <c r="H20" s="9">
        <f t="shared" ref="H20:H48" si="22">SUM(0.4*B20,0.1*D20,0.25*F20,0.25*G20)</f>
        <v>0.43191352960631268</v>
      </c>
      <c r="I20" s="9">
        <f t="shared" ref="I20:I48" si="23">SUM(0.4*C20,0.1*E20,0.25*F20,0.25*G20)</f>
        <v>0.47002999547016522</v>
      </c>
      <c r="J20" s="9">
        <f>'1'!S20</f>
        <v>8.7466334539934174E-2</v>
      </c>
      <c r="K20" s="9">
        <f>'1'!U20</f>
        <v>8.9784605245577381E-2</v>
      </c>
      <c r="L20" s="9">
        <f>'2'!S20</f>
        <v>0.17192099883548367</v>
      </c>
      <c r="M20" s="9">
        <f>'2'!U20</f>
        <v>0.2569111439913454</v>
      </c>
      <c r="N20" s="9">
        <f>'3'!G20</f>
        <v>0.40885941266959336</v>
      </c>
      <c r="O20" s="9">
        <f>'8'!K17</f>
        <v>0.41157836978659207</v>
      </c>
      <c r="P20" s="9">
        <f t="shared" ref="P20:P48" si="24">SUM(0.4*J20,0.1*L20,0.25*N20,0.25*O20)</f>
        <v>0.2572880793135684</v>
      </c>
      <c r="Q20" s="9">
        <f t="shared" ref="Q20:Q48" si="25">SUM(0.4*K20,0.1*M20,0.25*N20,0.25*O20)</f>
        <v>0.26671440211141184</v>
      </c>
      <c r="R20" s="9">
        <f>'1'!AC20</f>
        <v>0.17999325186694534</v>
      </c>
      <c r="S20" s="9">
        <f>'1'!AE20</f>
        <v>0.22422333049771684</v>
      </c>
      <c r="T20" s="9">
        <f>'2'!AC20</f>
        <v>8.8554849676685463E-2</v>
      </c>
      <c r="U20" s="9">
        <f>'2'!AE20</f>
        <v>9.5193430959594899E-2</v>
      </c>
      <c r="V20" s="9">
        <f>'3'!J20</f>
        <v>0.5757024128558178</v>
      </c>
      <c r="W20" s="9">
        <f>'8'!P17</f>
        <v>0.50014769336507026</v>
      </c>
      <c r="X20" s="9">
        <f t="shared" ref="X20:X48" si="26">SUM(0.4*R20,0.1*T20,0.25*V20,0.25*W20)</f>
        <v>0.34981531226966867</v>
      </c>
      <c r="Y20" s="9">
        <f t="shared" ref="Y20:Y48" si="27">SUM(0.4*S20,0.1*U20,0.25*V20,0.25*W20)</f>
        <v>0.36817120185026825</v>
      </c>
      <c r="Z20" s="9">
        <f>'1'!AM20</f>
        <v>0.21691283683106291</v>
      </c>
      <c r="AA20" s="9">
        <f>'1'!AO20</f>
        <v>0.27316961340061485</v>
      </c>
      <c r="AB20" s="9">
        <f>'2'!AM20</f>
        <v>0.14247628863851514</v>
      </c>
      <c r="AC20" s="9">
        <f>'2'!AO20</f>
        <v>0.20494376637572401</v>
      </c>
      <c r="AD20" s="9">
        <f>'3'!M20</f>
        <v>0.51883087090194802</v>
      </c>
      <c r="AE20" s="9">
        <f>'8'!U17</f>
        <v>0.65044368359813687</v>
      </c>
      <c r="AF20" s="9">
        <f t="shared" ref="AF20:AF48" si="28">SUM(0.4*Z20,0.1*AB20,0.25*AD20,0.25*AE20)</f>
        <v>0.39333140222129792</v>
      </c>
      <c r="AG20" s="9">
        <f t="shared" ref="AG20:AG48" si="29">SUM(0.4*AA20,0.1*AC20,0.25*AD20,0.25*AE20)</f>
        <v>0.42208086062283956</v>
      </c>
      <c r="AH20" s="9">
        <f>'1'!AW20</f>
        <v>0.1117113878130612</v>
      </c>
      <c r="AI20" s="9">
        <f>'1'!AY20</f>
        <v>0.12680804217995839</v>
      </c>
      <c r="AJ20" s="9">
        <f>'2'!AW20</f>
        <v>0.15021683481130779</v>
      </c>
      <c r="AK20" s="9">
        <f>'2'!AY20</f>
        <v>0.21907726679148992</v>
      </c>
      <c r="AL20" s="9">
        <f>'3'!P20</f>
        <v>0.35992118980643312</v>
      </c>
      <c r="AM20" s="9">
        <f>'8'!Z17</f>
        <v>0.47666775672041134</v>
      </c>
      <c r="AN20" s="9">
        <f t="shared" ref="AN20:AN48" si="30">SUM(0.4*AH20,0.1*AJ20,0.25*AL20,0.25*AM20)</f>
        <v>0.26885347523806641</v>
      </c>
      <c r="AO20" s="9">
        <f t="shared" ref="AO20:AO48" si="31">SUM(0.4*AI20,0.1*AK20,0.25*AL20,0.25*AM20)</f>
        <v>0.28177818018284345</v>
      </c>
      <c r="AP20" s="9">
        <f>'1'!BG20</f>
        <v>0.1688607542450852</v>
      </c>
      <c r="AQ20" s="9">
        <f>'1'!BI20</f>
        <v>0.20897842128269906</v>
      </c>
      <c r="AR20" s="9">
        <f>'2'!BG20</f>
        <v>0.20022856321087612</v>
      </c>
      <c r="AS20" s="9">
        <f>'2'!BI20</f>
        <v>0.30271491189582767</v>
      </c>
      <c r="AT20" s="9">
        <f>'3'!S20</f>
        <v>0.61605476410599769</v>
      </c>
      <c r="AU20" s="9">
        <f>'8'!AE17</f>
        <v>0.55783184340064806</v>
      </c>
      <c r="AV20" s="9">
        <f t="shared" ref="AV20:AV48" si="32">SUM(0.4*AP20,0.1*AR20,0.25*AT20,0.25*AU20)</f>
        <v>0.38103880989578315</v>
      </c>
      <c r="AW20" s="9">
        <f t="shared" ref="AW20:AW48" si="33">SUM(0.4*AQ20,0.1*AS20,0.25*AT20,0.25*AU20)</f>
        <v>0.40733451157932388</v>
      </c>
      <c r="AX20" s="9">
        <f>'1'!BQ20</f>
        <v>0.25968459506712777</v>
      </c>
      <c r="AY20" s="9">
        <f>'1'!BS20</f>
        <v>0.32701452507764778</v>
      </c>
      <c r="AZ20" s="9">
        <f>'2'!BQ20</f>
        <v>0.1966969268541173</v>
      </c>
      <c r="BA20" s="9">
        <f>'2'!BS20</f>
        <v>0.29720006574312913</v>
      </c>
      <c r="BB20" s="9">
        <f>'3'!V20</f>
        <v>0.73808586794813802</v>
      </c>
      <c r="BC20" s="9">
        <f>'8'!AJ17</f>
        <v>0.63565983644267643</v>
      </c>
      <c r="BD20" s="9">
        <f t="shared" ref="BD20:BD48" si="34">SUM(0.4*AX20,0.1*AZ20,0.25*BB20,0.25*BC20)</f>
        <v>0.46697995680996646</v>
      </c>
      <c r="BE20" s="9">
        <f t="shared" ref="BE20:BE48" si="35">SUM(0.4*AY20,0.1*BA20,0.25*BB20,0.25*BC20)</f>
        <v>0.50396224270307566</v>
      </c>
      <c r="BF20" s="9">
        <f>'1'!CA20</f>
        <v>0.23036416368652973</v>
      </c>
      <c r="BG20" s="9">
        <f>'1'!CC20</f>
        <v>0.29041998719350859</v>
      </c>
      <c r="BH20" s="9">
        <f>'2'!CA20</f>
        <v>0.23655071191279708</v>
      </c>
      <c r="BI20" s="9">
        <f>'2'!CC20</f>
        <v>0.35650018336289574</v>
      </c>
      <c r="BJ20" s="9">
        <f>'3'!Y20</f>
        <v>0.51464060519526611</v>
      </c>
      <c r="BK20" s="9">
        <f>'8'!AO17</f>
        <v>0.63543806260371716</v>
      </c>
      <c r="BL20" s="9">
        <f t="shared" ref="BL20:BL48" si="36">SUM(0.4*BF20,0.1*BH20,0.25*BJ20,0.25*BK20)</f>
        <v>0.40332040361563742</v>
      </c>
      <c r="BM20" s="9">
        <f t="shared" ref="BM20:BM48" si="37">SUM(0.4*BG20,0.1*BI20,0.25*BJ20,0.25*BK20)</f>
        <v>0.43933768016343877</v>
      </c>
      <c r="BN20" s="9">
        <f>'1'!CK20</f>
        <v>0.21783472983496147</v>
      </c>
      <c r="BO20" s="9">
        <f>'1'!CM20</f>
        <v>0.27436148395204529</v>
      </c>
      <c r="BP20" s="9">
        <f>'2'!CK20</f>
        <v>0.33032409623529557</v>
      </c>
      <c r="BQ20" s="9">
        <f>'2'!CM20</f>
        <v>0.47541376476539071</v>
      </c>
      <c r="BR20" s="9">
        <f>'3'!AB20</f>
        <v>0.51827543171596335</v>
      </c>
      <c r="BS20" s="9">
        <f>'8'!AT17</f>
        <v>0.76371266951126482</v>
      </c>
      <c r="BT20" s="9">
        <f t="shared" ref="BT20:BT48" si="38">SUM(0.4*BN20,0.1*BP20,0.25*BR20,0.25*BS20)</f>
        <v>0.44066332686432119</v>
      </c>
      <c r="BU20" s="9">
        <f t="shared" ref="BU20:BU48" si="39">SUM(0.4*BO20,0.1*BQ20,0.25*BR20,0.25*BS20)</f>
        <v>0.47778299536416424</v>
      </c>
      <c r="BV20" s="9">
        <f>'1'!CU20</f>
        <v>0.37475517484536675</v>
      </c>
      <c r="BW20" s="9">
        <f>'1'!CW20</f>
        <v>0.45887039271928132</v>
      </c>
      <c r="BX20" s="9">
        <f>'2'!CU20</f>
        <v>0.58281227586298545</v>
      </c>
      <c r="BY20" s="9">
        <f>'2'!CW20</f>
        <v>0.70834074363672006</v>
      </c>
      <c r="BZ20" s="9">
        <f>'3'!AE20</f>
        <v>0.71213847018311682</v>
      </c>
      <c r="CA20" s="9">
        <f>'8'!AY17</f>
        <v>0.64474961545561871</v>
      </c>
      <c r="CB20" s="9">
        <f t="shared" ref="CB20:CB48" si="40">SUM(0.4*BV20,0.1*BX20,0.25*BZ20,0.25*CA20)</f>
        <v>0.54740531893412914</v>
      </c>
      <c r="CC20" s="9">
        <f t="shared" ref="CC20:CC48" si="41">SUM(0.4*BW20,0.1*BY20,0.25*BZ20,0.25*CA20)</f>
        <v>0.59360425286106844</v>
      </c>
      <c r="CD20" s="9">
        <f>'1'!DE20</f>
        <v>0.31496722849577508</v>
      </c>
      <c r="CE20" s="9">
        <f>'1'!DG20</f>
        <v>0.39254742989004565</v>
      </c>
      <c r="CF20" s="9">
        <f>'2'!DE20</f>
        <v>0.29677007627738905</v>
      </c>
      <c r="CG20" s="9">
        <f>'2'!DG20</f>
        <v>0.43569174284040724</v>
      </c>
      <c r="CH20" s="9">
        <f>'3'!AH20</f>
        <v>0.57084594300491354</v>
      </c>
      <c r="CI20" s="9">
        <f>'8'!BD17</f>
        <v>0.55295977688516529</v>
      </c>
      <c r="CJ20" s="9">
        <f t="shared" ref="CJ20:CJ48" si="42">SUM(0.4*CD20,0.1*CF20,0.25*CH20,0.25*CI20)</f>
        <v>0.43661532899856864</v>
      </c>
      <c r="CK20" s="9">
        <f t="shared" ref="CK20:CK48" si="43">SUM(0.4*CE20,0.1*CG20,0.25*CH20,0.25*CI20)</f>
        <v>0.4815395762125787</v>
      </c>
    </row>
    <row r="21" spans="1:89">
      <c r="A21" s="1">
        <v>1983</v>
      </c>
      <c r="B21" s="9">
        <f>'1'!I21</f>
        <v>0.25449385343764758</v>
      </c>
      <c r="C21" s="9">
        <f>'1'!K21</f>
        <v>0.32063342349342272</v>
      </c>
      <c r="D21" s="9">
        <f>'2'!I21</f>
        <v>0.26155044305366026</v>
      </c>
      <c r="E21" s="9">
        <f>'2'!K21</f>
        <v>0.39073991128868363</v>
      </c>
      <c r="F21" s="9">
        <f>'3'!D21</f>
        <v>0.60013558735999839</v>
      </c>
      <c r="G21" s="9">
        <f>'8'!F18</f>
        <v>0.57745844659138112</v>
      </c>
      <c r="H21" s="9">
        <f t="shared" si="22"/>
        <v>0.42235109416826999</v>
      </c>
      <c r="I21" s="9">
        <f t="shared" si="23"/>
        <v>0.4617258690140823</v>
      </c>
      <c r="J21" s="9">
        <f>'1'!S21</f>
        <v>0.1012860766753356</v>
      </c>
      <c r="K21" s="9">
        <f>'1'!U21</f>
        <v>0.11105683213421934</v>
      </c>
      <c r="L21" s="9">
        <f>'2'!S21</f>
        <v>0.17335665356942101</v>
      </c>
      <c r="M21" s="9">
        <f>'2'!U21</f>
        <v>0.25932618894450771</v>
      </c>
      <c r="N21" s="9">
        <f>'3'!G21</f>
        <v>0.24238351254480286</v>
      </c>
      <c r="O21" s="9">
        <f>'8'!K18</f>
        <v>0.33440328678736059</v>
      </c>
      <c r="P21" s="9">
        <f t="shared" si="24"/>
        <v>0.2020467958601172</v>
      </c>
      <c r="Q21" s="9">
        <f t="shared" si="25"/>
        <v>0.21455205158117935</v>
      </c>
      <c r="R21" s="9">
        <f>'1'!AC21</f>
        <v>0.18853152565688744</v>
      </c>
      <c r="S21" s="9">
        <f>'1'!AE21</f>
        <v>0.23575921506326397</v>
      </c>
      <c r="T21" s="9">
        <f>'2'!AC21</f>
        <v>9.3876826678976497E-2</v>
      </c>
      <c r="U21" s="9">
        <f>'2'!AE21</f>
        <v>0.1070296531166328</v>
      </c>
      <c r="V21" s="9">
        <f>'3'!J21</f>
        <v>0.64336692878912549</v>
      </c>
      <c r="W21" s="9">
        <f>'8'!P18</f>
        <v>0.50932292058240758</v>
      </c>
      <c r="X21" s="9">
        <f t="shared" si="26"/>
        <v>0.37297275527353591</v>
      </c>
      <c r="Y21" s="9">
        <f t="shared" si="27"/>
        <v>0.39317911367985214</v>
      </c>
      <c r="Z21" s="9">
        <f>'1'!AM21</f>
        <v>0.21913810381994009</v>
      </c>
      <c r="AA21" s="9">
        <f>'1'!AO21</f>
        <v>0.27604411670912954</v>
      </c>
      <c r="AB21" s="9">
        <f>'2'!AM21</f>
        <v>0.14935443507237858</v>
      </c>
      <c r="AC21" s="9">
        <f>'2'!AO21</f>
        <v>0.21752007875490392</v>
      </c>
      <c r="AD21" s="9">
        <f>'3'!M21</f>
        <v>0.53755030279422311</v>
      </c>
      <c r="AE21" s="9">
        <f>'8'!U18</f>
        <v>0.65093139818486079</v>
      </c>
      <c r="AF21" s="9">
        <f t="shared" si="28"/>
        <v>0.39971111027998485</v>
      </c>
      <c r="AG21" s="9">
        <f t="shared" si="29"/>
        <v>0.42929007980391315</v>
      </c>
      <c r="AH21" s="9">
        <f>'1'!AW21</f>
        <v>0.1322248716609048</v>
      </c>
      <c r="AI21" s="9">
        <f>'1'!AY21</f>
        <v>0.15709048556756963</v>
      </c>
      <c r="AJ21" s="9">
        <f>'2'!AW21</f>
        <v>0.14843292782374889</v>
      </c>
      <c r="AK21" s="9">
        <f>'2'!AY21</f>
        <v>0.21585138355632436</v>
      </c>
      <c r="AL21" s="9">
        <f>'3'!P21</f>
        <v>0.27145798470311339</v>
      </c>
      <c r="AM21" s="9">
        <f>'8'!Z18</f>
        <v>0.41863736341171404</v>
      </c>
      <c r="AN21" s="9">
        <f t="shared" si="30"/>
        <v>0.24025707847544364</v>
      </c>
      <c r="AO21" s="9">
        <f t="shared" si="31"/>
        <v>0.25694516961136715</v>
      </c>
      <c r="AP21" s="9">
        <f>'1'!BG21</f>
        <v>0.18707762604829281</v>
      </c>
      <c r="AQ21" s="9">
        <f>'1'!BI21</f>
        <v>0.23380431938391405</v>
      </c>
      <c r="AR21" s="9">
        <f>'2'!BG21</f>
        <v>0.20409905194775241</v>
      </c>
      <c r="AS21" s="9">
        <f>'2'!BI21</f>
        <v>0.3086974109345062</v>
      </c>
      <c r="AT21" s="9">
        <f>'3'!S21</f>
        <v>0.61597300000268285</v>
      </c>
      <c r="AU21" s="9">
        <f>'8'!AE18</f>
        <v>0.57483691178143614</v>
      </c>
      <c r="AV21" s="9">
        <f t="shared" si="32"/>
        <v>0.39294343356012212</v>
      </c>
      <c r="AW21" s="9">
        <f t="shared" si="33"/>
        <v>0.42209394679304602</v>
      </c>
      <c r="AX21" s="9">
        <f>'1'!BQ21</f>
        <v>0.27078232783297135</v>
      </c>
      <c r="AY21" s="9">
        <f>'1'!BS21</f>
        <v>0.34052128582354252</v>
      </c>
      <c r="AZ21" s="9">
        <f>'2'!BQ21</f>
        <v>0.20118175447870573</v>
      </c>
      <c r="BA21" s="9">
        <f>'2'!BS21</f>
        <v>0.30419414961224439</v>
      </c>
      <c r="BB21" s="9">
        <f>'3'!V21</f>
        <v>0.66969336398326762</v>
      </c>
      <c r="BC21" s="9">
        <f>'8'!AJ18</f>
        <v>0.58831083900365877</v>
      </c>
      <c r="BD21" s="9">
        <f t="shared" si="34"/>
        <v>0.44293215732779068</v>
      </c>
      <c r="BE21" s="9">
        <f t="shared" si="35"/>
        <v>0.48112898003737303</v>
      </c>
      <c r="BF21" s="9">
        <f>'1'!CA21</f>
        <v>0.23832159975295916</v>
      </c>
      <c r="BG21" s="9">
        <f>'1'!CC21</f>
        <v>0.30048559354374438</v>
      </c>
      <c r="BH21" s="9">
        <f>'2'!CA21</f>
        <v>0.23626078627920308</v>
      </c>
      <c r="BI21" s="9">
        <f>'2'!CC21</f>
        <v>0.35609061135636078</v>
      </c>
      <c r="BJ21" s="9">
        <f>'3'!Y21</f>
        <v>0.5652200559241003</v>
      </c>
      <c r="BK21" s="9">
        <f>'8'!AO18</f>
        <v>0.54803029694156802</v>
      </c>
      <c r="BL21" s="9">
        <f t="shared" si="36"/>
        <v>0.39726730674552108</v>
      </c>
      <c r="BM21" s="9">
        <f t="shared" si="37"/>
        <v>0.43411588676955093</v>
      </c>
      <c r="BN21" s="9">
        <f>'1'!CK21</f>
        <v>0.22109435720565673</v>
      </c>
      <c r="BO21" s="9">
        <f>'1'!CM21</f>
        <v>0.27856426890725466</v>
      </c>
      <c r="BP21" s="9">
        <f>'2'!CK21</f>
        <v>0.34264978558856035</v>
      </c>
      <c r="BQ21" s="9">
        <f>'2'!CM21</f>
        <v>0.48932811145500038</v>
      </c>
      <c r="BR21" s="9">
        <f>'3'!AB21</f>
        <v>0.49912954994953801</v>
      </c>
      <c r="BS21" s="9">
        <f>'8'!AT18</f>
        <v>0.75240404066837185</v>
      </c>
      <c r="BT21" s="9">
        <f t="shared" si="38"/>
        <v>0.43558611909559619</v>
      </c>
      <c r="BU21" s="9">
        <f t="shared" si="39"/>
        <v>0.47324191636287938</v>
      </c>
      <c r="BV21" s="9">
        <f>'1'!CU21</f>
        <v>0.37828773270750471</v>
      </c>
      <c r="BW21" s="9">
        <f>'1'!CW21</f>
        <v>0.46265392477864764</v>
      </c>
      <c r="BX21" s="9">
        <f>'2'!CU21</f>
        <v>0.64573445984009481</v>
      </c>
      <c r="BY21" s="9">
        <f>'2'!CW21</f>
        <v>0.75396418429387912</v>
      </c>
      <c r="BZ21" s="9">
        <f>'3'!AE21</f>
        <v>0.57882041668042217</v>
      </c>
      <c r="CA21" s="9">
        <f>'8'!AY18</f>
        <v>0.57542741616684556</v>
      </c>
      <c r="CB21" s="9">
        <f t="shared" si="40"/>
        <v>0.5044504972788284</v>
      </c>
      <c r="CC21" s="9">
        <f t="shared" si="41"/>
        <v>0.54901994655266395</v>
      </c>
      <c r="CD21" s="9">
        <f>'1'!DE21</f>
        <v>0.30962657179109354</v>
      </c>
      <c r="CE21" s="9">
        <f>'1'!DG21</f>
        <v>0.38640183878135526</v>
      </c>
      <c r="CF21" s="9">
        <f>'2'!DE21</f>
        <v>0.29234823858125308</v>
      </c>
      <c r="CG21" s="9">
        <f>'2'!DG21</f>
        <v>0.4302414002206616</v>
      </c>
      <c r="CH21" s="9">
        <f>'3'!AH21</f>
        <v>0.62531379257892206</v>
      </c>
      <c r="CI21" s="9">
        <f>'8'!BD18</f>
        <v>0.57695756152533217</v>
      </c>
      <c r="CJ21" s="9">
        <f t="shared" si="42"/>
        <v>0.4536532911006263</v>
      </c>
      <c r="CK21" s="9">
        <f t="shared" si="43"/>
        <v>0.49815271406067185</v>
      </c>
    </row>
    <row r="22" spans="1:89">
      <c r="A22" s="1">
        <v>1984</v>
      </c>
      <c r="B22" s="9">
        <f>'1'!I22</f>
        <v>0.27404016142312027</v>
      </c>
      <c r="C22" s="9">
        <f>'1'!K22</f>
        <v>0.34445169552363886</v>
      </c>
      <c r="D22" s="9">
        <f>'2'!I22</f>
        <v>0.26197048084309882</v>
      </c>
      <c r="E22" s="9">
        <f>'2'!K22</f>
        <v>0.39129775374248149</v>
      </c>
      <c r="F22" s="9">
        <f>'3'!D22</f>
        <v>0.57898096574614399</v>
      </c>
      <c r="G22" s="9">
        <f>'8'!F19</f>
        <v>0.59876962118468435</v>
      </c>
      <c r="H22" s="9">
        <f t="shared" si="22"/>
        <v>0.43025075938626511</v>
      </c>
      <c r="I22" s="9">
        <f t="shared" si="23"/>
        <v>0.47134810031641083</v>
      </c>
      <c r="J22" s="9">
        <f>'1'!S22</f>
        <v>0.13184549093481235</v>
      </c>
      <c r="K22" s="9">
        <f>'1'!U22</f>
        <v>0.15653873142805841</v>
      </c>
      <c r="L22" s="9">
        <f>'2'!S22</f>
        <v>0.17951969995066791</v>
      </c>
      <c r="M22" s="9">
        <f>'2'!U22</f>
        <v>0.26957735490373602</v>
      </c>
      <c r="N22" s="9">
        <f>'3'!G22</f>
        <v>0.32385081270531235</v>
      </c>
      <c r="O22" s="9">
        <f>'8'!K19</f>
        <v>0.46041952656113777</v>
      </c>
      <c r="P22" s="9">
        <f t="shared" si="24"/>
        <v>0.26675775118560424</v>
      </c>
      <c r="Q22" s="9">
        <f t="shared" si="25"/>
        <v>0.28564081287820947</v>
      </c>
      <c r="R22" s="9">
        <f>'1'!AC22</f>
        <v>0.22211688697315826</v>
      </c>
      <c r="S22" s="9">
        <f>'1'!AE22</f>
        <v>0.27987900792410941</v>
      </c>
      <c r="T22" s="9">
        <f>'2'!AC22</f>
        <v>9.6323565249441898E-2</v>
      </c>
      <c r="U22" s="9">
        <f>'2'!AE22</f>
        <v>0.11238876966805374</v>
      </c>
      <c r="V22" s="9">
        <f>'3'!J22</f>
        <v>0.57243536460880062</v>
      </c>
      <c r="W22" s="9">
        <f>'8'!P19</f>
        <v>0.58618352790458705</v>
      </c>
      <c r="X22" s="9">
        <f t="shared" si="26"/>
        <v>0.38813383444255445</v>
      </c>
      <c r="Y22" s="9">
        <f t="shared" si="27"/>
        <v>0.41284520326479607</v>
      </c>
      <c r="Z22" s="9">
        <f>'1'!AM22</f>
        <v>0.26105707218938345</v>
      </c>
      <c r="AA22" s="9">
        <f>'1'!AO22</f>
        <v>0.32869491523844441</v>
      </c>
      <c r="AB22" s="9">
        <f>'2'!AM22</f>
        <v>0.15865884616511211</v>
      </c>
      <c r="AC22" s="9">
        <f>'2'!AO22</f>
        <v>0.23409704640360723</v>
      </c>
      <c r="AD22" s="9">
        <f>'3'!M22</f>
        <v>0.54081003633493385</v>
      </c>
      <c r="AE22" s="9">
        <f>'8'!U19</f>
        <v>0.60637174218150214</v>
      </c>
      <c r="AF22" s="9">
        <f t="shared" si="28"/>
        <v>0.40708415812137355</v>
      </c>
      <c r="AG22" s="9">
        <f t="shared" si="29"/>
        <v>0.4416831153648475</v>
      </c>
      <c r="AH22" s="9">
        <f>'1'!AW22</f>
        <v>0.1618565386204231</v>
      </c>
      <c r="AI22" s="9">
        <f>'1'!AY22</f>
        <v>0.19926551797303152</v>
      </c>
      <c r="AJ22" s="9">
        <f>'2'!AW22</f>
        <v>0.14857153031966308</v>
      </c>
      <c r="AK22" s="9">
        <f>'2'!AY22</f>
        <v>0.21610268608908992</v>
      </c>
      <c r="AL22" s="9">
        <f>'3'!P22</f>
        <v>0.39077901066278808</v>
      </c>
      <c r="AM22" s="9">
        <f>'8'!Z19</f>
        <v>0.47762912328318485</v>
      </c>
      <c r="AN22" s="9">
        <f t="shared" si="30"/>
        <v>0.29670180196662876</v>
      </c>
      <c r="AO22" s="9">
        <f t="shared" si="31"/>
        <v>0.31841850928461485</v>
      </c>
      <c r="AP22" s="9">
        <f>'1'!BG22</f>
        <v>0.21514370265068819</v>
      </c>
      <c r="AQ22" s="9">
        <f>'1'!BI22</f>
        <v>0.27087837360279349</v>
      </c>
      <c r="AR22" s="9">
        <f>'2'!BG22</f>
        <v>0.20834088472275455</v>
      </c>
      <c r="AS22" s="9">
        <f>'2'!BI22</f>
        <v>0.31518159553428643</v>
      </c>
      <c r="AT22" s="9">
        <f>'3'!S22</f>
        <v>0.5450508350951373</v>
      </c>
      <c r="AU22" s="9">
        <f>'8'!AE19</f>
        <v>0.60178313388351179</v>
      </c>
      <c r="AV22" s="9">
        <f t="shared" si="32"/>
        <v>0.39360006177721302</v>
      </c>
      <c r="AW22" s="9">
        <f t="shared" si="33"/>
        <v>0.42657800123920836</v>
      </c>
      <c r="AX22" s="9">
        <f>'1'!BQ22</f>
        <v>0.29170422250463268</v>
      </c>
      <c r="AY22" s="9">
        <f>'1'!BS22</f>
        <v>0.36549593202564934</v>
      </c>
      <c r="AZ22" s="9">
        <f>'2'!BQ22</f>
        <v>0.20574985146448668</v>
      </c>
      <c r="BA22" s="9">
        <f>'2'!BS22</f>
        <v>0.31122976484219905</v>
      </c>
      <c r="BB22" s="9">
        <f>'3'!V22</f>
        <v>0.69538436423292294</v>
      </c>
      <c r="BC22" s="9">
        <f>'8'!AJ19</f>
        <v>0.62792185924655119</v>
      </c>
      <c r="BD22" s="9">
        <f t="shared" si="34"/>
        <v>0.46808323001817026</v>
      </c>
      <c r="BE22" s="9">
        <f t="shared" si="35"/>
        <v>0.50814790516434827</v>
      </c>
      <c r="BF22" s="9">
        <f>'1'!CA22</f>
        <v>0.28708622703446462</v>
      </c>
      <c r="BG22" s="9">
        <f>'1'!CC22</f>
        <v>0.36003713019944567</v>
      </c>
      <c r="BH22" s="9">
        <f>'2'!CA22</f>
        <v>0.24133118722514368</v>
      </c>
      <c r="BI22" s="9">
        <f>'2'!CC22</f>
        <v>0.3632107986181719</v>
      </c>
      <c r="BJ22" s="9">
        <f>'3'!Y22</f>
        <v>0.53172476750368269</v>
      </c>
      <c r="BK22" s="9">
        <f>'8'!AO19</f>
        <v>0.653035095947196</v>
      </c>
      <c r="BL22" s="9">
        <f t="shared" si="36"/>
        <v>0.43515757539901989</v>
      </c>
      <c r="BM22" s="9">
        <f t="shared" si="37"/>
        <v>0.47652589780431515</v>
      </c>
      <c r="BN22" s="9">
        <f>'1'!CK22</f>
        <v>0.22748730331968453</v>
      </c>
      <c r="BO22" s="9">
        <f>'1'!CM22</f>
        <v>0.28675571278185558</v>
      </c>
      <c r="BP22" s="9">
        <f>'2'!CK22</f>
        <v>0.3590251009599465</v>
      </c>
      <c r="BQ22" s="9">
        <f>'2'!CM22</f>
        <v>0.50729697256822093</v>
      </c>
      <c r="BR22" s="9">
        <f>'3'!AB22</f>
        <v>0.38175936614772821</v>
      </c>
      <c r="BS22" s="9">
        <f>'8'!AT19</f>
        <v>0.69979436344291701</v>
      </c>
      <c r="BT22" s="9">
        <f t="shared" si="38"/>
        <v>0.39728586382152975</v>
      </c>
      <c r="BU22" s="9">
        <f t="shared" si="39"/>
        <v>0.43582041476722566</v>
      </c>
      <c r="BV22" s="9">
        <f>'1'!CU22</f>
        <v>0.37629400613310432</v>
      </c>
      <c r="BW22" s="9">
        <f>'1'!CW22</f>
        <v>0.46052032331412679</v>
      </c>
      <c r="BX22" s="9">
        <f>'2'!CU22</f>
        <v>0.62221602152750144</v>
      </c>
      <c r="BY22" s="9">
        <f>'2'!CW22</f>
        <v>0.73734170311759306</v>
      </c>
      <c r="BZ22" s="9">
        <f>'3'!AE22</f>
        <v>0.52423218651320747</v>
      </c>
      <c r="CA22" s="9">
        <f>'8'!AY19</f>
        <v>0.59173142086563169</v>
      </c>
      <c r="CB22" s="9">
        <f t="shared" si="40"/>
        <v>0.49173010645070164</v>
      </c>
      <c r="CC22" s="9">
        <f t="shared" si="41"/>
        <v>0.53693320148211976</v>
      </c>
      <c r="CD22" s="9">
        <f>'1'!DE22</f>
        <v>0.30552942895581869</v>
      </c>
      <c r="CE22" s="9">
        <f>'1'!DG22</f>
        <v>0.3816612785572141</v>
      </c>
      <c r="CF22" s="9">
        <f>'2'!DE22</f>
        <v>0.28939480861255956</v>
      </c>
      <c r="CG22" s="9">
        <f>'2'!DG22</f>
        <v>0.4265713592440471</v>
      </c>
      <c r="CH22" s="9">
        <f>'3'!AH22</f>
        <v>0.55510391696181638</v>
      </c>
      <c r="CI22" s="9">
        <f>'8'!BD19</f>
        <v>0.51629846634910725</v>
      </c>
      <c r="CJ22" s="9">
        <f t="shared" si="42"/>
        <v>0.41900184827131437</v>
      </c>
      <c r="CK22" s="9">
        <f t="shared" si="43"/>
        <v>0.46317224317502126</v>
      </c>
    </row>
    <row r="23" spans="1:89">
      <c r="A23" s="1">
        <v>1985</v>
      </c>
      <c r="B23" s="9">
        <f>'1'!I23</f>
        <v>0.30292426979507547</v>
      </c>
      <c r="C23" s="9">
        <f>'1'!K23</f>
        <v>0.37863519753986374</v>
      </c>
      <c r="D23" s="9">
        <f>'2'!I23</f>
        <v>0.25766914460604035</v>
      </c>
      <c r="E23" s="9">
        <f>'2'!K23</f>
        <v>0.38555889364555529</v>
      </c>
      <c r="F23" s="9">
        <f>'3'!D23</f>
        <v>0.62312174818864408</v>
      </c>
      <c r="G23" s="9">
        <f>'8'!F20</f>
        <v>0.60452439439058236</v>
      </c>
      <c r="H23" s="9">
        <f t="shared" si="22"/>
        <v>0.45384815802344081</v>
      </c>
      <c r="I23" s="9">
        <f t="shared" si="23"/>
        <v>0.49692150402530766</v>
      </c>
      <c r="J23" s="9">
        <f>'1'!S23</f>
        <v>0.16012008057354765</v>
      </c>
      <c r="K23" s="9">
        <f>'1'!U23</f>
        <v>0.1968427721674961</v>
      </c>
      <c r="L23" s="9">
        <f>'2'!S23</f>
        <v>0.17606800093250471</v>
      </c>
      <c r="M23" s="9">
        <f>'2'!U23</f>
        <v>0.26385908987147633</v>
      </c>
      <c r="N23" s="9">
        <f>'3'!G23</f>
        <v>0.27627680337235294</v>
      </c>
      <c r="O23" s="9">
        <f>'8'!K20</f>
        <v>0.46778924147499279</v>
      </c>
      <c r="P23" s="9">
        <f t="shared" si="24"/>
        <v>0.26767134353450595</v>
      </c>
      <c r="Q23" s="9">
        <f t="shared" si="25"/>
        <v>0.29113952906598251</v>
      </c>
      <c r="R23" s="9">
        <f>'1'!AC23</f>
        <v>0.232458709554414</v>
      </c>
      <c r="S23" s="9">
        <f>'1'!AE23</f>
        <v>0.29307934700177113</v>
      </c>
      <c r="T23" s="9">
        <f>'2'!AC23</f>
        <v>9.9251967392188695E-2</v>
      </c>
      <c r="U23" s="9">
        <f>'2'!AE23</f>
        <v>0.11873644221499288</v>
      </c>
      <c r="V23" s="9">
        <f>'3'!J23</f>
        <v>0.65071956921236351</v>
      </c>
      <c r="W23" s="9">
        <f>'8'!P20</f>
        <v>0.54990750262374466</v>
      </c>
      <c r="X23" s="9">
        <f t="shared" si="26"/>
        <v>0.40306544852001147</v>
      </c>
      <c r="Y23" s="9">
        <f t="shared" si="27"/>
        <v>0.42926215098123477</v>
      </c>
      <c r="Z23" s="9">
        <f>'1'!AM23</f>
        <v>0.2941726649126169</v>
      </c>
      <c r="AA23" s="9">
        <f>'1'!AO23</f>
        <v>0.36840155380581946</v>
      </c>
      <c r="AB23" s="9">
        <f>'2'!AM23</f>
        <v>0.15718713515518212</v>
      </c>
      <c r="AC23" s="9">
        <f>'2'!AO23</f>
        <v>0.23150733008007687</v>
      </c>
      <c r="AD23" s="9">
        <f>'3'!M23</f>
        <v>0.53924779731142203</v>
      </c>
      <c r="AE23" s="9">
        <f>'8'!U20</f>
        <v>0.59106151278813224</v>
      </c>
      <c r="AF23" s="9">
        <f t="shared" si="28"/>
        <v>0.41596510700545353</v>
      </c>
      <c r="AG23" s="9">
        <f t="shared" si="29"/>
        <v>0.45308868205522401</v>
      </c>
      <c r="AH23" s="9">
        <f>'1'!AW23</f>
        <v>0.20490621429382325</v>
      </c>
      <c r="AI23" s="9">
        <f>'1'!AY23</f>
        <v>0.25751483313744844</v>
      </c>
      <c r="AJ23" s="9">
        <f>'2'!AW23</f>
        <v>0.14604121910447213</v>
      </c>
      <c r="AK23" s="9">
        <f>'2'!AY23</f>
        <v>0.21149715038554068</v>
      </c>
      <c r="AL23" s="9">
        <f>'3'!P23</f>
        <v>0.52854800054075879</v>
      </c>
      <c r="AM23" s="9">
        <f>'8'!Z20</f>
        <v>0.49711685107665859</v>
      </c>
      <c r="AN23" s="9">
        <f t="shared" si="30"/>
        <v>0.35298282053233088</v>
      </c>
      <c r="AO23" s="9">
        <f t="shared" si="31"/>
        <v>0.38057186119788777</v>
      </c>
      <c r="AP23" s="9">
        <f>'1'!BG23</f>
        <v>0.24761751876682772</v>
      </c>
      <c r="AQ23" s="9">
        <f>'1'!BI23</f>
        <v>0.31211657790621194</v>
      </c>
      <c r="AR23" s="9">
        <f>'2'!BG23</f>
        <v>0.20903861041290089</v>
      </c>
      <c r="AS23" s="9">
        <f>'2'!BI23</f>
        <v>0.31624103349326149</v>
      </c>
      <c r="AT23" s="9">
        <f>'3'!S23</f>
        <v>0.60980448487394967</v>
      </c>
      <c r="AU23" s="9">
        <f>'8'!AE20</f>
        <v>0.59220165730100516</v>
      </c>
      <c r="AV23" s="9">
        <f t="shared" si="32"/>
        <v>0.42045240409175988</v>
      </c>
      <c r="AW23" s="9">
        <f t="shared" si="33"/>
        <v>0.45697227005554963</v>
      </c>
      <c r="AX23" s="9">
        <f>'1'!BQ23</f>
        <v>0.3204168209382543</v>
      </c>
      <c r="AY23" s="9">
        <f>'1'!BS23</f>
        <v>0.39877943424341405</v>
      </c>
      <c r="AZ23" s="9">
        <f>'2'!BQ23</f>
        <v>0.20635208737036076</v>
      </c>
      <c r="BA23" s="9">
        <f>'2'!BS23</f>
        <v>0.31215077270775021</v>
      </c>
      <c r="BB23" s="9">
        <f>'3'!V23</f>
        <v>0.74410758965338442</v>
      </c>
      <c r="BC23" s="9">
        <f>'8'!AJ20</f>
        <v>0.64410289414045541</v>
      </c>
      <c r="BD23" s="9">
        <f t="shared" si="34"/>
        <v>0.49585455806079776</v>
      </c>
      <c r="BE23" s="9">
        <f t="shared" si="35"/>
        <v>0.53777947191660069</v>
      </c>
      <c r="BF23" s="9">
        <f>'1'!CA23</f>
        <v>0.32226396899777598</v>
      </c>
      <c r="BG23" s="9">
        <f>'1'!CC23</f>
        <v>0.40088294263007235</v>
      </c>
      <c r="BH23" s="9">
        <f>'2'!CA23</f>
        <v>0.23632867842537861</v>
      </c>
      <c r="BI23" s="9">
        <f>'2'!CC23</f>
        <v>0.35618654795654769</v>
      </c>
      <c r="BJ23" s="9">
        <f>'3'!Y23</f>
        <v>0.59439845266683344</v>
      </c>
      <c r="BK23" s="9">
        <f>'8'!AO20</f>
        <v>0.62816502695729171</v>
      </c>
      <c r="BL23" s="9">
        <f t="shared" si="36"/>
        <v>0.45817932534767947</v>
      </c>
      <c r="BM23" s="9">
        <f t="shared" si="37"/>
        <v>0.50161270175371497</v>
      </c>
      <c r="BN23" s="9">
        <f>'1'!CK23</f>
        <v>0.23303855465586082</v>
      </c>
      <c r="BO23" s="9">
        <f>'1'!CM23</f>
        <v>0.2938142964622768</v>
      </c>
      <c r="BP23" s="9">
        <f>'2'!CK23</f>
        <v>0.35100489924667277</v>
      </c>
      <c r="BQ23" s="9">
        <f>'2'!CM23</f>
        <v>0.49856802616830731</v>
      </c>
      <c r="BR23" s="9">
        <f>'3'!AB23</f>
        <v>0.30368179575610416</v>
      </c>
      <c r="BS23" s="9">
        <f>'8'!AT20</f>
        <v>0.66759072841013045</v>
      </c>
      <c r="BT23" s="9">
        <f t="shared" si="38"/>
        <v>0.37113404282857021</v>
      </c>
      <c r="BU23" s="9">
        <f t="shared" si="39"/>
        <v>0.41020065224330016</v>
      </c>
      <c r="BV23" s="9">
        <f>'1'!CU23</f>
        <v>0.41099399635570755</v>
      </c>
      <c r="BW23" s="9">
        <f>'1'!CW23</f>
        <v>0.49701609112956463</v>
      </c>
      <c r="BX23" s="9">
        <f>'2'!CU23</f>
        <v>0.60843397916877917</v>
      </c>
      <c r="BY23" s="9">
        <f>'2'!CW23</f>
        <v>0.7273673951101034</v>
      </c>
      <c r="BZ23" s="9">
        <f>'3'!AE23</f>
        <v>0.67581879391074784</v>
      </c>
      <c r="CA23" s="9">
        <f>'8'!AY20</f>
        <v>0.63762014494069985</v>
      </c>
      <c r="CB23" s="9">
        <f t="shared" si="40"/>
        <v>0.55360073117202291</v>
      </c>
      <c r="CC23" s="9">
        <f t="shared" si="41"/>
        <v>0.59990291067569812</v>
      </c>
      <c r="CD23" s="9">
        <f>'1'!DE23</f>
        <v>0.32123530301798991</v>
      </c>
      <c r="CE23" s="9">
        <f>'1'!DG23</f>
        <v>0.399712060609065</v>
      </c>
      <c r="CF23" s="9">
        <f>'2'!DE23</f>
        <v>0.28318051422973378</v>
      </c>
      <c r="CG23" s="9">
        <f>'2'!DG23</f>
        <v>0.41877012057727975</v>
      </c>
      <c r="CH23" s="9">
        <f>'3'!AH23</f>
        <v>0.51651369843274342</v>
      </c>
      <c r="CI23" s="9">
        <f>'8'!BD20</f>
        <v>0.51610257421341199</v>
      </c>
      <c r="CJ23" s="9">
        <f t="shared" si="42"/>
        <v>0.41496624079170819</v>
      </c>
      <c r="CK23" s="9">
        <f t="shared" si="43"/>
        <v>0.45991590446289288</v>
      </c>
    </row>
    <row r="24" spans="1:89">
      <c r="A24" s="1">
        <v>1986</v>
      </c>
      <c r="B24" s="9">
        <f>'1'!I24</f>
        <v>0.32553926355574225</v>
      </c>
      <c r="C24" s="9">
        <f>'1'!K24</f>
        <v>0.40460189118823231</v>
      </c>
      <c r="D24" s="9">
        <f>'2'!I24</f>
        <v>0.24123711194910621</v>
      </c>
      <c r="E24" s="9">
        <f>'2'!K24</f>
        <v>0.36307950960129681</v>
      </c>
      <c r="F24" s="9">
        <f>'3'!D24</f>
        <v>0.6457171797083503</v>
      </c>
      <c r="G24" s="9">
        <f>'8'!F21</f>
        <v>0.59441335458415334</v>
      </c>
      <c r="H24" s="9">
        <f t="shared" si="22"/>
        <v>0.46437205019033345</v>
      </c>
      <c r="I24" s="9">
        <f t="shared" si="23"/>
        <v>0.5081813410085485</v>
      </c>
      <c r="J24" s="9">
        <f>'1'!S24</f>
        <v>0.19430746991861012</v>
      </c>
      <c r="K24" s="9">
        <f>'1'!U24</f>
        <v>0.24348770647206275</v>
      </c>
      <c r="L24" s="9">
        <f>'2'!S24</f>
        <v>0.17819992730765696</v>
      </c>
      <c r="M24" s="9">
        <f>'2'!U24</f>
        <v>0.26739781198617774</v>
      </c>
      <c r="N24" s="9">
        <f>'3'!G24</f>
        <v>0.3640919163431402</v>
      </c>
      <c r="O24" s="9">
        <f>'8'!K21</f>
        <v>0.52975644179646042</v>
      </c>
      <c r="P24" s="9">
        <f t="shared" si="24"/>
        <v>0.31900507023310987</v>
      </c>
      <c r="Q24" s="9">
        <f t="shared" si="25"/>
        <v>0.34759695332234303</v>
      </c>
      <c r="R24" s="9">
        <f>'1'!AC24</f>
        <v>0.23904445868748284</v>
      </c>
      <c r="S24" s="9">
        <f>'1'!AE24</f>
        <v>0.30139492766838077</v>
      </c>
      <c r="T24" s="9">
        <f>'2'!AC24</f>
        <v>0.10181351197257678</v>
      </c>
      <c r="U24" s="9">
        <f>'2'!AE24</f>
        <v>0.12423074909459024</v>
      </c>
      <c r="V24" s="9">
        <f>'3'!J24</f>
        <v>0.72109728779744076</v>
      </c>
      <c r="W24" s="9">
        <f>'8'!P21</f>
        <v>0.59195155131031219</v>
      </c>
      <c r="X24" s="9">
        <f t="shared" si="26"/>
        <v>0.43406134444918903</v>
      </c>
      <c r="Y24" s="9">
        <f t="shared" si="27"/>
        <v>0.46124325575374958</v>
      </c>
      <c r="Z24" s="9">
        <f>'1'!AM24</f>
        <v>0.32152266660074758</v>
      </c>
      <c r="AA24" s="9">
        <f>'1'!AO24</f>
        <v>0.40003929195758647</v>
      </c>
      <c r="AB24" s="9">
        <f>'2'!AM24</f>
        <v>0.15783692687311154</v>
      </c>
      <c r="AC24" s="9">
        <f>'2'!AO24</f>
        <v>0.23265221577969136</v>
      </c>
      <c r="AD24" s="9">
        <f>'3'!M24</f>
        <v>0.54998120927676664</v>
      </c>
      <c r="AE24" s="9">
        <f>'8'!U21</f>
        <v>0.54350528644540874</v>
      </c>
      <c r="AF24" s="9">
        <f t="shared" si="28"/>
        <v>0.41776438325815402</v>
      </c>
      <c r="AG24" s="9">
        <f t="shared" si="29"/>
        <v>0.4566525622915476</v>
      </c>
      <c r="AH24" s="9">
        <f>'1'!AW24</f>
        <v>0.24181540089177453</v>
      </c>
      <c r="AI24" s="9">
        <f>'1'!AY24</f>
        <v>0.30487299738449775</v>
      </c>
      <c r="AJ24" s="9">
        <f>'2'!AW24</f>
        <v>0.14920101401944477</v>
      </c>
      <c r="AK24" s="9">
        <f>'2'!AY24</f>
        <v>0.21724260233362702</v>
      </c>
      <c r="AL24" s="9">
        <f>'3'!P24</f>
        <v>0.58463015337036794</v>
      </c>
      <c r="AM24" s="9">
        <f>'8'!Z21</f>
        <v>0.50278573333178356</v>
      </c>
      <c r="AN24" s="9">
        <f t="shared" si="30"/>
        <v>0.38350023343419215</v>
      </c>
      <c r="AO24" s="9">
        <f t="shared" si="31"/>
        <v>0.41552743086269972</v>
      </c>
      <c r="AP24" s="9">
        <f>'1'!BG24</f>
        <v>0.27632761952857293</v>
      </c>
      <c r="AQ24" s="9">
        <f>'1'!BI24</f>
        <v>0.34720213472163886</v>
      </c>
      <c r="AR24" s="9">
        <f>'2'!BG24</f>
        <v>0.21363947240771014</v>
      </c>
      <c r="AS24" s="9">
        <f>'2'!BI24</f>
        <v>0.32317751608153289</v>
      </c>
      <c r="AT24" s="9">
        <f>'3'!S24</f>
        <v>0.59827622896069943</v>
      </c>
      <c r="AU24" s="9">
        <f>'8'!AE21</f>
        <v>0.56871123842186944</v>
      </c>
      <c r="AV24" s="9">
        <f t="shared" si="32"/>
        <v>0.42364186189784236</v>
      </c>
      <c r="AW24" s="9">
        <f t="shared" si="33"/>
        <v>0.46294547234245098</v>
      </c>
      <c r="AX24" s="9">
        <f>'1'!BQ24</f>
        <v>0.34453304975147464</v>
      </c>
      <c r="AY24" s="9">
        <f>'1'!BS24</f>
        <v>0.42589827788518791</v>
      </c>
      <c r="AZ24" s="9">
        <f>'2'!BQ24</f>
        <v>0.20881956124984066</v>
      </c>
      <c r="BA24" s="9">
        <f>'2'!BS24</f>
        <v>0.31590864063344959</v>
      </c>
      <c r="BB24" s="9">
        <f>'3'!V24</f>
        <v>0.77408148775221253</v>
      </c>
      <c r="BC24" s="9">
        <f>'8'!AJ21</f>
        <v>0.64972332082582884</v>
      </c>
      <c r="BD24" s="9">
        <f t="shared" si="34"/>
        <v>0.5146463781700843</v>
      </c>
      <c r="BE24" s="9">
        <f t="shared" si="35"/>
        <v>0.55790137736193046</v>
      </c>
      <c r="BF24" s="9">
        <f>'1'!CA24</f>
        <v>0.35378228072788942</v>
      </c>
      <c r="BG24" s="9">
        <f>'1'!CC24</f>
        <v>0.43610581318716368</v>
      </c>
      <c r="BH24" s="9">
        <f>'2'!CA24</f>
        <v>0.23762840977170077</v>
      </c>
      <c r="BI24" s="9">
        <f>'2'!CC24</f>
        <v>0.35802001475609491</v>
      </c>
      <c r="BJ24" s="9">
        <f>'3'!Y24</f>
        <v>0.59885652899434094</v>
      </c>
      <c r="BK24" s="9">
        <f>'8'!AO21</f>
        <v>0.57402380844785461</v>
      </c>
      <c r="BL24" s="9">
        <f t="shared" si="36"/>
        <v>0.45849583762887475</v>
      </c>
      <c r="BM24" s="9">
        <f t="shared" si="37"/>
        <v>0.5034644111110238</v>
      </c>
      <c r="BN24" s="9">
        <f>'1'!CK24</f>
        <v>0.25606133156464017</v>
      </c>
      <c r="BO24" s="9">
        <f>'1'!CM24</f>
        <v>0.32256468450732267</v>
      </c>
      <c r="BP24" s="9">
        <f>'2'!CK24</f>
        <v>0.3184936245095224</v>
      </c>
      <c r="BQ24" s="9">
        <f>'2'!CM24</f>
        <v>0.46172659181932346</v>
      </c>
      <c r="BR24" s="9">
        <f>'3'!AB24</f>
        <v>0.26564202343942789</v>
      </c>
      <c r="BS24" s="9">
        <f>'8'!AT21</f>
        <v>0.63763845638143513</v>
      </c>
      <c r="BT24" s="9">
        <f t="shared" si="38"/>
        <v>0.3600940150320241</v>
      </c>
      <c r="BU24" s="9">
        <f t="shared" si="39"/>
        <v>0.40101865294007721</v>
      </c>
      <c r="BV24" s="9">
        <f>'1'!CU24</f>
        <v>0.41344234509665334</v>
      </c>
      <c r="BW24" s="9">
        <f>'1'!CW24</f>
        <v>0.49954121274834068</v>
      </c>
      <c r="BX24" s="9">
        <f>'2'!CU24</f>
        <v>0.4759015112563188</v>
      </c>
      <c r="BY24" s="9">
        <f>'2'!CW24</f>
        <v>0.62116903491369335</v>
      </c>
      <c r="BZ24" s="9">
        <f>'3'!AE24</f>
        <v>0.66544327829219063</v>
      </c>
      <c r="CA24" s="9">
        <f>'8'!AY21</f>
        <v>0.6261993457939613</v>
      </c>
      <c r="CB24" s="9">
        <f t="shared" si="40"/>
        <v>0.5358777451858312</v>
      </c>
      <c r="CC24" s="9">
        <f t="shared" si="41"/>
        <v>0.5848440446122436</v>
      </c>
      <c r="CD24" s="9">
        <f>'1'!DE24</f>
        <v>0.32883566666357544</v>
      </c>
      <c r="CE24" s="9">
        <f>'1'!DG24</f>
        <v>0.40833080470868538</v>
      </c>
      <c r="CF24" s="9">
        <f>'2'!DE24</f>
        <v>0.28294181154944653</v>
      </c>
      <c r="CG24" s="9">
        <f>'2'!DG24</f>
        <v>0.41846829090783511</v>
      </c>
      <c r="CH24" s="9">
        <f>'3'!AH24</f>
        <v>0.63174365658849596</v>
      </c>
      <c r="CI24" s="9">
        <f>'8'!BD21</f>
        <v>0.5150191965315396</v>
      </c>
      <c r="CJ24" s="9">
        <f t="shared" si="42"/>
        <v>0.44651916110038375</v>
      </c>
      <c r="CK24" s="9">
        <f t="shared" si="43"/>
        <v>0.4918698642542666</v>
      </c>
    </row>
    <row r="25" spans="1:89">
      <c r="A25" s="1">
        <v>1987</v>
      </c>
      <c r="B25" s="9">
        <f>'1'!I25</f>
        <v>0.35170871528965209</v>
      </c>
      <c r="C25" s="9">
        <f>'1'!K25</f>
        <v>0.43382651037508896</v>
      </c>
      <c r="D25" s="9">
        <f>'2'!I25</f>
        <v>0.24846321299635038</v>
      </c>
      <c r="E25" s="9">
        <f>'2'!K25</f>
        <v>0.37307585634880303</v>
      </c>
      <c r="F25" s="9">
        <f>'3'!D25</f>
        <v>0.66683467440276667</v>
      </c>
      <c r="G25" s="9">
        <f>'8'!F22</f>
        <v>0.58230626019551324</v>
      </c>
      <c r="H25" s="9">
        <f t="shared" si="22"/>
        <v>0.47781504106506589</v>
      </c>
      <c r="I25" s="9">
        <f t="shared" si="23"/>
        <v>0.52312342343448592</v>
      </c>
      <c r="J25" s="9">
        <f>'1'!S25</f>
        <v>0.2136348075064117</v>
      </c>
      <c r="K25" s="9">
        <f>'1'!U25</f>
        <v>0.26891999047852444</v>
      </c>
      <c r="L25" s="9">
        <f>'2'!S25</f>
        <v>0.18742049606747793</v>
      </c>
      <c r="M25" s="9">
        <f>'2'!U25</f>
        <v>0.28245137678433568</v>
      </c>
      <c r="N25" s="9">
        <f>'3'!G25</f>
        <v>0.37273323076700415</v>
      </c>
      <c r="O25" s="9">
        <f>'8'!K22</f>
        <v>0.48784348802459798</v>
      </c>
      <c r="P25" s="9">
        <f t="shared" si="24"/>
        <v>0.31934015230721302</v>
      </c>
      <c r="Q25" s="9">
        <f t="shared" si="25"/>
        <v>0.35095731356774384</v>
      </c>
      <c r="R25" s="9">
        <f>'1'!AC25</f>
        <v>0.28725709234027469</v>
      </c>
      <c r="S25" s="9">
        <f>'1'!AE25</f>
        <v>0.36023964048114343</v>
      </c>
      <c r="T25" s="9">
        <f>'2'!AC25</f>
        <v>0.10169859053067337</v>
      </c>
      <c r="U25" s="9">
        <f>'2'!AE25</f>
        <v>0.12398539877200582</v>
      </c>
      <c r="V25" s="9">
        <f>'3'!J25</f>
        <v>0.67854189929346687</v>
      </c>
      <c r="W25" s="9">
        <f>'8'!P22</f>
        <v>0.58087052395097549</v>
      </c>
      <c r="X25" s="9">
        <f t="shared" si="26"/>
        <v>0.43992580180028784</v>
      </c>
      <c r="Y25" s="9">
        <f t="shared" si="27"/>
        <v>0.47134750188076857</v>
      </c>
      <c r="Z25" s="9">
        <f>'1'!AM25</f>
        <v>0.34912294921748643</v>
      </c>
      <c r="AA25" s="9">
        <f>'1'!AO25</f>
        <v>0.43097684115582874</v>
      </c>
      <c r="AB25" s="9">
        <f>'2'!AM25</f>
        <v>0.16797427195003378</v>
      </c>
      <c r="AC25" s="9">
        <f>'2'!AO25</f>
        <v>0.25021803909801288</v>
      </c>
      <c r="AD25" s="9">
        <f>'3'!M25</f>
        <v>0.60245604687014798</v>
      </c>
      <c r="AE25" s="9">
        <f>'8'!U22</f>
        <v>0.56767714019592197</v>
      </c>
      <c r="AF25" s="9">
        <f t="shared" si="28"/>
        <v>0.44897990364851542</v>
      </c>
      <c r="AG25" s="9">
        <f t="shared" si="29"/>
        <v>0.48994583713865031</v>
      </c>
      <c r="AH25" s="9">
        <f>'1'!AW25</f>
        <v>0.2660904988975562</v>
      </c>
      <c r="AI25" s="9">
        <f>'1'!AY25</f>
        <v>0.33483337246370171</v>
      </c>
      <c r="AJ25" s="9">
        <f>'2'!AW25</f>
        <v>0.16581552261934299</v>
      </c>
      <c r="AK25" s="9">
        <f>'2'!AY25</f>
        <v>0.2465231073131906</v>
      </c>
      <c r="AL25" s="9">
        <f>'3'!P25</f>
        <v>0.51600665780407207</v>
      </c>
      <c r="AM25" s="9">
        <f>'8'!Z22</f>
        <v>0.48381983196851525</v>
      </c>
      <c r="AN25" s="9">
        <f t="shared" si="30"/>
        <v>0.37297437426410357</v>
      </c>
      <c r="AO25" s="9">
        <f t="shared" si="31"/>
        <v>0.40854228215994653</v>
      </c>
      <c r="AP25" s="9">
        <f>'1'!BG25</f>
        <v>0.28917651502903846</v>
      </c>
      <c r="AQ25" s="9">
        <f>'1'!BI25</f>
        <v>0.36251171657725806</v>
      </c>
      <c r="AR25" s="9">
        <f>'2'!BG25</f>
        <v>0.22100448017792335</v>
      </c>
      <c r="AS25" s="9">
        <f>'2'!BI25</f>
        <v>0.33410624515766141</v>
      </c>
      <c r="AT25" s="9">
        <f>'3'!S25</f>
        <v>0.59860376802807147</v>
      </c>
      <c r="AU25" s="9">
        <f>'8'!AE22</f>
        <v>0.570071030919722</v>
      </c>
      <c r="AV25" s="9">
        <f t="shared" si="32"/>
        <v>0.42993975376635607</v>
      </c>
      <c r="AW25" s="9">
        <f t="shared" si="33"/>
        <v>0.47058401088361779</v>
      </c>
      <c r="AX25" s="9">
        <f>'1'!BQ25</f>
        <v>0.37817344894894789</v>
      </c>
      <c r="AY25" s="9">
        <f>'1'!BS25</f>
        <v>0.46253174687101772</v>
      </c>
      <c r="AZ25" s="9">
        <f>'2'!BQ25</f>
        <v>0.21828176994961038</v>
      </c>
      <c r="BA25" s="9">
        <f>'2'!BS25</f>
        <v>0.330090798407422</v>
      </c>
      <c r="BB25" s="9">
        <f>'3'!V25</f>
        <v>0.82186408271762157</v>
      </c>
      <c r="BC25" s="9">
        <f>'8'!AJ22</f>
        <v>0.64186571094492151</v>
      </c>
      <c r="BD25" s="9">
        <f t="shared" si="34"/>
        <v>0.53903000499017595</v>
      </c>
      <c r="BE25" s="9">
        <f t="shared" si="35"/>
        <v>0.58395422700478505</v>
      </c>
      <c r="BF25" s="9">
        <f>'1'!CA25</f>
        <v>0.36559993760567655</v>
      </c>
      <c r="BG25" s="9">
        <f>'1'!CC25</f>
        <v>0.44899712185134466</v>
      </c>
      <c r="BH25" s="9">
        <f>'2'!CA25</f>
        <v>0.24475704736966836</v>
      </c>
      <c r="BI25" s="9">
        <f>'2'!CC25</f>
        <v>0.36797107426710995</v>
      </c>
      <c r="BJ25" s="9">
        <f>'3'!Y25</f>
        <v>0.62683505177171051</v>
      </c>
      <c r="BK25" s="9">
        <f>'8'!AO22</f>
        <v>0.60866382829394539</v>
      </c>
      <c r="BL25" s="9">
        <f t="shared" si="36"/>
        <v>0.47959039979565143</v>
      </c>
      <c r="BM25" s="9">
        <f t="shared" si="37"/>
        <v>0.52527067618366285</v>
      </c>
      <c r="BN25" s="9">
        <f>'1'!CK25</f>
        <v>0.27030354203810419</v>
      </c>
      <c r="BO25" s="9">
        <f>'1'!CM25</f>
        <v>0.33994234253046512</v>
      </c>
      <c r="BP25" s="9">
        <f>'2'!CK25</f>
        <v>0.34852765264501168</v>
      </c>
      <c r="BQ25" s="9">
        <f>'2'!CM25</f>
        <v>0.49584424151519846</v>
      </c>
      <c r="BR25" s="9">
        <f>'3'!AB25</f>
        <v>0.5007472026582539</v>
      </c>
      <c r="BS25" s="9">
        <f>'8'!AT22</f>
        <v>0.59294760021909387</v>
      </c>
      <c r="BT25" s="9">
        <f t="shared" si="38"/>
        <v>0.4163978827990798</v>
      </c>
      <c r="BU25" s="9">
        <f t="shared" si="39"/>
        <v>0.45898506188304283</v>
      </c>
      <c r="BV25" s="9">
        <f>'1'!CU25</f>
        <v>0.44034859780562285</v>
      </c>
      <c r="BW25" s="9">
        <f>'1'!CW25</f>
        <v>0.52687641961853071</v>
      </c>
      <c r="BX25" s="9">
        <f>'2'!CU25</f>
        <v>0.45487016154575283</v>
      </c>
      <c r="BY25" s="9">
        <f>'2'!CW25</f>
        <v>0.6023071080501361</v>
      </c>
      <c r="BZ25" s="9">
        <f>'3'!AE25</f>
        <v>0.59797887241866676</v>
      </c>
      <c r="CA25" s="9">
        <f>'8'!AY22</f>
        <v>0.60706867801617315</v>
      </c>
      <c r="CB25" s="9">
        <f t="shared" si="40"/>
        <v>0.52288834288553443</v>
      </c>
      <c r="CC25" s="9">
        <f t="shared" si="41"/>
        <v>0.57224316626113592</v>
      </c>
      <c r="CD25" s="9">
        <f>'1'!DE25</f>
        <v>0.36847119782639448</v>
      </c>
      <c r="CE25" s="9">
        <f>'1'!DG25</f>
        <v>0.45210414471345112</v>
      </c>
      <c r="CF25" s="9">
        <f>'2'!DE25</f>
        <v>0.30120837912337806</v>
      </c>
      <c r="CG25" s="9">
        <f>'2'!DG25</f>
        <v>0.44110976263731555</v>
      </c>
      <c r="CH25" s="9">
        <f>'3'!AH25</f>
        <v>0.62624645091947895</v>
      </c>
      <c r="CI25" s="9">
        <f>'8'!BD22</f>
        <v>0.49961050950751129</v>
      </c>
      <c r="CJ25" s="9">
        <f t="shared" si="42"/>
        <v>0.45897355714964316</v>
      </c>
      <c r="CK25" s="9">
        <f t="shared" si="43"/>
        <v>0.50641687425585957</v>
      </c>
    </row>
    <row r="26" spans="1:89">
      <c r="A26" s="1">
        <v>1988</v>
      </c>
      <c r="B26" s="9">
        <f>'1'!I26</f>
        <v>0.38220464420613254</v>
      </c>
      <c r="C26" s="9">
        <f>'1'!K26</f>
        <v>0.46683234069243978</v>
      </c>
      <c r="D26" s="9">
        <f>'2'!I26</f>
        <v>0.25681141822596482</v>
      </c>
      <c r="E26" s="9">
        <f>'2'!K26</f>
        <v>0.38440747342014048</v>
      </c>
      <c r="F26" s="9">
        <f>'3'!D26</f>
        <v>0.69125665216367604</v>
      </c>
      <c r="G26" s="9">
        <f>'8'!F23</f>
        <v>0.61925908394818063</v>
      </c>
      <c r="H26" s="9">
        <f t="shared" si="22"/>
        <v>0.50619193353301362</v>
      </c>
      <c r="I26" s="9">
        <f t="shared" si="23"/>
        <v>0.55280261764695415</v>
      </c>
      <c r="J26" s="9">
        <f>'1'!S26</f>
        <v>0.25193918788364705</v>
      </c>
      <c r="K26" s="9">
        <f>'1'!U26</f>
        <v>0.3174777997500503</v>
      </c>
      <c r="L26" s="9">
        <f>'2'!S26</f>
        <v>0.20693463651034158</v>
      </c>
      <c r="M26" s="9">
        <f>'2'!U26</f>
        <v>0.31304024014941972</v>
      </c>
      <c r="N26" s="9">
        <f>'3'!G26</f>
        <v>0.51624936208937289</v>
      </c>
      <c r="O26" s="9">
        <f>'8'!K23</f>
        <v>0.54753425335997818</v>
      </c>
      <c r="P26" s="9">
        <f t="shared" si="24"/>
        <v>0.38741504266683069</v>
      </c>
      <c r="Q26" s="9">
        <f t="shared" si="25"/>
        <v>0.42424104777729987</v>
      </c>
      <c r="R26" s="9">
        <f>'1'!AC26</f>
        <v>0.33397498697491473</v>
      </c>
      <c r="S26" s="9">
        <f>'1'!AE26</f>
        <v>0.4141166626907824</v>
      </c>
      <c r="T26" s="9">
        <f>'2'!AC26</f>
        <v>0.11083898552922813</v>
      </c>
      <c r="U26" s="9">
        <f>'2'!AE26</f>
        <v>0.14317270736612667</v>
      </c>
      <c r="V26" s="9">
        <f>'3'!J26</f>
        <v>0.7155403952899908</v>
      </c>
      <c r="W26" s="9">
        <f>'8'!P23</f>
        <v>0.60217298270424291</v>
      </c>
      <c r="X26" s="9">
        <f t="shared" si="26"/>
        <v>0.47410223784144712</v>
      </c>
      <c r="Y26" s="9">
        <f t="shared" si="27"/>
        <v>0.50939228031148409</v>
      </c>
      <c r="Z26" s="9">
        <f>'1'!AM26</f>
        <v>0.37943724858124939</v>
      </c>
      <c r="AA26" s="9">
        <f>'1'!AO26</f>
        <v>0.46388200857076922</v>
      </c>
      <c r="AB26" s="9">
        <f>'2'!AM26</f>
        <v>0.17921775044155613</v>
      </c>
      <c r="AC26" s="9">
        <f>'2'!AO26</f>
        <v>0.2690794442246115</v>
      </c>
      <c r="AD26" s="9">
        <f>'3'!M26</f>
        <v>0.65029999299851959</v>
      </c>
      <c r="AE26" s="9">
        <f>'8'!U23</f>
        <v>0.61297022526581846</v>
      </c>
      <c r="AF26" s="9">
        <f t="shared" si="28"/>
        <v>0.48551422904273994</v>
      </c>
      <c r="AG26" s="9">
        <f t="shared" si="29"/>
        <v>0.52827830241685336</v>
      </c>
      <c r="AH26" s="9">
        <f>'1'!AW26</f>
        <v>0.28621764169728453</v>
      </c>
      <c r="AI26" s="9">
        <f>'1'!AY26</f>
        <v>0.35900704045733089</v>
      </c>
      <c r="AJ26" s="9">
        <f>'2'!AW26</f>
        <v>0.19006527403957815</v>
      </c>
      <c r="AK26" s="9">
        <f>'2'!AY26</f>
        <v>0.28669590926695893</v>
      </c>
      <c r="AL26" s="9">
        <f>'3'!P26</f>
        <v>0.60434979021422308</v>
      </c>
      <c r="AM26" s="9">
        <f>'8'!Z23</f>
        <v>0.53460147185274942</v>
      </c>
      <c r="AN26" s="9">
        <f t="shared" si="30"/>
        <v>0.41823139959961475</v>
      </c>
      <c r="AO26" s="9">
        <f t="shared" si="31"/>
        <v>0.45701022262637142</v>
      </c>
      <c r="AP26" s="9">
        <f>'1'!BG26</f>
        <v>0.31771903418119962</v>
      </c>
      <c r="AQ26" s="9">
        <f>'1'!BI26</f>
        <v>0.39569920509342049</v>
      </c>
      <c r="AR26" s="9">
        <f>'2'!BG26</f>
        <v>0.23453286793879127</v>
      </c>
      <c r="AS26" s="9">
        <f>'2'!BI26</f>
        <v>0.35364340934619526</v>
      </c>
      <c r="AT26" s="9">
        <f>'3'!S26</f>
        <v>0.64034289272744704</v>
      </c>
      <c r="AU26" s="9">
        <f>'8'!AE23</f>
        <v>0.5990670139551445</v>
      </c>
      <c r="AV26" s="9">
        <f t="shared" si="32"/>
        <v>0.4603933771370069</v>
      </c>
      <c r="AW26" s="9">
        <f t="shared" si="33"/>
        <v>0.50349649964263565</v>
      </c>
      <c r="AX26" s="9">
        <f>'1'!BQ26</f>
        <v>0.41123218682154333</v>
      </c>
      <c r="AY26" s="9">
        <f>'1'!BS26</f>
        <v>0.49726203253490137</v>
      </c>
      <c r="AZ26" s="9">
        <f>'2'!BQ26</f>
        <v>0.23234233433806753</v>
      </c>
      <c r="BA26" s="9">
        <f>'2'!BS26</f>
        <v>0.35052562901277851</v>
      </c>
      <c r="BB26" s="9">
        <f>'3'!V26</f>
        <v>0.80790183955726469</v>
      </c>
      <c r="BC26" s="9">
        <f>'8'!AJ23</f>
        <v>0.6638736091746168</v>
      </c>
      <c r="BD26" s="9">
        <f t="shared" si="34"/>
        <v>0.55567097034539448</v>
      </c>
      <c r="BE26" s="9">
        <f t="shared" si="35"/>
        <v>0.60190123809820872</v>
      </c>
      <c r="BF26" s="9">
        <f>'1'!CA26</f>
        <v>0.37378385421783744</v>
      </c>
      <c r="BG26" s="9">
        <f>'1'!CC26</f>
        <v>0.45782753310908764</v>
      </c>
      <c r="BH26" s="9">
        <f>'2'!CA26</f>
        <v>0.25599671444673244</v>
      </c>
      <c r="BI26" s="9">
        <f>'2'!CC26</f>
        <v>0.38331161935274838</v>
      </c>
      <c r="BJ26" s="9">
        <f>'3'!Y26</f>
        <v>0.62706523201492803</v>
      </c>
      <c r="BK26" s="9">
        <f>'8'!AO23</f>
        <v>0.64751783197723223</v>
      </c>
      <c r="BL26" s="9">
        <f t="shared" si="36"/>
        <v>0.49375897912984823</v>
      </c>
      <c r="BM26" s="9">
        <f t="shared" si="37"/>
        <v>0.54010794117694993</v>
      </c>
      <c r="BN26" s="9">
        <f>'1'!CK26</f>
        <v>0.2790427901229216</v>
      </c>
      <c r="BO26" s="9">
        <f>'1'!CM26</f>
        <v>0.35045700318236328</v>
      </c>
      <c r="BP26" s="9">
        <f>'2'!CK26</f>
        <v>0.36607072664653678</v>
      </c>
      <c r="BQ26" s="9">
        <f>'2'!CM26</f>
        <v>0.5148549772826535</v>
      </c>
      <c r="BR26" s="9">
        <f>'3'!AB26</f>
        <v>0.42519769129694535</v>
      </c>
      <c r="BS26" s="9">
        <f>'8'!AT23</f>
        <v>0.62869795976875997</v>
      </c>
      <c r="BT26" s="9">
        <f t="shared" si="38"/>
        <v>0.41169810148024866</v>
      </c>
      <c r="BU26" s="9">
        <f t="shared" si="39"/>
        <v>0.45514221176763703</v>
      </c>
      <c r="BV26" s="9">
        <f>'1'!CU26</f>
        <v>0.46737932974309893</v>
      </c>
      <c r="BW26" s="9">
        <f>'1'!CW26</f>
        <v>0.55360108026895893</v>
      </c>
      <c r="BX26" s="9">
        <f>'2'!CU26</f>
        <v>0.39898019819529273</v>
      </c>
      <c r="BY26" s="9">
        <f>'2'!CW26</f>
        <v>0.54887146221836502</v>
      </c>
      <c r="BZ26" s="9">
        <f>'3'!AE26</f>
        <v>0.68625117117684975</v>
      </c>
      <c r="CA26" s="9">
        <f>'8'!AY23</f>
        <v>0.61035946750140313</v>
      </c>
      <c r="CB26" s="9">
        <f t="shared" si="40"/>
        <v>0.5510024113863321</v>
      </c>
      <c r="CC26" s="9">
        <f t="shared" si="41"/>
        <v>0.60048023799898331</v>
      </c>
      <c r="CD26" s="9">
        <f>'1'!DE26</f>
        <v>0.40485237537592844</v>
      </c>
      <c r="CE26" s="9">
        <f>'1'!DG26</f>
        <v>0.49065350152635639</v>
      </c>
      <c r="CF26" s="9">
        <f>'2'!DE26</f>
        <v>0.32453860795380257</v>
      </c>
      <c r="CG26" s="9">
        <f>'2'!DG26</f>
        <v>0.46876190850731686</v>
      </c>
      <c r="CH26" s="9">
        <f>'3'!AH26</f>
        <v>0.7355727462304732</v>
      </c>
      <c r="CI26" s="9">
        <f>'8'!BD23</f>
        <v>0.57337011107653224</v>
      </c>
      <c r="CJ26" s="9">
        <f t="shared" si="42"/>
        <v>0.52163052527250298</v>
      </c>
      <c r="CK26" s="9">
        <f t="shared" si="43"/>
        <v>0.57037330578802559</v>
      </c>
    </row>
    <row r="27" spans="1:89">
      <c r="A27" s="1">
        <v>1989</v>
      </c>
      <c r="B27" s="9">
        <f>'1'!I27</f>
        <v>0.4057939045173144</v>
      </c>
      <c r="C27" s="9">
        <f>'1'!K27</f>
        <v>0.49163155418790633</v>
      </c>
      <c r="D27" s="9">
        <f>'2'!I27</f>
        <v>0.26094061492035886</v>
      </c>
      <c r="E27" s="9">
        <f>'2'!K27</f>
        <v>0.38992902634217386</v>
      </c>
      <c r="F27" s="9">
        <f>'3'!D27</f>
        <v>0.71080697727316267</v>
      </c>
      <c r="G27" s="9">
        <f>'8'!F24</f>
        <v>0.63674335810743921</v>
      </c>
      <c r="H27" s="9">
        <f t="shared" si="22"/>
        <v>0.52529920714411216</v>
      </c>
      <c r="I27" s="9">
        <f t="shared" si="23"/>
        <v>0.5725331081545304</v>
      </c>
      <c r="J27" s="9">
        <f>'1'!S27</f>
        <v>0.26839700876410905</v>
      </c>
      <c r="K27" s="9">
        <f>'1'!U27</f>
        <v>0.33763362821268933</v>
      </c>
      <c r="L27" s="9">
        <f>'2'!S27</f>
        <v>0.21645169179699814</v>
      </c>
      <c r="M27" s="9">
        <f>'2'!U27</f>
        <v>0.32737559751468881</v>
      </c>
      <c r="N27" s="9">
        <f>'3'!G27</f>
        <v>0.59032159403358042</v>
      </c>
      <c r="O27" s="9">
        <f>'8'!K24</f>
        <v>0.57273553184947601</v>
      </c>
      <c r="P27" s="9">
        <f t="shared" si="24"/>
        <v>0.41976825415610758</v>
      </c>
      <c r="Q27" s="9">
        <f t="shared" si="25"/>
        <v>0.4585552925073087</v>
      </c>
      <c r="R27" s="9">
        <f>'1'!AC27</f>
        <v>0.3652161508303452</v>
      </c>
      <c r="S27" s="9">
        <f>'1'!AE27</f>
        <v>0.44858108473608199</v>
      </c>
      <c r="T27" s="9">
        <f>'2'!AC27</f>
        <v>0.11601203213914742</v>
      </c>
      <c r="U27" s="9">
        <f>'2'!AE27</f>
        <v>0.15374856501357956</v>
      </c>
      <c r="V27" s="9">
        <f>'3'!J27</f>
        <v>0.6808433730215484</v>
      </c>
      <c r="W27" s="9">
        <f>'8'!P24</f>
        <v>0.56756375479130416</v>
      </c>
      <c r="X27" s="9">
        <f t="shared" si="26"/>
        <v>0.46978944549926599</v>
      </c>
      <c r="Y27" s="9">
        <f t="shared" si="27"/>
        <v>0.50690907234900395</v>
      </c>
      <c r="Z27" s="9">
        <f>'1'!AM27</f>
        <v>0.39852032734179016</v>
      </c>
      <c r="AA27" s="9">
        <f>'1'!AO27</f>
        <v>0.4840506919886467</v>
      </c>
      <c r="AB27" s="9">
        <f>'2'!AM27</f>
        <v>0.18621128840200088</v>
      </c>
      <c r="AC27" s="9">
        <f>'2'!AO27</f>
        <v>0.28050002664929236</v>
      </c>
      <c r="AD27" s="9">
        <f>'3'!M27</f>
        <v>0.63142892865918843</v>
      </c>
      <c r="AE27" s="9">
        <f>'8'!U24</f>
        <v>0.60699956353581452</v>
      </c>
      <c r="AF27" s="9">
        <f t="shared" si="28"/>
        <v>0.4876363828256669</v>
      </c>
      <c r="AG27" s="9">
        <f t="shared" si="29"/>
        <v>0.53127740250913869</v>
      </c>
      <c r="AH27" s="9">
        <f>'1'!AW27</f>
        <v>0.29134489863561314</v>
      </c>
      <c r="AI27" s="9">
        <f>'1'!AY27</f>
        <v>0.3650722598385841</v>
      </c>
      <c r="AJ27" s="9">
        <f>'2'!AW27</f>
        <v>0.20377737284441291</v>
      </c>
      <c r="AK27" s="9">
        <f>'2'!AY27</f>
        <v>0.30820261929125192</v>
      </c>
      <c r="AL27" s="9">
        <f>'3'!P27</f>
        <v>0.60799307150352921</v>
      </c>
      <c r="AM27" s="9">
        <f>'8'!Z24</f>
        <v>0.55229531282347089</v>
      </c>
      <c r="AN27" s="9">
        <f t="shared" si="30"/>
        <v>0.42698779282043658</v>
      </c>
      <c r="AO27" s="9">
        <f t="shared" si="31"/>
        <v>0.46692126194630884</v>
      </c>
      <c r="AP27" s="9">
        <f>'1'!BG27</f>
        <v>0.33355672811851089</v>
      </c>
      <c r="AQ27" s="9">
        <f>'1'!BI27</f>
        <v>0.41364704341124175</v>
      </c>
      <c r="AR27" s="9">
        <f>'2'!BG27</f>
        <v>0.23798653734463676</v>
      </c>
      <c r="AS27" s="9">
        <f>'2'!BI27</f>
        <v>0.35852415876078692</v>
      </c>
      <c r="AT27" s="9">
        <f>'3'!S27</f>
        <v>0.67821501763428393</v>
      </c>
      <c r="AU27" s="9">
        <f>'8'!AE24</f>
        <v>0.59789924921031101</v>
      </c>
      <c r="AV27" s="9">
        <f t="shared" si="32"/>
        <v>0.47624991169301678</v>
      </c>
      <c r="AW27" s="9">
        <f t="shared" si="33"/>
        <v>0.52033979995172419</v>
      </c>
      <c r="AX27" s="9">
        <f>'1'!BQ27</f>
        <v>0.43669180336965502</v>
      </c>
      <c r="AY27" s="9">
        <f>'1'!BS27</f>
        <v>0.52320519352616568</v>
      </c>
      <c r="AZ27" s="9">
        <f>'2'!BQ27</f>
        <v>0.23588131510733157</v>
      </c>
      <c r="BA27" s="9">
        <f>'2'!BS27</f>
        <v>0.35555408901032237</v>
      </c>
      <c r="BB27" s="9">
        <f>'3'!V27</f>
        <v>0.83602150537634412</v>
      </c>
      <c r="BC27" s="9">
        <f>'8'!AJ24</f>
        <v>0.69747434279663212</v>
      </c>
      <c r="BD27" s="9">
        <f t="shared" si="34"/>
        <v>0.58163881490183922</v>
      </c>
      <c r="BE27" s="9">
        <f t="shared" si="35"/>
        <v>0.62821144835474252</v>
      </c>
      <c r="BF27" s="9">
        <f>'1'!CA27</f>
        <v>0.39440459595715349</v>
      </c>
      <c r="BG27" s="9">
        <f>'1'!CC27</f>
        <v>0.47973531904171401</v>
      </c>
      <c r="BH27" s="9">
        <f>'2'!CA27</f>
        <v>0.26123046650381937</v>
      </c>
      <c r="BI27" s="9">
        <f>'2'!CC27</f>
        <v>0.39031458614509612</v>
      </c>
      <c r="BJ27" s="9">
        <f>'3'!Y27</f>
        <v>0.65031160166211155</v>
      </c>
      <c r="BK27" s="9">
        <f>'8'!AO24</f>
        <v>0.64093733488351723</v>
      </c>
      <c r="BL27" s="9">
        <f t="shared" si="36"/>
        <v>0.50669711916965054</v>
      </c>
      <c r="BM27" s="9">
        <f t="shared" si="37"/>
        <v>0.55373782036760244</v>
      </c>
      <c r="BN27" s="9">
        <f>'1'!CK27</f>
        <v>0.30907095838751047</v>
      </c>
      <c r="BO27" s="9">
        <f>'1'!CM27</f>
        <v>0.38576029574063031</v>
      </c>
      <c r="BP27" s="9">
        <f>'2'!CK27</f>
        <v>0.3792016768781894</v>
      </c>
      <c r="BQ27" s="9">
        <f>'2'!CM27</f>
        <v>0.52867534936337868</v>
      </c>
      <c r="BR27" s="9">
        <f>'3'!AB27</f>
        <v>0.43346439539493647</v>
      </c>
      <c r="BS27" s="9">
        <f>'8'!AT24</f>
        <v>0.61423236386551539</v>
      </c>
      <c r="BT27" s="9">
        <f t="shared" si="38"/>
        <v>0.42347274085793613</v>
      </c>
      <c r="BU27" s="9">
        <f t="shared" si="39"/>
        <v>0.46909584304770297</v>
      </c>
      <c r="BV27" s="9">
        <f>'1'!CU27</f>
        <v>0.49211481047097233</v>
      </c>
      <c r="BW27" s="9">
        <f>'1'!CW27</f>
        <v>0.57744215027449541</v>
      </c>
      <c r="BX27" s="9">
        <f>'2'!CU27</f>
        <v>0.40554578857723245</v>
      </c>
      <c r="BY27" s="9">
        <f>'2'!CW27</f>
        <v>0.55541843360755616</v>
      </c>
      <c r="BZ27" s="9">
        <f>'3'!AE27</f>
        <v>0.6003624805622706</v>
      </c>
      <c r="CA27" s="9">
        <f>'8'!AY24</f>
        <v>0.63231837364604648</v>
      </c>
      <c r="CB27" s="9">
        <f t="shared" si="40"/>
        <v>0.54557071659819156</v>
      </c>
      <c r="CC27" s="9">
        <f t="shared" si="41"/>
        <v>0.59468891702263305</v>
      </c>
      <c r="CD27" s="9">
        <f>'1'!DE27</f>
        <v>0.44374009541263632</v>
      </c>
      <c r="CE27" s="9">
        <f>'1'!DG27</f>
        <v>0.53026921928578119</v>
      </c>
      <c r="CF27" s="9">
        <f>'2'!DE27</f>
        <v>0.32999030546746566</v>
      </c>
      <c r="CG27" s="9">
        <f>'2'!DG27</f>
        <v>0.47503212104513537</v>
      </c>
      <c r="CH27" s="9">
        <f>'3'!AH27</f>
        <v>0.73103526914048256</v>
      </c>
      <c r="CI27" s="9">
        <f>'8'!BD24</f>
        <v>0.5839612976969929</v>
      </c>
      <c r="CJ27" s="9">
        <f t="shared" si="42"/>
        <v>0.53924421042116999</v>
      </c>
      <c r="CK27" s="9">
        <f t="shared" si="43"/>
        <v>0.58836004152819488</v>
      </c>
    </row>
    <row r="28" spans="1:89">
      <c r="A28" s="1">
        <v>1990</v>
      </c>
      <c r="B28" s="9">
        <f>'1'!I28</f>
        <v>0.41954931627629088</v>
      </c>
      <c r="C28" s="9">
        <f>'1'!K28</f>
        <v>0.50581185292627906</v>
      </c>
      <c r="D28" s="9">
        <f>'2'!I28</f>
        <v>0.27594805873625794</v>
      </c>
      <c r="E28" s="9">
        <f>'2'!K28</f>
        <v>0.40955228593080256</v>
      </c>
      <c r="F28" s="9">
        <f>'3'!D28</f>
        <v>0.64545797780615266</v>
      </c>
      <c r="G28" s="9">
        <f>'8'!F25</f>
        <v>0.62122446788902042</v>
      </c>
      <c r="H28" s="9">
        <f t="shared" si="22"/>
        <v>0.51208514380793546</v>
      </c>
      <c r="I28" s="9">
        <f t="shared" si="23"/>
        <v>0.55995058118738517</v>
      </c>
      <c r="J28" s="9">
        <f>'1'!S28</f>
        <v>0.26595320069704886</v>
      </c>
      <c r="K28" s="9">
        <f>'1'!U28</f>
        <v>0.33466643420425901</v>
      </c>
      <c r="L28" s="9">
        <f>'2'!S28</f>
        <v>0.22284073523676026</v>
      </c>
      <c r="M28" s="9">
        <f>'2'!U28</f>
        <v>0.3367982481503094</v>
      </c>
      <c r="N28" s="9">
        <f>'3'!G28</f>
        <v>0.46110468581983322</v>
      </c>
      <c r="O28" s="9">
        <f>'8'!K25</f>
        <v>0.53893481652752417</v>
      </c>
      <c r="P28" s="9">
        <f t="shared" si="24"/>
        <v>0.37867522938933496</v>
      </c>
      <c r="Q28" s="9">
        <f t="shared" si="25"/>
        <v>0.41755627408357388</v>
      </c>
      <c r="R28" s="9">
        <f>'1'!AC28</f>
        <v>0.38919860665377942</v>
      </c>
      <c r="S28" s="9">
        <f>'1'!AE28</f>
        <v>0.47424981601429822</v>
      </c>
      <c r="T28" s="9">
        <f>'2'!AC28</f>
        <v>0.1346357747444179</v>
      </c>
      <c r="U28" s="9">
        <f>'2'!AE28</f>
        <v>0.19025611005252005</v>
      </c>
      <c r="V28" s="9">
        <f>'3'!J28</f>
        <v>0.75161033134511135</v>
      </c>
      <c r="W28" s="9">
        <f>'8'!P25</f>
        <v>0.56776582622832605</v>
      </c>
      <c r="X28" s="9">
        <f t="shared" si="26"/>
        <v>0.49898705952931294</v>
      </c>
      <c r="Y28" s="9">
        <f t="shared" si="27"/>
        <v>0.5385695768043306</v>
      </c>
      <c r="Z28" s="9">
        <f>'1'!AM28</f>
        <v>0.41151360940395154</v>
      </c>
      <c r="AA28" s="9">
        <f>'1'!AO28</f>
        <v>0.49755253443318143</v>
      </c>
      <c r="AB28" s="9">
        <f>'2'!AM28</f>
        <v>0.20350055441485559</v>
      </c>
      <c r="AC28" s="9">
        <f>'2'!AO28</f>
        <v>0.30777648137840874</v>
      </c>
      <c r="AD28" s="9">
        <f>'3'!M28</f>
        <v>0.66856574250653356</v>
      </c>
      <c r="AE28" s="9">
        <f>'8'!U25</f>
        <v>0.60558532492647854</v>
      </c>
      <c r="AF28" s="9">
        <f t="shared" si="28"/>
        <v>0.50349326606131928</v>
      </c>
      <c r="AG28" s="9">
        <f t="shared" si="29"/>
        <v>0.5483364287693665</v>
      </c>
      <c r="AH28" s="9">
        <f>'1'!AW28</f>
        <v>0.30510195914057053</v>
      </c>
      <c r="AI28" s="9">
        <f>'1'!AY28</f>
        <v>0.38116537307452025</v>
      </c>
      <c r="AJ28" s="9">
        <f>'2'!AW28</f>
        <v>0.22081366862078933</v>
      </c>
      <c r="AK28" s="9">
        <f>'2'!AY28</f>
        <v>0.33382576923001522</v>
      </c>
      <c r="AL28" s="9">
        <f>'3'!P28</f>
        <v>0.60267945747334273</v>
      </c>
      <c r="AM28" s="9">
        <f>'8'!Z25</f>
        <v>0.54099621330364334</v>
      </c>
      <c r="AN28" s="9">
        <f t="shared" si="30"/>
        <v>0.43004106821255372</v>
      </c>
      <c r="AO28" s="9">
        <f t="shared" si="31"/>
        <v>0.47176764384705616</v>
      </c>
      <c r="AP28" s="9">
        <f>'1'!BG28</f>
        <v>0.34301383877430669</v>
      </c>
      <c r="AQ28" s="9">
        <f>'1'!BI28</f>
        <v>0.42421158962379857</v>
      </c>
      <c r="AR28" s="9">
        <f>'2'!BG28</f>
        <v>0.25049604463273756</v>
      </c>
      <c r="AS28" s="9">
        <f>'2'!BI28</f>
        <v>0.37585627103127062</v>
      </c>
      <c r="AT28" s="9">
        <f>'3'!S28</f>
        <v>0.62369589438233819</v>
      </c>
      <c r="AU28" s="9">
        <f>'8'!AE25</f>
        <v>0.58140773740134155</v>
      </c>
      <c r="AV28" s="9">
        <f t="shared" si="32"/>
        <v>0.46353104791891636</v>
      </c>
      <c r="AW28" s="9">
        <f t="shared" si="33"/>
        <v>0.50854617089856635</v>
      </c>
      <c r="AX28" s="9">
        <f>'1'!BQ28</f>
        <v>0.45243011087831597</v>
      </c>
      <c r="AY28" s="9">
        <f>'1'!BS28</f>
        <v>0.53891006027585775</v>
      </c>
      <c r="AZ28" s="9">
        <f>'2'!BQ28</f>
        <v>0.24671554015213698</v>
      </c>
      <c r="BA28" s="9">
        <f>'2'!BS28</f>
        <v>0.37067442793268368</v>
      </c>
      <c r="BB28" s="9">
        <f>'3'!V28</f>
        <v>0.76761546213142751</v>
      </c>
      <c r="BC28" s="9">
        <f>'8'!AJ25</f>
        <v>0.6585343809986316</v>
      </c>
      <c r="BD28" s="9">
        <f t="shared" si="34"/>
        <v>0.56218105914905492</v>
      </c>
      <c r="BE28" s="9">
        <f t="shared" si="35"/>
        <v>0.60916892768612629</v>
      </c>
      <c r="BF28" s="9">
        <f>'1'!CA28</f>
        <v>0.40798327837411341</v>
      </c>
      <c r="BG28" s="9">
        <f>'1'!CC28</f>
        <v>0.49390214198116716</v>
      </c>
      <c r="BH28" s="9">
        <f>'2'!CA28</f>
        <v>0.2734696952953013</v>
      </c>
      <c r="BI28" s="9">
        <f>'2'!CC28</f>
        <v>0.40635850005232971</v>
      </c>
      <c r="BJ28" s="9">
        <f>'3'!Y28</f>
        <v>0.57291631278966348</v>
      </c>
      <c r="BK28" s="9">
        <f>'8'!AO25</f>
        <v>0.62649739935408422</v>
      </c>
      <c r="BL28" s="9">
        <f t="shared" si="36"/>
        <v>0.49039370891511247</v>
      </c>
      <c r="BM28" s="9">
        <f t="shared" si="37"/>
        <v>0.53805013483363673</v>
      </c>
      <c r="BN28" s="9">
        <f>'1'!CK28</f>
        <v>0.32987400633150493</v>
      </c>
      <c r="BO28" s="9">
        <f>'1'!CM28</f>
        <v>0.40950248896455321</v>
      </c>
      <c r="BP28" s="9">
        <f>'2'!CK28</f>
        <v>0.38478753751752898</v>
      </c>
      <c r="BQ28" s="9">
        <f>'2'!CM28</f>
        <v>0.53445303503591934</v>
      </c>
      <c r="BR28" s="9">
        <f>'3'!AB28</f>
        <v>0.29210351024750231</v>
      </c>
      <c r="BS28" s="9">
        <f>'8'!AT25</f>
        <v>0.62364041484483168</v>
      </c>
      <c r="BT28" s="9">
        <f t="shared" si="38"/>
        <v>0.39936433755743839</v>
      </c>
      <c r="BU28" s="9">
        <f t="shared" si="39"/>
        <v>0.44618228036249674</v>
      </c>
      <c r="BV28" s="9">
        <f>'1'!CU28</f>
        <v>0.50040585534866278</v>
      </c>
      <c r="BW28" s="9">
        <f>'1'!CW28</f>
        <v>0.58530706934351107</v>
      </c>
      <c r="BX28" s="9">
        <f>'2'!CU28</f>
        <v>0.43747838995719013</v>
      </c>
      <c r="BY28" s="9">
        <f>'2'!CW28</f>
        <v>0.58621670582649699</v>
      </c>
      <c r="BZ28" s="9">
        <f>'3'!AE28</f>
        <v>0.65083129947882878</v>
      </c>
      <c r="CA28" s="9">
        <f>'8'!AY25</f>
        <v>0.62775261785905634</v>
      </c>
      <c r="CB28" s="9">
        <f t="shared" si="40"/>
        <v>0.5635561604696554</v>
      </c>
      <c r="CC28" s="9">
        <f t="shared" si="41"/>
        <v>0.61239047765452548</v>
      </c>
      <c r="CD28" s="9">
        <f>'1'!DE28</f>
        <v>0.46478946085388284</v>
      </c>
      <c r="CE28" s="9">
        <f>'1'!DG28</f>
        <v>0.55107144990116919</v>
      </c>
      <c r="CF28" s="9">
        <f>'2'!DE28</f>
        <v>0.34741394543150828</v>
      </c>
      <c r="CG28" s="9">
        <f>'2'!DG28</f>
        <v>0.49461538433347574</v>
      </c>
      <c r="CH28" s="9">
        <f>'3'!AH28</f>
        <v>0.55505879712382611</v>
      </c>
      <c r="CI28" s="9">
        <f>'8'!BD25</f>
        <v>0.61511979384135873</v>
      </c>
      <c r="CJ28" s="9">
        <f t="shared" si="42"/>
        <v>0.51320182662600022</v>
      </c>
      <c r="CK28" s="9">
        <f t="shared" si="43"/>
        <v>0.56243476613511145</v>
      </c>
    </row>
    <row r="29" spans="1:89">
      <c r="A29" s="1">
        <v>1991</v>
      </c>
      <c r="B29" s="9">
        <f>'1'!I29</f>
        <v>0.42347896147781944</v>
      </c>
      <c r="C29" s="9">
        <f>'1'!K29</f>
        <v>0.50982598751269381</v>
      </c>
      <c r="D29" s="9">
        <f>'2'!I29</f>
        <v>0.26829177037425173</v>
      </c>
      <c r="E29" s="9">
        <f>'2'!K29</f>
        <v>0.39962675296627276</v>
      </c>
      <c r="F29" s="9">
        <f>'3'!D29</f>
        <v>0.63719491025725805</v>
      </c>
      <c r="G29" s="9">
        <f>'8'!F26</f>
        <v>0.59521184035586427</v>
      </c>
      <c r="H29" s="9">
        <f t="shared" si="22"/>
        <v>0.50432244928183356</v>
      </c>
      <c r="I29" s="9">
        <f t="shared" si="23"/>
        <v>0.55199475795498543</v>
      </c>
      <c r="J29" s="9">
        <f>'1'!S29</f>
        <v>0.25729492876995846</v>
      </c>
      <c r="K29" s="9">
        <f>'1'!U29</f>
        <v>0.32408194160194553</v>
      </c>
      <c r="L29" s="9">
        <f>'2'!S29</f>
        <v>0.2210490981914463</v>
      </c>
      <c r="M29" s="9">
        <f>'2'!U29</f>
        <v>0.33417180947013297</v>
      </c>
      <c r="N29" s="9">
        <f>'3'!G29</f>
        <v>0.43431714951484063</v>
      </c>
      <c r="O29" s="9">
        <f>'8'!K26</f>
        <v>0.52949460664476289</v>
      </c>
      <c r="P29" s="9">
        <f t="shared" si="24"/>
        <v>0.36597582036702891</v>
      </c>
      <c r="Q29" s="9">
        <f t="shared" si="25"/>
        <v>0.4040028966276924</v>
      </c>
      <c r="R29" s="9">
        <f>'1'!AC29</f>
        <v>0.38675869167230209</v>
      </c>
      <c r="S29" s="9">
        <f>'1'!AE29</f>
        <v>0.47166843915060136</v>
      </c>
      <c r="T29" s="9">
        <f>'2'!AC29</f>
        <v>0.14111961569670195</v>
      </c>
      <c r="U29" s="9">
        <f>'2'!AE29</f>
        <v>0.20242960176491451</v>
      </c>
      <c r="V29" s="9">
        <f>'3'!J29</f>
        <v>0.67495944490489657</v>
      </c>
      <c r="W29" s="9">
        <f>'8'!P26</f>
        <v>0.52463646016435306</v>
      </c>
      <c r="X29" s="9">
        <f t="shared" si="26"/>
        <v>0.46871441450590345</v>
      </c>
      <c r="Y29" s="9">
        <f t="shared" si="27"/>
        <v>0.50880931210404445</v>
      </c>
      <c r="Z29" s="9">
        <f>'1'!AM29</f>
        <v>0.41201149475507004</v>
      </c>
      <c r="AA29" s="9">
        <f>'1'!AO29</f>
        <v>0.4980662746921381</v>
      </c>
      <c r="AB29" s="9">
        <f>'2'!AM29</f>
        <v>0.20133914249113</v>
      </c>
      <c r="AC29" s="9">
        <f>'2'!AO29</f>
        <v>0.30443802289380789</v>
      </c>
      <c r="AD29" s="9">
        <f>'3'!M29</f>
        <v>0.64761376904737034</v>
      </c>
      <c r="AE29" s="9">
        <f>'8'!U26</f>
        <v>0.59558428011923403</v>
      </c>
      <c r="AF29" s="9">
        <f t="shared" si="28"/>
        <v>0.49573802444279214</v>
      </c>
      <c r="AG29" s="9">
        <f t="shared" si="29"/>
        <v>0.54046982445788716</v>
      </c>
      <c r="AH29" s="9">
        <f>'1'!AW29</f>
        <v>0.30055364812503199</v>
      </c>
      <c r="AI29" s="9">
        <f>'1'!AY29</f>
        <v>0.37587351633102828</v>
      </c>
      <c r="AJ29" s="9">
        <f>'2'!AW29</f>
        <v>0.21579494180731787</v>
      </c>
      <c r="AK29" s="9">
        <f>'2'!AY29</f>
        <v>0.32639800259878127</v>
      </c>
      <c r="AL29" s="9">
        <f>'3'!P29</f>
        <v>0.58682349177296744</v>
      </c>
      <c r="AM29" s="9">
        <f>'8'!Z26</f>
        <v>0.53437452132880192</v>
      </c>
      <c r="AN29" s="9">
        <f t="shared" si="30"/>
        <v>0.4221004567061869</v>
      </c>
      <c r="AO29" s="9">
        <f t="shared" si="31"/>
        <v>0.46328871006773187</v>
      </c>
      <c r="AP29" s="9">
        <f>'1'!BG29</f>
        <v>0.33843250671196068</v>
      </c>
      <c r="AQ29" s="9">
        <f>'1'!BI29</f>
        <v>0.41910780653689617</v>
      </c>
      <c r="AR29" s="9">
        <f>'2'!BG29</f>
        <v>0.24956865636656225</v>
      </c>
      <c r="AS29" s="9">
        <f>'2'!BI29</f>
        <v>0.37458953674711948</v>
      </c>
      <c r="AT29" s="9">
        <f>'3'!S29</f>
        <v>0.59071152030593421</v>
      </c>
      <c r="AU29" s="9">
        <f>'8'!AE26</f>
        <v>0.58289172967857894</v>
      </c>
      <c r="AV29" s="9">
        <f t="shared" si="32"/>
        <v>0.45373068081756879</v>
      </c>
      <c r="AW29" s="9">
        <f t="shared" si="33"/>
        <v>0.49850288878559867</v>
      </c>
      <c r="AX29" s="9">
        <f>'1'!BQ29</f>
        <v>0.46399565381733415</v>
      </c>
      <c r="AY29" s="9">
        <f>'1'!BS29</f>
        <v>0.55029481490306265</v>
      </c>
      <c r="AZ29" s="9">
        <f>'2'!BQ29</f>
        <v>0.24716512928624149</v>
      </c>
      <c r="BA29" s="9">
        <f>'2'!BS29</f>
        <v>0.37129317634061199</v>
      </c>
      <c r="BB29" s="9">
        <f>'3'!V29</f>
        <v>0.73458745778748735</v>
      </c>
      <c r="BC29" s="9">
        <f>'8'!AJ26</f>
        <v>0.60297492938772468</v>
      </c>
      <c r="BD29" s="9">
        <f t="shared" si="34"/>
        <v>0.5447053712493608</v>
      </c>
      <c r="BE29" s="9">
        <f t="shared" si="35"/>
        <v>0.59163784038908929</v>
      </c>
      <c r="BF29" s="9">
        <f>'1'!CA29</f>
        <v>0.40417736884116567</v>
      </c>
      <c r="BG29" s="9">
        <f>'1'!CC29</f>
        <v>0.48995171729640158</v>
      </c>
      <c r="BH29" s="9">
        <f>'2'!CA29</f>
        <v>0.27125868851480334</v>
      </c>
      <c r="BI29" s="9">
        <f>'2'!CC29</f>
        <v>0.4034938553668016</v>
      </c>
      <c r="BJ29" s="9">
        <f>'3'!Y29</f>
        <v>0.58764372083075722</v>
      </c>
      <c r="BK29" s="9">
        <f>'8'!AO26</f>
        <v>0.632029212950592</v>
      </c>
      <c r="BL29" s="9">
        <f t="shared" si="36"/>
        <v>0.4937150498332839</v>
      </c>
      <c r="BM29" s="9">
        <f t="shared" si="37"/>
        <v>0.54124830590057815</v>
      </c>
      <c r="BN29" s="9">
        <f>'1'!CK29</f>
        <v>0.32360921333398046</v>
      </c>
      <c r="BO29" s="9">
        <f>'1'!CM29</f>
        <v>0.4024120915925874</v>
      </c>
      <c r="BP29" s="9">
        <f>'2'!CK29</f>
        <v>0.36045562696262606</v>
      </c>
      <c r="BQ29" s="9">
        <f>'2'!CM29</f>
        <v>0.50883977231619104</v>
      </c>
      <c r="BR29" s="9">
        <f>'3'!AB29</f>
        <v>0.36252118094290631</v>
      </c>
      <c r="BS29" s="9">
        <f>'8'!AT26</f>
        <v>0.60556234615905191</v>
      </c>
      <c r="BT29" s="9">
        <f t="shared" si="38"/>
        <v>0.4075101298053444</v>
      </c>
      <c r="BU29" s="9">
        <f t="shared" si="39"/>
        <v>0.4538696956441437</v>
      </c>
      <c r="BV29" s="9">
        <f>'1'!CU29</f>
        <v>0.48322988937001005</v>
      </c>
      <c r="BW29" s="9">
        <f>'1'!CW29</f>
        <v>0.56894419073197522</v>
      </c>
      <c r="BX29" s="9">
        <f>'2'!CU29</f>
        <v>0.3768181812967567</v>
      </c>
      <c r="BY29" s="9">
        <f>'2'!CW29</f>
        <v>0.5261918147673359</v>
      </c>
      <c r="BZ29" s="9">
        <f>'3'!AE29</f>
        <v>0.63713172001569063</v>
      </c>
      <c r="CA29" s="9">
        <f>'8'!AY26</f>
        <v>0.60591115098469772</v>
      </c>
      <c r="CB29" s="9">
        <f t="shared" si="40"/>
        <v>0.54173449162777687</v>
      </c>
      <c r="CC29" s="9">
        <f t="shared" si="41"/>
        <v>0.5909575755196208</v>
      </c>
      <c r="CD29" s="9">
        <f>'1'!DE29</f>
        <v>0.48688943795566952</v>
      </c>
      <c r="CE29" s="9">
        <f>'1'!DG29</f>
        <v>0.57245316428606252</v>
      </c>
      <c r="CF29" s="9">
        <f>'2'!DE29</f>
        <v>0.33295891415461165</v>
      </c>
      <c r="CG29" s="9">
        <f>'2'!DG29</f>
        <v>0.47841725730705104</v>
      </c>
      <c r="CH29" s="9">
        <f>'3'!AH29</f>
        <v>0.67062420404927625</v>
      </c>
      <c r="CI29" s="9">
        <f>'8'!BD26</f>
        <v>0.60730254761094293</v>
      </c>
      <c r="CJ29" s="9">
        <f t="shared" si="42"/>
        <v>0.54753335451278384</v>
      </c>
      <c r="CK29" s="9">
        <f t="shared" si="43"/>
        <v>0.59630467936018494</v>
      </c>
    </row>
    <row r="30" spans="1:89">
      <c r="A30" s="1">
        <v>1992</v>
      </c>
      <c r="B30" s="9">
        <f>'1'!I30</f>
        <v>0.44639853153233605</v>
      </c>
      <c r="C30" s="9">
        <f>'1'!K30</f>
        <v>0.53292059939094782</v>
      </c>
      <c r="D30" s="9">
        <f>'2'!I30</f>
        <v>0.26547490353597075</v>
      </c>
      <c r="E30" s="9">
        <f>'2'!K30</f>
        <v>0.39593045057602927</v>
      </c>
      <c r="F30" s="9">
        <f>'3'!D30</f>
        <v>0.62715689884919212</v>
      </c>
      <c r="G30" s="9">
        <f>'8'!F27</f>
        <v>0.57962823395007501</v>
      </c>
      <c r="H30" s="9">
        <f t="shared" si="22"/>
        <v>0.50680318616634823</v>
      </c>
      <c r="I30" s="9">
        <f t="shared" si="23"/>
        <v>0.55445756801379886</v>
      </c>
      <c r="J30" s="9">
        <f>'1'!S30</f>
        <v>0.26830211607008103</v>
      </c>
      <c r="K30" s="9">
        <f>'1'!U30</f>
        <v>0.33751857773647254</v>
      </c>
      <c r="L30" s="9">
        <f>'2'!S30</f>
        <v>0.22355036374478418</v>
      </c>
      <c r="M30" s="9">
        <f>'2'!U30</f>
        <v>0.33783514089959171</v>
      </c>
      <c r="N30" s="9">
        <f>'3'!G30</f>
        <v>0.34585350336552034</v>
      </c>
      <c r="O30" s="9">
        <f>'8'!K27</f>
        <v>0.49362253565600994</v>
      </c>
      <c r="P30" s="9">
        <f t="shared" si="24"/>
        <v>0.33954489255789339</v>
      </c>
      <c r="Q30" s="9">
        <f t="shared" si="25"/>
        <v>0.37865995493993077</v>
      </c>
      <c r="R30" s="9">
        <f>'1'!AC30</f>
        <v>0.43687803884460563</v>
      </c>
      <c r="S30" s="9">
        <f>'1'!AE30</f>
        <v>0.52339249219491157</v>
      </c>
      <c r="T30" s="9">
        <f>'2'!AC30</f>
        <v>0.14794380348655806</v>
      </c>
      <c r="U30" s="9">
        <f>'2'!AE30</f>
        <v>0.21496364528294823</v>
      </c>
      <c r="V30" s="9">
        <f>'3'!J30</f>
        <v>0.74553104897601818</v>
      </c>
      <c r="W30" s="9">
        <f>'8'!P27</f>
        <v>0.49858929792596746</v>
      </c>
      <c r="X30" s="9">
        <f t="shared" si="26"/>
        <v>0.50057568261199448</v>
      </c>
      <c r="Y30" s="9">
        <f t="shared" si="27"/>
        <v>0.54188344813175582</v>
      </c>
      <c r="Z30" s="9">
        <f>'1'!AM30</f>
        <v>0.44574648722445809</v>
      </c>
      <c r="AA30" s="9">
        <f>'1'!AO30</f>
        <v>0.53227094033616607</v>
      </c>
      <c r="AB30" s="9">
        <f>'2'!AM30</f>
        <v>0.194832323392721</v>
      </c>
      <c r="AC30" s="9">
        <f>'2'!AO30</f>
        <v>0.29426641794668418</v>
      </c>
      <c r="AD30" s="9">
        <f>'3'!M30</f>
        <v>0.63830888011204023</v>
      </c>
      <c r="AE30" s="9">
        <f>'8'!U27</f>
        <v>0.56965718810900967</v>
      </c>
      <c r="AF30" s="9">
        <f t="shared" si="28"/>
        <v>0.49977334428431786</v>
      </c>
      <c r="AG30" s="9">
        <f t="shared" si="29"/>
        <v>0.54432653498439731</v>
      </c>
      <c r="AH30" s="9">
        <f>'1'!AW30</f>
        <v>0.31204363893246867</v>
      </c>
      <c r="AI30" s="9">
        <f>'1'!AY30</f>
        <v>0.38918791197566505</v>
      </c>
      <c r="AJ30" s="9">
        <f>'2'!AW30</f>
        <v>0.20855263742318508</v>
      </c>
      <c r="AK30" s="9">
        <f>'2'!AY30</f>
        <v>0.31550333529239349</v>
      </c>
      <c r="AL30" s="9">
        <f>'3'!P30</f>
        <v>0.59230475321299347</v>
      </c>
      <c r="AM30" s="9">
        <f>'8'!Z27</f>
        <v>0.4910447342571862</v>
      </c>
      <c r="AN30" s="9">
        <f t="shared" si="30"/>
        <v>0.41651009118285087</v>
      </c>
      <c r="AO30" s="9">
        <f t="shared" si="31"/>
        <v>0.45806287018705028</v>
      </c>
      <c r="AP30" s="9">
        <f>'1'!BG30</f>
        <v>0.36085866877954903</v>
      </c>
      <c r="AQ30" s="9">
        <f>'1'!BI30</f>
        <v>0.44384517646333493</v>
      </c>
      <c r="AR30" s="9">
        <f>'2'!BG30</f>
        <v>0.25004559047027025</v>
      </c>
      <c r="AS30" s="9">
        <f>'2'!BI30</f>
        <v>0.37524134500601219</v>
      </c>
      <c r="AT30" s="9">
        <f>'3'!S30</f>
        <v>0.6354163298489901</v>
      </c>
      <c r="AU30" s="9">
        <f>'8'!AE27</f>
        <v>0.55761749356146095</v>
      </c>
      <c r="AV30" s="9">
        <f t="shared" si="32"/>
        <v>0.46760648241145941</v>
      </c>
      <c r="AW30" s="9">
        <f t="shared" si="33"/>
        <v>0.513320660938548</v>
      </c>
      <c r="AX30" s="9">
        <f>'1'!BQ30</f>
        <v>0.49398113478618055</v>
      </c>
      <c r="AY30" s="9">
        <f>'1'!BS30</f>
        <v>0.57921799101619342</v>
      </c>
      <c r="AZ30" s="9">
        <f>'2'!BQ30</f>
        <v>0.24566092614168619</v>
      </c>
      <c r="BA30" s="9">
        <f>'2'!BS30</f>
        <v>0.36922033468123983</v>
      </c>
      <c r="BB30" s="9">
        <f>'3'!V30</f>
        <v>0.72365974009415523</v>
      </c>
      <c r="BC30" s="9">
        <f>'8'!AJ27</f>
        <v>0.60046455070826243</v>
      </c>
      <c r="BD30" s="9">
        <f t="shared" si="34"/>
        <v>0.55318961922924526</v>
      </c>
      <c r="BE30" s="9">
        <f t="shared" si="35"/>
        <v>0.59964030257520573</v>
      </c>
      <c r="BF30" s="9">
        <f>'1'!CA30</f>
        <v>0.41966602307329459</v>
      </c>
      <c r="BG30" s="9">
        <f>'1'!CC30</f>
        <v>0.50593130295506805</v>
      </c>
      <c r="BH30" s="9">
        <f>'2'!CA30</f>
        <v>0.26959247663949737</v>
      </c>
      <c r="BI30" s="9">
        <f>'2'!CC30</f>
        <v>0.401325377917851</v>
      </c>
      <c r="BJ30" s="9">
        <f>'3'!Y30</f>
        <v>0.53989358851529268</v>
      </c>
      <c r="BK30" s="9">
        <f>'8'!AO27</f>
        <v>0.59987441853187051</v>
      </c>
      <c r="BL30" s="9">
        <f t="shared" si="36"/>
        <v>0.47976765865505838</v>
      </c>
      <c r="BM30" s="9">
        <f t="shared" si="37"/>
        <v>0.52744706073560321</v>
      </c>
      <c r="BN30" s="9">
        <f>'1'!CK30</f>
        <v>0.33253479081719994</v>
      </c>
      <c r="BO30" s="9">
        <f>'1'!CM30</f>
        <v>0.4124986818938004</v>
      </c>
      <c r="BP30" s="9">
        <f>'2'!CK30</f>
        <v>0.36150648813285241</v>
      </c>
      <c r="BQ30" s="9">
        <f>'2'!CM30</f>
        <v>0.50997041850630109</v>
      </c>
      <c r="BR30" s="9">
        <f>'3'!AB30</f>
        <v>0.3630023954156939</v>
      </c>
      <c r="BS30" s="9">
        <f>'8'!AT27</f>
        <v>0.59526614259891708</v>
      </c>
      <c r="BT30" s="9">
        <f t="shared" si="38"/>
        <v>0.40873169964381795</v>
      </c>
      <c r="BU30" s="9">
        <f t="shared" si="39"/>
        <v>0.45556364911180303</v>
      </c>
      <c r="BV30" s="9">
        <f>'1'!CU30</f>
        <v>0.49304559250598951</v>
      </c>
      <c r="BW30" s="9">
        <f>'1'!CW30</f>
        <v>0.57832820268152496</v>
      </c>
      <c r="BX30" s="9">
        <f>'2'!CU30</f>
        <v>0.37524340184243815</v>
      </c>
      <c r="BY30" s="9">
        <f>'2'!CW30</f>
        <v>0.52454490053017433</v>
      </c>
      <c r="BZ30" s="9">
        <f>'3'!AE30</f>
        <v>0.50524267219712382</v>
      </c>
      <c r="CA30" s="9">
        <f>'8'!AY27</f>
        <v>0.59325404162897366</v>
      </c>
      <c r="CB30" s="9">
        <f t="shared" si="40"/>
        <v>0.50936675564316403</v>
      </c>
      <c r="CC30" s="9">
        <f t="shared" si="41"/>
        <v>0.55840994958215173</v>
      </c>
      <c r="CD30" s="9">
        <f>'1'!DE30</f>
        <v>0.51299539769274249</v>
      </c>
      <c r="CE30" s="9">
        <f>'1'!DG30</f>
        <v>0.59713176930746903</v>
      </c>
      <c r="CF30" s="9">
        <f>'2'!DE30</f>
        <v>0.31680111586390736</v>
      </c>
      <c r="CG30" s="9">
        <f>'2'!DG30</f>
        <v>0.45974092695928764</v>
      </c>
      <c r="CH30" s="9">
        <f>'3'!AH30</f>
        <v>0.61668801046372801</v>
      </c>
      <c r="CI30" s="9">
        <f>'8'!BD27</f>
        <v>0.5902072315786091</v>
      </c>
      <c r="CJ30" s="9">
        <f t="shared" si="42"/>
        <v>0.53860208117407204</v>
      </c>
      <c r="CK30" s="9">
        <f t="shared" si="43"/>
        <v>0.58655061092950067</v>
      </c>
    </row>
    <row r="31" spans="1:89">
      <c r="A31" s="1">
        <v>1993</v>
      </c>
      <c r="B31" s="9">
        <f>'1'!I31</f>
        <v>0.45409767595013772</v>
      </c>
      <c r="C31" s="9">
        <f>'1'!K31</f>
        <v>0.54055962930496426</v>
      </c>
      <c r="D31" s="9">
        <f>'2'!I31</f>
        <v>0.26425017342839102</v>
      </c>
      <c r="E31" s="9">
        <f>'2'!K31</f>
        <v>0.39431574509612249</v>
      </c>
      <c r="F31" s="9">
        <f>'3'!D31</f>
        <v>0.63523635395519973</v>
      </c>
      <c r="G31" s="9">
        <f>'8'!F28</f>
        <v>0.56590126225754278</v>
      </c>
      <c r="H31" s="9">
        <f t="shared" si="22"/>
        <v>0.50834849177607988</v>
      </c>
      <c r="I31" s="9">
        <f t="shared" si="23"/>
        <v>0.55593983028478355</v>
      </c>
      <c r="J31" s="9">
        <f>'1'!S31</f>
        <v>0.26815036630862493</v>
      </c>
      <c r="K31" s="9">
        <f>'1'!U31</f>
        <v>0.33733456451675609</v>
      </c>
      <c r="L31" s="9">
        <f>'2'!S31</f>
        <v>0.22244543142849407</v>
      </c>
      <c r="M31" s="9">
        <f>'2'!U31</f>
        <v>0.33621980901703125</v>
      </c>
      <c r="N31" s="9">
        <f>'3'!G31</f>
        <v>0.45028668456028575</v>
      </c>
      <c r="O31" s="9">
        <f>'8'!K28</f>
        <v>0.49308792931566037</v>
      </c>
      <c r="P31" s="9">
        <f t="shared" si="24"/>
        <v>0.36534834313528591</v>
      </c>
      <c r="Q31" s="9">
        <f t="shared" si="25"/>
        <v>0.40439946017739214</v>
      </c>
      <c r="R31" s="9">
        <f>'1'!AC31</f>
        <v>0.30279743633291778</v>
      </c>
      <c r="S31" s="9">
        <f>'1'!AE31</f>
        <v>0.37848763574191696</v>
      </c>
      <c r="T31" s="9">
        <f>'2'!AC31</f>
        <v>0.15662747461210255</v>
      </c>
      <c r="U31" s="9">
        <f>'2'!AE31</f>
        <v>0.23051937688026572</v>
      </c>
      <c r="V31" s="9">
        <f>'3'!J31</f>
        <v>0.8339066440361137</v>
      </c>
      <c r="W31" s="9">
        <f>'8'!P28</f>
        <v>0.52230814874021436</v>
      </c>
      <c r="X31" s="9">
        <f t="shared" si="26"/>
        <v>0.47583542018845942</v>
      </c>
      <c r="Y31" s="9">
        <f t="shared" si="27"/>
        <v>0.51350069017887545</v>
      </c>
      <c r="Z31" s="9">
        <f>'1'!AM31</f>
        <v>0.46562080291503388</v>
      </c>
      <c r="AA31" s="9">
        <f>'1'!AO31</f>
        <v>0.55188415764578735</v>
      </c>
      <c r="AB31" s="9">
        <f>'2'!AM31</f>
        <v>0.19201023935816144</v>
      </c>
      <c r="AC31" s="9">
        <f>'2'!AO31</f>
        <v>0.28979701157361537</v>
      </c>
      <c r="AD31" s="9">
        <f>'3'!M31</f>
        <v>0.6299583065402049</v>
      </c>
      <c r="AE31" s="9">
        <f>'8'!U28</f>
        <v>0.53524784643989676</v>
      </c>
      <c r="AF31" s="9">
        <f t="shared" si="28"/>
        <v>0.49675088334685513</v>
      </c>
      <c r="AG31" s="9">
        <f t="shared" si="29"/>
        <v>0.54103490246070196</v>
      </c>
      <c r="AH31" s="9">
        <f>'1'!AW31</f>
        <v>0.32731999924413729</v>
      </c>
      <c r="AI31" s="9">
        <f>'1'!AY31</f>
        <v>0.40661800938417841</v>
      </c>
      <c r="AJ31" s="9">
        <f>'2'!AW31</f>
        <v>0.20001778841048812</v>
      </c>
      <c r="AK31" s="9">
        <f>'2'!AY31</f>
        <v>0.30238728878210164</v>
      </c>
      <c r="AL31" s="9">
        <f>'3'!P31</f>
        <v>0.57621448806619058</v>
      </c>
      <c r="AM31" s="9">
        <f>'8'!Z28</f>
        <v>0.50104280956289671</v>
      </c>
      <c r="AN31" s="9">
        <f t="shared" si="30"/>
        <v>0.42024410294597558</v>
      </c>
      <c r="AO31" s="9">
        <f t="shared" si="31"/>
        <v>0.46220025703915335</v>
      </c>
      <c r="AP31" s="9">
        <f>'1'!BG31</f>
        <v>0.36818067300640384</v>
      </c>
      <c r="AQ31" s="9">
        <f>'1'!BI31</f>
        <v>0.45179020601573178</v>
      </c>
      <c r="AR31" s="9">
        <f>'2'!BG31</f>
        <v>0.2491520854682657</v>
      </c>
      <c r="AS31" s="9">
        <f>'2'!BI31</f>
        <v>0.37401960578641658</v>
      </c>
      <c r="AT31" s="9">
        <f>'3'!S31</f>
        <v>0.58534402376911077</v>
      </c>
      <c r="AU31" s="9">
        <f>'8'!AE28</f>
        <v>0.53153495894987612</v>
      </c>
      <c r="AV31" s="9">
        <f t="shared" si="32"/>
        <v>0.45140722342913486</v>
      </c>
      <c r="AW31" s="9">
        <f t="shared" si="33"/>
        <v>0.49733778866468109</v>
      </c>
      <c r="AX31" s="9">
        <f>'1'!BQ31</f>
        <v>0.5005129155213297</v>
      </c>
      <c r="AY31" s="9">
        <f>'1'!BS31</f>
        <v>0.58540822099919088</v>
      </c>
      <c r="AZ31" s="9">
        <f>'2'!BQ31</f>
        <v>0.243171096495473</v>
      </c>
      <c r="BA31" s="9">
        <f>'2'!BS31</f>
        <v>0.36577238459546418</v>
      </c>
      <c r="BB31" s="9">
        <f>'3'!V31</f>
        <v>0.74324817823536315</v>
      </c>
      <c r="BC31" s="9">
        <f>'8'!AJ28</f>
        <v>0.5772941800331689</v>
      </c>
      <c r="BD31" s="9">
        <f t="shared" si="34"/>
        <v>0.55465786542521223</v>
      </c>
      <c r="BE31" s="9">
        <f t="shared" si="35"/>
        <v>0.60087611642635586</v>
      </c>
      <c r="BF31" s="9">
        <f>'1'!CA31</f>
        <v>0.42460178446498964</v>
      </c>
      <c r="BG31" s="9">
        <f>'1'!CC31</f>
        <v>0.51096997899795027</v>
      </c>
      <c r="BH31" s="9">
        <f>'2'!CA31</f>
        <v>0.26590867524211659</v>
      </c>
      <c r="BI31" s="9">
        <f>'2'!CC31</f>
        <v>0.39650123253664799</v>
      </c>
      <c r="BJ31" s="9">
        <f>'3'!Y31</f>
        <v>0.54619709284578843</v>
      </c>
      <c r="BK31" s="9">
        <f>'8'!AO28</f>
        <v>0.60608164859423674</v>
      </c>
      <c r="BL31" s="9">
        <f t="shared" si="36"/>
        <v>0.48450126667021376</v>
      </c>
      <c r="BM31" s="9">
        <f t="shared" si="37"/>
        <v>0.5321078002128512</v>
      </c>
      <c r="BN31" s="9">
        <f>'1'!CK31</f>
        <v>0.34608927812798596</v>
      </c>
      <c r="BO31" s="9">
        <f>'1'!CM31</f>
        <v>0.42762310050225699</v>
      </c>
      <c r="BP31" s="9">
        <f>'2'!CK31</f>
        <v>0.35023220259348753</v>
      </c>
      <c r="BQ31" s="9">
        <f>'2'!CM31</f>
        <v>0.49771984508541045</v>
      </c>
      <c r="BR31" s="9">
        <f>'3'!AB31</f>
        <v>0.4641391072665747</v>
      </c>
      <c r="BS31" s="9">
        <f>'8'!AT28</f>
        <v>0.57729079215344181</v>
      </c>
      <c r="BT31" s="9">
        <f t="shared" si="38"/>
        <v>0.43381640636554725</v>
      </c>
      <c r="BU31" s="9">
        <f t="shared" si="39"/>
        <v>0.48117869956444798</v>
      </c>
      <c r="BV31" s="9">
        <f>'1'!CU31</f>
        <v>0.50344067261904746</v>
      </c>
      <c r="BW31" s="9">
        <f>'1'!CW31</f>
        <v>0.58817041478917642</v>
      </c>
      <c r="BX31" s="9">
        <f>'2'!CU31</f>
        <v>0.38468220772343198</v>
      </c>
      <c r="BY31" s="9">
        <f>'2'!CW31</f>
        <v>0.53434463548665134</v>
      </c>
      <c r="BZ31" s="9">
        <f>'3'!AE31</f>
        <v>0.59819387818298819</v>
      </c>
      <c r="CA31" s="9">
        <f>'8'!AY28</f>
        <v>0.60999278863482242</v>
      </c>
      <c r="CB31" s="9">
        <f t="shared" si="40"/>
        <v>0.54189115652441489</v>
      </c>
      <c r="CC31" s="9">
        <f t="shared" si="41"/>
        <v>0.59074929616878835</v>
      </c>
      <c r="CD31" s="9">
        <f>'1'!DE31</f>
        <v>0.51830455403552589</v>
      </c>
      <c r="CE31" s="9">
        <f>'1'!DG31</f>
        <v>0.60207650040421556</v>
      </c>
      <c r="CF31" s="9">
        <f>'2'!DE31</f>
        <v>0.31277812030136992</v>
      </c>
      <c r="CG31" s="9">
        <f>'2'!DG31</f>
        <v>0.45499278005316973</v>
      </c>
      <c r="CH31" s="9">
        <f>'3'!AH31</f>
        <v>0.62813183103279413</v>
      </c>
      <c r="CI31" s="9">
        <f>'8'!BD28</f>
        <v>0.59283549408205594</v>
      </c>
      <c r="CJ31" s="9">
        <f t="shared" si="42"/>
        <v>0.54384146492305985</v>
      </c>
      <c r="CK31" s="9">
        <f t="shared" si="43"/>
        <v>0.59157170944571569</v>
      </c>
    </row>
    <row r="32" spans="1:89">
      <c r="A32" s="1">
        <v>1994</v>
      </c>
      <c r="B32" s="9">
        <f>'1'!I32</f>
        <v>0.4707879554041452</v>
      </c>
      <c r="C32" s="9">
        <f>'1'!K32</f>
        <v>0.55692063711279405</v>
      </c>
      <c r="D32" s="9">
        <f>'2'!I32</f>
        <v>0.27042889032161399</v>
      </c>
      <c r="E32" s="9">
        <f>'2'!K32</f>
        <v>0.40241496684723144</v>
      </c>
      <c r="F32" s="9">
        <f>'3'!D32</f>
        <v>0.63273304343063508</v>
      </c>
      <c r="G32" s="9">
        <f>'8'!F29</f>
        <v>0.57065555282292912</v>
      </c>
      <c r="H32" s="9">
        <f t="shared" si="22"/>
        <v>0.5162052202572105</v>
      </c>
      <c r="I32" s="9">
        <f t="shared" si="23"/>
        <v>0.5638569005932319</v>
      </c>
      <c r="J32" s="9">
        <f>'1'!S32</f>
        <v>0.27757566852670645</v>
      </c>
      <c r="K32" s="9">
        <f>'1'!U32</f>
        <v>0.34869958431502579</v>
      </c>
      <c r="L32" s="9">
        <f>'2'!S32</f>
        <v>0.23795497044475625</v>
      </c>
      <c r="M32" s="9">
        <f>'2'!U32</f>
        <v>0.35847973950800688</v>
      </c>
      <c r="N32" s="9">
        <f>'3'!G32</f>
        <v>0.44964490021771963</v>
      </c>
      <c r="O32" s="9">
        <f>'8'!K29</f>
        <v>0.4896761657912887</v>
      </c>
      <c r="P32" s="9">
        <f t="shared" si="24"/>
        <v>0.36965603095741029</v>
      </c>
      <c r="Q32" s="9">
        <f t="shared" si="25"/>
        <v>0.41015807417906308</v>
      </c>
      <c r="R32" s="9">
        <f>'1'!AC32</f>
        <v>0.31711266141564254</v>
      </c>
      <c r="S32" s="9">
        <f>'1'!AE32</f>
        <v>0.3950055555866237</v>
      </c>
      <c r="T32" s="9">
        <f>'2'!AC32</f>
        <v>0.159852292631428</v>
      </c>
      <c r="U32" s="9">
        <f>'2'!AE32</f>
        <v>0.2361883876511662</v>
      </c>
      <c r="V32" s="9">
        <f>'3'!J32</f>
        <v>0.87321690760793291</v>
      </c>
      <c r="W32" s="9">
        <f>'8'!P29</f>
        <v>0.49830843866634822</v>
      </c>
      <c r="X32" s="9">
        <f t="shared" si="26"/>
        <v>0.48571163039797016</v>
      </c>
      <c r="Y32" s="9">
        <f t="shared" si="27"/>
        <v>0.52450239756833639</v>
      </c>
      <c r="Z32" s="9">
        <f>'1'!AM32</f>
        <v>0.4650720912873213</v>
      </c>
      <c r="AA32" s="9">
        <f>'1'!AO32</f>
        <v>0.55134781983976899</v>
      </c>
      <c r="AB32" s="9">
        <f>'2'!AM32</f>
        <v>0.193130370726005</v>
      </c>
      <c r="AC32" s="9">
        <f>'2'!AO32</f>
        <v>0.29157524658436618</v>
      </c>
      <c r="AD32" s="9">
        <f>'3'!M32</f>
        <v>0.54544220100820917</v>
      </c>
      <c r="AE32" s="9">
        <f>'8'!U29</f>
        <v>0.53913920021720529</v>
      </c>
      <c r="AF32" s="9">
        <f t="shared" si="28"/>
        <v>0.47648722389388265</v>
      </c>
      <c r="AG32" s="9">
        <f t="shared" si="29"/>
        <v>0.52084200290069793</v>
      </c>
      <c r="AH32" s="9">
        <f>'1'!AW32</f>
        <v>0.33489440688660105</v>
      </c>
      <c r="AI32" s="9">
        <f>'1'!AY32</f>
        <v>0.41514820386383555</v>
      </c>
      <c r="AJ32" s="9">
        <f>'2'!AW32</f>
        <v>0.20508401775922594</v>
      </c>
      <c r="AK32" s="9">
        <f>'2'!AY32</f>
        <v>0.31020973685296338</v>
      </c>
      <c r="AL32" s="9">
        <f>'3'!P32</f>
        <v>0.50823481147919769</v>
      </c>
      <c r="AM32" s="9">
        <f>'8'!Z29</f>
        <v>0.49459121718787813</v>
      </c>
      <c r="AN32" s="9">
        <f t="shared" si="30"/>
        <v>0.40517267169733195</v>
      </c>
      <c r="AO32" s="9">
        <f t="shared" si="31"/>
        <v>0.44778676239759951</v>
      </c>
      <c r="AP32" s="9">
        <f>'1'!BG32</f>
        <v>0.38804205042598833</v>
      </c>
      <c r="AQ32" s="9">
        <f>'1'!BI32</f>
        <v>0.47302704079429336</v>
      </c>
      <c r="AR32" s="9">
        <f>'2'!BG32</f>
        <v>0.25435065921878725</v>
      </c>
      <c r="AS32" s="9">
        <f>'2'!BI32</f>
        <v>0.38109098008790504</v>
      </c>
      <c r="AT32" s="9">
        <f>'3'!S32</f>
        <v>0.58162708363694771</v>
      </c>
      <c r="AU32" s="9">
        <f>'8'!AE29</f>
        <v>0.54493310600669875</v>
      </c>
      <c r="AV32" s="9">
        <f t="shared" si="32"/>
        <v>0.46229193350318565</v>
      </c>
      <c r="AW32" s="9">
        <f t="shared" si="33"/>
        <v>0.50895996173741953</v>
      </c>
      <c r="AX32" s="9">
        <f>'1'!BQ32</f>
        <v>0.52297506604949962</v>
      </c>
      <c r="AY32" s="9">
        <f>'1'!BS32</f>
        <v>0.60640616987633811</v>
      </c>
      <c r="AZ32" s="9">
        <f>'2'!BQ32</f>
        <v>0.24746453953453088</v>
      </c>
      <c r="BA32" s="9">
        <f>'2'!BS32</f>
        <v>0.37170486320153934</v>
      </c>
      <c r="BB32" s="9">
        <f>'3'!V32</f>
        <v>0.72691778850627997</v>
      </c>
      <c r="BC32" s="9">
        <f>'8'!AJ29</f>
        <v>0.58469736231893121</v>
      </c>
      <c r="BD32" s="9">
        <f t="shared" si="34"/>
        <v>0.56184026807955578</v>
      </c>
      <c r="BE32" s="9">
        <f t="shared" si="35"/>
        <v>0.60763674197699202</v>
      </c>
      <c r="BF32" s="9">
        <f>'1'!CA32</f>
        <v>0.43994270390035312</v>
      </c>
      <c r="BG32" s="9">
        <f>'1'!CC32</f>
        <v>0.52646959250537551</v>
      </c>
      <c r="BH32" s="9">
        <f>'2'!CA32</f>
        <v>0.27010946210724635</v>
      </c>
      <c r="BI32" s="9">
        <f>'2'!CC32</f>
        <v>0.40199909962318942</v>
      </c>
      <c r="BJ32" s="9">
        <f>'3'!Y32</f>
        <v>0.57094678442814573</v>
      </c>
      <c r="BK32" s="9">
        <f>'8'!AO29</f>
        <v>0.57696097822295522</v>
      </c>
      <c r="BL32" s="9">
        <f t="shared" si="36"/>
        <v>0.48996496843364112</v>
      </c>
      <c r="BM32" s="9">
        <f t="shared" si="37"/>
        <v>0.53776468762724439</v>
      </c>
      <c r="BN32" s="9">
        <f>'1'!CK32</f>
        <v>0.35565706530771451</v>
      </c>
      <c r="BO32" s="9">
        <f>'1'!CM32</f>
        <v>0.43816212077215844</v>
      </c>
      <c r="BP32" s="9">
        <f>'2'!CK32</f>
        <v>0.37509014852380773</v>
      </c>
      <c r="BQ32" s="9">
        <f>'2'!CM32</f>
        <v>0.52438436937811017</v>
      </c>
      <c r="BR32" s="9">
        <f>'3'!AB32</f>
        <v>0.47567945449753046</v>
      </c>
      <c r="BS32" s="9">
        <f>'8'!AT29</f>
        <v>0.56447507635919492</v>
      </c>
      <c r="BT32" s="9">
        <f t="shared" si="38"/>
        <v>0.43981047368964787</v>
      </c>
      <c r="BU32" s="9">
        <f t="shared" si="39"/>
        <v>0.48774191796085575</v>
      </c>
      <c r="BV32" s="9">
        <f>'1'!CU32</f>
        <v>0.51245994212043267</v>
      </c>
      <c r="BW32" s="9">
        <f>'1'!CW32</f>
        <v>0.59663169899833968</v>
      </c>
      <c r="BX32" s="9">
        <f>'2'!CU32</f>
        <v>0.39162633030657706</v>
      </c>
      <c r="BY32" s="9">
        <f>'2'!CW32</f>
        <v>0.54144678386396772</v>
      </c>
      <c r="BZ32" s="9">
        <f>'3'!AE32</f>
        <v>0.64712447843980414</v>
      </c>
      <c r="CA32" s="9">
        <f>'8'!AY29</f>
        <v>0.59275983333368854</v>
      </c>
      <c r="CB32" s="9">
        <f t="shared" si="40"/>
        <v>0.55411768782220394</v>
      </c>
      <c r="CC32" s="9">
        <f t="shared" si="41"/>
        <v>0.60276843592910589</v>
      </c>
      <c r="CD32" s="9">
        <f>'1'!DE32</f>
        <v>0.53677516123955482</v>
      </c>
      <c r="CE32" s="9">
        <f>'1'!DG32</f>
        <v>0.6190900240328312</v>
      </c>
      <c r="CF32" s="9">
        <f>'2'!DE32</f>
        <v>0.32091156878904892</v>
      </c>
      <c r="CG32" s="9">
        <f>'2'!DG32</f>
        <v>0.46455123352515948</v>
      </c>
      <c r="CH32" s="9">
        <f>'3'!AH32</f>
        <v>0.61995105184944088</v>
      </c>
      <c r="CI32" s="9">
        <f>'8'!BD29</f>
        <v>0.60947598398953118</v>
      </c>
      <c r="CJ32" s="9">
        <f t="shared" si="42"/>
        <v>0.55415798033446984</v>
      </c>
      <c r="CK32" s="9">
        <f t="shared" si="43"/>
        <v>0.60144789192539139</v>
      </c>
    </row>
    <row r="33" spans="1:89">
      <c r="A33" s="1">
        <v>1995</v>
      </c>
      <c r="B33" s="9">
        <f>'1'!I33</f>
        <v>0.48340105029325475</v>
      </c>
      <c r="C33" s="9">
        <f>'1'!K33</f>
        <v>0.569108585660834</v>
      </c>
      <c r="D33" s="9">
        <f>'2'!I33</f>
        <v>0.27966740692347536</v>
      </c>
      <c r="E33" s="9">
        <f>'2'!K33</f>
        <v>0.41431150251897209</v>
      </c>
      <c r="F33" s="9">
        <f>'3'!D33</f>
        <v>0.61180974212230088</v>
      </c>
      <c r="G33" s="9">
        <f>'8'!F30</f>
        <v>0.57648328337656674</v>
      </c>
      <c r="H33" s="9">
        <f t="shared" si="22"/>
        <v>0.51840041718436636</v>
      </c>
      <c r="I33" s="9">
        <f t="shared" si="23"/>
        <v>0.56614784089094772</v>
      </c>
      <c r="J33" s="9">
        <f>'1'!S33</f>
        <v>0.2894416490761122</v>
      </c>
      <c r="K33" s="9">
        <f>'1'!U33</f>
        <v>0.36282515537337584</v>
      </c>
      <c r="L33" s="9">
        <f>'2'!S33</f>
        <v>0.26199034358642942</v>
      </c>
      <c r="M33" s="9">
        <f>'2'!U33</f>
        <v>0.39132411929185407</v>
      </c>
      <c r="N33" s="9">
        <f>'3'!G33</f>
        <v>0.38154979440299513</v>
      </c>
      <c r="O33" s="9">
        <f>'8'!K30</f>
        <v>0.50241019118959662</v>
      </c>
      <c r="P33" s="9">
        <f t="shared" si="24"/>
        <v>0.36296569038723575</v>
      </c>
      <c r="Q33" s="9">
        <f t="shared" si="25"/>
        <v>0.40525247047668367</v>
      </c>
      <c r="R33" s="9">
        <f>'1'!AC33</f>
        <v>0.32331548031576229</v>
      </c>
      <c r="S33" s="9">
        <f>'1'!AE33</f>
        <v>0.40207840392982003</v>
      </c>
      <c r="T33" s="9">
        <f>'2'!AC33</f>
        <v>0.1673345311087519</v>
      </c>
      <c r="U33" s="9">
        <f>'2'!AE33</f>
        <v>0.24912558318234432</v>
      </c>
      <c r="V33" s="9">
        <f>'3'!J33</f>
        <v>0.7597872992252922</v>
      </c>
      <c r="W33" s="9">
        <f>'8'!P30</f>
        <v>0.48897618508319179</v>
      </c>
      <c r="X33" s="9">
        <f t="shared" si="26"/>
        <v>0.45825051631430108</v>
      </c>
      <c r="Y33" s="9">
        <f t="shared" si="27"/>
        <v>0.49793479096728344</v>
      </c>
      <c r="Z33" s="9">
        <f>'1'!AM33</f>
        <v>0.48317739461380826</v>
      </c>
      <c r="AA33" s="9">
        <f>'1'!AO33</f>
        <v>0.56889376564326399</v>
      </c>
      <c r="AB33" s="9">
        <f>'2'!AM33</f>
        <v>0.2034849870365717</v>
      </c>
      <c r="AC33" s="9">
        <f>'2'!AO33</f>
        <v>0.30775250715782881</v>
      </c>
      <c r="AD33" s="9">
        <f>'3'!M33</f>
        <v>0.56626617126782153</v>
      </c>
      <c r="AE33" s="9">
        <f>'8'!U30</f>
        <v>0.55250687169514012</v>
      </c>
      <c r="AF33" s="9">
        <f t="shared" si="28"/>
        <v>0.49331271728992088</v>
      </c>
      <c r="AG33" s="9">
        <f t="shared" si="29"/>
        <v>0.53802601771382896</v>
      </c>
      <c r="AH33" s="9">
        <f>'1'!AW33</f>
        <v>0.34730560175309128</v>
      </c>
      <c r="AI33" s="9">
        <f>'1'!AY33</f>
        <v>0.4289691130490545</v>
      </c>
      <c r="AJ33" s="9">
        <f>'2'!AW33</f>
        <v>0.22997667222976872</v>
      </c>
      <c r="AK33" s="9">
        <f>'2'!AY33</f>
        <v>0.34713905794311578</v>
      </c>
      <c r="AL33" s="9">
        <f>'3'!P33</f>
        <v>0.54404786736483879</v>
      </c>
      <c r="AM33" s="9">
        <f>'8'!Z30</f>
        <v>0.5521510346434777</v>
      </c>
      <c r="AN33" s="9">
        <f t="shared" si="30"/>
        <v>0.43596963342629252</v>
      </c>
      <c r="AO33" s="9">
        <f t="shared" si="31"/>
        <v>0.4803512765160125</v>
      </c>
      <c r="AP33" s="9">
        <f>'1'!BG33</f>
        <v>0.39794716737729335</v>
      </c>
      <c r="AQ33" s="9">
        <f>'1'!BI33</f>
        <v>0.48345085198639953</v>
      </c>
      <c r="AR33" s="9">
        <f>'2'!BG33</f>
        <v>0.26904836663429765</v>
      </c>
      <c r="AS33" s="9">
        <f>'2'!BI33</f>
        <v>0.4006154352384701</v>
      </c>
      <c r="AT33" s="9">
        <f>'3'!S33</f>
        <v>0.52285638512347121</v>
      </c>
      <c r="AU33" s="9">
        <f>'8'!AE30</f>
        <v>0.55292205112947079</v>
      </c>
      <c r="AV33" s="9">
        <f t="shared" si="32"/>
        <v>0.45502831267758265</v>
      </c>
      <c r="AW33" s="9">
        <f t="shared" si="33"/>
        <v>0.50238649338164243</v>
      </c>
      <c r="AX33" s="9">
        <f>'1'!BQ33</f>
        <v>0.54030514795659623</v>
      </c>
      <c r="AY33" s="9">
        <f>'1'!BS33</f>
        <v>0.62230864127688046</v>
      </c>
      <c r="AZ33" s="9">
        <f>'2'!BQ33</f>
        <v>0.25363037668895105</v>
      </c>
      <c r="BA33" s="9">
        <f>'2'!BS33</f>
        <v>0.38011650514278272</v>
      </c>
      <c r="BB33" s="9">
        <f>'3'!V33</f>
        <v>0.72105009171460044</v>
      </c>
      <c r="BC33" s="9">
        <f>'8'!AJ30</f>
        <v>0.57225957579920972</v>
      </c>
      <c r="BD33" s="9">
        <f t="shared" si="34"/>
        <v>0.5648125137299862</v>
      </c>
      <c r="BE33" s="9">
        <f t="shared" si="35"/>
        <v>0.61026252390348312</v>
      </c>
      <c r="BF33" s="9">
        <f>'1'!CA33</f>
        <v>0.44973709011830881</v>
      </c>
      <c r="BG33" s="9">
        <f>'1'!CC33</f>
        <v>0.53624030558155589</v>
      </c>
      <c r="BH33" s="9">
        <f>'2'!CA33</f>
        <v>0.27912860320331073</v>
      </c>
      <c r="BI33" s="9">
        <f>'2'!CC33</f>
        <v>0.41362454832942447</v>
      </c>
      <c r="BJ33" s="9">
        <f>'3'!Y33</f>
        <v>0.66890068781806122</v>
      </c>
      <c r="BK33" s="9">
        <f>'8'!AO30</f>
        <v>0.61776678300884746</v>
      </c>
      <c r="BL33" s="9">
        <f t="shared" si="36"/>
        <v>0.52947456407438176</v>
      </c>
      <c r="BM33" s="9">
        <f t="shared" si="37"/>
        <v>0.57752544477229195</v>
      </c>
      <c r="BN33" s="9">
        <f>'1'!CK33</f>
        <v>0.36306438150549847</v>
      </c>
      <c r="BO33" s="9">
        <f>'1'!CM33</f>
        <v>0.44624526602323328</v>
      </c>
      <c r="BP33" s="9">
        <f>'2'!CK33</f>
        <v>0.39553219627414382</v>
      </c>
      <c r="BQ33" s="9">
        <f>'2'!CM33</f>
        <v>0.54540246382124913</v>
      </c>
      <c r="BR33" s="9">
        <f>'3'!AB33</f>
        <v>0.41795982269324999</v>
      </c>
      <c r="BS33" s="9">
        <f>'8'!AT30</f>
        <v>0.57402368115939839</v>
      </c>
      <c r="BT33" s="9">
        <f t="shared" si="38"/>
        <v>0.43277484819277584</v>
      </c>
      <c r="BU33" s="9">
        <f t="shared" si="39"/>
        <v>0.4810342287545803</v>
      </c>
      <c r="BV33" s="9">
        <f>'1'!CU33</f>
        <v>0.52296322516338223</v>
      </c>
      <c r="BW33" s="9">
        <f>'1'!CW33</f>
        <v>0.60639521693160514</v>
      </c>
      <c r="BX33" s="9">
        <f>'2'!CU33</f>
        <v>0.38173085177549065</v>
      </c>
      <c r="BY33" s="9">
        <f>'2'!CW33</f>
        <v>0.53129873651375392</v>
      </c>
      <c r="BZ33" s="9">
        <f>'3'!AE33</f>
        <v>0.64330489941391744</v>
      </c>
      <c r="CA33" s="9">
        <f>'8'!AY30</f>
        <v>0.6062359103649001</v>
      </c>
      <c r="CB33" s="9">
        <f t="shared" si="40"/>
        <v>0.55974357768760641</v>
      </c>
      <c r="CC33" s="9">
        <f t="shared" si="41"/>
        <v>0.60807316286872182</v>
      </c>
      <c r="CD33" s="9">
        <f>'1'!DE33</f>
        <v>0.5397287013939136</v>
      </c>
      <c r="CE33" s="9">
        <f>'1'!DG33</f>
        <v>0.62178375313904111</v>
      </c>
      <c r="CF33" s="9">
        <f>'2'!DE33</f>
        <v>0.33306173062269906</v>
      </c>
      <c r="CG33" s="9">
        <f>'2'!DG33</f>
        <v>0.47853413565276404</v>
      </c>
      <c r="CH33" s="9">
        <f>'3'!AH33</f>
        <v>0.60381251296966498</v>
      </c>
      <c r="CI33" s="9">
        <f>'8'!BD30</f>
        <v>0.6316327898228431</v>
      </c>
      <c r="CJ33" s="9">
        <f t="shared" si="42"/>
        <v>0.55805897931796244</v>
      </c>
      <c r="CK33" s="9">
        <f t="shared" si="43"/>
        <v>0.60542824051901989</v>
      </c>
    </row>
    <row r="34" spans="1:89">
      <c r="A34" s="1">
        <v>1996</v>
      </c>
      <c r="B34" s="9">
        <f>'1'!I34</f>
        <v>0.49807269871500515</v>
      </c>
      <c r="C34" s="9">
        <f>'1'!K34</f>
        <v>0.58310011512600657</v>
      </c>
      <c r="D34" s="9">
        <f>'2'!I34</f>
        <v>0.29092897677022855</v>
      </c>
      <c r="E34" s="9">
        <f>'2'!K34</f>
        <v>0.42848076277984837</v>
      </c>
      <c r="F34" s="9">
        <f>'3'!D34</f>
        <v>0.55444102066259571</v>
      </c>
      <c r="G34" s="9">
        <f>'8'!F31</f>
        <v>0.56373686210282115</v>
      </c>
      <c r="H34" s="9">
        <f t="shared" si="22"/>
        <v>0.50786644785437918</v>
      </c>
      <c r="I34" s="9">
        <f t="shared" si="23"/>
        <v>0.55563259301974166</v>
      </c>
      <c r="J34" s="9">
        <f>'1'!S34</f>
        <v>0.29832970321722241</v>
      </c>
      <c r="K34" s="9">
        <f>'1'!U34</f>
        <v>0.37327571037274943</v>
      </c>
      <c r="L34" s="9">
        <f>'2'!S34</f>
        <v>0.27306820372706886</v>
      </c>
      <c r="M34" s="9">
        <f>'2'!U34</f>
        <v>0.40583939922634049</v>
      </c>
      <c r="N34" s="9">
        <f>'3'!G34</f>
        <v>0.3630737741339457</v>
      </c>
      <c r="O34" s="9">
        <f>'8'!K31</f>
        <v>0.49818143832306133</v>
      </c>
      <c r="P34" s="9">
        <f t="shared" si="24"/>
        <v>0.36195250477384761</v>
      </c>
      <c r="Q34" s="9">
        <f t="shared" si="25"/>
        <v>0.40520802718598564</v>
      </c>
      <c r="R34" s="9">
        <f>'1'!AC34</f>
        <v>0.34776052329327711</v>
      </c>
      <c r="S34" s="9">
        <f>'1'!AE34</f>
        <v>0.42947207181633518</v>
      </c>
      <c r="T34" s="9">
        <f>'2'!AC34</f>
        <v>0.17325125730859611</v>
      </c>
      <c r="U34" s="9">
        <f>'2'!AE34</f>
        <v>0.25914924472040052</v>
      </c>
      <c r="V34" s="9">
        <f>'3'!J34</f>
        <v>0.7285334273823153</v>
      </c>
      <c r="W34" s="9">
        <f>'8'!P31</f>
        <v>0.4779630287941774</v>
      </c>
      <c r="X34" s="9">
        <f t="shared" si="26"/>
        <v>0.45805344909229367</v>
      </c>
      <c r="Y34" s="9">
        <f t="shared" si="27"/>
        <v>0.49932786724269734</v>
      </c>
      <c r="Z34" s="9">
        <f>'1'!AM34</f>
        <v>0.47756329188992874</v>
      </c>
      <c r="AA34" s="9">
        <f>'1'!AO34</f>
        <v>0.563486179167483</v>
      </c>
      <c r="AB34" s="9">
        <f>'2'!AM34</f>
        <v>0.2076882057813666</v>
      </c>
      <c r="AC34" s="9">
        <f>'2'!AO34</f>
        <v>0.3141887469551024</v>
      </c>
      <c r="AD34" s="9">
        <f>'3'!M34</f>
        <v>0.49720139253500784</v>
      </c>
      <c r="AE34" s="9">
        <f>'8'!U31</f>
        <v>0.53104065709669301</v>
      </c>
      <c r="AF34" s="9">
        <f t="shared" si="28"/>
        <v>0.46885464974203339</v>
      </c>
      <c r="AG34" s="9">
        <f t="shared" si="29"/>
        <v>0.51387385877042868</v>
      </c>
      <c r="AH34" s="9">
        <f>'1'!AW34</f>
        <v>0.35902531597675047</v>
      </c>
      <c r="AI34" s="9">
        <f>'1'!AY34</f>
        <v>0.44184583892681822</v>
      </c>
      <c r="AJ34" s="9">
        <f>'2'!AW34</f>
        <v>0.24507566642408657</v>
      </c>
      <c r="AK34" s="9">
        <f>'2'!AY34</f>
        <v>0.36841175786582819</v>
      </c>
      <c r="AL34" s="9">
        <f>'3'!P34</f>
        <v>0.56109865164481953</v>
      </c>
      <c r="AM34" s="9">
        <f>'8'!Z31</f>
        <v>0.5520371486035125</v>
      </c>
      <c r="AN34" s="9">
        <f t="shared" si="30"/>
        <v>0.44640164309519187</v>
      </c>
      <c r="AO34" s="9">
        <f t="shared" si="31"/>
        <v>0.49186346141939313</v>
      </c>
      <c r="AP34" s="9">
        <f>'1'!BG34</f>
        <v>0.42021762001627372</v>
      </c>
      <c r="AQ34" s="9">
        <f>'1'!BI34</f>
        <v>0.50649567110699223</v>
      </c>
      <c r="AR34" s="9">
        <f>'2'!BG34</f>
        <v>0.27957372057277452</v>
      </c>
      <c r="AS34" s="9">
        <f>'2'!BI34</f>
        <v>0.4141921162597928</v>
      </c>
      <c r="AT34" s="9">
        <f>'3'!S34</f>
        <v>0.54786011088036246</v>
      </c>
      <c r="AU34" s="9">
        <f>'8'!AE31</f>
        <v>0.5498272395477658</v>
      </c>
      <c r="AV34" s="9">
        <f t="shared" si="32"/>
        <v>0.47046625767081907</v>
      </c>
      <c r="AW34" s="9">
        <f t="shared" si="33"/>
        <v>0.5184393176758082</v>
      </c>
      <c r="AX34" s="9">
        <f>'1'!BQ34</f>
        <v>0.55118973271723748</v>
      </c>
      <c r="AY34" s="9">
        <f>'1'!BS34</f>
        <v>0.63216798954013642</v>
      </c>
      <c r="AZ34" s="9">
        <f>'2'!BQ34</f>
        <v>0.25952948205783533</v>
      </c>
      <c r="BA34" s="9">
        <f>'2'!BS34</f>
        <v>0.38804815503215284</v>
      </c>
      <c r="BB34" s="9">
        <f>'3'!V34</f>
        <v>0.61022297095522682</v>
      </c>
      <c r="BC34" s="9">
        <f>'8'!AJ31</f>
        <v>0.54762996686903498</v>
      </c>
      <c r="BD34" s="9">
        <f t="shared" si="34"/>
        <v>0.53589207574874398</v>
      </c>
      <c r="BE34" s="9">
        <f t="shared" si="35"/>
        <v>0.58113524577533537</v>
      </c>
      <c r="BF34" s="9">
        <f>'1'!CA34</f>
        <v>0.46273097696448295</v>
      </c>
      <c r="BG34" s="9">
        <f>'1'!CC34</f>
        <v>0.54905624075376624</v>
      </c>
      <c r="BH34" s="9">
        <f>'2'!CA34</f>
        <v>0.2833063571434738</v>
      </c>
      <c r="BI34" s="9">
        <f>'2'!CC34</f>
        <v>0.41892917853665568</v>
      </c>
      <c r="BJ34" s="9">
        <f>'3'!Y34</f>
        <v>0.59241350433855122</v>
      </c>
      <c r="BK34" s="9">
        <f>'8'!AO31</f>
        <v>0.58486053795548831</v>
      </c>
      <c r="BL34" s="9">
        <f t="shared" si="36"/>
        <v>0.50774153707365044</v>
      </c>
      <c r="BM34" s="9">
        <f t="shared" si="37"/>
        <v>0.55583392472868198</v>
      </c>
      <c r="BN34" s="9">
        <f>'1'!CK34</f>
        <v>0.37772546104340987</v>
      </c>
      <c r="BO34" s="9">
        <f>'1'!CM34</f>
        <v>0.46205266927177635</v>
      </c>
      <c r="BP34" s="9">
        <f>'2'!CK34</f>
        <v>0.39726459152482069</v>
      </c>
      <c r="BQ34" s="9">
        <f>'2'!CM34</f>
        <v>0.54714808366108758</v>
      </c>
      <c r="BR34" s="9">
        <f>'3'!AB34</f>
        <v>0.46234355490891876</v>
      </c>
      <c r="BS34" s="9">
        <f>'8'!AT31</f>
        <v>0.59153306605404543</v>
      </c>
      <c r="BT34" s="9">
        <f t="shared" si="38"/>
        <v>0.45428579881058706</v>
      </c>
      <c r="BU34" s="9">
        <f t="shared" si="39"/>
        <v>0.50300503131556029</v>
      </c>
      <c r="BV34" s="9">
        <f>'1'!CU34</f>
        <v>0.53599961616756442</v>
      </c>
      <c r="BW34" s="9">
        <f>'1'!CW34</f>
        <v>0.6183814882192753</v>
      </c>
      <c r="BX34" s="9">
        <f>'2'!CU34</f>
        <v>0.42315713441968528</v>
      </c>
      <c r="BY34" s="9">
        <f>'2'!CW34</f>
        <v>0.57261239575265821</v>
      </c>
      <c r="BZ34" s="9">
        <f>'3'!AE34</f>
        <v>0.57518452083121474</v>
      </c>
      <c r="CA34" s="9">
        <f>'8'!AY31</f>
        <v>0.61972737869565075</v>
      </c>
      <c r="CB34" s="9">
        <f t="shared" si="40"/>
        <v>0.55544353479071074</v>
      </c>
      <c r="CC34" s="9">
        <f t="shared" si="41"/>
        <v>0.60334180974469231</v>
      </c>
      <c r="CD34" s="9">
        <f>'1'!DE34</f>
        <v>0.56183546143676799</v>
      </c>
      <c r="CE34" s="9">
        <f>'1'!DG34</f>
        <v>0.64171725328522589</v>
      </c>
      <c r="CF34" s="9">
        <f>'2'!DE34</f>
        <v>0.34720763513546604</v>
      </c>
      <c r="CG34" s="9">
        <f>'2'!DG34</f>
        <v>0.49438744777848498</v>
      </c>
      <c r="CH34" s="9">
        <f>'3'!AH34</f>
        <v>0.51395296039029437</v>
      </c>
      <c r="CI34" s="9">
        <f>'8'!BD31</f>
        <v>0.60974369887350299</v>
      </c>
      <c r="CJ34" s="9">
        <f t="shared" si="42"/>
        <v>0.54037911290420315</v>
      </c>
      <c r="CK34" s="9">
        <f t="shared" si="43"/>
        <v>0.58704981090788821</v>
      </c>
    </row>
    <row r="35" spans="1:89">
      <c r="A35" s="1">
        <v>1997</v>
      </c>
      <c r="B35" s="9">
        <f>'1'!I35</f>
        <v>0.52409770210052486</v>
      </c>
      <c r="C35" s="9">
        <f>'1'!K35</f>
        <v>0.6074440720427291</v>
      </c>
      <c r="D35" s="9">
        <f>'2'!I35</f>
        <v>0.30185091473476916</v>
      </c>
      <c r="E35" s="9">
        <f>'2'!K35</f>
        <v>0.44188982405547639</v>
      </c>
      <c r="F35" s="9">
        <f>'3'!D35</f>
        <v>0.52192430097487674</v>
      </c>
      <c r="G35" s="9">
        <f>'8'!F32</f>
        <v>0.56279919499675102</v>
      </c>
      <c r="H35" s="9">
        <f t="shared" si="22"/>
        <v>0.51100504630659382</v>
      </c>
      <c r="I35" s="9">
        <f t="shared" si="23"/>
        <v>0.55834748521554634</v>
      </c>
      <c r="J35" s="9">
        <f>'1'!S35</f>
        <v>0.31298798306272024</v>
      </c>
      <c r="K35" s="9">
        <f>'1'!U35</f>
        <v>0.39027430719058248</v>
      </c>
      <c r="L35" s="9">
        <f>'2'!S35</f>
        <v>0.28937920209203533</v>
      </c>
      <c r="M35" s="9">
        <f>'2'!U35</f>
        <v>0.42655190223942346</v>
      </c>
      <c r="N35" s="9">
        <f>'3'!G35</f>
        <v>0.41654095690631732</v>
      </c>
      <c r="O35" s="9">
        <f>'8'!K32</f>
        <v>0.52646947167375102</v>
      </c>
      <c r="P35" s="9">
        <f t="shared" si="24"/>
        <v>0.38988572057930876</v>
      </c>
      <c r="Q35" s="9">
        <f t="shared" si="25"/>
        <v>0.43451752024519247</v>
      </c>
      <c r="R35" s="9">
        <f>'1'!AC35</f>
        <v>0.39906276422322268</v>
      </c>
      <c r="S35" s="9">
        <f>'1'!AE35</f>
        <v>0.48461804542051062</v>
      </c>
      <c r="T35" s="9">
        <f>'2'!AC35</f>
        <v>0.18192223587520631</v>
      </c>
      <c r="U35" s="9">
        <f>'2'!AE35</f>
        <v>0.27352347082747241</v>
      </c>
      <c r="V35" s="9">
        <f>'3'!J35</f>
        <v>0.70131937046937987</v>
      </c>
      <c r="W35" s="9">
        <f>'8'!P32</f>
        <v>0.45044417570070183</v>
      </c>
      <c r="X35" s="9">
        <f t="shared" si="26"/>
        <v>0.46575821581933013</v>
      </c>
      <c r="Y35" s="9">
        <f t="shared" si="27"/>
        <v>0.50914045179347189</v>
      </c>
      <c r="Z35" s="9">
        <f>'1'!AM35</f>
        <v>0.49540636560141593</v>
      </c>
      <c r="AA35" s="9">
        <f>'1'!AO35</f>
        <v>0.58057198916173713</v>
      </c>
      <c r="AB35" s="9">
        <f>'2'!AM35</f>
        <v>0.21656613232070399</v>
      </c>
      <c r="AC35" s="9">
        <f>'2'!AO35</f>
        <v>0.32754577240507782</v>
      </c>
      <c r="AD35" s="9">
        <f>'3'!M35</f>
        <v>0.45299691639277045</v>
      </c>
      <c r="AE35" s="9">
        <f>'8'!U32</f>
        <v>0.50837444691641598</v>
      </c>
      <c r="AF35" s="9">
        <f t="shared" si="28"/>
        <v>0.46016200029993343</v>
      </c>
      <c r="AG35" s="9">
        <f t="shared" si="29"/>
        <v>0.5053262137324992</v>
      </c>
      <c r="AH35" s="9">
        <f>'1'!AW35</f>
        <v>0.3776320805114618</v>
      </c>
      <c r="AI35" s="9">
        <f>'1'!AY35</f>
        <v>0.46195277916845578</v>
      </c>
      <c r="AJ35" s="9">
        <f>'2'!AW35</f>
        <v>0.25870349116934471</v>
      </c>
      <c r="AK35" s="9">
        <f>'2'!AY35</f>
        <v>0.38694428161096811</v>
      </c>
      <c r="AL35" s="9">
        <f>'3'!P35</f>
        <v>0.50505863951229335</v>
      </c>
      <c r="AM35" s="9">
        <f>'8'!Z32</f>
        <v>0.51249717927068839</v>
      </c>
      <c r="AN35" s="9">
        <f t="shared" si="30"/>
        <v>0.43131213601726459</v>
      </c>
      <c r="AO35" s="9">
        <f t="shared" si="31"/>
        <v>0.47786449452422453</v>
      </c>
      <c r="AP35" s="9">
        <f>'1'!BG35</f>
        <v>0.43637490854377176</v>
      </c>
      <c r="AQ35" s="9">
        <f>'1'!BI35</f>
        <v>0.52288640840965583</v>
      </c>
      <c r="AR35" s="9">
        <f>'2'!BG35</f>
        <v>0.29276113138129567</v>
      </c>
      <c r="AS35" s="9">
        <f>'2'!BI35</f>
        <v>0.43075257275779033</v>
      </c>
      <c r="AT35" s="9">
        <f>'3'!S35</f>
        <v>0.47277954792006055</v>
      </c>
      <c r="AU35" s="9">
        <f>'8'!AE32</f>
        <v>0.54261499745484643</v>
      </c>
      <c r="AV35" s="9">
        <f t="shared" si="32"/>
        <v>0.45767471289936501</v>
      </c>
      <c r="AW35" s="9">
        <f t="shared" si="33"/>
        <v>0.50607845698336806</v>
      </c>
      <c r="AX35" s="9">
        <f>'1'!BQ35</f>
        <v>0.58419461992966959</v>
      </c>
      <c r="AY35" s="9">
        <f>'1'!BS35</f>
        <v>0.6614795811277695</v>
      </c>
      <c r="AZ35" s="9">
        <f>'2'!BQ35</f>
        <v>0.2675791276542438</v>
      </c>
      <c r="BA35" s="9">
        <f>'2'!BS35</f>
        <v>0.39869391436511104</v>
      </c>
      <c r="BB35" s="9">
        <f>'3'!V35</f>
        <v>0.59175290896799237</v>
      </c>
      <c r="BC35" s="9">
        <f>'8'!AJ32</f>
        <v>0.55339924682750474</v>
      </c>
      <c r="BD35" s="9">
        <f t="shared" si="34"/>
        <v>0.54672379968616658</v>
      </c>
      <c r="BE35" s="9">
        <f t="shared" si="35"/>
        <v>0.59074926283649321</v>
      </c>
      <c r="BF35" s="9">
        <f>'1'!CA35</f>
        <v>0.48694301949763352</v>
      </c>
      <c r="BG35" s="9">
        <f>'1'!CC35</f>
        <v>0.57250444922922139</v>
      </c>
      <c r="BH35" s="9">
        <f>'2'!CA35</f>
        <v>0.29222782408990738</v>
      </c>
      <c r="BI35" s="9">
        <f>'2'!CC35</f>
        <v>0.43009223622952647</v>
      </c>
      <c r="BJ35" s="9">
        <f>'3'!Y35</f>
        <v>0.56982569542518924</v>
      </c>
      <c r="BK35" s="9">
        <f>'8'!AO32</f>
        <v>0.57279832219417537</v>
      </c>
      <c r="BL35" s="9">
        <f t="shared" si="36"/>
        <v>0.50965599461288535</v>
      </c>
      <c r="BM35" s="9">
        <f t="shared" si="37"/>
        <v>0.55766700771948241</v>
      </c>
      <c r="BN35" s="9">
        <f>'1'!CK35</f>
        <v>0.40754346280351528</v>
      </c>
      <c r="BO35" s="9">
        <f>'1'!CM35</f>
        <v>0.49344642794837229</v>
      </c>
      <c r="BP35" s="9">
        <f>'2'!CK35</f>
        <v>0.40802956252027583</v>
      </c>
      <c r="BQ35" s="9">
        <f>'2'!CM35</f>
        <v>0.55787542420808411</v>
      </c>
      <c r="BR35" s="9">
        <f>'3'!AB35</f>
        <v>0.58067232722745243</v>
      </c>
      <c r="BS35" s="9">
        <f>'8'!AT32</f>
        <v>0.58770582509077951</v>
      </c>
      <c r="BT35" s="9">
        <f t="shared" si="38"/>
        <v>0.49591487945299173</v>
      </c>
      <c r="BU35" s="9">
        <f t="shared" si="39"/>
        <v>0.54526065167971527</v>
      </c>
      <c r="BV35" s="9">
        <f>'1'!CU35</f>
        <v>0.57368774764415209</v>
      </c>
      <c r="BW35" s="9">
        <f>'1'!CW35</f>
        <v>0.6522419330557907</v>
      </c>
      <c r="BX35" s="9">
        <f>'2'!CU35</f>
        <v>0.43353368510349943</v>
      </c>
      <c r="BY35" s="9">
        <f>'2'!CW35</f>
        <v>0.58250220642813555</v>
      </c>
      <c r="BZ35" s="9">
        <f>'3'!AE35</f>
        <v>0.55229385894406235</v>
      </c>
      <c r="CA35" s="9">
        <f>'8'!AY32</f>
        <v>0.61944656978451196</v>
      </c>
      <c r="CB35" s="9">
        <f t="shared" si="40"/>
        <v>0.56576357475015437</v>
      </c>
      <c r="CC35" s="9">
        <f t="shared" si="41"/>
        <v>0.61208210104727345</v>
      </c>
      <c r="CD35" s="9">
        <f>'1'!DE35</f>
        <v>0.58400882809251697</v>
      </c>
      <c r="CE35" s="9">
        <f>'1'!DG35</f>
        <v>0.66131697657352795</v>
      </c>
      <c r="CF35" s="9">
        <f>'2'!DE35</f>
        <v>0.36129966195937352</v>
      </c>
      <c r="CG35" s="9">
        <f>'2'!DG35</f>
        <v>0.50974806900429293</v>
      </c>
      <c r="CH35" s="9">
        <f>'3'!AH35</f>
        <v>0.47343257061401095</v>
      </c>
      <c r="CI35" s="9">
        <f>'8'!BD32</f>
        <v>0.60848724958557066</v>
      </c>
      <c r="CJ35" s="9">
        <f t="shared" si="42"/>
        <v>0.54021345248283958</v>
      </c>
      <c r="CK35" s="9">
        <f t="shared" si="43"/>
        <v>0.58598155257973594</v>
      </c>
    </row>
    <row r="36" spans="1:89">
      <c r="A36" s="1">
        <v>1998</v>
      </c>
      <c r="B36" s="9">
        <f>'1'!I36</f>
        <v>0.55382919037071332</v>
      </c>
      <c r="C36" s="9">
        <f>'1'!K36</f>
        <v>0.63454416504784661</v>
      </c>
      <c r="D36" s="9">
        <f>'2'!I36</f>
        <v>0.30286039128744413</v>
      </c>
      <c r="E36" s="9">
        <f>'2'!K36</f>
        <v>0.44311318343970818</v>
      </c>
      <c r="F36" s="9">
        <f>'3'!D36</f>
        <v>0.51388214754238271</v>
      </c>
      <c r="G36" s="9">
        <f>'8'!F33</f>
        <v>0.56631444600833059</v>
      </c>
      <c r="H36" s="9">
        <f t="shared" si="22"/>
        <v>0.52186686366470803</v>
      </c>
      <c r="I36" s="9">
        <f t="shared" si="23"/>
        <v>0.56817813275078777</v>
      </c>
      <c r="J36" s="9">
        <f>'1'!S36</f>
        <v>0.3676298882097111</v>
      </c>
      <c r="K36" s="9">
        <f>'1'!U36</f>
        <v>0.45119476011941406</v>
      </c>
      <c r="L36" s="9">
        <f>'2'!S36</f>
        <v>0.3075984438103615</v>
      </c>
      <c r="M36" s="9">
        <f>'2'!U36</f>
        <v>0.4488198112276327</v>
      </c>
      <c r="N36" s="9">
        <f>'3'!G36</f>
        <v>0.35710490721493937</v>
      </c>
      <c r="O36" s="9">
        <f>'8'!K33</f>
        <v>0.49442751104606053</v>
      </c>
      <c r="P36" s="9">
        <f t="shared" si="24"/>
        <v>0.39069490423017061</v>
      </c>
      <c r="Q36" s="9">
        <f t="shared" si="25"/>
        <v>0.43824298973577891</v>
      </c>
      <c r="R36" s="9">
        <f>'1'!AC36</f>
        <v>0.41535381927562864</v>
      </c>
      <c r="S36" s="9">
        <f>'1'!AE36</f>
        <v>0.50150817357588329</v>
      </c>
      <c r="T36" s="9">
        <f>'2'!AC36</f>
        <v>0.18587969157102738</v>
      </c>
      <c r="U36" s="9">
        <f>'2'!AE36</f>
        <v>0.27996372934278435</v>
      </c>
      <c r="V36" s="9">
        <f>'3'!J36</f>
        <v>0.74429299956676298</v>
      </c>
      <c r="W36" s="9">
        <f>'8'!P33</f>
        <v>0.45776943603870024</v>
      </c>
      <c r="X36" s="9">
        <f t="shared" si="26"/>
        <v>0.48524510576872004</v>
      </c>
      <c r="Y36" s="9">
        <f t="shared" si="27"/>
        <v>0.52911525126599757</v>
      </c>
      <c r="Z36" s="9">
        <f>'1'!AM36</f>
        <v>0.52222617770002555</v>
      </c>
      <c r="AA36" s="9">
        <f>'1'!AO36</f>
        <v>0.605713202452412</v>
      </c>
      <c r="AB36" s="9">
        <f>'2'!AM36</f>
        <v>0.22278556129178911</v>
      </c>
      <c r="AC36" s="9">
        <f>'2'!AO36</f>
        <v>0.33671754908641482</v>
      </c>
      <c r="AD36" s="9">
        <f>'3'!M36</f>
        <v>0.41713841196504475</v>
      </c>
      <c r="AE36" s="9">
        <f>'8'!U33</f>
        <v>0.51107584277856177</v>
      </c>
      <c r="AF36" s="9">
        <f t="shared" si="28"/>
        <v>0.46322259089509082</v>
      </c>
      <c r="AG36" s="9">
        <f t="shared" si="29"/>
        <v>0.50801059957550798</v>
      </c>
      <c r="AH36" s="9">
        <f>'1'!AW36</f>
        <v>0.41105147910938672</v>
      </c>
      <c r="AI36" s="9">
        <f>'1'!AY36</f>
        <v>0.49707544999915182</v>
      </c>
      <c r="AJ36" s="9">
        <f>'2'!AW36</f>
        <v>0.26684587271975196</v>
      </c>
      <c r="AK36" s="9">
        <f>'2'!AY36</f>
        <v>0.39773247650837679</v>
      </c>
      <c r="AL36" s="9">
        <f>'3'!P36</f>
        <v>0.52108755349613367</v>
      </c>
      <c r="AM36" s="9">
        <f>'8'!Z33</f>
        <v>0.52628654345046377</v>
      </c>
      <c r="AN36" s="9">
        <f t="shared" si="30"/>
        <v>0.45294870315237928</v>
      </c>
      <c r="AO36" s="9">
        <f t="shared" si="31"/>
        <v>0.50044695188714772</v>
      </c>
      <c r="AP36" s="9">
        <f>'1'!BG36</f>
        <v>0.46405455932897854</v>
      </c>
      <c r="AQ36" s="9">
        <f>'1'!BI36</f>
        <v>0.55035246699867446</v>
      </c>
      <c r="AR36" s="9">
        <f>'2'!BG36</f>
        <v>0.29778306670670068</v>
      </c>
      <c r="AS36" s="9">
        <f>'2'!BI36</f>
        <v>0.43693294830357904</v>
      </c>
      <c r="AT36" s="9">
        <f>'3'!S36</f>
        <v>0.51405399737165869</v>
      </c>
      <c r="AU36" s="9">
        <f>'8'!AE33</f>
        <v>0.56627056965767741</v>
      </c>
      <c r="AV36" s="9">
        <f t="shared" si="32"/>
        <v>0.48548127215959547</v>
      </c>
      <c r="AW36" s="9">
        <f t="shared" si="33"/>
        <v>0.53391542338716169</v>
      </c>
      <c r="AX36" s="9">
        <f>'1'!BQ36</f>
        <v>0.61761527515092574</v>
      </c>
      <c r="AY36" s="9">
        <f>'1'!BS36</f>
        <v>0.69030464259066793</v>
      </c>
      <c r="AZ36" s="9">
        <f>'2'!BQ36</f>
        <v>0.26934092976383051</v>
      </c>
      <c r="BA36" s="9">
        <f>'2'!BS36</f>
        <v>0.40099727653848394</v>
      </c>
      <c r="BB36" s="9">
        <f>'3'!V36</f>
        <v>0.59687182615392664</v>
      </c>
      <c r="BC36" s="9">
        <f>'8'!AJ33</f>
        <v>0.554258491625782</v>
      </c>
      <c r="BD36" s="9">
        <f t="shared" si="34"/>
        <v>0.56176278248168043</v>
      </c>
      <c r="BE36" s="9">
        <f t="shared" si="35"/>
        <v>0.60400416413504265</v>
      </c>
      <c r="BF36" s="9">
        <f>'1'!CA36</f>
        <v>0.50160515315104226</v>
      </c>
      <c r="BG36" s="9">
        <f>'1'!CC36</f>
        <v>0.5864395913609658</v>
      </c>
      <c r="BH36" s="9">
        <f>'2'!CA36</f>
        <v>0.29460233054373774</v>
      </c>
      <c r="BI36" s="9">
        <f>'2'!CC36</f>
        <v>0.43302638775387681</v>
      </c>
      <c r="BJ36" s="9">
        <f>'3'!Y36</f>
        <v>0.51948056494683947</v>
      </c>
      <c r="BK36" s="9">
        <f>'8'!AO33</f>
        <v>0.60376125618948739</v>
      </c>
      <c r="BL36" s="9">
        <f t="shared" si="36"/>
        <v>0.51091274959887245</v>
      </c>
      <c r="BM36" s="9">
        <f t="shared" si="37"/>
        <v>0.55868893060385572</v>
      </c>
      <c r="BN36" s="9">
        <f>'1'!CK36</f>
        <v>0.43038322958225916</v>
      </c>
      <c r="BO36" s="9">
        <f>'1'!CM36</f>
        <v>0.51683965844058699</v>
      </c>
      <c r="BP36" s="9">
        <f>'2'!CK36</f>
        <v>0.3964654452790094</v>
      </c>
      <c r="BQ36" s="9">
        <f>'2'!CM36</f>
        <v>0.54634351029353634</v>
      </c>
      <c r="BR36" s="9">
        <f>'3'!AB36</f>
        <v>0.48472140096128324</v>
      </c>
      <c r="BS36" s="9">
        <f>'8'!AT33</f>
        <v>0.63910218981792299</v>
      </c>
      <c r="BT36" s="9">
        <f t="shared" si="38"/>
        <v>0.49275573405560619</v>
      </c>
      <c r="BU36" s="9">
        <f t="shared" si="39"/>
        <v>0.54232611210038995</v>
      </c>
      <c r="BV36" s="9">
        <f>'1'!CU36</f>
        <v>0.60505800788423514</v>
      </c>
      <c r="BW36" s="9">
        <f>'1'!CW36</f>
        <v>0.67957193585016906</v>
      </c>
      <c r="BX36" s="9">
        <f>'2'!CU36</f>
        <v>0.40115014012401523</v>
      </c>
      <c r="BY36" s="9">
        <f>'2'!CW36</f>
        <v>0.55104369559046251</v>
      </c>
      <c r="BZ36" s="9">
        <f>'3'!AE36</f>
        <v>0.51925792409373972</v>
      </c>
      <c r="CA36" s="9">
        <f>'8'!AY33</f>
        <v>0.64091865863076258</v>
      </c>
      <c r="CB36" s="9">
        <f t="shared" si="40"/>
        <v>0.57218236284722113</v>
      </c>
      <c r="CC36" s="9">
        <f t="shared" si="41"/>
        <v>0.61697728958023945</v>
      </c>
      <c r="CD36" s="9">
        <f>'1'!DE36</f>
        <v>0.61579884007801267</v>
      </c>
      <c r="CE36" s="9">
        <f>'1'!DG36</f>
        <v>0.68875928824316535</v>
      </c>
      <c r="CF36" s="9">
        <f>'2'!DE36</f>
        <v>0.36934787131137803</v>
      </c>
      <c r="CG36" s="9">
        <f>'2'!DG36</f>
        <v>0.51833612498364889</v>
      </c>
      <c r="CH36" s="9">
        <f>'3'!AH36</f>
        <v>0.41092854669338014</v>
      </c>
      <c r="CI36" s="9">
        <f>'8'!BD33</f>
        <v>0.55879161033963654</v>
      </c>
      <c r="CJ36" s="9">
        <f t="shared" si="42"/>
        <v>0.52568436242059702</v>
      </c>
      <c r="CK36" s="9">
        <f t="shared" si="43"/>
        <v>0.5697673670538852</v>
      </c>
    </row>
    <row r="37" spans="1:89">
      <c r="A37" s="1">
        <v>1999</v>
      </c>
      <c r="B37" s="9">
        <f>'1'!I37</f>
        <v>0.57870379700417096</v>
      </c>
      <c r="C37" s="9">
        <f>'1'!K37</f>
        <v>0.65666276223548392</v>
      </c>
      <c r="D37" s="9">
        <f>'2'!I37</f>
        <v>0.32161106042480536</v>
      </c>
      <c r="E37" s="9">
        <f>'2'!K37</f>
        <v>0.46536574007449821</v>
      </c>
      <c r="F37" s="9">
        <f>'3'!D37</f>
        <v>0.50846554511032127</v>
      </c>
      <c r="G37" s="9">
        <f>'8'!F34</f>
        <v>0.57033085877621292</v>
      </c>
      <c r="H37" s="9">
        <f t="shared" si="22"/>
        <v>0.53334172581578243</v>
      </c>
      <c r="I37" s="9">
        <f t="shared" si="23"/>
        <v>0.57890077987327693</v>
      </c>
      <c r="J37" s="9">
        <f>'1'!S37</f>
        <v>0.4133066520219208</v>
      </c>
      <c r="K37" s="9">
        <f>'1'!U37</f>
        <v>0.49940143260552117</v>
      </c>
      <c r="L37" s="9">
        <f>'2'!S37</f>
        <v>0.35546528639434349</v>
      </c>
      <c r="M37" s="9">
        <f>'2'!U37</f>
        <v>0.50343929315893721</v>
      </c>
      <c r="N37" s="9">
        <f>'3'!G37</f>
        <v>0.29417997146002983</v>
      </c>
      <c r="O37" s="9">
        <f>'8'!K34</f>
        <v>0.50486892942479578</v>
      </c>
      <c r="P37" s="9">
        <f t="shared" si="24"/>
        <v>0.4006314146694091</v>
      </c>
      <c r="Q37" s="9">
        <f t="shared" si="25"/>
        <v>0.44986672757930868</v>
      </c>
      <c r="R37" s="9">
        <f>'1'!AC37</f>
        <v>0.46549630466318914</v>
      </c>
      <c r="S37" s="9">
        <f>'1'!AE37</f>
        <v>0.55176249230556451</v>
      </c>
      <c r="T37" s="9">
        <f>'2'!AC37</f>
        <v>0.19462809022624322</v>
      </c>
      <c r="U37" s="9">
        <f>'2'!AE37</f>
        <v>0.29394415848413524</v>
      </c>
      <c r="V37" s="9">
        <f>'3'!J37</f>
        <v>0.55400788436464887</v>
      </c>
      <c r="W37" s="9">
        <f>'8'!P34</f>
        <v>0.45007923326342253</v>
      </c>
      <c r="X37" s="9">
        <f t="shared" si="26"/>
        <v>0.45668311029491782</v>
      </c>
      <c r="Y37" s="9">
        <f t="shared" si="27"/>
        <v>0.50112119217765716</v>
      </c>
      <c r="Z37" s="9">
        <f>'1'!AM37</f>
        <v>0.56241420575957657</v>
      </c>
      <c r="AA37" s="9">
        <f>'1'!AO37</f>
        <v>0.64223376826457823</v>
      </c>
      <c r="AB37" s="9">
        <f>'2'!AM37</f>
        <v>0.22970007146667343</v>
      </c>
      <c r="AC37" s="9">
        <f>'2'!AO37</f>
        <v>0.34674175403445234</v>
      </c>
      <c r="AD37" s="9">
        <f>'3'!M37</f>
        <v>0.46894472368148532</v>
      </c>
      <c r="AE37" s="9">
        <f>'8'!U34</f>
        <v>0.57628755763399309</v>
      </c>
      <c r="AF37" s="9">
        <f t="shared" si="28"/>
        <v>0.50924375977936753</v>
      </c>
      <c r="AG37" s="9">
        <f t="shared" si="29"/>
        <v>0.55287575303814618</v>
      </c>
      <c r="AH37" s="9">
        <f>'1'!AW37</f>
        <v>0.45169032682381477</v>
      </c>
      <c r="AI37" s="9">
        <f>'1'!AY37</f>
        <v>0.53817738189694364</v>
      </c>
      <c r="AJ37" s="9">
        <f>'2'!AW37</f>
        <v>0.28011198509709245</v>
      </c>
      <c r="AK37" s="9">
        <f>'2'!AY37</f>
        <v>0.41487769144639858</v>
      </c>
      <c r="AL37" s="9">
        <f>'3'!P37</f>
        <v>0.51328009062633184</v>
      </c>
      <c r="AM37" s="9">
        <f>'8'!Z34</f>
        <v>0.51798825550025662</v>
      </c>
      <c r="AN37" s="9">
        <f t="shared" si="30"/>
        <v>0.46650441577088225</v>
      </c>
      <c r="AO37" s="9">
        <f t="shared" si="31"/>
        <v>0.51457580843506445</v>
      </c>
      <c r="AP37" s="9">
        <f>'1'!BG37</f>
        <v>0.48723200500675606</v>
      </c>
      <c r="AQ37" s="9">
        <f>'1'!BI37</f>
        <v>0.57278100268078125</v>
      </c>
      <c r="AR37" s="9">
        <f>'2'!BG37</f>
        <v>0.30800298892170802</v>
      </c>
      <c r="AS37" s="9">
        <f>'2'!BI37</f>
        <v>0.4493043822477249</v>
      </c>
      <c r="AT37" s="9">
        <f>'3'!S37</f>
        <v>0.54764451844164452</v>
      </c>
      <c r="AU37" s="9">
        <f>'8'!AE34</f>
        <v>0.56863694137594634</v>
      </c>
      <c r="AV37" s="9">
        <f t="shared" si="32"/>
        <v>0.5047634658492709</v>
      </c>
      <c r="AW37" s="9">
        <f t="shared" si="33"/>
        <v>0.55311320425148269</v>
      </c>
      <c r="AX37" s="9">
        <f>'1'!BQ37</f>
        <v>0.64566743464818133</v>
      </c>
      <c r="AY37" s="9">
        <f>'1'!BS37</f>
        <v>0.71387011357934815</v>
      </c>
      <c r="AZ37" s="9">
        <f>'2'!BQ37</f>
        <v>0.28106565278443429</v>
      </c>
      <c r="BA37" s="9">
        <f>'2'!BS37</f>
        <v>0.41609030735225883</v>
      </c>
      <c r="BB37" s="9">
        <f>'3'!V37</f>
        <v>0.56094066979968427</v>
      </c>
      <c r="BC37" s="9">
        <f>'8'!AJ34</f>
        <v>0.56267555644556888</v>
      </c>
      <c r="BD37" s="9">
        <f t="shared" si="34"/>
        <v>0.56727759569902925</v>
      </c>
      <c r="BE37" s="9">
        <f t="shared" si="35"/>
        <v>0.60806113272827844</v>
      </c>
      <c r="BF37" s="9">
        <f>'1'!CA37</f>
        <v>0.5268606498470787</v>
      </c>
      <c r="BG37" s="9">
        <f>'1'!CC37</f>
        <v>0.60999387062791222</v>
      </c>
      <c r="BH37" s="9">
        <f>'2'!CA37</f>
        <v>0.30426274544837378</v>
      </c>
      <c r="BI37" s="9">
        <f>'2'!CC37</f>
        <v>0.44480825621729708</v>
      </c>
      <c r="BJ37" s="9">
        <f>'3'!Y37</f>
        <v>0.47704794118096033</v>
      </c>
      <c r="BK37" s="9">
        <f>'8'!AO34</f>
        <v>0.55423718859588789</v>
      </c>
      <c r="BL37" s="9">
        <f t="shared" si="36"/>
        <v>0.49899181692788092</v>
      </c>
      <c r="BM37" s="9">
        <f t="shared" si="37"/>
        <v>0.54629965631710664</v>
      </c>
      <c r="BN37" s="9">
        <f>'1'!CK37</f>
        <v>0.44570382870967756</v>
      </c>
      <c r="BO37" s="9">
        <f>'1'!CM37</f>
        <v>0.53222842306246443</v>
      </c>
      <c r="BP37" s="9">
        <f>'2'!CK37</f>
        <v>0.43376404841294114</v>
      </c>
      <c r="BQ37" s="9">
        <f>'2'!CM37</f>
        <v>0.58271980216446551</v>
      </c>
      <c r="BR37" s="9">
        <f>'3'!AB37</f>
        <v>0.54691185781896579</v>
      </c>
      <c r="BS37" s="9">
        <f>'8'!AT34</f>
        <v>0.61130209045433137</v>
      </c>
      <c r="BT37" s="9">
        <f t="shared" si="38"/>
        <v>0.51121142339348946</v>
      </c>
      <c r="BU37" s="9">
        <f t="shared" si="39"/>
        <v>0.56071683650975657</v>
      </c>
      <c r="BV37" s="9">
        <f>'1'!CU37</f>
        <v>0.62148496077463289</v>
      </c>
      <c r="BW37" s="9">
        <f>'1'!CW37</f>
        <v>0.69358883188620124</v>
      </c>
      <c r="BX37" s="9">
        <f>'2'!CU37</f>
        <v>0.48247866513571297</v>
      </c>
      <c r="BY37" s="9">
        <f>'2'!CW37</f>
        <v>0.62694018085242942</v>
      </c>
      <c r="BZ37" s="9">
        <f>'3'!AE37</f>
        <v>0.56297404581095867</v>
      </c>
      <c r="CA37" s="9">
        <f>'8'!AY34</f>
        <v>0.64008680591641787</v>
      </c>
      <c r="CB37" s="9">
        <f t="shared" si="40"/>
        <v>0.59760706375526862</v>
      </c>
      <c r="CC37" s="9">
        <f t="shared" si="41"/>
        <v>0.64089476377156762</v>
      </c>
      <c r="CD37" s="9">
        <f>'1'!DE37</f>
        <v>0.63710844007810286</v>
      </c>
      <c r="CE37" s="9">
        <f>'1'!DG37</f>
        <v>0.7067391225024624</v>
      </c>
      <c r="CF37" s="9">
        <f>'2'!DE37</f>
        <v>0.38172764205768306</v>
      </c>
      <c r="CG37" s="9">
        <f>'2'!DG37</f>
        <v>0.53129541497825494</v>
      </c>
      <c r="CH37" s="9">
        <f>'3'!AH37</f>
        <v>0.37930919750538505</v>
      </c>
      <c r="CI37" s="9">
        <f>'8'!BD34</f>
        <v>0.57089648141486704</v>
      </c>
      <c r="CJ37" s="9">
        <f t="shared" si="42"/>
        <v>0.5305675599670725</v>
      </c>
      <c r="CK37" s="9">
        <f t="shared" si="43"/>
        <v>0.57337661022887354</v>
      </c>
    </row>
    <row r="38" spans="1:89">
      <c r="A38" s="1">
        <v>2000</v>
      </c>
      <c r="B38" s="9">
        <f>'1'!I38</f>
        <v>0.60769764491524347</v>
      </c>
      <c r="C38" s="9">
        <f>'1'!K38</f>
        <v>0.6818376801695516</v>
      </c>
      <c r="D38" s="9">
        <f>'2'!I38</f>
        <v>0.35005266596543333</v>
      </c>
      <c r="E38" s="9">
        <f>'2'!K38</f>
        <v>0.49752258627761098</v>
      </c>
      <c r="F38" s="9">
        <f>'3'!D38</f>
        <v>0.50214776087536384</v>
      </c>
      <c r="G38" s="9">
        <f>'8'!F35</f>
        <v>0.57886134779821263</v>
      </c>
      <c r="H38" s="9">
        <f t="shared" si="22"/>
        <v>0.54833660173103493</v>
      </c>
      <c r="I38" s="9">
        <f t="shared" si="23"/>
        <v>0.59273960786397595</v>
      </c>
      <c r="J38" s="9">
        <f>'1'!S38</f>
        <v>0.44040329454067229</v>
      </c>
      <c r="K38" s="9">
        <f>'1'!U38</f>
        <v>0.52693122937461123</v>
      </c>
      <c r="L38" s="9">
        <f>'2'!S38</f>
        <v>0.43606835142159517</v>
      </c>
      <c r="M38" s="9">
        <f>'2'!U38</f>
        <v>0.58489177075219223</v>
      </c>
      <c r="N38" s="9">
        <f>'3'!G38</f>
        <v>0.31700490501070799</v>
      </c>
      <c r="O38" s="9">
        <f>'8'!K35</f>
        <v>0.47377308533973922</v>
      </c>
      <c r="P38" s="9">
        <f t="shared" si="24"/>
        <v>0.41746265054604026</v>
      </c>
      <c r="Q38" s="9">
        <f t="shared" si="25"/>
        <v>0.46695616641267557</v>
      </c>
      <c r="R38" s="9">
        <f>'1'!AC38</f>
        <v>0.4783148072775002</v>
      </c>
      <c r="S38" s="9">
        <f>'1'!AE38</f>
        <v>0.56421175836789161</v>
      </c>
      <c r="T38" s="9">
        <f>'2'!AC38</f>
        <v>0.20264730453669488</v>
      </c>
      <c r="U38" s="9">
        <f>'2'!AE38</f>
        <v>0.30646094168125831</v>
      </c>
      <c r="V38" s="9">
        <f>'3'!J38</f>
        <v>0.53867965100765636</v>
      </c>
      <c r="W38" s="9">
        <f>'8'!P35</f>
        <v>0.49744249684194863</v>
      </c>
      <c r="X38" s="9">
        <f t="shared" si="26"/>
        <v>0.47062119032707084</v>
      </c>
      <c r="Y38" s="9">
        <f t="shared" si="27"/>
        <v>0.51536133447768373</v>
      </c>
      <c r="Z38" s="9">
        <f>'1'!AM38</f>
        <v>0.58290400183654201</v>
      </c>
      <c r="AA38" s="9">
        <f>'1'!AO38</f>
        <v>0.66034948533580207</v>
      </c>
      <c r="AB38" s="9">
        <f>'2'!AM38</f>
        <v>0.26186311179892163</v>
      </c>
      <c r="AC38" s="9">
        <f>'2'!AO38</f>
        <v>0.39115521204958803</v>
      </c>
      <c r="AD38" s="9">
        <f>'3'!M38</f>
        <v>0.4826130928988871</v>
      </c>
      <c r="AE38" s="9">
        <f>'8'!U35</f>
        <v>0.54337917554704263</v>
      </c>
      <c r="AF38" s="9">
        <f t="shared" si="28"/>
        <v>0.51584597902599139</v>
      </c>
      <c r="AG38" s="9">
        <f t="shared" si="29"/>
        <v>0.559753382450762</v>
      </c>
      <c r="AH38" s="9">
        <f>'1'!AW38</f>
        <v>0.46761771480012659</v>
      </c>
      <c r="AI38" s="9">
        <f>'1'!AY38</f>
        <v>0.55383359728220838</v>
      </c>
      <c r="AJ38" s="9">
        <f>'2'!AW38</f>
        <v>0.28951855379795449</v>
      </c>
      <c r="AK38" s="9">
        <f>'2'!AY38</f>
        <v>0.42672561135530873</v>
      </c>
      <c r="AL38" s="9">
        <f>'3'!P38</f>
        <v>0.53234695026410461</v>
      </c>
      <c r="AM38" s="9">
        <f>'8'!Z35</f>
        <v>0.53454163211248873</v>
      </c>
      <c r="AN38" s="9">
        <f t="shared" si="30"/>
        <v>0.48272108689399446</v>
      </c>
      <c r="AO38" s="9">
        <f t="shared" si="31"/>
        <v>0.53092814564256252</v>
      </c>
      <c r="AP38" s="9">
        <f>'1'!BG38</f>
        <v>0.51893058272233095</v>
      </c>
      <c r="AQ38" s="9">
        <f>'1'!BI38</f>
        <v>0.60265793924214173</v>
      </c>
      <c r="AR38" s="9">
        <f>'2'!BG38</f>
        <v>0.31609377067851258</v>
      </c>
      <c r="AS38" s="9">
        <f>'2'!BI38</f>
        <v>0.45890898159538296</v>
      </c>
      <c r="AT38" s="9">
        <f>'3'!S38</f>
        <v>0.49279288395279519</v>
      </c>
      <c r="AU38" s="9">
        <f>'8'!AE35</f>
        <v>0.57332468600192721</v>
      </c>
      <c r="AV38" s="9">
        <f t="shared" si="32"/>
        <v>0.5057110026454642</v>
      </c>
      <c r="AW38" s="9">
        <f t="shared" si="33"/>
        <v>0.55348346634507561</v>
      </c>
      <c r="AX38" s="9">
        <f>'1'!BQ38</f>
        <v>0.67084626602538422</v>
      </c>
      <c r="AY38" s="9">
        <f>'1'!BS38</f>
        <v>0.73455609375436293</v>
      </c>
      <c r="AZ38" s="9">
        <f>'2'!BQ38</f>
        <v>0.29166660330602429</v>
      </c>
      <c r="BA38" s="9">
        <f>'2'!BS38</f>
        <v>0.42939649897209059</v>
      </c>
      <c r="BB38" s="9">
        <f>'3'!V38</f>
        <v>0.58537622844875314</v>
      </c>
      <c r="BC38" s="9">
        <f>'8'!AJ35</f>
        <v>0.57131808333860501</v>
      </c>
      <c r="BD38" s="9">
        <f t="shared" si="34"/>
        <v>0.58667874468759573</v>
      </c>
      <c r="BE38" s="9">
        <f t="shared" si="35"/>
        <v>0.62593566534579381</v>
      </c>
      <c r="BF38" s="9">
        <f>'1'!CA38</f>
        <v>0.54173693135950862</v>
      </c>
      <c r="BG38" s="9">
        <f>'1'!CC38</f>
        <v>0.62361116487932555</v>
      </c>
      <c r="BH38" s="9">
        <f>'2'!CA38</f>
        <v>0.31516512868186242</v>
      </c>
      <c r="BI38" s="9">
        <f>'2'!CC38</f>
        <v>0.45781488533294334</v>
      </c>
      <c r="BJ38" s="9">
        <f>'3'!Y38</f>
        <v>0.4876973796521773</v>
      </c>
      <c r="BK38" s="9">
        <f>'8'!AO35</f>
        <v>0.56775842075651128</v>
      </c>
      <c r="BL38" s="9">
        <f t="shared" si="36"/>
        <v>0.5120752355141619</v>
      </c>
      <c r="BM38" s="9">
        <f t="shared" si="37"/>
        <v>0.55908990458719665</v>
      </c>
      <c r="BN38" s="9">
        <f>'1'!CK38</f>
        <v>0.46776011599062156</v>
      </c>
      <c r="BO38" s="9">
        <f>'1'!CM38</f>
        <v>0.55397246719325099</v>
      </c>
      <c r="BP38" s="9">
        <f>'2'!CK38</f>
        <v>0.49016243808522564</v>
      </c>
      <c r="BQ38" s="9">
        <f>'2'!CM38</f>
        <v>0.63360815548666161</v>
      </c>
      <c r="BR38" s="9">
        <f>'3'!AB38</f>
        <v>0.4202178617119271</v>
      </c>
      <c r="BS38" s="9">
        <f>'8'!AT35</f>
        <v>0.59259162850887204</v>
      </c>
      <c r="BT38" s="9">
        <f t="shared" si="38"/>
        <v>0.48932266275997105</v>
      </c>
      <c r="BU38" s="9">
        <f t="shared" si="39"/>
        <v>0.53815217498116641</v>
      </c>
      <c r="BV38" s="9">
        <f>'1'!CU38</f>
        <v>0.65856412862737246</v>
      </c>
      <c r="BW38" s="9">
        <f>'1'!CW38</f>
        <v>0.72451934666710782</v>
      </c>
      <c r="BX38" s="9">
        <f>'2'!CU38</f>
        <v>0.60823375030767857</v>
      </c>
      <c r="BY38" s="9">
        <f>'2'!CW38</f>
        <v>0.72722117398452579</v>
      </c>
      <c r="BZ38" s="9">
        <f>'3'!AE38</f>
        <v>0.58082201657562027</v>
      </c>
      <c r="CA38" s="9">
        <f>'8'!AY35</f>
        <v>0.63609782744343235</v>
      </c>
      <c r="CB38" s="9">
        <f t="shared" si="40"/>
        <v>0.62847898748648001</v>
      </c>
      <c r="CC38" s="9">
        <f t="shared" si="41"/>
        <v>0.66675981707005882</v>
      </c>
      <c r="CD38" s="9">
        <f>'1'!DE38</f>
        <v>0.66790133193502976</v>
      </c>
      <c r="CE38" s="9">
        <f>'1'!DG38</f>
        <v>0.73215877008868846</v>
      </c>
      <c r="CF38" s="9">
        <f>'2'!DE38</f>
        <v>0.40643735320748853</v>
      </c>
      <c r="CG38" s="9">
        <f>'2'!DG38</f>
        <v>0.55630161999149141</v>
      </c>
      <c r="CH38" s="9">
        <f>'3'!AH38</f>
        <v>0.37611648631347033</v>
      </c>
      <c r="CI38" s="9">
        <f>'8'!BD35</f>
        <v>0.60704245861753581</v>
      </c>
      <c r="CJ38" s="9">
        <f t="shared" si="42"/>
        <v>0.55359400432751227</v>
      </c>
      <c r="CK38" s="9">
        <f t="shared" si="43"/>
        <v>0.59428340626737608</v>
      </c>
    </row>
    <row r="39" spans="1:89">
      <c r="A39" s="1">
        <v>2001</v>
      </c>
      <c r="B39" s="9">
        <f>'1'!I39</f>
        <v>0.62648184541481788</v>
      </c>
      <c r="C39" s="9">
        <f>'1'!K39</f>
        <v>0.69781367427793883</v>
      </c>
      <c r="D39" s="9">
        <f>'2'!I39</f>
        <v>0.34979103379749987</v>
      </c>
      <c r="E39" s="9">
        <f>'2'!K39</f>
        <v>0.49723500426215467</v>
      </c>
      <c r="F39" s="9">
        <f>'3'!D39</f>
        <v>0.51107598404402743</v>
      </c>
      <c r="G39" s="9">
        <f>'8'!F36</f>
        <v>0.55139674317838749</v>
      </c>
      <c r="H39" s="9">
        <f t="shared" si="22"/>
        <v>0.55119002335128076</v>
      </c>
      <c r="I39" s="9">
        <f t="shared" si="23"/>
        <v>0.59446715194299471</v>
      </c>
      <c r="J39" s="9">
        <f>'1'!S39</f>
        <v>0.4825548466815337</v>
      </c>
      <c r="K39" s="9">
        <f>'1'!U39</f>
        <v>0.56829556717051466</v>
      </c>
      <c r="L39" s="9">
        <f>'2'!S39</f>
        <v>0.42286743197028021</v>
      </c>
      <c r="M39" s="9">
        <f>'2'!U39</f>
        <v>0.57233377094208504</v>
      </c>
      <c r="N39" s="9">
        <f>'3'!G39</f>
        <v>0.41124604988384045</v>
      </c>
      <c r="O39" s="9">
        <f>'8'!K36</f>
        <v>0.49950470879844366</v>
      </c>
      <c r="P39" s="9">
        <f t="shared" si="24"/>
        <v>0.46299637154021256</v>
      </c>
      <c r="Q39" s="9">
        <f t="shared" si="25"/>
        <v>0.51223929363298537</v>
      </c>
      <c r="R39" s="9">
        <f>'1'!AC39</f>
        <v>0.51415455480124672</v>
      </c>
      <c r="S39" s="9">
        <f>'1'!AE39</f>
        <v>0.59821346276257581</v>
      </c>
      <c r="T39" s="9">
        <f>'2'!AC39</f>
        <v>0.21425197494443562</v>
      </c>
      <c r="U39" s="9">
        <f>'2'!AE39</f>
        <v>0.32409453366376284</v>
      </c>
      <c r="V39" s="9">
        <f>'3'!J39</f>
        <v>0.57684878294837461</v>
      </c>
      <c r="W39" s="9">
        <f>'8'!P36</f>
        <v>0.43163235365441127</v>
      </c>
      <c r="X39" s="9">
        <f t="shared" si="26"/>
        <v>0.47920730356563873</v>
      </c>
      <c r="Y39" s="9">
        <f t="shared" si="27"/>
        <v>0.52381512262210306</v>
      </c>
      <c r="Z39" s="9">
        <f>'1'!AM39</f>
        <v>0.60626015081086526</v>
      </c>
      <c r="AA39" s="9">
        <f>'1'!AO39</f>
        <v>0.68060444142412546</v>
      </c>
      <c r="AB39" s="9">
        <f>'2'!AM39</f>
        <v>0.26322769278266067</v>
      </c>
      <c r="AC39" s="9">
        <f>'2'!AO39</f>
        <v>0.39296412804427089</v>
      </c>
      <c r="AD39" s="9">
        <f>'3'!M39</f>
        <v>0.4669450335986845</v>
      </c>
      <c r="AE39" s="9">
        <f>'8'!U36</f>
        <v>0.51603940494434264</v>
      </c>
      <c r="AF39" s="9">
        <f t="shared" si="28"/>
        <v>0.51457293923836889</v>
      </c>
      <c r="AG39" s="9">
        <f t="shared" si="29"/>
        <v>0.55728429900983412</v>
      </c>
      <c r="AH39" s="9">
        <f>'1'!AW39</f>
        <v>0.47658532289306299</v>
      </c>
      <c r="AI39" s="9">
        <f>'1'!AY39</f>
        <v>0.56254116753769612</v>
      </c>
      <c r="AJ39" s="9">
        <f>'2'!AW39</f>
        <v>0.294099573542283</v>
      </c>
      <c r="AK39" s="9">
        <f>'2'!AY39</f>
        <v>0.43240641294352056</v>
      </c>
      <c r="AL39" s="9">
        <f>'3'!P39</f>
        <v>0.52521390914088895</v>
      </c>
      <c r="AM39" s="9">
        <f>'8'!Z36</f>
        <v>0.47329947601938116</v>
      </c>
      <c r="AN39" s="9">
        <f t="shared" si="30"/>
        <v>0.46967243280152104</v>
      </c>
      <c r="AO39" s="9">
        <f t="shared" si="31"/>
        <v>0.51788545459949797</v>
      </c>
      <c r="AP39" s="9">
        <f>'1'!BG39</f>
        <v>0.54265827780181919</v>
      </c>
      <c r="AQ39" s="9">
        <f>'1'!BI39</f>
        <v>0.62444843112975701</v>
      </c>
      <c r="AR39" s="9">
        <f>'2'!BG39</f>
        <v>0.32139137955585945</v>
      </c>
      <c r="AS39" s="9">
        <f>'2'!BI39</f>
        <v>0.46511006493250978</v>
      </c>
      <c r="AT39" s="9">
        <f>'3'!S39</f>
        <v>0.51484303698776857</v>
      </c>
      <c r="AU39" s="9">
        <f>'8'!AE36</f>
        <v>0.55909850511304449</v>
      </c>
      <c r="AV39" s="9">
        <f t="shared" si="32"/>
        <v>0.51768783460151691</v>
      </c>
      <c r="AW39" s="9">
        <f t="shared" si="33"/>
        <v>0.56477576447035704</v>
      </c>
      <c r="AX39" s="9">
        <f>'1'!BQ39</f>
        <v>0.68598462591857168</v>
      </c>
      <c r="AY39" s="9">
        <f>'1'!BS39</f>
        <v>0.7467890011563646</v>
      </c>
      <c r="AZ39" s="9">
        <f>'2'!BQ39</f>
        <v>0.29470094381073564</v>
      </c>
      <c r="BA39" s="9">
        <f>'2'!BS39</f>
        <v>0.43314791255453744</v>
      </c>
      <c r="BB39" s="9">
        <f>'3'!V39</f>
        <v>0.59613962738130466</v>
      </c>
      <c r="BC39" s="9">
        <f>'8'!AJ36</f>
        <v>0.53995233333456505</v>
      </c>
      <c r="BD39" s="9">
        <f t="shared" si="34"/>
        <v>0.58788693492746968</v>
      </c>
      <c r="BE39" s="9">
        <f t="shared" si="35"/>
        <v>0.62605338189696702</v>
      </c>
      <c r="BF39" s="9">
        <f>'1'!CA39</f>
        <v>0.56740661016170135</v>
      </c>
      <c r="BG39" s="9">
        <f>'1'!CC39</f>
        <v>0.64667825176523031</v>
      </c>
      <c r="BH39" s="9">
        <f>'2'!CA39</f>
        <v>0.31561857671371757</v>
      </c>
      <c r="BI39" s="9">
        <f>'2'!CC39</f>
        <v>0.45834938926288138</v>
      </c>
      <c r="BJ39" s="9">
        <f>'3'!Y39</f>
        <v>0.54659327697837279</v>
      </c>
      <c r="BK39" s="9">
        <f>'8'!AO36</f>
        <v>0.52786819158789489</v>
      </c>
      <c r="BL39" s="9">
        <f t="shared" si="36"/>
        <v>0.52713986887761921</v>
      </c>
      <c r="BM39" s="9">
        <f t="shared" si="37"/>
        <v>0.57312160677394719</v>
      </c>
      <c r="BN39" s="9">
        <f>'1'!CK39</f>
        <v>0.50243188642159942</v>
      </c>
      <c r="BO39" s="9">
        <f>'1'!CM39</f>
        <v>0.58721954188220093</v>
      </c>
      <c r="BP39" s="9">
        <f>'2'!CK39</f>
        <v>0.46786132598999519</v>
      </c>
      <c r="BQ39" s="9">
        <f>'2'!CM39</f>
        <v>0.61403272052735769</v>
      </c>
      <c r="BR39" s="9">
        <f>'3'!AB39</f>
        <v>0.50956411580239591</v>
      </c>
      <c r="BS39" s="9">
        <f>'8'!AT36</f>
        <v>0.56803531723160205</v>
      </c>
      <c r="BT39" s="9">
        <f t="shared" si="38"/>
        <v>0.51715874542613882</v>
      </c>
      <c r="BU39" s="9">
        <f t="shared" si="39"/>
        <v>0.5656909470641156</v>
      </c>
      <c r="BV39" s="9">
        <f>'1'!CU39</f>
        <v>0.68439814576899927</v>
      </c>
      <c r="BW39" s="9">
        <f>'1'!CW39</f>
        <v>0.74551405090090772</v>
      </c>
      <c r="BX39" s="9">
        <f>'2'!CU39</f>
        <v>0.5773731881112002</v>
      </c>
      <c r="BY39" s="9">
        <f>'2'!CW39</f>
        <v>0.70421748388006</v>
      </c>
      <c r="BZ39" s="9">
        <f>'3'!AE39</f>
        <v>0.59874778619040558</v>
      </c>
      <c r="CA39" s="9">
        <f>'8'!AY36</f>
        <v>0.62609709007118308</v>
      </c>
      <c r="CB39" s="9">
        <f t="shared" si="40"/>
        <v>0.63770779618411688</v>
      </c>
      <c r="CC39" s="9">
        <f t="shared" si="41"/>
        <v>0.67483858781376627</v>
      </c>
      <c r="CD39" s="9">
        <f>'1'!DE39</f>
        <v>0.68251591287710278</v>
      </c>
      <c r="CE39" s="9">
        <f>'1'!DG39</f>
        <v>0.74399929845232138</v>
      </c>
      <c r="CF39" s="9">
        <f>'2'!DE39</f>
        <v>0.41220797351981675</v>
      </c>
      <c r="CG39" s="9">
        <f>'2'!DG39</f>
        <v>0.561984707313536</v>
      </c>
      <c r="CH39" s="9">
        <f>'3'!AH39</f>
        <v>0.31449866527497178</v>
      </c>
      <c r="CI39" s="9">
        <f>'8'!BD36</f>
        <v>0.55002331892054901</v>
      </c>
      <c r="CJ39" s="9">
        <f t="shared" si="42"/>
        <v>0.53035765855170303</v>
      </c>
      <c r="CK39" s="9">
        <f t="shared" si="43"/>
        <v>0.56992868616116232</v>
      </c>
    </row>
    <row r="40" spans="1:89">
      <c r="A40" s="1">
        <v>2002</v>
      </c>
      <c r="B40" s="9">
        <f>'1'!I40</f>
        <v>0.64603724803837104</v>
      </c>
      <c r="C40" s="9">
        <f>'1'!K40</f>
        <v>0.71417707589382318</v>
      </c>
      <c r="D40" s="9">
        <f>'2'!I40</f>
        <v>0.35157732960737681</v>
      </c>
      <c r="E40" s="9">
        <f>'2'!K40</f>
        <v>0.49919555301401564</v>
      </c>
      <c r="F40" s="9">
        <f>'3'!D40</f>
        <v>0.4993868919690741</v>
      </c>
      <c r="G40" s="9">
        <f>'8'!F37</f>
        <v>0.51205581417800172</v>
      </c>
      <c r="H40" s="9">
        <f t="shared" si="22"/>
        <v>0.546433308712855</v>
      </c>
      <c r="I40" s="9">
        <f t="shared" si="23"/>
        <v>0.58845106219569976</v>
      </c>
      <c r="J40" s="9">
        <f>'1'!S40</f>
        <v>0.51817309037159864</v>
      </c>
      <c r="K40" s="9">
        <f>'1'!U40</f>
        <v>0.60195435719786172</v>
      </c>
      <c r="L40" s="9">
        <f>'2'!S40</f>
        <v>0.43528803154789669</v>
      </c>
      <c r="M40" s="9">
        <f>'2'!U40</f>
        <v>0.58415720321001086</v>
      </c>
      <c r="N40" s="9">
        <f>'3'!G40</f>
        <v>0.32051670050138581</v>
      </c>
      <c r="O40" s="9">
        <f>'8'!K37</f>
        <v>0.47734990143508094</v>
      </c>
      <c r="P40" s="9">
        <f t="shared" si="24"/>
        <v>0.45026468978754586</v>
      </c>
      <c r="Q40" s="9">
        <f t="shared" si="25"/>
        <v>0.49866411368426244</v>
      </c>
      <c r="R40" s="9">
        <f>'1'!AC40</f>
        <v>0.53624046823867666</v>
      </c>
      <c r="S40" s="9">
        <f>'1'!AE40</f>
        <v>0.6186015840985698</v>
      </c>
      <c r="T40" s="9">
        <f>'2'!AC40</f>
        <v>0.22170022458170222</v>
      </c>
      <c r="U40" s="9">
        <f>'2'!AE40</f>
        <v>0.33512774372120513</v>
      </c>
      <c r="V40" s="9">
        <f>'3'!J40</f>
        <v>0.63100468817585098</v>
      </c>
      <c r="W40" s="9">
        <f>'8'!P37</f>
        <v>0.47401391023156625</v>
      </c>
      <c r="X40" s="9">
        <f t="shared" si="26"/>
        <v>0.51292085935549525</v>
      </c>
      <c r="Y40" s="9">
        <f t="shared" si="27"/>
        <v>0.55720805761340275</v>
      </c>
      <c r="Z40" s="9">
        <f>'1'!AM40</f>
        <v>0.64146109227636638</v>
      </c>
      <c r="AA40" s="9">
        <f>'1'!AO40</f>
        <v>0.71037196321818752</v>
      </c>
      <c r="AB40" s="9">
        <f>'2'!AM40</f>
        <v>0.26048139799075898</v>
      </c>
      <c r="AC40" s="9">
        <f>'2'!AO40</f>
        <v>0.38931763543815245</v>
      </c>
      <c r="AD40" s="9">
        <f>'3'!M40</f>
        <v>0.45948878897349577</v>
      </c>
      <c r="AE40" s="9">
        <f>'8'!U37</f>
        <v>0.47198552345040967</v>
      </c>
      <c r="AF40" s="9">
        <f t="shared" si="28"/>
        <v>0.51550115481559877</v>
      </c>
      <c r="AG40" s="9">
        <f t="shared" si="29"/>
        <v>0.55594912693706666</v>
      </c>
      <c r="AH40" s="9">
        <f>'1'!AW40</f>
        <v>0.4999476600642816</v>
      </c>
      <c r="AI40" s="9">
        <f>'1'!AY40</f>
        <v>0.58487404489405415</v>
      </c>
      <c r="AJ40" s="9">
        <f>'2'!AW40</f>
        <v>0.29950969283697348</v>
      </c>
      <c r="AK40" s="9">
        <f>'2'!AY40</f>
        <v>0.43904226846063688</v>
      </c>
      <c r="AL40" s="9">
        <f>'3'!P40</f>
        <v>0.45548182780966318</v>
      </c>
      <c r="AM40" s="9">
        <f>'8'!Z37</f>
        <v>0.47031596384641045</v>
      </c>
      <c r="AN40" s="9">
        <f t="shared" si="30"/>
        <v>0.46137948122342842</v>
      </c>
      <c r="AO40" s="9">
        <f t="shared" si="31"/>
        <v>0.5093032927177038</v>
      </c>
      <c r="AP40" s="9">
        <f>'1'!BG40</f>
        <v>0.56300589110130783</v>
      </c>
      <c r="AQ40" s="9">
        <f>'1'!BI40</f>
        <v>0.6427615553314312</v>
      </c>
      <c r="AR40" s="9">
        <f>'2'!BG40</f>
        <v>0.32574163288715241</v>
      </c>
      <c r="AS40" s="9">
        <f>'2'!BI40</f>
        <v>0.47015158000015134</v>
      </c>
      <c r="AT40" s="9">
        <f>'3'!S40</f>
        <v>0.52167806416076257</v>
      </c>
      <c r="AU40" s="9">
        <f>'8'!AE37</f>
        <v>0.53433378650175545</v>
      </c>
      <c r="AV40" s="9">
        <f t="shared" si="32"/>
        <v>0.52177948239486782</v>
      </c>
      <c r="AW40" s="9">
        <f t="shared" si="33"/>
        <v>0.56812274279821717</v>
      </c>
      <c r="AX40" s="9">
        <f>'1'!BQ40</f>
        <v>0.70615839029193861</v>
      </c>
      <c r="AY40" s="9">
        <f>'1'!BS40</f>
        <v>0.76286025053788065</v>
      </c>
      <c r="AZ40" s="9">
        <f>'2'!BQ40</f>
        <v>0.29758483743233022</v>
      </c>
      <c r="BA40" s="9">
        <f>'2'!BS40</f>
        <v>0.43669027579590569</v>
      </c>
      <c r="BB40" s="9">
        <f>'3'!V40</f>
        <v>0.56244896390438914</v>
      </c>
      <c r="BC40" s="9">
        <f>'8'!AJ37</f>
        <v>0.48731835015735403</v>
      </c>
      <c r="BD40" s="9">
        <f t="shared" si="34"/>
        <v>0.57466366837544425</v>
      </c>
      <c r="BE40" s="9">
        <f t="shared" si="35"/>
        <v>0.61125495631017857</v>
      </c>
      <c r="BF40" s="9">
        <f>'1'!CA40</f>
        <v>0.58768660768432635</v>
      </c>
      <c r="BG40" s="9">
        <f>'1'!CC40</f>
        <v>0.66453081992756835</v>
      </c>
      <c r="BH40" s="9">
        <f>'2'!CA40</f>
        <v>0.31784881029076906</v>
      </c>
      <c r="BI40" s="9">
        <f>'2'!CC40</f>
        <v>0.46097091721101546</v>
      </c>
      <c r="BJ40" s="9">
        <f>'3'!Y40</f>
        <v>0.49264812516604545</v>
      </c>
      <c r="BK40" s="9">
        <f>'8'!AO37</f>
        <v>0.53490233870051695</v>
      </c>
      <c r="BL40" s="9">
        <f t="shared" si="36"/>
        <v>0.523747140069448</v>
      </c>
      <c r="BM40" s="9">
        <f t="shared" si="37"/>
        <v>0.56879703565876949</v>
      </c>
      <c r="BN40" s="9">
        <f>'1'!CK40</f>
        <v>0.52290842253150849</v>
      </c>
      <c r="BO40" s="9">
        <f>'1'!CM40</f>
        <v>0.60634452234550229</v>
      </c>
      <c r="BP40" s="9">
        <f>'2'!CK40</f>
        <v>0.47033701053853599</v>
      </c>
      <c r="BQ40" s="9">
        <f>'2'!CM40</f>
        <v>0.61623975721290891</v>
      </c>
      <c r="BR40" s="9">
        <f>'3'!AB40</f>
        <v>0.50039360026875235</v>
      </c>
      <c r="BS40" s="9">
        <f>'8'!AT37</f>
        <v>0.53730076682248606</v>
      </c>
      <c r="BT40" s="9">
        <f t="shared" si="38"/>
        <v>0.51562066183926658</v>
      </c>
      <c r="BU40" s="9">
        <f t="shared" si="39"/>
        <v>0.56358537643230144</v>
      </c>
      <c r="BV40" s="9">
        <f>'1'!CU40</f>
        <v>0.69899179728158278</v>
      </c>
      <c r="BW40" s="9">
        <f>'1'!CW40</f>
        <v>0.7571807734887801</v>
      </c>
      <c r="BX40" s="9">
        <f>'2'!CU40</f>
        <v>0.58103322241899913</v>
      </c>
      <c r="BY40" s="9">
        <f>'2'!CW40</f>
        <v>0.70699540486502366</v>
      </c>
      <c r="BZ40" s="9">
        <f>'3'!AE40</f>
        <v>0.66093077439176251</v>
      </c>
      <c r="CA40" s="9">
        <f>'8'!AY37</f>
        <v>0.60255218635365027</v>
      </c>
      <c r="CB40" s="9">
        <f t="shared" si="40"/>
        <v>0.6535707813408862</v>
      </c>
      <c r="CC40" s="9">
        <f t="shared" si="41"/>
        <v>0.68944259006836761</v>
      </c>
      <c r="CD40" s="9">
        <f>'1'!DE40</f>
        <v>0.69977640301901978</v>
      </c>
      <c r="CE40" s="9">
        <f>'1'!DG40</f>
        <v>0.75780415330257112</v>
      </c>
      <c r="CF40" s="9">
        <f>'2'!DE40</f>
        <v>0.4088294434636604</v>
      </c>
      <c r="CG40" s="9">
        <f>'2'!DG40</f>
        <v>0.55866439966469406</v>
      </c>
      <c r="CH40" s="9">
        <f>'3'!AH40</f>
        <v>0.27951742630665571</v>
      </c>
      <c r="CI40" s="9">
        <f>'8'!BD37</f>
        <v>0.49134483678116497</v>
      </c>
      <c r="CJ40" s="9">
        <f t="shared" si="42"/>
        <v>0.51350907132592916</v>
      </c>
      <c r="CK40" s="9">
        <f t="shared" si="43"/>
        <v>0.55170366705945306</v>
      </c>
    </row>
    <row r="41" spans="1:89">
      <c r="A41" s="1">
        <v>2003</v>
      </c>
      <c r="B41" s="9">
        <f>'1'!I41</f>
        <v>0.66790011172971175</v>
      </c>
      <c r="C41" s="9">
        <f>'1'!K41</f>
        <v>0.73215777558066708</v>
      </c>
      <c r="D41" s="9">
        <f>'2'!I41</f>
        <v>0.36351439297037474</v>
      </c>
      <c r="E41" s="9">
        <f>'2'!K41</f>
        <v>0.5121244684058377</v>
      </c>
      <c r="F41" s="9">
        <f>'3'!D41</f>
        <v>0.50314279809928009</v>
      </c>
      <c r="G41" s="9">
        <f>'8'!F38</f>
        <v>0.50774013929159489</v>
      </c>
      <c r="H41" s="9">
        <f t="shared" si="22"/>
        <v>0.55623221833664094</v>
      </c>
      <c r="I41" s="9">
        <f t="shared" si="23"/>
        <v>0.59679629142056934</v>
      </c>
      <c r="J41" s="9">
        <f>'1'!S41</f>
        <v>0.53172913282398937</v>
      </c>
      <c r="K41" s="9">
        <f>'1'!U41</f>
        <v>0.61447090905261836</v>
      </c>
      <c r="L41" s="9">
        <f>'2'!S41</f>
        <v>0.43504105123682457</v>
      </c>
      <c r="M41" s="9">
        <f>'2'!U41</f>
        <v>0.58392450395815643</v>
      </c>
      <c r="N41" s="9">
        <f>'3'!G41</f>
        <v>0.33795374537894463</v>
      </c>
      <c r="O41" s="9">
        <f>'8'!K38</f>
        <v>0.45163289883695507</v>
      </c>
      <c r="P41" s="9">
        <f t="shared" si="24"/>
        <v>0.45359241930725314</v>
      </c>
      <c r="Q41" s="9">
        <f t="shared" si="25"/>
        <v>0.50157747507083794</v>
      </c>
      <c r="R41" s="9">
        <f>'1'!AC41</f>
        <v>0.56484597538070591</v>
      </c>
      <c r="S41" s="9">
        <f>'1'!AE41</f>
        <v>0.64440113265761823</v>
      </c>
      <c r="T41" s="9">
        <f>'2'!AC41</f>
        <v>0.22900414900116234</v>
      </c>
      <c r="U41" s="9">
        <f>'2'!AE41</f>
        <v>0.34574090115885681</v>
      </c>
      <c r="V41" s="9">
        <f>'3'!J41</f>
        <v>0.68916827438751882</v>
      </c>
      <c r="W41" s="9">
        <f>'8'!P38</f>
        <v>0.44015235940963948</v>
      </c>
      <c r="X41" s="9">
        <f t="shared" si="26"/>
        <v>0.53116896350168818</v>
      </c>
      <c r="Y41" s="9">
        <f t="shared" si="27"/>
        <v>0.57466470162822247</v>
      </c>
      <c r="Z41" s="9">
        <f>'1'!AM41</f>
        <v>0.66216294347264948</v>
      </c>
      <c r="AA41" s="9">
        <f>'1'!AO41</f>
        <v>0.72747075158400254</v>
      </c>
      <c r="AB41" s="9">
        <f>'2'!AM41</f>
        <v>0.2616420657755083</v>
      </c>
      <c r="AC41" s="9">
        <f>'2'!AO41</f>
        <v>0.3908616405066308</v>
      </c>
      <c r="AD41" s="9">
        <f>'3'!M41</f>
        <v>0.42297176542006165</v>
      </c>
      <c r="AE41" s="9">
        <f>'8'!U38</f>
        <v>0.47815479311819797</v>
      </c>
      <c r="AF41" s="9">
        <f t="shared" si="28"/>
        <v>0.51631102360117542</v>
      </c>
      <c r="AG41" s="9">
        <f t="shared" si="29"/>
        <v>0.55535610431882909</v>
      </c>
      <c r="AH41" s="9">
        <f>'1'!AW41</f>
        <v>0.51812443683337017</v>
      </c>
      <c r="AI41" s="9">
        <f>'1'!AY41</f>
        <v>0.60190914927118433</v>
      </c>
      <c r="AJ41" s="9">
        <f>'2'!AW41</f>
        <v>0.30359612753296683</v>
      </c>
      <c r="AK41" s="9">
        <f>'2'!AY41</f>
        <v>0.44400312984522916</v>
      </c>
      <c r="AL41" s="9">
        <f>'3'!P41</f>
        <v>0.41160953420023483</v>
      </c>
      <c r="AM41" s="9">
        <f>'8'!Z38</f>
        <v>0.44398761411016308</v>
      </c>
      <c r="AN41" s="9">
        <f t="shared" si="30"/>
        <v>0.45150867456424426</v>
      </c>
      <c r="AO41" s="9">
        <f t="shared" si="31"/>
        <v>0.49906325977059612</v>
      </c>
      <c r="AP41" s="9">
        <f>'1'!BG41</f>
        <v>0.59300707319132673</v>
      </c>
      <c r="AQ41" s="9">
        <f>'1'!BI41</f>
        <v>0.66916181013582332</v>
      </c>
      <c r="AR41" s="9">
        <f>'2'!BG41</f>
        <v>0.33198937478293461</v>
      </c>
      <c r="AS41" s="9">
        <f>'2'!BI41</f>
        <v>0.4773139207600619</v>
      </c>
      <c r="AT41" s="9">
        <f>'3'!S41</f>
        <v>0.54527135809527338</v>
      </c>
      <c r="AU41" s="9">
        <f>'8'!AE38</f>
        <v>0.52412010189365599</v>
      </c>
      <c r="AV41" s="9">
        <f t="shared" si="32"/>
        <v>0.53774963175205648</v>
      </c>
      <c r="AW41" s="9">
        <f t="shared" si="33"/>
        <v>0.58274398112756787</v>
      </c>
      <c r="AX41" s="9">
        <f>'1'!BQ41</f>
        <v>0.72814586378270407</v>
      </c>
      <c r="AY41" s="9">
        <f>'1'!BS41</f>
        <v>0.78008528358466378</v>
      </c>
      <c r="AZ41" s="9">
        <f>'2'!BQ41</f>
        <v>0.30341941194699057</v>
      </c>
      <c r="BA41" s="9">
        <f>'2'!BS41</f>
        <v>0.44378950320805027</v>
      </c>
      <c r="BB41" s="9">
        <f>'3'!V41</f>
        <v>0.582872589220094</v>
      </c>
      <c r="BC41" s="9">
        <f>'8'!AJ38</f>
        <v>0.48863746059964691</v>
      </c>
      <c r="BD41" s="9">
        <f t="shared" si="34"/>
        <v>0.58947779916271603</v>
      </c>
      <c r="BE41" s="9">
        <f t="shared" si="35"/>
        <v>0.62429057620960582</v>
      </c>
      <c r="BF41" s="9">
        <f>'1'!CA41</f>
        <v>0.60406633948456723</v>
      </c>
      <c r="BG41" s="9">
        <f>'1'!CC41</f>
        <v>0.67871939582636442</v>
      </c>
      <c r="BH41" s="9">
        <f>'2'!CA41</f>
        <v>0.32238280986879825</v>
      </c>
      <c r="BI41" s="9">
        <f>'2'!CC41</f>
        <v>0.46626301861092806</v>
      </c>
      <c r="BJ41" s="9">
        <f>'3'!Y41</f>
        <v>0.5280502759686404</v>
      </c>
      <c r="BK41" s="9">
        <f>'8'!AO38</f>
        <v>0.54275876846982352</v>
      </c>
      <c r="BL41" s="9">
        <f t="shared" si="36"/>
        <v>0.54156707789032266</v>
      </c>
      <c r="BM41" s="9">
        <f t="shared" si="37"/>
        <v>0.58581632130125449</v>
      </c>
      <c r="BN41" s="9">
        <f>'1'!CK41</f>
        <v>0.53560443588310236</v>
      </c>
      <c r="BO41" s="9">
        <f>'1'!CM41</f>
        <v>0.61802025818743667</v>
      </c>
      <c r="BP41" s="9">
        <f>'2'!CK41</f>
        <v>0.49710904465845734</v>
      </c>
      <c r="BQ41" s="9">
        <f>'2'!CM41</f>
        <v>0.63956910342030737</v>
      </c>
      <c r="BR41" s="9">
        <f>'3'!AB41</f>
        <v>0.49367216324488522</v>
      </c>
      <c r="BS41" s="9">
        <f>'8'!AT38</f>
        <v>0.55049116782559471</v>
      </c>
      <c r="BT41" s="9">
        <f t="shared" si="38"/>
        <v>0.52499351158670671</v>
      </c>
      <c r="BU41" s="9">
        <f t="shared" si="39"/>
        <v>0.57220584638462546</v>
      </c>
      <c r="BV41" s="9">
        <f>'1'!CU41</f>
        <v>0.71339040960749223</v>
      </c>
      <c r="BW41" s="9">
        <f>'1'!CW41</f>
        <v>0.7685588532465637</v>
      </c>
      <c r="BX41" s="9">
        <f>'2'!CU41</f>
        <v>0.62127111995067152</v>
      </c>
      <c r="BY41" s="9">
        <f>'2'!CW41</f>
        <v>0.73666348204483123</v>
      </c>
      <c r="BZ41" s="9">
        <f>'3'!AE41</f>
        <v>0.53860890889353696</v>
      </c>
      <c r="CA41" s="9">
        <f>'8'!AY38</f>
        <v>0.5872506918372582</v>
      </c>
      <c r="CB41" s="9">
        <f t="shared" si="40"/>
        <v>0.62894817602076281</v>
      </c>
      <c r="CC41" s="9">
        <f t="shared" si="41"/>
        <v>0.66255478968580739</v>
      </c>
      <c r="CD41" s="9">
        <f>'1'!DE41</f>
        <v>0.71973601901368522</v>
      </c>
      <c r="CE41" s="9">
        <f>'1'!DG41</f>
        <v>0.77353221225075286</v>
      </c>
      <c r="CF41" s="9">
        <f>'2'!DE41</f>
        <v>0.42497449107229696</v>
      </c>
      <c r="CG41" s="9">
        <f>'2'!DG41</f>
        <v>0.57435711758698982</v>
      </c>
      <c r="CH41" s="9">
        <f>'3'!AH41</f>
        <v>0.30568836782083347</v>
      </c>
      <c r="CI41" s="9">
        <f>'8'!BD38</f>
        <v>0.47764982398540601</v>
      </c>
      <c r="CJ41" s="9">
        <f t="shared" si="42"/>
        <v>0.52622640466426363</v>
      </c>
      <c r="CK41" s="9">
        <f t="shared" si="43"/>
        <v>0.56268314461056002</v>
      </c>
    </row>
    <row r="42" spans="1:89">
      <c r="A42" s="1">
        <v>2004</v>
      </c>
      <c r="B42" s="9">
        <f>'1'!I42</f>
        <v>0.6899340129521192</v>
      </c>
      <c r="C42" s="9">
        <f>'1'!K42</f>
        <v>0.74995577721682849</v>
      </c>
      <c r="D42" s="9">
        <f>'2'!I42</f>
        <v>0.37961828068370757</v>
      </c>
      <c r="E42" s="9">
        <f>'2'!K42</f>
        <v>0.52910831465534658</v>
      </c>
      <c r="F42" s="9">
        <f>'3'!D42</f>
        <v>0.47808133692446614</v>
      </c>
      <c r="G42" s="9">
        <f>'8'!F39</f>
        <v>0.51596623412325804</v>
      </c>
      <c r="H42" s="9">
        <f t="shared" si="22"/>
        <v>0.56244732601114955</v>
      </c>
      <c r="I42" s="9">
        <f t="shared" si="23"/>
        <v>0.60140503511419707</v>
      </c>
      <c r="J42" s="9">
        <f>'1'!S42</f>
        <v>0.54784729185012326</v>
      </c>
      <c r="K42" s="9">
        <f>'1'!U42</f>
        <v>0.62915077446744916</v>
      </c>
      <c r="L42" s="9">
        <f>'2'!S42</f>
        <v>0.48431866550680364</v>
      </c>
      <c r="M42" s="9">
        <f>'2'!U42</f>
        <v>0.6285441479245214</v>
      </c>
      <c r="N42" s="9">
        <f>'3'!G42</f>
        <v>0.31268665690853231</v>
      </c>
      <c r="O42" s="9">
        <f>'8'!K39</f>
        <v>0.43060369246007757</v>
      </c>
      <c r="P42" s="9">
        <f t="shared" si="24"/>
        <v>0.45339337063288215</v>
      </c>
      <c r="Q42" s="9">
        <f t="shared" si="25"/>
        <v>0.50033731192158426</v>
      </c>
      <c r="R42" s="9">
        <f>'1'!AC42</f>
        <v>0.56770374652001532</v>
      </c>
      <c r="S42" s="9">
        <f>'1'!AE42</f>
        <v>0.64694215130376953</v>
      </c>
      <c r="T42" s="9">
        <f>'2'!AC42</f>
        <v>0.23897996945008093</v>
      </c>
      <c r="U42" s="9">
        <f>'2'!AE42</f>
        <v>0.35992027333288035</v>
      </c>
      <c r="V42" s="9">
        <f>'3'!J42</f>
        <v>0.71652592922084468</v>
      </c>
      <c r="W42" s="9">
        <f>'8'!P39</f>
        <v>0.43167904981643213</v>
      </c>
      <c r="X42" s="9">
        <f t="shared" si="26"/>
        <v>0.53803074031233344</v>
      </c>
      <c r="Y42" s="9">
        <f t="shared" si="27"/>
        <v>0.58182013261411514</v>
      </c>
      <c r="Z42" s="9">
        <f>'1'!AM42</f>
        <v>0.67988602680818677</v>
      </c>
      <c r="AA42" s="9">
        <f>'1'!AO42</f>
        <v>0.74187898689348075</v>
      </c>
      <c r="AB42" s="9">
        <f>'2'!AM42</f>
        <v>0.26984703651749492</v>
      </c>
      <c r="AC42" s="9">
        <f>'2'!AO42</f>
        <v>0.40165721446367503</v>
      </c>
      <c r="AD42" s="9">
        <f>'3'!M42</f>
        <v>0.44957251458312769</v>
      </c>
      <c r="AE42" s="9">
        <f>'8'!U39</f>
        <v>0.50070210592867204</v>
      </c>
      <c r="AF42" s="9">
        <f t="shared" si="28"/>
        <v>0.53650776950297407</v>
      </c>
      <c r="AG42" s="9">
        <f t="shared" si="29"/>
        <v>0.57448597133170975</v>
      </c>
      <c r="AH42" s="9">
        <f>'1'!AW42</f>
        <v>0.55061841542550904</v>
      </c>
      <c r="AI42" s="9">
        <f>'1'!AY42</f>
        <v>0.6316529113060152</v>
      </c>
      <c r="AJ42" s="9">
        <f>'2'!AW42</f>
        <v>0.31874962048666344</v>
      </c>
      <c r="AK42" s="9">
        <f>'2'!AY42</f>
        <v>0.46202631876990846</v>
      </c>
      <c r="AL42" s="9">
        <f>'3'!P42</f>
        <v>0.43961543511611179</v>
      </c>
      <c r="AM42" s="9">
        <f>'8'!Z39</f>
        <v>0.45778132091988288</v>
      </c>
      <c r="AN42" s="9">
        <f t="shared" si="30"/>
        <v>0.47647151722786862</v>
      </c>
      <c r="AO42" s="9">
        <f t="shared" si="31"/>
        <v>0.52321298540839567</v>
      </c>
      <c r="AP42" s="9">
        <f>'1'!BG42</f>
        <v>0.61255407428745345</v>
      </c>
      <c r="AQ42" s="9">
        <f>'1'!BI42</f>
        <v>0.68599276792918085</v>
      </c>
      <c r="AR42" s="9">
        <f>'2'!BG42</f>
        <v>0.34386656268445254</v>
      </c>
      <c r="AS42" s="9">
        <f>'2'!BI42</f>
        <v>0.49068322761589422</v>
      </c>
      <c r="AT42" s="9">
        <f>'3'!S42</f>
        <v>0.58104128717154824</v>
      </c>
      <c r="AU42" s="9">
        <f>'8'!AE39</f>
        <v>0.55248116841431039</v>
      </c>
      <c r="AV42" s="9">
        <f t="shared" si="32"/>
        <v>0.56278889987989134</v>
      </c>
      <c r="AW42" s="9">
        <f t="shared" si="33"/>
        <v>0.6068460438297264</v>
      </c>
      <c r="AX42" s="9">
        <f>'1'!BQ42</f>
        <v>0.75127092994033673</v>
      </c>
      <c r="AY42" s="9">
        <f>'1'!BS42</f>
        <v>0.79788496891546279</v>
      </c>
      <c r="AZ42" s="9">
        <f>'2'!BQ42</f>
        <v>0.3138672498996436</v>
      </c>
      <c r="BA42" s="9">
        <f>'2'!BS42</f>
        <v>0.45628219029951711</v>
      </c>
      <c r="BB42" s="9">
        <f>'3'!V42</f>
        <v>0.49364007922877107</v>
      </c>
      <c r="BC42" s="9">
        <f>'8'!AJ39</f>
        <v>0.48246168512621723</v>
      </c>
      <c r="BD42" s="9">
        <f t="shared" si="34"/>
        <v>0.57592053805484622</v>
      </c>
      <c r="BE42" s="9">
        <f t="shared" si="35"/>
        <v>0.60880764768488393</v>
      </c>
      <c r="BF42" s="9">
        <f>'1'!CA42</f>
        <v>0.62366146387753496</v>
      </c>
      <c r="BG42" s="9">
        <f>'1'!CC42</f>
        <v>0.69543126379156506</v>
      </c>
      <c r="BH42" s="9">
        <f>'2'!CA42</f>
        <v>0.33293516459729988</v>
      </c>
      <c r="BI42" s="9">
        <f>'2'!CC42</f>
        <v>0.47839025614465241</v>
      </c>
      <c r="BJ42" s="9">
        <f>'3'!Y42</f>
        <v>0.52659501140425125</v>
      </c>
      <c r="BK42" s="9">
        <f>'8'!AO39</f>
        <v>0.54216681123845067</v>
      </c>
      <c r="BL42" s="9">
        <f t="shared" si="36"/>
        <v>0.54994855767141948</v>
      </c>
      <c r="BM42" s="9">
        <f t="shared" si="37"/>
        <v>0.59320198679176672</v>
      </c>
      <c r="BN42" s="9">
        <f>'1'!CK42</f>
        <v>0.55339212990848174</v>
      </c>
      <c r="BO42" s="9">
        <f>'1'!CM42</f>
        <v>0.63415109313756368</v>
      </c>
      <c r="BP42" s="9">
        <f>'2'!CK42</f>
        <v>0.52583069429502505</v>
      </c>
      <c r="BQ42" s="9">
        <f>'2'!CM42</f>
        <v>0.66356579728393372</v>
      </c>
      <c r="BR42" s="9">
        <f>'3'!AB42</f>
        <v>0.39251773049857858</v>
      </c>
      <c r="BS42" s="9">
        <f>'8'!AT39</f>
        <v>0.56127288956406873</v>
      </c>
      <c r="BT42" s="9">
        <f t="shared" si="38"/>
        <v>0.51238757640855703</v>
      </c>
      <c r="BU42" s="9">
        <f t="shared" si="39"/>
        <v>0.55846467199908068</v>
      </c>
      <c r="BV42" s="9">
        <f>'1'!CU42</f>
        <v>0.73684749328894783</v>
      </c>
      <c r="BW42" s="9">
        <f>'1'!CW42</f>
        <v>0.78682052485356113</v>
      </c>
      <c r="BX42" s="9">
        <f>'2'!CU42</f>
        <v>0.64915590754528329</v>
      </c>
      <c r="BY42" s="9">
        <f>'2'!CW42</f>
        <v>0.75634198166826749</v>
      </c>
      <c r="BZ42" s="9">
        <f>'3'!AE42</f>
        <v>0.53870975031676926</v>
      </c>
      <c r="CA42" s="9">
        <f>'8'!AY39</f>
        <v>0.59647555754004333</v>
      </c>
      <c r="CB42" s="9">
        <f t="shared" si="40"/>
        <v>0.64345091503431062</v>
      </c>
      <c r="CC42" s="9">
        <f t="shared" si="41"/>
        <v>0.67415873507245438</v>
      </c>
      <c r="CD42" s="9">
        <f>'1'!DE42</f>
        <v>0.7440893030786524</v>
      </c>
      <c r="CE42" s="9">
        <f>'1'!DG42</f>
        <v>0.79239123227672281</v>
      </c>
      <c r="CF42" s="9">
        <f>'2'!DE42</f>
        <v>0.43697907497870775</v>
      </c>
      <c r="CG42" s="9">
        <f>'2'!DG42</f>
        <v>0.58574788416938817</v>
      </c>
      <c r="CH42" s="9">
        <f>'3'!AH42</f>
        <v>0.32658628401928419</v>
      </c>
      <c r="CI42" s="9">
        <f>'8'!BD39</f>
        <v>0.49377195146083552</v>
      </c>
      <c r="CJ42" s="9">
        <f t="shared" si="42"/>
        <v>0.5464231875993617</v>
      </c>
      <c r="CK42" s="9">
        <f t="shared" si="43"/>
        <v>0.58062084019765792</v>
      </c>
    </row>
    <row r="43" spans="1:89">
      <c r="A43" s="1">
        <v>2005</v>
      </c>
      <c r="B43" s="9">
        <f>'1'!I43</f>
        <v>0.71372649724491843</v>
      </c>
      <c r="C43" s="9">
        <f>'1'!K43</f>
        <v>0.7688228865667871</v>
      </c>
      <c r="D43" s="9">
        <f>'2'!I43</f>
        <v>0.40536908875496142</v>
      </c>
      <c r="E43" s="9">
        <f>'2'!K43</f>
        <v>0.55524322943660276</v>
      </c>
      <c r="F43" s="9">
        <f>'3'!D43</f>
        <v>0.48807374584042851</v>
      </c>
      <c r="G43" s="9">
        <f>'8'!F40</f>
        <v>0.51756411217884624</v>
      </c>
      <c r="H43" s="9">
        <f t="shared" si="22"/>
        <v>0.57743697227828228</v>
      </c>
      <c r="I43" s="9">
        <f t="shared" si="23"/>
        <v>0.61446294207519381</v>
      </c>
      <c r="J43" s="9">
        <f>'1'!S43</f>
        <v>0.56734103853214679</v>
      </c>
      <c r="K43" s="9">
        <f>'1'!U43</f>
        <v>0.64662000534747111</v>
      </c>
      <c r="L43" s="9">
        <f>'2'!S43</f>
        <v>0.66885863556400604</v>
      </c>
      <c r="M43" s="9">
        <f>'2'!U43</f>
        <v>0.76984245476362967</v>
      </c>
      <c r="N43" s="9">
        <f>'3'!G43</f>
        <v>0.41717623790078512</v>
      </c>
      <c r="O43" s="9">
        <f>'8'!K40</f>
        <v>0.42251369007689143</v>
      </c>
      <c r="P43" s="9">
        <f t="shared" si="24"/>
        <v>0.50374476096367848</v>
      </c>
      <c r="Q43" s="9">
        <f t="shared" si="25"/>
        <v>0.54555472960977058</v>
      </c>
      <c r="R43" s="9">
        <f>'1'!AC43</f>
        <v>0.60345604697787936</v>
      </c>
      <c r="S43" s="9">
        <f>'1'!AE43</f>
        <v>0.67819436182202142</v>
      </c>
      <c r="T43" s="9">
        <f>'2'!AC43</f>
        <v>0.24750011277354897</v>
      </c>
      <c r="U43" s="9">
        <f>'2'!AE43</f>
        <v>0.37175375611182815</v>
      </c>
      <c r="V43" s="9">
        <f>'3'!J43</f>
        <v>0.79981263567032657</v>
      </c>
      <c r="W43" s="9">
        <f>'8'!P40</f>
        <v>0.45814107602301746</v>
      </c>
      <c r="X43" s="9">
        <f t="shared" si="26"/>
        <v>0.5806208579918426</v>
      </c>
      <c r="Y43" s="9">
        <f t="shared" si="27"/>
        <v>0.62294154826332737</v>
      </c>
      <c r="Z43" s="9">
        <f>'1'!AM43</f>
        <v>0.71271455410885742</v>
      </c>
      <c r="AA43" s="9">
        <f>'1'!AO43</f>
        <v>0.76802768286917122</v>
      </c>
      <c r="AB43" s="9">
        <f>'2'!AM43</f>
        <v>0.27722613294341197</v>
      </c>
      <c r="AC43" s="9">
        <f>'2'!AO43</f>
        <v>0.41119223556217116</v>
      </c>
      <c r="AD43" s="9">
        <f>'3'!M43</f>
        <v>0.51561518787071703</v>
      </c>
      <c r="AE43" s="9">
        <f>'8'!U40</f>
        <v>0.49780100951551504</v>
      </c>
      <c r="AF43" s="9">
        <f t="shared" si="28"/>
        <v>0.56616248428444216</v>
      </c>
      <c r="AG43" s="9">
        <f t="shared" si="29"/>
        <v>0.60168434605044363</v>
      </c>
      <c r="AH43" s="9">
        <f>'1'!AW43</f>
        <v>0.57481853634458058</v>
      </c>
      <c r="AI43" s="9">
        <f>'1'!AY43</f>
        <v>0.65324025762074345</v>
      </c>
      <c r="AJ43" s="9">
        <f>'2'!AW43</f>
        <v>0.32378230106263473</v>
      </c>
      <c r="AK43" s="9">
        <f>'2'!AY43</f>
        <v>0.46788650069075677</v>
      </c>
      <c r="AL43" s="9">
        <f>'3'!P43</f>
        <v>0.42016097926032597</v>
      </c>
      <c r="AM43" s="9">
        <f>'8'!Z40</f>
        <v>0.42027655538547404</v>
      </c>
      <c r="AN43" s="9">
        <f t="shared" si="30"/>
        <v>0.47241502830554571</v>
      </c>
      <c r="AO43" s="9">
        <f t="shared" si="31"/>
        <v>0.51819413677882309</v>
      </c>
      <c r="AP43" s="9">
        <f>'1'!BG43</f>
        <v>0.63530967005613881</v>
      </c>
      <c r="AQ43" s="9">
        <f>'1'!BI43</f>
        <v>0.70523393292264258</v>
      </c>
      <c r="AR43" s="9">
        <f>'2'!BG43</f>
        <v>0.35302359087848501</v>
      </c>
      <c r="AS43" s="9">
        <f>'2'!BI43</f>
        <v>0.50077790402465272</v>
      </c>
      <c r="AT43" s="9">
        <f>'3'!S43</f>
        <v>0.51263688744710445</v>
      </c>
      <c r="AU43" s="9">
        <f>'8'!AE40</f>
        <v>0.52681679918809898</v>
      </c>
      <c r="AV43" s="9">
        <f t="shared" si="32"/>
        <v>0.54928964876910491</v>
      </c>
      <c r="AW43" s="9">
        <f t="shared" si="33"/>
        <v>0.59203478523032316</v>
      </c>
      <c r="AX43" s="9">
        <f>'1'!BQ43</f>
        <v>0.7671852223443808</v>
      </c>
      <c r="AY43" s="9">
        <f>'1'!BS43</f>
        <v>0.80995177057621737</v>
      </c>
      <c r="AZ43" s="9">
        <f>'2'!BQ43</f>
        <v>0.3241234001951937</v>
      </c>
      <c r="BA43" s="9">
        <f>'2'!BS43</f>
        <v>0.46828148382615659</v>
      </c>
      <c r="BB43" s="9">
        <f>'3'!V43</f>
        <v>0.52630836895137612</v>
      </c>
      <c r="BC43" s="9">
        <f>'8'!AJ40</f>
        <v>0.47790822092754648</v>
      </c>
      <c r="BD43" s="9">
        <f t="shared" si="34"/>
        <v>0.59034057642700244</v>
      </c>
      <c r="BE43" s="9">
        <f t="shared" si="35"/>
        <v>0.62186300408283324</v>
      </c>
      <c r="BF43" s="9">
        <f>'1'!CA43</f>
        <v>0.64673864136269321</v>
      </c>
      <c r="BG43" s="9">
        <f>'1'!CC43</f>
        <v>0.71475900459265795</v>
      </c>
      <c r="BH43" s="9">
        <f>'2'!CA43</f>
        <v>0.34387012601600742</v>
      </c>
      <c r="BI43" s="9">
        <f>'2'!CC43</f>
        <v>0.49068719128105531</v>
      </c>
      <c r="BJ43" s="9">
        <f>'3'!Y43</f>
        <v>0.48161275480134491</v>
      </c>
      <c r="BK43" s="9">
        <f>'8'!AO40</f>
        <v>0.52631429879034175</v>
      </c>
      <c r="BL43" s="9">
        <f t="shared" si="36"/>
        <v>0.54506423254459979</v>
      </c>
      <c r="BM43" s="9">
        <f t="shared" si="37"/>
        <v>0.58695408436309038</v>
      </c>
      <c r="BN43" s="9">
        <f>'1'!CK43</f>
        <v>0.58230504715343268</v>
      </c>
      <c r="BO43" s="9">
        <f>'1'!CM43</f>
        <v>0.65982458940258237</v>
      </c>
      <c r="BP43" s="9">
        <f>'2'!CK43</f>
        <v>0.57852148042930429</v>
      </c>
      <c r="BQ43" s="9">
        <f>'2'!CM43</f>
        <v>0.70509050201438339</v>
      </c>
      <c r="BR43" s="9">
        <f>'3'!AB43</f>
        <v>0.24171567320173007</v>
      </c>
      <c r="BS43" s="9">
        <f>'8'!AT40</f>
        <v>0.54506159028490564</v>
      </c>
      <c r="BT43" s="9">
        <f t="shared" si="38"/>
        <v>0.48746848277596244</v>
      </c>
      <c r="BU43" s="9">
        <f t="shared" si="39"/>
        <v>0.53113320183413015</v>
      </c>
      <c r="BV43" s="9">
        <f>'1'!CU43</f>
        <v>0.77732575418068017</v>
      </c>
      <c r="BW43" s="9">
        <f>'1'!CW43</f>
        <v>0.81756494731194584</v>
      </c>
      <c r="BX43" s="9">
        <f>'2'!CU43</f>
        <v>0.70766384053771147</v>
      </c>
      <c r="BY43" s="9">
        <f>'2'!CW43</f>
        <v>0.79552007001436353</v>
      </c>
      <c r="BZ43" s="9">
        <f>'3'!AE43</f>
        <v>0.64714629773438359</v>
      </c>
      <c r="CA43" s="9">
        <f>'8'!AY40</f>
        <v>0.63693588629069842</v>
      </c>
      <c r="CB43" s="9">
        <f t="shared" si="40"/>
        <v>0.70271723173231371</v>
      </c>
      <c r="CC43" s="9">
        <f t="shared" si="41"/>
        <v>0.72759853193248525</v>
      </c>
      <c r="CD43" s="9">
        <f>'1'!DE43</f>
        <v>0.77521463590000705</v>
      </c>
      <c r="CE43" s="9">
        <f>'1'!DG43</f>
        <v>0.81598479052293449</v>
      </c>
      <c r="CF43" s="9">
        <f>'2'!DE43</f>
        <v>0.4581115591036915</v>
      </c>
      <c r="CG43" s="9">
        <f>'2'!DG43</f>
        <v>0.60525571454050686</v>
      </c>
      <c r="CH43" s="9">
        <f>'3'!AH43</f>
        <v>0.36152238234555356</v>
      </c>
      <c r="CI43" s="9">
        <f>'8'!BD40</f>
        <v>0.54289205102477045</v>
      </c>
      <c r="CJ43" s="9">
        <f t="shared" si="42"/>
        <v>0.58200061861295305</v>
      </c>
      <c r="CK43" s="9">
        <f t="shared" si="43"/>
        <v>0.61302309600580551</v>
      </c>
    </row>
    <row r="44" spans="1:89">
      <c r="A44" s="1">
        <v>2006</v>
      </c>
      <c r="B44" s="9">
        <f>'1'!I44</f>
        <v>0.74822394374285328</v>
      </c>
      <c r="C44" s="9">
        <f>'1'!K44</f>
        <v>0.79555782174810696</v>
      </c>
      <c r="D44" s="9">
        <f>'2'!I44</f>
        <v>0.42590721115943969</v>
      </c>
      <c r="E44" s="9">
        <f>'2'!K44</f>
        <v>0.57525046146595071</v>
      </c>
      <c r="F44" s="9">
        <f>'3'!D44</f>
        <v>0.52715282225268989</v>
      </c>
      <c r="G44" s="9">
        <f>'8'!F41</f>
        <v>0.52194964780300157</v>
      </c>
      <c r="H44" s="9">
        <f t="shared" si="22"/>
        <v>0.60415591612700814</v>
      </c>
      <c r="I44" s="9">
        <f t="shared" si="23"/>
        <v>0.63802379235976081</v>
      </c>
      <c r="J44" s="9">
        <f>'1'!S44</f>
        <v>0.60711570287657335</v>
      </c>
      <c r="K44" s="9">
        <f>'1'!U44</f>
        <v>0.68133861141298679</v>
      </c>
      <c r="L44" s="9">
        <f>'2'!S44</f>
        <v>0.66147399510555338</v>
      </c>
      <c r="M44" s="9">
        <f>'2'!U44</f>
        <v>0.76482034015051148</v>
      </c>
      <c r="N44" s="9">
        <f>'3'!G44</f>
        <v>0.4691003005776756</v>
      </c>
      <c r="O44" s="9">
        <f>'8'!K41</f>
        <v>0.503064502170112</v>
      </c>
      <c r="P44" s="9">
        <f t="shared" si="24"/>
        <v>0.55203488134813161</v>
      </c>
      <c r="Q44" s="9">
        <f t="shared" si="25"/>
        <v>0.5920586792671928</v>
      </c>
      <c r="R44" s="9">
        <f>'1'!AC44</f>
        <v>0.64175689758933185</v>
      </c>
      <c r="S44" s="9">
        <f>'1'!AE44</f>
        <v>0.71061836891863062</v>
      </c>
      <c r="T44" s="9">
        <f>'2'!AC44</f>
        <v>0.26151208445577279</v>
      </c>
      <c r="U44" s="9">
        <f>'2'!AE44</f>
        <v>0.3906889405339487</v>
      </c>
      <c r="V44" s="9">
        <f>'3'!J44</f>
        <v>0.7375042739021751</v>
      </c>
      <c r="W44" s="9">
        <f>'8'!P41</f>
        <v>0.41895251853988613</v>
      </c>
      <c r="X44" s="9">
        <f t="shared" si="26"/>
        <v>0.57196816559182539</v>
      </c>
      <c r="Y44" s="9">
        <f t="shared" si="27"/>
        <v>0.61243043973136235</v>
      </c>
      <c r="Z44" s="9">
        <f>'1'!AM44</f>
        <v>0.7397523396094019</v>
      </c>
      <c r="AA44" s="9">
        <f>'1'!AO44</f>
        <v>0.78905880895977643</v>
      </c>
      <c r="AB44" s="9">
        <f>'2'!AM44</f>
        <v>0.29129625222689898</v>
      </c>
      <c r="AC44" s="9">
        <f>'2'!AO44</f>
        <v>0.42893690816449853</v>
      </c>
      <c r="AD44" s="9">
        <f>'3'!M44</f>
        <v>0.5268125760675364</v>
      </c>
      <c r="AE44" s="9">
        <f>'8'!U41</f>
        <v>0.47442374385681746</v>
      </c>
      <c r="AF44" s="9">
        <f t="shared" si="28"/>
        <v>0.5753396410475391</v>
      </c>
      <c r="AG44" s="9">
        <f t="shared" si="29"/>
        <v>0.60882629438144886</v>
      </c>
      <c r="AH44" s="9">
        <f>'1'!AW44</f>
        <v>0.61433476782738228</v>
      </c>
      <c r="AI44" s="9">
        <f>'1'!AY44</f>
        <v>0.68751195902798623</v>
      </c>
      <c r="AJ44" s="9">
        <f>'2'!AW44</f>
        <v>0.34199372268447509</v>
      </c>
      <c r="AK44" s="9">
        <f>'2'!AY44</f>
        <v>0.48859610130154052</v>
      </c>
      <c r="AL44" s="9">
        <f>'3'!P44</f>
        <v>0.43131973016319719</v>
      </c>
      <c r="AM44" s="9">
        <f>'8'!Z41</f>
        <v>0.42970624808759206</v>
      </c>
      <c r="AN44" s="9">
        <f t="shared" si="30"/>
        <v>0.49518977396209773</v>
      </c>
      <c r="AO44" s="9">
        <f t="shared" si="31"/>
        <v>0.53912088830404592</v>
      </c>
      <c r="AP44" s="9">
        <f>'1'!BG44</f>
        <v>0.66398235260167537</v>
      </c>
      <c r="AQ44" s="9">
        <f>'1'!BI44</f>
        <v>0.72895952749429382</v>
      </c>
      <c r="AR44" s="162">
        <f>'2'!BG44</f>
        <v>0.36578628677586084</v>
      </c>
      <c r="AS44" s="9">
        <f>'2'!BI44</f>
        <v>0.51455181197407462</v>
      </c>
      <c r="AT44" s="9">
        <f>'3'!S44</f>
        <v>0.57410892197845653</v>
      </c>
      <c r="AU44" s="9">
        <f>'8'!AE41</f>
        <v>0.5344464201294542</v>
      </c>
      <c r="AV44" s="9">
        <f t="shared" si="32"/>
        <v>0.57931040524523392</v>
      </c>
      <c r="AW44" s="9">
        <f t="shared" si="33"/>
        <v>0.62017782772210273</v>
      </c>
      <c r="AX44" s="9">
        <f>'1'!BQ44</f>
        <v>0.80030932253686493</v>
      </c>
      <c r="AY44" s="9">
        <f>'1'!BS44</f>
        <v>0.83460730376539338</v>
      </c>
      <c r="AZ44" s="9">
        <f>'2'!BQ44</f>
        <v>0.340401199053396</v>
      </c>
      <c r="BA44" s="9">
        <f>'2'!BS44</f>
        <v>0.48681524930613257</v>
      </c>
      <c r="BB44" s="9">
        <f>'3'!V44</f>
        <v>0.55441660086093891</v>
      </c>
      <c r="BC44" s="9">
        <f>'8'!AJ41</f>
        <v>0.47943308971779913</v>
      </c>
      <c r="BD44" s="9">
        <f t="shared" si="34"/>
        <v>0.61262627156477012</v>
      </c>
      <c r="BE44" s="9">
        <f t="shared" si="35"/>
        <v>0.64098686908145519</v>
      </c>
      <c r="BF44" s="9">
        <f>'1'!CA44</f>
        <v>0.67944169860101478</v>
      </c>
      <c r="BG44" s="9">
        <f>'1'!CC44</f>
        <v>0.74152030577034622</v>
      </c>
      <c r="BH44" s="9">
        <f>'2'!CA44</f>
        <v>0.36160520935213802</v>
      </c>
      <c r="BI44" s="9">
        <f>'2'!CC44</f>
        <v>0.51007651824868594</v>
      </c>
      <c r="BJ44" s="9">
        <f>'3'!Y44</f>
        <v>0.50298529058663566</v>
      </c>
      <c r="BK44" s="9">
        <f>'8'!AO41</f>
        <v>0.54980411080613856</v>
      </c>
      <c r="BL44" s="9">
        <f t="shared" si="36"/>
        <v>0.57113455072381325</v>
      </c>
      <c r="BM44" s="9">
        <f t="shared" si="37"/>
        <v>0.61081312448120062</v>
      </c>
      <c r="BN44" s="9">
        <f>'1'!CK44</f>
        <v>0.61691535423387922</v>
      </c>
      <c r="BO44" s="9">
        <f>'1'!CM44</f>
        <v>0.68970946093279106</v>
      </c>
      <c r="BP44" s="9">
        <f>'2'!CK44</f>
        <v>0.6055595697044075</v>
      </c>
      <c r="BQ44" s="9">
        <f>'2'!CM44</f>
        <v>0.72526464608287067</v>
      </c>
      <c r="BR44" s="9">
        <f>'3'!AB44</f>
        <v>0.28804552089360047</v>
      </c>
      <c r="BS44" s="9">
        <f>'8'!AT41</f>
        <v>0.53957873098526143</v>
      </c>
      <c r="BT44" s="9">
        <f t="shared" si="38"/>
        <v>0.51422816163370788</v>
      </c>
      <c r="BU44" s="9">
        <f t="shared" si="39"/>
        <v>0.55531631195111897</v>
      </c>
      <c r="BV44" s="9">
        <f>'1'!CU44</f>
        <v>0.82155636121690789</v>
      </c>
      <c r="BW44" s="9">
        <f>'1'!CW44</f>
        <v>0.8501061472123983</v>
      </c>
      <c r="BX44" s="9">
        <f>'2'!CU44</f>
        <v>0.76764795213749204</v>
      </c>
      <c r="BY44" s="9">
        <f>'2'!CW44</f>
        <v>0.83303909176405355</v>
      </c>
      <c r="BZ44" s="9">
        <f>'3'!AE44</f>
        <v>0.71123737991806979</v>
      </c>
      <c r="CA44" s="9">
        <f>'8'!AY41</f>
        <v>0.65962016254038347</v>
      </c>
      <c r="CB44" s="9">
        <f t="shared" si="40"/>
        <v>0.74810172531512564</v>
      </c>
      <c r="CC44" s="9">
        <f t="shared" si="41"/>
        <v>0.76606075367597803</v>
      </c>
      <c r="CD44" s="9">
        <f>'1'!DE44</f>
        <v>0.81287046766392557</v>
      </c>
      <c r="CE44" s="9">
        <f>'1'!DG44</f>
        <v>0.84379933290354203</v>
      </c>
      <c r="CF44" s="9">
        <f>'2'!DE44</f>
        <v>0.46242942920911284</v>
      </c>
      <c r="CG44" s="9">
        <f>'2'!DG44</f>
        <v>0.60915969145804394</v>
      </c>
      <c r="CH44" s="9">
        <f>'3'!AH44</f>
        <v>0.38694136955494662</v>
      </c>
      <c r="CI44" s="9">
        <f>'8'!BD41</f>
        <v>0.5260128679861612</v>
      </c>
      <c r="CJ44" s="9">
        <f t="shared" si="42"/>
        <v>0.59962968937175853</v>
      </c>
      <c r="CK44" s="9">
        <f t="shared" si="43"/>
        <v>0.62667426169249818</v>
      </c>
    </row>
    <row r="45" spans="1:89">
      <c r="A45" s="1">
        <v>2007</v>
      </c>
      <c r="B45" s="9">
        <f>'1'!I45</f>
        <v>0.78274165438300747</v>
      </c>
      <c r="C45" s="9">
        <f>'1'!K45</f>
        <v>0.82160725311650906</v>
      </c>
      <c r="D45" s="9">
        <f>'2'!I45</f>
        <v>0.42768292531287988</v>
      </c>
      <c r="E45" s="9">
        <f>'2'!K45</f>
        <v>0.57694729775435283</v>
      </c>
      <c r="F45" s="9">
        <f>'3'!D45</f>
        <v>0.53518203140115705</v>
      </c>
      <c r="G45" s="9">
        <f>'8'!F42</f>
        <v>0.52971044644617782</v>
      </c>
      <c r="H45" s="9">
        <f t="shared" si="22"/>
        <v>0.62208807374632469</v>
      </c>
      <c r="I45" s="9">
        <f t="shared" si="23"/>
        <v>0.65256075048387274</v>
      </c>
      <c r="J45" s="9">
        <f>'1'!S45</f>
        <v>0.6559587064521144</v>
      </c>
      <c r="K45" s="9">
        <f>'1'!U45</f>
        <v>0.72237714310924961</v>
      </c>
      <c r="L45" s="9">
        <f>'2'!S45</f>
        <v>0.71947291479627407</v>
      </c>
      <c r="M45" s="9">
        <f>'2'!U45</f>
        <v>0.80310703695324015</v>
      </c>
      <c r="N45" s="9">
        <f>'3'!G45</f>
        <v>0.5225744277441462</v>
      </c>
      <c r="O45" s="9">
        <f>'8'!K42</f>
        <v>0.47422061376665747</v>
      </c>
      <c r="P45" s="9">
        <f t="shared" si="24"/>
        <v>0.58352953443817412</v>
      </c>
      <c r="Q45" s="9">
        <f t="shared" si="25"/>
        <v>0.61846032131672479</v>
      </c>
      <c r="R45" s="9">
        <f>'1'!AC45</f>
        <v>0.66853084073780777</v>
      </c>
      <c r="S45" s="9">
        <f>'1'!AE45</f>
        <v>0.73267170806466719</v>
      </c>
      <c r="T45" s="9">
        <f>'2'!AC45</f>
        <v>0.265891661587077</v>
      </c>
      <c r="U45" s="9">
        <f>'2'!AE45</f>
        <v>0.39647885589714488</v>
      </c>
      <c r="V45" s="9">
        <f>'3'!J45</f>
        <v>0.80264168779177147</v>
      </c>
      <c r="W45" s="9">
        <f>'8'!P42</f>
        <v>0.45602704685559181</v>
      </c>
      <c r="X45" s="9">
        <f t="shared" si="26"/>
        <v>0.6086686861156716</v>
      </c>
      <c r="Y45" s="9">
        <f t="shared" si="27"/>
        <v>0.64738375247742219</v>
      </c>
      <c r="Z45" s="9">
        <f>'1'!AM45</f>
        <v>0.77687106671694695</v>
      </c>
      <c r="AA45" s="9">
        <f>'1'!AO45</f>
        <v>0.81722482931297291</v>
      </c>
      <c r="AB45" s="9">
        <f>'2'!AM45</f>
        <v>0.29846217273990971</v>
      </c>
      <c r="AC45" s="9">
        <f>'2'!AO45</f>
        <v>0.43776351756161452</v>
      </c>
      <c r="AD45" s="9">
        <f>'3'!M45</f>
        <v>0.48664826436349179</v>
      </c>
      <c r="AE45" s="9">
        <f>'8'!U42</f>
        <v>0.46240489681755076</v>
      </c>
      <c r="AF45" s="9">
        <f t="shared" si="28"/>
        <v>0.57785793425603038</v>
      </c>
      <c r="AG45" s="9">
        <f t="shared" si="29"/>
        <v>0.60792957377661128</v>
      </c>
      <c r="AH45" s="9">
        <f>'1'!AW45</f>
        <v>0.66373896871061133</v>
      </c>
      <c r="AI45" s="9">
        <f>'1'!AY45</f>
        <v>0.72876050189298491</v>
      </c>
      <c r="AJ45" s="9">
        <f>'2'!AW45</f>
        <v>0.35078395762648368</v>
      </c>
      <c r="AK45" s="9">
        <f>'2'!AY45</f>
        <v>0.49832563144138281</v>
      </c>
      <c r="AL45" s="9">
        <f>'3'!P45</f>
        <v>0.42375287452978916</v>
      </c>
      <c r="AM45" s="9">
        <f>'8'!Z42</f>
        <v>0.46219815595868874</v>
      </c>
      <c r="AN45" s="9">
        <f t="shared" si="30"/>
        <v>0.52206174086901247</v>
      </c>
      <c r="AO45" s="9">
        <f t="shared" si="31"/>
        <v>0.56282452152345175</v>
      </c>
      <c r="AP45" s="9">
        <f>'1'!BG45</f>
        <v>0.6945657394459801</v>
      </c>
      <c r="AQ45" s="9">
        <f>'1'!BI45</f>
        <v>0.75365686555642375</v>
      </c>
      <c r="AR45" s="162">
        <f>'2'!BG45</f>
        <v>0.37177909528293296</v>
      </c>
      <c r="AS45" s="9">
        <f>'2'!BI45</f>
        <v>0.5209048384379017</v>
      </c>
      <c r="AT45" s="9">
        <f>'3'!S45</f>
        <v>0.54629721444866153</v>
      </c>
      <c r="AU45" s="9">
        <f>'8'!AE42</f>
        <v>0.54179939300696378</v>
      </c>
      <c r="AV45" s="9">
        <f t="shared" si="32"/>
        <v>0.58702835717059165</v>
      </c>
      <c r="AW45" s="9">
        <f t="shared" si="33"/>
        <v>0.62557738193026602</v>
      </c>
      <c r="AX45" s="9">
        <f>'1'!BQ45</f>
        <v>0.83102631976755947</v>
      </c>
      <c r="AY45" s="9">
        <f>'1'!BS45</f>
        <v>0.85693695596324293</v>
      </c>
      <c r="AZ45" s="9">
        <f>'2'!BQ45</f>
        <v>0.34695529269353176</v>
      </c>
      <c r="BA45" s="9">
        <f>'2'!BS45</f>
        <v>0.49410852811911538</v>
      </c>
      <c r="BB45" s="9">
        <f>'3'!V45</f>
        <v>0.5745115262429128</v>
      </c>
      <c r="BC45" s="9">
        <f>'8'!AJ42</f>
        <v>0.48379150242867963</v>
      </c>
      <c r="BD45" s="9">
        <f t="shared" si="34"/>
        <v>0.63168181434427506</v>
      </c>
      <c r="BE45" s="9">
        <f t="shared" si="35"/>
        <v>0.65676139236510689</v>
      </c>
      <c r="BF45" s="9">
        <f>'1'!CA45</f>
        <v>0.71962194070955743</v>
      </c>
      <c r="BG45" s="9">
        <f>'1'!CC45</f>
        <v>0.77344302300398171</v>
      </c>
      <c r="BH45" s="9">
        <f>'2'!CA45</f>
        <v>0.36849160125548541</v>
      </c>
      <c r="BI45" s="9">
        <f>'2'!CC45</f>
        <v>0.51742862987364047</v>
      </c>
      <c r="BJ45" s="9">
        <f>'3'!Y45</f>
        <v>0.50809557824988527</v>
      </c>
      <c r="BK45" s="9">
        <f>'8'!AO42</f>
        <v>0.54530907348558999</v>
      </c>
      <c r="BL45" s="9">
        <f t="shared" si="36"/>
        <v>0.58804909934324034</v>
      </c>
      <c r="BM45" s="9">
        <f t="shared" si="37"/>
        <v>0.62447123512282565</v>
      </c>
      <c r="BN45" s="9">
        <f>'1'!CK45</f>
        <v>0.65693432593297085</v>
      </c>
      <c r="BO45" s="9">
        <f>'1'!CM45</f>
        <v>0.72317984803620705</v>
      </c>
      <c r="BP45" s="9">
        <f>'2'!CK45</f>
        <v>0.61600344737637414</v>
      </c>
      <c r="BQ45" s="9">
        <f>'2'!CM45</f>
        <v>0.73286744324366149</v>
      </c>
      <c r="BR45" s="9">
        <f>'3'!AB45</f>
        <v>0.43136279456039345</v>
      </c>
      <c r="BS45" s="9">
        <f>'8'!AT42</f>
        <v>0.5813283221004123</v>
      </c>
      <c r="BT45" s="9">
        <f t="shared" si="38"/>
        <v>0.57754685427602726</v>
      </c>
      <c r="BU45" s="9">
        <f t="shared" si="39"/>
        <v>0.61573146270405044</v>
      </c>
      <c r="BV45" s="9">
        <f>'1'!CU45</f>
        <v>0.86475982217625125</v>
      </c>
      <c r="BW45" s="9">
        <f>'1'!CW45</f>
        <v>0.88089473974849031</v>
      </c>
      <c r="BX45" s="9">
        <f>'2'!CU45</f>
        <v>0.72240354424069397</v>
      </c>
      <c r="BY45" s="9">
        <f>'2'!CW45</f>
        <v>0.80497412662572365</v>
      </c>
      <c r="BZ45" s="9">
        <f>'3'!AE45</f>
        <v>0.69283348731330996</v>
      </c>
      <c r="CA45" s="9">
        <f>'8'!AY42</f>
        <v>0.64713182237130851</v>
      </c>
      <c r="CB45" s="9">
        <f t="shared" si="40"/>
        <v>0.75313561071572455</v>
      </c>
      <c r="CC45" s="9">
        <f t="shared" si="41"/>
        <v>0.76784663598312308</v>
      </c>
      <c r="CD45" s="9">
        <f>'1'!DE45</f>
        <v>0.84963062949886803</v>
      </c>
      <c r="CE45" s="9">
        <f>'1'!DG45</f>
        <v>0.87022126154105894</v>
      </c>
      <c r="CF45" s="9">
        <f>'2'!DE45</f>
        <v>0.46386250113812744</v>
      </c>
      <c r="CG45" s="9">
        <f>'2'!DG45</f>
        <v>0.61044942685065262</v>
      </c>
      <c r="CH45" s="9">
        <f>'3'!AH45</f>
        <v>0.44873461455964792</v>
      </c>
      <c r="CI45" s="9">
        <f>'8'!BD42</f>
        <v>0.5516852389215201</v>
      </c>
      <c r="CJ45" s="9">
        <f t="shared" si="42"/>
        <v>0.63634346528365193</v>
      </c>
      <c r="CK45" s="9">
        <f t="shared" si="43"/>
        <v>0.65923841067178079</v>
      </c>
    </row>
    <row r="46" spans="1:89">
      <c r="A46" s="1">
        <v>2008</v>
      </c>
      <c r="B46" s="9">
        <f>'1'!I46</f>
        <v>0.80583389411014994</v>
      </c>
      <c r="C46" s="9">
        <f>'1'!K46</f>
        <v>0.83866057010893658</v>
      </c>
      <c r="D46" s="9">
        <f>'2'!I46</f>
        <v>0.47911064987499741</v>
      </c>
      <c r="E46" s="9">
        <f>'2'!K46</f>
        <v>0.62399230517300985</v>
      </c>
      <c r="F46" s="9">
        <f>'3'!D46</f>
        <v>0.49344838232948285</v>
      </c>
      <c r="G46" s="9">
        <f>'8'!F43</f>
        <v>0.52098448905782768</v>
      </c>
      <c r="H46" s="9">
        <f t="shared" si="22"/>
        <v>0.6238528404783874</v>
      </c>
      <c r="I46" s="9">
        <f t="shared" si="23"/>
        <v>0.65147167640770332</v>
      </c>
      <c r="J46" s="9">
        <f>'1'!S46</f>
        <v>0.71512018986386705</v>
      </c>
      <c r="K46" s="9">
        <f>'1'!U46</f>
        <v>0.76991703522837418</v>
      </c>
      <c r="L46" s="9">
        <f>'2'!S46</f>
        <v>0.78818108483662708</v>
      </c>
      <c r="M46" s="9">
        <f>'2'!U46</f>
        <v>0.84532781098708754</v>
      </c>
      <c r="N46" s="9">
        <f>'3'!G46</f>
        <v>0.4347167122262191</v>
      </c>
      <c r="O46" s="9">
        <f>'8'!K43</f>
        <v>0.47363544773355193</v>
      </c>
      <c r="P46" s="9">
        <f t="shared" si="24"/>
        <v>0.59195422441915224</v>
      </c>
      <c r="Q46" s="9">
        <f t="shared" si="25"/>
        <v>0.61958763518000115</v>
      </c>
      <c r="R46" s="9">
        <f>'1'!AC46</f>
        <v>0.68491238251049869</v>
      </c>
      <c r="S46" s="9">
        <f>'1'!AE46</f>
        <v>0.74592748854801316</v>
      </c>
      <c r="T46" s="9">
        <f>'2'!AC46</f>
        <v>0.27622545623768457</v>
      </c>
      <c r="U46" s="9">
        <f>'2'!AE46</f>
        <v>0.40990863272765399</v>
      </c>
      <c r="V46" s="9">
        <f>'3'!J46</f>
        <v>0.68180358425468834</v>
      </c>
      <c r="W46" s="9">
        <f>'8'!P43</f>
        <v>0.4239921492289318</v>
      </c>
      <c r="X46" s="9">
        <f t="shared" si="26"/>
        <v>0.578036431998873</v>
      </c>
      <c r="Y46" s="9">
        <f t="shared" si="27"/>
        <v>0.6158107920628757</v>
      </c>
      <c r="Z46" s="9">
        <f>'1'!AM46</f>
        <v>0.80989374454177732</v>
      </c>
      <c r="AA46" s="9">
        <f>'1'!AO46</f>
        <v>0.84162869459795764</v>
      </c>
      <c r="AB46" s="9">
        <f>'2'!AM46</f>
        <v>0.30962992660515748</v>
      </c>
      <c r="AC46" s="9">
        <f>'2'!AO46</f>
        <v>0.45124894991336972</v>
      </c>
      <c r="AD46" s="9">
        <f>'3'!M46</f>
        <v>0.42745334617073449</v>
      </c>
      <c r="AE46" s="9">
        <f>'8'!U43</f>
        <v>0.43828585190456404</v>
      </c>
      <c r="AF46" s="9">
        <f t="shared" si="28"/>
        <v>0.57135528999605145</v>
      </c>
      <c r="AG46" s="9">
        <f t="shared" si="29"/>
        <v>0.59821117234934462</v>
      </c>
      <c r="AH46" s="9">
        <f>'1'!AW46</f>
        <v>0.68107601312331356</v>
      </c>
      <c r="AI46" s="9">
        <f>'1'!AY46</f>
        <v>0.74283895849037906</v>
      </c>
      <c r="AJ46" s="9">
        <f>'2'!AW46</f>
        <v>0.37018756012340487</v>
      </c>
      <c r="AK46" s="9">
        <f>'2'!AY46</f>
        <v>0.51922462673817538</v>
      </c>
      <c r="AL46" s="9">
        <f>'3'!P46</f>
        <v>0.46664458557383881</v>
      </c>
      <c r="AM46" s="9">
        <f>'8'!Z43</f>
        <v>0.44300580529577527</v>
      </c>
      <c r="AN46" s="9">
        <f t="shared" si="30"/>
        <v>0.5368617589790694</v>
      </c>
      <c r="AO46" s="9">
        <f t="shared" si="31"/>
        <v>0.57647064378737278</v>
      </c>
      <c r="AP46" s="9">
        <f>'1'!BG46</f>
        <v>0.72529580636546875</v>
      </c>
      <c r="AQ46" s="9">
        <f>'1'!BI46</f>
        <v>0.77786931651514157</v>
      </c>
      <c r="AR46" s="162">
        <f>'2'!BG46</f>
        <v>0.38465959997018262</v>
      </c>
      <c r="AS46" s="9">
        <f>'2'!BI46</f>
        <v>0.53432136612352776</v>
      </c>
      <c r="AT46" s="9">
        <f>'3'!S46</f>
        <v>0.48578140509320167</v>
      </c>
      <c r="AU46" s="9">
        <f>'8'!AE43</f>
        <v>0.5309923609365208</v>
      </c>
      <c r="AV46" s="9">
        <f t="shared" si="32"/>
        <v>0.58277772405063644</v>
      </c>
      <c r="AW46" s="9">
        <f t="shared" si="33"/>
        <v>0.61877330472584013</v>
      </c>
      <c r="AX46" s="9">
        <f>'1'!BQ46</f>
        <v>0.84862489336049207</v>
      </c>
      <c r="AY46" s="9">
        <f>'1'!BS46</f>
        <v>0.86950764465278574</v>
      </c>
      <c r="AZ46" s="9">
        <f>'2'!BQ46</f>
        <v>0.36273031146914259</v>
      </c>
      <c r="BA46" s="9">
        <f>'2'!BS46</f>
        <v>0.51128429942255593</v>
      </c>
      <c r="BB46" s="9">
        <f>'3'!V46</f>
        <v>0.51894797277583138</v>
      </c>
      <c r="BC46" s="9">
        <f>'8'!AJ43</f>
        <v>0.46402463332582</v>
      </c>
      <c r="BD46" s="9">
        <f t="shared" si="34"/>
        <v>0.621466140016524</v>
      </c>
      <c r="BE46" s="9">
        <f t="shared" si="35"/>
        <v>0.64467463932878277</v>
      </c>
      <c r="BF46" s="9">
        <f>'1'!CA46</f>
        <v>0.74282601191343089</v>
      </c>
      <c r="BG46" s="9">
        <f>'1'!CC46</f>
        <v>0.79142170147628566</v>
      </c>
      <c r="BH46" s="9">
        <f>'2'!CA46</f>
        <v>0.38952076550397019</v>
      </c>
      <c r="BI46" s="9">
        <f>'2'!CC46</f>
        <v>0.53930276419625633</v>
      </c>
      <c r="BJ46" s="9">
        <f>'3'!Y46</f>
        <v>0.57295653119191481</v>
      </c>
      <c r="BK46" s="9">
        <f>'8'!AO43</f>
        <v>0.55656450916064115</v>
      </c>
      <c r="BL46" s="9">
        <f t="shared" si="36"/>
        <v>0.61846274140390833</v>
      </c>
      <c r="BM46" s="9">
        <f t="shared" si="37"/>
        <v>0.6528792170982789</v>
      </c>
      <c r="BN46" s="9">
        <f>'1'!CK46</f>
        <v>0.69936242887256606</v>
      </c>
      <c r="BO46" s="9">
        <f>'1'!CM46</f>
        <v>0.75747529401680791</v>
      </c>
      <c r="BP46" s="9">
        <f>'2'!CK46</f>
        <v>0.6745406667701751</v>
      </c>
      <c r="BQ46" s="9">
        <f>'2'!CM46</f>
        <v>0.77367635915858646</v>
      </c>
      <c r="BR46" s="9">
        <f>'3'!AB46</f>
        <v>0.51635645721202372</v>
      </c>
      <c r="BS46" s="9">
        <f>'8'!AT43</f>
        <v>0.63483534072125725</v>
      </c>
      <c r="BT46" s="9">
        <f t="shared" si="38"/>
        <v>0.63499698770936419</v>
      </c>
      <c r="BU46" s="9">
        <f t="shared" si="39"/>
        <v>0.6681557030059021</v>
      </c>
      <c r="BV46" s="9">
        <f>'1'!CU46</f>
        <v>0.88906274999430579</v>
      </c>
      <c r="BW46" s="9">
        <f>'1'!CW46</f>
        <v>0.89780371232101941</v>
      </c>
      <c r="BX46" s="9">
        <f>'2'!CU46</f>
        <v>0.91666666666666663</v>
      </c>
      <c r="BY46" s="9">
        <f>'2'!CW46</f>
        <v>0.91666666666666674</v>
      </c>
      <c r="BZ46" s="9">
        <f>'3'!AE46</f>
        <v>0.73403482298833467</v>
      </c>
      <c r="CA46" s="9">
        <f>'8'!AY43</f>
        <v>0.65600527393835106</v>
      </c>
      <c r="CB46" s="9">
        <f t="shared" si="40"/>
        <v>0.7948017908960604</v>
      </c>
      <c r="CC46" s="9">
        <f t="shared" si="41"/>
        <v>0.79829817582674589</v>
      </c>
      <c r="CD46" s="9">
        <f>'1'!DE46</f>
        <v>0.86222999470382578</v>
      </c>
      <c r="CE46" s="9">
        <f>'1'!DG46</f>
        <v>0.87911793917696424</v>
      </c>
      <c r="CF46" s="9">
        <f>'2'!DE46</f>
        <v>0.49466415723318619</v>
      </c>
      <c r="CG46" s="9">
        <f>'2'!DG46</f>
        <v>0.63747832208628719</v>
      </c>
      <c r="CH46" s="9">
        <f>'3'!AH46</f>
        <v>0.3433856429534306</v>
      </c>
      <c r="CI46" s="9">
        <f>'8'!BD43</f>
        <v>0.53503075504935782</v>
      </c>
      <c r="CJ46" s="9">
        <f t="shared" si="42"/>
        <v>0.61396251310554606</v>
      </c>
      <c r="CK46" s="9">
        <f t="shared" si="43"/>
        <v>0.63499910738011156</v>
      </c>
    </row>
    <row r="47" spans="1:89">
      <c r="A47" s="1">
        <v>2009</v>
      </c>
      <c r="B47" s="9">
        <f>'1'!I47</f>
        <v>0.81159519848141226</v>
      </c>
      <c r="C47" s="9">
        <f>'1'!K47</f>
        <v>0.84286998213869713</v>
      </c>
      <c r="D47" s="9">
        <f>'2'!I47</f>
        <v>0.42718276285445739</v>
      </c>
      <c r="E47" s="9">
        <f>'2'!K47</f>
        <v>0.57646987051589094</v>
      </c>
      <c r="F47" s="9">
        <f>'3'!D47</f>
        <v>0.48990011732755612</v>
      </c>
      <c r="G47" s="9">
        <f>'8'!F44</f>
        <v>0.48573658005511883</v>
      </c>
      <c r="H47" s="9">
        <f t="shared" si="22"/>
        <v>0.61126553002367945</v>
      </c>
      <c r="I47" s="9">
        <f t="shared" si="23"/>
        <v>0.63870415425273674</v>
      </c>
      <c r="J47" s="9">
        <f>'1'!S47</f>
        <v>0.74530987547333027</v>
      </c>
      <c r="K47" s="9">
        <f>'1'!U47</f>
        <v>0.79332708014483178</v>
      </c>
      <c r="L47" s="9">
        <f>'2'!S47</f>
        <v>0.8126686150603466</v>
      </c>
      <c r="M47" s="9">
        <f>'2'!U47</f>
        <v>0.85964045404846057</v>
      </c>
      <c r="N47" s="9">
        <f>'3'!G47</f>
        <v>0.4904809624274809</v>
      </c>
      <c r="O47" s="9">
        <f>'8'!K44</f>
        <v>0.45899527638509663</v>
      </c>
      <c r="P47" s="9">
        <f t="shared" si="24"/>
        <v>0.61675987139851118</v>
      </c>
      <c r="Q47" s="9">
        <f t="shared" si="25"/>
        <v>0.64066393716592329</v>
      </c>
      <c r="R47" s="9">
        <f>'1'!AC47</f>
        <v>0.71683542809959488</v>
      </c>
      <c r="S47" s="9">
        <f>'1'!AE47</f>
        <v>0.77126196833508209</v>
      </c>
      <c r="T47" s="9">
        <f>'2'!AC47</f>
        <v>0.27521788818408738</v>
      </c>
      <c r="U47" s="9">
        <f>'2'!AE47</f>
        <v>0.4086132226187924</v>
      </c>
      <c r="V47" s="9">
        <f>'3'!J47</f>
        <v>0.7859903746853204</v>
      </c>
      <c r="W47" s="9">
        <f>'8'!P44</f>
        <v>0.42819014567816238</v>
      </c>
      <c r="X47" s="9">
        <f t="shared" si="26"/>
        <v>0.61780109014911733</v>
      </c>
      <c r="Y47" s="9">
        <f t="shared" si="27"/>
        <v>0.65291123968678277</v>
      </c>
      <c r="Z47" s="9">
        <f>'1'!AM47</f>
        <v>0.83727019376457168</v>
      </c>
      <c r="AA47" s="9">
        <f>'1'!AO47</f>
        <v>0.86141519172683745</v>
      </c>
      <c r="AB47" s="9">
        <f>'2'!AM47</f>
        <v>0.29485160884337808</v>
      </c>
      <c r="AC47" s="9">
        <f>'2'!AO47</f>
        <v>0.43333353197821756</v>
      </c>
      <c r="AD47" s="9">
        <f>'3'!M47</f>
        <v>0.43435666890078939</v>
      </c>
      <c r="AE47" s="9">
        <f>'8'!U44</f>
        <v>0.40225455394959675</v>
      </c>
      <c r="AF47" s="9">
        <f t="shared" si="28"/>
        <v>0.573546044102763</v>
      </c>
      <c r="AG47" s="9">
        <f t="shared" si="29"/>
        <v>0.59705223560115339</v>
      </c>
      <c r="AH47" s="9">
        <f>'1'!AW47</f>
        <v>0.70272834587279165</v>
      </c>
      <c r="AI47" s="9">
        <f>'1'!AY47</f>
        <v>0.76014601381012648</v>
      </c>
      <c r="AJ47" s="9">
        <f>'2'!AW47</f>
        <v>0.34405645382478789</v>
      </c>
      <c r="AK47" s="9">
        <f>'2'!AY47</f>
        <v>0.49089441374804688</v>
      </c>
      <c r="AL47" s="9">
        <f>'3'!P47</f>
        <v>0.51945171804193502</v>
      </c>
      <c r="AM47" s="9">
        <f>'8'!Z44</f>
        <v>0.42334944065335423</v>
      </c>
      <c r="AN47" s="9">
        <f t="shared" si="30"/>
        <v>0.5511972734054178</v>
      </c>
      <c r="AO47" s="9">
        <f t="shared" si="31"/>
        <v>0.58884813657267765</v>
      </c>
      <c r="AP47" s="9">
        <f>'1'!BG47</f>
        <v>0.74223082043253719</v>
      </c>
      <c r="AQ47" s="9">
        <f>'1'!BI47</f>
        <v>0.79096458520522717</v>
      </c>
      <c r="AR47" s="162">
        <f>'2'!BG47</f>
        <v>0.37003909407371349</v>
      </c>
      <c r="AS47" s="9">
        <f>'2'!BI47</f>
        <v>0.51906763217554075</v>
      </c>
      <c r="AT47" s="9">
        <f>'3'!S47</f>
        <v>0.55743456629889687</v>
      </c>
      <c r="AU47" s="9">
        <f>'8'!AE44</f>
        <v>0.49796487617219848</v>
      </c>
      <c r="AV47" s="9">
        <f t="shared" si="32"/>
        <v>0.59774609819816005</v>
      </c>
      <c r="AW47" s="9">
        <f t="shared" si="33"/>
        <v>0.63214245791741874</v>
      </c>
      <c r="AX47" s="9">
        <f>'1'!BQ47</f>
        <v>0.85186627990389541</v>
      </c>
      <c r="AY47" s="9">
        <f>'1'!BS47</f>
        <v>0.87180572653822319</v>
      </c>
      <c r="AZ47" s="9">
        <f>'2'!BQ47</f>
        <v>0.3451465160515671</v>
      </c>
      <c r="BA47" s="9">
        <f>'2'!BS47</f>
        <v>0.49210518678505266</v>
      </c>
      <c r="BB47" s="9">
        <f>'3'!V47</f>
        <v>0.50214907569174194</v>
      </c>
      <c r="BC47" s="9">
        <f>'8'!AJ44</f>
        <v>0.43316800828593127</v>
      </c>
      <c r="BD47" s="9">
        <f t="shared" si="34"/>
        <v>0.60909043456113321</v>
      </c>
      <c r="BE47" s="9">
        <f t="shared" si="35"/>
        <v>0.6317620802882129</v>
      </c>
      <c r="BF47" s="9">
        <f>'1'!CA47</f>
        <v>0.7565639608261242</v>
      </c>
      <c r="BG47" s="9">
        <f>'1'!CC47</f>
        <v>0.80191462742732689</v>
      </c>
      <c r="BH47" s="9">
        <f>'2'!CA47</f>
        <v>0.37044831612751117</v>
      </c>
      <c r="BI47" s="9">
        <f>'2'!CC47</f>
        <v>0.51950025560064539</v>
      </c>
      <c r="BJ47" s="9">
        <f>'3'!Y47</f>
        <v>0.57044824849781883</v>
      </c>
      <c r="BK47" s="9">
        <f>'8'!AO44</f>
        <v>0.52552605567741117</v>
      </c>
      <c r="BL47" s="9">
        <f t="shared" si="36"/>
        <v>0.61366399198700838</v>
      </c>
      <c r="BM47" s="9">
        <f t="shared" si="37"/>
        <v>0.64670945257480295</v>
      </c>
      <c r="BN47" s="9">
        <f>'1'!CK47</f>
        <v>0.69374528402758773</v>
      </c>
      <c r="BO47" s="9">
        <f>'1'!CM47</f>
        <v>0.75300226565837691</v>
      </c>
      <c r="BP47" s="9">
        <f>'2'!CK47</f>
        <v>0.63891609895147317</v>
      </c>
      <c r="BQ47" s="9">
        <f>'2'!CM47</f>
        <v>0.74919544101271807</v>
      </c>
      <c r="BR47" s="9">
        <f>'3'!AB47</f>
        <v>0.52324420602529553</v>
      </c>
      <c r="BS47" s="9">
        <f>'8'!AT44</f>
        <v>0.5954554782091106</v>
      </c>
      <c r="BT47" s="9">
        <f t="shared" si="38"/>
        <v>0.62106464456478394</v>
      </c>
      <c r="BU47" s="9">
        <f t="shared" si="39"/>
        <v>0.65579537142322408</v>
      </c>
      <c r="BV47" s="9">
        <f>'1'!CU47</f>
        <v>0.87700599972243976</v>
      </c>
      <c r="BW47" s="9">
        <f>'1'!CW47</f>
        <v>0.88945109145284962</v>
      </c>
      <c r="BX47" s="9">
        <f>'2'!CU47</f>
        <v>0.84782283136184522</v>
      </c>
      <c r="BY47" s="9">
        <f>'2'!CW47</f>
        <v>0.87957087912203202</v>
      </c>
      <c r="BZ47" s="9">
        <f>'3'!AE47</f>
        <v>0.56330550852340866</v>
      </c>
      <c r="CA47" s="9">
        <f>'8'!AY44</f>
        <v>0.61584323728248902</v>
      </c>
      <c r="CB47" s="9">
        <f t="shared" si="40"/>
        <v>0.73037186947663491</v>
      </c>
      <c r="CC47" s="9">
        <f t="shared" si="41"/>
        <v>0.73852471094481753</v>
      </c>
      <c r="CD47" s="9">
        <f>'1'!DE47</f>
        <v>0.85586079389294423</v>
      </c>
      <c r="CE47" s="9">
        <f>'1'!DG47</f>
        <v>0.87463046942512224</v>
      </c>
      <c r="CF47" s="9">
        <f>'2'!DE47</f>
        <v>0.47230914776830207</v>
      </c>
      <c r="CG47" s="9">
        <f>'2'!DG47</f>
        <v>0.61799171047208967</v>
      </c>
      <c r="CH47" s="9">
        <f>'3'!AH47</f>
        <v>0.33362442119702618</v>
      </c>
      <c r="CI47" s="9">
        <f>'8'!BD44</f>
        <v>0.49199350820397819</v>
      </c>
      <c r="CJ47" s="9">
        <f t="shared" si="42"/>
        <v>0.59597971468425903</v>
      </c>
      <c r="CK47" s="9">
        <f t="shared" si="43"/>
        <v>0.618055841167509</v>
      </c>
    </row>
    <row r="48" spans="1:89">
      <c r="A48" s="1">
        <v>2010</v>
      </c>
      <c r="B48" s="9">
        <f>'1'!I48</f>
        <v>0.83603513861958567</v>
      </c>
      <c r="C48" s="9">
        <f>'1'!K48</f>
        <v>0.86053098459620181</v>
      </c>
      <c r="D48" s="9">
        <f>'2'!I48</f>
        <v>0.43582687101768375</v>
      </c>
      <c r="E48" s="9">
        <f>'2'!K48</f>
        <v>0.58466455153998442</v>
      </c>
      <c r="F48" s="9">
        <f>'3'!D48</f>
        <v>0.48990011732755612</v>
      </c>
      <c r="G48" s="9">
        <f>'8'!F45</f>
        <v>0.48472340768248307</v>
      </c>
      <c r="H48" s="9">
        <f t="shared" si="22"/>
        <v>0.6216526238021125</v>
      </c>
      <c r="I48" s="9">
        <f t="shared" si="23"/>
        <v>0.646334730244989</v>
      </c>
      <c r="J48" s="9">
        <f>'1'!S48</f>
        <v>0.78807770795431809</v>
      </c>
      <c r="K48" s="9">
        <f>'1'!U48</f>
        <v>0.82557394304033982</v>
      </c>
      <c r="L48" s="9">
        <f>'2'!S48</f>
        <v>0.80272982683000638</v>
      </c>
      <c r="M48" s="9">
        <f>'2'!U48</f>
        <v>0.85387521792337062</v>
      </c>
      <c r="N48" s="9">
        <f>'3'!G48</f>
        <v>0.4904809624274809</v>
      </c>
      <c r="O48" s="9">
        <f>'8'!K45</f>
        <v>0.47297315923293426</v>
      </c>
      <c r="P48" s="9">
        <f t="shared" si="24"/>
        <v>0.63636759627983164</v>
      </c>
      <c r="Q48" s="9">
        <f t="shared" si="25"/>
        <v>0.65648062942357677</v>
      </c>
      <c r="R48" s="9">
        <f>'1'!AC48</f>
        <v>0.74860183445626904</v>
      </c>
      <c r="S48" s="9">
        <f>'1'!AE48</f>
        <v>0.7958467334661814</v>
      </c>
      <c r="T48" s="9">
        <f>'2'!AC48</f>
        <v>0.28464226347746752</v>
      </c>
      <c r="U48" s="9">
        <f>'2'!AE48</f>
        <v>0.42061491634365228</v>
      </c>
      <c r="V48" s="9">
        <f>'3'!J48</f>
        <v>0.7859903746853204</v>
      </c>
      <c r="W48" s="9">
        <f>'8'!P45</f>
        <v>0.45422804823823049</v>
      </c>
      <c r="X48" s="9">
        <f t="shared" si="26"/>
        <v>0.63795956586114211</v>
      </c>
      <c r="Y48" s="9">
        <f t="shared" si="27"/>
        <v>0.67045479075172554</v>
      </c>
      <c r="Z48" s="9">
        <f>'1'!AM48</f>
        <v>0.86656261342980634</v>
      </c>
      <c r="AA48" s="9">
        <f>'1'!AO48</f>
        <v>0.88215897705126389</v>
      </c>
      <c r="AB48" s="9">
        <f>'2'!AM48</f>
        <v>0.30164917372179045</v>
      </c>
      <c r="AC48" s="9">
        <f>'2'!AO48</f>
        <v>0.44164501971860437</v>
      </c>
      <c r="AD48" s="9">
        <f>'3'!M48</f>
        <v>0.43435666890078939</v>
      </c>
      <c r="AE48" s="9">
        <f>'8'!U45</f>
        <v>0.39301948177345436</v>
      </c>
      <c r="AF48" s="9">
        <f t="shared" si="28"/>
        <v>0.58363400041266256</v>
      </c>
      <c r="AG48" s="9">
        <f t="shared" si="29"/>
        <v>0.60387213046092691</v>
      </c>
      <c r="AH48" s="9">
        <f>'1'!AW48</f>
        <v>0.73322971093990053</v>
      </c>
      <c r="AI48" s="9">
        <f>'1'!AY48</f>
        <v>0.78402582967898138</v>
      </c>
      <c r="AJ48" s="9">
        <f>'2'!AW48</f>
        <v>0.34582441076233233</v>
      </c>
      <c r="AK48" s="9">
        <f>'2'!AY48</f>
        <v>0.49285683712402817</v>
      </c>
      <c r="AL48" s="9">
        <f>'3'!P48</f>
        <v>0.51945171804193502</v>
      </c>
      <c r="AM48" s="9">
        <f>'8'!Z45</f>
        <v>0.41103494289026249</v>
      </c>
      <c r="AN48" s="9">
        <f t="shared" si="30"/>
        <v>0.56049599068524281</v>
      </c>
      <c r="AO48" s="9">
        <f t="shared" si="31"/>
        <v>0.59551768081704481</v>
      </c>
      <c r="AP48" s="9">
        <f>'1'!BG48</f>
        <v>0.76730257696181658</v>
      </c>
      <c r="AQ48" s="9">
        <f>'1'!BI48</f>
        <v>0.8100402110447309</v>
      </c>
      <c r="AR48" s="162">
        <f>'2'!BG48</f>
        <v>0.37458867321138462</v>
      </c>
      <c r="AS48" s="9">
        <f>'2'!BI48</f>
        <v>0.52385875895793443</v>
      </c>
      <c r="AT48" s="9">
        <f>'3'!S48</f>
        <v>0.55743456629889687</v>
      </c>
      <c r="AU48" s="9">
        <f>'8'!AE45</f>
        <v>0.49951556067048475</v>
      </c>
      <c r="AV48" s="9">
        <f t="shared" si="32"/>
        <v>0.60861742984821054</v>
      </c>
      <c r="AW48" s="9">
        <f t="shared" si="33"/>
        <v>0.64063949205603121</v>
      </c>
      <c r="AX48" s="9">
        <f>'1'!BQ48</f>
        <v>0.87205048722580303</v>
      </c>
      <c r="AY48" s="9">
        <f>'1'!BS48</f>
        <v>0.885997567297651</v>
      </c>
      <c r="AZ48" s="9">
        <f>'2'!BQ48</f>
        <v>0.34987624280597179</v>
      </c>
      <c r="BA48" s="9">
        <f>'2'!BS48</f>
        <v>0.49732868083324477</v>
      </c>
      <c r="BB48" s="9">
        <f>'3'!V48</f>
        <v>0.50214907569174194</v>
      </c>
      <c r="BC48" s="9">
        <f>'8'!AJ45</f>
        <v>0.42629406192423747</v>
      </c>
      <c r="BD48" s="9">
        <f t="shared" si="34"/>
        <v>0.61591860357491335</v>
      </c>
      <c r="BE48" s="9">
        <f t="shared" si="35"/>
        <v>0.6362426794063798</v>
      </c>
      <c r="BF48" s="9">
        <f>'1'!CA48</f>
        <v>0.78270217470703973</v>
      </c>
      <c r="BG48" s="9">
        <f>'1'!CC48</f>
        <v>0.82157784580449233</v>
      </c>
      <c r="BH48" s="9">
        <f>'2'!CA48</f>
        <v>0.37551026795015141</v>
      </c>
      <c r="BI48" s="9">
        <f>'2'!CC48</f>
        <v>0.52482433047163057</v>
      </c>
      <c r="BJ48" s="9">
        <f>'3'!Y48</f>
        <v>0.57044824849781883</v>
      </c>
      <c r="BK48" s="9">
        <f>'8'!AO45</f>
        <v>0.52085201986743479</v>
      </c>
      <c r="BL48" s="9">
        <f t="shared" si="36"/>
        <v>0.6234569637691445</v>
      </c>
      <c r="BM48" s="9">
        <f t="shared" si="37"/>
        <v>0.65393863846027345</v>
      </c>
      <c r="BN48" s="9">
        <f>'1'!CK48</f>
        <v>0.71898537493791903</v>
      </c>
      <c r="BO48" s="9">
        <f>'1'!CM48</f>
        <v>0.77294519305769782</v>
      </c>
      <c r="BP48" s="9">
        <f>'2'!CK48</f>
        <v>0.6326724544753124</v>
      </c>
      <c r="BQ48" s="9">
        <f>'2'!CM48</f>
        <v>0.74479289119766179</v>
      </c>
      <c r="BR48" s="9">
        <f>'3'!AB48</f>
        <v>0.52324420602529553</v>
      </c>
      <c r="BS48" s="9">
        <f>'8'!AT45</f>
        <v>0.59553343581439844</v>
      </c>
      <c r="BT48" s="9">
        <f t="shared" si="38"/>
        <v>0.63055580588262239</v>
      </c>
      <c r="BU48" s="9">
        <f t="shared" si="39"/>
        <v>0.6633517768027688</v>
      </c>
      <c r="BV48" s="9">
        <f>'1'!CU48</f>
        <v>0.91666666666666674</v>
      </c>
      <c r="BW48" s="9">
        <f>'1'!CW48</f>
        <v>0.91666666666666707</v>
      </c>
      <c r="BX48" s="9">
        <f>'2'!CU48</f>
        <v>0.83053411157346535</v>
      </c>
      <c r="BY48" s="9">
        <f>'2'!CW48</f>
        <v>0.86985742916875586</v>
      </c>
      <c r="BZ48" s="9">
        <f>'3'!AE48</f>
        <v>0.56330550852340866</v>
      </c>
      <c r="CA48" s="9">
        <f>'8'!AY45</f>
        <v>0.62013965685631289</v>
      </c>
      <c r="CB48" s="9">
        <f t="shared" si="40"/>
        <v>0.74558136916894358</v>
      </c>
      <c r="CC48" s="9">
        <f t="shared" si="41"/>
        <v>0.7495137009284728</v>
      </c>
      <c r="CD48" s="9">
        <f>'1'!DE48</f>
        <v>0.87741125227275085</v>
      </c>
      <c r="CE48" s="9">
        <f>'1'!DG48</f>
        <v>0.88973298392674738</v>
      </c>
      <c r="CF48" s="9">
        <f>'2'!DE48</f>
        <v>0.47356861023263919</v>
      </c>
      <c r="CG48" s="9">
        <f>'2'!DG48</f>
        <v>0.61910770768938905</v>
      </c>
      <c r="CH48" s="9">
        <f>'3'!AH48</f>
        <v>0.33362442119702618</v>
      </c>
      <c r="CI48" s="9">
        <f>'8'!BD45</f>
        <v>0.49116511425617471</v>
      </c>
      <c r="CJ48" s="9">
        <f t="shared" si="42"/>
        <v>0.60451874579566456</v>
      </c>
      <c r="CK48" s="9">
        <f t="shared" si="43"/>
        <v>0.62400134820293818</v>
      </c>
    </row>
    <row r="49" spans="1:138">
      <c r="B49" s="267" t="s">
        <v>968</v>
      </c>
      <c r="C49" s="9"/>
      <c r="D49" s="9"/>
      <c r="E49" s="9"/>
      <c r="F49" s="9"/>
      <c r="G49" s="9"/>
      <c r="H49" s="9"/>
      <c r="I49" s="9"/>
      <c r="J49" s="9"/>
      <c r="K49" s="9"/>
      <c r="L49" s="9"/>
      <c r="M49" s="9"/>
      <c r="N49" s="9"/>
      <c r="O49" s="9"/>
      <c r="P49" s="9"/>
      <c r="Q49" s="9"/>
      <c r="R49" s="267" t="s">
        <v>968</v>
      </c>
      <c r="S49" s="9"/>
      <c r="T49" s="9"/>
      <c r="U49" s="9"/>
      <c r="V49" s="9"/>
      <c r="W49" s="9"/>
      <c r="X49" s="9"/>
      <c r="Y49" s="9"/>
      <c r="Z49" s="9"/>
      <c r="AA49" s="9"/>
      <c r="AB49" s="9"/>
      <c r="AC49" s="9"/>
      <c r="AD49" s="9"/>
      <c r="AE49" s="9"/>
      <c r="AF49" s="9"/>
      <c r="AG49" s="9"/>
      <c r="AH49" s="267" t="s">
        <v>968</v>
      </c>
      <c r="AI49" s="9"/>
      <c r="AJ49" s="9"/>
      <c r="AK49" s="9"/>
      <c r="AL49" s="9"/>
      <c r="AM49" s="9"/>
      <c r="AN49" s="9"/>
      <c r="AO49" s="9"/>
      <c r="AP49" s="9"/>
      <c r="AQ49" s="9"/>
      <c r="AR49" s="162"/>
      <c r="AS49" s="9"/>
      <c r="AT49" s="9"/>
      <c r="AU49" s="9"/>
      <c r="AV49" s="9"/>
      <c r="AW49" s="9"/>
      <c r="AX49" s="267" t="s">
        <v>968</v>
      </c>
      <c r="AY49" s="9"/>
      <c r="AZ49" s="9"/>
      <c r="BA49" s="9"/>
      <c r="BB49" s="9"/>
      <c r="BC49" s="9"/>
      <c r="BD49" s="9"/>
      <c r="BE49" s="9"/>
      <c r="BF49" s="9"/>
      <c r="BG49" s="9"/>
      <c r="BH49" s="9"/>
      <c r="BI49" s="9"/>
      <c r="BJ49" s="9"/>
      <c r="BK49" s="9"/>
      <c r="BL49" s="9"/>
      <c r="BM49" s="9"/>
      <c r="BN49" s="267" t="s">
        <v>968</v>
      </c>
      <c r="BO49" s="9"/>
      <c r="BP49" s="9"/>
      <c r="BQ49" s="9"/>
      <c r="BR49" s="9"/>
      <c r="BS49" s="9"/>
      <c r="BT49" s="9"/>
      <c r="BU49" s="9"/>
      <c r="BV49" s="9"/>
      <c r="BW49" s="9"/>
      <c r="BX49" s="9"/>
      <c r="BY49" s="9"/>
      <c r="BZ49" s="9"/>
      <c r="CA49" s="9"/>
      <c r="CB49" s="9"/>
      <c r="CC49" s="9"/>
      <c r="CD49" s="267" t="s">
        <v>968</v>
      </c>
      <c r="CE49" s="9"/>
      <c r="CF49" s="9"/>
      <c r="CG49" s="9"/>
      <c r="CH49" s="9"/>
      <c r="CI49" s="9"/>
      <c r="CJ49" s="9"/>
      <c r="CK49" s="9"/>
    </row>
    <row r="50" spans="1:138" s="252" customFormat="1">
      <c r="A50" s="252" t="s">
        <v>988</v>
      </c>
      <c r="B50" s="271">
        <f t="shared" ref="B50:BM50" si="44">B48-B19</f>
        <v>0.57101489756468671</v>
      </c>
      <c r="C50" s="271">
        <f t="shared" si="44"/>
        <v>0.52699966169184953</v>
      </c>
      <c r="D50" s="271">
        <f t="shared" si="44"/>
        <v>0.18314700393603206</v>
      </c>
      <c r="E50" s="271">
        <f t="shared" si="44"/>
        <v>0.20583658740676353</v>
      </c>
      <c r="F50" s="271">
        <f t="shared" si="44"/>
        <v>-0.15160215218864448</v>
      </c>
      <c r="G50" s="271">
        <f t="shared" si="44"/>
        <v>-0.14729254529242658</v>
      </c>
      <c r="H50" s="271">
        <f t="shared" si="44"/>
        <v>0.17199698504921024</v>
      </c>
      <c r="I50" s="271">
        <f t="shared" si="44"/>
        <v>0.15665984904714841</v>
      </c>
      <c r="J50" s="271">
        <f t="shared" si="44"/>
        <v>0.70474437462098471</v>
      </c>
      <c r="K50" s="271">
        <f t="shared" si="44"/>
        <v>0.74224060970700689</v>
      </c>
      <c r="L50" s="271">
        <f t="shared" si="44"/>
        <v>0.6284986011683662</v>
      </c>
      <c r="M50" s="271">
        <f t="shared" si="44"/>
        <v>0.59308290018035525</v>
      </c>
      <c r="N50" s="271">
        <f t="shared" si="44"/>
        <v>4.7123426753133912E-2</v>
      </c>
      <c r="O50" s="271">
        <f t="shared" si="44"/>
        <v>5.9871084417736919E-2</v>
      </c>
      <c r="P50" s="271">
        <f t="shared" si="44"/>
        <v>0.37149623775794821</v>
      </c>
      <c r="Q50" s="271">
        <f t="shared" si="44"/>
        <v>0.38295316169355598</v>
      </c>
      <c r="R50" s="271">
        <f t="shared" si="44"/>
        <v>0.55343308707350136</v>
      </c>
      <c r="S50" s="271">
        <f t="shared" si="44"/>
        <v>0.55121172964171672</v>
      </c>
      <c r="T50" s="271">
        <f t="shared" si="44"/>
        <v>0.2013089301441342</v>
      </c>
      <c r="U50" s="271">
        <f t="shared" si="44"/>
        <v>0.33728158301031902</v>
      </c>
      <c r="V50" s="271">
        <f t="shared" si="44"/>
        <v>0.34400916466293646</v>
      </c>
      <c r="W50" s="271">
        <f t="shared" si="44"/>
        <v>3.0867184475913412E-3</v>
      </c>
      <c r="X50" s="271">
        <f t="shared" si="44"/>
        <v>0.32827809862144591</v>
      </c>
      <c r="Y50" s="271">
        <f t="shared" si="44"/>
        <v>0.3409868209353506</v>
      </c>
      <c r="Z50" s="271">
        <f t="shared" si="44"/>
        <v>0.63653452906181052</v>
      </c>
      <c r="AA50" s="271">
        <f t="shared" si="44"/>
        <v>0.59216635960636865</v>
      </c>
      <c r="AB50" s="271">
        <f t="shared" si="44"/>
        <v>0.16246078353751528</v>
      </c>
      <c r="AC50" s="271">
        <f t="shared" si="44"/>
        <v>0.24281383787223793</v>
      </c>
      <c r="AD50" s="271">
        <f t="shared" si="44"/>
        <v>-9.0190986166141074E-2</v>
      </c>
      <c r="AE50" s="271">
        <f t="shared" si="44"/>
        <v>-0.23641705718416761</v>
      </c>
      <c r="AF50" s="271">
        <f t="shared" si="44"/>
        <v>0.18920787914089859</v>
      </c>
      <c r="AG50" s="271">
        <f t="shared" si="44"/>
        <v>0.17949591679219407</v>
      </c>
      <c r="AH50" s="271">
        <f t="shared" si="44"/>
        <v>0.63642062963325829</v>
      </c>
      <c r="AI50" s="271">
        <f t="shared" si="44"/>
        <v>0.67981052566734734</v>
      </c>
      <c r="AJ50" s="271">
        <f t="shared" si="44"/>
        <v>0.18802268955044726</v>
      </c>
      <c r="AK50" s="271">
        <f t="shared" si="44"/>
        <v>0.26026659146139808</v>
      </c>
      <c r="AL50" s="271">
        <f t="shared" si="44"/>
        <v>0.1690179602852091</v>
      </c>
      <c r="AM50" s="271">
        <f t="shared" si="44"/>
        <v>-0.10913641838832439</v>
      </c>
      <c r="AN50" s="271">
        <f t="shared" si="44"/>
        <v>0.28834090628256914</v>
      </c>
      <c r="AO50" s="271">
        <f t="shared" si="44"/>
        <v>0.31292125488730005</v>
      </c>
      <c r="AP50" s="271">
        <f t="shared" si="44"/>
        <v>0.57919077072023861</v>
      </c>
      <c r="AQ50" s="271">
        <f t="shared" si="44"/>
        <v>0.57484495076610687</v>
      </c>
      <c r="AR50" s="271">
        <f t="shared" si="44"/>
        <v>0.17482991316766019</v>
      </c>
      <c r="AS50" s="271">
        <f t="shared" si="44"/>
        <v>0.22187435906936931</v>
      </c>
      <c r="AT50" s="271">
        <f t="shared" si="44"/>
        <v>-4.0065238625625055E-2</v>
      </c>
      <c r="AU50" s="271">
        <f t="shared" si="44"/>
        <v>-6.1617509528376857E-2</v>
      </c>
      <c r="AV50" s="271">
        <f t="shared" si="44"/>
        <v>0.22373861256636102</v>
      </c>
      <c r="AW50" s="271">
        <f t="shared" si="44"/>
        <v>0.22670472917487916</v>
      </c>
      <c r="AX50" s="271">
        <f t="shared" si="44"/>
        <v>0.59451200281631178</v>
      </c>
      <c r="AY50" s="271">
        <f t="shared" si="44"/>
        <v>0.53734256508584677</v>
      </c>
      <c r="AZ50" s="271">
        <f t="shared" si="44"/>
        <v>0.1533931942643777</v>
      </c>
      <c r="BA50" s="271">
        <f t="shared" si="44"/>
        <v>0.20046434141942687</v>
      </c>
      <c r="BB50" s="271">
        <f t="shared" si="44"/>
        <v>-0.26056292854650698</v>
      </c>
      <c r="BC50" s="271">
        <f t="shared" si="44"/>
        <v>-0.25558122083750257</v>
      </c>
      <c r="BD50" s="271">
        <f t="shared" si="44"/>
        <v>0.12410808320696021</v>
      </c>
      <c r="BE50" s="271">
        <f t="shared" si="44"/>
        <v>0.10594742283027903</v>
      </c>
      <c r="BF50" s="271">
        <f t="shared" si="44"/>
        <v>0.56907647094817926</v>
      </c>
      <c r="BG50" s="271">
        <f t="shared" si="44"/>
        <v>0.55266968273139438</v>
      </c>
      <c r="BH50" s="271">
        <f t="shared" si="44"/>
        <v>0.13313518264443336</v>
      </c>
      <c r="BI50" s="271">
        <f t="shared" si="44"/>
        <v>0.16015874847227535</v>
      </c>
      <c r="BJ50" s="271">
        <f t="shared" si="44"/>
        <v>8.6895973106219659E-2</v>
      </c>
      <c r="BK50" s="271">
        <f t="shared" si="44"/>
        <v>-9.3690301318484659E-2</v>
      </c>
      <c r="BL50" s="271">
        <f t="shared" si="44"/>
        <v>0.23924552459064885</v>
      </c>
      <c r="BM50" s="271">
        <f t="shared" si="44"/>
        <v>0.23538516588671909</v>
      </c>
      <c r="BN50" s="271">
        <f t="shared" ref="BN50:CK50" si="45">BN48-BN19</f>
        <v>0.47960473711327534</v>
      </c>
      <c r="BO50" s="271">
        <f t="shared" si="45"/>
        <v>0.47112764582949834</v>
      </c>
      <c r="BP50" s="271">
        <f t="shared" si="45"/>
        <v>0.28894961885146009</v>
      </c>
      <c r="BQ50" s="271">
        <f t="shared" si="45"/>
        <v>0.2542695614050039</v>
      </c>
      <c r="BR50" s="271">
        <f t="shared" si="45"/>
        <v>0.14717759535715802</v>
      </c>
      <c r="BS50" s="271">
        <f t="shared" si="45"/>
        <v>-0.12529830991380131</v>
      </c>
      <c r="BT50" s="271">
        <f t="shared" si="45"/>
        <v>0.22620667809129535</v>
      </c>
      <c r="BU50" s="271">
        <f t="shared" si="45"/>
        <v>0.21934783583313888</v>
      </c>
      <c r="BV50" s="271">
        <f t="shared" si="45"/>
        <v>0.51530856045630746</v>
      </c>
      <c r="BW50" s="271">
        <f t="shared" si="45"/>
        <v>0.42965142359708519</v>
      </c>
      <c r="BX50" s="271">
        <f t="shared" si="45"/>
        <v>0.25113214660062633</v>
      </c>
      <c r="BY50" s="271">
        <f t="shared" si="45"/>
        <v>0.16409843359580667</v>
      </c>
      <c r="BZ50" s="271">
        <f t="shared" si="45"/>
        <v>-0.15086982027006024</v>
      </c>
      <c r="CA50" s="271">
        <f t="shared" si="45"/>
        <v>-9.2749363114025152E-2</v>
      </c>
      <c r="CB50" s="271">
        <f t="shared" si="45"/>
        <v>0.17033184299656423</v>
      </c>
      <c r="CC50" s="271">
        <f t="shared" si="45"/>
        <v>0.12736561695239335</v>
      </c>
      <c r="CD50" s="271">
        <f t="shared" si="45"/>
        <v>0.50976287916817531</v>
      </c>
      <c r="CE50" s="271">
        <f t="shared" si="45"/>
        <v>0.43851823425233838</v>
      </c>
      <c r="CF50" s="271">
        <f t="shared" si="45"/>
        <v>0.16262935857309907</v>
      </c>
      <c r="CG50" s="271">
        <f t="shared" si="45"/>
        <v>0.16629868018097599</v>
      </c>
      <c r="CH50" s="271">
        <f t="shared" si="45"/>
        <v>-0.32684605512047138</v>
      </c>
      <c r="CI50" s="271">
        <f t="shared" si="45"/>
        <v>-0.11836549296246568</v>
      </c>
      <c r="CJ50" s="271">
        <f t="shared" si="45"/>
        <v>0.10886520050384579</v>
      </c>
      <c r="CK50" s="271">
        <f t="shared" si="45"/>
        <v>8.0734274698298747E-2</v>
      </c>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c r="B51" s="1" t="s">
        <v>21</v>
      </c>
      <c r="Z51" s="1" t="s">
        <v>380</v>
      </c>
      <c r="AX51" s="1" t="s">
        <v>380</v>
      </c>
      <c r="BV51" s="1" t="s">
        <v>380</v>
      </c>
    </row>
    <row r="53" spans="1:138">
      <c r="A53" s="1" t="s">
        <v>988</v>
      </c>
      <c r="B53" s="1">
        <v>0.57101489756468671</v>
      </c>
      <c r="C53" s="1">
        <v>0.52699966169184953</v>
      </c>
      <c r="D53" s="1">
        <v>0.18314700393603206</v>
      </c>
      <c r="E53" s="1">
        <v>0.20583658740676353</v>
      </c>
      <c r="F53" s="1">
        <v>-0.15160215218864448</v>
      </c>
      <c r="G53" s="1">
        <v>-0.14729254529242658</v>
      </c>
      <c r="H53" s="13">
        <v>0.11381680100491187</v>
      </c>
      <c r="I53" s="1">
        <v>0.10848538790438544</v>
      </c>
      <c r="J53" s="1">
        <v>0.70474437462098471</v>
      </c>
      <c r="K53" s="1">
        <v>0.74224060970700689</v>
      </c>
      <c r="L53" s="1">
        <v>0.6284986011683662</v>
      </c>
      <c r="M53" s="1">
        <v>0.59308290018035525</v>
      </c>
      <c r="N53" s="1">
        <v>4.7123426753133912E-2</v>
      </c>
      <c r="O53" s="1">
        <v>5.9871084417736919E-2</v>
      </c>
      <c r="P53" s="1">
        <v>0.36005937174005548</v>
      </c>
      <c r="Q53" s="1">
        <v>0.36057950526455818</v>
      </c>
      <c r="R53" s="1">
        <v>0.55343308707350136</v>
      </c>
      <c r="S53" s="1">
        <v>0.55121172964171672</v>
      </c>
      <c r="T53" s="1">
        <v>0.2013089301441342</v>
      </c>
      <c r="U53" s="1">
        <v>0.33728158301031902</v>
      </c>
      <c r="V53" s="1">
        <v>0.34400916466293646</v>
      </c>
      <c r="W53" s="1">
        <v>3.0867184475913412E-3</v>
      </c>
      <c r="X53" s="1">
        <v>0.27545947508204083</v>
      </c>
      <c r="Y53" s="1">
        <v>0.30889729894064089</v>
      </c>
      <c r="Z53" s="1">
        <v>0.63653452906181052</v>
      </c>
      <c r="AA53" s="1">
        <v>0.59216635960636865</v>
      </c>
      <c r="AB53" s="1">
        <v>0.16246078353751528</v>
      </c>
      <c r="AC53" s="1">
        <v>0.24281383787223793</v>
      </c>
      <c r="AD53" s="1">
        <v>-9.0190986166141074E-2</v>
      </c>
      <c r="AE53" s="1">
        <v>-0.23641705718416761</v>
      </c>
      <c r="AF53" s="1">
        <v>0.1180968173122543</v>
      </c>
      <c r="AG53" s="1">
        <v>0.12709303853207449</v>
      </c>
      <c r="AH53" s="1">
        <v>0.63642062963325829</v>
      </c>
      <c r="AI53" s="1">
        <v>0.67981052566734734</v>
      </c>
      <c r="AJ53" s="1">
        <v>0.18802268955044726</v>
      </c>
      <c r="AK53" s="1">
        <v>0.26026659146139808</v>
      </c>
      <c r="AL53" s="1">
        <v>0.1690179602852091</v>
      </c>
      <c r="AM53" s="1">
        <v>-0.10913641838832439</v>
      </c>
      <c r="AN53" s="1">
        <v>0.22108121527014757</v>
      </c>
      <c r="AO53" s="1">
        <v>0.2499896647564076</v>
      </c>
      <c r="AP53" s="1">
        <v>0.57919077072023861</v>
      </c>
      <c r="AQ53" s="1">
        <v>0.57484495076610687</v>
      </c>
      <c r="AR53" s="1">
        <v>0.17482991316766019</v>
      </c>
      <c r="AS53" s="1">
        <v>0.22187435906936931</v>
      </c>
      <c r="AT53" s="1">
        <v>-4.0065238625625055E-2</v>
      </c>
      <c r="AU53" s="1">
        <v>-6.1617509528376857E-2</v>
      </c>
      <c r="AV53" s="1">
        <v>0.16308448393347419</v>
      </c>
      <c r="AW53" s="1">
        <v>0.17375914042036855</v>
      </c>
      <c r="AX53" s="1">
        <v>0.59451200281631178</v>
      </c>
      <c r="AY53" s="1">
        <v>0.53734256508584677</v>
      </c>
      <c r="AZ53" s="1">
        <v>0.1533931942643777</v>
      </c>
      <c r="BA53" s="1">
        <v>0.20046434141942687</v>
      </c>
      <c r="BB53" s="1">
        <v>-0.26056292854650698</v>
      </c>
      <c r="BC53" s="1">
        <v>-0.25558122083750257</v>
      </c>
      <c r="BD53" s="1">
        <v>5.7940261924169956E-2</v>
      </c>
      <c r="BE53" s="1">
        <v>5.5415689280316038E-2</v>
      </c>
      <c r="BF53" s="1">
        <v>0.56907647094817926</v>
      </c>
      <c r="BG53" s="1">
        <v>0.55266968273139438</v>
      </c>
      <c r="BH53" s="1">
        <v>0.13313518264443336</v>
      </c>
      <c r="BI53" s="1">
        <v>0.16015874847227535</v>
      </c>
      <c r="BJ53" s="1">
        <v>8.6895973106219659E-2</v>
      </c>
      <c r="BK53" s="1">
        <v>-9.3690301318484659E-2</v>
      </c>
      <c r="BL53" s="1">
        <v>0.17385433134508688</v>
      </c>
      <c r="BM53" s="1">
        <v>0.17650852574785114</v>
      </c>
      <c r="BN53" s="1">
        <v>0.47960473711327534</v>
      </c>
      <c r="BO53" s="1">
        <v>0.47112764582949834</v>
      </c>
      <c r="BP53" s="1">
        <v>0.28894961885146009</v>
      </c>
      <c r="BQ53" s="1">
        <v>0.2542695614050039</v>
      </c>
      <c r="BR53" s="1">
        <v>0.14717759535715802</v>
      </c>
      <c r="BS53" s="1">
        <v>-0.12529830991380131</v>
      </c>
      <c r="BT53" s="1">
        <v>0.19760841035202303</v>
      </c>
      <c r="BU53" s="1">
        <v>0.18681912316946481</v>
      </c>
      <c r="BV53" s="1">
        <v>0.51530856045630746</v>
      </c>
      <c r="BW53" s="1">
        <v>0.42965142359708519</v>
      </c>
      <c r="BX53" s="1">
        <v>0.25113214660062633</v>
      </c>
      <c r="BY53" s="1">
        <v>0.16409843359580667</v>
      </c>
      <c r="BZ53" s="1">
        <v>-0.15086982027006024</v>
      </c>
      <c r="CA53" s="1">
        <v>-9.2749363114025152E-2</v>
      </c>
      <c r="CB53" s="1">
        <v>0.13070538091821216</v>
      </c>
      <c r="CC53" s="1">
        <v>8.7532668452201645E-2</v>
      </c>
      <c r="CD53" s="1">
        <v>0.50976287916817531</v>
      </c>
      <c r="CE53" s="1">
        <v>0.43851823425233838</v>
      </c>
      <c r="CF53" s="1">
        <v>0.16262935857309907</v>
      </c>
      <c r="CG53" s="1">
        <v>0.16629868018097599</v>
      </c>
      <c r="CH53" s="1">
        <v>-0.32684605512047138</v>
      </c>
      <c r="CI53" s="1">
        <v>-0.11836549296246568</v>
      </c>
      <c r="CJ53" s="1">
        <v>5.6795172414584316E-2</v>
      </c>
      <c r="CK53" s="1">
        <v>3.9901341587594286E-2</v>
      </c>
    </row>
    <row r="57" spans="1:138">
      <c r="H57" s="142">
        <f>H50-H53</f>
        <v>5.8180184044298366E-2</v>
      </c>
      <c r="P57" s="142">
        <f>P50-P53</f>
        <v>1.1436866017892733E-2</v>
      </c>
      <c r="X57" s="142">
        <f>X50-X53</f>
        <v>5.2818623539405085E-2</v>
      </c>
      <c r="AF57" s="142">
        <f>AF50-AF53</f>
        <v>7.1111061828644295E-2</v>
      </c>
      <c r="AN57" s="142">
        <f>AN50-AN53</f>
        <v>6.7259691012421574E-2</v>
      </c>
      <c r="AV57" s="142">
        <f>AV50-AV53</f>
        <v>6.0654128632886828E-2</v>
      </c>
      <c r="BD57" s="142">
        <f>BD50-BD53</f>
        <v>6.6167821282790251E-2</v>
      </c>
      <c r="BL57" s="142">
        <f>BL50-BL53</f>
        <v>6.5391193245561974E-2</v>
      </c>
      <c r="BT57" s="142">
        <f>BT50-BT53</f>
        <v>2.8598267739272321E-2</v>
      </c>
      <c r="CB57" s="142">
        <f>CB50-CB53</f>
        <v>3.9626462078352076E-2</v>
      </c>
      <c r="CJ57" s="142">
        <f>CJ50-CJ53</f>
        <v>5.2070028089261478E-2</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dimension ref="A1:EH56"/>
  <sheetViews>
    <sheetView workbookViewId="0">
      <pane xSplit="1" ySplit="18" topLeftCell="N19" activePane="bottomRight" state="frozen"/>
      <selection activeCell="E9" sqref="E9"/>
      <selection pane="topRight" activeCell="E9" sqref="E9"/>
      <selection pane="bottomLeft" activeCell="E9" sqref="E9"/>
      <selection pane="bottomRight" activeCell="E9" sqref="E9"/>
    </sheetView>
  </sheetViews>
  <sheetFormatPr defaultColWidth="8.875" defaultRowHeight="12.75"/>
  <cols>
    <col min="1" max="1" width="8.875" style="1"/>
    <col min="2" max="89" width="9.75" style="1" customWidth="1"/>
    <col min="90" max="16384" width="8.875" style="1"/>
  </cols>
  <sheetData>
    <row r="1" spans="1:89" ht="15.75">
      <c r="B1" s="2" t="s">
        <v>1439</v>
      </c>
      <c r="C1" s="2"/>
      <c r="R1" s="2" t="s">
        <v>1439</v>
      </c>
      <c r="AA1" s="2"/>
      <c r="AH1" s="2" t="s">
        <v>1439</v>
      </c>
      <c r="AX1" s="2" t="s">
        <v>1439</v>
      </c>
      <c r="AY1" s="2"/>
      <c r="BN1" s="2" t="s">
        <v>1439</v>
      </c>
      <c r="BW1" s="2"/>
      <c r="CD1" s="2" t="s">
        <v>1439</v>
      </c>
    </row>
    <row r="3" spans="1:89" s="3" customFormat="1" ht="15">
      <c r="B3" s="3" t="s">
        <v>321</v>
      </c>
      <c r="J3" s="3" t="s">
        <v>370</v>
      </c>
      <c r="R3" s="3" t="s">
        <v>371</v>
      </c>
      <c r="Z3" s="3" t="s">
        <v>372</v>
      </c>
      <c r="AH3" s="3" t="s">
        <v>373</v>
      </c>
      <c r="AP3" s="3" t="s">
        <v>374</v>
      </c>
      <c r="AX3" s="3" t="s">
        <v>375</v>
      </c>
      <c r="BF3" s="3" t="s">
        <v>376</v>
      </c>
      <c r="BN3" s="3" t="s">
        <v>377</v>
      </c>
      <c r="BV3" s="3" t="s">
        <v>378</v>
      </c>
      <c r="CD3" s="3" t="s">
        <v>379</v>
      </c>
    </row>
    <row r="4" spans="1:89" s="4" customFormat="1" ht="63.75">
      <c r="B4" s="4" t="s">
        <v>24</v>
      </c>
      <c r="C4" s="4" t="s">
        <v>180</v>
      </c>
      <c r="D4" s="4" t="s">
        <v>25</v>
      </c>
      <c r="E4" s="4" t="s">
        <v>181</v>
      </c>
      <c r="F4" s="4" t="s">
        <v>628</v>
      </c>
      <c r="G4" s="4" t="s">
        <v>22</v>
      </c>
      <c r="H4" s="4" t="s">
        <v>23</v>
      </c>
      <c r="I4" s="4" t="s">
        <v>182</v>
      </c>
      <c r="J4" s="4" t="s">
        <v>24</v>
      </c>
      <c r="K4" s="4" t="s">
        <v>180</v>
      </c>
      <c r="L4" s="4" t="s">
        <v>25</v>
      </c>
      <c r="M4" s="4" t="s">
        <v>181</v>
      </c>
      <c r="N4" s="4" t="s">
        <v>628</v>
      </c>
      <c r="O4" s="4" t="s">
        <v>22</v>
      </c>
      <c r="P4" s="4" t="s">
        <v>23</v>
      </c>
      <c r="Q4" s="4" t="s">
        <v>182</v>
      </c>
      <c r="R4" s="4" t="s">
        <v>24</v>
      </c>
      <c r="S4" s="4" t="s">
        <v>180</v>
      </c>
      <c r="T4" s="4" t="s">
        <v>25</v>
      </c>
      <c r="U4" s="4" t="s">
        <v>181</v>
      </c>
      <c r="V4" s="4" t="s">
        <v>628</v>
      </c>
      <c r="W4" s="4" t="s">
        <v>22</v>
      </c>
      <c r="X4" s="4" t="s">
        <v>23</v>
      </c>
      <c r="Y4" s="4" t="s">
        <v>182</v>
      </c>
      <c r="Z4" s="4" t="s">
        <v>24</v>
      </c>
      <c r="AA4" s="4" t="s">
        <v>180</v>
      </c>
      <c r="AB4" s="4" t="s">
        <v>25</v>
      </c>
      <c r="AC4" s="4" t="s">
        <v>181</v>
      </c>
      <c r="AD4" s="4" t="s">
        <v>628</v>
      </c>
      <c r="AE4" s="4" t="s">
        <v>22</v>
      </c>
      <c r="AF4" s="4" t="s">
        <v>23</v>
      </c>
      <c r="AG4" s="4" t="s">
        <v>182</v>
      </c>
      <c r="AH4" s="4" t="s">
        <v>24</v>
      </c>
      <c r="AI4" s="4" t="s">
        <v>180</v>
      </c>
      <c r="AJ4" s="4" t="s">
        <v>25</v>
      </c>
      <c r="AK4" s="4" t="s">
        <v>181</v>
      </c>
      <c r="AL4" s="4" t="s">
        <v>628</v>
      </c>
      <c r="AM4" s="4" t="s">
        <v>22</v>
      </c>
      <c r="AN4" s="4" t="s">
        <v>23</v>
      </c>
      <c r="AO4" s="4" t="s">
        <v>182</v>
      </c>
      <c r="AP4" s="4" t="s">
        <v>24</v>
      </c>
      <c r="AQ4" s="4" t="s">
        <v>180</v>
      </c>
      <c r="AR4" s="4" t="s">
        <v>25</v>
      </c>
      <c r="AS4" s="4" t="s">
        <v>181</v>
      </c>
      <c r="AT4" s="4" t="s">
        <v>628</v>
      </c>
      <c r="AU4" s="4" t="s">
        <v>22</v>
      </c>
      <c r="AV4" s="4" t="s">
        <v>23</v>
      </c>
      <c r="AW4" s="4" t="s">
        <v>182</v>
      </c>
      <c r="AX4" s="4" t="s">
        <v>24</v>
      </c>
      <c r="AY4" s="4" t="s">
        <v>180</v>
      </c>
      <c r="AZ4" s="4" t="s">
        <v>25</v>
      </c>
      <c r="BA4" s="4" t="s">
        <v>181</v>
      </c>
      <c r="BB4" s="4" t="s">
        <v>628</v>
      </c>
      <c r="BC4" s="4" t="s">
        <v>22</v>
      </c>
      <c r="BD4" s="4" t="s">
        <v>23</v>
      </c>
      <c r="BE4" s="4" t="s">
        <v>182</v>
      </c>
      <c r="BF4" s="4" t="s">
        <v>24</v>
      </c>
      <c r="BG4" s="4" t="s">
        <v>180</v>
      </c>
      <c r="BH4" s="4" t="s">
        <v>25</v>
      </c>
      <c r="BI4" s="4" t="s">
        <v>181</v>
      </c>
      <c r="BJ4" s="4" t="s">
        <v>628</v>
      </c>
      <c r="BK4" s="4" t="s">
        <v>22</v>
      </c>
      <c r="BL4" s="4" t="s">
        <v>23</v>
      </c>
      <c r="BM4" s="4" t="s">
        <v>182</v>
      </c>
      <c r="BN4" s="4" t="s">
        <v>24</v>
      </c>
      <c r="BO4" s="4" t="s">
        <v>180</v>
      </c>
      <c r="BP4" s="4" t="s">
        <v>25</v>
      </c>
      <c r="BQ4" s="4" t="s">
        <v>181</v>
      </c>
      <c r="BR4" s="4" t="s">
        <v>628</v>
      </c>
      <c r="BS4" s="4" t="s">
        <v>22</v>
      </c>
      <c r="BT4" s="4" t="s">
        <v>23</v>
      </c>
      <c r="BU4" s="4" t="s">
        <v>182</v>
      </c>
      <c r="BV4" s="4" t="s">
        <v>24</v>
      </c>
      <c r="BW4" s="4" t="s">
        <v>180</v>
      </c>
      <c r="BX4" s="4" t="s">
        <v>25</v>
      </c>
      <c r="BY4" s="4" t="s">
        <v>181</v>
      </c>
      <c r="BZ4" s="4" t="s">
        <v>628</v>
      </c>
      <c r="CA4" s="4" t="s">
        <v>22</v>
      </c>
      <c r="CB4" s="4" t="s">
        <v>23</v>
      </c>
      <c r="CC4" s="4" t="s">
        <v>182</v>
      </c>
      <c r="CD4" s="4" t="s">
        <v>24</v>
      </c>
      <c r="CE4" s="4" t="s">
        <v>180</v>
      </c>
      <c r="CF4" s="4" t="s">
        <v>25</v>
      </c>
      <c r="CG4" s="4" t="s">
        <v>181</v>
      </c>
      <c r="CH4" s="4" t="s">
        <v>628</v>
      </c>
      <c r="CI4" s="4" t="s">
        <v>22</v>
      </c>
      <c r="CJ4" s="4" t="s">
        <v>23</v>
      </c>
      <c r="CK4" s="4" t="s">
        <v>182</v>
      </c>
    </row>
    <row r="5" spans="1:89" s="4" customFormat="1" ht="12.75" hidden="1" customHeight="1"/>
    <row r="6" spans="1:89" s="4" customFormat="1" ht="25.5">
      <c r="B6" s="4" t="s">
        <v>105</v>
      </c>
      <c r="C6" s="4" t="s">
        <v>266</v>
      </c>
      <c r="D6" s="4" t="s">
        <v>106</v>
      </c>
      <c r="E6" s="4" t="s">
        <v>184</v>
      </c>
      <c r="F6" s="4" t="s">
        <v>107</v>
      </c>
      <c r="G6" s="4" t="s">
        <v>108</v>
      </c>
      <c r="H6" s="4" t="s">
        <v>1442</v>
      </c>
      <c r="I6" s="4" t="s">
        <v>1443</v>
      </c>
      <c r="J6" s="4" t="s">
        <v>110</v>
      </c>
      <c r="K6" s="4" t="s">
        <v>186</v>
      </c>
      <c r="L6" s="4" t="s">
        <v>111</v>
      </c>
      <c r="M6" s="4" t="s">
        <v>187</v>
      </c>
      <c r="N6" s="4" t="s">
        <v>112</v>
      </c>
      <c r="O6" s="4" t="s">
        <v>138</v>
      </c>
      <c r="P6" s="4" t="s">
        <v>1444</v>
      </c>
      <c r="Q6" s="4" t="s">
        <v>1445</v>
      </c>
      <c r="R6" s="4" t="s">
        <v>105</v>
      </c>
      <c r="S6" s="4" t="s">
        <v>266</v>
      </c>
      <c r="T6" s="4" t="s">
        <v>106</v>
      </c>
      <c r="U6" s="4" t="s">
        <v>184</v>
      </c>
      <c r="V6" s="4" t="s">
        <v>107</v>
      </c>
      <c r="W6" s="4" t="s">
        <v>108</v>
      </c>
      <c r="X6" s="4" t="s">
        <v>1442</v>
      </c>
      <c r="Y6" s="4" t="s">
        <v>1443</v>
      </c>
      <c r="Z6" s="4" t="s">
        <v>110</v>
      </c>
      <c r="AA6" s="4" t="s">
        <v>186</v>
      </c>
      <c r="AB6" s="4" t="s">
        <v>111</v>
      </c>
      <c r="AC6" s="4" t="s">
        <v>187</v>
      </c>
      <c r="AD6" s="4" t="s">
        <v>112</v>
      </c>
      <c r="AE6" s="4" t="s">
        <v>138</v>
      </c>
      <c r="AF6" s="4" t="s">
        <v>1444</v>
      </c>
      <c r="AG6" s="4" t="s">
        <v>1445</v>
      </c>
      <c r="AH6" s="4" t="s">
        <v>105</v>
      </c>
      <c r="AI6" s="4" t="s">
        <v>266</v>
      </c>
      <c r="AJ6" s="4" t="s">
        <v>106</v>
      </c>
      <c r="AK6" s="4" t="s">
        <v>184</v>
      </c>
      <c r="AL6" s="4" t="s">
        <v>107</v>
      </c>
      <c r="AM6" s="4" t="s">
        <v>108</v>
      </c>
      <c r="AN6" s="4" t="s">
        <v>1442</v>
      </c>
      <c r="AO6" s="4" t="s">
        <v>1443</v>
      </c>
      <c r="AP6" s="4" t="s">
        <v>110</v>
      </c>
      <c r="AQ6" s="4" t="s">
        <v>186</v>
      </c>
      <c r="AR6" s="4" t="s">
        <v>111</v>
      </c>
      <c r="AS6" s="4" t="s">
        <v>187</v>
      </c>
      <c r="AT6" s="4" t="s">
        <v>112</v>
      </c>
      <c r="AU6" s="4" t="s">
        <v>138</v>
      </c>
      <c r="AV6" s="4" t="s">
        <v>1444</v>
      </c>
      <c r="AW6" s="4" t="s">
        <v>1445</v>
      </c>
      <c r="AX6" s="4" t="s">
        <v>105</v>
      </c>
      <c r="AY6" s="4" t="s">
        <v>266</v>
      </c>
      <c r="AZ6" s="4" t="s">
        <v>106</v>
      </c>
      <c r="BA6" s="4" t="s">
        <v>184</v>
      </c>
      <c r="BB6" s="4" t="s">
        <v>107</v>
      </c>
      <c r="BC6" s="4" t="s">
        <v>108</v>
      </c>
      <c r="BD6" s="4" t="s">
        <v>1442</v>
      </c>
      <c r="BE6" s="4" t="s">
        <v>1443</v>
      </c>
      <c r="BF6" s="4" t="s">
        <v>110</v>
      </c>
      <c r="BG6" s="4" t="s">
        <v>186</v>
      </c>
      <c r="BH6" s="4" t="s">
        <v>111</v>
      </c>
      <c r="BI6" s="4" t="s">
        <v>187</v>
      </c>
      <c r="BJ6" s="4" t="s">
        <v>112</v>
      </c>
      <c r="BK6" s="4" t="s">
        <v>138</v>
      </c>
      <c r="BL6" s="4" t="s">
        <v>1444</v>
      </c>
      <c r="BM6" s="4" t="s">
        <v>1445</v>
      </c>
      <c r="BN6" s="4" t="s">
        <v>105</v>
      </c>
      <c r="BO6" s="4" t="s">
        <v>266</v>
      </c>
      <c r="BP6" s="4" t="s">
        <v>106</v>
      </c>
      <c r="BQ6" s="4" t="s">
        <v>184</v>
      </c>
      <c r="BR6" s="4" t="s">
        <v>107</v>
      </c>
      <c r="BS6" s="4" t="s">
        <v>108</v>
      </c>
      <c r="BT6" s="4" t="s">
        <v>1442</v>
      </c>
      <c r="BU6" s="4" t="s">
        <v>1443</v>
      </c>
      <c r="BV6" s="4" t="s">
        <v>110</v>
      </c>
      <c r="BW6" s="4" t="s">
        <v>186</v>
      </c>
      <c r="BX6" s="4" t="s">
        <v>111</v>
      </c>
      <c r="BY6" s="4" t="s">
        <v>187</v>
      </c>
      <c r="BZ6" s="4" t="s">
        <v>112</v>
      </c>
      <c r="CA6" s="4" t="s">
        <v>138</v>
      </c>
      <c r="CB6" s="4" t="s">
        <v>1444</v>
      </c>
      <c r="CC6" s="4" t="s">
        <v>1445</v>
      </c>
      <c r="CD6" s="4" t="s">
        <v>105</v>
      </c>
      <c r="CE6" s="4" t="s">
        <v>266</v>
      </c>
      <c r="CF6" s="4" t="s">
        <v>106</v>
      </c>
      <c r="CG6" s="4" t="s">
        <v>184</v>
      </c>
      <c r="CH6" s="4" t="s">
        <v>107</v>
      </c>
      <c r="CI6" s="4" t="s">
        <v>108</v>
      </c>
      <c r="CJ6" s="4" t="s">
        <v>1442</v>
      </c>
      <c r="CK6" s="4" t="s">
        <v>1443</v>
      </c>
    </row>
    <row r="7" spans="1:89" s="4" customFormat="1" hidden="1"/>
    <row r="8" spans="1:89" hidden="1">
      <c r="A8" s="1">
        <v>1971</v>
      </c>
      <c r="B8" s="9">
        <f>'1'!I8</f>
        <v>9.286072550406746E-2</v>
      </c>
      <c r="C8" s="9">
        <f>'1'!K8</f>
        <v>9.8142272288917642E-2</v>
      </c>
      <c r="D8" s="9">
        <f>'2'!I8</f>
        <v>0.18222616585167906</v>
      </c>
      <c r="E8" s="9">
        <f>'2'!K8</f>
        <v>0.27402070198874739</v>
      </c>
      <c r="F8" s="9">
        <f>'3'!D8</f>
        <v>-46.459539597108417</v>
      </c>
      <c r="G8" s="9" t="e">
        <f>'8'!F5</f>
        <v>#REF!</v>
      </c>
      <c r="H8" s="9" t="e">
        <f>SUM(B8,D8,F8,G8)/4</f>
        <v>#REF!</v>
      </c>
      <c r="I8" s="9" t="e">
        <f>SUM(C8,E8,F8,G8)/4</f>
        <v>#REF!</v>
      </c>
      <c r="J8" s="9">
        <f>'1'!S8</f>
        <v>-1.2416360431895312E-2</v>
      </c>
      <c r="K8" s="9">
        <f>'1'!U8</f>
        <v>-7.921006185159718E-2</v>
      </c>
      <c r="L8" s="9">
        <f>'2'!S8</f>
        <v>0.13783193796692461</v>
      </c>
      <c r="M8" s="9">
        <f>'2'!U8</f>
        <v>0.19628988799083394</v>
      </c>
      <c r="N8" s="9">
        <f>'3'!G8</f>
        <v>-87.44282039190017</v>
      </c>
      <c r="O8" s="9" t="e">
        <f>'8'!K5</f>
        <v>#REF!</v>
      </c>
      <c r="P8" s="9" t="e">
        <f>SUM(J8,L8,N8,O8)/4</f>
        <v>#REF!</v>
      </c>
      <c r="Q8" s="9" t="e">
        <f>SUM(K8,M8,N8,O8)/4</f>
        <v>#REF!</v>
      </c>
      <c r="R8" s="9">
        <f>'1'!AC8</f>
        <v>6.2557182280176912E-2</v>
      </c>
      <c r="S8" s="9">
        <f>'1'!AE8</f>
        <v>5.0253326247256869E-2</v>
      </c>
      <c r="T8" s="9">
        <f>'2'!AC8</f>
        <v>6.5786261073974367E-2</v>
      </c>
      <c r="U8" s="9">
        <f>'2'!AE8</f>
        <v>4.1538166056354214E-2</v>
      </c>
      <c r="V8" s="9">
        <f>'3'!J8</f>
        <v>-73.855883474873721</v>
      </c>
      <c r="W8" s="9" t="e">
        <f>'8'!P5</f>
        <v>#REF!</v>
      </c>
      <c r="X8" s="9" t="e">
        <f>SUM(R8,T8,V8,W8)/4</f>
        <v>#REF!</v>
      </c>
      <c r="Y8" s="9" t="e">
        <f>SUM(S8,U8,V8,W8)/4</f>
        <v>#REF!</v>
      </c>
      <c r="Z8" s="9">
        <f>'1'!AM8</f>
        <v>0.10115269880784397</v>
      </c>
      <c r="AA8" s="9">
        <f>'1'!AO8</f>
        <v>0.1108536899076922</v>
      </c>
      <c r="AB8" s="9">
        <f>'2'!AM8</f>
        <v>0.10973413383196122</v>
      </c>
      <c r="AC8" s="9">
        <f>'2'!AO8</f>
        <v>0.14088791842055143</v>
      </c>
      <c r="AD8" s="9">
        <f>'3'!M8</f>
        <v>-51.230603824914851</v>
      </c>
      <c r="AE8" s="9" t="e">
        <f>'8'!U5</f>
        <v>#REF!</v>
      </c>
      <c r="AF8" s="9" t="e">
        <f>SUM(Z8,AB8,AD8,AE8)/4</f>
        <v>#REF!</v>
      </c>
      <c r="AG8" s="9" t="e">
        <f>SUM(AA8,AC8,AD8,AE8)/4</f>
        <v>#REF!</v>
      </c>
      <c r="AH8" s="9">
        <f>'1'!AW8</f>
        <v>3.5682580310753394E-2</v>
      </c>
      <c r="AI8" s="9">
        <f>'1'!AY8</f>
        <v>5.7614758664340038E-3</v>
      </c>
      <c r="AJ8" s="9">
        <f>'2'!AW8</f>
        <v>0.11807951407484041</v>
      </c>
      <c r="AK8" s="9">
        <f>'2'!AY8</f>
        <v>0.15792033913589126</v>
      </c>
      <c r="AL8" s="9">
        <f>'3'!P8</f>
        <v>-61.037687169951042</v>
      </c>
      <c r="AM8" s="9" t="e">
        <f>'8'!Z5</f>
        <v>#REF!</v>
      </c>
      <c r="AN8" s="9" t="e">
        <f>SUM(AH8,AJ8,AL8,AM8)/4</f>
        <v>#REF!</v>
      </c>
      <c r="AO8" s="9" t="e">
        <f>SUM(AI8,AK8,AL8,AM8)/4</f>
        <v>#REF!</v>
      </c>
      <c r="AP8" s="9">
        <f>'1'!BG8</f>
        <v>5.6224012902191242E-2</v>
      </c>
      <c r="AQ8" s="9">
        <f>'1'!BI8</f>
        <v>3.9946561660017352E-2</v>
      </c>
      <c r="AR8" s="9">
        <f>'2'!BG8</f>
        <v>0.15785953627863655</v>
      </c>
      <c r="AS8" s="9">
        <f>'2'!BI8</f>
        <v>0.23269200996821837</v>
      </c>
      <c r="AT8" s="9">
        <f>'3'!S8</f>
        <v>-41.292861930799653</v>
      </c>
      <c r="AU8" s="9" t="e">
        <f>'8'!AE5</f>
        <v>#REF!</v>
      </c>
      <c r="AV8" s="9" t="e">
        <f>SUM(AP8,AR8,AT8,AU8)/4</f>
        <v>#REF!</v>
      </c>
      <c r="AW8" s="9" t="e">
        <f>SUM(AQ8,AS8,AT8,AU8)/4</f>
        <v>#REF!</v>
      </c>
      <c r="AX8" s="9">
        <f>'1'!BQ8</f>
        <v>0.17118963708997967</v>
      </c>
      <c r="AY8" s="9">
        <f>'1'!BS8</f>
        <v>0.21218701412252566</v>
      </c>
      <c r="AZ8" s="9">
        <f>'2'!BQ8</f>
        <v>0.15969280418157433</v>
      </c>
      <c r="BA8" s="9">
        <f>'2'!BS8</f>
        <v>0.23590935724775663</v>
      </c>
      <c r="BB8" s="9">
        <f>'3'!V8</f>
        <v>-41.269291869468965</v>
      </c>
      <c r="BC8" s="9" t="e">
        <f>'8'!AJ5</f>
        <v>#REF!</v>
      </c>
      <c r="BD8" s="9" t="e">
        <f>SUM(AX8,AZ8,BB8,BC8)/4</f>
        <v>#REF!</v>
      </c>
      <c r="BE8" s="9" t="e">
        <f>SUM(AY8,BA8,BB8,BC8)/4</f>
        <v>#REF!</v>
      </c>
      <c r="BF8" s="9">
        <f>'1'!CA8</f>
        <v>0.1266627610322468</v>
      </c>
      <c r="BG8" s="9">
        <f>'1'!CC8</f>
        <v>0.14897035701114769</v>
      </c>
      <c r="BH8" s="9">
        <f>'2'!CA8</f>
        <v>0.21607209009362854</v>
      </c>
      <c r="BI8" s="9">
        <f>'2'!CC8</f>
        <v>0.32681075465456128</v>
      </c>
      <c r="BJ8" s="9">
        <f>'3'!Y8</f>
        <v>-61.228690455242877</v>
      </c>
      <c r="BK8" s="9" t="e">
        <f>'8'!AO5</f>
        <v>#REF!</v>
      </c>
      <c r="BL8" s="9" t="e">
        <f>SUM(BF8,BH8,BJ8,BK8)/4</f>
        <v>#REF!</v>
      </c>
      <c r="BM8" s="9" t="e">
        <f>SUM(BG8,BI8,BJ8,BK8)/4</f>
        <v>#REF!</v>
      </c>
      <c r="BN8" s="9">
        <f>'1'!CK8</f>
        <v>1.3077925063923111E-2</v>
      </c>
      <c r="BO8" s="9">
        <f>'1'!CM8</f>
        <v>-3.3268589750641814E-2</v>
      </c>
      <c r="BP8" s="9">
        <f>'2'!CK8</f>
        <v>0.30657179370537407</v>
      </c>
      <c r="BQ8" s="9">
        <f>'2'!CM8</f>
        <v>0.44758819428118407</v>
      </c>
      <c r="BR8" s="9">
        <f>'3'!AB8</f>
        <v>-62.175584769885326</v>
      </c>
      <c r="BS8" s="9" t="e">
        <f>'8'!AT5</f>
        <v>#REF!</v>
      </c>
      <c r="BT8" s="9" t="e">
        <f>SUM(BN8,BP8,BR8,BS8)/4</f>
        <v>#REF!</v>
      </c>
      <c r="BU8" s="9" t="e">
        <f>SUM(BO8,BQ8,BR8,BS8)/4</f>
        <v>#REF!</v>
      </c>
      <c r="BV8" s="9">
        <f>'1'!CU8</f>
        <v>0.12164088674446942</v>
      </c>
      <c r="BW8" s="9">
        <f>'1'!CW8</f>
        <v>0.14158147064749127</v>
      </c>
      <c r="BX8" s="9">
        <f>'2'!CU8</f>
        <v>0.2415980883363375</v>
      </c>
      <c r="BY8" s="9">
        <f>'2'!CW8</f>
        <v>0.36358311211320782</v>
      </c>
      <c r="BZ8" s="9">
        <f>'3'!AE8</f>
        <v>-52.036767110410516</v>
      </c>
      <c r="CA8" s="9" t="e">
        <f>'8'!AY5</f>
        <v>#REF!</v>
      </c>
      <c r="CB8" s="9" t="e">
        <f>SUM(BV8,BX8,BZ8,CA8)/4</f>
        <v>#REF!</v>
      </c>
      <c r="CC8" s="9" t="e">
        <f>SUM(BW8,BY8,BZ8,CA8)/4</f>
        <v>#REF!</v>
      </c>
      <c r="CD8" s="9">
        <f>'1'!DE8</f>
        <v>0.13780551677973304</v>
      </c>
      <c r="CE8" s="9">
        <f>'1'!DG8</f>
        <v>0.16517151640617717</v>
      </c>
      <c r="CF8" s="9">
        <f>'2'!DE8</f>
        <v>0.26908540722552432</v>
      </c>
      <c r="CG8" s="9">
        <f>'2'!DG8</f>
        <v>0.40066379342618608</v>
      </c>
      <c r="CH8" s="9">
        <f>'3'!AH8</f>
        <v>-46.326652926995003</v>
      </c>
      <c r="CI8" s="9" t="e">
        <f>'8'!BD5</f>
        <v>#REF!</v>
      </c>
      <c r="CJ8" s="9" t="e">
        <f>SUM(CD8,CF8,CH8,CI8)/4</f>
        <v>#REF!</v>
      </c>
      <c r="CK8" s="142" t="e">
        <f>SUM(CE8,CG8,CH8,CI8)/4</f>
        <v>#REF!</v>
      </c>
    </row>
    <row r="9" spans="1:89" hidden="1">
      <c r="A9" s="1">
        <v>1972</v>
      </c>
      <c r="B9" s="9">
        <f>'1'!I9</f>
        <v>0.11701940637881059</v>
      </c>
      <c r="C9" s="9">
        <f>'1'!K9</f>
        <v>0.13473280170859125</v>
      </c>
      <c r="D9" s="9">
        <f>'2'!I9</f>
        <v>0.18446376732384434</v>
      </c>
      <c r="E9" s="9">
        <f>'2'!K9</f>
        <v>0.27766795749607875</v>
      </c>
      <c r="F9" s="9">
        <f>'3'!D9</f>
        <v>-46.459539597108417</v>
      </c>
      <c r="G9" s="9" t="e">
        <f>'8'!F6</f>
        <v>#REF!</v>
      </c>
      <c r="H9" s="9" t="e">
        <f t="shared" ref="H9:H17" si="0">SUM(B9,D9,F9,G9)/4</f>
        <v>#REF!</v>
      </c>
      <c r="I9" s="9" t="e">
        <f t="shared" ref="I9:I17" si="1">SUM(C9,E9,F9,G9)/4</f>
        <v>#REF!</v>
      </c>
      <c r="J9" s="9">
        <f>'1'!S9</f>
        <v>2.5894125630057758E-3</v>
      </c>
      <c r="K9" s="9">
        <f>'1'!U9</f>
        <v>-5.1912721225290656E-2</v>
      </c>
      <c r="L9" s="9">
        <f>'2'!S9</f>
        <v>0.13896666149846171</v>
      </c>
      <c r="M9" s="9">
        <f>'2'!U9</f>
        <v>0.198416560835287</v>
      </c>
      <c r="N9" s="9">
        <f>'3'!G9</f>
        <v>-87.44282039190017</v>
      </c>
      <c r="O9" s="9" t="e">
        <f>'8'!K6</f>
        <v>#REF!</v>
      </c>
      <c r="P9" s="9" t="e">
        <f t="shared" ref="P9:P17" si="2">SUM(J9,L9,N9,O9)/4</f>
        <v>#REF!</v>
      </c>
      <c r="Q9" s="9" t="e">
        <f t="shared" ref="Q9:Q17" si="3">SUM(K9,M9,N9,O9)/4</f>
        <v>#REF!</v>
      </c>
      <c r="R9" s="9">
        <f>'1'!AC9</f>
        <v>8.9395039799158638E-2</v>
      </c>
      <c r="S9" s="9">
        <f>'1'!AE9</f>
        <v>9.2780878493023008E-2</v>
      </c>
      <c r="T9" s="9">
        <f>'2'!AC9</f>
        <v>6.7713291953682697E-2</v>
      </c>
      <c r="U9" s="9">
        <f>'2'!AE9</f>
        <v>4.6282963286511491E-2</v>
      </c>
      <c r="V9" s="9">
        <f>'3'!J9</f>
        <v>-73.855883474873721</v>
      </c>
      <c r="W9" s="9" t="e">
        <f>'8'!P6</f>
        <v>#REF!</v>
      </c>
      <c r="X9" s="9" t="e">
        <f t="shared" ref="X9:X17" si="4">SUM(R9,T9,V9,W9)/4</f>
        <v>#REF!</v>
      </c>
      <c r="Y9" s="9" t="e">
        <f t="shared" ref="Y9:Y17" si="5">SUM(S9,U9,V9,W9)/4</f>
        <v>#REF!</v>
      </c>
      <c r="Z9" s="9">
        <f>'1'!AM9</f>
        <v>0.11779214078635432</v>
      </c>
      <c r="AA9" s="9">
        <f>'1'!AO9</f>
        <v>0.13588122501184977</v>
      </c>
      <c r="AB9" s="9">
        <f>'2'!AM9</f>
        <v>0.11111257190512831</v>
      </c>
      <c r="AC9" s="9">
        <f>'2'!AO9</f>
        <v>0.14373704175378091</v>
      </c>
      <c r="AD9" s="9">
        <f>'3'!M9</f>
        <v>-51.230603824914851</v>
      </c>
      <c r="AE9" s="9" t="e">
        <f>'8'!U6</f>
        <v>#REF!</v>
      </c>
      <c r="AF9" s="9" t="e">
        <f t="shared" ref="AF9:AF17" si="6">SUM(Z9,AB9,AD9,AE9)/4</f>
        <v>#REF!</v>
      </c>
      <c r="AG9" s="9" t="e">
        <f t="shared" ref="AG9:AG17" si="7">SUM(AA9,AC9,AD9,AE9)/4</f>
        <v>#REF!</v>
      </c>
      <c r="AH9" s="9">
        <f>'1'!AW9</f>
        <v>4.5322110922740022E-2</v>
      </c>
      <c r="AI9" s="9">
        <f>'1'!AY9</f>
        <v>2.195016764162808E-2</v>
      </c>
      <c r="AJ9" s="9">
        <f>'2'!AW9</f>
        <v>0.11808227942356452</v>
      </c>
      <c r="AK9" s="9">
        <f>'2'!AY9</f>
        <v>0.15792589839189977</v>
      </c>
      <c r="AL9" s="9">
        <f>'3'!P9</f>
        <v>-61.037687169951042</v>
      </c>
      <c r="AM9" s="9" t="e">
        <f>'8'!Z6</f>
        <v>#REF!</v>
      </c>
      <c r="AN9" s="9" t="e">
        <f t="shared" ref="AN9:AN17" si="8">SUM(AH9,AJ9,AL9,AM9)/4</f>
        <v>#REF!</v>
      </c>
      <c r="AO9" s="9" t="e">
        <f t="shared" ref="AO9:AO17" si="9">SUM(AI9,AK9,AL9,AM9)/4</f>
        <v>#REF!</v>
      </c>
      <c r="AP9" s="9">
        <f>'1'!BG9</f>
        <v>7.9451696223627369E-2</v>
      </c>
      <c r="AQ9" s="9">
        <f>'1'!BI9</f>
        <v>7.7236034910803594E-2</v>
      </c>
      <c r="AR9" s="9">
        <f>'2'!BG9</f>
        <v>0.16060116109357234</v>
      </c>
      <c r="AS9" s="9">
        <f>'2'!BI9</f>
        <v>0.23749670982075108</v>
      </c>
      <c r="AT9" s="9">
        <f>'3'!S9</f>
        <v>-41.292861930799653</v>
      </c>
      <c r="AU9" s="9" t="e">
        <f>'8'!AE6</f>
        <v>#REF!</v>
      </c>
      <c r="AV9" s="9" t="e">
        <f t="shared" ref="AV9:AV17" si="10">SUM(AP9,AR9,AT9,AU9)/4</f>
        <v>#REF!</v>
      </c>
      <c r="AW9" s="9" t="e">
        <f t="shared" ref="AW9:AW17" si="11">SUM(AQ9,AS9,AT9,AU9)/4</f>
        <v>#REF!</v>
      </c>
      <c r="AX9" s="9">
        <f>'1'!BQ9</f>
        <v>0.19490336844051109</v>
      </c>
      <c r="AY9" s="9">
        <f>'1'!BS9</f>
        <v>0.24428163692473856</v>
      </c>
      <c r="AZ9" s="9">
        <f>'2'!BQ9</f>
        <v>0.16194006716399267</v>
      </c>
      <c r="BA9" s="9">
        <f>'2'!BS9</f>
        <v>0.23982830590446202</v>
      </c>
      <c r="BB9" s="9">
        <f>'3'!V9</f>
        <v>-41.269291869468965</v>
      </c>
      <c r="BC9" s="9" t="e">
        <f>'8'!AJ6</f>
        <v>#REF!</v>
      </c>
      <c r="BD9" s="9" t="e">
        <f t="shared" ref="BD9:BD17" si="12">SUM(AX9,AZ9,BB9,BC9)/4</f>
        <v>#REF!</v>
      </c>
      <c r="BE9" s="9" t="e">
        <f t="shared" ref="BE9:BE17" si="13">SUM(AY9,BA9,BB9,BC9)/4</f>
        <v>#REF!</v>
      </c>
      <c r="BF9" s="9">
        <f>'1'!CA9</f>
        <v>0.14764483322259325</v>
      </c>
      <c r="BG9" s="9">
        <f>'1'!CC9</f>
        <v>0.179261134221949</v>
      </c>
      <c r="BH9" s="9">
        <f>'2'!CA9</f>
        <v>0.21773206200284898</v>
      </c>
      <c r="BI9" s="9">
        <f>'2'!CC9</f>
        <v>0.32927659941237913</v>
      </c>
      <c r="BJ9" s="9">
        <f>'3'!Y9</f>
        <v>-61.228690455242877</v>
      </c>
      <c r="BK9" s="9" t="e">
        <f>'8'!AO6</f>
        <v>#REF!</v>
      </c>
      <c r="BL9" s="9" t="e">
        <f t="shared" ref="BL9:BL17" si="14">SUM(BF9,BH9,BJ9,BK9)/4</f>
        <v>#REF!</v>
      </c>
      <c r="BM9" s="9" t="e">
        <f t="shared" ref="BM9:BM17" si="15">SUM(BG9,BI9,BJ9,BK9)/4</f>
        <v>#REF!</v>
      </c>
      <c r="BN9" s="9">
        <f>'1'!CK9</f>
        <v>4.7271215409419448E-2</v>
      </c>
      <c r="BO9" s="9">
        <f>'1'!CM9</f>
        <v>2.5191689245728836E-2</v>
      </c>
      <c r="BP9" s="9">
        <f>'2'!CK9</f>
        <v>0.30311238567460042</v>
      </c>
      <c r="BQ9" s="9">
        <f>'2'!CM9</f>
        <v>0.44341815442797961</v>
      </c>
      <c r="BR9" s="9">
        <f>'3'!AB9</f>
        <v>-62.175584769885326</v>
      </c>
      <c r="BS9" s="9" t="e">
        <f>'8'!AT6</f>
        <v>#REF!</v>
      </c>
      <c r="BT9" s="9" t="e">
        <f t="shared" ref="BT9:BT17" si="16">SUM(BN9,BP9,BR9,BS9)/4</f>
        <v>#REF!</v>
      </c>
      <c r="BU9" s="9" t="e">
        <f t="shared" ref="BU9:BU17" si="17">SUM(BO9,BQ9,BR9,BS9)/4</f>
        <v>#REF!</v>
      </c>
      <c r="BV9" s="9">
        <f>'1'!CU9</f>
        <v>0.15091165735650389</v>
      </c>
      <c r="BW9" s="9">
        <f>'1'!CW9</f>
        <v>0.18389529401284924</v>
      </c>
      <c r="BX9" s="9">
        <f>'2'!CU9</f>
        <v>0.24106852498669612</v>
      </c>
      <c r="BY9" s="9">
        <f>'2'!CW9</f>
        <v>0.3628441572857159</v>
      </c>
      <c r="BZ9" s="9">
        <f>'3'!AE9</f>
        <v>-52.036767110410516</v>
      </c>
      <c r="CA9" s="9" t="e">
        <f>'8'!AY6</f>
        <v>#REF!</v>
      </c>
      <c r="CB9" s="9" t="e">
        <f t="shared" ref="CB9:CB17" si="18">SUM(BV9,BX9,BZ9,CA9)/4</f>
        <v>#REF!</v>
      </c>
      <c r="CC9" s="9" t="e">
        <f t="shared" ref="CC9:CC17" si="19">SUM(BW9,BY9,BZ9,CA9)/4</f>
        <v>#REF!</v>
      </c>
      <c r="CD9" s="9">
        <f>'1'!DE9</f>
        <v>0.16746903410538064</v>
      </c>
      <c r="CE9" s="9">
        <f>'1'!DG9</f>
        <v>0.20705603600821712</v>
      </c>
      <c r="CF9" s="9">
        <f>'2'!DE9</f>
        <v>0.26989759491711973</v>
      </c>
      <c r="CG9" s="9">
        <f>'2'!DG9</f>
        <v>0.40172309755741614</v>
      </c>
      <c r="CH9" s="9">
        <f>'3'!AH9</f>
        <v>-46.326652926995003</v>
      </c>
      <c r="CI9" s="9" t="e">
        <f>'8'!BD6</f>
        <v>#REF!</v>
      </c>
      <c r="CJ9" s="9" t="e">
        <f t="shared" ref="CJ9:CJ17" si="20">SUM(CD9,CF9,CH9,CI9)/4</f>
        <v>#REF!</v>
      </c>
      <c r="CK9" s="142" t="e">
        <f t="shared" ref="CK9:CK17" si="21">SUM(CE9,CG9,CH9,CI9)/4</f>
        <v>#REF!</v>
      </c>
    </row>
    <row r="10" spans="1:89" hidden="1">
      <c r="A10" s="1">
        <v>1973</v>
      </c>
      <c r="B10" s="9">
        <f>'1'!I10</f>
        <v>0.14042456734718101</v>
      </c>
      <c r="C10" s="9">
        <f>'1'!K10</f>
        <v>0.16894147879647725</v>
      </c>
      <c r="D10" s="9">
        <f>'2'!I10</f>
        <v>0.1879740233961798</v>
      </c>
      <c r="E10" s="9">
        <f>'2'!K10</f>
        <v>0.28334237294913689</v>
      </c>
      <c r="F10" s="9">
        <f>'3'!D10</f>
        <v>-46.459539597108417</v>
      </c>
      <c r="G10" s="9" t="e">
        <f>'8'!F7</f>
        <v>#REF!</v>
      </c>
      <c r="H10" s="9" t="e">
        <f>SUM(B10,D10,F10,G10)/4</f>
        <v>#REF!</v>
      </c>
      <c r="I10" s="9" t="e">
        <f>SUM(C10,E10,F10,G10)/4</f>
        <v>#REF!</v>
      </c>
      <c r="J10" s="9">
        <f>'1'!S10</f>
        <v>2.5739830537903206E-2</v>
      </c>
      <c r="K10" s="9">
        <f>'1'!U10</f>
        <v>-1.1217482358619154E-2</v>
      </c>
      <c r="L10" s="9">
        <f>'2'!S10</f>
        <v>0.13950414057840363</v>
      </c>
      <c r="M10" s="9">
        <f>'2'!U10</f>
        <v>0.19942109131092231</v>
      </c>
      <c r="N10" s="9">
        <f>'3'!G10</f>
        <v>-87.44282039190017</v>
      </c>
      <c r="O10" s="9" t="e">
        <f>'8'!K7</f>
        <v>#REF!</v>
      </c>
      <c r="P10" s="9" t="e">
        <f t="shared" si="2"/>
        <v>#REF!</v>
      </c>
      <c r="Q10" s="9" t="e">
        <f t="shared" si="3"/>
        <v>#REF!</v>
      </c>
      <c r="R10" s="9">
        <f>'1'!AC10</f>
        <v>0.13012305695109949</v>
      </c>
      <c r="S10" s="9">
        <f>'1'!AE10</f>
        <v>0.15402984068565281</v>
      </c>
      <c r="T10" s="9">
        <f>'2'!AC10</f>
        <v>7.3241703614914236E-2</v>
      </c>
      <c r="U10" s="9">
        <f>'2'!AE10</f>
        <v>5.9677111503833612E-2</v>
      </c>
      <c r="V10" s="9">
        <f>'3'!J10</f>
        <v>-73.855883474873721</v>
      </c>
      <c r="W10" s="9" t="e">
        <f>'8'!P7</f>
        <v>#REF!</v>
      </c>
      <c r="X10" s="9" t="e">
        <f t="shared" si="4"/>
        <v>#REF!</v>
      </c>
      <c r="Y10" s="9" t="e">
        <f t="shared" si="5"/>
        <v>#REF!</v>
      </c>
      <c r="Z10" s="9">
        <f>'1'!AM10</f>
        <v>0.1451847564371459</v>
      </c>
      <c r="AA10" s="9">
        <f>'1'!AO10</f>
        <v>0.17575706418875314</v>
      </c>
      <c r="AB10" s="9">
        <f>'2'!AM10</f>
        <v>0.11460129379679383</v>
      </c>
      <c r="AC10" s="9">
        <f>'2'!AO10</f>
        <v>0.1508841004059048</v>
      </c>
      <c r="AD10" s="9">
        <f>'3'!M10</f>
        <v>-51.230603824914851</v>
      </c>
      <c r="AE10" s="9" t="e">
        <f>'8'!U7</f>
        <v>#REF!</v>
      </c>
      <c r="AF10" s="9" t="e">
        <f t="shared" si="6"/>
        <v>#REF!</v>
      </c>
      <c r="AG10" s="9" t="e">
        <f t="shared" si="7"/>
        <v>#REF!</v>
      </c>
      <c r="AH10" s="9">
        <f>'1'!AW10</f>
        <v>5.2927324606308376E-2</v>
      </c>
      <c r="AI10" s="9">
        <f>'1'!AY10</f>
        <v>3.453883014622422E-2</v>
      </c>
      <c r="AJ10" s="9">
        <f>'2'!AW10</f>
        <v>0.1219471156694063</v>
      </c>
      <c r="AK10" s="9">
        <f>'2'!AY10</f>
        <v>0.1656422542353265</v>
      </c>
      <c r="AL10" s="9">
        <f>'3'!P10</f>
        <v>-61.037687169951042</v>
      </c>
      <c r="AM10" s="9" t="e">
        <f>'8'!Z7</f>
        <v>#REF!</v>
      </c>
      <c r="AN10" s="9" t="e">
        <f t="shared" si="8"/>
        <v>#REF!</v>
      </c>
      <c r="AO10" s="9" t="e">
        <f t="shared" si="9"/>
        <v>#REF!</v>
      </c>
      <c r="AP10" s="9">
        <f>'1'!BG10</f>
        <v>0.11517841301717084</v>
      </c>
      <c r="AQ10" s="9">
        <f>'1'!BI10</f>
        <v>0.13199139154012865</v>
      </c>
      <c r="AR10" s="9">
        <f>'2'!BG10</f>
        <v>0.16505726305514878</v>
      </c>
      <c r="AS10" s="9">
        <f>'2'!BI10</f>
        <v>0.24521948063984525</v>
      </c>
      <c r="AT10" s="9">
        <f>'3'!S10</f>
        <v>-41.292861930799653</v>
      </c>
      <c r="AU10" s="9" t="e">
        <f>'8'!AE7</f>
        <v>#REF!</v>
      </c>
      <c r="AV10" s="9" t="e">
        <f t="shared" si="10"/>
        <v>#REF!</v>
      </c>
      <c r="AW10" s="9" t="e">
        <f t="shared" si="11"/>
        <v>#REF!</v>
      </c>
      <c r="AX10" s="9">
        <f>'1'!BQ10</f>
        <v>0.22066435838334109</v>
      </c>
      <c r="AY10" s="9">
        <f>'1'!BS10</f>
        <v>0.27801086886818199</v>
      </c>
      <c r="AZ10" s="9">
        <f>'2'!BQ10</f>
        <v>0.165522488513411</v>
      </c>
      <c r="BA10" s="9">
        <f>'2'!BS10</f>
        <v>0.24601967097493183</v>
      </c>
      <c r="BB10" s="9">
        <f>'3'!V10</f>
        <v>-41.269291869468965</v>
      </c>
      <c r="BC10" s="9" t="e">
        <f>'8'!AJ7</f>
        <v>#REF!</v>
      </c>
      <c r="BD10" s="9" t="e">
        <f t="shared" si="12"/>
        <v>#REF!</v>
      </c>
      <c r="BE10" s="9" t="e">
        <f t="shared" si="13"/>
        <v>#REF!</v>
      </c>
      <c r="BF10" s="9">
        <f>'1'!CA10</f>
        <v>0.17549003198845856</v>
      </c>
      <c r="BG10" s="9">
        <f>'1'!CC10</f>
        <v>0.21808473988423713</v>
      </c>
      <c r="BH10" s="9">
        <f>'2'!CA10</f>
        <v>0.22000816179587743</v>
      </c>
      <c r="BI10" s="9">
        <f>'2'!CC10</f>
        <v>0.33264020181805054</v>
      </c>
      <c r="BJ10" s="9">
        <f>'3'!Y10</f>
        <v>-61.228690455242877</v>
      </c>
      <c r="BK10" s="9" t="e">
        <f>'8'!AO7</f>
        <v>#REF!</v>
      </c>
      <c r="BL10" s="9" t="e">
        <f t="shared" si="14"/>
        <v>#REF!</v>
      </c>
      <c r="BM10" s="9" t="e">
        <f t="shared" si="15"/>
        <v>#REF!</v>
      </c>
      <c r="BN10" s="9">
        <f>'1'!CK10</f>
        <v>7.6673146900038541E-2</v>
      </c>
      <c r="BO10" s="9">
        <f>'1'!CM10</f>
        <v>7.2848379042191463E-2</v>
      </c>
      <c r="BP10" s="9">
        <f>'2'!CK10</f>
        <v>0.30480393190451716</v>
      </c>
      <c r="BQ10" s="9">
        <f>'2'!CM10</f>
        <v>0.4454610424040274</v>
      </c>
      <c r="BR10" s="9">
        <f>'3'!AB10</f>
        <v>-62.175584769885326</v>
      </c>
      <c r="BS10" s="9" t="e">
        <f>'8'!AT7</f>
        <v>#REF!</v>
      </c>
      <c r="BT10" s="9" t="e">
        <f t="shared" si="16"/>
        <v>#REF!</v>
      </c>
      <c r="BU10" s="9" t="e">
        <f t="shared" si="17"/>
        <v>#REF!</v>
      </c>
      <c r="BV10" s="9">
        <f>'1'!CU10</f>
        <v>0.19048774376849695</v>
      </c>
      <c r="BW10" s="9">
        <f>'1'!CW10</f>
        <v>0.23838346723277301</v>
      </c>
      <c r="BX10" s="9">
        <f>'2'!CU10</f>
        <v>0.26933007881023613</v>
      </c>
      <c r="BY10" s="9">
        <f>'2'!CW10</f>
        <v>0.40098311895205185</v>
      </c>
      <c r="BZ10" s="9">
        <f>'3'!AE10</f>
        <v>-52.036767110410516</v>
      </c>
      <c r="CA10" s="9" t="e">
        <f>'8'!AY7</f>
        <v>#REF!</v>
      </c>
      <c r="CB10" s="9" t="e">
        <f t="shared" si="18"/>
        <v>#REF!</v>
      </c>
      <c r="CC10" s="9" t="e">
        <f t="shared" si="19"/>
        <v>#REF!</v>
      </c>
      <c r="CD10" s="9">
        <f>'1'!DE10</f>
        <v>0.20138348001919087</v>
      </c>
      <c r="CE10" s="9">
        <f>'1'!DG10</f>
        <v>0.25287453583476444</v>
      </c>
      <c r="CF10" s="9">
        <f>'2'!DE10</f>
        <v>0.27626040124614148</v>
      </c>
      <c r="CG10" s="9">
        <f>'2'!DG10</f>
        <v>0.40995350732031161</v>
      </c>
      <c r="CH10" s="9">
        <f>'3'!AH10</f>
        <v>-46.326652926995003</v>
      </c>
      <c r="CI10" s="9" t="e">
        <f>'8'!BD7</f>
        <v>#REF!</v>
      </c>
      <c r="CJ10" s="9" t="e">
        <f t="shared" si="20"/>
        <v>#REF!</v>
      </c>
      <c r="CK10" s="142" t="e">
        <f t="shared" si="21"/>
        <v>#REF!</v>
      </c>
    </row>
    <row r="11" spans="1:89" hidden="1">
      <c r="A11" s="1">
        <v>1974</v>
      </c>
      <c r="B11" s="9">
        <f>'1'!I11</f>
        <v>0.15667009511655916</v>
      </c>
      <c r="C11" s="9">
        <f>'1'!K11</f>
        <v>0.19201167353458995</v>
      </c>
      <c r="D11" s="9">
        <f>'2'!I11</f>
        <v>0.19036063609921283</v>
      </c>
      <c r="E11" s="9">
        <f>'2'!K11</f>
        <v>0.28716794494552289</v>
      </c>
      <c r="F11" s="9">
        <f>'3'!D11</f>
        <v>-46.457663086515652</v>
      </c>
      <c r="G11" s="9" t="e">
        <f>'8'!F8</f>
        <v>#REF!</v>
      </c>
      <c r="H11" s="9" t="e">
        <f t="shared" si="0"/>
        <v>#REF!</v>
      </c>
      <c r="I11" s="9" t="e">
        <f t="shared" si="1"/>
        <v>#REF!</v>
      </c>
      <c r="J11" s="9">
        <f>'1'!S11</f>
        <v>5.7303145352137402E-2</v>
      </c>
      <c r="K11" s="9">
        <f>'1'!U11</f>
        <v>4.1710344266765814E-2</v>
      </c>
      <c r="L11" s="9">
        <f>'2'!S11</f>
        <v>0.14152999978354736</v>
      </c>
      <c r="M11" s="9">
        <f>'2'!U11</f>
        <v>0.20319130568088586</v>
      </c>
      <c r="N11" s="9">
        <f>'3'!G11</f>
        <v>-87.439966198175895</v>
      </c>
      <c r="O11" s="9" t="e">
        <f>'8'!K8</f>
        <v>#REF!</v>
      </c>
      <c r="P11" s="9" t="e">
        <f t="shared" si="2"/>
        <v>#REF!</v>
      </c>
      <c r="Q11" s="9" t="e">
        <f t="shared" si="3"/>
        <v>#REF!</v>
      </c>
      <c r="R11" s="9">
        <f>'1'!AC11</f>
        <v>0.15674721092182259</v>
      </c>
      <c r="S11" s="9">
        <f>'1'!AE11</f>
        <v>0.19211991774968218</v>
      </c>
      <c r="T11" s="9">
        <f>'2'!AC11</f>
        <v>7.6205404211708974E-2</v>
      </c>
      <c r="U11" s="9">
        <f>'2'!AE11</f>
        <v>6.6728270060586209E-2</v>
      </c>
      <c r="V11" s="9">
        <f>'3'!J11</f>
        <v>-73.844297223950846</v>
      </c>
      <c r="W11" s="9" t="e">
        <f>'8'!P8</f>
        <v>#REF!</v>
      </c>
      <c r="X11" s="9" t="e">
        <f t="shared" si="4"/>
        <v>#REF!</v>
      </c>
      <c r="Y11" s="9" t="e">
        <f t="shared" si="5"/>
        <v>#REF!</v>
      </c>
      <c r="Z11" s="9">
        <f>'1'!AM11</f>
        <v>0.18141872196920064</v>
      </c>
      <c r="AA11" s="9">
        <f>'1'!AO11</f>
        <v>0.22615859186423803</v>
      </c>
      <c r="AB11" s="9">
        <f>'2'!AM11</f>
        <v>0.11796817052604915</v>
      </c>
      <c r="AC11" s="9">
        <f>'2'!AO11</f>
        <v>0.15769645648764188</v>
      </c>
      <c r="AD11" s="9">
        <f>'3'!M11</f>
        <v>-51.22519050547529</v>
      </c>
      <c r="AE11" s="9" t="e">
        <f>'8'!U8</f>
        <v>#REF!</v>
      </c>
      <c r="AF11" s="9" t="e">
        <f t="shared" si="6"/>
        <v>#REF!</v>
      </c>
      <c r="AG11" s="9" t="e">
        <f t="shared" si="7"/>
        <v>#REF!</v>
      </c>
      <c r="AH11" s="9">
        <f>'1'!AW11</f>
        <v>7.4120690290924676E-2</v>
      </c>
      <c r="AI11" s="9">
        <f>'1'!AY11</f>
        <v>6.8800602574472153E-2</v>
      </c>
      <c r="AJ11" s="9">
        <f>'2'!AW11</f>
        <v>0.13470367282978349</v>
      </c>
      <c r="AK11" s="9">
        <f>'2'!AY11</f>
        <v>0.19038496481371858</v>
      </c>
      <c r="AL11" s="9">
        <f>'3'!P11</f>
        <v>-61.041362834804609</v>
      </c>
      <c r="AM11" s="9" t="e">
        <f>'8'!Z8</f>
        <v>#REF!</v>
      </c>
      <c r="AN11" s="9" t="e">
        <f t="shared" si="8"/>
        <v>#REF!</v>
      </c>
      <c r="AO11" s="9" t="e">
        <f t="shared" si="9"/>
        <v>#REF!</v>
      </c>
      <c r="AP11" s="9">
        <f>'1'!BG11</f>
        <v>0.1370364837946457</v>
      </c>
      <c r="AQ11" s="9">
        <f>'1'!BI11</f>
        <v>0.16406181830860714</v>
      </c>
      <c r="AR11" s="9">
        <f>'2'!BG11</f>
        <v>0.17021454062564204</v>
      </c>
      <c r="AS11" s="9">
        <f>'2'!BI11</f>
        <v>0.25402699774085374</v>
      </c>
      <c r="AT11" s="9">
        <f>'3'!S11</f>
        <v>-41.28140434669389</v>
      </c>
      <c r="AU11" s="9" t="e">
        <f>'8'!AE8</f>
        <v>#REF!</v>
      </c>
      <c r="AV11" s="9" t="e">
        <f t="shared" si="10"/>
        <v>#REF!</v>
      </c>
      <c r="AW11" s="9" t="e">
        <f t="shared" si="11"/>
        <v>#REF!</v>
      </c>
      <c r="AX11" s="9">
        <f>'1'!BQ11</f>
        <v>0.24697777184003003</v>
      </c>
      <c r="AY11" s="9">
        <f>'1'!BS11</f>
        <v>0.31132047953146885</v>
      </c>
      <c r="AZ11" s="9">
        <f>'2'!BQ11</f>
        <v>0.16936964928392917</v>
      </c>
      <c r="BA11" s="9">
        <f>'2'!BS11</f>
        <v>0.25259352212616382</v>
      </c>
      <c r="BB11" s="9">
        <f>'3'!V11</f>
        <v>-41.266663016901475</v>
      </c>
      <c r="BC11" s="9" t="e">
        <f>'8'!AJ8</f>
        <v>#REF!</v>
      </c>
      <c r="BD11" s="9" t="e">
        <f t="shared" si="12"/>
        <v>#REF!</v>
      </c>
      <c r="BE11" s="9" t="e">
        <f t="shared" si="13"/>
        <v>#REF!</v>
      </c>
      <c r="BF11" s="9">
        <f>'1'!CA11</f>
        <v>0.20600645308420301</v>
      </c>
      <c r="BG11" s="9">
        <f>'1'!CC11</f>
        <v>0.25895968478189596</v>
      </c>
      <c r="BH11" s="9">
        <f>'2'!CA11</f>
        <v>0.22169947193785583</v>
      </c>
      <c r="BI11" s="9">
        <f>'2'!CC11</f>
        <v>0.33512663968444001</v>
      </c>
      <c r="BJ11" s="9">
        <f>'3'!Y11</f>
        <v>-61.219915101696678</v>
      </c>
      <c r="BK11" s="9" t="e">
        <f>'8'!AO8</f>
        <v>#REF!</v>
      </c>
      <c r="BL11" s="9" t="e">
        <f t="shared" si="14"/>
        <v>#REF!</v>
      </c>
      <c r="BM11" s="9" t="e">
        <f t="shared" si="15"/>
        <v>#REF!</v>
      </c>
      <c r="BN11" s="9">
        <f>'1'!CK11</f>
        <v>0.13695212040339574</v>
      </c>
      <c r="BO11" s="9">
        <f>'1'!CM11</f>
        <v>0.16394000826898886</v>
      </c>
      <c r="BP11" s="9">
        <f>'2'!CK11</f>
        <v>0.30798845645659978</v>
      </c>
      <c r="BQ11" s="9">
        <f>'2'!CM11</f>
        <v>0.44928698224322722</v>
      </c>
      <c r="BR11" s="9">
        <f>'3'!AB11</f>
        <v>-62.194542448042029</v>
      </c>
      <c r="BS11" s="9" t="e">
        <f>'8'!AT8</f>
        <v>#REF!</v>
      </c>
      <c r="BT11" s="9" t="e">
        <f t="shared" si="16"/>
        <v>#REF!</v>
      </c>
      <c r="BU11" s="9" t="e">
        <f t="shared" si="17"/>
        <v>#REF!</v>
      </c>
      <c r="BV11" s="9">
        <f>'1'!CU11</f>
        <v>0.23851755972165808</v>
      </c>
      <c r="BW11" s="9">
        <f>'1'!CW11</f>
        <v>0.30073218734784096</v>
      </c>
      <c r="BX11" s="9">
        <f>'2'!CU11</f>
        <v>0.33996310890536313</v>
      </c>
      <c r="BY11" s="9">
        <f>'2'!CW11</f>
        <v>0.48632436070842278</v>
      </c>
      <c r="BZ11" s="9">
        <f>'3'!AE11</f>
        <v>-52.058527021079009</v>
      </c>
      <c r="CA11" s="9" t="e">
        <f>'8'!AY8</f>
        <v>#REF!</v>
      </c>
      <c r="CB11" s="9" t="e">
        <f t="shared" si="18"/>
        <v>#REF!</v>
      </c>
      <c r="CC11" s="9" t="e">
        <f t="shared" si="19"/>
        <v>#REF!</v>
      </c>
      <c r="CD11" s="9">
        <f>'1'!DE11</f>
        <v>0.24645220588302014</v>
      </c>
      <c r="CE11" s="9">
        <f>'1'!DG11</f>
        <v>0.31066598985490684</v>
      </c>
      <c r="CF11" s="9">
        <f>'2'!DE11</f>
        <v>0.27309027700476329</v>
      </c>
      <c r="CG11" s="9">
        <f>'2'!DG11</f>
        <v>0.40586795090083516</v>
      </c>
      <c r="CH11" s="9">
        <f>'3'!AH11</f>
        <v>-46.344817049310002</v>
      </c>
      <c r="CI11" s="9" t="e">
        <f>'8'!BD8</f>
        <v>#REF!</v>
      </c>
      <c r="CJ11" s="9" t="e">
        <f t="shared" si="20"/>
        <v>#REF!</v>
      </c>
      <c r="CK11" s="142" t="e">
        <f t="shared" si="21"/>
        <v>#REF!</v>
      </c>
    </row>
    <row r="12" spans="1:89" hidden="1">
      <c r="A12" s="1">
        <v>1975</v>
      </c>
      <c r="B12" s="9">
        <f>'1'!I12</f>
        <v>0.17627869346084327</v>
      </c>
      <c r="C12" s="9">
        <f>'1'!K12</f>
        <v>0.21916255159999537</v>
      </c>
      <c r="D12" s="9">
        <f>'2'!I12</f>
        <v>0.1915218716260664</v>
      </c>
      <c r="E12" s="9">
        <f>'2'!K12</f>
        <v>0.28901995227485333</v>
      </c>
      <c r="F12" s="9">
        <f>'3'!D12</f>
        <v>-46.455786575922893</v>
      </c>
      <c r="G12" s="9" t="e">
        <f>'8'!F9</f>
        <v>#REF!</v>
      </c>
      <c r="H12" s="9" t="e">
        <f t="shared" si="0"/>
        <v>#REF!</v>
      </c>
      <c r="I12" s="9" t="e">
        <f t="shared" si="1"/>
        <v>#REF!</v>
      </c>
      <c r="J12" s="9">
        <f>'1'!S12</f>
        <v>8.1780805350767524E-2</v>
      </c>
      <c r="K12" s="9">
        <f>'1'!U12</f>
        <v>8.0899101556527603E-2</v>
      </c>
      <c r="L12" s="9">
        <f>'2'!S12</f>
        <v>0.13899596912834475</v>
      </c>
      <c r="M12" s="9">
        <f>'2'!U12</f>
        <v>0.19847138210454693</v>
      </c>
      <c r="N12" s="9">
        <f>'3'!G12</f>
        <v>-87.43711200445162</v>
      </c>
      <c r="O12" s="9" t="e">
        <f>'8'!K9</f>
        <v>#REF!</v>
      </c>
      <c r="P12" s="9" t="e">
        <f t="shared" si="2"/>
        <v>#REF!</v>
      </c>
      <c r="Q12" s="9" t="e">
        <f t="shared" si="3"/>
        <v>#REF!</v>
      </c>
      <c r="R12" s="9">
        <f>'1'!AC12</f>
        <v>0.19233748999705619</v>
      </c>
      <c r="S12" s="9">
        <f>'1'!AE12</f>
        <v>0.2408585284475564</v>
      </c>
      <c r="T12" s="9">
        <f>'2'!AC12</f>
        <v>7.7454191193426461E-2</v>
      </c>
      <c r="U12" s="9">
        <f>'2'!AE12</f>
        <v>6.9673074202520169E-2</v>
      </c>
      <c r="V12" s="9">
        <f>'3'!J12</f>
        <v>-73.832710973027972</v>
      </c>
      <c r="W12" s="9" t="e">
        <f>'8'!P9</f>
        <v>#REF!</v>
      </c>
      <c r="X12" s="9" t="e">
        <f t="shared" si="4"/>
        <v>#REF!</v>
      </c>
      <c r="Y12" s="9" t="e">
        <f t="shared" si="5"/>
        <v>#REF!</v>
      </c>
      <c r="Z12" s="9">
        <f>'1'!AM12</f>
        <v>0.20252667241918984</v>
      </c>
      <c r="AA12" s="9">
        <f>'1'!AO12</f>
        <v>0.25438277477023619</v>
      </c>
      <c r="AB12" s="9">
        <f>'2'!AM12</f>
        <v>0.11906144780304653</v>
      </c>
      <c r="AC12" s="9">
        <f>'2'!AO12</f>
        <v>0.15989089993278777</v>
      </c>
      <c r="AD12" s="9">
        <f>'3'!M12</f>
        <v>-51.219777186035735</v>
      </c>
      <c r="AE12" s="9" t="e">
        <f>'8'!U9</f>
        <v>#REF!</v>
      </c>
      <c r="AF12" s="9" t="e">
        <f t="shared" si="6"/>
        <v>#REF!</v>
      </c>
      <c r="AG12" s="9" t="e">
        <f t="shared" si="7"/>
        <v>#REF!</v>
      </c>
      <c r="AH12" s="9">
        <f>'1'!AW12</f>
        <v>0.10072057943871146</v>
      </c>
      <c r="AI12" s="9">
        <f>'1'!AY12</f>
        <v>0.11019526163607579</v>
      </c>
      <c r="AJ12" s="9">
        <f>'2'!AW12</f>
        <v>0.1408775998370807</v>
      </c>
      <c r="AK12" s="9">
        <f>'2'!AY12</f>
        <v>0.2019799178391212</v>
      </c>
      <c r="AL12" s="9">
        <f>'3'!P12</f>
        <v>-61.045038499658169</v>
      </c>
      <c r="AM12" s="9" t="e">
        <f>'8'!Z9</f>
        <v>#REF!</v>
      </c>
      <c r="AN12" s="9" t="e">
        <f t="shared" si="8"/>
        <v>#REF!</v>
      </c>
      <c r="AO12" s="9" t="e">
        <f t="shared" si="9"/>
        <v>#REF!</v>
      </c>
      <c r="AP12" s="9">
        <f>'1'!BG12</f>
        <v>0.16010866461186965</v>
      </c>
      <c r="AQ12" s="9">
        <f>'1'!BI12</f>
        <v>0.19682682479393981</v>
      </c>
      <c r="AR12" s="9">
        <f>'2'!BG12</f>
        <v>0.17341672314485557</v>
      </c>
      <c r="AS12" s="9">
        <f>'2'!BI12</f>
        <v>0.25942701168013405</v>
      </c>
      <c r="AT12" s="9">
        <f>'3'!S12</f>
        <v>-41.269946762588127</v>
      </c>
      <c r="AU12" s="9" t="e">
        <f>'8'!AE9</f>
        <v>#REF!</v>
      </c>
      <c r="AV12" s="9" t="e">
        <f t="shared" si="10"/>
        <v>#REF!</v>
      </c>
      <c r="AW12" s="9" t="e">
        <f t="shared" si="11"/>
        <v>#REF!</v>
      </c>
      <c r="AX12" s="9">
        <f>'1'!BQ12</f>
        <v>0.27348310403594156</v>
      </c>
      <c r="AY12" s="9">
        <f>'1'!BS12</f>
        <v>0.34378073533594206</v>
      </c>
      <c r="AZ12" s="9">
        <f>'2'!BQ12</f>
        <v>0.17059700118734988</v>
      </c>
      <c r="BA12" s="9">
        <f>'2'!BS12</f>
        <v>0.25467469558411365</v>
      </c>
      <c r="BB12" s="9">
        <f>'3'!V12</f>
        <v>-41.264034164333992</v>
      </c>
      <c r="BC12" s="9" t="e">
        <f>'8'!AJ9</f>
        <v>#REF!</v>
      </c>
      <c r="BD12" s="9" t="e">
        <f t="shared" si="12"/>
        <v>#REF!</v>
      </c>
      <c r="BE12" s="9" t="e">
        <f t="shared" si="13"/>
        <v>#REF!</v>
      </c>
      <c r="BF12" s="9">
        <f>'1'!CA12</f>
        <v>0.22382835048391519</v>
      </c>
      <c r="BG12" s="9">
        <f>'1'!CC12</f>
        <v>0.28207567238815395</v>
      </c>
      <c r="BH12" s="9">
        <f>'2'!CA12</f>
        <v>0.22232355051983427</v>
      </c>
      <c r="BI12" s="9">
        <f>'2'!CC12</f>
        <v>0.33604134334715363</v>
      </c>
      <c r="BJ12" s="9">
        <f>'3'!Y12</f>
        <v>-61.211139748150487</v>
      </c>
      <c r="BK12" s="9" t="e">
        <f>'8'!AO9</f>
        <v>#REF!</v>
      </c>
      <c r="BL12" s="9" t="e">
        <f t="shared" si="14"/>
        <v>#REF!</v>
      </c>
      <c r="BM12" s="9" t="e">
        <f t="shared" si="15"/>
        <v>#REF!</v>
      </c>
      <c r="BN12" s="9">
        <f>'1'!CK12</f>
        <v>0.19026976059198314</v>
      </c>
      <c r="BO12" s="9">
        <f>'1'!CM12</f>
        <v>0.23809138733362956</v>
      </c>
      <c r="BP12" s="9">
        <f>'2'!CK12</f>
        <v>0.30331827630138131</v>
      </c>
      <c r="BQ12" s="9">
        <f>'2'!CM12</f>
        <v>0.44366720656511927</v>
      </c>
      <c r="BR12" s="9">
        <f>'3'!AB12</f>
        <v>-62.213500126198731</v>
      </c>
      <c r="BS12" s="9" t="e">
        <f>'8'!AT9</f>
        <v>#REF!</v>
      </c>
      <c r="BT12" s="9" t="e">
        <f t="shared" si="16"/>
        <v>#REF!</v>
      </c>
      <c r="BU12" s="9" t="e">
        <f t="shared" si="17"/>
        <v>#REF!</v>
      </c>
      <c r="BV12" s="9">
        <f>'1'!CU12</f>
        <v>0.28885023544913124</v>
      </c>
      <c r="BW12" s="9">
        <f>'1'!CW12</f>
        <v>0.36212585637971378</v>
      </c>
      <c r="BX12" s="9">
        <f>'2'!CU12</f>
        <v>0.37861369303241471</v>
      </c>
      <c r="BY12" s="9">
        <f>'2'!CW12</f>
        <v>0.52806370544308889</v>
      </c>
      <c r="BZ12" s="9">
        <f>'3'!AE12</f>
        <v>-52.080286931747509</v>
      </c>
      <c r="CA12" s="9" t="e">
        <f>'8'!AY9</f>
        <v>#REF!</v>
      </c>
      <c r="CB12" s="9" t="e">
        <f t="shared" si="18"/>
        <v>#REF!</v>
      </c>
      <c r="CC12" s="9" t="e">
        <f t="shared" si="19"/>
        <v>#REF!</v>
      </c>
      <c r="CD12" s="9">
        <f>'1'!DE12</f>
        <v>0.27596989850844073</v>
      </c>
      <c r="CE12" s="9">
        <f>'1'!DG12</f>
        <v>0.34677251297489753</v>
      </c>
      <c r="CF12" s="9">
        <f>'2'!DE12</f>
        <v>0.266553346803238</v>
      </c>
      <c r="CG12" s="9">
        <f>'2'!DG12</f>
        <v>0.39734845970050231</v>
      </c>
      <c r="CH12" s="9">
        <f>'3'!AH12</f>
        <v>-46.362981171625002</v>
      </c>
      <c r="CI12" s="9" t="e">
        <f>'8'!BD9</f>
        <v>#REF!</v>
      </c>
      <c r="CJ12" s="9" t="e">
        <f t="shared" si="20"/>
        <v>#REF!</v>
      </c>
      <c r="CK12" s="142" t="e">
        <f t="shared" si="21"/>
        <v>#REF!</v>
      </c>
    </row>
    <row r="13" spans="1:89" hidden="1">
      <c r="A13" s="1">
        <v>1976</v>
      </c>
      <c r="B13" s="9">
        <f>'1'!I13</f>
        <v>0.19630893151526885</v>
      </c>
      <c r="C13" s="9">
        <f>'1'!K13</f>
        <v>0.24615179438609688</v>
      </c>
      <c r="D13" s="9">
        <f>'2'!I13</f>
        <v>0.20342458928402068</v>
      </c>
      <c r="E13" s="9">
        <f>'2'!K13</f>
        <v>0.30765948316408981</v>
      </c>
      <c r="F13" s="9">
        <f>'3'!D13</f>
        <v>-46.452971810033745</v>
      </c>
      <c r="G13" s="9" t="e">
        <f>'8'!F10</f>
        <v>#REF!</v>
      </c>
      <c r="H13" s="9" t="e">
        <f t="shared" si="0"/>
        <v>#REF!</v>
      </c>
      <c r="I13" s="9" t="e">
        <f t="shared" si="1"/>
        <v>#REF!</v>
      </c>
      <c r="J13" s="9">
        <f>'1'!S13</f>
        <v>9.6300027666184035E-2</v>
      </c>
      <c r="K13" s="9">
        <f>'1'!U13</f>
        <v>0.10343440148278413</v>
      </c>
      <c r="L13" s="9">
        <f>'2'!S13</f>
        <v>0.1237257938219465</v>
      </c>
      <c r="M13" s="9">
        <f>'2'!U13</f>
        <v>0.1691582091081231</v>
      </c>
      <c r="N13" s="9">
        <f>'3'!G13</f>
        <v>-87.412185379259611</v>
      </c>
      <c r="O13" s="9" t="e">
        <f>'8'!K10</f>
        <v>#REF!</v>
      </c>
      <c r="P13" s="9" t="e">
        <f t="shared" si="2"/>
        <v>#REF!</v>
      </c>
      <c r="Q13" s="9" t="e">
        <f t="shared" si="3"/>
        <v>#REF!</v>
      </c>
      <c r="R13" s="9">
        <f>'1'!AC13</f>
        <v>0.22587763313615664</v>
      </c>
      <c r="S13" s="9">
        <f>'1'!AE13</f>
        <v>0.28469955453350698</v>
      </c>
      <c r="T13" s="9">
        <f>'2'!AC13</f>
        <v>7.1273227996526037E-2</v>
      </c>
      <c r="U13" s="9">
        <f>'2'!AE13</f>
        <v>5.4944414593473163E-2</v>
      </c>
      <c r="V13" s="9">
        <f>'3'!J13</f>
        <v>-73.835554362143341</v>
      </c>
      <c r="W13" s="9" t="e">
        <f>'8'!P10</f>
        <v>#REF!</v>
      </c>
      <c r="X13" s="9" t="e">
        <f t="shared" si="4"/>
        <v>#REF!</v>
      </c>
      <c r="Y13" s="9" t="e">
        <f t="shared" si="5"/>
        <v>#REF!</v>
      </c>
      <c r="Z13" s="9">
        <f>'1'!AM13</f>
        <v>0.24779738211647265</v>
      </c>
      <c r="AA13" s="9">
        <f>'1'!AO13</f>
        <v>0.31234028426431837</v>
      </c>
      <c r="AB13" s="9">
        <f>'2'!AM13</f>
        <v>0.11896429501176536</v>
      </c>
      <c r="AC13" s="9">
        <f>'2'!AO13</f>
        <v>0.15969623966825883</v>
      </c>
      <c r="AD13" s="9">
        <f>'3'!M13</f>
        <v>-51.224162211171269</v>
      </c>
      <c r="AE13" s="9" t="e">
        <f>'8'!U10</f>
        <v>#REF!</v>
      </c>
      <c r="AF13" s="9" t="e">
        <f t="shared" si="6"/>
        <v>#REF!</v>
      </c>
      <c r="AG13" s="9" t="e">
        <f t="shared" si="7"/>
        <v>#REF!</v>
      </c>
      <c r="AH13" s="9">
        <f>'1'!AW13</f>
        <v>0.1202438167095297</v>
      </c>
      <c r="AI13" s="9">
        <f>'1'!AY13</f>
        <v>0.1395160972441179</v>
      </c>
      <c r="AJ13" s="9">
        <f>'2'!AW13</f>
        <v>0.13537247919063625</v>
      </c>
      <c r="AK13" s="9">
        <f>'2'!AY13</f>
        <v>0.19165262809195238</v>
      </c>
      <c r="AL13" s="9">
        <f>'3'!P13</f>
        <v>-61.056356290488921</v>
      </c>
      <c r="AM13" s="9" t="e">
        <f>'8'!Z10</f>
        <v>#REF!</v>
      </c>
      <c r="AN13" s="9" t="e">
        <f t="shared" si="8"/>
        <v>#REF!</v>
      </c>
      <c r="AO13" s="9" t="e">
        <f t="shared" si="9"/>
        <v>#REF!</v>
      </c>
      <c r="AP13" s="9">
        <f>'1'!BG13</f>
        <v>0.18492236822300859</v>
      </c>
      <c r="AQ13" s="9">
        <f>'1'!BI13</f>
        <v>0.23089929018851513</v>
      </c>
      <c r="AR13" s="9">
        <f>'2'!BG13</f>
        <v>0.16957077529556883</v>
      </c>
      <c r="AS13" s="9">
        <f>'2'!BI13</f>
        <v>0.25293509195127756</v>
      </c>
      <c r="AT13" s="9">
        <f>'3'!S13</f>
        <v>-41.273050104112137</v>
      </c>
      <c r="AU13" s="9" t="e">
        <f>'8'!AE10</f>
        <v>#REF!</v>
      </c>
      <c r="AV13" s="9" t="e">
        <f t="shared" si="10"/>
        <v>#REF!</v>
      </c>
      <c r="AW13" s="9" t="e">
        <f t="shared" si="11"/>
        <v>#REF!</v>
      </c>
      <c r="AX13" s="9">
        <f>'1'!BQ13</f>
        <v>0.29601655225865847</v>
      </c>
      <c r="AY13" s="9">
        <f>'1'!BS13</f>
        <v>0.37056647610921928</v>
      </c>
      <c r="AZ13" s="9">
        <f>'2'!BQ13</f>
        <v>0.17500502750655153</v>
      </c>
      <c r="BA13" s="9">
        <f>'2'!BS13</f>
        <v>0.26208633576989682</v>
      </c>
      <c r="BB13" s="9">
        <f>'3'!V13</f>
        <v>-41.267893030488096</v>
      </c>
      <c r="BC13" s="9" t="e">
        <f>'8'!AJ10</f>
        <v>#REF!</v>
      </c>
      <c r="BD13" s="9" t="e">
        <f t="shared" si="12"/>
        <v>#REF!</v>
      </c>
      <c r="BE13" s="9" t="e">
        <f t="shared" si="13"/>
        <v>#REF!</v>
      </c>
      <c r="BF13" s="9">
        <f>'1'!CA13</f>
        <v>0.25616271397513662</v>
      </c>
      <c r="BG13" s="9">
        <f>'1'!CC13</f>
        <v>0.3226894667523843</v>
      </c>
      <c r="BH13" s="9">
        <f>'2'!CA13</f>
        <v>0.22465988999906616</v>
      </c>
      <c r="BI13" s="9">
        <f>'2'!CC13</f>
        <v>0.33945253253001961</v>
      </c>
      <c r="BJ13" s="9">
        <f>'3'!Y13</f>
        <v>-61.227595008424359</v>
      </c>
      <c r="BK13" s="9" t="e">
        <f>'8'!AO10</f>
        <v>#REF!</v>
      </c>
      <c r="BL13" s="9" t="e">
        <f t="shared" si="14"/>
        <v>#REF!</v>
      </c>
      <c r="BM13" s="9" t="e">
        <f t="shared" si="15"/>
        <v>#REF!</v>
      </c>
      <c r="BN13" s="9">
        <f>'1'!CK13</f>
        <v>0.22156482541592737</v>
      </c>
      <c r="BO13" s="9">
        <f>'1'!CM13</f>
        <v>0.27916939933678142</v>
      </c>
      <c r="BP13" s="9">
        <f>'2'!CK13</f>
        <v>0.28984312411974267</v>
      </c>
      <c r="BQ13" s="9">
        <f>'2'!CM13</f>
        <v>0.42712999711899419</v>
      </c>
      <c r="BR13" s="9">
        <f>'3'!AB13</f>
        <v>-62.181437234922335</v>
      </c>
      <c r="BS13" s="9" t="e">
        <f>'8'!AT10</f>
        <v>#REF!</v>
      </c>
      <c r="BT13" s="9" t="e">
        <f t="shared" si="16"/>
        <v>#REF!</v>
      </c>
      <c r="BU13" s="9" t="e">
        <f t="shared" si="17"/>
        <v>#REF!</v>
      </c>
      <c r="BV13" s="9">
        <f>'1'!CU13</f>
        <v>0.33785196071458812</v>
      </c>
      <c r="BW13" s="9">
        <f>'1'!CW13</f>
        <v>0.41845917988099318</v>
      </c>
      <c r="BX13" s="9">
        <f>'2'!CU13</f>
        <v>0.41806609316154691</v>
      </c>
      <c r="BY13" s="9">
        <f>'2'!CW13</f>
        <v>0.56769580519113483</v>
      </c>
      <c r="BZ13" s="9">
        <f>'3'!AE13</f>
        <v>-52.046497862655492</v>
      </c>
      <c r="CA13" s="9" t="e">
        <f>'8'!AY10</f>
        <v>#REF!</v>
      </c>
      <c r="CB13" s="9" t="e">
        <f t="shared" si="18"/>
        <v>#REF!</v>
      </c>
      <c r="CC13" s="9" t="e">
        <f t="shared" si="19"/>
        <v>#REF!</v>
      </c>
      <c r="CD13" s="9">
        <f>'1'!DE13</f>
        <v>0.32479144607416083</v>
      </c>
      <c r="CE13" s="9">
        <f>'1'!DG13</f>
        <v>0.40375400382981197</v>
      </c>
      <c r="CF13" s="9">
        <f>'2'!DE13</f>
        <v>0.286991795728815</v>
      </c>
      <c r="CG13" s="9">
        <f>'2'!DG13</f>
        <v>0.42356751055896508</v>
      </c>
      <c r="CH13" s="9">
        <f>'3'!AH13</f>
        <v>-46.350665896695432</v>
      </c>
      <c r="CI13" s="9" t="e">
        <f>'8'!BD10</f>
        <v>#REF!</v>
      </c>
      <c r="CJ13" s="9" t="e">
        <f t="shared" si="20"/>
        <v>#REF!</v>
      </c>
      <c r="CK13" s="142" t="e">
        <f t="shared" si="21"/>
        <v>#REF!</v>
      </c>
    </row>
    <row r="14" spans="1:89" hidden="1">
      <c r="A14" s="1">
        <v>1977</v>
      </c>
      <c r="B14" s="9">
        <f>'1'!I14</f>
        <v>0.21573246635837778</v>
      </c>
      <c r="C14" s="9">
        <f>'1'!K14</f>
        <v>0.27164147961976548</v>
      </c>
      <c r="D14" s="9">
        <f>'2'!I14</f>
        <v>0.20836169809978436</v>
      </c>
      <c r="E14" s="9">
        <f>'2'!K14</f>
        <v>0.31521322780513367</v>
      </c>
      <c r="F14" s="9">
        <f>'3'!D14</f>
        <v>-52.990013765375096</v>
      </c>
      <c r="G14" s="9" t="e">
        <f>'8'!F11</f>
        <v>#REF!</v>
      </c>
      <c r="H14" s="9" t="e">
        <f t="shared" si="0"/>
        <v>#REF!</v>
      </c>
      <c r="I14" s="9" t="e">
        <f t="shared" si="1"/>
        <v>#REF!</v>
      </c>
      <c r="J14" s="9">
        <f>'1'!S14</f>
        <v>0.10671715287462524</v>
      </c>
      <c r="K14" s="9">
        <f>'1'!U14</f>
        <v>0.11929359307061004</v>
      </c>
      <c r="L14" s="9">
        <f>'2'!S14</f>
        <v>0.12979057114203205</v>
      </c>
      <c r="M14" s="9">
        <f>'2'!U14</f>
        <v>0.18098395398900693</v>
      </c>
      <c r="N14" s="9">
        <f>'3'!G14</f>
        <v>-71.290685817298581</v>
      </c>
      <c r="O14" s="9" t="e">
        <f>'8'!K11</f>
        <v>#REF!</v>
      </c>
      <c r="P14" s="9" t="e">
        <f t="shared" si="2"/>
        <v>#REF!</v>
      </c>
      <c r="Q14" s="9" t="e">
        <f t="shared" si="3"/>
        <v>#REF!</v>
      </c>
      <c r="R14" s="9">
        <f>'1'!AC14</f>
        <v>0.250816337099728</v>
      </c>
      <c r="S14" s="9">
        <f>'1'!AE14</f>
        <v>0.31608763303012105</v>
      </c>
      <c r="T14" s="9">
        <f>'2'!AC14</f>
        <v>7.3882762195263629E-2</v>
      </c>
      <c r="U14" s="9">
        <f>'2'!AE14</f>
        <v>6.1209813823309492E-2</v>
      </c>
      <c r="V14" s="9">
        <f>'3'!J14</f>
        <v>-69.688068343820603</v>
      </c>
      <c r="W14" s="9" t="e">
        <f>'8'!P11</f>
        <v>#REF!</v>
      </c>
      <c r="X14" s="9" t="e">
        <f t="shared" si="4"/>
        <v>#REF!</v>
      </c>
      <c r="Y14" s="9" t="e">
        <f t="shared" si="5"/>
        <v>#REF!</v>
      </c>
      <c r="Z14" s="9">
        <f>'1'!AM14</f>
        <v>0.25861168891021857</v>
      </c>
      <c r="AA14" s="9">
        <f>'1'!AO14</f>
        <v>0.32569893200632027</v>
      </c>
      <c r="AB14" s="9">
        <f>'2'!AM14</f>
        <v>0.12549083950552753</v>
      </c>
      <c r="AC14" s="9">
        <f>'2'!AO14</f>
        <v>0.17262561681780192</v>
      </c>
      <c r="AD14" s="9">
        <f>'3'!M14</f>
        <v>-59.205556510235986</v>
      </c>
      <c r="AE14" s="9" t="e">
        <f>'8'!U11</f>
        <v>#REF!</v>
      </c>
      <c r="AF14" s="9" t="e">
        <f t="shared" si="6"/>
        <v>#REF!</v>
      </c>
      <c r="AG14" s="9" t="e">
        <f t="shared" si="7"/>
        <v>#REF!</v>
      </c>
      <c r="AH14" s="9">
        <f>'1'!AW14</f>
        <v>0.12865242621116021</v>
      </c>
      <c r="AI14" s="9">
        <f>'1'!AY14</f>
        <v>0.15188270020886652</v>
      </c>
      <c r="AJ14" s="9">
        <f>'2'!AW14</f>
        <v>0.14052380094533734</v>
      </c>
      <c r="AK14" s="9">
        <f>'2'!AY14</f>
        <v>0.20132188465812936</v>
      </c>
      <c r="AL14" s="9">
        <f>'3'!P14</f>
        <v>-68.767816728577884</v>
      </c>
      <c r="AM14" s="9" t="e">
        <f>'8'!Z11</f>
        <v>#REF!</v>
      </c>
      <c r="AN14" s="9" t="e">
        <f t="shared" si="8"/>
        <v>#REF!</v>
      </c>
      <c r="AO14" s="9" t="e">
        <f t="shared" si="9"/>
        <v>#REF!</v>
      </c>
      <c r="AP14" s="9">
        <f>'1'!BG14</f>
        <v>0.20882377782231279</v>
      </c>
      <c r="AQ14" s="9">
        <f>'1'!BI14</f>
        <v>0.26264989136899192</v>
      </c>
      <c r="AR14" s="9">
        <f>'2'!BG14</f>
        <v>0.1763089310631655</v>
      </c>
      <c r="AS14" s="9">
        <f>'2'!BI14</f>
        <v>0.26426012079328259</v>
      </c>
      <c r="AT14" s="9">
        <f>'3'!S14</f>
        <v>-56.097514686815892</v>
      </c>
      <c r="AU14" s="9" t="e">
        <f>'8'!AE11</f>
        <v>#REF!</v>
      </c>
      <c r="AV14" s="9" t="e">
        <f t="shared" si="10"/>
        <v>#REF!</v>
      </c>
      <c r="AW14" s="9" t="e">
        <f t="shared" si="11"/>
        <v>#REF!</v>
      </c>
      <c r="AX14" s="9">
        <f>'1'!BQ14</f>
        <v>0.3143807153620688</v>
      </c>
      <c r="AY14" s="9">
        <f>'1'!BS14</f>
        <v>0.39187437366732492</v>
      </c>
      <c r="AZ14" s="9">
        <f>'2'!BQ14</f>
        <v>0.17997732417787871</v>
      </c>
      <c r="BA14" s="9">
        <f>'2'!BS14</f>
        <v>0.27033113158932842</v>
      </c>
      <c r="BB14" s="9">
        <f>'3'!V14</f>
        <v>-43.994099595619346</v>
      </c>
      <c r="BC14" s="9" t="e">
        <f>'8'!AJ11</f>
        <v>#REF!</v>
      </c>
      <c r="BD14" s="9" t="e">
        <f t="shared" si="12"/>
        <v>#REF!</v>
      </c>
      <c r="BE14" s="9" t="e">
        <f t="shared" si="13"/>
        <v>#REF!</v>
      </c>
      <c r="BF14" s="9">
        <f>'1'!CA14</f>
        <v>0.26311969760328935</v>
      </c>
      <c r="BG14" s="9">
        <f>'1'!CC14</f>
        <v>0.33121495426930952</v>
      </c>
      <c r="BH14" s="9">
        <f>'2'!CA14</f>
        <v>0.22716105701069064</v>
      </c>
      <c r="BI14" s="9">
        <f>'2'!CC14</f>
        <v>0.34308158722608417</v>
      </c>
      <c r="BJ14" s="9">
        <f>'3'!Y14</f>
        <v>-77.209213133604976</v>
      </c>
      <c r="BK14" s="9" t="e">
        <f>'8'!AO11</f>
        <v>#REF!</v>
      </c>
      <c r="BL14" s="9" t="e">
        <f t="shared" si="14"/>
        <v>#REF!</v>
      </c>
      <c r="BM14" s="9" t="e">
        <f t="shared" si="15"/>
        <v>#REF!</v>
      </c>
      <c r="BN14" s="9">
        <f>'1'!CK14</f>
        <v>0.2354209281273146</v>
      </c>
      <c r="BO14" s="9">
        <f>'1'!CM14</f>
        <v>0.29682824483713149</v>
      </c>
      <c r="BP14" s="9">
        <f>'2'!CK14</f>
        <v>0.29433490541595614</v>
      </c>
      <c r="BQ14" s="9">
        <f>'2'!CM14</f>
        <v>0.43269669755487822</v>
      </c>
      <c r="BR14" s="9">
        <f>'3'!AB14</f>
        <v>-71.812658090959701</v>
      </c>
      <c r="BS14" s="9" t="e">
        <f>'8'!AT11</f>
        <v>#REF!</v>
      </c>
      <c r="BT14" s="9" t="e">
        <f t="shared" si="16"/>
        <v>#REF!</v>
      </c>
      <c r="BU14" s="9" t="e">
        <f t="shared" si="17"/>
        <v>#REF!</v>
      </c>
      <c r="BV14" s="9">
        <f>'1'!CU14</f>
        <v>0.36326136022507521</v>
      </c>
      <c r="BW14" s="9">
        <f>'1'!CW14</f>
        <v>0.44645932160866086</v>
      </c>
      <c r="BX14" s="9">
        <f>'2'!CU14</f>
        <v>0.42117290263185325</v>
      </c>
      <c r="BY14" s="9">
        <f>'2'!CW14</f>
        <v>0.57070126547753341</v>
      </c>
      <c r="BZ14" s="9">
        <f>'3'!AE14</f>
        <v>-49.783148864069851</v>
      </c>
      <c r="CA14" s="9" t="e">
        <f>'8'!AY11</f>
        <v>#REF!</v>
      </c>
      <c r="CB14" s="9" t="e">
        <f t="shared" si="18"/>
        <v>#REF!</v>
      </c>
      <c r="CC14" s="9" t="e">
        <f t="shared" si="19"/>
        <v>#REF!</v>
      </c>
      <c r="CD14" s="9">
        <f>'1'!DE14</f>
        <v>0.35339745067387968</v>
      </c>
      <c r="CE14" s="9">
        <f>'1'!DG14</f>
        <v>0.43568319560976976</v>
      </c>
      <c r="CF14" s="9">
        <f>'2'!DE14</f>
        <v>0.29294624257665036</v>
      </c>
      <c r="CG14" s="9">
        <f>'2'!DG14</f>
        <v>0.43098159467021352</v>
      </c>
      <c r="CH14" s="9">
        <f>'3'!AH14</f>
        <v>-49.667134906792931</v>
      </c>
      <c r="CI14" s="9" t="e">
        <f>'8'!BD11</f>
        <v>#REF!</v>
      </c>
      <c r="CJ14" s="9" t="e">
        <f t="shared" si="20"/>
        <v>#REF!</v>
      </c>
      <c r="CK14" s="142" t="e">
        <f t="shared" si="21"/>
        <v>#REF!</v>
      </c>
    </row>
    <row r="15" spans="1:89" hidden="1">
      <c r="A15" s="1">
        <v>1978</v>
      </c>
      <c r="B15" s="9">
        <f>'1'!I15</f>
        <v>0.23022843159693168</v>
      </c>
      <c r="C15" s="9">
        <f>'1'!K15</f>
        <v>0.29024740783902736</v>
      </c>
      <c r="D15" s="9">
        <f>'2'!I15</f>
        <v>0.2147298950211077</v>
      </c>
      <c r="E15" s="9">
        <f>'2'!K15</f>
        <v>0.3248090217240977</v>
      </c>
      <c r="F15" s="9">
        <f>'3'!D15</f>
        <v>-47.343954220727156</v>
      </c>
      <c r="G15" s="9" t="e">
        <f>'8'!F12</f>
        <v>#REF!</v>
      </c>
      <c r="H15" s="9" t="e">
        <f t="shared" si="0"/>
        <v>#REF!</v>
      </c>
      <c r="I15" s="9" t="e">
        <f t="shared" si="1"/>
        <v>#REF!</v>
      </c>
      <c r="J15" s="9">
        <f>'1'!S15</f>
        <v>0.12925271164548124</v>
      </c>
      <c r="K15" s="9">
        <f>'1'!U15</f>
        <v>0.15275968548378399</v>
      </c>
      <c r="L15" s="9">
        <f>'2'!S15</f>
        <v>0.13824399151284511</v>
      </c>
      <c r="M15" s="9">
        <f>'2'!U15</f>
        <v>0.19706307975689449</v>
      </c>
      <c r="N15" s="9">
        <f>'3'!G15</f>
        <v>-87.16824395894038</v>
      </c>
      <c r="O15" s="9" t="e">
        <f>'8'!K12</f>
        <v>#REF!</v>
      </c>
      <c r="P15" s="9" t="e">
        <f t="shared" si="2"/>
        <v>#REF!</v>
      </c>
      <c r="Q15" s="9" t="e">
        <f t="shared" si="3"/>
        <v>#REF!</v>
      </c>
      <c r="R15" s="9">
        <f>'1'!AC15</f>
        <v>0.2626035352568013</v>
      </c>
      <c r="S15" s="9">
        <f>'1'!AE15</f>
        <v>0.33058492569036108</v>
      </c>
      <c r="T15" s="9">
        <f>'2'!AC15</f>
        <v>7.7817521435605955E-2</v>
      </c>
      <c r="U15" s="9">
        <f>'2'!AE15</f>
        <v>7.0526966302625962E-2</v>
      </c>
      <c r="V15" s="9">
        <f>'3'!J15</f>
        <v>-73.563601756623655</v>
      </c>
      <c r="W15" s="9" t="e">
        <f>'8'!P12</f>
        <v>#REF!</v>
      </c>
      <c r="X15" s="9" t="e">
        <f t="shared" si="4"/>
        <v>#REF!</v>
      </c>
      <c r="Y15" s="9" t="e">
        <f t="shared" si="5"/>
        <v>#REF!</v>
      </c>
      <c r="Z15" s="9">
        <f>'1'!AM15</f>
        <v>0.29030065048200349</v>
      </c>
      <c r="AA15" s="9">
        <f>'1'!AO15</f>
        <v>0.36383997954062741</v>
      </c>
      <c r="AB15" s="9">
        <f>'2'!AM15</f>
        <v>0.12594988683736782</v>
      </c>
      <c r="AC15" s="9">
        <f>'2'!AO15</f>
        <v>0.17352391605212328</v>
      </c>
      <c r="AD15" s="9">
        <f>'3'!M15</f>
        <v>-58.115508044358869</v>
      </c>
      <c r="AE15" s="9" t="e">
        <f>'8'!U12</f>
        <v>#REF!</v>
      </c>
      <c r="AF15" s="9" t="e">
        <f t="shared" si="6"/>
        <v>#REF!</v>
      </c>
      <c r="AG15" s="9" t="e">
        <f t="shared" si="7"/>
        <v>#REF!</v>
      </c>
      <c r="AH15" s="9">
        <f>'1'!AW15</f>
        <v>0.13894613311518775</v>
      </c>
      <c r="AI15" s="9">
        <f>'1'!AY15</f>
        <v>0.16681512222436429</v>
      </c>
      <c r="AJ15" s="9">
        <f>'2'!AW15</f>
        <v>0.14227771258617553</v>
      </c>
      <c r="AK15" s="9">
        <f>'2'!AY15</f>
        <v>0.20457646999400733</v>
      </c>
      <c r="AL15" s="9">
        <f>'3'!P15</f>
        <v>-76.988009380491306</v>
      </c>
      <c r="AM15" s="9" t="e">
        <f>'8'!Z12</f>
        <v>#REF!</v>
      </c>
      <c r="AN15" s="9" t="e">
        <f t="shared" si="8"/>
        <v>#REF!</v>
      </c>
      <c r="AO15" s="9" t="e">
        <f t="shared" si="9"/>
        <v>#REF!</v>
      </c>
      <c r="AP15" s="9">
        <f>'1'!BG15</f>
        <v>0.22494830740052849</v>
      </c>
      <c r="AQ15" s="9">
        <f>'1'!BI15</f>
        <v>0.28351051327252563</v>
      </c>
      <c r="AR15" s="9">
        <f>'2'!BG15</f>
        <v>0.18094992913658789</v>
      </c>
      <c r="AS15" s="9">
        <f>'2'!BI15</f>
        <v>0.27192981157084267</v>
      </c>
      <c r="AT15" s="9">
        <f>'3'!S15</f>
        <v>-45.17824782685333</v>
      </c>
      <c r="AU15" s="9" t="e">
        <f>'8'!AE12</f>
        <v>#REF!</v>
      </c>
      <c r="AV15" s="9" t="e">
        <f t="shared" si="10"/>
        <v>#REF!</v>
      </c>
      <c r="AW15" s="9" t="e">
        <f t="shared" si="11"/>
        <v>#REF!</v>
      </c>
      <c r="AX15" s="9">
        <f>'1'!BQ15</f>
        <v>0.32458778871812832</v>
      </c>
      <c r="AY15" s="9">
        <f>'1'!BS15</f>
        <v>0.40352296846101071</v>
      </c>
      <c r="AZ15" s="9">
        <f>'2'!BQ15</f>
        <v>0.18127604050861831</v>
      </c>
      <c r="BA15" s="9">
        <f>'2'!BS15</f>
        <v>0.27246482797164495</v>
      </c>
      <c r="BB15" s="9">
        <f>'3'!V15</f>
        <v>-39.667260646215894</v>
      </c>
      <c r="BC15" s="9" t="e">
        <f>'8'!AJ12</f>
        <v>#REF!</v>
      </c>
      <c r="BD15" s="9" t="e">
        <f t="shared" si="12"/>
        <v>#REF!</v>
      </c>
      <c r="BE15" s="9" t="e">
        <f t="shared" si="13"/>
        <v>#REF!</v>
      </c>
      <c r="BF15" s="9">
        <f>'1'!CA15</f>
        <v>0.26318350227580833</v>
      </c>
      <c r="BG15" s="9">
        <f>'1'!CC15</f>
        <v>0.33129280661569771</v>
      </c>
      <c r="BH15" s="9">
        <f>'2'!CA15</f>
        <v>0.22925775914249699</v>
      </c>
      <c r="BI15" s="9">
        <f>'2'!CC15</f>
        <v>0.34610584130422711</v>
      </c>
      <c r="BJ15" s="9">
        <f>'3'!Y15</f>
        <v>-85.507966291002973</v>
      </c>
      <c r="BK15" s="9" t="e">
        <f>'8'!AO12</f>
        <v>#REF!</v>
      </c>
      <c r="BL15" s="9" t="e">
        <f t="shared" si="14"/>
        <v>#REF!</v>
      </c>
      <c r="BM15" s="9" t="e">
        <f t="shared" si="15"/>
        <v>#REF!</v>
      </c>
      <c r="BN15" s="9">
        <f>'1'!CK15</f>
        <v>0.25882339734967713</v>
      </c>
      <c r="BO15" s="9">
        <f>'1'!CM15</f>
        <v>0.32595866601040263</v>
      </c>
      <c r="BP15" s="9">
        <f>'2'!CK15</f>
        <v>0.30416063691170925</v>
      </c>
      <c r="BQ15" s="9">
        <f>'2'!CM15</f>
        <v>0.44468500653223025</v>
      </c>
      <c r="BR15" s="9">
        <f>'3'!AB15</f>
        <v>-56.538895469618794</v>
      </c>
      <c r="BS15" s="9" t="e">
        <f>'8'!AT12</f>
        <v>#REF!</v>
      </c>
      <c r="BT15" s="9" t="e">
        <f t="shared" si="16"/>
        <v>#REF!</v>
      </c>
      <c r="BU15" s="9" t="e">
        <f t="shared" si="17"/>
        <v>#REF!</v>
      </c>
      <c r="BV15" s="9">
        <f>'1'!CU15</f>
        <v>0.39900995497212355</v>
      </c>
      <c r="BW15" s="9">
        <f>'1'!CW15</f>
        <v>0.48456282463778444</v>
      </c>
      <c r="BX15" s="9">
        <f>'2'!CU15</f>
        <v>0.44629236837394137</v>
      </c>
      <c r="BY15" s="9">
        <f>'2'!CW15</f>
        <v>0.59442870065935305</v>
      </c>
      <c r="BZ15" s="9">
        <f>'3'!AE15</f>
        <v>-39.4807805253918</v>
      </c>
      <c r="CA15" s="9" t="e">
        <f>'8'!AY12</f>
        <v>#REF!</v>
      </c>
      <c r="CB15" s="9" t="e">
        <f t="shared" si="18"/>
        <v>#REF!</v>
      </c>
      <c r="CC15" s="9" t="e">
        <f t="shared" si="19"/>
        <v>#REF!</v>
      </c>
      <c r="CD15" s="9">
        <f>'1'!DE15</f>
        <v>0.38515166697819375</v>
      </c>
      <c r="CE15" s="9">
        <f>'1'!DG15</f>
        <v>0.46996457123642205</v>
      </c>
      <c r="CF15" s="9">
        <f>'2'!DE15</f>
        <v>0.29665959825628496</v>
      </c>
      <c r="CG15" s="9">
        <f>'2'!DG15</f>
        <v>0.43555620954199775</v>
      </c>
      <c r="CH15" s="9">
        <f>'3'!AH15</f>
        <v>-44.562792140288664</v>
      </c>
      <c r="CI15" s="9" t="e">
        <f>'8'!BD12</f>
        <v>#REF!</v>
      </c>
      <c r="CJ15" s="9" t="e">
        <f t="shared" si="20"/>
        <v>#REF!</v>
      </c>
      <c r="CK15" s="142" t="e">
        <f t="shared" si="21"/>
        <v>#REF!</v>
      </c>
    </row>
    <row r="16" spans="1:89" hidden="1">
      <c r="A16" s="1">
        <v>1979</v>
      </c>
      <c r="B16" s="9">
        <f>'1'!I16</f>
        <v>0.23867823350722323</v>
      </c>
      <c r="C16" s="9">
        <f>'1'!K16</f>
        <v>0.30093433176376611</v>
      </c>
      <c r="D16" s="9">
        <f>'2'!I16</f>
        <v>0.23598434718089964</v>
      </c>
      <c r="E16" s="9">
        <f>'2'!K16</f>
        <v>0.35569981345484375</v>
      </c>
      <c r="F16" s="9">
        <f>'3'!D16</f>
        <v>-48.90443694740248</v>
      </c>
      <c r="G16" s="9" t="e">
        <f>'8'!F13</f>
        <v>#REF!</v>
      </c>
      <c r="H16" s="9" t="e">
        <f t="shared" si="0"/>
        <v>#REF!</v>
      </c>
      <c r="I16" s="9" t="e">
        <f t="shared" si="1"/>
        <v>#REF!</v>
      </c>
      <c r="J16" s="9">
        <f>'1'!S16</f>
        <v>0.14030256842829705</v>
      </c>
      <c r="K16" s="9">
        <f>'1'!U16</f>
        <v>0.16876618613995059</v>
      </c>
      <c r="L16" s="9">
        <f>'2'!S16</f>
        <v>0.16972312234618461</v>
      </c>
      <c r="M16" s="9">
        <f>'2'!U16</f>
        <v>0.25319368302344475</v>
      </c>
      <c r="N16" s="9">
        <f>'3'!G16</f>
        <v>-77.828534352792914</v>
      </c>
      <c r="O16" s="9" t="e">
        <f>'8'!K13</f>
        <v>#REF!</v>
      </c>
      <c r="P16" s="9" t="e">
        <f t="shared" si="2"/>
        <v>#REF!</v>
      </c>
      <c r="Q16" s="9" t="e">
        <f t="shared" si="3"/>
        <v>#REF!</v>
      </c>
      <c r="R16" s="9">
        <f>'1'!AC16</f>
        <v>0.26986742557639565</v>
      </c>
      <c r="S16" s="9">
        <f>'1'!AE16</f>
        <v>0.33941470083500974</v>
      </c>
      <c r="T16" s="9">
        <f>'2'!AC16</f>
        <v>8.0259164521288867E-2</v>
      </c>
      <c r="U16" s="9">
        <f>'2'!AE16</f>
        <v>7.6231876216169225E-2</v>
      </c>
      <c r="V16" s="9">
        <f>'3'!J16</f>
        <v>-67.637476152095417</v>
      </c>
      <c r="W16" s="9" t="e">
        <f>'8'!P13</f>
        <v>#REF!</v>
      </c>
      <c r="X16" s="9" t="e">
        <f t="shared" si="4"/>
        <v>#REF!</v>
      </c>
      <c r="Y16" s="9" t="e">
        <f t="shared" si="5"/>
        <v>#REF!</v>
      </c>
      <c r="Z16" s="9">
        <f>'1'!AM16</f>
        <v>0.30541782327969458</v>
      </c>
      <c r="AA16" s="9">
        <f>'1'!AO16</f>
        <v>0.38153182927385565</v>
      </c>
      <c r="AB16" s="9">
        <f>'2'!AM16</f>
        <v>0.14297298533735509</v>
      </c>
      <c r="AC16" s="9">
        <f>'2'!AO16</f>
        <v>0.20586143261986306</v>
      </c>
      <c r="AD16" s="9">
        <f>'3'!M16</f>
        <v>-56.244428692007055</v>
      </c>
      <c r="AE16" s="9" t="e">
        <f>'8'!U13</f>
        <v>#REF!</v>
      </c>
      <c r="AF16" s="9" t="e">
        <f t="shared" si="6"/>
        <v>#REF!</v>
      </c>
      <c r="AG16" s="9" t="e">
        <f t="shared" si="7"/>
        <v>#REF!</v>
      </c>
      <c r="AH16" s="9">
        <f>'1'!AW16</f>
        <v>0.14506558808336645</v>
      </c>
      <c r="AI16" s="9">
        <f>'1'!AY16</f>
        <v>0.17558700962238644</v>
      </c>
      <c r="AJ16" s="9">
        <f>'2'!AW16</f>
        <v>0.16198941198457475</v>
      </c>
      <c r="AK16" s="9">
        <f>'2'!AY16</f>
        <v>0.23991405143898709</v>
      </c>
      <c r="AL16" s="9">
        <f>'3'!P16</f>
        <v>-69.044066673529841</v>
      </c>
      <c r="AM16" s="9" t="e">
        <f>'8'!Z13</f>
        <v>#REF!</v>
      </c>
      <c r="AN16" s="9" t="e">
        <f t="shared" si="8"/>
        <v>#REF!</v>
      </c>
      <c r="AO16" s="9" t="e">
        <f t="shared" si="9"/>
        <v>#REF!</v>
      </c>
      <c r="AP16" s="9">
        <f>'1'!BG16</f>
        <v>0.25030707764932819</v>
      </c>
      <c r="AQ16" s="9">
        <f>'1'!BI16</f>
        <v>0.31545649297391259</v>
      </c>
      <c r="AR16" s="9">
        <f>'2'!BG16</f>
        <v>0.19467483426303003</v>
      </c>
      <c r="AS16" s="9">
        <f>'2'!BI16</f>
        <v>0.2940179321889701</v>
      </c>
      <c r="AT16" s="9">
        <f>'3'!S16</f>
        <v>-49.675518390436139</v>
      </c>
      <c r="AU16" s="9" t="e">
        <f>'8'!AE13</f>
        <v>#REF!</v>
      </c>
      <c r="AV16" s="9" t="e">
        <f t="shared" si="10"/>
        <v>#REF!</v>
      </c>
      <c r="AW16" s="9" t="e">
        <f t="shared" si="11"/>
        <v>#REF!</v>
      </c>
      <c r="AX16" s="9">
        <f>'1'!BQ16</f>
        <v>0.33641670997878365</v>
      </c>
      <c r="AY16" s="9">
        <f>'1'!BS16</f>
        <v>0.41685379734709532</v>
      </c>
      <c r="AZ16" s="9">
        <f>'2'!BQ16</f>
        <v>0.19514435887023393</v>
      </c>
      <c r="BA16" s="9">
        <f>'2'!BS16</f>
        <v>0.29475842225433713</v>
      </c>
      <c r="BB16" s="9">
        <f>'3'!V16</f>
        <v>-42.457693345112652</v>
      </c>
      <c r="BC16" s="9" t="e">
        <f>'8'!AJ13</f>
        <v>#REF!</v>
      </c>
      <c r="BD16" s="9" t="e">
        <f t="shared" si="12"/>
        <v>#REF!</v>
      </c>
      <c r="BE16" s="9" t="e">
        <f t="shared" si="13"/>
        <v>#REF!</v>
      </c>
      <c r="BF16" s="9">
        <f>'1'!CA16</f>
        <v>0.27811350904572102</v>
      </c>
      <c r="BG16" s="9">
        <f>'1'!CC16</f>
        <v>0.34934420754847967</v>
      </c>
      <c r="BH16" s="9">
        <f>'2'!CA16</f>
        <v>0.25083708405764155</v>
      </c>
      <c r="BI16" s="9">
        <f>'2'!CC16</f>
        <v>0.37632138539691556</v>
      </c>
      <c r="BJ16" s="9">
        <f>'3'!Y16</f>
        <v>-67.882716261126262</v>
      </c>
      <c r="BK16" s="9" t="e">
        <f>'8'!AO13</f>
        <v>#REF!</v>
      </c>
      <c r="BL16" s="9" t="e">
        <f t="shared" si="14"/>
        <v>#REF!</v>
      </c>
      <c r="BM16" s="9" t="e">
        <f t="shared" si="15"/>
        <v>#REF!</v>
      </c>
      <c r="BN16" s="9">
        <f>'1'!CK16</f>
        <v>0.28644658365049636</v>
      </c>
      <c r="BO16" s="9">
        <f>'1'!CM16</f>
        <v>0.35927865545292392</v>
      </c>
      <c r="BP16" s="9">
        <f>'2'!CK16</f>
        <v>0.37489455213577616</v>
      </c>
      <c r="BQ16" s="9">
        <f>'2'!CM16</f>
        <v>0.52417941773037824</v>
      </c>
      <c r="BR16" s="9">
        <f>'3'!AB16</f>
        <v>-66.927941104730877</v>
      </c>
      <c r="BS16" s="9" t="e">
        <f>'8'!AT13</f>
        <v>#REF!</v>
      </c>
      <c r="BT16" s="9" t="e">
        <f t="shared" si="16"/>
        <v>#REF!</v>
      </c>
      <c r="BU16" s="9" t="e">
        <f t="shared" si="17"/>
        <v>#REF!</v>
      </c>
      <c r="BV16" s="9">
        <f>'1'!CU16</f>
        <v>0.44318464077202485</v>
      </c>
      <c r="BW16" s="9">
        <f>'1'!CW16</f>
        <v>0.52971434417067353</v>
      </c>
      <c r="BX16" s="9">
        <f>'2'!CU16</f>
        <v>0.46911929908194117</v>
      </c>
      <c r="BY16" s="9">
        <f>'2'!CW16</f>
        <v>0.61515526778984175</v>
      </c>
      <c r="BZ16" s="9">
        <f>'3'!AE16</f>
        <v>-45.066609612005038</v>
      </c>
      <c r="CA16" s="9" t="e">
        <f>'8'!AY13</f>
        <v>#REF!</v>
      </c>
      <c r="CB16" s="9" t="e">
        <f t="shared" si="18"/>
        <v>#REF!</v>
      </c>
      <c r="CC16" s="9" t="e">
        <f t="shared" si="19"/>
        <v>#REF!</v>
      </c>
      <c r="CD16" s="9">
        <f>'1'!DE16</f>
        <v>0.41312828752527125</v>
      </c>
      <c r="CE16" s="9">
        <f>'1'!DG16</f>
        <v>0.49921766586032734</v>
      </c>
      <c r="CF16" s="9">
        <f>'2'!DE16</f>
        <v>0.3358775237305513</v>
      </c>
      <c r="CG16" s="9">
        <f>'2'!DG16</f>
        <v>0.4817256282281514</v>
      </c>
      <c r="CH16" s="9">
        <f>'3'!AH16</f>
        <v>-44.777422945036513</v>
      </c>
      <c r="CI16" s="9" t="e">
        <f>'8'!BD13</f>
        <v>#REF!</v>
      </c>
      <c r="CJ16" s="9" t="e">
        <f t="shared" si="20"/>
        <v>#REF!</v>
      </c>
      <c r="CK16" s="142" t="e">
        <f t="shared" si="21"/>
        <v>#REF!</v>
      </c>
    </row>
    <row r="17" spans="1:89" hidden="1">
      <c r="A17" s="1">
        <v>1980</v>
      </c>
      <c r="B17" s="9">
        <f>'1'!I17</f>
        <v>0.24956313042265793</v>
      </c>
      <c r="C17" s="9">
        <f>'1'!K17</f>
        <v>0.31453377627592888</v>
      </c>
      <c r="D17" s="9">
        <f>'2'!I17</f>
        <v>0.25753477765760036</v>
      </c>
      <c r="E17" s="9">
        <f>'2'!K17</f>
        <v>0.38537867383194491</v>
      </c>
      <c r="F17" s="9">
        <f>'3'!D17</f>
        <v>-45.339100796180233</v>
      </c>
      <c r="G17" s="9" t="e">
        <f>'8'!F14</f>
        <v>#REF!</v>
      </c>
      <c r="H17" s="9" t="e">
        <f t="shared" si="0"/>
        <v>#REF!</v>
      </c>
      <c r="I17" s="9" t="e">
        <f t="shared" si="1"/>
        <v>#REF!</v>
      </c>
      <c r="J17" s="9">
        <f>'1'!S17</f>
        <v>0.13921200840914363</v>
      </c>
      <c r="K17" s="9">
        <f>'1'!U17</f>
        <v>0.16719785286766153</v>
      </c>
      <c r="L17" s="9">
        <f>'2'!S17</f>
        <v>0.18314890620265148</v>
      </c>
      <c r="M17" s="9">
        <f>'2'!U17</f>
        <v>0.27552762197553909</v>
      </c>
      <c r="N17" s="9">
        <f>'3'!G17</f>
        <v>-94.543165043061521</v>
      </c>
      <c r="O17" s="9" t="e">
        <f>'8'!K14</f>
        <v>#REF!</v>
      </c>
      <c r="P17" s="9" t="e">
        <f t="shared" si="2"/>
        <v>#REF!</v>
      </c>
      <c r="Q17" s="9" t="e">
        <f t="shared" si="3"/>
        <v>#REF!</v>
      </c>
      <c r="R17" s="9">
        <f>'1'!AC17</f>
        <v>0.28704086757580499</v>
      </c>
      <c r="S17" s="9">
        <f>'1'!AE17</f>
        <v>0.35998336304343242</v>
      </c>
      <c r="T17" s="9">
        <f>'2'!AC17</f>
        <v>8.5481496406001917E-2</v>
      </c>
      <c r="U17" s="9">
        <f>'2'!AE17</f>
        <v>8.8242975190385584E-2</v>
      </c>
      <c r="V17" s="9">
        <f>'3'!J17</f>
        <v>-54.99250458466485</v>
      </c>
      <c r="W17" s="9" t="e">
        <f>'8'!P14</f>
        <v>#REF!</v>
      </c>
      <c r="X17" s="9" t="e">
        <f t="shared" si="4"/>
        <v>#REF!</v>
      </c>
      <c r="Y17" s="9" t="e">
        <f t="shared" si="5"/>
        <v>#REF!</v>
      </c>
      <c r="Z17" s="9">
        <f>'1'!AM17</f>
        <v>0.31461096359536805</v>
      </c>
      <c r="AA17" s="9">
        <f>'1'!AO17</f>
        <v>0.39213865060078529</v>
      </c>
      <c r="AB17" s="9">
        <f>'2'!AM17</f>
        <v>0.1516760979957773</v>
      </c>
      <c r="AC17" s="9">
        <f>'2'!AO17</f>
        <v>0.22170239547797832</v>
      </c>
      <c r="AD17" s="9">
        <f>'3'!M17</f>
        <v>-49.190557495225946</v>
      </c>
      <c r="AE17" s="9" t="e">
        <f>'8'!U14</f>
        <v>#REF!</v>
      </c>
      <c r="AF17" s="9" t="e">
        <f t="shared" si="6"/>
        <v>#REF!</v>
      </c>
      <c r="AG17" s="9" t="e">
        <f t="shared" si="7"/>
        <v>#REF!</v>
      </c>
      <c r="AH17" s="9">
        <f>'1'!AW17</f>
        <v>0.15764756609148828</v>
      </c>
      <c r="AI17" s="9">
        <f>'1'!AY17</f>
        <v>0.19338283660959807</v>
      </c>
      <c r="AJ17" s="9">
        <f>'2'!AW17</f>
        <v>0.17567252495932173</v>
      </c>
      <c r="AK17" s="9">
        <f>'2'!AY17</f>
        <v>0.26320019492523766</v>
      </c>
      <c r="AL17" s="9">
        <f>'3'!P17</f>
        <v>-60.056884834913873</v>
      </c>
      <c r="AM17" s="9" t="e">
        <f>'8'!Z14</f>
        <v>#REF!</v>
      </c>
      <c r="AN17" s="9" t="e">
        <f t="shared" si="8"/>
        <v>#REF!</v>
      </c>
      <c r="AO17" s="9" t="e">
        <f t="shared" si="9"/>
        <v>#REF!</v>
      </c>
      <c r="AP17" s="9">
        <f>'1'!BG17</f>
        <v>0.26771835401395672</v>
      </c>
      <c r="AQ17" s="9">
        <f>'1'!BI17</f>
        <v>0.3368105155560861</v>
      </c>
      <c r="AR17" s="9">
        <f>'2'!BG17</f>
        <v>0.20484311367519481</v>
      </c>
      <c r="AS17" s="9">
        <f>'2'!BI17</f>
        <v>0.3098402260256683</v>
      </c>
      <c r="AT17" s="9">
        <f>'3'!S17</f>
        <v>-49.211440494915799</v>
      </c>
      <c r="AU17" s="9" t="e">
        <f>'8'!AE14</f>
        <v>#REF!</v>
      </c>
      <c r="AV17" s="9" t="e">
        <f t="shared" si="10"/>
        <v>#REF!</v>
      </c>
      <c r="AW17" s="9" t="e">
        <f t="shared" si="11"/>
        <v>#REF!</v>
      </c>
      <c r="AX17" s="9">
        <f>'1'!BQ17</f>
        <v>0.35615667039285021</v>
      </c>
      <c r="AY17" s="9">
        <f>'1'!BS17</f>
        <v>0.43870938188493103</v>
      </c>
      <c r="AZ17" s="9">
        <f>'2'!BQ17</f>
        <v>0.20494050941541084</v>
      </c>
      <c r="BA17" s="9">
        <f>'2'!BS17</f>
        <v>0.30998964576498461</v>
      </c>
      <c r="BB17" s="9">
        <f>'3'!V17</f>
        <v>-37.508909906445055</v>
      </c>
      <c r="BC17" s="9" t="e">
        <f>'8'!AJ14</f>
        <v>#REF!</v>
      </c>
      <c r="BD17" s="9" t="e">
        <f t="shared" si="12"/>
        <v>#REF!</v>
      </c>
      <c r="BE17" s="9" t="e">
        <f t="shared" si="13"/>
        <v>#REF!</v>
      </c>
      <c r="BF17" s="9">
        <f>'1'!CA17</f>
        <v>0.29318715164736187</v>
      </c>
      <c r="BG17" s="9">
        <f>'1'!CC17</f>
        <v>0.36724251773274502</v>
      </c>
      <c r="BH17" s="9">
        <f>'2'!CA17</f>
        <v>0.25900212020054197</v>
      </c>
      <c r="BI17" s="9">
        <f>'2'!CC17</f>
        <v>0.38734362655971694</v>
      </c>
      <c r="BJ17" s="9">
        <f>'3'!Y17</f>
        <v>-58.183004496758564</v>
      </c>
      <c r="BK17" s="9" t="e">
        <f>'8'!AO14</f>
        <v>#REF!</v>
      </c>
      <c r="BL17" s="9" t="e">
        <f t="shared" si="14"/>
        <v>#REF!</v>
      </c>
      <c r="BM17" s="9" t="e">
        <f t="shared" si="15"/>
        <v>#REF!</v>
      </c>
      <c r="BN17" s="9">
        <f>'1'!CK17</f>
        <v>0.31409896663044168</v>
      </c>
      <c r="BO17" s="9">
        <f>'1'!CM17</f>
        <v>0.39155088923672682</v>
      </c>
      <c r="BP17" s="9">
        <f>'2'!CK17</f>
        <v>0.37819042215859522</v>
      </c>
      <c r="BQ17" s="9">
        <f>'2'!CM17</f>
        <v>0.52762299018568415</v>
      </c>
      <c r="BR17" s="9">
        <f>'3'!AB17</f>
        <v>-46.69755591745961</v>
      </c>
      <c r="BS17" s="9" t="e">
        <f>'8'!AT14</f>
        <v>#REF!</v>
      </c>
      <c r="BT17" s="9" t="e">
        <f t="shared" si="16"/>
        <v>#REF!</v>
      </c>
      <c r="BU17" s="9" t="e">
        <f t="shared" si="17"/>
        <v>#REF!</v>
      </c>
      <c r="BV17" s="9">
        <f>'1'!CU17</f>
        <v>0.47794652011180722</v>
      </c>
      <c r="BW17" s="9">
        <f>'1'!CW17</f>
        <v>0.56385624768401343</v>
      </c>
      <c r="BX17" s="9">
        <f>'2'!CU17</f>
        <v>0.49078262798173633</v>
      </c>
      <c r="BY17" s="9">
        <f>'2'!CW17</f>
        <v>0.63414292288839547</v>
      </c>
      <c r="BZ17" s="9">
        <f>'3'!AE17</f>
        <v>-42.795287769167302</v>
      </c>
      <c r="CA17" s="9" t="e">
        <f>'8'!AY14</f>
        <v>#REF!</v>
      </c>
      <c r="CB17" s="9" t="e">
        <f t="shared" si="18"/>
        <v>#REF!</v>
      </c>
      <c r="CC17" s="9" t="e">
        <f t="shared" si="19"/>
        <v>#REF!</v>
      </c>
      <c r="CD17" s="9">
        <f>'1'!DE17</f>
        <v>0.45949506836533488</v>
      </c>
      <c r="CE17" s="9">
        <f>'1'!DG17</f>
        <v>0.54588007309118203</v>
      </c>
      <c r="CF17" s="9">
        <f>'2'!DE17</f>
        <v>0.33836390207543393</v>
      </c>
      <c r="CG17" s="9">
        <f>'2'!DG17</f>
        <v>0.48452877159872637</v>
      </c>
      <c r="CH17" s="9">
        <f>'3'!AH17</f>
        <v>-42.164777444460185</v>
      </c>
      <c r="CI17" s="9" t="e">
        <f>'8'!BD14</f>
        <v>#REF!</v>
      </c>
      <c r="CJ17" s="9" t="e">
        <f t="shared" si="20"/>
        <v>#REF!</v>
      </c>
      <c r="CK17" s="142" t="e">
        <f t="shared" si="21"/>
        <v>#REF!</v>
      </c>
    </row>
    <row r="18" spans="1:89" hidden="1">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142"/>
    </row>
    <row r="19" spans="1:89">
      <c r="A19" s="1">
        <v>1981</v>
      </c>
      <c r="B19" s="9">
        <f>'1'!I19</f>
        <v>0.26502024105489891</v>
      </c>
      <c r="C19" s="9">
        <f>'1'!K19</f>
        <v>0.33353132290435233</v>
      </c>
      <c r="D19" s="9">
        <f>'2'!I19</f>
        <v>0.25267986708165169</v>
      </c>
      <c r="E19" s="9">
        <f>'2'!K19</f>
        <v>0.3788279641332209</v>
      </c>
      <c r="F19" s="9">
        <f>'3'!D19</f>
        <v>0.6415022695162006</v>
      </c>
      <c r="G19" s="9">
        <f>'8'!F16</f>
        <v>0.63201595297490964</v>
      </c>
      <c r="H19" s="9">
        <f>SUM(B19,D19,G19)/3</f>
        <v>0.38323868703715341</v>
      </c>
      <c r="I19" s="9">
        <f>SUM(C19,E19,G19)/3</f>
        <v>0.44812508000416096</v>
      </c>
      <c r="J19" s="9">
        <f>'1'!S19</f>
        <v>8.3333333333333315E-2</v>
      </c>
      <c r="K19" s="9">
        <f>'1'!U19</f>
        <v>8.3333333333332898E-2</v>
      </c>
      <c r="L19" s="9">
        <f>'2'!S19</f>
        <v>0.17423122566164023</v>
      </c>
      <c r="M19" s="9">
        <f>'2'!U19</f>
        <v>0.26079231774301537</v>
      </c>
      <c r="N19" s="9">
        <f>'3'!G19</f>
        <v>0.44335753567434699</v>
      </c>
      <c r="O19" s="9">
        <f>'8'!K16</f>
        <v>0.41310207481519734</v>
      </c>
      <c r="P19" s="9">
        <f>SUM(J19,L19,O19)/3</f>
        <v>0.2235555446033903</v>
      </c>
      <c r="Q19" s="9">
        <f>SUM(K19,M19,O19)/3</f>
        <v>0.25240924196384856</v>
      </c>
      <c r="R19" s="9">
        <f>'1'!AC19</f>
        <v>0.19516874738276771</v>
      </c>
      <c r="S19" s="9">
        <f>'1'!AE19</f>
        <v>0.24463500382446471</v>
      </c>
      <c r="T19" s="9">
        <f>'2'!AC19</f>
        <v>8.3333333333333329E-2</v>
      </c>
      <c r="U19" s="9">
        <f>'2'!AE19</f>
        <v>8.3333333333333245E-2</v>
      </c>
      <c r="V19" s="9">
        <f>'3'!J19</f>
        <v>0.44198121002238394</v>
      </c>
      <c r="W19" s="9">
        <f>'8'!P16</f>
        <v>0.45114132979063915</v>
      </c>
      <c r="X19" s="9">
        <f>SUM(R19,T19,W19)/3</f>
        <v>0.2432144701689134</v>
      </c>
      <c r="Y19" s="9">
        <f>SUM(S19,U19,W19)/3</f>
        <v>0.25970322231614568</v>
      </c>
      <c r="Z19" s="9">
        <f>'1'!AM19</f>
        <v>0.23002808436799582</v>
      </c>
      <c r="AA19" s="9">
        <f>'1'!AO19</f>
        <v>0.28999261744489518</v>
      </c>
      <c r="AB19" s="9">
        <f>'2'!AM19</f>
        <v>0.13918839018427517</v>
      </c>
      <c r="AC19" s="9">
        <f>'2'!AO19</f>
        <v>0.19883118184636644</v>
      </c>
      <c r="AD19" s="9">
        <f>'3'!M19</f>
        <v>0.52454765506693046</v>
      </c>
      <c r="AE19" s="9">
        <f>'8'!U16</f>
        <v>0.62943653895762197</v>
      </c>
      <c r="AF19" s="9">
        <f>SUM(Z19,AB19,AE19)/3</f>
        <v>0.33288433783663102</v>
      </c>
      <c r="AG19" s="9">
        <f>SUM(AA19,AC19,AE19)/3</f>
        <v>0.37275344608296118</v>
      </c>
      <c r="AH19" s="9">
        <f>'1'!AW19</f>
        <v>9.6809081306642272E-2</v>
      </c>
      <c r="AI19" s="9">
        <f>'1'!AY19</f>
        <v>0.10421530401163399</v>
      </c>
      <c r="AJ19" s="9">
        <f>'2'!AW19</f>
        <v>0.15780172121188507</v>
      </c>
      <c r="AK19" s="9">
        <f>'2'!AY19</f>
        <v>0.23259024566263012</v>
      </c>
      <c r="AL19" s="9">
        <f>'3'!P19</f>
        <v>0.35043375775672592</v>
      </c>
      <c r="AM19" s="9">
        <f>'8'!Z16</f>
        <v>0.52017136127858687</v>
      </c>
      <c r="AN19" s="9">
        <f>SUM(AH19,AJ19,AM19)/3</f>
        <v>0.25826072126570471</v>
      </c>
      <c r="AO19" s="9">
        <f>SUM(AI19,AK19,AM19)/3</f>
        <v>0.285658970317617</v>
      </c>
      <c r="AP19" s="9">
        <f>'1'!BG19</f>
        <v>0.188111806241578</v>
      </c>
      <c r="AQ19" s="9">
        <f>'1'!BI19</f>
        <v>0.23519526027862409</v>
      </c>
      <c r="AR19" s="9">
        <f>'2'!BG19</f>
        <v>0.19975876004372442</v>
      </c>
      <c r="AS19" s="9">
        <f>'2'!BI19</f>
        <v>0.30198439988856512</v>
      </c>
      <c r="AT19" s="9">
        <f>'3'!S19</f>
        <v>0.59749980492452193</v>
      </c>
      <c r="AU19" s="9">
        <f>'8'!AE16</f>
        <v>0.56113307019886161</v>
      </c>
      <c r="AV19" s="9">
        <f>SUM(AP19,AR19,AU19)/3</f>
        <v>0.31633454549472134</v>
      </c>
      <c r="AW19" s="9">
        <f>SUM(AQ19,AS19,AU19)/3</f>
        <v>0.36610424345535025</v>
      </c>
      <c r="AX19" s="9">
        <f>'1'!BQ19</f>
        <v>0.27753848440949125</v>
      </c>
      <c r="AY19" s="9">
        <f>'1'!BS19</f>
        <v>0.34865500221180429</v>
      </c>
      <c r="AZ19" s="9">
        <f>'2'!BQ19</f>
        <v>0.1964830485415941</v>
      </c>
      <c r="BA19" s="9">
        <f>'2'!BS19</f>
        <v>0.2968643394138179</v>
      </c>
      <c r="BB19" s="9">
        <f>'3'!V19</f>
        <v>0.76271200423824892</v>
      </c>
      <c r="BC19" s="9">
        <f>'8'!AJ16</f>
        <v>0.68187528276174003</v>
      </c>
      <c r="BD19" s="9">
        <f>SUM(AX19,AZ19,BC19)/3</f>
        <v>0.38529893857094177</v>
      </c>
      <c r="BE19" s="9">
        <f>SUM(AY19,BA19,BC19)/3</f>
        <v>0.44246487479578739</v>
      </c>
      <c r="BF19" s="9">
        <f>'1'!CA19</f>
        <v>0.21362570375886047</v>
      </c>
      <c r="BG19" s="9">
        <f>'1'!CC19</f>
        <v>0.26890816307309789</v>
      </c>
      <c r="BH19" s="9">
        <f>'2'!CA19</f>
        <v>0.24237508530571805</v>
      </c>
      <c r="BI19" s="9">
        <f>'2'!CC19</f>
        <v>0.36466558199935523</v>
      </c>
      <c r="BJ19" s="9">
        <f>'3'!Y19</f>
        <v>0.48355227539159917</v>
      </c>
      <c r="BK19" s="9">
        <f>'8'!AO16</f>
        <v>0.61454232118591945</v>
      </c>
      <c r="BL19" s="9">
        <f>SUM(BF19,BH19,BK19)/3</f>
        <v>0.35684770341683264</v>
      </c>
      <c r="BM19" s="9">
        <f>SUM(BG19,BI19,BK19)/3</f>
        <v>0.41603868875279088</v>
      </c>
      <c r="BN19" s="9">
        <f>'1'!CK19</f>
        <v>0.23938063782464369</v>
      </c>
      <c r="BO19" s="9">
        <f>'1'!CM19</f>
        <v>0.30181754722819948</v>
      </c>
      <c r="BP19" s="9">
        <f>'2'!CK19</f>
        <v>0.34372283562385231</v>
      </c>
      <c r="BQ19" s="9">
        <f>'2'!CM19</f>
        <v>0.49052332979265789</v>
      </c>
      <c r="BR19" s="9">
        <f>'3'!AB19</f>
        <v>0.37606661066813751</v>
      </c>
      <c r="BS19" s="9">
        <f>'8'!AT16</f>
        <v>0.72083174572819975</v>
      </c>
      <c r="BT19" s="9">
        <f>SUM(BN19,BP19,BS19)/3</f>
        <v>0.4346450730588986</v>
      </c>
      <c r="BU19" s="9">
        <f>SUM(BO19,BQ19,BS19)/3</f>
        <v>0.50439087424968576</v>
      </c>
      <c r="BV19" s="9">
        <f>'1'!CU19</f>
        <v>0.40135810621035933</v>
      </c>
      <c r="BW19" s="9">
        <f>'1'!CW19</f>
        <v>0.48701524306958188</v>
      </c>
      <c r="BX19" s="9">
        <f>'2'!CU19</f>
        <v>0.57940196497283902</v>
      </c>
      <c r="BY19" s="9">
        <f>'2'!CW19</f>
        <v>0.70575899557294919</v>
      </c>
      <c r="BZ19" s="9">
        <f>'3'!AE19</f>
        <v>0.7141753287934689</v>
      </c>
      <c r="CA19" s="9">
        <f>'8'!AY16</f>
        <v>0.71288901997033804</v>
      </c>
      <c r="CB19" s="9">
        <f>SUM(BV19,BX19,CA19)/3</f>
        <v>0.56454969705117886</v>
      </c>
      <c r="CC19" s="9">
        <f>SUM(BW19,BY19,CA19)/3</f>
        <v>0.63522108620428963</v>
      </c>
      <c r="CD19" s="9">
        <f>'1'!DE19</f>
        <v>0.36764837310457554</v>
      </c>
      <c r="CE19" s="9">
        <f>'1'!DG19</f>
        <v>0.451214749674409</v>
      </c>
      <c r="CF19" s="9">
        <f>'2'!DE19</f>
        <v>0.31093925165954012</v>
      </c>
      <c r="CG19" s="9">
        <f>'2'!DG19</f>
        <v>0.45280902750841306</v>
      </c>
      <c r="CH19" s="9">
        <f>'3'!AH19</f>
        <v>0.66047047631749756</v>
      </c>
      <c r="CI19" s="9">
        <f>'8'!BD16</f>
        <v>0.60953060721864039</v>
      </c>
      <c r="CJ19" s="9">
        <f>SUM(CD19,CF19,CI19)/3</f>
        <v>0.42937274399425202</v>
      </c>
      <c r="CK19" s="9">
        <f>SUM(CE19,CG19,CI19)/3</f>
        <v>0.5045181281338208</v>
      </c>
    </row>
    <row r="20" spans="1:89">
      <c r="A20" s="1">
        <v>1982</v>
      </c>
      <c r="B20" s="9">
        <f>'1'!I20</f>
        <v>0.24478856353058198</v>
      </c>
      <c r="C20" s="9">
        <f>'1'!K20</f>
        <v>0.30859140147898034</v>
      </c>
      <c r="D20" s="9">
        <f>'2'!I20</f>
        <v>0.25213587905563967</v>
      </c>
      <c r="E20" s="9">
        <f>'2'!K20</f>
        <v>0.3780891859005715</v>
      </c>
      <c r="F20" s="9">
        <f>'3'!D20</f>
        <v>0.63333307819238305</v>
      </c>
      <c r="G20" s="9">
        <f>'8'!F17</f>
        <v>0.60180498696168072</v>
      </c>
      <c r="H20" s="9">
        <f t="shared" ref="H20:H48" si="22">SUM(B20,D20,G20)/3</f>
        <v>0.36624314318263412</v>
      </c>
      <c r="I20" s="9">
        <f t="shared" ref="I20:I48" si="23">SUM(C20,E20,G20)/3</f>
        <v>0.42949519144707748</v>
      </c>
      <c r="J20" s="9">
        <f>'1'!S20</f>
        <v>8.7466334539934174E-2</v>
      </c>
      <c r="K20" s="9">
        <f>'1'!U20</f>
        <v>8.9784605245577381E-2</v>
      </c>
      <c r="L20" s="9">
        <f>'2'!S20</f>
        <v>0.17192099883548367</v>
      </c>
      <c r="M20" s="9">
        <f>'2'!U20</f>
        <v>0.2569111439913454</v>
      </c>
      <c r="N20" s="9">
        <f>'3'!G20</f>
        <v>0.40885941266959336</v>
      </c>
      <c r="O20" s="9">
        <f>'8'!K17</f>
        <v>0.41157836978659207</v>
      </c>
      <c r="P20" s="9">
        <f t="shared" ref="P20:P48" si="24">SUM(J20,L20,O20)/3</f>
        <v>0.22365523438733667</v>
      </c>
      <c r="Q20" s="9">
        <f t="shared" ref="Q20:Q48" si="25">SUM(K20,M20,O20)/3</f>
        <v>0.252758039674505</v>
      </c>
      <c r="R20" s="9">
        <f>'1'!AC20</f>
        <v>0.17999325186694534</v>
      </c>
      <c r="S20" s="9">
        <f>'1'!AE20</f>
        <v>0.22422333049771684</v>
      </c>
      <c r="T20" s="9">
        <f>'2'!AC20</f>
        <v>8.8554849676685463E-2</v>
      </c>
      <c r="U20" s="9">
        <f>'2'!AE20</f>
        <v>9.5193430959594899E-2</v>
      </c>
      <c r="V20" s="9">
        <f>'3'!J20</f>
        <v>0.5757024128558178</v>
      </c>
      <c r="W20" s="9">
        <f>'8'!P17</f>
        <v>0.50014769336507026</v>
      </c>
      <c r="X20" s="9">
        <f t="shared" ref="X20:X48" si="26">SUM(R20,T20,W20)/3</f>
        <v>0.25623193163623365</v>
      </c>
      <c r="Y20" s="9">
        <f t="shared" ref="Y20:Y48" si="27">SUM(S20,U20,W20)/3</f>
        <v>0.27318815160746063</v>
      </c>
      <c r="Z20" s="9">
        <f>'1'!AM20</f>
        <v>0.21691283683106291</v>
      </c>
      <c r="AA20" s="9">
        <f>'1'!AO20</f>
        <v>0.27316961340061485</v>
      </c>
      <c r="AB20" s="9">
        <f>'2'!AM20</f>
        <v>0.14247628863851514</v>
      </c>
      <c r="AC20" s="9">
        <f>'2'!AO20</f>
        <v>0.20494376637572401</v>
      </c>
      <c r="AD20" s="9">
        <f>'3'!M20</f>
        <v>0.51883087090194802</v>
      </c>
      <c r="AE20" s="9">
        <f>'8'!U17</f>
        <v>0.65044368359813687</v>
      </c>
      <c r="AF20" s="9">
        <f t="shared" ref="AF20:AF48" si="28">SUM(Z20,AB20,AE20)/3</f>
        <v>0.33661093635590494</v>
      </c>
      <c r="AG20" s="9">
        <f t="shared" ref="AG20:AG48" si="29">SUM(AA20,AC20,AE20)/3</f>
        <v>0.37618568779149192</v>
      </c>
      <c r="AH20" s="9">
        <f>'1'!AW20</f>
        <v>0.1117113878130612</v>
      </c>
      <c r="AI20" s="9">
        <f>'1'!AY20</f>
        <v>0.12680804217995839</v>
      </c>
      <c r="AJ20" s="9">
        <f>'2'!AW20</f>
        <v>0.15021683481130779</v>
      </c>
      <c r="AK20" s="9">
        <f>'2'!AY20</f>
        <v>0.21907726679148992</v>
      </c>
      <c r="AL20" s="9">
        <f>'3'!P20</f>
        <v>0.35992118980643312</v>
      </c>
      <c r="AM20" s="9">
        <f>'8'!Z17</f>
        <v>0.47666775672041134</v>
      </c>
      <c r="AN20" s="9">
        <f t="shared" ref="AN20:AN48" si="30">SUM(AH20,AJ20,AM20)/3</f>
        <v>0.24619865978159342</v>
      </c>
      <c r="AO20" s="9">
        <f t="shared" ref="AO20:AO48" si="31">SUM(AI20,AK20,AM20)/3</f>
        <v>0.27418435523061985</v>
      </c>
      <c r="AP20" s="9">
        <f>'1'!BG20</f>
        <v>0.1688607542450852</v>
      </c>
      <c r="AQ20" s="9">
        <f>'1'!BI20</f>
        <v>0.20897842128269906</v>
      </c>
      <c r="AR20" s="9">
        <f>'2'!BG20</f>
        <v>0.20022856321087612</v>
      </c>
      <c r="AS20" s="9">
        <f>'2'!BI20</f>
        <v>0.30271491189582767</v>
      </c>
      <c r="AT20" s="9">
        <f>'3'!S20</f>
        <v>0.61605476410599769</v>
      </c>
      <c r="AU20" s="9">
        <f>'8'!AE17</f>
        <v>0.55783184340064806</v>
      </c>
      <c r="AV20" s="9">
        <f t="shared" ref="AV20:AV48" si="32">SUM(AP20,AR20,AU20)/3</f>
        <v>0.30897372028553644</v>
      </c>
      <c r="AW20" s="9">
        <f t="shared" ref="AW20:AW48" si="33">SUM(AQ20,AS20,AU20)/3</f>
        <v>0.3565083921930583</v>
      </c>
      <c r="AX20" s="9">
        <f>'1'!BQ20</f>
        <v>0.25968459506712777</v>
      </c>
      <c r="AY20" s="9">
        <f>'1'!BS20</f>
        <v>0.32701452507764778</v>
      </c>
      <c r="AZ20" s="9">
        <f>'2'!BQ20</f>
        <v>0.1966969268541173</v>
      </c>
      <c r="BA20" s="9">
        <f>'2'!BS20</f>
        <v>0.29720006574312913</v>
      </c>
      <c r="BB20" s="9">
        <f>'3'!V20</f>
        <v>0.73808586794813802</v>
      </c>
      <c r="BC20" s="9">
        <f>'8'!AJ17</f>
        <v>0.63565983644267643</v>
      </c>
      <c r="BD20" s="9">
        <f t="shared" ref="BD20:BD48" si="34">SUM(AX20,AZ20,BC20)/3</f>
        <v>0.36401378612130714</v>
      </c>
      <c r="BE20" s="9">
        <f t="shared" ref="BE20:BE48" si="35">SUM(AY20,BA20,BC20)/3</f>
        <v>0.41995814242115115</v>
      </c>
      <c r="BF20" s="9">
        <f>'1'!CA20</f>
        <v>0.23036416368652973</v>
      </c>
      <c r="BG20" s="9">
        <f>'1'!CC20</f>
        <v>0.29041998719350859</v>
      </c>
      <c r="BH20" s="9">
        <f>'2'!CA20</f>
        <v>0.23655071191279708</v>
      </c>
      <c r="BI20" s="9">
        <f>'2'!CC20</f>
        <v>0.35650018336289574</v>
      </c>
      <c r="BJ20" s="9">
        <f>'3'!Y20</f>
        <v>0.51464060519526611</v>
      </c>
      <c r="BK20" s="9">
        <f>'8'!AO17</f>
        <v>0.63543806260371716</v>
      </c>
      <c r="BL20" s="9">
        <f t="shared" ref="BL20:BL48" si="36">SUM(BF20,BH20,BK20)/3</f>
        <v>0.36745097940101462</v>
      </c>
      <c r="BM20" s="9">
        <f t="shared" ref="BM20:BM48" si="37">SUM(BG20,BI20,BK20)/3</f>
        <v>0.42745274438670711</v>
      </c>
      <c r="BN20" s="9">
        <f>'1'!CK20</f>
        <v>0.21783472983496147</v>
      </c>
      <c r="BO20" s="9">
        <f>'1'!CM20</f>
        <v>0.27436148395204529</v>
      </c>
      <c r="BP20" s="9">
        <f>'2'!CK20</f>
        <v>0.33032409623529557</v>
      </c>
      <c r="BQ20" s="9">
        <f>'2'!CM20</f>
        <v>0.47541376476539071</v>
      </c>
      <c r="BR20" s="9">
        <f>'3'!AB20</f>
        <v>0.51827543171596335</v>
      </c>
      <c r="BS20" s="9">
        <f>'8'!AT17</f>
        <v>0.76371266951126482</v>
      </c>
      <c r="BT20" s="9">
        <f t="shared" ref="BT20:BT48" si="38">SUM(BN20,BP20,BS20)/3</f>
        <v>0.43729049852717394</v>
      </c>
      <c r="BU20" s="9">
        <f t="shared" ref="BU20:BU48" si="39">SUM(BO20,BQ20,BS20)/3</f>
        <v>0.50449597274290026</v>
      </c>
      <c r="BV20" s="9">
        <f>'1'!CU20</f>
        <v>0.37475517484536675</v>
      </c>
      <c r="BW20" s="9">
        <f>'1'!CW20</f>
        <v>0.45887039271928132</v>
      </c>
      <c r="BX20" s="9">
        <f>'2'!CU20</f>
        <v>0.58281227586298545</v>
      </c>
      <c r="BY20" s="9">
        <f>'2'!CW20</f>
        <v>0.70834074363672006</v>
      </c>
      <c r="BZ20" s="9">
        <f>'3'!AE20</f>
        <v>0.71213847018311682</v>
      </c>
      <c r="CA20" s="9">
        <f>'8'!AY17</f>
        <v>0.64474961545561871</v>
      </c>
      <c r="CB20" s="9">
        <f t="shared" ref="CB20:CB48" si="40">SUM(BV20,BX20,CA20)/3</f>
        <v>0.53410568872132369</v>
      </c>
      <c r="CC20" s="9">
        <f t="shared" ref="CC20:CC48" si="41">SUM(BW20,BY20,CA20)/3</f>
        <v>0.60398691727053999</v>
      </c>
      <c r="CD20" s="9">
        <f>'1'!DE20</f>
        <v>0.31496722849577508</v>
      </c>
      <c r="CE20" s="9">
        <f>'1'!DG20</f>
        <v>0.39254742989004565</v>
      </c>
      <c r="CF20" s="9">
        <f>'2'!DE20</f>
        <v>0.29677007627738905</v>
      </c>
      <c r="CG20" s="9">
        <f>'2'!DG20</f>
        <v>0.43569174284040724</v>
      </c>
      <c r="CH20" s="9">
        <f>'3'!AH20</f>
        <v>0.57084594300491354</v>
      </c>
      <c r="CI20" s="9">
        <f>'8'!BD17</f>
        <v>0.55295977688516529</v>
      </c>
      <c r="CJ20" s="9">
        <f t="shared" ref="CJ20:CJ48" si="42">SUM(CD20,CF20,CI20)/3</f>
        <v>0.38823236055277643</v>
      </c>
      <c r="CK20" s="9">
        <f t="shared" ref="CK20:CK48" si="43">SUM(CE20,CG20,CI20)/3</f>
        <v>0.46039964987187271</v>
      </c>
    </row>
    <row r="21" spans="1:89">
      <c r="A21" s="1">
        <v>1983</v>
      </c>
      <c r="B21" s="9">
        <f>'1'!I21</f>
        <v>0.25449385343764758</v>
      </c>
      <c r="C21" s="9">
        <f>'1'!K21</f>
        <v>0.32063342349342272</v>
      </c>
      <c r="D21" s="9">
        <f>'2'!I21</f>
        <v>0.26155044305366026</v>
      </c>
      <c r="E21" s="9">
        <f>'2'!K21</f>
        <v>0.39073991128868363</v>
      </c>
      <c r="F21" s="9">
        <f>'3'!D21</f>
        <v>0.60013558735999839</v>
      </c>
      <c r="G21" s="9">
        <f>'8'!F18</f>
        <v>0.57745844659138112</v>
      </c>
      <c r="H21" s="9">
        <f t="shared" si="22"/>
        <v>0.36450091436089638</v>
      </c>
      <c r="I21" s="9">
        <f t="shared" si="23"/>
        <v>0.42961059379116245</v>
      </c>
      <c r="J21" s="9">
        <f>'1'!S21</f>
        <v>0.1012860766753356</v>
      </c>
      <c r="K21" s="9">
        <f>'1'!U21</f>
        <v>0.11105683213421934</v>
      </c>
      <c r="L21" s="9">
        <f>'2'!S21</f>
        <v>0.17335665356942101</v>
      </c>
      <c r="M21" s="9">
        <f>'2'!U21</f>
        <v>0.25932618894450771</v>
      </c>
      <c r="N21" s="9">
        <f>'3'!G21</f>
        <v>0.24238351254480286</v>
      </c>
      <c r="O21" s="9">
        <f>'8'!K18</f>
        <v>0.33440328678736059</v>
      </c>
      <c r="P21" s="9">
        <f t="shared" si="24"/>
        <v>0.20301533901070576</v>
      </c>
      <c r="Q21" s="9">
        <f t="shared" si="25"/>
        <v>0.23492876928869588</v>
      </c>
      <c r="R21" s="9">
        <f>'1'!AC21</f>
        <v>0.18853152565688744</v>
      </c>
      <c r="S21" s="9">
        <f>'1'!AE21</f>
        <v>0.23575921506326397</v>
      </c>
      <c r="T21" s="9">
        <f>'2'!AC21</f>
        <v>9.3876826678976497E-2</v>
      </c>
      <c r="U21" s="9">
        <f>'2'!AE21</f>
        <v>0.1070296531166328</v>
      </c>
      <c r="V21" s="9">
        <f>'3'!J21</f>
        <v>0.64336692878912549</v>
      </c>
      <c r="W21" s="9">
        <f>'8'!P18</f>
        <v>0.50932292058240758</v>
      </c>
      <c r="X21" s="9">
        <f t="shared" si="26"/>
        <v>0.26391042430609052</v>
      </c>
      <c r="Y21" s="9">
        <f t="shared" si="27"/>
        <v>0.28403726292076814</v>
      </c>
      <c r="Z21" s="9">
        <f>'1'!AM21</f>
        <v>0.21913810381994009</v>
      </c>
      <c r="AA21" s="9">
        <f>'1'!AO21</f>
        <v>0.27604411670912954</v>
      </c>
      <c r="AB21" s="9">
        <f>'2'!AM21</f>
        <v>0.14935443507237858</v>
      </c>
      <c r="AC21" s="9">
        <f>'2'!AO21</f>
        <v>0.21752007875490392</v>
      </c>
      <c r="AD21" s="9">
        <f>'3'!M21</f>
        <v>0.53755030279422311</v>
      </c>
      <c r="AE21" s="9">
        <f>'8'!U18</f>
        <v>0.65093139818486079</v>
      </c>
      <c r="AF21" s="9">
        <f t="shared" si="28"/>
        <v>0.33980797902572651</v>
      </c>
      <c r="AG21" s="9">
        <f t="shared" si="29"/>
        <v>0.38149853121629812</v>
      </c>
      <c r="AH21" s="9">
        <f>'1'!AW21</f>
        <v>0.1322248716609048</v>
      </c>
      <c r="AI21" s="9">
        <f>'1'!AY21</f>
        <v>0.15709048556756963</v>
      </c>
      <c r="AJ21" s="9">
        <f>'2'!AW21</f>
        <v>0.14843292782374889</v>
      </c>
      <c r="AK21" s="9">
        <f>'2'!AY21</f>
        <v>0.21585138355632436</v>
      </c>
      <c r="AL21" s="9">
        <f>'3'!P21</f>
        <v>0.27145798470311339</v>
      </c>
      <c r="AM21" s="9">
        <f>'8'!Z18</f>
        <v>0.41863736341171404</v>
      </c>
      <c r="AN21" s="9">
        <f t="shared" si="30"/>
        <v>0.23309838763212257</v>
      </c>
      <c r="AO21" s="9">
        <f t="shared" si="31"/>
        <v>0.26385974417853603</v>
      </c>
      <c r="AP21" s="9">
        <f>'1'!BG21</f>
        <v>0.18707762604829281</v>
      </c>
      <c r="AQ21" s="9">
        <f>'1'!BI21</f>
        <v>0.23380431938391405</v>
      </c>
      <c r="AR21" s="9">
        <f>'2'!BG21</f>
        <v>0.20409905194775241</v>
      </c>
      <c r="AS21" s="9">
        <f>'2'!BI21</f>
        <v>0.3086974109345062</v>
      </c>
      <c r="AT21" s="9">
        <f>'3'!S21</f>
        <v>0.61597300000268285</v>
      </c>
      <c r="AU21" s="9">
        <f>'8'!AE18</f>
        <v>0.57483691178143614</v>
      </c>
      <c r="AV21" s="9">
        <f t="shared" si="32"/>
        <v>0.32200452992582712</v>
      </c>
      <c r="AW21" s="9">
        <f t="shared" si="33"/>
        <v>0.37244621403328554</v>
      </c>
      <c r="AX21" s="9">
        <f>'1'!BQ21</f>
        <v>0.27078232783297135</v>
      </c>
      <c r="AY21" s="9">
        <f>'1'!BS21</f>
        <v>0.34052128582354252</v>
      </c>
      <c r="AZ21" s="9">
        <f>'2'!BQ21</f>
        <v>0.20118175447870573</v>
      </c>
      <c r="BA21" s="9">
        <f>'2'!BS21</f>
        <v>0.30419414961224439</v>
      </c>
      <c r="BB21" s="9">
        <f>'3'!V21</f>
        <v>0.66969336398326762</v>
      </c>
      <c r="BC21" s="9">
        <f>'8'!AJ18</f>
        <v>0.58831083900365877</v>
      </c>
      <c r="BD21" s="9">
        <f t="shared" si="34"/>
        <v>0.35342497377177856</v>
      </c>
      <c r="BE21" s="9">
        <f t="shared" si="35"/>
        <v>0.41100875814648186</v>
      </c>
      <c r="BF21" s="9">
        <f>'1'!CA21</f>
        <v>0.23832159975295916</v>
      </c>
      <c r="BG21" s="9">
        <f>'1'!CC21</f>
        <v>0.30048559354374438</v>
      </c>
      <c r="BH21" s="9">
        <f>'2'!CA21</f>
        <v>0.23626078627920308</v>
      </c>
      <c r="BI21" s="9">
        <f>'2'!CC21</f>
        <v>0.35609061135636078</v>
      </c>
      <c r="BJ21" s="9">
        <f>'3'!Y21</f>
        <v>0.5652200559241003</v>
      </c>
      <c r="BK21" s="9">
        <f>'8'!AO18</f>
        <v>0.54803029694156802</v>
      </c>
      <c r="BL21" s="9">
        <f t="shared" si="36"/>
        <v>0.34087089432457679</v>
      </c>
      <c r="BM21" s="9">
        <f t="shared" si="37"/>
        <v>0.40153550061389104</v>
      </c>
      <c r="BN21" s="9">
        <f>'1'!CK21</f>
        <v>0.22109435720565673</v>
      </c>
      <c r="BO21" s="9">
        <f>'1'!CM21</f>
        <v>0.27856426890725466</v>
      </c>
      <c r="BP21" s="9">
        <f>'2'!CK21</f>
        <v>0.34264978558856035</v>
      </c>
      <c r="BQ21" s="9">
        <f>'2'!CM21</f>
        <v>0.48932811145500038</v>
      </c>
      <c r="BR21" s="9">
        <f>'3'!AB21</f>
        <v>0.49912954994953801</v>
      </c>
      <c r="BS21" s="9">
        <f>'8'!AT18</f>
        <v>0.75240404066837185</v>
      </c>
      <c r="BT21" s="9">
        <f t="shared" si="38"/>
        <v>0.43871606115419631</v>
      </c>
      <c r="BU21" s="9">
        <f t="shared" si="39"/>
        <v>0.50676547367687563</v>
      </c>
      <c r="BV21" s="9">
        <f>'1'!CU21</f>
        <v>0.37828773270750471</v>
      </c>
      <c r="BW21" s="9">
        <f>'1'!CW21</f>
        <v>0.46265392477864764</v>
      </c>
      <c r="BX21" s="9">
        <f>'2'!CU21</f>
        <v>0.64573445984009481</v>
      </c>
      <c r="BY21" s="9">
        <f>'2'!CW21</f>
        <v>0.75396418429387912</v>
      </c>
      <c r="BZ21" s="9">
        <f>'3'!AE21</f>
        <v>0.57882041668042217</v>
      </c>
      <c r="CA21" s="9">
        <f>'8'!AY18</f>
        <v>0.57542741616684556</v>
      </c>
      <c r="CB21" s="9">
        <f t="shared" si="40"/>
        <v>0.53314986957148169</v>
      </c>
      <c r="CC21" s="9">
        <f t="shared" si="41"/>
        <v>0.59734850841312415</v>
      </c>
      <c r="CD21" s="9">
        <f>'1'!DE21</f>
        <v>0.30962657179109354</v>
      </c>
      <c r="CE21" s="9">
        <f>'1'!DG21</f>
        <v>0.38640183878135526</v>
      </c>
      <c r="CF21" s="9">
        <f>'2'!DE21</f>
        <v>0.29234823858125308</v>
      </c>
      <c r="CG21" s="9">
        <f>'2'!DG21</f>
        <v>0.4302414002206616</v>
      </c>
      <c r="CH21" s="9">
        <f>'3'!AH21</f>
        <v>0.62531379257892206</v>
      </c>
      <c r="CI21" s="9">
        <f>'8'!BD18</f>
        <v>0.57695756152533217</v>
      </c>
      <c r="CJ21" s="9">
        <f t="shared" si="42"/>
        <v>0.39297745729922623</v>
      </c>
      <c r="CK21" s="9">
        <f t="shared" si="43"/>
        <v>0.46453360017578299</v>
      </c>
    </row>
    <row r="22" spans="1:89">
      <c r="A22" s="1">
        <v>1984</v>
      </c>
      <c r="B22" s="9">
        <f>'1'!I22</f>
        <v>0.27404016142312027</v>
      </c>
      <c r="C22" s="9">
        <f>'1'!K22</f>
        <v>0.34445169552363886</v>
      </c>
      <c r="D22" s="9">
        <f>'2'!I22</f>
        <v>0.26197048084309882</v>
      </c>
      <c r="E22" s="9">
        <f>'2'!K22</f>
        <v>0.39129775374248149</v>
      </c>
      <c r="F22" s="9">
        <f>'3'!D22</f>
        <v>0.57898096574614399</v>
      </c>
      <c r="G22" s="9">
        <f>'8'!F19</f>
        <v>0.59876962118468435</v>
      </c>
      <c r="H22" s="9">
        <f t="shared" si="22"/>
        <v>0.37826008781696779</v>
      </c>
      <c r="I22" s="9">
        <f t="shared" si="23"/>
        <v>0.4448396901502682</v>
      </c>
      <c r="J22" s="9">
        <f>'1'!S22</f>
        <v>0.13184549093481235</v>
      </c>
      <c r="K22" s="9">
        <f>'1'!U22</f>
        <v>0.15653873142805841</v>
      </c>
      <c r="L22" s="9">
        <f>'2'!S22</f>
        <v>0.17951969995066791</v>
      </c>
      <c r="M22" s="9">
        <f>'2'!U22</f>
        <v>0.26957735490373602</v>
      </c>
      <c r="N22" s="9">
        <f>'3'!G22</f>
        <v>0.32385081270531235</v>
      </c>
      <c r="O22" s="9">
        <f>'8'!K19</f>
        <v>0.46041952656113777</v>
      </c>
      <c r="P22" s="9">
        <f t="shared" si="24"/>
        <v>0.25726157248220599</v>
      </c>
      <c r="Q22" s="9">
        <f t="shared" si="25"/>
        <v>0.29551187096431075</v>
      </c>
      <c r="R22" s="9">
        <f>'1'!AC22</f>
        <v>0.22211688697315826</v>
      </c>
      <c r="S22" s="9">
        <f>'1'!AE22</f>
        <v>0.27987900792410941</v>
      </c>
      <c r="T22" s="9">
        <f>'2'!AC22</f>
        <v>9.6323565249441898E-2</v>
      </c>
      <c r="U22" s="9">
        <f>'2'!AE22</f>
        <v>0.11238876966805374</v>
      </c>
      <c r="V22" s="9">
        <f>'3'!J22</f>
        <v>0.57243536460880062</v>
      </c>
      <c r="W22" s="9">
        <f>'8'!P19</f>
        <v>0.58618352790458705</v>
      </c>
      <c r="X22" s="9">
        <f t="shared" si="26"/>
        <v>0.30154132670906236</v>
      </c>
      <c r="Y22" s="9">
        <f t="shared" si="27"/>
        <v>0.3261504351655834</v>
      </c>
      <c r="Z22" s="9">
        <f>'1'!AM22</f>
        <v>0.26105707218938345</v>
      </c>
      <c r="AA22" s="9">
        <f>'1'!AO22</f>
        <v>0.32869491523844441</v>
      </c>
      <c r="AB22" s="9">
        <f>'2'!AM22</f>
        <v>0.15865884616511211</v>
      </c>
      <c r="AC22" s="9">
        <f>'2'!AO22</f>
        <v>0.23409704640360723</v>
      </c>
      <c r="AD22" s="9">
        <f>'3'!M22</f>
        <v>0.54081003633493385</v>
      </c>
      <c r="AE22" s="9">
        <f>'8'!U19</f>
        <v>0.60637174218150214</v>
      </c>
      <c r="AF22" s="9">
        <f t="shared" si="28"/>
        <v>0.34202922017866588</v>
      </c>
      <c r="AG22" s="9">
        <f t="shared" si="29"/>
        <v>0.3897212346078513</v>
      </c>
      <c r="AH22" s="9">
        <f>'1'!AW22</f>
        <v>0.1618565386204231</v>
      </c>
      <c r="AI22" s="9">
        <f>'1'!AY22</f>
        <v>0.19926551797303152</v>
      </c>
      <c r="AJ22" s="9">
        <f>'2'!AW22</f>
        <v>0.14857153031966308</v>
      </c>
      <c r="AK22" s="9">
        <f>'2'!AY22</f>
        <v>0.21610268608908992</v>
      </c>
      <c r="AL22" s="9">
        <f>'3'!P22</f>
        <v>0.39077901066278808</v>
      </c>
      <c r="AM22" s="9">
        <f>'8'!Z19</f>
        <v>0.47762912328318485</v>
      </c>
      <c r="AN22" s="9">
        <f t="shared" si="30"/>
        <v>0.26268573074109036</v>
      </c>
      <c r="AO22" s="9">
        <f t="shared" si="31"/>
        <v>0.29766577578176873</v>
      </c>
      <c r="AP22" s="9">
        <f>'1'!BG22</f>
        <v>0.21514370265068819</v>
      </c>
      <c r="AQ22" s="9">
        <f>'1'!BI22</f>
        <v>0.27087837360279349</v>
      </c>
      <c r="AR22" s="9">
        <f>'2'!BG22</f>
        <v>0.20834088472275455</v>
      </c>
      <c r="AS22" s="9">
        <f>'2'!BI22</f>
        <v>0.31518159553428643</v>
      </c>
      <c r="AT22" s="9">
        <f>'3'!S22</f>
        <v>0.5450508350951373</v>
      </c>
      <c r="AU22" s="9">
        <f>'8'!AE19</f>
        <v>0.60178313388351179</v>
      </c>
      <c r="AV22" s="9">
        <f t="shared" si="32"/>
        <v>0.34175590708565151</v>
      </c>
      <c r="AW22" s="9">
        <f t="shared" si="33"/>
        <v>0.39594770100686388</v>
      </c>
      <c r="AX22" s="9">
        <f>'1'!BQ22</f>
        <v>0.29170422250463268</v>
      </c>
      <c r="AY22" s="9">
        <f>'1'!BS22</f>
        <v>0.36549593202564934</v>
      </c>
      <c r="AZ22" s="9">
        <f>'2'!BQ22</f>
        <v>0.20574985146448668</v>
      </c>
      <c r="BA22" s="9">
        <f>'2'!BS22</f>
        <v>0.31122976484219905</v>
      </c>
      <c r="BB22" s="9">
        <f>'3'!V22</f>
        <v>0.69538436423292294</v>
      </c>
      <c r="BC22" s="9">
        <f>'8'!AJ19</f>
        <v>0.62792185924655119</v>
      </c>
      <c r="BD22" s="9">
        <f t="shared" si="34"/>
        <v>0.37512531107189018</v>
      </c>
      <c r="BE22" s="9">
        <f t="shared" si="35"/>
        <v>0.43488251870479983</v>
      </c>
      <c r="BF22" s="9">
        <f>'1'!CA22</f>
        <v>0.28708622703446462</v>
      </c>
      <c r="BG22" s="9">
        <f>'1'!CC22</f>
        <v>0.36003713019944567</v>
      </c>
      <c r="BH22" s="9">
        <f>'2'!CA22</f>
        <v>0.24133118722514368</v>
      </c>
      <c r="BI22" s="9">
        <f>'2'!CC22</f>
        <v>0.3632107986181719</v>
      </c>
      <c r="BJ22" s="9">
        <f>'3'!Y22</f>
        <v>0.53172476750368269</v>
      </c>
      <c r="BK22" s="9">
        <f>'8'!AO19</f>
        <v>0.653035095947196</v>
      </c>
      <c r="BL22" s="9">
        <f t="shared" si="36"/>
        <v>0.39381750340226812</v>
      </c>
      <c r="BM22" s="9">
        <f t="shared" si="37"/>
        <v>0.45876100825493787</v>
      </c>
      <c r="BN22" s="9">
        <f>'1'!CK22</f>
        <v>0.22748730331968453</v>
      </c>
      <c r="BO22" s="9">
        <f>'1'!CM22</f>
        <v>0.28675571278185558</v>
      </c>
      <c r="BP22" s="9">
        <f>'2'!CK22</f>
        <v>0.3590251009599465</v>
      </c>
      <c r="BQ22" s="9">
        <f>'2'!CM22</f>
        <v>0.50729697256822093</v>
      </c>
      <c r="BR22" s="9">
        <f>'3'!AB22</f>
        <v>0.38175936614772821</v>
      </c>
      <c r="BS22" s="9">
        <f>'8'!AT19</f>
        <v>0.69979436344291701</v>
      </c>
      <c r="BT22" s="9">
        <f t="shared" si="38"/>
        <v>0.42876892257418264</v>
      </c>
      <c r="BU22" s="9">
        <f t="shared" si="39"/>
        <v>0.49794901626433113</v>
      </c>
      <c r="BV22" s="9">
        <f>'1'!CU22</f>
        <v>0.37629400613310432</v>
      </c>
      <c r="BW22" s="9">
        <f>'1'!CW22</f>
        <v>0.46052032331412679</v>
      </c>
      <c r="BX22" s="9">
        <f>'2'!CU22</f>
        <v>0.62221602152750144</v>
      </c>
      <c r="BY22" s="9">
        <f>'2'!CW22</f>
        <v>0.73734170311759306</v>
      </c>
      <c r="BZ22" s="9">
        <f>'3'!AE22</f>
        <v>0.52423218651320747</v>
      </c>
      <c r="CA22" s="9">
        <f>'8'!AY19</f>
        <v>0.59173142086563169</v>
      </c>
      <c r="CB22" s="9">
        <f t="shared" si="40"/>
        <v>0.5300804828420792</v>
      </c>
      <c r="CC22" s="9">
        <f t="shared" si="41"/>
        <v>0.5965311490991172</v>
      </c>
      <c r="CD22" s="9">
        <f>'1'!DE22</f>
        <v>0.30552942895581869</v>
      </c>
      <c r="CE22" s="9">
        <f>'1'!DG22</f>
        <v>0.3816612785572141</v>
      </c>
      <c r="CF22" s="9">
        <f>'2'!DE22</f>
        <v>0.28939480861255956</v>
      </c>
      <c r="CG22" s="9">
        <f>'2'!DG22</f>
        <v>0.4265713592440471</v>
      </c>
      <c r="CH22" s="9">
        <f>'3'!AH22</f>
        <v>0.55510391696181638</v>
      </c>
      <c r="CI22" s="9">
        <f>'8'!BD19</f>
        <v>0.51629846634910725</v>
      </c>
      <c r="CJ22" s="9">
        <f t="shared" si="42"/>
        <v>0.37040756797249519</v>
      </c>
      <c r="CK22" s="9">
        <f t="shared" si="43"/>
        <v>0.44151036805012284</v>
      </c>
    </row>
    <row r="23" spans="1:89">
      <c r="A23" s="1">
        <v>1985</v>
      </c>
      <c r="B23" s="9">
        <f>'1'!I23</f>
        <v>0.30292426979507547</v>
      </c>
      <c r="C23" s="9">
        <f>'1'!K23</f>
        <v>0.37863519753986374</v>
      </c>
      <c r="D23" s="9">
        <f>'2'!I23</f>
        <v>0.25766914460604035</v>
      </c>
      <c r="E23" s="9">
        <f>'2'!K23</f>
        <v>0.38555889364555529</v>
      </c>
      <c r="F23" s="9">
        <f>'3'!D23</f>
        <v>0.62312174818864408</v>
      </c>
      <c r="G23" s="9">
        <f>'8'!F20</f>
        <v>0.60452439439058236</v>
      </c>
      <c r="H23" s="9">
        <f t="shared" si="22"/>
        <v>0.38837260293056602</v>
      </c>
      <c r="I23" s="9">
        <f t="shared" si="23"/>
        <v>0.45623949519200052</v>
      </c>
      <c r="J23" s="9">
        <f>'1'!S23</f>
        <v>0.16012008057354765</v>
      </c>
      <c r="K23" s="9">
        <f>'1'!U23</f>
        <v>0.1968427721674961</v>
      </c>
      <c r="L23" s="9">
        <f>'2'!S23</f>
        <v>0.17606800093250471</v>
      </c>
      <c r="M23" s="9">
        <f>'2'!U23</f>
        <v>0.26385908987147633</v>
      </c>
      <c r="N23" s="9">
        <f>'3'!G23</f>
        <v>0.27627680337235294</v>
      </c>
      <c r="O23" s="9">
        <f>'8'!K20</f>
        <v>0.46778924147499279</v>
      </c>
      <c r="P23" s="9">
        <f t="shared" si="24"/>
        <v>0.26799244099368175</v>
      </c>
      <c r="Q23" s="9">
        <f t="shared" si="25"/>
        <v>0.3094970345046551</v>
      </c>
      <c r="R23" s="9">
        <f>'1'!AC23</f>
        <v>0.232458709554414</v>
      </c>
      <c r="S23" s="9">
        <f>'1'!AE23</f>
        <v>0.29307934700177113</v>
      </c>
      <c r="T23" s="9">
        <f>'2'!AC23</f>
        <v>9.9251967392188695E-2</v>
      </c>
      <c r="U23" s="9">
        <f>'2'!AE23</f>
        <v>0.11873644221499288</v>
      </c>
      <c r="V23" s="9">
        <f>'3'!J23</f>
        <v>0.65071956921236351</v>
      </c>
      <c r="W23" s="9">
        <f>'8'!P20</f>
        <v>0.54990750262374466</v>
      </c>
      <c r="X23" s="9">
        <f t="shared" si="26"/>
        <v>0.29387272652344915</v>
      </c>
      <c r="Y23" s="9">
        <f t="shared" si="27"/>
        <v>0.32057443061350288</v>
      </c>
      <c r="Z23" s="9">
        <f>'1'!AM23</f>
        <v>0.2941726649126169</v>
      </c>
      <c r="AA23" s="9">
        <f>'1'!AO23</f>
        <v>0.36840155380581946</v>
      </c>
      <c r="AB23" s="9">
        <f>'2'!AM23</f>
        <v>0.15718713515518212</v>
      </c>
      <c r="AC23" s="9">
        <f>'2'!AO23</f>
        <v>0.23150733008007687</v>
      </c>
      <c r="AD23" s="9">
        <f>'3'!M23</f>
        <v>0.53924779731142203</v>
      </c>
      <c r="AE23" s="9">
        <f>'8'!U20</f>
        <v>0.59106151278813224</v>
      </c>
      <c r="AF23" s="9">
        <f t="shared" si="28"/>
        <v>0.34747377095197707</v>
      </c>
      <c r="AG23" s="9">
        <f t="shared" si="29"/>
        <v>0.39699013222467622</v>
      </c>
      <c r="AH23" s="9">
        <f>'1'!AW23</f>
        <v>0.20490621429382325</v>
      </c>
      <c r="AI23" s="9">
        <f>'1'!AY23</f>
        <v>0.25751483313744844</v>
      </c>
      <c r="AJ23" s="9">
        <f>'2'!AW23</f>
        <v>0.14604121910447213</v>
      </c>
      <c r="AK23" s="9">
        <f>'2'!AY23</f>
        <v>0.21149715038554068</v>
      </c>
      <c r="AL23" s="9">
        <f>'3'!P23</f>
        <v>0.52854800054075879</v>
      </c>
      <c r="AM23" s="9">
        <f>'8'!Z20</f>
        <v>0.49711685107665859</v>
      </c>
      <c r="AN23" s="9">
        <f t="shared" si="30"/>
        <v>0.28268809482498464</v>
      </c>
      <c r="AO23" s="9">
        <f t="shared" si="31"/>
        <v>0.32204294486654922</v>
      </c>
      <c r="AP23" s="9">
        <f>'1'!BG23</f>
        <v>0.24761751876682772</v>
      </c>
      <c r="AQ23" s="9">
        <f>'1'!BI23</f>
        <v>0.31211657790621194</v>
      </c>
      <c r="AR23" s="9">
        <f>'2'!BG23</f>
        <v>0.20903861041290089</v>
      </c>
      <c r="AS23" s="9">
        <f>'2'!BI23</f>
        <v>0.31624103349326149</v>
      </c>
      <c r="AT23" s="9">
        <f>'3'!S23</f>
        <v>0.60980448487394967</v>
      </c>
      <c r="AU23" s="9">
        <f>'8'!AE20</f>
        <v>0.59220165730100516</v>
      </c>
      <c r="AV23" s="9">
        <f t="shared" si="32"/>
        <v>0.34961926216024458</v>
      </c>
      <c r="AW23" s="9">
        <f t="shared" si="33"/>
        <v>0.40685308956682614</v>
      </c>
      <c r="AX23" s="9">
        <f>'1'!BQ23</f>
        <v>0.3204168209382543</v>
      </c>
      <c r="AY23" s="9">
        <f>'1'!BS23</f>
        <v>0.39877943424341405</v>
      </c>
      <c r="AZ23" s="9">
        <f>'2'!BQ23</f>
        <v>0.20635208737036076</v>
      </c>
      <c r="BA23" s="9">
        <f>'2'!BS23</f>
        <v>0.31215077270775021</v>
      </c>
      <c r="BB23" s="9">
        <f>'3'!V23</f>
        <v>0.74410758965338442</v>
      </c>
      <c r="BC23" s="9">
        <f>'8'!AJ20</f>
        <v>0.64410289414045541</v>
      </c>
      <c r="BD23" s="9">
        <f t="shared" si="34"/>
        <v>0.39029060081635686</v>
      </c>
      <c r="BE23" s="9">
        <f t="shared" si="35"/>
        <v>0.45167770036387322</v>
      </c>
      <c r="BF23" s="9">
        <f>'1'!CA23</f>
        <v>0.32226396899777598</v>
      </c>
      <c r="BG23" s="9">
        <f>'1'!CC23</f>
        <v>0.40088294263007235</v>
      </c>
      <c r="BH23" s="9">
        <f>'2'!CA23</f>
        <v>0.23632867842537861</v>
      </c>
      <c r="BI23" s="9">
        <f>'2'!CC23</f>
        <v>0.35618654795654769</v>
      </c>
      <c r="BJ23" s="9">
        <f>'3'!Y23</f>
        <v>0.59439845266683344</v>
      </c>
      <c r="BK23" s="9">
        <f>'8'!AO20</f>
        <v>0.62816502695729171</v>
      </c>
      <c r="BL23" s="9">
        <f t="shared" si="36"/>
        <v>0.39558589146014872</v>
      </c>
      <c r="BM23" s="9">
        <f t="shared" si="37"/>
        <v>0.46174483918130393</v>
      </c>
      <c r="BN23" s="9">
        <f>'1'!CK23</f>
        <v>0.23303855465586082</v>
      </c>
      <c r="BO23" s="9">
        <f>'1'!CM23</f>
        <v>0.2938142964622768</v>
      </c>
      <c r="BP23" s="9">
        <f>'2'!CK23</f>
        <v>0.35100489924667277</v>
      </c>
      <c r="BQ23" s="9">
        <f>'2'!CM23</f>
        <v>0.49856802616830731</v>
      </c>
      <c r="BR23" s="9">
        <f>'3'!AB23</f>
        <v>0.30368179575610416</v>
      </c>
      <c r="BS23" s="9">
        <f>'8'!AT20</f>
        <v>0.66759072841013045</v>
      </c>
      <c r="BT23" s="9">
        <f t="shared" si="38"/>
        <v>0.41721139410422142</v>
      </c>
      <c r="BU23" s="9">
        <f t="shared" si="39"/>
        <v>0.48665768368023815</v>
      </c>
      <c r="BV23" s="9">
        <f>'1'!CU23</f>
        <v>0.41099399635570755</v>
      </c>
      <c r="BW23" s="9">
        <f>'1'!CW23</f>
        <v>0.49701609112956463</v>
      </c>
      <c r="BX23" s="9">
        <f>'2'!CU23</f>
        <v>0.60843397916877917</v>
      </c>
      <c r="BY23" s="9">
        <f>'2'!CW23</f>
        <v>0.7273673951101034</v>
      </c>
      <c r="BZ23" s="9">
        <f>'3'!AE23</f>
        <v>0.67581879391074784</v>
      </c>
      <c r="CA23" s="9">
        <f>'8'!AY20</f>
        <v>0.63762014494069985</v>
      </c>
      <c r="CB23" s="9">
        <f t="shared" si="40"/>
        <v>0.55234937348839563</v>
      </c>
      <c r="CC23" s="9">
        <f t="shared" si="41"/>
        <v>0.62066787706012272</v>
      </c>
      <c r="CD23" s="9">
        <f>'1'!DE23</f>
        <v>0.32123530301798991</v>
      </c>
      <c r="CE23" s="9">
        <f>'1'!DG23</f>
        <v>0.399712060609065</v>
      </c>
      <c r="CF23" s="9">
        <f>'2'!DE23</f>
        <v>0.28318051422973378</v>
      </c>
      <c r="CG23" s="9">
        <f>'2'!DG23</f>
        <v>0.41877012057727975</v>
      </c>
      <c r="CH23" s="9">
        <f>'3'!AH23</f>
        <v>0.51651369843274342</v>
      </c>
      <c r="CI23" s="9">
        <f>'8'!BD20</f>
        <v>0.51610257421341199</v>
      </c>
      <c r="CJ23" s="9">
        <f t="shared" si="42"/>
        <v>0.37350613048704523</v>
      </c>
      <c r="CK23" s="9">
        <f t="shared" si="43"/>
        <v>0.44486158513325225</v>
      </c>
    </row>
    <row r="24" spans="1:89">
      <c r="A24" s="1">
        <v>1986</v>
      </c>
      <c r="B24" s="9">
        <f>'1'!I24</f>
        <v>0.32553926355574225</v>
      </c>
      <c r="C24" s="9">
        <f>'1'!K24</f>
        <v>0.40460189118823231</v>
      </c>
      <c r="D24" s="9">
        <f>'2'!I24</f>
        <v>0.24123711194910621</v>
      </c>
      <c r="E24" s="9">
        <f>'2'!K24</f>
        <v>0.36307950960129681</v>
      </c>
      <c r="F24" s="9">
        <f>'3'!D24</f>
        <v>0.6457171797083503</v>
      </c>
      <c r="G24" s="9">
        <f>'8'!F21</f>
        <v>0.59441335458415334</v>
      </c>
      <c r="H24" s="9">
        <f t="shared" si="22"/>
        <v>0.38706324336300063</v>
      </c>
      <c r="I24" s="9">
        <f t="shared" si="23"/>
        <v>0.45403158512456088</v>
      </c>
      <c r="J24" s="9">
        <f>'1'!S24</f>
        <v>0.19430746991861012</v>
      </c>
      <c r="K24" s="9">
        <f>'1'!U24</f>
        <v>0.24348770647206275</v>
      </c>
      <c r="L24" s="9">
        <f>'2'!S24</f>
        <v>0.17819992730765696</v>
      </c>
      <c r="M24" s="9">
        <f>'2'!U24</f>
        <v>0.26739781198617774</v>
      </c>
      <c r="N24" s="9">
        <f>'3'!G24</f>
        <v>0.3640919163431402</v>
      </c>
      <c r="O24" s="9">
        <f>'8'!K21</f>
        <v>0.52975644179646042</v>
      </c>
      <c r="P24" s="9">
        <f t="shared" si="24"/>
        <v>0.30075461300757583</v>
      </c>
      <c r="Q24" s="9">
        <f t="shared" si="25"/>
        <v>0.34688065341823365</v>
      </c>
      <c r="R24" s="9">
        <f>'1'!AC24</f>
        <v>0.23904445868748284</v>
      </c>
      <c r="S24" s="9">
        <f>'1'!AE24</f>
        <v>0.30139492766838077</v>
      </c>
      <c r="T24" s="9">
        <f>'2'!AC24</f>
        <v>0.10181351197257678</v>
      </c>
      <c r="U24" s="9">
        <f>'2'!AE24</f>
        <v>0.12423074909459024</v>
      </c>
      <c r="V24" s="9">
        <f>'3'!J24</f>
        <v>0.72109728779744076</v>
      </c>
      <c r="W24" s="9">
        <f>'8'!P21</f>
        <v>0.59195155131031219</v>
      </c>
      <c r="X24" s="9">
        <f t="shared" si="26"/>
        <v>0.31093650732345729</v>
      </c>
      <c r="Y24" s="9">
        <f t="shared" si="27"/>
        <v>0.33919240935776102</v>
      </c>
      <c r="Z24" s="9">
        <f>'1'!AM24</f>
        <v>0.32152266660074758</v>
      </c>
      <c r="AA24" s="9">
        <f>'1'!AO24</f>
        <v>0.40003929195758647</v>
      </c>
      <c r="AB24" s="9">
        <f>'2'!AM24</f>
        <v>0.15783692687311154</v>
      </c>
      <c r="AC24" s="9">
        <f>'2'!AO24</f>
        <v>0.23265221577969136</v>
      </c>
      <c r="AD24" s="9">
        <f>'3'!M24</f>
        <v>0.54998120927676664</v>
      </c>
      <c r="AE24" s="9">
        <f>'8'!U21</f>
        <v>0.54350528644540874</v>
      </c>
      <c r="AF24" s="9">
        <f t="shared" si="28"/>
        <v>0.34095495997308928</v>
      </c>
      <c r="AG24" s="9">
        <f t="shared" si="29"/>
        <v>0.39206559806089558</v>
      </c>
      <c r="AH24" s="9">
        <f>'1'!AW24</f>
        <v>0.24181540089177453</v>
      </c>
      <c r="AI24" s="9">
        <f>'1'!AY24</f>
        <v>0.30487299738449775</v>
      </c>
      <c r="AJ24" s="9">
        <f>'2'!AW24</f>
        <v>0.14920101401944477</v>
      </c>
      <c r="AK24" s="9">
        <f>'2'!AY24</f>
        <v>0.21724260233362702</v>
      </c>
      <c r="AL24" s="9">
        <f>'3'!P24</f>
        <v>0.58463015337036794</v>
      </c>
      <c r="AM24" s="9">
        <f>'8'!Z21</f>
        <v>0.50278573333178356</v>
      </c>
      <c r="AN24" s="9">
        <f t="shared" si="30"/>
        <v>0.29793404941433427</v>
      </c>
      <c r="AO24" s="9">
        <f t="shared" si="31"/>
        <v>0.34163377768330278</v>
      </c>
      <c r="AP24" s="9">
        <f>'1'!BG24</f>
        <v>0.27632761952857293</v>
      </c>
      <c r="AQ24" s="9">
        <f>'1'!BI24</f>
        <v>0.34720213472163886</v>
      </c>
      <c r="AR24" s="9">
        <f>'2'!BG24</f>
        <v>0.21363947240771014</v>
      </c>
      <c r="AS24" s="9">
        <f>'2'!BI24</f>
        <v>0.32317751608153289</v>
      </c>
      <c r="AT24" s="9">
        <f>'3'!S24</f>
        <v>0.59827622896069943</v>
      </c>
      <c r="AU24" s="9">
        <f>'8'!AE21</f>
        <v>0.56871123842186944</v>
      </c>
      <c r="AV24" s="9">
        <f t="shared" si="32"/>
        <v>0.3528927767860508</v>
      </c>
      <c r="AW24" s="9">
        <f t="shared" si="33"/>
        <v>0.41303029640834704</v>
      </c>
      <c r="AX24" s="9">
        <f>'1'!BQ24</f>
        <v>0.34453304975147464</v>
      </c>
      <c r="AY24" s="9">
        <f>'1'!BS24</f>
        <v>0.42589827788518791</v>
      </c>
      <c r="AZ24" s="9">
        <f>'2'!BQ24</f>
        <v>0.20881956124984066</v>
      </c>
      <c r="BA24" s="9">
        <f>'2'!BS24</f>
        <v>0.31590864063344959</v>
      </c>
      <c r="BB24" s="9">
        <f>'3'!V24</f>
        <v>0.77408148775221253</v>
      </c>
      <c r="BC24" s="9">
        <f>'8'!AJ21</f>
        <v>0.64972332082582884</v>
      </c>
      <c r="BD24" s="9">
        <f t="shared" si="34"/>
        <v>0.401025310609048</v>
      </c>
      <c r="BE24" s="9">
        <f t="shared" si="35"/>
        <v>0.46384341311482213</v>
      </c>
      <c r="BF24" s="9">
        <f>'1'!CA24</f>
        <v>0.35378228072788942</v>
      </c>
      <c r="BG24" s="9">
        <f>'1'!CC24</f>
        <v>0.43610581318716368</v>
      </c>
      <c r="BH24" s="9">
        <f>'2'!CA24</f>
        <v>0.23762840977170077</v>
      </c>
      <c r="BI24" s="9">
        <f>'2'!CC24</f>
        <v>0.35802001475609491</v>
      </c>
      <c r="BJ24" s="9">
        <f>'3'!Y24</f>
        <v>0.59885652899434094</v>
      </c>
      <c r="BK24" s="9">
        <f>'8'!AO21</f>
        <v>0.57402380844785461</v>
      </c>
      <c r="BL24" s="9">
        <f t="shared" si="36"/>
        <v>0.38847816631581494</v>
      </c>
      <c r="BM24" s="9">
        <f t="shared" si="37"/>
        <v>0.45604987879703773</v>
      </c>
      <c r="BN24" s="9">
        <f>'1'!CK24</f>
        <v>0.25606133156464017</v>
      </c>
      <c r="BO24" s="9">
        <f>'1'!CM24</f>
        <v>0.32256468450732267</v>
      </c>
      <c r="BP24" s="9">
        <f>'2'!CK24</f>
        <v>0.3184936245095224</v>
      </c>
      <c r="BQ24" s="9">
        <f>'2'!CM24</f>
        <v>0.46172659181932346</v>
      </c>
      <c r="BR24" s="9">
        <f>'3'!AB24</f>
        <v>0.26564202343942789</v>
      </c>
      <c r="BS24" s="9">
        <f>'8'!AT21</f>
        <v>0.63763845638143513</v>
      </c>
      <c r="BT24" s="9">
        <f t="shared" si="38"/>
        <v>0.40406447081853258</v>
      </c>
      <c r="BU24" s="9">
        <f t="shared" si="39"/>
        <v>0.47397657756936046</v>
      </c>
      <c r="BV24" s="9">
        <f>'1'!CU24</f>
        <v>0.41344234509665334</v>
      </c>
      <c r="BW24" s="9">
        <f>'1'!CW24</f>
        <v>0.49954121274834068</v>
      </c>
      <c r="BX24" s="9">
        <f>'2'!CU24</f>
        <v>0.4759015112563188</v>
      </c>
      <c r="BY24" s="9">
        <f>'2'!CW24</f>
        <v>0.62116903491369335</v>
      </c>
      <c r="BZ24" s="9">
        <f>'3'!AE24</f>
        <v>0.66544327829219063</v>
      </c>
      <c r="CA24" s="9">
        <f>'8'!AY21</f>
        <v>0.6261993457939613</v>
      </c>
      <c r="CB24" s="9">
        <f t="shared" si="40"/>
        <v>0.50518106738231117</v>
      </c>
      <c r="CC24" s="9">
        <f t="shared" si="41"/>
        <v>0.58230319781866513</v>
      </c>
      <c r="CD24" s="9">
        <f>'1'!DE24</f>
        <v>0.32883566666357544</v>
      </c>
      <c r="CE24" s="9">
        <f>'1'!DG24</f>
        <v>0.40833080470868538</v>
      </c>
      <c r="CF24" s="9">
        <f>'2'!DE24</f>
        <v>0.28294181154944653</v>
      </c>
      <c r="CG24" s="9">
        <f>'2'!DG24</f>
        <v>0.41846829090783511</v>
      </c>
      <c r="CH24" s="9">
        <f>'3'!AH24</f>
        <v>0.63174365658849596</v>
      </c>
      <c r="CI24" s="9">
        <f>'8'!BD21</f>
        <v>0.5150191965315396</v>
      </c>
      <c r="CJ24" s="9">
        <f t="shared" si="42"/>
        <v>0.37559889158152054</v>
      </c>
      <c r="CK24" s="9">
        <f t="shared" si="43"/>
        <v>0.4472727640493534</v>
      </c>
    </row>
    <row r="25" spans="1:89">
      <c r="A25" s="1">
        <v>1987</v>
      </c>
      <c r="B25" s="9">
        <f>'1'!I25</f>
        <v>0.35170871528965209</v>
      </c>
      <c r="C25" s="9">
        <f>'1'!K25</f>
        <v>0.43382651037508896</v>
      </c>
      <c r="D25" s="9">
        <f>'2'!I25</f>
        <v>0.24846321299635038</v>
      </c>
      <c r="E25" s="9">
        <f>'2'!K25</f>
        <v>0.37307585634880303</v>
      </c>
      <c r="F25" s="9">
        <f>'3'!D25</f>
        <v>0.66683467440276667</v>
      </c>
      <c r="G25" s="9">
        <f>'8'!F22</f>
        <v>0.58230626019551324</v>
      </c>
      <c r="H25" s="9">
        <f t="shared" si="22"/>
        <v>0.39415939616050527</v>
      </c>
      <c r="I25" s="9">
        <f t="shared" si="23"/>
        <v>0.46306954230646841</v>
      </c>
      <c r="J25" s="9">
        <f>'1'!S25</f>
        <v>0.2136348075064117</v>
      </c>
      <c r="K25" s="9">
        <f>'1'!U25</f>
        <v>0.26891999047852444</v>
      </c>
      <c r="L25" s="9">
        <f>'2'!S25</f>
        <v>0.18742049606747793</v>
      </c>
      <c r="M25" s="9">
        <f>'2'!U25</f>
        <v>0.28245137678433568</v>
      </c>
      <c r="N25" s="9">
        <f>'3'!G25</f>
        <v>0.37273323076700415</v>
      </c>
      <c r="O25" s="9">
        <f>'8'!K22</f>
        <v>0.48784348802459798</v>
      </c>
      <c r="P25" s="9">
        <f t="shared" si="24"/>
        <v>0.29629959719949589</v>
      </c>
      <c r="Q25" s="9">
        <f t="shared" si="25"/>
        <v>0.34640495176248604</v>
      </c>
      <c r="R25" s="9">
        <f>'1'!AC25</f>
        <v>0.28725709234027469</v>
      </c>
      <c r="S25" s="9">
        <f>'1'!AE25</f>
        <v>0.36023964048114343</v>
      </c>
      <c r="T25" s="9">
        <f>'2'!AC25</f>
        <v>0.10169859053067337</v>
      </c>
      <c r="U25" s="9">
        <f>'2'!AE25</f>
        <v>0.12398539877200582</v>
      </c>
      <c r="V25" s="9">
        <f>'3'!J25</f>
        <v>0.67854189929346687</v>
      </c>
      <c r="W25" s="9">
        <f>'8'!P22</f>
        <v>0.58087052395097549</v>
      </c>
      <c r="X25" s="9">
        <f t="shared" si="26"/>
        <v>0.3232754022739745</v>
      </c>
      <c r="Y25" s="9">
        <f t="shared" si="27"/>
        <v>0.35503185440137491</v>
      </c>
      <c r="Z25" s="9">
        <f>'1'!AM25</f>
        <v>0.34912294921748643</v>
      </c>
      <c r="AA25" s="9">
        <f>'1'!AO25</f>
        <v>0.43097684115582874</v>
      </c>
      <c r="AB25" s="9">
        <f>'2'!AM25</f>
        <v>0.16797427195003378</v>
      </c>
      <c r="AC25" s="9">
        <f>'2'!AO25</f>
        <v>0.25021803909801288</v>
      </c>
      <c r="AD25" s="9">
        <f>'3'!M25</f>
        <v>0.60245604687014798</v>
      </c>
      <c r="AE25" s="9">
        <f>'8'!U22</f>
        <v>0.56767714019592197</v>
      </c>
      <c r="AF25" s="9">
        <f t="shared" si="28"/>
        <v>0.36159145378781404</v>
      </c>
      <c r="AG25" s="9">
        <f t="shared" si="29"/>
        <v>0.41629067348325455</v>
      </c>
      <c r="AH25" s="9">
        <f>'1'!AW25</f>
        <v>0.2660904988975562</v>
      </c>
      <c r="AI25" s="9">
        <f>'1'!AY25</f>
        <v>0.33483337246370171</v>
      </c>
      <c r="AJ25" s="9">
        <f>'2'!AW25</f>
        <v>0.16581552261934299</v>
      </c>
      <c r="AK25" s="9">
        <f>'2'!AY25</f>
        <v>0.2465231073131906</v>
      </c>
      <c r="AL25" s="9">
        <f>'3'!P25</f>
        <v>0.51600665780407207</v>
      </c>
      <c r="AM25" s="9">
        <f>'8'!Z22</f>
        <v>0.48381983196851525</v>
      </c>
      <c r="AN25" s="9">
        <f t="shared" si="30"/>
        <v>0.3052419511618048</v>
      </c>
      <c r="AO25" s="9">
        <f t="shared" si="31"/>
        <v>0.35505877058180252</v>
      </c>
      <c r="AP25" s="9">
        <f>'1'!BG25</f>
        <v>0.28917651502903846</v>
      </c>
      <c r="AQ25" s="9">
        <f>'1'!BI25</f>
        <v>0.36251171657725806</v>
      </c>
      <c r="AR25" s="9">
        <f>'2'!BG25</f>
        <v>0.22100448017792335</v>
      </c>
      <c r="AS25" s="9">
        <f>'2'!BI25</f>
        <v>0.33410624515766141</v>
      </c>
      <c r="AT25" s="9">
        <f>'3'!S25</f>
        <v>0.59860376802807147</v>
      </c>
      <c r="AU25" s="9">
        <f>'8'!AE22</f>
        <v>0.570071030919722</v>
      </c>
      <c r="AV25" s="9">
        <f t="shared" si="32"/>
        <v>0.36008400870889457</v>
      </c>
      <c r="AW25" s="9">
        <f t="shared" si="33"/>
        <v>0.42222966421821378</v>
      </c>
      <c r="AX25" s="9">
        <f>'1'!BQ25</f>
        <v>0.37817344894894789</v>
      </c>
      <c r="AY25" s="9">
        <f>'1'!BS25</f>
        <v>0.46253174687101772</v>
      </c>
      <c r="AZ25" s="9">
        <f>'2'!BQ25</f>
        <v>0.21828176994961038</v>
      </c>
      <c r="BA25" s="9">
        <f>'2'!BS25</f>
        <v>0.330090798407422</v>
      </c>
      <c r="BB25" s="9">
        <f>'3'!V25</f>
        <v>0.82186408271762157</v>
      </c>
      <c r="BC25" s="9">
        <f>'8'!AJ22</f>
        <v>0.64186571094492151</v>
      </c>
      <c r="BD25" s="9">
        <f t="shared" si="34"/>
        <v>0.41277364328115995</v>
      </c>
      <c r="BE25" s="9">
        <f t="shared" si="35"/>
        <v>0.47816275207445375</v>
      </c>
      <c r="BF25" s="9">
        <f>'1'!CA25</f>
        <v>0.36559993760567655</v>
      </c>
      <c r="BG25" s="9">
        <f>'1'!CC25</f>
        <v>0.44899712185134466</v>
      </c>
      <c r="BH25" s="9">
        <f>'2'!CA25</f>
        <v>0.24475704736966836</v>
      </c>
      <c r="BI25" s="9">
        <f>'2'!CC25</f>
        <v>0.36797107426710995</v>
      </c>
      <c r="BJ25" s="9">
        <f>'3'!Y25</f>
        <v>0.62683505177171051</v>
      </c>
      <c r="BK25" s="9">
        <f>'8'!AO22</f>
        <v>0.60866382829394539</v>
      </c>
      <c r="BL25" s="9">
        <f t="shared" si="36"/>
        <v>0.40634027108976345</v>
      </c>
      <c r="BM25" s="9">
        <f t="shared" si="37"/>
        <v>0.47521067480413332</v>
      </c>
      <c r="BN25" s="9">
        <f>'1'!CK25</f>
        <v>0.27030354203810419</v>
      </c>
      <c r="BO25" s="9">
        <f>'1'!CM25</f>
        <v>0.33994234253046512</v>
      </c>
      <c r="BP25" s="9">
        <f>'2'!CK25</f>
        <v>0.34852765264501168</v>
      </c>
      <c r="BQ25" s="9">
        <f>'2'!CM25</f>
        <v>0.49584424151519846</v>
      </c>
      <c r="BR25" s="9">
        <f>'3'!AB25</f>
        <v>0.5007472026582539</v>
      </c>
      <c r="BS25" s="9">
        <f>'8'!AT22</f>
        <v>0.59294760021909387</v>
      </c>
      <c r="BT25" s="9">
        <f t="shared" si="38"/>
        <v>0.40392626496740319</v>
      </c>
      <c r="BU25" s="9">
        <f t="shared" si="39"/>
        <v>0.47624472808825247</v>
      </c>
      <c r="BV25" s="9">
        <f>'1'!CU25</f>
        <v>0.44034859780562285</v>
      </c>
      <c r="BW25" s="9">
        <f>'1'!CW25</f>
        <v>0.52687641961853071</v>
      </c>
      <c r="BX25" s="9">
        <f>'2'!CU25</f>
        <v>0.45487016154575283</v>
      </c>
      <c r="BY25" s="9">
        <f>'2'!CW25</f>
        <v>0.6023071080501361</v>
      </c>
      <c r="BZ25" s="9">
        <f>'3'!AE25</f>
        <v>0.59797887241866676</v>
      </c>
      <c r="CA25" s="9">
        <f>'8'!AY22</f>
        <v>0.60706867801617315</v>
      </c>
      <c r="CB25" s="9">
        <f t="shared" si="40"/>
        <v>0.50076247912251626</v>
      </c>
      <c r="CC25" s="9">
        <f t="shared" si="41"/>
        <v>0.57875073522828002</v>
      </c>
      <c r="CD25" s="9">
        <f>'1'!DE25</f>
        <v>0.36847119782639448</v>
      </c>
      <c r="CE25" s="9">
        <f>'1'!DG25</f>
        <v>0.45210414471345112</v>
      </c>
      <c r="CF25" s="9">
        <f>'2'!DE25</f>
        <v>0.30120837912337806</v>
      </c>
      <c r="CG25" s="9">
        <f>'2'!DG25</f>
        <v>0.44110976263731555</v>
      </c>
      <c r="CH25" s="9">
        <f>'3'!AH25</f>
        <v>0.62624645091947895</v>
      </c>
      <c r="CI25" s="9">
        <f>'8'!BD22</f>
        <v>0.49961050950751129</v>
      </c>
      <c r="CJ25" s="9">
        <f t="shared" si="42"/>
        <v>0.38976336215242791</v>
      </c>
      <c r="CK25" s="9">
        <f t="shared" si="43"/>
        <v>0.46427480561942597</v>
      </c>
    </row>
    <row r="26" spans="1:89">
      <c r="A26" s="1">
        <v>1988</v>
      </c>
      <c r="B26" s="9">
        <f>'1'!I26</f>
        <v>0.38220464420613254</v>
      </c>
      <c r="C26" s="9">
        <f>'1'!K26</f>
        <v>0.46683234069243978</v>
      </c>
      <c r="D26" s="9">
        <f>'2'!I26</f>
        <v>0.25681141822596482</v>
      </c>
      <c r="E26" s="9">
        <f>'2'!K26</f>
        <v>0.38440747342014048</v>
      </c>
      <c r="F26" s="9">
        <f>'3'!D26</f>
        <v>0.69125665216367604</v>
      </c>
      <c r="G26" s="9">
        <f>'8'!F23</f>
        <v>0.61925908394818063</v>
      </c>
      <c r="H26" s="9">
        <f t="shared" si="22"/>
        <v>0.41942504879342596</v>
      </c>
      <c r="I26" s="9">
        <f t="shared" si="23"/>
        <v>0.49016629935358697</v>
      </c>
      <c r="J26" s="9">
        <f>'1'!S26</f>
        <v>0.25193918788364705</v>
      </c>
      <c r="K26" s="9">
        <f>'1'!U26</f>
        <v>0.3174777997500503</v>
      </c>
      <c r="L26" s="9">
        <f>'2'!S26</f>
        <v>0.20693463651034158</v>
      </c>
      <c r="M26" s="9">
        <f>'2'!U26</f>
        <v>0.31304024014941972</v>
      </c>
      <c r="N26" s="9">
        <f>'3'!G26</f>
        <v>0.51624936208937289</v>
      </c>
      <c r="O26" s="9">
        <f>'8'!K23</f>
        <v>0.54753425335997818</v>
      </c>
      <c r="P26" s="9">
        <f t="shared" si="24"/>
        <v>0.33546935925132226</v>
      </c>
      <c r="Q26" s="9">
        <f t="shared" si="25"/>
        <v>0.39268409775314944</v>
      </c>
      <c r="R26" s="9">
        <f>'1'!AC26</f>
        <v>0.33397498697491473</v>
      </c>
      <c r="S26" s="9">
        <f>'1'!AE26</f>
        <v>0.4141166626907824</v>
      </c>
      <c r="T26" s="9">
        <f>'2'!AC26</f>
        <v>0.11083898552922813</v>
      </c>
      <c r="U26" s="9">
        <f>'2'!AE26</f>
        <v>0.14317270736612667</v>
      </c>
      <c r="V26" s="9">
        <f>'3'!J26</f>
        <v>0.7155403952899908</v>
      </c>
      <c r="W26" s="9">
        <f>'8'!P23</f>
        <v>0.60217298270424291</v>
      </c>
      <c r="X26" s="9">
        <f t="shared" si="26"/>
        <v>0.34899565173612856</v>
      </c>
      <c r="Y26" s="9">
        <f t="shared" si="27"/>
        <v>0.38648745092038395</v>
      </c>
      <c r="Z26" s="9">
        <f>'1'!AM26</f>
        <v>0.37943724858124939</v>
      </c>
      <c r="AA26" s="9">
        <f>'1'!AO26</f>
        <v>0.46388200857076922</v>
      </c>
      <c r="AB26" s="9">
        <f>'2'!AM26</f>
        <v>0.17921775044155613</v>
      </c>
      <c r="AC26" s="9">
        <f>'2'!AO26</f>
        <v>0.2690794442246115</v>
      </c>
      <c r="AD26" s="9">
        <f>'3'!M26</f>
        <v>0.65029999299851959</v>
      </c>
      <c r="AE26" s="9">
        <f>'8'!U23</f>
        <v>0.61297022526581846</v>
      </c>
      <c r="AF26" s="9">
        <f t="shared" si="28"/>
        <v>0.39054174142954134</v>
      </c>
      <c r="AG26" s="9">
        <f t="shared" si="29"/>
        <v>0.44864389268706639</v>
      </c>
      <c r="AH26" s="9">
        <f>'1'!AW26</f>
        <v>0.28621764169728453</v>
      </c>
      <c r="AI26" s="9">
        <f>'1'!AY26</f>
        <v>0.35900704045733089</v>
      </c>
      <c r="AJ26" s="9">
        <f>'2'!AW26</f>
        <v>0.19006527403957815</v>
      </c>
      <c r="AK26" s="9">
        <f>'2'!AY26</f>
        <v>0.28669590926695893</v>
      </c>
      <c r="AL26" s="9">
        <f>'3'!P26</f>
        <v>0.60434979021422308</v>
      </c>
      <c r="AM26" s="9">
        <f>'8'!Z23</f>
        <v>0.53460147185274942</v>
      </c>
      <c r="AN26" s="9">
        <f t="shared" si="30"/>
        <v>0.33696146252987069</v>
      </c>
      <c r="AO26" s="9">
        <f t="shared" si="31"/>
        <v>0.39343480719234641</v>
      </c>
      <c r="AP26" s="9">
        <f>'1'!BG26</f>
        <v>0.31771903418119962</v>
      </c>
      <c r="AQ26" s="9">
        <f>'1'!BI26</f>
        <v>0.39569920509342049</v>
      </c>
      <c r="AR26" s="9">
        <f>'2'!BG26</f>
        <v>0.23453286793879127</v>
      </c>
      <c r="AS26" s="9">
        <f>'2'!BI26</f>
        <v>0.35364340934619526</v>
      </c>
      <c r="AT26" s="9">
        <f>'3'!S26</f>
        <v>0.64034289272744704</v>
      </c>
      <c r="AU26" s="9">
        <f>'8'!AE23</f>
        <v>0.5990670139551445</v>
      </c>
      <c r="AV26" s="9">
        <f t="shared" si="32"/>
        <v>0.38377297202504512</v>
      </c>
      <c r="AW26" s="9">
        <f t="shared" si="33"/>
        <v>0.44946987613158679</v>
      </c>
      <c r="AX26" s="9">
        <f>'1'!BQ26</f>
        <v>0.41123218682154333</v>
      </c>
      <c r="AY26" s="9">
        <f>'1'!BS26</f>
        <v>0.49726203253490137</v>
      </c>
      <c r="AZ26" s="9">
        <f>'2'!BQ26</f>
        <v>0.23234233433806753</v>
      </c>
      <c r="BA26" s="9">
        <f>'2'!BS26</f>
        <v>0.35052562901277851</v>
      </c>
      <c r="BB26" s="9">
        <f>'3'!V26</f>
        <v>0.80790183955726469</v>
      </c>
      <c r="BC26" s="9">
        <f>'8'!AJ23</f>
        <v>0.6638736091746168</v>
      </c>
      <c r="BD26" s="9">
        <f t="shared" si="34"/>
        <v>0.43581604344474262</v>
      </c>
      <c r="BE26" s="9">
        <f t="shared" si="35"/>
        <v>0.50388709024076561</v>
      </c>
      <c r="BF26" s="9">
        <f>'1'!CA26</f>
        <v>0.37378385421783744</v>
      </c>
      <c r="BG26" s="9">
        <f>'1'!CC26</f>
        <v>0.45782753310908764</v>
      </c>
      <c r="BH26" s="9">
        <f>'2'!CA26</f>
        <v>0.25599671444673244</v>
      </c>
      <c r="BI26" s="9">
        <f>'2'!CC26</f>
        <v>0.38331161935274838</v>
      </c>
      <c r="BJ26" s="9">
        <f>'3'!Y26</f>
        <v>0.62706523201492803</v>
      </c>
      <c r="BK26" s="9">
        <f>'8'!AO23</f>
        <v>0.64751783197723223</v>
      </c>
      <c r="BL26" s="9">
        <f t="shared" si="36"/>
        <v>0.42576613354726733</v>
      </c>
      <c r="BM26" s="9">
        <f t="shared" si="37"/>
        <v>0.49621899481302273</v>
      </c>
      <c r="BN26" s="9">
        <f>'1'!CK26</f>
        <v>0.2790427901229216</v>
      </c>
      <c r="BO26" s="9">
        <f>'1'!CM26</f>
        <v>0.35045700318236328</v>
      </c>
      <c r="BP26" s="9">
        <f>'2'!CK26</f>
        <v>0.36607072664653678</v>
      </c>
      <c r="BQ26" s="9">
        <f>'2'!CM26</f>
        <v>0.5148549772826535</v>
      </c>
      <c r="BR26" s="9">
        <f>'3'!AB26</f>
        <v>0.42519769129694535</v>
      </c>
      <c r="BS26" s="9">
        <f>'8'!AT23</f>
        <v>0.62869795976875997</v>
      </c>
      <c r="BT26" s="9">
        <f t="shared" si="38"/>
        <v>0.42460382551273951</v>
      </c>
      <c r="BU26" s="9">
        <f t="shared" si="39"/>
        <v>0.49800331341125892</v>
      </c>
      <c r="BV26" s="9">
        <f>'1'!CU26</f>
        <v>0.46737932974309893</v>
      </c>
      <c r="BW26" s="9">
        <f>'1'!CW26</f>
        <v>0.55360108026895893</v>
      </c>
      <c r="BX26" s="9">
        <f>'2'!CU26</f>
        <v>0.39898019819529273</v>
      </c>
      <c r="BY26" s="9">
        <f>'2'!CW26</f>
        <v>0.54887146221836502</v>
      </c>
      <c r="BZ26" s="9">
        <f>'3'!AE26</f>
        <v>0.68625117117684975</v>
      </c>
      <c r="CA26" s="9">
        <f>'8'!AY23</f>
        <v>0.61035946750140313</v>
      </c>
      <c r="CB26" s="9">
        <f t="shared" si="40"/>
        <v>0.49223966514659828</v>
      </c>
      <c r="CC26" s="9">
        <f t="shared" si="41"/>
        <v>0.57094400332957573</v>
      </c>
      <c r="CD26" s="9">
        <f>'1'!DE26</f>
        <v>0.40485237537592844</v>
      </c>
      <c r="CE26" s="9">
        <f>'1'!DG26</f>
        <v>0.49065350152635639</v>
      </c>
      <c r="CF26" s="9">
        <f>'2'!DE26</f>
        <v>0.32453860795380257</v>
      </c>
      <c r="CG26" s="9">
        <f>'2'!DG26</f>
        <v>0.46876190850731686</v>
      </c>
      <c r="CH26" s="9">
        <f>'3'!AH26</f>
        <v>0.7355727462304732</v>
      </c>
      <c r="CI26" s="9">
        <f>'8'!BD23</f>
        <v>0.57337011107653224</v>
      </c>
      <c r="CJ26" s="9">
        <f t="shared" si="42"/>
        <v>0.43425369813542103</v>
      </c>
      <c r="CK26" s="9">
        <f t="shared" si="43"/>
        <v>0.5109285070367352</v>
      </c>
    </row>
    <row r="27" spans="1:89">
      <c r="A27" s="1">
        <v>1989</v>
      </c>
      <c r="B27" s="9">
        <f>'1'!I27</f>
        <v>0.4057939045173144</v>
      </c>
      <c r="C27" s="9">
        <f>'1'!K27</f>
        <v>0.49163155418790633</v>
      </c>
      <c r="D27" s="9">
        <f>'2'!I27</f>
        <v>0.26094061492035886</v>
      </c>
      <c r="E27" s="9">
        <f>'2'!K27</f>
        <v>0.38992902634217386</v>
      </c>
      <c r="F27" s="9">
        <f>'3'!D27</f>
        <v>0.71080697727316267</v>
      </c>
      <c r="G27" s="9">
        <f>'8'!F24</f>
        <v>0.63674335810743921</v>
      </c>
      <c r="H27" s="9">
        <f t="shared" si="22"/>
        <v>0.43449262584837084</v>
      </c>
      <c r="I27" s="9">
        <f t="shared" si="23"/>
        <v>0.50610131287917304</v>
      </c>
      <c r="J27" s="9">
        <f>'1'!S27</f>
        <v>0.26839700876410905</v>
      </c>
      <c r="K27" s="9">
        <f>'1'!U27</f>
        <v>0.33763362821268933</v>
      </c>
      <c r="L27" s="9">
        <f>'2'!S27</f>
        <v>0.21645169179699814</v>
      </c>
      <c r="M27" s="9">
        <f>'2'!U27</f>
        <v>0.32737559751468881</v>
      </c>
      <c r="N27" s="9">
        <f>'3'!G27</f>
        <v>0.59032159403358042</v>
      </c>
      <c r="O27" s="9">
        <f>'8'!K24</f>
        <v>0.57273553184947601</v>
      </c>
      <c r="P27" s="9">
        <f t="shared" si="24"/>
        <v>0.35252807747019438</v>
      </c>
      <c r="Q27" s="9">
        <f t="shared" si="25"/>
        <v>0.41258158585895138</v>
      </c>
      <c r="R27" s="9">
        <f>'1'!AC27</f>
        <v>0.3652161508303452</v>
      </c>
      <c r="S27" s="9">
        <f>'1'!AE27</f>
        <v>0.44858108473608199</v>
      </c>
      <c r="T27" s="9">
        <f>'2'!AC27</f>
        <v>0.11601203213914742</v>
      </c>
      <c r="U27" s="9">
        <f>'2'!AE27</f>
        <v>0.15374856501357956</v>
      </c>
      <c r="V27" s="9">
        <f>'3'!J27</f>
        <v>0.6808433730215484</v>
      </c>
      <c r="W27" s="9">
        <f>'8'!P24</f>
        <v>0.56756375479130416</v>
      </c>
      <c r="X27" s="9">
        <f t="shared" si="26"/>
        <v>0.34959731258693227</v>
      </c>
      <c r="Y27" s="9">
        <f t="shared" si="27"/>
        <v>0.38996446818032188</v>
      </c>
      <c r="Z27" s="9">
        <f>'1'!AM27</f>
        <v>0.39852032734179016</v>
      </c>
      <c r="AA27" s="9">
        <f>'1'!AO27</f>
        <v>0.4840506919886467</v>
      </c>
      <c r="AB27" s="9">
        <f>'2'!AM27</f>
        <v>0.18621128840200088</v>
      </c>
      <c r="AC27" s="9">
        <f>'2'!AO27</f>
        <v>0.28050002664929236</v>
      </c>
      <c r="AD27" s="9">
        <f>'3'!M27</f>
        <v>0.63142892865918843</v>
      </c>
      <c r="AE27" s="9">
        <f>'8'!U24</f>
        <v>0.60699956353581452</v>
      </c>
      <c r="AF27" s="9">
        <f t="shared" si="28"/>
        <v>0.39724372642653522</v>
      </c>
      <c r="AG27" s="9">
        <f t="shared" si="29"/>
        <v>0.45718342739125117</v>
      </c>
      <c r="AH27" s="9">
        <f>'1'!AW27</f>
        <v>0.29134489863561314</v>
      </c>
      <c r="AI27" s="9">
        <f>'1'!AY27</f>
        <v>0.3650722598385841</v>
      </c>
      <c r="AJ27" s="9">
        <f>'2'!AW27</f>
        <v>0.20377737284441291</v>
      </c>
      <c r="AK27" s="9">
        <f>'2'!AY27</f>
        <v>0.30820261929125192</v>
      </c>
      <c r="AL27" s="9">
        <f>'3'!P27</f>
        <v>0.60799307150352921</v>
      </c>
      <c r="AM27" s="9">
        <f>'8'!Z24</f>
        <v>0.55229531282347089</v>
      </c>
      <c r="AN27" s="9">
        <f t="shared" si="30"/>
        <v>0.34913919476783234</v>
      </c>
      <c r="AO27" s="9">
        <f t="shared" si="31"/>
        <v>0.40852339731776893</v>
      </c>
      <c r="AP27" s="9">
        <f>'1'!BG27</f>
        <v>0.33355672811851089</v>
      </c>
      <c r="AQ27" s="9">
        <f>'1'!BI27</f>
        <v>0.41364704341124175</v>
      </c>
      <c r="AR27" s="9">
        <f>'2'!BG27</f>
        <v>0.23798653734463676</v>
      </c>
      <c r="AS27" s="9">
        <f>'2'!BI27</f>
        <v>0.35852415876078692</v>
      </c>
      <c r="AT27" s="9">
        <f>'3'!S27</f>
        <v>0.67821501763428393</v>
      </c>
      <c r="AU27" s="9">
        <f>'8'!AE24</f>
        <v>0.59789924921031101</v>
      </c>
      <c r="AV27" s="9">
        <f t="shared" si="32"/>
        <v>0.38981417155781956</v>
      </c>
      <c r="AW27" s="9">
        <f t="shared" si="33"/>
        <v>0.45669015046077988</v>
      </c>
      <c r="AX27" s="9">
        <f>'1'!BQ27</f>
        <v>0.43669180336965502</v>
      </c>
      <c r="AY27" s="9">
        <f>'1'!BS27</f>
        <v>0.52320519352616568</v>
      </c>
      <c r="AZ27" s="9">
        <f>'2'!BQ27</f>
        <v>0.23588131510733157</v>
      </c>
      <c r="BA27" s="9">
        <f>'2'!BS27</f>
        <v>0.35555408901032237</v>
      </c>
      <c r="BB27" s="9">
        <f>'3'!V27</f>
        <v>0.83602150537634412</v>
      </c>
      <c r="BC27" s="9">
        <f>'8'!AJ24</f>
        <v>0.69747434279663212</v>
      </c>
      <c r="BD27" s="9">
        <f t="shared" si="34"/>
        <v>0.45668248709120624</v>
      </c>
      <c r="BE27" s="9">
        <f t="shared" si="35"/>
        <v>0.52541120844437339</v>
      </c>
      <c r="BF27" s="9">
        <f>'1'!CA27</f>
        <v>0.39440459595715349</v>
      </c>
      <c r="BG27" s="9">
        <f>'1'!CC27</f>
        <v>0.47973531904171401</v>
      </c>
      <c r="BH27" s="9">
        <f>'2'!CA27</f>
        <v>0.26123046650381937</v>
      </c>
      <c r="BI27" s="9">
        <f>'2'!CC27</f>
        <v>0.39031458614509612</v>
      </c>
      <c r="BJ27" s="9">
        <f>'3'!Y27</f>
        <v>0.65031160166211155</v>
      </c>
      <c r="BK27" s="9">
        <f>'8'!AO24</f>
        <v>0.64093733488351723</v>
      </c>
      <c r="BL27" s="9">
        <f t="shared" si="36"/>
        <v>0.43219079911482999</v>
      </c>
      <c r="BM27" s="9">
        <f t="shared" si="37"/>
        <v>0.50366241335677575</v>
      </c>
      <c r="BN27" s="9">
        <f>'1'!CK27</f>
        <v>0.30907095838751047</v>
      </c>
      <c r="BO27" s="9">
        <f>'1'!CM27</f>
        <v>0.38576029574063031</v>
      </c>
      <c r="BP27" s="9">
        <f>'2'!CK27</f>
        <v>0.3792016768781894</v>
      </c>
      <c r="BQ27" s="9">
        <f>'2'!CM27</f>
        <v>0.52867534936337868</v>
      </c>
      <c r="BR27" s="9">
        <f>'3'!AB27</f>
        <v>0.43346439539493647</v>
      </c>
      <c r="BS27" s="9">
        <f>'8'!AT24</f>
        <v>0.61423236386551539</v>
      </c>
      <c r="BT27" s="9">
        <f t="shared" si="38"/>
        <v>0.43416833304373842</v>
      </c>
      <c r="BU27" s="9">
        <f t="shared" si="39"/>
        <v>0.50955600298984149</v>
      </c>
      <c r="BV27" s="9">
        <f>'1'!CU27</f>
        <v>0.49211481047097233</v>
      </c>
      <c r="BW27" s="9">
        <f>'1'!CW27</f>
        <v>0.57744215027449541</v>
      </c>
      <c r="BX27" s="9">
        <f>'2'!CU27</f>
        <v>0.40554578857723245</v>
      </c>
      <c r="BY27" s="9">
        <f>'2'!CW27</f>
        <v>0.55541843360755616</v>
      </c>
      <c r="BZ27" s="9">
        <f>'3'!AE27</f>
        <v>0.6003624805622706</v>
      </c>
      <c r="CA27" s="9">
        <f>'8'!AY24</f>
        <v>0.63231837364604648</v>
      </c>
      <c r="CB27" s="9">
        <f t="shared" si="40"/>
        <v>0.5099929908980837</v>
      </c>
      <c r="CC27" s="9">
        <f t="shared" si="41"/>
        <v>0.58839298584269939</v>
      </c>
      <c r="CD27" s="9">
        <f>'1'!DE27</f>
        <v>0.44374009541263632</v>
      </c>
      <c r="CE27" s="9">
        <f>'1'!DG27</f>
        <v>0.53026921928578119</v>
      </c>
      <c r="CF27" s="9">
        <f>'2'!DE27</f>
        <v>0.32999030546746566</v>
      </c>
      <c r="CG27" s="9">
        <f>'2'!DG27</f>
        <v>0.47503212104513537</v>
      </c>
      <c r="CH27" s="9">
        <f>'3'!AH27</f>
        <v>0.73103526914048256</v>
      </c>
      <c r="CI27" s="9">
        <f>'8'!BD24</f>
        <v>0.5839612976969929</v>
      </c>
      <c r="CJ27" s="9">
        <f t="shared" si="42"/>
        <v>0.45256389952569825</v>
      </c>
      <c r="CK27" s="9">
        <f t="shared" si="43"/>
        <v>0.52975421267596978</v>
      </c>
    </row>
    <row r="28" spans="1:89">
      <c r="A28" s="1">
        <v>1990</v>
      </c>
      <c r="B28" s="9">
        <f>'1'!I28</f>
        <v>0.41954931627629088</v>
      </c>
      <c r="C28" s="9">
        <f>'1'!K28</f>
        <v>0.50581185292627906</v>
      </c>
      <c r="D28" s="9">
        <f>'2'!I28</f>
        <v>0.27594805873625794</v>
      </c>
      <c r="E28" s="9">
        <f>'2'!K28</f>
        <v>0.40955228593080256</v>
      </c>
      <c r="F28" s="9">
        <f>'3'!D28</f>
        <v>0.64545797780615266</v>
      </c>
      <c r="G28" s="9">
        <f>'8'!F25</f>
        <v>0.62122446788902042</v>
      </c>
      <c r="H28" s="9">
        <f t="shared" si="22"/>
        <v>0.43890728096718973</v>
      </c>
      <c r="I28" s="9">
        <f t="shared" si="23"/>
        <v>0.51219620224870066</v>
      </c>
      <c r="J28" s="9">
        <f>'1'!S28</f>
        <v>0.26595320069704886</v>
      </c>
      <c r="K28" s="9">
        <f>'1'!U28</f>
        <v>0.33466643420425901</v>
      </c>
      <c r="L28" s="9">
        <f>'2'!S28</f>
        <v>0.22284073523676026</v>
      </c>
      <c r="M28" s="9">
        <f>'2'!U28</f>
        <v>0.3367982481503094</v>
      </c>
      <c r="N28" s="9">
        <f>'3'!G28</f>
        <v>0.46110468581983322</v>
      </c>
      <c r="O28" s="9">
        <f>'8'!K25</f>
        <v>0.53893481652752417</v>
      </c>
      <c r="P28" s="9">
        <f t="shared" si="24"/>
        <v>0.34257625082044446</v>
      </c>
      <c r="Q28" s="9">
        <f t="shared" si="25"/>
        <v>0.40346649962736425</v>
      </c>
      <c r="R28" s="9">
        <f>'1'!AC28</f>
        <v>0.38919860665377942</v>
      </c>
      <c r="S28" s="9">
        <f>'1'!AE28</f>
        <v>0.47424981601429822</v>
      </c>
      <c r="T28" s="9">
        <f>'2'!AC28</f>
        <v>0.1346357747444179</v>
      </c>
      <c r="U28" s="9">
        <f>'2'!AE28</f>
        <v>0.19025611005252005</v>
      </c>
      <c r="V28" s="9">
        <f>'3'!J28</f>
        <v>0.75161033134511135</v>
      </c>
      <c r="W28" s="9">
        <f>'8'!P25</f>
        <v>0.56776582622832605</v>
      </c>
      <c r="X28" s="9">
        <f t="shared" si="26"/>
        <v>0.36386673587550783</v>
      </c>
      <c r="Y28" s="9">
        <f t="shared" si="27"/>
        <v>0.4107572507650481</v>
      </c>
      <c r="Z28" s="9">
        <f>'1'!AM28</f>
        <v>0.41151360940395154</v>
      </c>
      <c r="AA28" s="9">
        <f>'1'!AO28</f>
        <v>0.49755253443318143</v>
      </c>
      <c r="AB28" s="9">
        <f>'2'!AM28</f>
        <v>0.20350055441485559</v>
      </c>
      <c r="AC28" s="9">
        <f>'2'!AO28</f>
        <v>0.30777648137840874</v>
      </c>
      <c r="AD28" s="9">
        <f>'3'!M28</f>
        <v>0.66856574250653356</v>
      </c>
      <c r="AE28" s="9">
        <f>'8'!U25</f>
        <v>0.60558532492647854</v>
      </c>
      <c r="AF28" s="9">
        <f t="shared" si="28"/>
        <v>0.40686649624842852</v>
      </c>
      <c r="AG28" s="9">
        <f t="shared" si="29"/>
        <v>0.47030478024602296</v>
      </c>
      <c r="AH28" s="9">
        <f>'1'!AW28</f>
        <v>0.30510195914057053</v>
      </c>
      <c r="AI28" s="9">
        <f>'1'!AY28</f>
        <v>0.38116537307452025</v>
      </c>
      <c r="AJ28" s="9">
        <f>'2'!AW28</f>
        <v>0.22081366862078933</v>
      </c>
      <c r="AK28" s="9">
        <f>'2'!AY28</f>
        <v>0.33382576923001522</v>
      </c>
      <c r="AL28" s="9">
        <f>'3'!P28</f>
        <v>0.60267945747334273</v>
      </c>
      <c r="AM28" s="9">
        <f>'8'!Z25</f>
        <v>0.54099621330364334</v>
      </c>
      <c r="AN28" s="9">
        <f t="shared" si="30"/>
        <v>0.35563728035500103</v>
      </c>
      <c r="AO28" s="9">
        <f t="shared" si="31"/>
        <v>0.41866245186939288</v>
      </c>
      <c r="AP28" s="9">
        <f>'1'!BG28</f>
        <v>0.34301383877430669</v>
      </c>
      <c r="AQ28" s="9">
        <f>'1'!BI28</f>
        <v>0.42421158962379857</v>
      </c>
      <c r="AR28" s="9">
        <f>'2'!BG28</f>
        <v>0.25049604463273756</v>
      </c>
      <c r="AS28" s="9">
        <f>'2'!BI28</f>
        <v>0.37585627103127062</v>
      </c>
      <c r="AT28" s="9">
        <f>'3'!S28</f>
        <v>0.62369589438233819</v>
      </c>
      <c r="AU28" s="9">
        <f>'8'!AE25</f>
        <v>0.58140773740134155</v>
      </c>
      <c r="AV28" s="9">
        <f t="shared" si="32"/>
        <v>0.39163920693612858</v>
      </c>
      <c r="AW28" s="9">
        <f t="shared" si="33"/>
        <v>0.46049186601880354</v>
      </c>
      <c r="AX28" s="9">
        <f>'1'!BQ28</f>
        <v>0.45243011087831597</v>
      </c>
      <c r="AY28" s="9">
        <f>'1'!BS28</f>
        <v>0.53891006027585775</v>
      </c>
      <c r="AZ28" s="9">
        <f>'2'!BQ28</f>
        <v>0.24671554015213698</v>
      </c>
      <c r="BA28" s="9">
        <f>'2'!BS28</f>
        <v>0.37067442793268368</v>
      </c>
      <c r="BB28" s="9">
        <f>'3'!V28</f>
        <v>0.76761546213142751</v>
      </c>
      <c r="BC28" s="9">
        <f>'8'!AJ25</f>
        <v>0.6585343809986316</v>
      </c>
      <c r="BD28" s="9">
        <f t="shared" si="34"/>
        <v>0.45256001067636148</v>
      </c>
      <c r="BE28" s="9">
        <f t="shared" si="35"/>
        <v>0.52270628973572431</v>
      </c>
      <c r="BF28" s="9">
        <f>'1'!CA28</f>
        <v>0.40798327837411341</v>
      </c>
      <c r="BG28" s="9">
        <f>'1'!CC28</f>
        <v>0.49390214198116716</v>
      </c>
      <c r="BH28" s="9">
        <f>'2'!CA28</f>
        <v>0.2734696952953013</v>
      </c>
      <c r="BI28" s="9">
        <f>'2'!CC28</f>
        <v>0.40635850005232971</v>
      </c>
      <c r="BJ28" s="9">
        <f>'3'!Y28</f>
        <v>0.57291631278966348</v>
      </c>
      <c r="BK28" s="9">
        <f>'8'!AO25</f>
        <v>0.62649739935408422</v>
      </c>
      <c r="BL28" s="9">
        <f t="shared" si="36"/>
        <v>0.43598345767449964</v>
      </c>
      <c r="BM28" s="9">
        <f t="shared" si="37"/>
        <v>0.50891934712919362</v>
      </c>
      <c r="BN28" s="9">
        <f>'1'!CK28</f>
        <v>0.32987400633150493</v>
      </c>
      <c r="BO28" s="9">
        <f>'1'!CM28</f>
        <v>0.40950248896455321</v>
      </c>
      <c r="BP28" s="9">
        <f>'2'!CK28</f>
        <v>0.38478753751752898</v>
      </c>
      <c r="BQ28" s="9">
        <f>'2'!CM28</f>
        <v>0.53445303503591934</v>
      </c>
      <c r="BR28" s="9">
        <f>'3'!AB28</f>
        <v>0.29210351024750231</v>
      </c>
      <c r="BS28" s="9">
        <f>'8'!AT25</f>
        <v>0.62364041484483168</v>
      </c>
      <c r="BT28" s="9">
        <f t="shared" si="38"/>
        <v>0.4461006528979552</v>
      </c>
      <c r="BU28" s="9">
        <f t="shared" si="39"/>
        <v>0.52253197961510145</v>
      </c>
      <c r="BV28" s="9">
        <f>'1'!CU28</f>
        <v>0.50040585534866278</v>
      </c>
      <c r="BW28" s="9">
        <f>'1'!CW28</f>
        <v>0.58530706934351107</v>
      </c>
      <c r="BX28" s="9">
        <f>'2'!CU28</f>
        <v>0.43747838995719013</v>
      </c>
      <c r="BY28" s="9">
        <f>'2'!CW28</f>
        <v>0.58621670582649699</v>
      </c>
      <c r="BZ28" s="9">
        <f>'3'!AE28</f>
        <v>0.65083129947882878</v>
      </c>
      <c r="CA28" s="9">
        <f>'8'!AY25</f>
        <v>0.62775261785905634</v>
      </c>
      <c r="CB28" s="9">
        <f t="shared" si="40"/>
        <v>0.52187895438830312</v>
      </c>
      <c r="CC28" s="9">
        <f t="shared" si="41"/>
        <v>0.59975879767635476</v>
      </c>
      <c r="CD28" s="9">
        <f>'1'!DE28</f>
        <v>0.46478946085388284</v>
      </c>
      <c r="CE28" s="9">
        <f>'1'!DG28</f>
        <v>0.55107144990116919</v>
      </c>
      <c r="CF28" s="9">
        <f>'2'!DE28</f>
        <v>0.34741394543150828</v>
      </c>
      <c r="CG28" s="9">
        <f>'2'!DG28</f>
        <v>0.49461538433347574</v>
      </c>
      <c r="CH28" s="9">
        <f>'3'!AH28</f>
        <v>0.55505879712382611</v>
      </c>
      <c r="CI28" s="9">
        <f>'8'!BD25</f>
        <v>0.61511979384135873</v>
      </c>
      <c r="CJ28" s="9">
        <f t="shared" si="42"/>
        <v>0.47577440004224991</v>
      </c>
      <c r="CK28" s="9">
        <f t="shared" si="43"/>
        <v>0.55360220935866788</v>
      </c>
    </row>
    <row r="29" spans="1:89">
      <c r="A29" s="1">
        <v>1991</v>
      </c>
      <c r="B29" s="9">
        <f>'1'!I29</f>
        <v>0.42347896147781944</v>
      </c>
      <c r="C29" s="9">
        <f>'1'!K29</f>
        <v>0.50982598751269381</v>
      </c>
      <c r="D29" s="9">
        <f>'2'!I29</f>
        <v>0.26829177037425173</v>
      </c>
      <c r="E29" s="9">
        <f>'2'!K29</f>
        <v>0.39962675296627276</v>
      </c>
      <c r="F29" s="9">
        <f>'3'!D29</f>
        <v>0.63719491025725805</v>
      </c>
      <c r="G29" s="9">
        <f>'8'!F26</f>
        <v>0.59521184035586427</v>
      </c>
      <c r="H29" s="9">
        <f t="shared" si="22"/>
        <v>0.42899419073597844</v>
      </c>
      <c r="I29" s="9">
        <f t="shared" si="23"/>
        <v>0.501554860278277</v>
      </c>
      <c r="J29" s="9">
        <f>'1'!S29</f>
        <v>0.25729492876995846</v>
      </c>
      <c r="K29" s="9">
        <f>'1'!U29</f>
        <v>0.32408194160194553</v>
      </c>
      <c r="L29" s="9">
        <f>'2'!S29</f>
        <v>0.2210490981914463</v>
      </c>
      <c r="M29" s="9">
        <f>'2'!U29</f>
        <v>0.33417180947013297</v>
      </c>
      <c r="N29" s="9">
        <f>'3'!G29</f>
        <v>0.43431714951484063</v>
      </c>
      <c r="O29" s="9">
        <f>'8'!K26</f>
        <v>0.52949460664476289</v>
      </c>
      <c r="P29" s="9">
        <f t="shared" si="24"/>
        <v>0.33594621120205587</v>
      </c>
      <c r="Q29" s="9">
        <f t="shared" si="25"/>
        <v>0.39591611923894715</v>
      </c>
      <c r="R29" s="9">
        <f>'1'!AC29</f>
        <v>0.38675869167230209</v>
      </c>
      <c r="S29" s="9">
        <f>'1'!AE29</f>
        <v>0.47166843915060136</v>
      </c>
      <c r="T29" s="9">
        <f>'2'!AC29</f>
        <v>0.14111961569670195</v>
      </c>
      <c r="U29" s="9">
        <f>'2'!AE29</f>
        <v>0.20242960176491451</v>
      </c>
      <c r="V29" s="9">
        <f>'3'!J29</f>
        <v>0.67495944490489657</v>
      </c>
      <c r="W29" s="9">
        <f>'8'!P26</f>
        <v>0.52463646016435306</v>
      </c>
      <c r="X29" s="9">
        <f t="shared" si="26"/>
        <v>0.35083825584445244</v>
      </c>
      <c r="Y29" s="9">
        <f t="shared" si="27"/>
        <v>0.39957816702662297</v>
      </c>
      <c r="Z29" s="9">
        <f>'1'!AM29</f>
        <v>0.41201149475507004</v>
      </c>
      <c r="AA29" s="9">
        <f>'1'!AO29</f>
        <v>0.4980662746921381</v>
      </c>
      <c r="AB29" s="9">
        <f>'2'!AM29</f>
        <v>0.20133914249113</v>
      </c>
      <c r="AC29" s="9">
        <f>'2'!AO29</f>
        <v>0.30443802289380789</v>
      </c>
      <c r="AD29" s="9">
        <f>'3'!M29</f>
        <v>0.64761376904737034</v>
      </c>
      <c r="AE29" s="9">
        <f>'8'!U26</f>
        <v>0.59558428011923403</v>
      </c>
      <c r="AF29" s="9">
        <f t="shared" si="28"/>
        <v>0.40297830578847799</v>
      </c>
      <c r="AG29" s="9">
        <f t="shared" si="29"/>
        <v>0.46602952590172669</v>
      </c>
      <c r="AH29" s="9">
        <f>'1'!AW29</f>
        <v>0.30055364812503199</v>
      </c>
      <c r="AI29" s="9">
        <f>'1'!AY29</f>
        <v>0.37587351633102828</v>
      </c>
      <c r="AJ29" s="9">
        <f>'2'!AW29</f>
        <v>0.21579494180731787</v>
      </c>
      <c r="AK29" s="9">
        <f>'2'!AY29</f>
        <v>0.32639800259878127</v>
      </c>
      <c r="AL29" s="9">
        <f>'3'!P29</f>
        <v>0.58682349177296744</v>
      </c>
      <c r="AM29" s="9">
        <f>'8'!Z26</f>
        <v>0.53437452132880192</v>
      </c>
      <c r="AN29" s="9">
        <f t="shared" si="30"/>
        <v>0.35024103708705062</v>
      </c>
      <c r="AO29" s="9">
        <f t="shared" si="31"/>
        <v>0.41221534675287047</v>
      </c>
      <c r="AP29" s="9">
        <f>'1'!BG29</f>
        <v>0.33843250671196068</v>
      </c>
      <c r="AQ29" s="9">
        <f>'1'!BI29</f>
        <v>0.41910780653689617</v>
      </c>
      <c r="AR29" s="9">
        <f>'2'!BG29</f>
        <v>0.24956865636656225</v>
      </c>
      <c r="AS29" s="9">
        <f>'2'!BI29</f>
        <v>0.37458953674711948</v>
      </c>
      <c r="AT29" s="9">
        <f>'3'!S29</f>
        <v>0.59071152030593421</v>
      </c>
      <c r="AU29" s="9">
        <f>'8'!AE26</f>
        <v>0.58289172967857894</v>
      </c>
      <c r="AV29" s="9">
        <f t="shared" si="32"/>
        <v>0.39029763091903397</v>
      </c>
      <c r="AW29" s="9">
        <f t="shared" si="33"/>
        <v>0.4588630243208649</v>
      </c>
      <c r="AX29" s="9">
        <f>'1'!BQ29</f>
        <v>0.46399565381733415</v>
      </c>
      <c r="AY29" s="9">
        <f>'1'!BS29</f>
        <v>0.55029481490306265</v>
      </c>
      <c r="AZ29" s="9">
        <f>'2'!BQ29</f>
        <v>0.24716512928624149</v>
      </c>
      <c r="BA29" s="9">
        <f>'2'!BS29</f>
        <v>0.37129317634061199</v>
      </c>
      <c r="BB29" s="9">
        <f>'3'!V29</f>
        <v>0.73458745778748735</v>
      </c>
      <c r="BC29" s="9">
        <f>'8'!AJ26</f>
        <v>0.60297492938772468</v>
      </c>
      <c r="BD29" s="9">
        <f t="shared" si="34"/>
        <v>0.43804523749710017</v>
      </c>
      <c r="BE29" s="9">
        <f t="shared" si="35"/>
        <v>0.50818764021046647</v>
      </c>
      <c r="BF29" s="9">
        <f>'1'!CA29</f>
        <v>0.40417736884116567</v>
      </c>
      <c r="BG29" s="9">
        <f>'1'!CC29</f>
        <v>0.48995171729640158</v>
      </c>
      <c r="BH29" s="9">
        <f>'2'!CA29</f>
        <v>0.27125868851480334</v>
      </c>
      <c r="BI29" s="9">
        <f>'2'!CC29</f>
        <v>0.4034938553668016</v>
      </c>
      <c r="BJ29" s="9">
        <f>'3'!Y29</f>
        <v>0.58764372083075722</v>
      </c>
      <c r="BK29" s="9">
        <f>'8'!AO26</f>
        <v>0.632029212950592</v>
      </c>
      <c r="BL29" s="9">
        <f t="shared" si="36"/>
        <v>0.43582175676885365</v>
      </c>
      <c r="BM29" s="9">
        <f t="shared" si="37"/>
        <v>0.50849159520459841</v>
      </c>
      <c r="BN29" s="9">
        <f>'1'!CK29</f>
        <v>0.32360921333398046</v>
      </c>
      <c r="BO29" s="9">
        <f>'1'!CM29</f>
        <v>0.4024120915925874</v>
      </c>
      <c r="BP29" s="9">
        <f>'2'!CK29</f>
        <v>0.36045562696262606</v>
      </c>
      <c r="BQ29" s="9">
        <f>'2'!CM29</f>
        <v>0.50883977231619104</v>
      </c>
      <c r="BR29" s="9">
        <f>'3'!AB29</f>
        <v>0.36252118094290631</v>
      </c>
      <c r="BS29" s="9">
        <f>'8'!AT26</f>
        <v>0.60556234615905191</v>
      </c>
      <c r="BT29" s="9">
        <f t="shared" si="38"/>
        <v>0.42987572881855279</v>
      </c>
      <c r="BU29" s="9">
        <f t="shared" si="39"/>
        <v>0.50560473668927675</v>
      </c>
      <c r="BV29" s="9">
        <f>'1'!CU29</f>
        <v>0.48322988937001005</v>
      </c>
      <c r="BW29" s="9">
        <f>'1'!CW29</f>
        <v>0.56894419073197522</v>
      </c>
      <c r="BX29" s="9">
        <f>'2'!CU29</f>
        <v>0.3768181812967567</v>
      </c>
      <c r="BY29" s="9">
        <f>'2'!CW29</f>
        <v>0.5261918147673359</v>
      </c>
      <c r="BZ29" s="9">
        <f>'3'!AE29</f>
        <v>0.63713172001569063</v>
      </c>
      <c r="CA29" s="9">
        <f>'8'!AY26</f>
        <v>0.60591115098469772</v>
      </c>
      <c r="CB29" s="9">
        <f t="shared" si="40"/>
        <v>0.48865307388382151</v>
      </c>
      <c r="CC29" s="9">
        <f t="shared" si="41"/>
        <v>0.56701571882800295</v>
      </c>
      <c r="CD29" s="9">
        <f>'1'!DE29</f>
        <v>0.48688943795566952</v>
      </c>
      <c r="CE29" s="9">
        <f>'1'!DG29</f>
        <v>0.57245316428606252</v>
      </c>
      <c r="CF29" s="9">
        <f>'2'!DE29</f>
        <v>0.33295891415461165</v>
      </c>
      <c r="CG29" s="9">
        <f>'2'!DG29</f>
        <v>0.47841725730705104</v>
      </c>
      <c r="CH29" s="9">
        <f>'3'!AH29</f>
        <v>0.67062420404927625</v>
      </c>
      <c r="CI29" s="9">
        <f>'8'!BD26</f>
        <v>0.60730254761094293</v>
      </c>
      <c r="CJ29" s="9">
        <f t="shared" si="42"/>
        <v>0.47571696657374135</v>
      </c>
      <c r="CK29" s="9">
        <f t="shared" si="43"/>
        <v>0.55272432306801889</v>
      </c>
    </row>
    <row r="30" spans="1:89">
      <c r="A30" s="1">
        <v>1992</v>
      </c>
      <c r="B30" s="9">
        <f>'1'!I30</f>
        <v>0.44639853153233605</v>
      </c>
      <c r="C30" s="9">
        <f>'1'!K30</f>
        <v>0.53292059939094782</v>
      </c>
      <c r="D30" s="9">
        <f>'2'!I30</f>
        <v>0.26547490353597075</v>
      </c>
      <c r="E30" s="9">
        <f>'2'!K30</f>
        <v>0.39593045057602927</v>
      </c>
      <c r="F30" s="9">
        <f>'3'!D30</f>
        <v>0.62715689884919212</v>
      </c>
      <c r="G30" s="9">
        <f>'8'!F27</f>
        <v>0.57962823395007501</v>
      </c>
      <c r="H30" s="9">
        <f t="shared" si="22"/>
        <v>0.4305005563394606</v>
      </c>
      <c r="I30" s="9">
        <f t="shared" si="23"/>
        <v>0.50282642797235066</v>
      </c>
      <c r="J30" s="9">
        <f>'1'!S30</f>
        <v>0.26830211607008103</v>
      </c>
      <c r="K30" s="9">
        <f>'1'!U30</f>
        <v>0.33751857773647254</v>
      </c>
      <c r="L30" s="9">
        <f>'2'!S30</f>
        <v>0.22355036374478418</v>
      </c>
      <c r="M30" s="9">
        <f>'2'!U30</f>
        <v>0.33783514089959171</v>
      </c>
      <c r="N30" s="9">
        <f>'3'!G30</f>
        <v>0.34585350336552034</v>
      </c>
      <c r="O30" s="9">
        <f>'8'!K27</f>
        <v>0.49362253565600994</v>
      </c>
      <c r="P30" s="9">
        <f t="shared" si="24"/>
        <v>0.32849167182362504</v>
      </c>
      <c r="Q30" s="9">
        <f t="shared" si="25"/>
        <v>0.38965875143069145</v>
      </c>
      <c r="R30" s="9">
        <f>'1'!AC30</f>
        <v>0.43687803884460563</v>
      </c>
      <c r="S30" s="9">
        <f>'1'!AE30</f>
        <v>0.52339249219491157</v>
      </c>
      <c r="T30" s="9">
        <f>'2'!AC30</f>
        <v>0.14794380348655806</v>
      </c>
      <c r="U30" s="9">
        <f>'2'!AE30</f>
        <v>0.21496364528294823</v>
      </c>
      <c r="V30" s="9">
        <f>'3'!J30</f>
        <v>0.74553104897601818</v>
      </c>
      <c r="W30" s="9">
        <f>'8'!P27</f>
        <v>0.49858929792596746</v>
      </c>
      <c r="X30" s="9">
        <f t="shared" si="26"/>
        <v>0.36113704675237707</v>
      </c>
      <c r="Y30" s="9">
        <f t="shared" si="27"/>
        <v>0.41231514513460904</v>
      </c>
      <c r="Z30" s="9">
        <f>'1'!AM30</f>
        <v>0.44574648722445809</v>
      </c>
      <c r="AA30" s="9">
        <f>'1'!AO30</f>
        <v>0.53227094033616607</v>
      </c>
      <c r="AB30" s="9">
        <f>'2'!AM30</f>
        <v>0.194832323392721</v>
      </c>
      <c r="AC30" s="9">
        <f>'2'!AO30</f>
        <v>0.29426641794668418</v>
      </c>
      <c r="AD30" s="9">
        <f>'3'!M30</f>
        <v>0.63830888011204023</v>
      </c>
      <c r="AE30" s="9">
        <f>'8'!U27</f>
        <v>0.56965718810900967</v>
      </c>
      <c r="AF30" s="9">
        <f t="shared" si="28"/>
        <v>0.40341199957539625</v>
      </c>
      <c r="AG30" s="9">
        <f t="shared" si="29"/>
        <v>0.46539818213061995</v>
      </c>
      <c r="AH30" s="9">
        <f>'1'!AW30</f>
        <v>0.31204363893246867</v>
      </c>
      <c r="AI30" s="9">
        <f>'1'!AY30</f>
        <v>0.38918791197566505</v>
      </c>
      <c r="AJ30" s="9">
        <f>'2'!AW30</f>
        <v>0.20855263742318508</v>
      </c>
      <c r="AK30" s="9">
        <f>'2'!AY30</f>
        <v>0.31550333529239349</v>
      </c>
      <c r="AL30" s="9">
        <f>'3'!P30</f>
        <v>0.59230475321299347</v>
      </c>
      <c r="AM30" s="9">
        <f>'8'!Z27</f>
        <v>0.4910447342571862</v>
      </c>
      <c r="AN30" s="9">
        <f t="shared" si="30"/>
        <v>0.33721367020428</v>
      </c>
      <c r="AO30" s="9">
        <f t="shared" si="31"/>
        <v>0.39857866050841489</v>
      </c>
      <c r="AP30" s="9">
        <f>'1'!BG30</f>
        <v>0.36085866877954903</v>
      </c>
      <c r="AQ30" s="9">
        <f>'1'!BI30</f>
        <v>0.44384517646333493</v>
      </c>
      <c r="AR30" s="9">
        <f>'2'!BG30</f>
        <v>0.25004559047027025</v>
      </c>
      <c r="AS30" s="9">
        <f>'2'!BI30</f>
        <v>0.37524134500601219</v>
      </c>
      <c r="AT30" s="9">
        <f>'3'!S30</f>
        <v>0.6354163298489901</v>
      </c>
      <c r="AU30" s="9">
        <f>'8'!AE27</f>
        <v>0.55761749356146095</v>
      </c>
      <c r="AV30" s="9">
        <f t="shared" si="32"/>
        <v>0.38950725093709337</v>
      </c>
      <c r="AW30" s="9">
        <f t="shared" si="33"/>
        <v>0.45890133834360269</v>
      </c>
      <c r="AX30" s="9">
        <f>'1'!BQ30</f>
        <v>0.49398113478618055</v>
      </c>
      <c r="AY30" s="9">
        <f>'1'!BS30</f>
        <v>0.57921799101619342</v>
      </c>
      <c r="AZ30" s="9">
        <f>'2'!BQ30</f>
        <v>0.24566092614168619</v>
      </c>
      <c r="BA30" s="9">
        <f>'2'!BS30</f>
        <v>0.36922033468123983</v>
      </c>
      <c r="BB30" s="9">
        <f>'3'!V30</f>
        <v>0.72365974009415523</v>
      </c>
      <c r="BC30" s="9">
        <f>'8'!AJ27</f>
        <v>0.60046455070826243</v>
      </c>
      <c r="BD30" s="9">
        <f t="shared" si="34"/>
        <v>0.44670220387870979</v>
      </c>
      <c r="BE30" s="9">
        <f t="shared" si="35"/>
        <v>0.51630095880189852</v>
      </c>
      <c r="BF30" s="9">
        <f>'1'!CA30</f>
        <v>0.41966602307329459</v>
      </c>
      <c r="BG30" s="9">
        <f>'1'!CC30</f>
        <v>0.50593130295506805</v>
      </c>
      <c r="BH30" s="9">
        <f>'2'!CA30</f>
        <v>0.26959247663949737</v>
      </c>
      <c r="BI30" s="9">
        <f>'2'!CC30</f>
        <v>0.401325377917851</v>
      </c>
      <c r="BJ30" s="9">
        <f>'3'!Y30</f>
        <v>0.53989358851529268</v>
      </c>
      <c r="BK30" s="9">
        <f>'8'!AO27</f>
        <v>0.59987441853187051</v>
      </c>
      <c r="BL30" s="9">
        <f t="shared" si="36"/>
        <v>0.42971097274822084</v>
      </c>
      <c r="BM30" s="9">
        <f t="shared" si="37"/>
        <v>0.50237703313492987</v>
      </c>
      <c r="BN30" s="9">
        <f>'1'!CK30</f>
        <v>0.33253479081719994</v>
      </c>
      <c r="BO30" s="9">
        <f>'1'!CM30</f>
        <v>0.4124986818938004</v>
      </c>
      <c r="BP30" s="9">
        <f>'2'!CK30</f>
        <v>0.36150648813285241</v>
      </c>
      <c r="BQ30" s="9">
        <f>'2'!CM30</f>
        <v>0.50997041850630109</v>
      </c>
      <c r="BR30" s="9">
        <f>'3'!AB30</f>
        <v>0.3630023954156939</v>
      </c>
      <c r="BS30" s="9">
        <f>'8'!AT27</f>
        <v>0.59526614259891708</v>
      </c>
      <c r="BT30" s="9">
        <f t="shared" si="38"/>
        <v>0.42976914051632314</v>
      </c>
      <c r="BU30" s="9">
        <f t="shared" si="39"/>
        <v>0.50591174766633962</v>
      </c>
      <c r="BV30" s="9">
        <f>'1'!CU30</f>
        <v>0.49304559250598951</v>
      </c>
      <c r="BW30" s="9">
        <f>'1'!CW30</f>
        <v>0.57832820268152496</v>
      </c>
      <c r="BX30" s="9">
        <f>'2'!CU30</f>
        <v>0.37524340184243815</v>
      </c>
      <c r="BY30" s="9">
        <f>'2'!CW30</f>
        <v>0.52454490053017433</v>
      </c>
      <c r="BZ30" s="9">
        <f>'3'!AE30</f>
        <v>0.50524267219712382</v>
      </c>
      <c r="CA30" s="9">
        <f>'8'!AY27</f>
        <v>0.59325404162897366</v>
      </c>
      <c r="CB30" s="9">
        <f t="shared" si="40"/>
        <v>0.48718101199246711</v>
      </c>
      <c r="CC30" s="9">
        <f t="shared" si="41"/>
        <v>0.56537571494689098</v>
      </c>
      <c r="CD30" s="9">
        <f>'1'!DE30</f>
        <v>0.51299539769274249</v>
      </c>
      <c r="CE30" s="9">
        <f>'1'!DG30</f>
        <v>0.59713176930746903</v>
      </c>
      <c r="CF30" s="9">
        <f>'2'!DE30</f>
        <v>0.31680111586390736</v>
      </c>
      <c r="CG30" s="9">
        <f>'2'!DG30</f>
        <v>0.45974092695928764</v>
      </c>
      <c r="CH30" s="9">
        <f>'3'!AH30</f>
        <v>0.61668801046372801</v>
      </c>
      <c r="CI30" s="9">
        <f>'8'!BD27</f>
        <v>0.5902072315786091</v>
      </c>
      <c r="CJ30" s="9">
        <f t="shared" si="42"/>
        <v>0.47333458171175297</v>
      </c>
      <c r="CK30" s="9">
        <f t="shared" si="43"/>
        <v>0.54902664261512191</v>
      </c>
    </row>
    <row r="31" spans="1:89">
      <c r="A31" s="1">
        <v>1993</v>
      </c>
      <c r="B31" s="9">
        <f>'1'!I31</f>
        <v>0.45409767595013772</v>
      </c>
      <c r="C31" s="9">
        <f>'1'!K31</f>
        <v>0.54055962930496426</v>
      </c>
      <c r="D31" s="9">
        <f>'2'!I31</f>
        <v>0.26425017342839102</v>
      </c>
      <c r="E31" s="9">
        <f>'2'!K31</f>
        <v>0.39431574509612249</v>
      </c>
      <c r="F31" s="9">
        <f>'3'!D31</f>
        <v>0.63523635395519973</v>
      </c>
      <c r="G31" s="9">
        <f>'8'!F28</f>
        <v>0.56590126225754278</v>
      </c>
      <c r="H31" s="9">
        <f t="shared" si="22"/>
        <v>0.42808303721202384</v>
      </c>
      <c r="I31" s="9">
        <f t="shared" si="23"/>
        <v>0.50025887888620979</v>
      </c>
      <c r="J31" s="9">
        <f>'1'!S31</f>
        <v>0.26815036630862493</v>
      </c>
      <c r="K31" s="9">
        <f>'1'!U31</f>
        <v>0.33733456451675609</v>
      </c>
      <c r="L31" s="9">
        <f>'2'!S31</f>
        <v>0.22244543142849407</v>
      </c>
      <c r="M31" s="9">
        <f>'2'!U31</f>
        <v>0.33621980901703125</v>
      </c>
      <c r="N31" s="9">
        <f>'3'!G31</f>
        <v>0.45028668456028575</v>
      </c>
      <c r="O31" s="9">
        <f>'8'!K28</f>
        <v>0.49308792931566037</v>
      </c>
      <c r="P31" s="9">
        <f t="shared" si="24"/>
        <v>0.32789457568425978</v>
      </c>
      <c r="Q31" s="9">
        <f t="shared" si="25"/>
        <v>0.38888076761648255</v>
      </c>
      <c r="R31" s="9">
        <f>'1'!AC31</f>
        <v>0.30279743633291778</v>
      </c>
      <c r="S31" s="9">
        <f>'1'!AE31</f>
        <v>0.37848763574191696</v>
      </c>
      <c r="T31" s="9">
        <f>'2'!AC31</f>
        <v>0.15662747461210255</v>
      </c>
      <c r="U31" s="9">
        <f>'2'!AE31</f>
        <v>0.23051937688026572</v>
      </c>
      <c r="V31" s="9">
        <f>'3'!J31</f>
        <v>0.8339066440361137</v>
      </c>
      <c r="W31" s="9">
        <f>'8'!P28</f>
        <v>0.52230814874021436</v>
      </c>
      <c r="X31" s="9">
        <f t="shared" si="26"/>
        <v>0.32724435322841156</v>
      </c>
      <c r="Y31" s="9">
        <f t="shared" si="27"/>
        <v>0.37710505378746567</v>
      </c>
      <c r="Z31" s="9">
        <f>'1'!AM31</f>
        <v>0.46562080291503388</v>
      </c>
      <c r="AA31" s="9">
        <f>'1'!AO31</f>
        <v>0.55188415764578735</v>
      </c>
      <c r="AB31" s="9">
        <f>'2'!AM31</f>
        <v>0.19201023935816144</v>
      </c>
      <c r="AC31" s="9">
        <f>'2'!AO31</f>
        <v>0.28979701157361537</v>
      </c>
      <c r="AD31" s="9">
        <f>'3'!M31</f>
        <v>0.6299583065402049</v>
      </c>
      <c r="AE31" s="9">
        <f>'8'!U28</f>
        <v>0.53524784643989676</v>
      </c>
      <c r="AF31" s="9">
        <f t="shared" si="28"/>
        <v>0.39762629623769735</v>
      </c>
      <c r="AG31" s="9">
        <f t="shared" si="29"/>
        <v>0.45897633855309983</v>
      </c>
      <c r="AH31" s="9">
        <f>'1'!AW31</f>
        <v>0.32731999924413729</v>
      </c>
      <c r="AI31" s="9">
        <f>'1'!AY31</f>
        <v>0.40661800938417841</v>
      </c>
      <c r="AJ31" s="9">
        <f>'2'!AW31</f>
        <v>0.20001778841048812</v>
      </c>
      <c r="AK31" s="9">
        <f>'2'!AY31</f>
        <v>0.30238728878210164</v>
      </c>
      <c r="AL31" s="9">
        <f>'3'!P31</f>
        <v>0.57621448806619058</v>
      </c>
      <c r="AM31" s="9">
        <f>'8'!Z28</f>
        <v>0.50104280956289671</v>
      </c>
      <c r="AN31" s="9">
        <f t="shared" si="30"/>
        <v>0.34279353240584071</v>
      </c>
      <c r="AO31" s="9">
        <f t="shared" si="31"/>
        <v>0.40334936924305892</v>
      </c>
      <c r="AP31" s="9">
        <f>'1'!BG31</f>
        <v>0.36818067300640384</v>
      </c>
      <c r="AQ31" s="9">
        <f>'1'!BI31</f>
        <v>0.45179020601573178</v>
      </c>
      <c r="AR31" s="9">
        <f>'2'!BG31</f>
        <v>0.2491520854682657</v>
      </c>
      <c r="AS31" s="9">
        <f>'2'!BI31</f>
        <v>0.37401960578641658</v>
      </c>
      <c r="AT31" s="9">
        <f>'3'!S31</f>
        <v>0.58534402376911077</v>
      </c>
      <c r="AU31" s="9">
        <f>'8'!AE28</f>
        <v>0.53153495894987612</v>
      </c>
      <c r="AV31" s="9">
        <f t="shared" si="32"/>
        <v>0.3829559058081819</v>
      </c>
      <c r="AW31" s="9">
        <f t="shared" si="33"/>
        <v>0.45244825691734153</v>
      </c>
      <c r="AX31" s="9">
        <f>'1'!BQ31</f>
        <v>0.5005129155213297</v>
      </c>
      <c r="AY31" s="9">
        <f>'1'!BS31</f>
        <v>0.58540822099919088</v>
      </c>
      <c r="AZ31" s="9">
        <f>'2'!BQ31</f>
        <v>0.243171096495473</v>
      </c>
      <c r="BA31" s="9">
        <f>'2'!BS31</f>
        <v>0.36577238459546418</v>
      </c>
      <c r="BB31" s="9">
        <f>'3'!V31</f>
        <v>0.74324817823536315</v>
      </c>
      <c r="BC31" s="9">
        <f>'8'!AJ28</f>
        <v>0.5772941800331689</v>
      </c>
      <c r="BD31" s="9">
        <f t="shared" si="34"/>
        <v>0.44032606401665725</v>
      </c>
      <c r="BE31" s="9">
        <f t="shared" si="35"/>
        <v>0.50949159520927456</v>
      </c>
      <c r="BF31" s="9">
        <f>'1'!CA31</f>
        <v>0.42460178446498964</v>
      </c>
      <c r="BG31" s="9">
        <f>'1'!CC31</f>
        <v>0.51096997899795027</v>
      </c>
      <c r="BH31" s="9">
        <f>'2'!CA31</f>
        <v>0.26590867524211659</v>
      </c>
      <c r="BI31" s="9">
        <f>'2'!CC31</f>
        <v>0.39650123253664799</v>
      </c>
      <c r="BJ31" s="9">
        <f>'3'!Y31</f>
        <v>0.54619709284578843</v>
      </c>
      <c r="BK31" s="9">
        <f>'8'!AO28</f>
        <v>0.60608164859423674</v>
      </c>
      <c r="BL31" s="9">
        <f t="shared" si="36"/>
        <v>0.43219736943378101</v>
      </c>
      <c r="BM31" s="9">
        <f t="shared" si="37"/>
        <v>0.50451762004294498</v>
      </c>
      <c r="BN31" s="9">
        <f>'1'!CK31</f>
        <v>0.34608927812798596</v>
      </c>
      <c r="BO31" s="9">
        <f>'1'!CM31</f>
        <v>0.42762310050225699</v>
      </c>
      <c r="BP31" s="9">
        <f>'2'!CK31</f>
        <v>0.35023220259348753</v>
      </c>
      <c r="BQ31" s="9">
        <f>'2'!CM31</f>
        <v>0.49771984508541045</v>
      </c>
      <c r="BR31" s="9">
        <f>'3'!AB31</f>
        <v>0.4641391072665747</v>
      </c>
      <c r="BS31" s="9">
        <f>'8'!AT28</f>
        <v>0.57729079215344181</v>
      </c>
      <c r="BT31" s="9">
        <f t="shared" si="38"/>
        <v>0.42453742429163843</v>
      </c>
      <c r="BU31" s="9">
        <f t="shared" si="39"/>
        <v>0.50087791258036973</v>
      </c>
      <c r="BV31" s="9">
        <f>'1'!CU31</f>
        <v>0.50344067261904746</v>
      </c>
      <c r="BW31" s="9">
        <f>'1'!CW31</f>
        <v>0.58817041478917642</v>
      </c>
      <c r="BX31" s="9">
        <f>'2'!CU31</f>
        <v>0.38468220772343198</v>
      </c>
      <c r="BY31" s="9">
        <f>'2'!CW31</f>
        <v>0.53434463548665134</v>
      </c>
      <c r="BZ31" s="9">
        <f>'3'!AE31</f>
        <v>0.59819387818298819</v>
      </c>
      <c r="CA31" s="9">
        <f>'8'!AY28</f>
        <v>0.60999278863482242</v>
      </c>
      <c r="CB31" s="9">
        <f t="shared" si="40"/>
        <v>0.49937188965910062</v>
      </c>
      <c r="CC31" s="9">
        <f t="shared" si="41"/>
        <v>0.57750261297021677</v>
      </c>
      <c r="CD31" s="9">
        <f>'1'!DE31</f>
        <v>0.51830455403552589</v>
      </c>
      <c r="CE31" s="9">
        <f>'1'!DG31</f>
        <v>0.60207650040421556</v>
      </c>
      <c r="CF31" s="9">
        <f>'2'!DE31</f>
        <v>0.31277812030136992</v>
      </c>
      <c r="CG31" s="9">
        <f>'2'!DG31</f>
        <v>0.45499278005316973</v>
      </c>
      <c r="CH31" s="9">
        <f>'3'!AH31</f>
        <v>0.62813183103279413</v>
      </c>
      <c r="CI31" s="9">
        <f>'8'!BD28</f>
        <v>0.59283549408205594</v>
      </c>
      <c r="CJ31" s="9">
        <f t="shared" si="42"/>
        <v>0.4746393894729839</v>
      </c>
      <c r="CK31" s="9">
        <f t="shared" si="43"/>
        <v>0.54996825817981376</v>
      </c>
    </row>
    <row r="32" spans="1:89">
      <c r="A32" s="1">
        <v>1994</v>
      </c>
      <c r="B32" s="9">
        <f>'1'!I32</f>
        <v>0.4707879554041452</v>
      </c>
      <c r="C32" s="9">
        <f>'1'!K32</f>
        <v>0.55692063711279405</v>
      </c>
      <c r="D32" s="9">
        <f>'2'!I32</f>
        <v>0.27042889032161399</v>
      </c>
      <c r="E32" s="9">
        <f>'2'!K32</f>
        <v>0.40241496684723144</v>
      </c>
      <c r="F32" s="9">
        <f>'3'!D32</f>
        <v>0.63273304343063508</v>
      </c>
      <c r="G32" s="9">
        <f>'8'!F29</f>
        <v>0.57065555282292912</v>
      </c>
      <c r="H32" s="9">
        <f t="shared" si="22"/>
        <v>0.43729079951622946</v>
      </c>
      <c r="I32" s="9">
        <f t="shared" si="23"/>
        <v>0.5099970522609848</v>
      </c>
      <c r="J32" s="9">
        <f>'1'!S32</f>
        <v>0.27757566852670645</v>
      </c>
      <c r="K32" s="9">
        <f>'1'!U32</f>
        <v>0.34869958431502579</v>
      </c>
      <c r="L32" s="9">
        <f>'2'!S32</f>
        <v>0.23795497044475625</v>
      </c>
      <c r="M32" s="9">
        <f>'2'!U32</f>
        <v>0.35847973950800688</v>
      </c>
      <c r="N32" s="9">
        <f>'3'!G32</f>
        <v>0.44964490021771963</v>
      </c>
      <c r="O32" s="9">
        <f>'8'!K29</f>
        <v>0.4896761657912887</v>
      </c>
      <c r="P32" s="9">
        <f t="shared" si="24"/>
        <v>0.33506893492091711</v>
      </c>
      <c r="Q32" s="9">
        <f t="shared" si="25"/>
        <v>0.39895182987144046</v>
      </c>
      <c r="R32" s="9">
        <f>'1'!AC32</f>
        <v>0.31711266141564254</v>
      </c>
      <c r="S32" s="9">
        <f>'1'!AE32</f>
        <v>0.3950055555866237</v>
      </c>
      <c r="T32" s="9">
        <f>'2'!AC32</f>
        <v>0.159852292631428</v>
      </c>
      <c r="U32" s="9">
        <f>'2'!AE32</f>
        <v>0.2361883876511662</v>
      </c>
      <c r="V32" s="9">
        <f>'3'!J32</f>
        <v>0.87321690760793291</v>
      </c>
      <c r="W32" s="9">
        <f>'8'!P29</f>
        <v>0.49830843866634822</v>
      </c>
      <c r="X32" s="9">
        <f t="shared" si="26"/>
        <v>0.32509113090447289</v>
      </c>
      <c r="Y32" s="9">
        <f t="shared" si="27"/>
        <v>0.37650079396804603</v>
      </c>
      <c r="Z32" s="9">
        <f>'1'!AM32</f>
        <v>0.4650720912873213</v>
      </c>
      <c r="AA32" s="9">
        <f>'1'!AO32</f>
        <v>0.55134781983976899</v>
      </c>
      <c r="AB32" s="9">
        <f>'2'!AM32</f>
        <v>0.193130370726005</v>
      </c>
      <c r="AC32" s="9">
        <f>'2'!AO32</f>
        <v>0.29157524658436618</v>
      </c>
      <c r="AD32" s="9">
        <f>'3'!M32</f>
        <v>0.54544220100820917</v>
      </c>
      <c r="AE32" s="9">
        <f>'8'!U29</f>
        <v>0.53913920021720529</v>
      </c>
      <c r="AF32" s="9">
        <f t="shared" si="28"/>
        <v>0.39911388741017717</v>
      </c>
      <c r="AG32" s="9">
        <f t="shared" si="29"/>
        <v>0.46068742221378017</v>
      </c>
      <c r="AH32" s="9">
        <f>'1'!AW32</f>
        <v>0.33489440688660105</v>
      </c>
      <c r="AI32" s="9">
        <f>'1'!AY32</f>
        <v>0.41514820386383555</v>
      </c>
      <c r="AJ32" s="9">
        <f>'2'!AW32</f>
        <v>0.20508401775922594</v>
      </c>
      <c r="AK32" s="9">
        <f>'2'!AY32</f>
        <v>0.31020973685296338</v>
      </c>
      <c r="AL32" s="9">
        <f>'3'!P32</f>
        <v>0.50823481147919769</v>
      </c>
      <c r="AM32" s="9">
        <f>'8'!Z29</f>
        <v>0.49459121718787813</v>
      </c>
      <c r="AN32" s="9">
        <f t="shared" si="30"/>
        <v>0.34485654727790171</v>
      </c>
      <c r="AO32" s="9">
        <f t="shared" si="31"/>
        <v>0.40664971930155902</v>
      </c>
      <c r="AP32" s="9">
        <f>'1'!BG32</f>
        <v>0.38804205042598833</v>
      </c>
      <c r="AQ32" s="9">
        <f>'1'!BI32</f>
        <v>0.47302704079429336</v>
      </c>
      <c r="AR32" s="9">
        <f>'2'!BG32</f>
        <v>0.25435065921878725</v>
      </c>
      <c r="AS32" s="9">
        <f>'2'!BI32</f>
        <v>0.38109098008790504</v>
      </c>
      <c r="AT32" s="9">
        <f>'3'!S32</f>
        <v>0.58162708363694771</v>
      </c>
      <c r="AU32" s="9">
        <f>'8'!AE29</f>
        <v>0.54493310600669875</v>
      </c>
      <c r="AV32" s="9">
        <f t="shared" si="32"/>
        <v>0.39577527188382478</v>
      </c>
      <c r="AW32" s="9">
        <f t="shared" si="33"/>
        <v>0.46635037562963239</v>
      </c>
      <c r="AX32" s="9">
        <f>'1'!BQ32</f>
        <v>0.52297506604949962</v>
      </c>
      <c r="AY32" s="9">
        <f>'1'!BS32</f>
        <v>0.60640616987633811</v>
      </c>
      <c r="AZ32" s="9">
        <f>'2'!BQ32</f>
        <v>0.24746453953453088</v>
      </c>
      <c r="BA32" s="9">
        <f>'2'!BS32</f>
        <v>0.37170486320153934</v>
      </c>
      <c r="BB32" s="9">
        <f>'3'!V32</f>
        <v>0.72691778850627997</v>
      </c>
      <c r="BC32" s="9">
        <f>'8'!AJ29</f>
        <v>0.58469736231893121</v>
      </c>
      <c r="BD32" s="9">
        <f t="shared" si="34"/>
        <v>0.45171232263432054</v>
      </c>
      <c r="BE32" s="9">
        <f t="shared" si="35"/>
        <v>0.52093613179893616</v>
      </c>
      <c r="BF32" s="9">
        <f>'1'!CA32</f>
        <v>0.43994270390035312</v>
      </c>
      <c r="BG32" s="9">
        <f>'1'!CC32</f>
        <v>0.52646959250537551</v>
      </c>
      <c r="BH32" s="9">
        <f>'2'!CA32</f>
        <v>0.27010946210724635</v>
      </c>
      <c r="BI32" s="9">
        <f>'2'!CC32</f>
        <v>0.40199909962318942</v>
      </c>
      <c r="BJ32" s="9">
        <f>'3'!Y32</f>
        <v>0.57094678442814573</v>
      </c>
      <c r="BK32" s="9">
        <f>'8'!AO29</f>
        <v>0.57696097822295522</v>
      </c>
      <c r="BL32" s="9">
        <f t="shared" si="36"/>
        <v>0.42900438141018488</v>
      </c>
      <c r="BM32" s="9">
        <f t="shared" si="37"/>
        <v>0.50180989011717336</v>
      </c>
      <c r="BN32" s="9">
        <f>'1'!CK32</f>
        <v>0.35565706530771451</v>
      </c>
      <c r="BO32" s="9">
        <f>'1'!CM32</f>
        <v>0.43816212077215844</v>
      </c>
      <c r="BP32" s="9">
        <f>'2'!CK32</f>
        <v>0.37509014852380773</v>
      </c>
      <c r="BQ32" s="9">
        <f>'2'!CM32</f>
        <v>0.52438436937811017</v>
      </c>
      <c r="BR32" s="9">
        <f>'3'!AB32</f>
        <v>0.47567945449753046</v>
      </c>
      <c r="BS32" s="9">
        <f>'8'!AT29</f>
        <v>0.56447507635919492</v>
      </c>
      <c r="BT32" s="9">
        <f t="shared" si="38"/>
        <v>0.4317407633969057</v>
      </c>
      <c r="BU32" s="9">
        <f t="shared" si="39"/>
        <v>0.50900718883648788</v>
      </c>
      <c r="BV32" s="9">
        <f>'1'!CU32</f>
        <v>0.51245994212043267</v>
      </c>
      <c r="BW32" s="9">
        <f>'1'!CW32</f>
        <v>0.59663169899833968</v>
      </c>
      <c r="BX32" s="9">
        <f>'2'!CU32</f>
        <v>0.39162633030657706</v>
      </c>
      <c r="BY32" s="9">
        <f>'2'!CW32</f>
        <v>0.54144678386396772</v>
      </c>
      <c r="BZ32" s="9">
        <f>'3'!AE32</f>
        <v>0.64712447843980414</v>
      </c>
      <c r="CA32" s="9">
        <f>'8'!AY29</f>
        <v>0.59275983333368854</v>
      </c>
      <c r="CB32" s="9">
        <f t="shared" si="40"/>
        <v>0.49894870192023277</v>
      </c>
      <c r="CC32" s="9">
        <f t="shared" si="41"/>
        <v>0.57694610539866531</v>
      </c>
      <c r="CD32" s="9">
        <f>'1'!DE32</f>
        <v>0.53677516123955482</v>
      </c>
      <c r="CE32" s="9">
        <f>'1'!DG32</f>
        <v>0.6190900240328312</v>
      </c>
      <c r="CF32" s="9">
        <f>'2'!DE32</f>
        <v>0.32091156878904892</v>
      </c>
      <c r="CG32" s="9">
        <f>'2'!DG32</f>
        <v>0.46455123352515948</v>
      </c>
      <c r="CH32" s="9">
        <f>'3'!AH32</f>
        <v>0.61995105184944088</v>
      </c>
      <c r="CI32" s="9">
        <f>'8'!BD29</f>
        <v>0.60947598398953118</v>
      </c>
      <c r="CJ32" s="9">
        <f t="shared" si="42"/>
        <v>0.48905423800604497</v>
      </c>
      <c r="CK32" s="9">
        <f t="shared" si="43"/>
        <v>0.56437241384917392</v>
      </c>
    </row>
    <row r="33" spans="1:89">
      <c r="A33" s="1">
        <v>1995</v>
      </c>
      <c r="B33" s="9">
        <f>'1'!I33</f>
        <v>0.48340105029325475</v>
      </c>
      <c r="C33" s="9">
        <f>'1'!K33</f>
        <v>0.569108585660834</v>
      </c>
      <c r="D33" s="9">
        <f>'2'!I33</f>
        <v>0.27966740692347536</v>
      </c>
      <c r="E33" s="9">
        <f>'2'!K33</f>
        <v>0.41431150251897209</v>
      </c>
      <c r="F33" s="9">
        <f>'3'!D33</f>
        <v>0.61180974212230088</v>
      </c>
      <c r="G33" s="9">
        <f>'8'!F30</f>
        <v>0.57648328337656674</v>
      </c>
      <c r="H33" s="9">
        <f t="shared" si="22"/>
        <v>0.44651724686443228</v>
      </c>
      <c r="I33" s="9">
        <f t="shared" si="23"/>
        <v>0.51996779051879094</v>
      </c>
      <c r="J33" s="9">
        <f>'1'!S33</f>
        <v>0.2894416490761122</v>
      </c>
      <c r="K33" s="9">
        <f>'1'!U33</f>
        <v>0.36282515537337584</v>
      </c>
      <c r="L33" s="9">
        <f>'2'!S33</f>
        <v>0.26199034358642942</v>
      </c>
      <c r="M33" s="9">
        <f>'2'!U33</f>
        <v>0.39132411929185407</v>
      </c>
      <c r="N33" s="9">
        <f>'3'!G33</f>
        <v>0.38154979440299513</v>
      </c>
      <c r="O33" s="9">
        <f>'8'!K30</f>
        <v>0.50241019118959662</v>
      </c>
      <c r="P33" s="9">
        <f t="shared" si="24"/>
        <v>0.3512807279507128</v>
      </c>
      <c r="Q33" s="9">
        <f t="shared" si="25"/>
        <v>0.41885315528494216</v>
      </c>
      <c r="R33" s="9">
        <f>'1'!AC33</f>
        <v>0.32331548031576229</v>
      </c>
      <c r="S33" s="9">
        <f>'1'!AE33</f>
        <v>0.40207840392982003</v>
      </c>
      <c r="T33" s="9">
        <f>'2'!AC33</f>
        <v>0.1673345311087519</v>
      </c>
      <c r="U33" s="9">
        <f>'2'!AE33</f>
        <v>0.24912558318234432</v>
      </c>
      <c r="V33" s="9">
        <f>'3'!J33</f>
        <v>0.7597872992252922</v>
      </c>
      <c r="W33" s="9">
        <f>'8'!P30</f>
        <v>0.48897618508319179</v>
      </c>
      <c r="X33" s="9">
        <f t="shared" si="26"/>
        <v>0.32654206550256865</v>
      </c>
      <c r="Y33" s="9">
        <f t="shared" si="27"/>
        <v>0.38006005739845206</v>
      </c>
      <c r="Z33" s="9">
        <f>'1'!AM33</f>
        <v>0.48317739461380826</v>
      </c>
      <c r="AA33" s="9">
        <f>'1'!AO33</f>
        <v>0.56889376564326399</v>
      </c>
      <c r="AB33" s="9">
        <f>'2'!AM33</f>
        <v>0.2034849870365717</v>
      </c>
      <c r="AC33" s="9">
        <f>'2'!AO33</f>
        <v>0.30775250715782881</v>
      </c>
      <c r="AD33" s="9">
        <f>'3'!M33</f>
        <v>0.56626617126782153</v>
      </c>
      <c r="AE33" s="9">
        <f>'8'!U30</f>
        <v>0.55250687169514012</v>
      </c>
      <c r="AF33" s="9">
        <f t="shared" si="28"/>
        <v>0.41305641778184005</v>
      </c>
      <c r="AG33" s="9">
        <f t="shared" si="29"/>
        <v>0.47638438149874435</v>
      </c>
      <c r="AH33" s="9">
        <f>'1'!AW33</f>
        <v>0.34730560175309128</v>
      </c>
      <c r="AI33" s="9">
        <f>'1'!AY33</f>
        <v>0.4289691130490545</v>
      </c>
      <c r="AJ33" s="9">
        <f>'2'!AW33</f>
        <v>0.22997667222976872</v>
      </c>
      <c r="AK33" s="9">
        <f>'2'!AY33</f>
        <v>0.34713905794311578</v>
      </c>
      <c r="AL33" s="9">
        <f>'3'!P33</f>
        <v>0.54404786736483879</v>
      </c>
      <c r="AM33" s="9">
        <f>'8'!Z30</f>
        <v>0.5521510346434777</v>
      </c>
      <c r="AN33" s="9">
        <f t="shared" si="30"/>
        <v>0.37647776954211259</v>
      </c>
      <c r="AO33" s="9">
        <f t="shared" si="31"/>
        <v>0.44275306854521596</v>
      </c>
      <c r="AP33" s="9">
        <f>'1'!BG33</f>
        <v>0.39794716737729335</v>
      </c>
      <c r="AQ33" s="9">
        <f>'1'!BI33</f>
        <v>0.48345085198639953</v>
      </c>
      <c r="AR33" s="9">
        <f>'2'!BG33</f>
        <v>0.26904836663429765</v>
      </c>
      <c r="AS33" s="9">
        <f>'2'!BI33</f>
        <v>0.4006154352384701</v>
      </c>
      <c r="AT33" s="9">
        <f>'3'!S33</f>
        <v>0.52285638512347121</v>
      </c>
      <c r="AU33" s="9">
        <f>'8'!AE30</f>
        <v>0.55292205112947079</v>
      </c>
      <c r="AV33" s="9">
        <f t="shared" si="32"/>
        <v>0.40663919504702056</v>
      </c>
      <c r="AW33" s="9">
        <f t="shared" si="33"/>
        <v>0.47899611278478016</v>
      </c>
      <c r="AX33" s="9">
        <f>'1'!BQ33</f>
        <v>0.54030514795659623</v>
      </c>
      <c r="AY33" s="9">
        <f>'1'!BS33</f>
        <v>0.62230864127688046</v>
      </c>
      <c r="AZ33" s="9">
        <f>'2'!BQ33</f>
        <v>0.25363037668895105</v>
      </c>
      <c r="BA33" s="9">
        <f>'2'!BS33</f>
        <v>0.38011650514278272</v>
      </c>
      <c r="BB33" s="9">
        <f>'3'!V33</f>
        <v>0.72105009171460044</v>
      </c>
      <c r="BC33" s="9">
        <f>'8'!AJ30</f>
        <v>0.57225957579920972</v>
      </c>
      <c r="BD33" s="9">
        <f t="shared" si="34"/>
        <v>0.45539836681491902</v>
      </c>
      <c r="BE33" s="9">
        <f t="shared" si="35"/>
        <v>0.52489490740629097</v>
      </c>
      <c r="BF33" s="9">
        <f>'1'!CA33</f>
        <v>0.44973709011830881</v>
      </c>
      <c r="BG33" s="9">
        <f>'1'!CC33</f>
        <v>0.53624030558155589</v>
      </c>
      <c r="BH33" s="9">
        <f>'2'!CA33</f>
        <v>0.27912860320331073</v>
      </c>
      <c r="BI33" s="9">
        <f>'2'!CC33</f>
        <v>0.41362454832942447</v>
      </c>
      <c r="BJ33" s="9">
        <f>'3'!Y33</f>
        <v>0.66890068781806122</v>
      </c>
      <c r="BK33" s="9">
        <f>'8'!AO30</f>
        <v>0.61776678300884746</v>
      </c>
      <c r="BL33" s="9">
        <f t="shared" si="36"/>
        <v>0.44887749211015571</v>
      </c>
      <c r="BM33" s="9">
        <f t="shared" si="37"/>
        <v>0.52254387897327603</v>
      </c>
      <c r="BN33" s="9">
        <f>'1'!CK33</f>
        <v>0.36306438150549847</v>
      </c>
      <c r="BO33" s="9">
        <f>'1'!CM33</f>
        <v>0.44624526602323328</v>
      </c>
      <c r="BP33" s="9">
        <f>'2'!CK33</f>
        <v>0.39553219627414382</v>
      </c>
      <c r="BQ33" s="9">
        <f>'2'!CM33</f>
        <v>0.54540246382124913</v>
      </c>
      <c r="BR33" s="9">
        <f>'3'!AB33</f>
        <v>0.41795982269324999</v>
      </c>
      <c r="BS33" s="9">
        <f>'8'!AT30</f>
        <v>0.57402368115939839</v>
      </c>
      <c r="BT33" s="9">
        <f t="shared" si="38"/>
        <v>0.44420675297968026</v>
      </c>
      <c r="BU33" s="9">
        <f t="shared" si="39"/>
        <v>0.52189047033462688</v>
      </c>
      <c r="BV33" s="9">
        <f>'1'!CU33</f>
        <v>0.52296322516338223</v>
      </c>
      <c r="BW33" s="9">
        <f>'1'!CW33</f>
        <v>0.60639521693160514</v>
      </c>
      <c r="BX33" s="9">
        <f>'2'!CU33</f>
        <v>0.38173085177549065</v>
      </c>
      <c r="BY33" s="9">
        <f>'2'!CW33</f>
        <v>0.53129873651375392</v>
      </c>
      <c r="BZ33" s="9">
        <f>'3'!AE33</f>
        <v>0.64330489941391744</v>
      </c>
      <c r="CA33" s="9">
        <f>'8'!AY30</f>
        <v>0.6062359103649001</v>
      </c>
      <c r="CB33" s="9">
        <f t="shared" si="40"/>
        <v>0.50364332910125764</v>
      </c>
      <c r="CC33" s="9">
        <f t="shared" si="41"/>
        <v>0.58130995460341983</v>
      </c>
      <c r="CD33" s="9">
        <f>'1'!DE33</f>
        <v>0.5397287013939136</v>
      </c>
      <c r="CE33" s="9">
        <f>'1'!DG33</f>
        <v>0.62178375313904111</v>
      </c>
      <c r="CF33" s="9">
        <f>'2'!DE33</f>
        <v>0.33306173062269906</v>
      </c>
      <c r="CG33" s="9">
        <f>'2'!DG33</f>
        <v>0.47853413565276404</v>
      </c>
      <c r="CH33" s="9">
        <f>'3'!AH33</f>
        <v>0.60381251296966498</v>
      </c>
      <c r="CI33" s="9">
        <f>'8'!BD30</f>
        <v>0.6316327898228431</v>
      </c>
      <c r="CJ33" s="9">
        <f t="shared" si="42"/>
        <v>0.50147440727981862</v>
      </c>
      <c r="CK33" s="9">
        <f t="shared" si="43"/>
        <v>0.57731689287154941</v>
      </c>
    </row>
    <row r="34" spans="1:89">
      <c r="A34" s="1">
        <v>1996</v>
      </c>
      <c r="B34" s="9">
        <f>'1'!I34</f>
        <v>0.49807269871500515</v>
      </c>
      <c r="C34" s="9">
        <f>'1'!K34</f>
        <v>0.58310011512600657</v>
      </c>
      <c r="D34" s="9">
        <f>'2'!I34</f>
        <v>0.29092897677022855</v>
      </c>
      <c r="E34" s="9">
        <f>'2'!K34</f>
        <v>0.42848076277984837</v>
      </c>
      <c r="F34" s="9">
        <f>'3'!D34</f>
        <v>0.55444102066259571</v>
      </c>
      <c r="G34" s="9">
        <f>'8'!F31</f>
        <v>0.56373686210282115</v>
      </c>
      <c r="H34" s="9">
        <f t="shared" si="22"/>
        <v>0.45091284586268499</v>
      </c>
      <c r="I34" s="9">
        <f t="shared" si="23"/>
        <v>0.52510591333622536</v>
      </c>
      <c r="J34" s="9">
        <f>'1'!S34</f>
        <v>0.29832970321722241</v>
      </c>
      <c r="K34" s="9">
        <f>'1'!U34</f>
        <v>0.37327571037274943</v>
      </c>
      <c r="L34" s="9">
        <f>'2'!S34</f>
        <v>0.27306820372706886</v>
      </c>
      <c r="M34" s="9">
        <f>'2'!U34</f>
        <v>0.40583939922634049</v>
      </c>
      <c r="N34" s="9">
        <f>'3'!G34</f>
        <v>0.3630737741339457</v>
      </c>
      <c r="O34" s="9">
        <f>'8'!K31</f>
        <v>0.49818143832306133</v>
      </c>
      <c r="P34" s="9">
        <f t="shared" si="24"/>
        <v>0.35652644842245085</v>
      </c>
      <c r="Q34" s="9">
        <f t="shared" si="25"/>
        <v>0.42576551597405038</v>
      </c>
      <c r="R34" s="9">
        <f>'1'!AC34</f>
        <v>0.34776052329327711</v>
      </c>
      <c r="S34" s="9">
        <f>'1'!AE34</f>
        <v>0.42947207181633518</v>
      </c>
      <c r="T34" s="9">
        <f>'2'!AC34</f>
        <v>0.17325125730859611</v>
      </c>
      <c r="U34" s="9">
        <f>'2'!AE34</f>
        <v>0.25914924472040052</v>
      </c>
      <c r="V34" s="9">
        <f>'3'!J34</f>
        <v>0.7285334273823153</v>
      </c>
      <c r="W34" s="9">
        <f>'8'!P31</f>
        <v>0.4779630287941774</v>
      </c>
      <c r="X34" s="9">
        <f t="shared" si="26"/>
        <v>0.33299160313201687</v>
      </c>
      <c r="Y34" s="9">
        <f t="shared" si="27"/>
        <v>0.38886144844363768</v>
      </c>
      <c r="Z34" s="9">
        <f>'1'!AM34</f>
        <v>0.47756329188992874</v>
      </c>
      <c r="AA34" s="9">
        <f>'1'!AO34</f>
        <v>0.563486179167483</v>
      </c>
      <c r="AB34" s="9">
        <f>'2'!AM34</f>
        <v>0.2076882057813666</v>
      </c>
      <c r="AC34" s="9">
        <f>'2'!AO34</f>
        <v>0.3141887469551024</v>
      </c>
      <c r="AD34" s="9">
        <f>'3'!M34</f>
        <v>0.49720139253500784</v>
      </c>
      <c r="AE34" s="9">
        <f>'8'!U31</f>
        <v>0.53104065709669301</v>
      </c>
      <c r="AF34" s="9">
        <f t="shared" si="28"/>
        <v>0.40543071825599614</v>
      </c>
      <c r="AG34" s="9">
        <f t="shared" si="29"/>
        <v>0.46957186107309279</v>
      </c>
      <c r="AH34" s="9">
        <f>'1'!AW34</f>
        <v>0.35902531597675047</v>
      </c>
      <c r="AI34" s="9">
        <f>'1'!AY34</f>
        <v>0.44184583892681822</v>
      </c>
      <c r="AJ34" s="9">
        <f>'2'!AW34</f>
        <v>0.24507566642408657</v>
      </c>
      <c r="AK34" s="9">
        <f>'2'!AY34</f>
        <v>0.36841175786582819</v>
      </c>
      <c r="AL34" s="9">
        <f>'3'!P34</f>
        <v>0.56109865164481953</v>
      </c>
      <c r="AM34" s="9">
        <f>'8'!Z31</f>
        <v>0.5520371486035125</v>
      </c>
      <c r="AN34" s="9">
        <f t="shared" si="30"/>
        <v>0.38537937700144981</v>
      </c>
      <c r="AO34" s="9">
        <f t="shared" si="31"/>
        <v>0.45409824846538632</v>
      </c>
      <c r="AP34" s="9">
        <f>'1'!BG34</f>
        <v>0.42021762001627372</v>
      </c>
      <c r="AQ34" s="9">
        <f>'1'!BI34</f>
        <v>0.50649567110699223</v>
      </c>
      <c r="AR34" s="9">
        <f>'2'!BG34</f>
        <v>0.27957372057277452</v>
      </c>
      <c r="AS34" s="9">
        <f>'2'!BI34</f>
        <v>0.4141921162597928</v>
      </c>
      <c r="AT34" s="9">
        <f>'3'!S34</f>
        <v>0.54786011088036246</v>
      </c>
      <c r="AU34" s="9">
        <f>'8'!AE31</f>
        <v>0.5498272395477658</v>
      </c>
      <c r="AV34" s="9">
        <f t="shared" si="32"/>
        <v>0.41653952671227135</v>
      </c>
      <c r="AW34" s="9">
        <f t="shared" si="33"/>
        <v>0.49017167563818359</v>
      </c>
      <c r="AX34" s="9">
        <f>'1'!BQ34</f>
        <v>0.55118973271723748</v>
      </c>
      <c r="AY34" s="9">
        <f>'1'!BS34</f>
        <v>0.63216798954013642</v>
      </c>
      <c r="AZ34" s="9">
        <f>'2'!BQ34</f>
        <v>0.25952948205783533</v>
      </c>
      <c r="BA34" s="9">
        <f>'2'!BS34</f>
        <v>0.38804815503215284</v>
      </c>
      <c r="BB34" s="9">
        <f>'3'!V34</f>
        <v>0.61022297095522682</v>
      </c>
      <c r="BC34" s="9">
        <f>'8'!AJ31</f>
        <v>0.54762996686903498</v>
      </c>
      <c r="BD34" s="9">
        <f t="shared" si="34"/>
        <v>0.45278306054803591</v>
      </c>
      <c r="BE34" s="9">
        <f t="shared" si="35"/>
        <v>0.52261537048044138</v>
      </c>
      <c r="BF34" s="9">
        <f>'1'!CA34</f>
        <v>0.46273097696448295</v>
      </c>
      <c r="BG34" s="9">
        <f>'1'!CC34</f>
        <v>0.54905624075376624</v>
      </c>
      <c r="BH34" s="9">
        <f>'2'!CA34</f>
        <v>0.2833063571434738</v>
      </c>
      <c r="BI34" s="9">
        <f>'2'!CC34</f>
        <v>0.41892917853665568</v>
      </c>
      <c r="BJ34" s="9">
        <f>'3'!Y34</f>
        <v>0.59241350433855122</v>
      </c>
      <c r="BK34" s="9">
        <f>'8'!AO31</f>
        <v>0.58486053795548831</v>
      </c>
      <c r="BL34" s="9">
        <f t="shared" si="36"/>
        <v>0.44363262402114834</v>
      </c>
      <c r="BM34" s="9">
        <f t="shared" si="37"/>
        <v>0.51761531908197</v>
      </c>
      <c r="BN34" s="9">
        <f>'1'!CK34</f>
        <v>0.37772546104340987</v>
      </c>
      <c r="BO34" s="9">
        <f>'1'!CM34</f>
        <v>0.46205266927177635</v>
      </c>
      <c r="BP34" s="9">
        <f>'2'!CK34</f>
        <v>0.39726459152482069</v>
      </c>
      <c r="BQ34" s="9">
        <f>'2'!CM34</f>
        <v>0.54714808366108758</v>
      </c>
      <c r="BR34" s="9">
        <f>'3'!AB34</f>
        <v>0.46234355490891876</v>
      </c>
      <c r="BS34" s="9">
        <f>'8'!AT31</f>
        <v>0.59153306605404543</v>
      </c>
      <c r="BT34" s="9">
        <f t="shared" si="38"/>
        <v>0.45550770620742531</v>
      </c>
      <c r="BU34" s="9">
        <f t="shared" si="39"/>
        <v>0.53357793966230316</v>
      </c>
      <c r="BV34" s="9">
        <f>'1'!CU34</f>
        <v>0.53599961616756442</v>
      </c>
      <c r="BW34" s="9">
        <f>'1'!CW34</f>
        <v>0.6183814882192753</v>
      </c>
      <c r="BX34" s="9">
        <f>'2'!CU34</f>
        <v>0.42315713441968528</v>
      </c>
      <c r="BY34" s="9">
        <f>'2'!CW34</f>
        <v>0.57261239575265821</v>
      </c>
      <c r="BZ34" s="9">
        <f>'3'!AE34</f>
        <v>0.57518452083121474</v>
      </c>
      <c r="CA34" s="9">
        <f>'8'!AY31</f>
        <v>0.61972737869565075</v>
      </c>
      <c r="CB34" s="9">
        <f t="shared" si="40"/>
        <v>0.52629470976096682</v>
      </c>
      <c r="CC34" s="9">
        <f t="shared" si="41"/>
        <v>0.60357375422252812</v>
      </c>
      <c r="CD34" s="9">
        <f>'1'!DE34</f>
        <v>0.56183546143676799</v>
      </c>
      <c r="CE34" s="9">
        <f>'1'!DG34</f>
        <v>0.64171725328522589</v>
      </c>
      <c r="CF34" s="9">
        <f>'2'!DE34</f>
        <v>0.34720763513546604</v>
      </c>
      <c r="CG34" s="9">
        <f>'2'!DG34</f>
        <v>0.49438744777848498</v>
      </c>
      <c r="CH34" s="9">
        <f>'3'!AH34</f>
        <v>0.51395296039029437</v>
      </c>
      <c r="CI34" s="9">
        <f>'8'!BD31</f>
        <v>0.60974369887350299</v>
      </c>
      <c r="CJ34" s="9">
        <f t="shared" si="42"/>
        <v>0.50626226514857897</v>
      </c>
      <c r="CK34" s="9">
        <f t="shared" si="43"/>
        <v>0.58194946664573799</v>
      </c>
    </row>
    <row r="35" spans="1:89">
      <c r="A35" s="1">
        <v>1997</v>
      </c>
      <c r="B35" s="9">
        <f>'1'!I35</f>
        <v>0.52409770210052486</v>
      </c>
      <c r="C35" s="9">
        <f>'1'!K35</f>
        <v>0.6074440720427291</v>
      </c>
      <c r="D35" s="9">
        <f>'2'!I35</f>
        <v>0.30185091473476916</v>
      </c>
      <c r="E35" s="9">
        <f>'2'!K35</f>
        <v>0.44188982405547639</v>
      </c>
      <c r="F35" s="9">
        <f>'3'!D35</f>
        <v>0.52192430097487674</v>
      </c>
      <c r="G35" s="9">
        <f>'8'!F32</f>
        <v>0.56279919499675102</v>
      </c>
      <c r="H35" s="9">
        <f t="shared" si="22"/>
        <v>0.46291593727734837</v>
      </c>
      <c r="I35" s="9">
        <f t="shared" si="23"/>
        <v>0.53737769703165217</v>
      </c>
      <c r="J35" s="9">
        <f>'1'!S35</f>
        <v>0.31298798306272024</v>
      </c>
      <c r="K35" s="9">
        <f>'1'!U35</f>
        <v>0.39027430719058248</v>
      </c>
      <c r="L35" s="9">
        <f>'2'!S35</f>
        <v>0.28937920209203533</v>
      </c>
      <c r="M35" s="9">
        <f>'2'!U35</f>
        <v>0.42655190223942346</v>
      </c>
      <c r="N35" s="9">
        <f>'3'!G35</f>
        <v>0.41654095690631732</v>
      </c>
      <c r="O35" s="9">
        <f>'8'!K32</f>
        <v>0.52646947167375102</v>
      </c>
      <c r="P35" s="9">
        <f t="shared" si="24"/>
        <v>0.37627888560950223</v>
      </c>
      <c r="Q35" s="9">
        <f t="shared" si="25"/>
        <v>0.4477652270345856</v>
      </c>
      <c r="R35" s="9">
        <f>'1'!AC35</f>
        <v>0.39906276422322268</v>
      </c>
      <c r="S35" s="9">
        <f>'1'!AE35</f>
        <v>0.48461804542051062</v>
      </c>
      <c r="T35" s="9">
        <f>'2'!AC35</f>
        <v>0.18192223587520631</v>
      </c>
      <c r="U35" s="9">
        <f>'2'!AE35</f>
        <v>0.27352347082747241</v>
      </c>
      <c r="V35" s="9">
        <f>'3'!J35</f>
        <v>0.70131937046937987</v>
      </c>
      <c r="W35" s="9">
        <f>'8'!P32</f>
        <v>0.45044417570070183</v>
      </c>
      <c r="X35" s="9">
        <f t="shared" si="26"/>
        <v>0.34380972526637699</v>
      </c>
      <c r="Y35" s="9">
        <f t="shared" si="27"/>
        <v>0.40286189731622829</v>
      </c>
      <c r="Z35" s="9">
        <f>'1'!AM35</f>
        <v>0.49540636560141593</v>
      </c>
      <c r="AA35" s="9">
        <f>'1'!AO35</f>
        <v>0.58057198916173713</v>
      </c>
      <c r="AB35" s="9">
        <f>'2'!AM35</f>
        <v>0.21656613232070399</v>
      </c>
      <c r="AC35" s="9">
        <f>'2'!AO35</f>
        <v>0.32754577240507782</v>
      </c>
      <c r="AD35" s="9">
        <f>'3'!M35</f>
        <v>0.45299691639277045</v>
      </c>
      <c r="AE35" s="9">
        <f>'8'!U32</f>
        <v>0.50837444691641598</v>
      </c>
      <c r="AF35" s="9">
        <f t="shared" si="28"/>
        <v>0.40678231494617867</v>
      </c>
      <c r="AG35" s="9">
        <f t="shared" si="29"/>
        <v>0.47216406949441031</v>
      </c>
      <c r="AH35" s="9">
        <f>'1'!AW35</f>
        <v>0.3776320805114618</v>
      </c>
      <c r="AI35" s="9">
        <f>'1'!AY35</f>
        <v>0.46195277916845578</v>
      </c>
      <c r="AJ35" s="9">
        <f>'2'!AW35</f>
        <v>0.25870349116934471</v>
      </c>
      <c r="AK35" s="9">
        <f>'2'!AY35</f>
        <v>0.38694428161096811</v>
      </c>
      <c r="AL35" s="9">
        <f>'3'!P35</f>
        <v>0.50505863951229335</v>
      </c>
      <c r="AM35" s="9">
        <f>'8'!Z32</f>
        <v>0.51249717927068839</v>
      </c>
      <c r="AN35" s="9">
        <f t="shared" si="30"/>
        <v>0.38294425031716495</v>
      </c>
      <c r="AO35" s="9">
        <f t="shared" si="31"/>
        <v>0.45379808001670413</v>
      </c>
      <c r="AP35" s="9">
        <f>'1'!BG35</f>
        <v>0.43637490854377176</v>
      </c>
      <c r="AQ35" s="9">
        <f>'1'!BI35</f>
        <v>0.52288640840965583</v>
      </c>
      <c r="AR35" s="9">
        <f>'2'!BG35</f>
        <v>0.29276113138129567</v>
      </c>
      <c r="AS35" s="9">
        <f>'2'!BI35</f>
        <v>0.43075257275779033</v>
      </c>
      <c r="AT35" s="9">
        <f>'3'!S35</f>
        <v>0.47277954792006055</v>
      </c>
      <c r="AU35" s="9">
        <f>'8'!AE32</f>
        <v>0.54261499745484643</v>
      </c>
      <c r="AV35" s="9">
        <f t="shared" si="32"/>
        <v>0.42391701245997132</v>
      </c>
      <c r="AW35" s="9">
        <f t="shared" si="33"/>
        <v>0.49875132620743085</v>
      </c>
      <c r="AX35" s="9">
        <f>'1'!BQ35</f>
        <v>0.58419461992966959</v>
      </c>
      <c r="AY35" s="9">
        <f>'1'!BS35</f>
        <v>0.6614795811277695</v>
      </c>
      <c r="AZ35" s="9">
        <f>'2'!BQ35</f>
        <v>0.2675791276542438</v>
      </c>
      <c r="BA35" s="9">
        <f>'2'!BS35</f>
        <v>0.39869391436511104</v>
      </c>
      <c r="BB35" s="9">
        <f>'3'!V35</f>
        <v>0.59175290896799237</v>
      </c>
      <c r="BC35" s="9">
        <f>'8'!AJ32</f>
        <v>0.55339924682750474</v>
      </c>
      <c r="BD35" s="9">
        <f t="shared" si="34"/>
        <v>0.4683909981371393</v>
      </c>
      <c r="BE35" s="9">
        <f t="shared" si="35"/>
        <v>0.53785758077346169</v>
      </c>
      <c r="BF35" s="9">
        <f>'1'!CA35</f>
        <v>0.48694301949763352</v>
      </c>
      <c r="BG35" s="9">
        <f>'1'!CC35</f>
        <v>0.57250444922922139</v>
      </c>
      <c r="BH35" s="9">
        <f>'2'!CA35</f>
        <v>0.29222782408990738</v>
      </c>
      <c r="BI35" s="9">
        <f>'2'!CC35</f>
        <v>0.43009223622952647</v>
      </c>
      <c r="BJ35" s="9">
        <f>'3'!Y35</f>
        <v>0.56982569542518924</v>
      </c>
      <c r="BK35" s="9">
        <f>'8'!AO32</f>
        <v>0.57279832219417537</v>
      </c>
      <c r="BL35" s="9">
        <f t="shared" si="36"/>
        <v>0.45065638859390544</v>
      </c>
      <c r="BM35" s="9">
        <f t="shared" si="37"/>
        <v>0.52513166921764098</v>
      </c>
      <c r="BN35" s="9">
        <f>'1'!CK35</f>
        <v>0.40754346280351528</v>
      </c>
      <c r="BO35" s="9">
        <f>'1'!CM35</f>
        <v>0.49344642794837229</v>
      </c>
      <c r="BP35" s="9">
        <f>'2'!CK35</f>
        <v>0.40802956252027583</v>
      </c>
      <c r="BQ35" s="9">
        <f>'2'!CM35</f>
        <v>0.55787542420808411</v>
      </c>
      <c r="BR35" s="9">
        <f>'3'!AB35</f>
        <v>0.58067232722745243</v>
      </c>
      <c r="BS35" s="9">
        <f>'8'!AT32</f>
        <v>0.58770582509077951</v>
      </c>
      <c r="BT35" s="9">
        <f t="shared" si="38"/>
        <v>0.46775961680485684</v>
      </c>
      <c r="BU35" s="9">
        <f t="shared" si="39"/>
        <v>0.54634255908241203</v>
      </c>
      <c r="BV35" s="9">
        <f>'1'!CU35</f>
        <v>0.57368774764415209</v>
      </c>
      <c r="BW35" s="9">
        <f>'1'!CW35</f>
        <v>0.6522419330557907</v>
      </c>
      <c r="BX35" s="9">
        <f>'2'!CU35</f>
        <v>0.43353368510349943</v>
      </c>
      <c r="BY35" s="9">
        <f>'2'!CW35</f>
        <v>0.58250220642813555</v>
      </c>
      <c r="BZ35" s="9">
        <f>'3'!AE35</f>
        <v>0.55229385894406235</v>
      </c>
      <c r="CA35" s="9">
        <f>'8'!AY32</f>
        <v>0.61944656978451196</v>
      </c>
      <c r="CB35" s="9">
        <f t="shared" si="40"/>
        <v>0.54222266751072112</v>
      </c>
      <c r="CC35" s="9">
        <f t="shared" si="41"/>
        <v>0.61806356975614607</v>
      </c>
      <c r="CD35" s="9">
        <f>'1'!DE35</f>
        <v>0.58400882809251697</v>
      </c>
      <c r="CE35" s="9">
        <f>'1'!DG35</f>
        <v>0.66131697657352795</v>
      </c>
      <c r="CF35" s="9">
        <f>'2'!DE35</f>
        <v>0.36129966195937352</v>
      </c>
      <c r="CG35" s="9">
        <f>'2'!DG35</f>
        <v>0.50974806900429293</v>
      </c>
      <c r="CH35" s="9">
        <f>'3'!AH35</f>
        <v>0.47343257061401095</v>
      </c>
      <c r="CI35" s="9">
        <f>'8'!BD32</f>
        <v>0.60848724958557066</v>
      </c>
      <c r="CJ35" s="9">
        <f t="shared" si="42"/>
        <v>0.51793191321248699</v>
      </c>
      <c r="CK35" s="9">
        <f t="shared" si="43"/>
        <v>0.59318409838779718</v>
      </c>
    </row>
    <row r="36" spans="1:89">
      <c r="A36" s="1">
        <v>1998</v>
      </c>
      <c r="B36" s="9">
        <f>'1'!I36</f>
        <v>0.55382919037071332</v>
      </c>
      <c r="C36" s="9">
        <f>'1'!K36</f>
        <v>0.63454416504784661</v>
      </c>
      <c r="D36" s="9">
        <f>'2'!I36</f>
        <v>0.30286039128744413</v>
      </c>
      <c r="E36" s="9">
        <f>'2'!K36</f>
        <v>0.44311318343970818</v>
      </c>
      <c r="F36" s="9">
        <f>'3'!D36</f>
        <v>0.51388214754238271</v>
      </c>
      <c r="G36" s="9">
        <f>'8'!F33</f>
        <v>0.56631444600833059</v>
      </c>
      <c r="H36" s="9">
        <f t="shared" si="22"/>
        <v>0.47433467588882933</v>
      </c>
      <c r="I36" s="9">
        <f t="shared" si="23"/>
        <v>0.54799059816529505</v>
      </c>
      <c r="J36" s="9">
        <f>'1'!S36</f>
        <v>0.3676298882097111</v>
      </c>
      <c r="K36" s="9">
        <f>'1'!U36</f>
        <v>0.45119476011941406</v>
      </c>
      <c r="L36" s="9">
        <f>'2'!S36</f>
        <v>0.3075984438103615</v>
      </c>
      <c r="M36" s="9">
        <f>'2'!U36</f>
        <v>0.4488198112276327</v>
      </c>
      <c r="N36" s="9">
        <f>'3'!G36</f>
        <v>0.35710490721493937</v>
      </c>
      <c r="O36" s="9">
        <f>'8'!K33</f>
        <v>0.49442751104606053</v>
      </c>
      <c r="P36" s="9">
        <f t="shared" si="24"/>
        <v>0.38988528102204434</v>
      </c>
      <c r="Q36" s="9">
        <f t="shared" si="25"/>
        <v>0.46481402746436906</v>
      </c>
      <c r="R36" s="9">
        <f>'1'!AC36</f>
        <v>0.41535381927562864</v>
      </c>
      <c r="S36" s="9">
        <f>'1'!AE36</f>
        <v>0.50150817357588329</v>
      </c>
      <c r="T36" s="9">
        <f>'2'!AC36</f>
        <v>0.18587969157102738</v>
      </c>
      <c r="U36" s="9">
        <f>'2'!AE36</f>
        <v>0.27996372934278435</v>
      </c>
      <c r="V36" s="9">
        <f>'3'!J36</f>
        <v>0.74429299956676298</v>
      </c>
      <c r="W36" s="9">
        <f>'8'!P33</f>
        <v>0.45776943603870024</v>
      </c>
      <c r="X36" s="9">
        <f t="shared" si="26"/>
        <v>0.35300098229511878</v>
      </c>
      <c r="Y36" s="9">
        <f t="shared" si="27"/>
        <v>0.41308044631912261</v>
      </c>
      <c r="Z36" s="9">
        <f>'1'!AM36</f>
        <v>0.52222617770002555</v>
      </c>
      <c r="AA36" s="9">
        <f>'1'!AO36</f>
        <v>0.605713202452412</v>
      </c>
      <c r="AB36" s="9">
        <f>'2'!AM36</f>
        <v>0.22278556129178911</v>
      </c>
      <c r="AC36" s="9">
        <f>'2'!AO36</f>
        <v>0.33671754908641482</v>
      </c>
      <c r="AD36" s="9">
        <f>'3'!M36</f>
        <v>0.41713841196504475</v>
      </c>
      <c r="AE36" s="9">
        <f>'8'!U33</f>
        <v>0.51107584277856177</v>
      </c>
      <c r="AF36" s="9">
        <f t="shared" si="28"/>
        <v>0.41869586059012548</v>
      </c>
      <c r="AG36" s="9">
        <f t="shared" si="29"/>
        <v>0.4845021981057962</v>
      </c>
      <c r="AH36" s="9">
        <f>'1'!AW36</f>
        <v>0.41105147910938672</v>
      </c>
      <c r="AI36" s="9">
        <f>'1'!AY36</f>
        <v>0.49707544999915182</v>
      </c>
      <c r="AJ36" s="9">
        <f>'2'!AW36</f>
        <v>0.26684587271975196</v>
      </c>
      <c r="AK36" s="9">
        <f>'2'!AY36</f>
        <v>0.39773247650837679</v>
      </c>
      <c r="AL36" s="9">
        <f>'3'!P36</f>
        <v>0.52108755349613367</v>
      </c>
      <c r="AM36" s="9">
        <f>'8'!Z33</f>
        <v>0.52628654345046377</v>
      </c>
      <c r="AN36" s="9">
        <f t="shared" si="30"/>
        <v>0.4013946317598675</v>
      </c>
      <c r="AO36" s="9">
        <f t="shared" si="31"/>
        <v>0.47369815665266413</v>
      </c>
      <c r="AP36" s="9">
        <f>'1'!BG36</f>
        <v>0.46405455932897854</v>
      </c>
      <c r="AQ36" s="9">
        <f>'1'!BI36</f>
        <v>0.55035246699867446</v>
      </c>
      <c r="AR36" s="9">
        <f>'2'!BG36</f>
        <v>0.29778306670670068</v>
      </c>
      <c r="AS36" s="9">
        <f>'2'!BI36</f>
        <v>0.43693294830357904</v>
      </c>
      <c r="AT36" s="9">
        <f>'3'!S36</f>
        <v>0.51405399737165869</v>
      </c>
      <c r="AU36" s="9">
        <f>'8'!AE33</f>
        <v>0.56627056965767741</v>
      </c>
      <c r="AV36" s="9">
        <f t="shared" si="32"/>
        <v>0.44270273189778547</v>
      </c>
      <c r="AW36" s="9">
        <f t="shared" si="33"/>
        <v>0.51785199498664358</v>
      </c>
      <c r="AX36" s="9">
        <f>'1'!BQ36</f>
        <v>0.61761527515092574</v>
      </c>
      <c r="AY36" s="9">
        <f>'1'!BS36</f>
        <v>0.69030464259066793</v>
      </c>
      <c r="AZ36" s="9">
        <f>'2'!BQ36</f>
        <v>0.26934092976383051</v>
      </c>
      <c r="BA36" s="9">
        <f>'2'!BS36</f>
        <v>0.40099727653848394</v>
      </c>
      <c r="BB36" s="9">
        <f>'3'!V36</f>
        <v>0.59687182615392664</v>
      </c>
      <c r="BC36" s="9">
        <f>'8'!AJ33</f>
        <v>0.554258491625782</v>
      </c>
      <c r="BD36" s="9">
        <f t="shared" si="34"/>
        <v>0.48040489884684606</v>
      </c>
      <c r="BE36" s="9">
        <f t="shared" si="35"/>
        <v>0.54852013691831136</v>
      </c>
      <c r="BF36" s="9">
        <f>'1'!CA36</f>
        <v>0.50160515315104226</v>
      </c>
      <c r="BG36" s="9">
        <f>'1'!CC36</f>
        <v>0.5864395913609658</v>
      </c>
      <c r="BH36" s="9">
        <f>'2'!CA36</f>
        <v>0.29460233054373774</v>
      </c>
      <c r="BI36" s="9">
        <f>'2'!CC36</f>
        <v>0.43302638775387681</v>
      </c>
      <c r="BJ36" s="9">
        <f>'3'!Y36</f>
        <v>0.51948056494683947</v>
      </c>
      <c r="BK36" s="9">
        <f>'8'!AO33</f>
        <v>0.60376125618948739</v>
      </c>
      <c r="BL36" s="9">
        <f t="shared" si="36"/>
        <v>0.46665624662808919</v>
      </c>
      <c r="BM36" s="9">
        <f t="shared" si="37"/>
        <v>0.5410757451014433</v>
      </c>
      <c r="BN36" s="9">
        <f>'1'!CK36</f>
        <v>0.43038322958225916</v>
      </c>
      <c r="BO36" s="9">
        <f>'1'!CM36</f>
        <v>0.51683965844058699</v>
      </c>
      <c r="BP36" s="9">
        <f>'2'!CK36</f>
        <v>0.3964654452790094</v>
      </c>
      <c r="BQ36" s="9">
        <f>'2'!CM36</f>
        <v>0.54634351029353634</v>
      </c>
      <c r="BR36" s="9">
        <f>'3'!AB36</f>
        <v>0.48472140096128324</v>
      </c>
      <c r="BS36" s="9">
        <f>'8'!AT33</f>
        <v>0.63910218981792299</v>
      </c>
      <c r="BT36" s="9">
        <f t="shared" si="38"/>
        <v>0.48865028822639722</v>
      </c>
      <c r="BU36" s="9">
        <f t="shared" si="39"/>
        <v>0.56742845285068211</v>
      </c>
      <c r="BV36" s="9">
        <f>'1'!CU36</f>
        <v>0.60505800788423514</v>
      </c>
      <c r="BW36" s="9">
        <f>'1'!CW36</f>
        <v>0.67957193585016906</v>
      </c>
      <c r="BX36" s="9">
        <f>'2'!CU36</f>
        <v>0.40115014012401523</v>
      </c>
      <c r="BY36" s="9">
        <f>'2'!CW36</f>
        <v>0.55104369559046251</v>
      </c>
      <c r="BZ36" s="9">
        <f>'3'!AE36</f>
        <v>0.51925792409373972</v>
      </c>
      <c r="CA36" s="9">
        <f>'8'!AY33</f>
        <v>0.64091865863076258</v>
      </c>
      <c r="CB36" s="9">
        <f t="shared" si="40"/>
        <v>0.549042268879671</v>
      </c>
      <c r="CC36" s="9">
        <f t="shared" si="41"/>
        <v>0.62384476335713135</v>
      </c>
      <c r="CD36" s="9">
        <f>'1'!DE36</f>
        <v>0.61579884007801267</v>
      </c>
      <c r="CE36" s="9">
        <f>'1'!DG36</f>
        <v>0.68875928824316535</v>
      </c>
      <c r="CF36" s="9">
        <f>'2'!DE36</f>
        <v>0.36934787131137803</v>
      </c>
      <c r="CG36" s="9">
        <f>'2'!DG36</f>
        <v>0.51833612498364889</v>
      </c>
      <c r="CH36" s="9">
        <f>'3'!AH36</f>
        <v>0.41092854669338014</v>
      </c>
      <c r="CI36" s="9">
        <f>'8'!BD33</f>
        <v>0.55879161033963654</v>
      </c>
      <c r="CJ36" s="9">
        <f t="shared" si="42"/>
        <v>0.51464610724300908</v>
      </c>
      <c r="CK36" s="9">
        <f t="shared" si="43"/>
        <v>0.58862900785548355</v>
      </c>
    </row>
    <row r="37" spans="1:89">
      <c r="A37" s="1">
        <v>1999</v>
      </c>
      <c r="B37" s="9">
        <f>'1'!I37</f>
        <v>0.57870379700417096</v>
      </c>
      <c r="C37" s="9">
        <f>'1'!K37</f>
        <v>0.65666276223548392</v>
      </c>
      <c r="D37" s="9">
        <f>'2'!I37</f>
        <v>0.32161106042480536</v>
      </c>
      <c r="E37" s="9">
        <f>'2'!K37</f>
        <v>0.46536574007449821</v>
      </c>
      <c r="F37" s="9">
        <f>'3'!D37</f>
        <v>0.50846554511032127</v>
      </c>
      <c r="G37" s="9">
        <f>'8'!F34</f>
        <v>0.57033085877621292</v>
      </c>
      <c r="H37" s="9">
        <f t="shared" si="22"/>
        <v>0.49021523873506306</v>
      </c>
      <c r="I37" s="9">
        <f t="shared" si="23"/>
        <v>0.56411978702873167</v>
      </c>
      <c r="J37" s="9">
        <f>'1'!S37</f>
        <v>0.4133066520219208</v>
      </c>
      <c r="K37" s="9">
        <f>'1'!U37</f>
        <v>0.49940143260552117</v>
      </c>
      <c r="L37" s="9">
        <f>'2'!S37</f>
        <v>0.35546528639434349</v>
      </c>
      <c r="M37" s="9">
        <f>'2'!U37</f>
        <v>0.50343929315893721</v>
      </c>
      <c r="N37" s="9">
        <f>'3'!G37</f>
        <v>0.29417997146002983</v>
      </c>
      <c r="O37" s="9">
        <f>'8'!K34</f>
        <v>0.50486892942479578</v>
      </c>
      <c r="P37" s="9">
        <f t="shared" si="24"/>
        <v>0.42454695594702008</v>
      </c>
      <c r="Q37" s="9">
        <f t="shared" si="25"/>
        <v>0.50256988506308475</v>
      </c>
      <c r="R37" s="9">
        <f>'1'!AC37</f>
        <v>0.46549630466318914</v>
      </c>
      <c r="S37" s="9">
        <f>'1'!AE37</f>
        <v>0.55176249230556451</v>
      </c>
      <c r="T37" s="9">
        <f>'2'!AC37</f>
        <v>0.19462809022624322</v>
      </c>
      <c r="U37" s="9">
        <f>'2'!AE37</f>
        <v>0.29394415848413524</v>
      </c>
      <c r="V37" s="9">
        <f>'3'!J37</f>
        <v>0.55400788436464887</v>
      </c>
      <c r="W37" s="9">
        <f>'8'!P34</f>
        <v>0.45007923326342253</v>
      </c>
      <c r="X37" s="9">
        <f t="shared" si="26"/>
        <v>0.37006787605095165</v>
      </c>
      <c r="Y37" s="9">
        <f t="shared" si="27"/>
        <v>0.43192862801770743</v>
      </c>
      <c r="Z37" s="9">
        <f>'1'!AM37</f>
        <v>0.56241420575957657</v>
      </c>
      <c r="AA37" s="9">
        <f>'1'!AO37</f>
        <v>0.64223376826457823</v>
      </c>
      <c r="AB37" s="9">
        <f>'2'!AM37</f>
        <v>0.22970007146667343</v>
      </c>
      <c r="AC37" s="9">
        <f>'2'!AO37</f>
        <v>0.34674175403445234</v>
      </c>
      <c r="AD37" s="9">
        <f>'3'!M37</f>
        <v>0.46894472368148532</v>
      </c>
      <c r="AE37" s="9">
        <f>'8'!U34</f>
        <v>0.57628755763399309</v>
      </c>
      <c r="AF37" s="9">
        <f t="shared" si="28"/>
        <v>0.45613394495341436</v>
      </c>
      <c r="AG37" s="9">
        <f t="shared" si="29"/>
        <v>0.5217543599776745</v>
      </c>
      <c r="AH37" s="9">
        <f>'1'!AW37</f>
        <v>0.45169032682381477</v>
      </c>
      <c r="AI37" s="9">
        <f>'1'!AY37</f>
        <v>0.53817738189694364</v>
      </c>
      <c r="AJ37" s="9">
        <f>'2'!AW37</f>
        <v>0.28011198509709245</v>
      </c>
      <c r="AK37" s="9">
        <f>'2'!AY37</f>
        <v>0.41487769144639858</v>
      </c>
      <c r="AL37" s="9">
        <f>'3'!P37</f>
        <v>0.51328009062633184</v>
      </c>
      <c r="AM37" s="9">
        <f>'8'!Z34</f>
        <v>0.51798825550025662</v>
      </c>
      <c r="AN37" s="9">
        <f t="shared" si="30"/>
        <v>0.41659685580705458</v>
      </c>
      <c r="AO37" s="9">
        <f t="shared" si="31"/>
        <v>0.49034777628119963</v>
      </c>
      <c r="AP37" s="9">
        <f>'1'!BG37</f>
        <v>0.48723200500675606</v>
      </c>
      <c r="AQ37" s="9">
        <f>'1'!BI37</f>
        <v>0.57278100268078125</v>
      </c>
      <c r="AR37" s="9">
        <f>'2'!BG37</f>
        <v>0.30800298892170802</v>
      </c>
      <c r="AS37" s="9">
        <f>'2'!BI37</f>
        <v>0.4493043822477249</v>
      </c>
      <c r="AT37" s="9">
        <f>'3'!S37</f>
        <v>0.54764451844164452</v>
      </c>
      <c r="AU37" s="9">
        <f>'8'!AE34</f>
        <v>0.56863694137594634</v>
      </c>
      <c r="AV37" s="9">
        <f t="shared" si="32"/>
        <v>0.45462397843480346</v>
      </c>
      <c r="AW37" s="9">
        <f t="shared" si="33"/>
        <v>0.5302407754348174</v>
      </c>
      <c r="AX37" s="9">
        <f>'1'!BQ37</f>
        <v>0.64566743464818133</v>
      </c>
      <c r="AY37" s="9">
        <f>'1'!BS37</f>
        <v>0.71387011357934815</v>
      </c>
      <c r="AZ37" s="9">
        <f>'2'!BQ37</f>
        <v>0.28106565278443429</v>
      </c>
      <c r="BA37" s="9">
        <f>'2'!BS37</f>
        <v>0.41609030735225883</v>
      </c>
      <c r="BB37" s="9">
        <f>'3'!V37</f>
        <v>0.56094066979968427</v>
      </c>
      <c r="BC37" s="9">
        <f>'8'!AJ34</f>
        <v>0.56267555644556888</v>
      </c>
      <c r="BD37" s="9">
        <f t="shared" si="34"/>
        <v>0.49646954795939485</v>
      </c>
      <c r="BE37" s="9">
        <f t="shared" si="35"/>
        <v>0.56421199245905862</v>
      </c>
      <c r="BF37" s="9">
        <f>'1'!CA37</f>
        <v>0.5268606498470787</v>
      </c>
      <c r="BG37" s="9">
        <f>'1'!CC37</f>
        <v>0.60999387062791222</v>
      </c>
      <c r="BH37" s="9">
        <f>'2'!CA37</f>
        <v>0.30426274544837378</v>
      </c>
      <c r="BI37" s="9">
        <f>'2'!CC37</f>
        <v>0.44480825621729708</v>
      </c>
      <c r="BJ37" s="9">
        <f>'3'!Y37</f>
        <v>0.47704794118096033</v>
      </c>
      <c r="BK37" s="9">
        <f>'8'!AO34</f>
        <v>0.55423718859588789</v>
      </c>
      <c r="BL37" s="9">
        <f t="shared" si="36"/>
        <v>0.46178686129711344</v>
      </c>
      <c r="BM37" s="9">
        <f t="shared" si="37"/>
        <v>0.53634643848036567</v>
      </c>
      <c r="BN37" s="9">
        <f>'1'!CK37</f>
        <v>0.44570382870967756</v>
      </c>
      <c r="BO37" s="9">
        <f>'1'!CM37</f>
        <v>0.53222842306246443</v>
      </c>
      <c r="BP37" s="9">
        <f>'2'!CK37</f>
        <v>0.43376404841294114</v>
      </c>
      <c r="BQ37" s="9">
        <f>'2'!CM37</f>
        <v>0.58271980216446551</v>
      </c>
      <c r="BR37" s="9">
        <f>'3'!AB37</f>
        <v>0.54691185781896579</v>
      </c>
      <c r="BS37" s="9">
        <f>'8'!AT34</f>
        <v>0.61130209045433137</v>
      </c>
      <c r="BT37" s="9">
        <f t="shared" si="38"/>
        <v>0.49692332252565002</v>
      </c>
      <c r="BU37" s="9">
        <f t="shared" si="39"/>
        <v>0.57541677189375384</v>
      </c>
      <c r="BV37" s="9">
        <f>'1'!CU37</f>
        <v>0.62148496077463289</v>
      </c>
      <c r="BW37" s="9">
        <f>'1'!CW37</f>
        <v>0.69358883188620124</v>
      </c>
      <c r="BX37" s="9">
        <f>'2'!CU37</f>
        <v>0.48247866513571297</v>
      </c>
      <c r="BY37" s="9">
        <f>'2'!CW37</f>
        <v>0.62694018085242942</v>
      </c>
      <c r="BZ37" s="9">
        <f>'3'!AE37</f>
        <v>0.56297404581095867</v>
      </c>
      <c r="CA37" s="9">
        <f>'8'!AY34</f>
        <v>0.64008680591641787</v>
      </c>
      <c r="CB37" s="9">
        <f t="shared" si="40"/>
        <v>0.58135014394225459</v>
      </c>
      <c r="CC37" s="9">
        <f t="shared" si="41"/>
        <v>0.65353860621834947</v>
      </c>
      <c r="CD37" s="9">
        <f>'1'!DE37</f>
        <v>0.63710844007810286</v>
      </c>
      <c r="CE37" s="9">
        <f>'1'!DG37</f>
        <v>0.7067391225024624</v>
      </c>
      <c r="CF37" s="9">
        <f>'2'!DE37</f>
        <v>0.38172764205768306</v>
      </c>
      <c r="CG37" s="9">
        <f>'2'!DG37</f>
        <v>0.53129541497825494</v>
      </c>
      <c r="CH37" s="9">
        <f>'3'!AH37</f>
        <v>0.37930919750538505</v>
      </c>
      <c r="CI37" s="9">
        <f>'8'!BD34</f>
        <v>0.57089648141486704</v>
      </c>
      <c r="CJ37" s="9">
        <f t="shared" si="42"/>
        <v>0.52991085451688436</v>
      </c>
      <c r="CK37" s="9">
        <f t="shared" si="43"/>
        <v>0.60297700629852813</v>
      </c>
    </row>
    <row r="38" spans="1:89">
      <c r="A38" s="1">
        <v>2000</v>
      </c>
      <c r="B38" s="9">
        <f>'1'!I38</f>
        <v>0.60769764491524347</v>
      </c>
      <c r="C38" s="9">
        <f>'1'!K38</f>
        <v>0.6818376801695516</v>
      </c>
      <c r="D38" s="9">
        <f>'2'!I38</f>
        <v>0.35005266596543333</v>
      </c>
      <c r="E38" s="9">
        <f>'2'!K38</f>
        <v>0.49752258627761098</v>
      </c>
      <c r="F38" s="9">
        <f>'3'!D38</f>
        <v>0.50214776087536384</v>
      </c>
      <c r="G38" s="9">
        <f>'8'!F35</f>
        <v>0.57886134779821263</v>
      </c>
      <c r="H38" s="9">
        <f t="shared" si="22"/>
        <v>0.51220388622629642</v>
      </c>
      <c r="I38" s="9">
        <f t="shared" si="23"/>
        <v>0.58607387141512512</v>
      </c>
      <c r="J38" s="9">
        <f>'1'!S38</f>
        <v>0.44040329454067229</v>
      </c>
      <c r="K38" s="9">
        <f>'1'!U38</f>
        <v>0.52693122937461123</v>
      </c>
      <c r="L38" s="9">
        <f>'2'!S38</f>
        <v>0.43606835142159517</v>
      </c>
      <c r="M38" s="9">
        <f>'2'!U38</f>
        <v>0.58489177075219223</v>
      </c>
      <c r="N38" s="9">
        <f>'3'!G38</f>
        <v>0.31700490501070799</v>
      </c>
      <c r="O38" s="9">
        <f>'8'!K35</f>
        <v>0.47377308533973922</v>
      </c>
      <c r="P38" s="9">
        <f t="shared" si="24"/>
        <v>0.45008157710066893</v>
      </c>
      <c r="Q38" s="9">
        <f t="shared" si="25"/>
        <v>0.52853202848884762</v>
      </c>
      <c r="R38" s="9">
        <f>'1'!AC38</f>
        <v>0.4783148072775002</v>
      </c>
      <c r="S38" s="9">
        <f>'1'!AE38</f>
        <v>0.56421175836789161</v>
      </c>
      <c r="T38" s="9">
        <f>'2'!AC38</f>
        <v>0.20264730453669488</v>
      </c>
      <c r="U38" s="9">
        <f>'2'!AE38</f>
        <v>0.30646094168125831</v>
      </c>
      <c r="V38" s="9">
        <f>'3'!J38</f>
        <v>0.53867965100765636</v>
      </c>
      <c r="W38" s="9">
        <f>'8'!P35</f>
        <v>0.49744249684194863</v>
      </c>
      <c r="X38" s="9">
        <f t="shared" si="26"/>
        <v>0.39280153621871455</v>
      </c>
      <c r="Y38" s="9">
        <f t="shared" si="27"/>
        <v>0.45603839896369952</v>
      </c>
      <c r="Z38" s="9">
        <f>'1'!AM38</f>
        <v>0.58290400183654201</v>
      </c>
      <c r="AA38" s="9">
        <f>'1'!AO38</f>
        <v>0.66034948533580207</v>
      </c>
      <c r="AB38" s="9">
        <f>'2'!AM38</f>
        <v>0.26186311179892163</v>
      </c>
      <c r="AC38" s="9">
        <f>'2'!AO38</f>
        <v>0.39115521204958803</v>
      </c>
      <c r="AD38" s="9">
        <f>'3'!M38</f>
        <v>0.4826130928988871</v>
      </c>
      <c r="AE38" s="9">
        <f>'8'!U35</f>
        <v>0.54337917554704263</v>
      </c>
      <c r="AF38" s="9">
        <f t="shared" si="28"/>
        <v>0.46271542972750207</v>
      </c>
      <c r="AG38" s="9">
        <f t="shared" si="29"/>
        <v>0.53162795764414428</v>
      </c>
      <c r="AH38" s="9">
        <f>'1'!AW38</f>
        <v>0.46761771480012659</v>
      </c>
      <c r="AI38" s="9">
        <f>'1'!AY38</f>
        <v>0.55383359728220838</v>
      </c>
      <c r="AJ38" s="9">
        <f>'2'!AW38</f>
        <v>0.28951855379795449</v>
      </c>
      <c r="AK38" s="9">
        <f>'2'!AY38</f>
        <v>0.42672561135530873</v>
      </c>
      <c r="AL38" s="9">
        <f>'3'!P38</f>
        <v>0.53234695026410461</v>
      </c>
      <c r="AM38" s="9">
        <f>'8'!Z35</f>
        <v>0.53454163211248873</v>
      </c>
      <c r="AN38" s="9">
        <f t="shared" si="30"/>
        <v>0.43055930023685662</v>
      </c>
      <c r="AO38" s="9">
        <f t="shared" si="31"/>
        <v>0.50503361358333532</v>
      </c>
      <c r="AP38" s="9">
        <f>'1'!BG38</f>
        <v>0.51893058272233095</v>
      </c>
      <c r="AQ38" s="9">
        <f>'1'!BI38</f>
        <v>0.60265793924214173</v>
      </c>
      <c r="AR38" s="9">
        <f>'2'!BG38</f>
        <v>0.31609377067851258</v>
      </c>
      <c r="AS38" s="9">
        <f>'2'!BI38</f>
        <v>0.45890898159538296</v>
      </c>
      <c r="AT38" s="9">
        <f>'3'!S38</f>
        <v>0.49279288395279519</v>
      </c>
      <c r="AU38" s="9">
        <f>'8'!AE35</f>
        <v>0.57332468600192721</v>
      </c>
      <c r="AV38" s="9">
        <f t="shared" si="32"/>
        <v>0.46944967980092356</v>
      </c>
      <c r="AW38" s="9">
        <f t="shared" si="33"/>
        <v>0.54496386894648396</v>
      </c>
      <c r="AX38" s="9">
        <f>'1'!BQ38</f>
        <v>0.67084626602538422</v>
      </c>
      <c r="AY38" s="9">
        <f>'1'!BS38</f>
        <v>0.73455609375436293</v>
      </c>
      <c r="AZ38" s="9">
        <f>'2'!BQ38</f>
        <v>0.29166660330602429</v>
      </c>
      <c r="BA38" s="9">
        <f>'2'!BS38</f>
        <v>0.42939649897209059</v>
      </c>
      <c r="BB38" s="9">
        <f>'3'!V38</f>
        <v>0.58537622844875314</v>
      </c>
      <c r="BC38" s="9">
        <f>'8'!AJ35</f>
        <v>0.57131808333860501</v>
      </c>
      <c r="BD38" s="9">
        <f t="shared" si="34"/>
        <v>0.51127698422333789</v>
      </c>
      <c r="BE38" s="9">
        <f t="shared" si="35"/>
        <v>0.57842355868835282</v>
      </c>
      <c r="BF38" s="9">
        <f>'1'!CA38</f>
        <v>0.54173693135950862</v>
      </c>
      <c r="BG38" s="9">
        <f>'1'!CC38</f>
        <v>0.62361116487932555</v>
      </c>
      <c r="BH38" s="9">
        <f>'2'!CA38</f>
        <v>0.31516512868186242</v>
      </c>
      <c r="BI38" s="9">
        <f>'2'!CC38</f>
        <v>0.45781488533294334</v>
      </c>
      <c r="BJ38" s="9">
        <f>'3'!Y38</f>
        <v>0.4876973796521773</v>
      </c>
      <c r="BK38" s="9">
        <f>'8'!AO35</f>
        <v>0.56775842075651128</v>
      </c>
      <c r="BL38" s="9">
        <f t="shared" si="36"/>
        <v>0.4748868269326274</v>
      </c>
      <c r="BM38" s="9">
        <f t="shared" si="37"/>
        <v>0.54972815698959343</v>
      </c>
      <c r="BN38" s="9">
        <f>'1'!CK38</f>
        <v>0.46776011599062156</v>
      </c>
      <c r="BO38" s="9">
        <f>'1'!CM38</f>
        <v>0.55397246719325099</v>
      </c>
      <c r="BP38" s="9">
        <f>'2'!CK38</f>
        <v>0.49016243808522564</v>
      </c>
      <c r="BQ38" s="9">
        <f>'2'!CM38</f>
        <v>0.63360815548666161</v>
      </c>
      <c r="BR38" s="9">
        <f>'3'!AB38</f>
        <v>0.4202178617119271</v>
      </c>
      <c r="BS38" s="9">
        <f>'8'!AT35</f>
        <v>0.59259162850887204</v>
      </c>
      <c r="BT38" s="9">
        <f t="shared" si="38"/>
        <v>0.51683806086157302</v>
      </c>
      <c r="BU38" s="9">
        <f t="shared" si="39"/>
        <v>0.59339075039626155</v>
      </c>
      <c r="BV38" s="9">
        <f>'1'!CU38</f>
        <v>0.65856412862737246</v>
      </c>
      <c r="BW38" s="9">
        <f>'1'!CW38</f>
        <v>0.72451934666710782</v>
      </c>
      <c r="BX38" s="9">
        <f>'2'!CU38</f>
        <v>0.60823375030767857</v>
      </c>
      <c r="BY38" s="9">
        <f>'2'!CW38</f>
        <v>0.72722117398452579</v>
      </c>
      <c r="BZ38" s="9">
        <f>'3'!AE38</f>
        <v>0.58082201657562027</v>
      </c>
      <c r="CA38" s="9">
        <f>'8'!AY35</f>
        <v>0.63609782744343235</v>
      </c>
      <c r="CB38" s="9">
        <f t="shared" si="40"/>
        <v>0.63429856879282775</v>
      </c>
      <c r="CC38" s="9">
        <f t="shared" si="41"/>
        <v>0.69594611603168877</v>
      </c>
      <c r="CD38" s="9">
        <f>'1'!DE38</f>
        <v>0.66790133193502976</v>
      </c>
      <c r="CE38" s="9">
        <f>'1'!DG38</f>
        <v>0.73215877008868846</v>
      </c>
      <c r="CF38" s="9">
        <f>'2'!DE38</f>
        <v>0.40643735320748853</v>
      </c>
      <c r="CG38" s="9">
        <f>'2'!DG38</f>
        <v>0.55630161999149141</v>
      </c>
      <c r="CH38" s="9">
        <f>'3'!AH38</f>
        <v>0.37611648631347033</v>
      </c>
      <c r="CI38" s="9">
        <f>'8'!BD35</f>
        <v>0.60704245861753581</v>
      </c>
      <c r="CJ38" s="9">
        <f t="shared" si="42"/>
        <v>0.5604603812533514</v>
      </c>
      <c r="CK38" s="9">
        <f t="shared" si="43"/>
        <v>0.6318342828992386</v>
      </c>
    </row>
    <row r="39" spans="1:89">
      <c r="A39" s="1">
        <v>2001</v>
      </c>
      <c r="B39" s="9">
        <f>'1'!I39</f>
        <v>0.62648184541481788</v>
      </c>
      <c r="C39" s="9">
        <f>'1'!K39</f>
        <v>0.69781367427793883</v>
      </c>
      <c r="D39" s="9">
        <f>'2'!I39</f>
        <v>0.34979103379749987</v>
      </c>
      <c r="E39" s="9">
        <f>'2'!K39</f>
        <v>0.49723500426215467</v>
      </c>
      <c r="F39" s="9">
        <f>'3'!D39</f>
        <v>0.51107598404402743</v>
      </c>
      <c r="G39" s="9">
        <f>'8'!F36</f>
        <v>0.55139674317838749</v>
      </c>
      <c r="H39" s="9">
        <f t="shared" si="22"/>
        <v>0.50922320746356842</v>
      </c>
      <c r="I39" s="9">
        <f t="shared" si="23"/>
        <v>0.58214847390616031</v>
      </c>
      <c r="J39" s="9">
        <f>'1'!S39</f>
        <v>0.4825548466815337</v>
      </c>
      <c r="K39" s="9">
        <f>'1'!U39</f>
        <v>0.56829556717051466</v>
      </c>
      <c r="L39" s="9">
        <f>'2'!S39</f>
        <v>0.42286743197028021</v>
      </c>
      <c r="M39" s="9">
        <f>'2'!U39</f>
        <v>0.57233377094208504</v>
      </c>
      <c r="N39" s="9">
        <f>'3'!G39</f>
        <v>0.41124604988384045</v>
      </c>
      <c r="O39" s="9">
        <f>'8'!K36</f>
        <v>0.49950470879844366</v>
      </c>
      <c r="P39" s="9">
        <f t="shared" si="24"/>
        <v>0.46830899581675256</v>
      </c>
      <c r="Q39" s="9">
        <f t="shared" si="25"/>
        <v>0.54671134897034779</v>
      </c>
      <c r="R39" s="9">
        <f>'1'!AC39</f>
        <v>0.51415455480124672</v>
      </c>
      <c r="S39" s="9">
        <f>'1'!AE39</f>
        <v>0.59821346276257581</v>
      </c>
      <c r="T39" s="9">
        <f>'2'!AC39</f>
        <v>0.21425197494443562</v>
      </c>
      <c r="U39" s="9">
        <f>'2'!AE39</f>
        <v>0.32409453366376284</v>
      </c>
      <c r="V39" s="9">
        <f>'3'!J39</f>
        <v>0.57684878294837461</v>
      </c>
      <c r="W39" s="9">
        <f>'8'!P36</f>
        <v>0.43163235365441127</v>
      </c>
      <c r="X39" s="9">
        <f t="shared" si="26"/>
        <v>0.38667962780003123</v>
      </c>
      <c r="Y39" s="9">
        <f t="shared" si="27"/>
        <v>0.45131345002691664</v>
      </c>
      <c r="Z39" s="9">
        <f>'1'!AM39</f>
        <v>0.60626015081086526</v>
      </c>
      <c r="AA39" s="9">
        <f>'1'!AO39</f>
        <v>0.68060444142412546</v>
      </c>
      <c r="AB39" s="9">
        <f>'2'!AM39</f>
        <v>0.26322769278266067</v>
      </c>
      <c r="AC39" s="9">
        <f>'2'!AO39</f>
        <v>0.39296412804427089</v>
      </c>
      <c r="AD39" s="9">
        <f>'3'!M39</f>
        <v>0.4669450335986845</v>
      </c>
      <c r="AE39" s="9">
        <f>'8'!U36</f>
        <v>0.51603940494434264</v>
      </c>
      <c r="AF39" s="9">
        <f t="shared" si="28"/>
        <v>0.46184241617928956</v>
      </c>
      <c r="AG39" s="9">
        <f t="shared" si="29"/>
        <v>0.52986932480424631</v>
      </c>
      <c r="AH39" s="9">
        <f>'1'!AW39</f>
        <v>0.47658532289306299</v>
      </c>
      <c r="AI39" s="9">
        <f>'1'!AY39</f>
        <v>0.56254116753769612</v>
      </c>
      <c r="AJ39" s="9">
        <f>'2'!AW39</f>
        <v>0.294099573542283</v>
      </c>
      <c r="AK39" s="9">
        <f>'2'!AY39</f>
        <v>0.43240641294352056</v>
      </c>
      <c r="AL39" s="9">
        <f>'3'!P39</f>
        <v>0.52521390914088895</v>
      </c>
      <c r="AM39" s="9">
        <f>'8'!Z36</f>
        <v>0.47329947601938116</v>
      </c>
      <c r="AN39" s="9">
        <f t="shared" si="30"/>
        <v>0.41466145748490907</v>
      </c>
      <c r="AO39" s="9">
        <f t="shared" si="31"/>
        <v>0.48941568550019926</v>
      </c>
      <c r="AP39" s="9">
        <f>'1'!BG39</f>
        <v>0.54265827780181919</v>
      </c>
      <c r="AQ39" s="9">
        <f>'1'!BI39</f>
        <v>0.62444843112975701</v>
      </c>
      <c r="AR39" s="9">
        <f>'2'!BG39</f>
        <v>0.32139137955585945</v>
      </c>
      <c r="AS39" s="9">
        <f>'2'!BI39</f>
        <v>0.46511006493250978</v>
      </c>
      <c r="AT39" s="9">
        <f>'3'!S39</f>
        <v>0.51484303698776857</v>
      </c>
      <c r="AU39" s="9">
        <f>'8'!AE36</f>
        <v>0.55909850511304449</v>
      </c>
      <c r="AV39" s="9">
        <f t="shared" si="32"/>
        <v>0.4743827208235743</v>
      </c>
      <c r="AW39" s="9">
        <f t="shared" si="33"/>
        <v>0.54955233372510381</v>
      </c>
      <c r="AX39" s="9">
        <f>'1'!BQ39</f>
        <v>0.68598462591857168</v>
      </c>
      <c r="AY39" s="9">
        <f>'1'!BS39</f>
        <v>0.7467890011563646</v>
      </c>
      <c r="AZ39" s="9">
        <f>'2'!BQ39</f>
        <v>0.29470094381073564</v>
      </c>
      <c r="BA39" s="9">
        <f>'2'!BS39</f>
        <v>0.43314791255453744</v>
      </c>
      <c r="BB39" s="9">
        <f>'3'!V39</f>
        <v>0.59613962738130466</v>
      </c>
      <c r="BC39" s="9">
        <f>'8'!AJ36</f>
        <v>0.53995233333456505</v>
      </c>
      <c r="BD39" s="9">
        <f t="shared" si="34"/>
        <v>0.50687930102129075</v>
      </c>
      <c r="BE39" s="9">
        <f t="shared" si="35"/>
        <v>0.57329641568182244</v>
      </c>
      <c r="BF39" s="9">
        <f>'1'!CA39</f>
        <v>0.56740661016170135</v>
      </c>
      <c r="BG39" s="9">
        <f>'1'!CC39</f>
        <v>0.64667825176523031</v>
      </c>
      <c r="BH39" s="9">
        <f>'2'!CA39</f>
        <v>0.31561857671371757</v>
      </c>
      <c r="BI39" s="9">
        <f>'2'!CC39</f>
        <v>0.45834938926288138</v>
      </c>
      <c r="BJ39" s="9">
        <f>'3'!Y39</f>
        <v>0.54659327697837279</v>
      </c>
      <c r="BK39" s="9">
        <f>'8'!AO36</f>
        <v>0.52786819158789489</v>
      </c>
      <c r="BL39" s="9">
        <f t="shared" si="36"/>
        <v>0.47029779282110457</v>
      </c>
      <c r="BM39" s="9">
        <f t="shared" si="37"/>
        <v>0.54429861087200215</v>
      </c>
      <c r="BN39" s="9">
        <f>'1'!CK39</f>
        <v>0.50243188642159942</v>
      </c>
      <c r="BO39" s="9">
        <f>'1'!CM39</f>
        <v>0.58721954188220093</v>
      </c>
      <c r="BP39" s="9">
        <f>'2'!CK39</f>
        <v>0.46786132598999519</v>
      </c>
      <c r="BQ39" s="9">
        <f>'2'!CM39</f>
        <v>0.61403272052735769</v>
      </c>
      <c r="BR39" s="9">
        <f>'3'!AB39</f>
        <v>0.50956411580239591</v>
      </c>
      <c r="BS39" s="9">
        <f>'8'!AT36</f>
        <v>0.56803531723160205</v>
      </c>
      <c r="BT39" s="9">
        <f t="shared" si="38"/>
        <v>0.51277617654773222</v>
      </c>
      <c r="BU39" s="9">
        <f t="shared" si="39"/>
        <v>0.58976252654705352</v>
      </c>
      <c r="BV39" s="9">
        <f>'1'!CU39</f>
        <v>0.68439814576899927</v>
      </c>
      <c r="BW39" s="9">
        <f>'1'!CW39</f>
        <v>0.74551405090090772</v>
      </c>
      <c r="BX39" s="9">
        <f>'2'!CU39</f>
        <v>0.5773731881112002</v>
      </c>
      <c r="BY39" s="9">
        <f>'2'!CW39</f>
        <v>0.70421748388006</v>
      </c>
      <c r="BZ39" s="9">
        <f>'3'!AE39</f>
        <v>0.59874778619040558</v>
      </c>
      <c r="CA39" s="9">
        <f>'8'!AY36</f>
        <v>0.62609709007118308</v>
      </c>
      <c r="CB39" s="9">
        <f t="shared" si="40"/>
        <v>0.62928947465046081</v>
      </c>
      <c r="CC39" s="9">
        <f t="shared" si="41"/>
        <v>0.69194287495071694</v>
      </c>
      <c r="CD39" s="9">
        <f>'1'!DE39</f>
        <v>0.68251591287710278</v>
      </c>
      <c r="CE39" s="9">
        <f>'1'!DG39</f>
        <v>0.74399929845232138</v>
      </c>
      <c r="CF39" s="9">
        <f>'2'!DE39</f>
        <v>0.41220797351981675</v>
      </c>
      <c r="CG39" s="9">
        <f>'2'!DG39</f>
        <v>0.561984707313536</v>
      </c>
      <c r="CH39" s="9">
        <f>'3'!AH39</f>
        <v>0.31449866527497178</v>
      </c>
      <c r="CI39" s="9">
        <f>'8'!BD36</f>
        <v>0.55002331892054901</v>
      </c>
      <c r="CJ39" s="9">
        <f t="shared" si="42"/>
        <v>0.54824906843915622</v>
      </c>
      <c r="CK39" s="9">
        <f t="shared" si="43"/>
        <v>0.61866910822880217</v>
      </c>
    </row>
    <row r="40" spans="1:89">
      <c r="A40" s="1">
        <v>2002</v>
      </c>
      <c r="B40" s="9">
        <f>'1'!I40</f>
        <v>0.64603724803837104</v>
      </c>
      <c r="C40" s="9">
        <f>'1'!K40</f>
        <v>0.71417707589382318</v>
      </c>
      <c r="D40" s="9">
        <f>'2'!I40</f>
        <v>0.35157732960737681</v>
      </c>
      <c r="E40" s="9">
        <f>'2'!K40</f>
        <v>0.49919555301401564</v>
      </c>
      <c r="F40" s="9">
        <f>'3'!D40</f>
        <v>0.4993868919690741</v>
      </c>
      <c r="G40" s="9">
        <f>'8'!F37</f>
        <v>0.51205581417800172</v>
      </c>
      <c r="H40" s="9">
        <f t="shared" si="22"/>
        <v>0.50322346394124995</v>
      </c>
      <c r="I40" s="9">
        <f t="shared" si="23"/>
        <v>0.57514281436194681</v>
      </c>
      <c r="J40" s="9">
        <f>'1'!S40</f>
        <v>0.51817309037159864</v>
      </c>
      <c r="K40" s="9">
        <f>'1'!U40</f>
        <v>0.60195435719786172</v>
      </c>
      <c r="L40" s="9">
        <f>'2'!S40</f>
        <v>0.43528803154789669</v>
      </c>
      <c r="M40" s="9">
        <f>'2'!U40</f>
        <v>0.58415720321001086</v>
      </c>
      <c r="N40" s="9">
        <f>'3'!G40</f>
        <v>0.32051670050138581</v>
      </c>
      <c r="O40" s="9">
        <f>'8'!K37</f>
        <v>0.47734990143508094</v>
      </c>
      <c r="P40" s="9">
        <f t="shared" si="24"/>
        <v>0.47693700778485876</v>
      </c>
      <c r="Q40" s="9">
        <f t="shared" si="25"/>
        <v>0.55448715394765113</v>
      </c>
      <c r="R40" s="9">
        <f>'1'!AC40</f>
        <v>0.53624046823867666</v>
      </c>
      <c r="S40" s="9">
        <f>'1'!AE40</f>
        <v>0.6186015840985698</v>
      </c>
      <c r="T40" s="9">
        <f>'2'!AC40</f>
        <v>0.22170022458170222</v>
      </c>
      <c r="U40" s="9">
        <f>'2'!AE40</f>
        <v>0.33512774372120513</v>
      </c>
      <c r="V40" s="9">
        <f>'3'!J40</f>
        <v>0.63100468817585098</v>
      </c>
      <c r="W40" s="9">
        <f>'8'!P37</f>
        <v>0.47401391023156625</v>
      </c>
      <c r="X40" s="9">
        <f t="shared" si="26"/>
        <v>0.41065153435064844</v>
      </c>
      <c r="Y40" s="9">
        <f t="shared" si="27"/>
        <v>0.47591441268378043</v>
      </c>
      <c r="Z40" s="9">
        <f>'1'!AM40</f>
        <v>0.64146109227636638</v>
      </c>
      <c r="AA40" s="9">
        <f>'1'!AO40</f>
        <v>0.71037196321818752</v>
      </c>
      <c r="AB40" s="9">
        <f>'2'!AM40</f>
        <v>0.26048139799075898</v>
      </c>
      <c r="AC40" s="9">
        <f>'2'!AO40</f>
        <v>0.38931763543815245</v>
      </c>
      <c r="AD40" s="9">
        <f>'3'!M40</f>
        <v>0.45948878897349577</v>
      </c>
      <c r="AE40" s="9">
        <f>'8'!U37</f>
        <v>0.47198552345040967</v>
      </c>
      <c r="AF40" s="9">
        <f t="shared" si="28"/>
        <v>0.45797600457251164</v>
      </c>
      <c r="AG40" s="9">
        <f t="shared" si="29"/>
        <v>0.52389170736891655</v>
      </c>
      <c r="AH40" s="9">
        <f>'1'!AW40</f>
        <v>0.4999476600642816</v>
      </c>
      <c r="AI40" s="9">
        <f>'1'!AY40</f>
        <v>0.58487404489405415</v>
      </c>
      <c r="AJ40" s="9">
        <f>'2'!AW40</f>
        <v>0.29950969283697348</v>
      </c>
      <c r="AK40" s="9">
        <f>'2'!AY40</f>
        <v>0.43904226846063688</v>
      </c>
      <c r="AL40" s="9">
        <f>'3'!P40</f>
        <v>0.45548182780966318</v>
      </c>
      <c r="AM40" s="9">
        <f>'8'!Z37</f>
        <v>0.47031596384641045</v>
      </c>
      <c r="AN40" s="9">
        <f t="shared" si="30"/>
        <v>0.42325777224922184</v>
      </c>
      <c r="AO40" s="9">
        <f t="shared" si="31"/>
        <v>0.49807742573370045</v>
      </c>
      <c r="AP40" s="9">
        <f>'1'!BG40</f>
        <v>0.56300589110130783</v>
      </c>
      <c r="AQ40" s="9">
        <f>'1'!BI40</f>
        <v>0.6427615553314312</v>
      </c>
      <c r="AR40" s="9">
        <f>'2'!BG40</f>
        <v>0.32574163288715241</v>
      </c>
      <c r="AS40" s="9">
        <f>'2'!BI40</f>
        <v>0.47015158000015134</v>
      </c>
      <c r="AT40" s="9">
        <f>'3'!S40</f>
        <v>0.52167806416076257</v>
      </c>
      <c r="AU40" s="9">
        <f>'8'!AE37</f>
        <v>0.53433378650175545</v>
      </c>
      <c r="AV40" s="9">
        <f t="shared" si="32"/>
        <v>0.47436043683007184</v>
      </c>
      <c r="AW40" s="9">
        <f t="shared" si="33"/>
        <v>0.5490823072777794</v>
      </c>
      <c r="AX40" s="9">
        <f>'1'!BQ40</f>
        <v>0.70615839029193861</v>
      </c>
      <c r="AY40" s="9">
        <f>'1'!BS40</f>
        <v>0.76286025053788065</v>
      </c>
      <c r="AZ40" s="9">
        <f>'2'!BQ40</f>
        <v>0.29758483743233022</v>
      </c>
      <c r="BA40" s="9">
        <f>'2'!BS40</f>
        <v>0.43669027579590569</v>
      </c>
      <c r="BB40" s="9">
        <f>'3'!V40</f>
        <v>0.56244896390438914</v>
      </c>
      <c r="BC40" s="9">
        <f>'8'!AJ37</f>
        <v>0.48731835015735403</v>
      </c>
      <c r="BD40" s="9">
        <f t="shared" si="34"/>
        <v>0.49702052596054092</v>
      </c>
      <c r="BE40" s="9">
        <f t="shared" si="35"/>
        <v>0.56228962549704675</v>
      </c>
      <c r="BF40" s="9">
        <f>'1'!CA40</f>
        <v>0.58768660768432635</v>
      </c>
      <c r="BG40" s="9">
        <f>'1'!CC40</f>
        <v>0.66453081992756835</v>
      </c>
      <c r="BH40" s="9">
        <f>'2'!CA40</f>
        <v>0.31784881029076906</v>
      </c>
      <c r="BI40" s="9">
        <f>'2'!CC40</f>
        <v>0.46097091721101546</v>
      </c>
      <c r="BJ40" s="9">
        <f>'3'!Y40</f>
        <v>0.49264812516604545</v>
      </c>
      <c r="BK40" s="9">
        <f>'8'!AO37</f>
        <v>0.53490233870051695</v>
      </c>
      <c r="BL40" s="9">
        <f t="shared" si="36"/>
        <v>0.4801459188918708</v>
      </c>
      <c r="BM40" s="9">
        <f t="shared" si="37"/>
        <v>0.55346802527970029</v>
      </c>
      <c r="BN40" s="9">
        <f>'1'!CK40</f>
        <v>0.52290842253150849</v>
      </c>
      <c r="BO40" s="9">
        <f>'1'!CM40</f>
        <v>0.60634452234550229</v>
      </c>
      <c r="BP40" s="9">
        <f>'2'!CK40</f>
        <v>0.47033701053853599</v>
      </c>
      <c r="BQ40" s="9">
        <f>'2'!CM40</f>
        <v>0.61623975721290891</v>
      </c>
      <c r="BR40" s="9">
        <f>'3'!AB40</f>
        <v>0.50039360026875235</v>
      </c>
      <c r="BS40" s="9">
        <f>'8'!AT37</f>
        <v>0.53730076682248606</v>
      </c>
      <c r="BT40" s="9">
        <f t="shared" si="38"/>
        <v>0.51018206663084353</v>
      </c>
      <c r="BU40" s="9">
        <f t="shared" si="39"/>
        <v>0.58662834879363246</v>
      </c>
      <c r="BV40" s="9">
        <f>'1'!CU40</f>
        <v>0.69899179728158278</v>
      </c>
      <c r="BW40" s="9">
        <f>'1'!CW40</f>
        <v>0.7571807734887801</v>
      </c>
      <c r="BX40" s="9">
        <f>'2'!CU40</f>
        <v>0.58103322241899913</v>
      </c>
      <c r="BY40" s="9">
        <f>'2'!CW40</f>
        <v>0.70699540486502366</v>
      </c>
      <c r="BZ40" s="9">
        <f>'3'!AE40</f>
        <v>0.66093077439176251</v>
      </c>
      <c r="CA40" s="9">
        <f>'8'!AY37</f>
        <v>0.60255218635365027</v>
      </c>
      <c r="CB40" s="9">
        <f t="shared" si="40"/>
        <v>0.62752573535141065</v>
      </c>
      <c r="CC40" s="9">
        <f t="shared" si="41"/>
        <v>0.68890945490248467</v>
      </c>
      <c r="CD40" s="9">
        <f>'1'!DE40</f>
        <v>0.69977640301901978</v>
      </c>
      <c r="CE40" s="9">
        <f>'1'!DG40</f>
        <v>0.75780415330257112</v>
      </c>
      <c r="CF40" s="9">
        <f>'2'!DE40</f>
        <v>0.4088294434636604</v>
      </c>
      <c r="CG40" s="9">
        <f>'2'!DG40</f>
        <v>0.55866439966469406</v>
      </c>
      <c r="CH40" s="9">
        <f>'3'!AH40</f>
        <v>0.27951742630665571</v>
      </c>
      <c r="CI40" s="9">
        <f>'8'!BD37</f>
        <v>0.49134483678116497</v>
      </c>
      <c r="CJ40" s="9">
        <f t="shared" si="42"/>
        <v>0.53331689442128172</v>
      </c>
      <c r="CK40" s="9">
        <f t="shared" si="43"/>
        <v>0.60260446324947681</v>
      </c>
    </row>
    <row r="41" spans="1:89">
      <c r="A41" s="1">
        <v>2003</v>
      </c>
      <c r="B41" s="9">
        <f>'1'!I41</f>
        <v>0.66790011172971175</v>
      </c>
      <c r="C41" s="9">
        <f>'1'!K41</f>
        <v>0.73215777558066708</v>
      </c>
      <c r="D41" s="9">
        <f>'2'!I41</f>
        <v>0.36351439297037474</v>
      </c>
      <c r="E41" s="9">
        <f>'2'!K41</f>
        <v>0.5121244684058377</v>
      </c>
      <c r="F41" s="9">
        <f>'3'!D41</f>
        <v>0.50314279809928009</v>
      </c>
      <c r="G41" s="9">
        <f>'8'!F38</f>
        <v>0.50774013929159489</v>
      </c>
      <c r="H41" s="9">
        <f t="shared" si="22"/>
        <v>0.51305154799722708</v>
      </c>
      <c r="I41" s="9">
        <f t="shared" si="23"/>
        <v>0.58400746109269985</v>
      </c>
      <c r="J41" s="9">
        <f>'1'!S41</f>
        <v>0.53172913282398937</v>
      </c>
      <c r="K41" s="9">
        <f>'1'!U41</f>
        <v>0.61447090905261836</v>
      </c>
      <c r="L41" s="9">
        <f>'2'!S41</f>
        <v>0.43504105123682457</v>
      </c>
      <c r="M41" s="9">
        <f>'2'!U41</f>
        <v>0.58392450395815643</v>
      </c>
      <c r="N41" s="9">
        <f>'3'!G41</f>
        <v>0.33795374537894463</v>
      </c>
      <c r="O41" s="9">
        <f>'8'!K38</f>
        <v>0.45163289883695507</v>
      </c>
      <c r="P41" s="9">
        <f t="shared" si="24"/>
        <v>0.47280102763258963</v>
      </c>
      <c r="Q41" s="9">
        <f t="shared" si="25"/>
        <v>0.55000943728257667</v>
      </c>
      <c r="R41" s="9">
        <f>'1'!AC41</f>
        <v>0.56484597538070591</v>
      </c>
      <c r="S41" s="9">
        <f>'1'!AE41</f>
        <v>0.64440113265761823</v>
      </c>
      <c r="T41" s="9">
        <f>'2'!AC41</f>
        <v>0.22900414900116234</v>
      </c>
      <c r="U41" s="9">
        <f>'2'!AE41</f>
        <v>0.34574090115885681</v>
      </c>
      <c r="V41" s="9">
        <f>'3'!J41</f>
        <v>0.68916827438751882</v>
      </c>
      <c r="W41" s="9">
        <f>'8'!P38</f>
        <v>0.44015235940963948</v>
      </c>
      <c r="X41" s="9">
        <f t="shared" si="26"/>
        <v>0.41133416126383593</v>
      </c>
      <c r="Y41" s="9">
        <f t="shared" si="27"/>
        <v>0.47676479774203817</v>
      </c>
      <c r="Z41" s="9">
        <f>'1'!AM41</f>
        <v>0.66216294347264948</v>
      </c>
      <c r="AA41" s="9">
        <f>'1'!AO41</f>
        <v>0.72747075158400254</v>
      </c>
      <c r="AB41" s="9">
        <f>'2'!AM41</f>
        <v>0.2616420657755083</v>
      </c>
      <c r="AC41" s="9">
        <f>'2'!AO41</f>
        <v>0.3908616405066308</v>
      </c>
      <c r="AD41" s="9">
        <f>'3'!M41</f>
        <v>0.42297176542006165</v>
      </c>
      <c r="AE41" s="9">
        <f>'8'!U38</f>
        <v>0.47815479311819797</v>
      </c>
      <c r="AF41" s="9">
        <f t="shared" si="28"/>
        <v>0.46731993412211859</v>
      </c>
      <c r="AG41" s="9">
        <f t="shared" si="29"/>
        <v>0.53216239506961049</v>
      </c>
      <c r="AH41" s="9">
        <f>'1'!AW41</f>
        <v>0.51812443683337017</v>
      </c>
      <c r="AI41" s="9">
        <f>'1'!AY41</f>
        <v>0.60190914927118433</v>
      </c>
      <c r="AJ41" s="9">
        <f>'2'!AW41</f>
        <v>0.30359612753296683</v>
      </c>
      <c r="AK41" s="9">
        <f>'2'!AY41</f>
        <v>0.44400312984522916</v>
      </c>
      <c r="AL41" s="9">
        <f>'3'!P41</f>
        <v>0.41160953420023483</v>
      </c>
      <c r="AM41" s="9">
        <f>'8'!Z38</f>
        <v>0.44398761411016308</v>
      </c>
      <c r="AN41" s="9">
        <f t="shared" si="30"/>
        <v>0.42190272615883334</v>
      </c>
      <c r="AO41" s="9">
        <f t="shared" si="31"/>
        <v>0.49663329774219217</v>
      </c>
      <c r="AP41" s="9">
        <f>'1'!BG41</f>
        <v>0.59300707319132673</v>
      </c>
      <c r="AQ41" s="9">
        <f>'1'!BI41</f>
        <v>0.66916181013582332</v>
      </c>
      <c r="AR41" s="9">
        <f>'2'!BG41</f>
        <v>0.33198937478293461</v>
      </c>
      <c r="AS41" s="9">
        <f>'2'!BI41</f>
        <v>0.4773139207600619</v>
      </c>
      <c r="AT41" s="9">
        <f>'3'!S41</f>
        <v>0.54527135809527338</v>
      </c>
      <c r="AU41" s="9">
        <f>'8'!AE38</f>
        <v>0.52412010189365599</v>
      </c>
      <c r="AV41" s="9">
        <f t="shared" si="32"/>
        <v>0.48303884995597252</v>
      </c>
      <c r="AW41" s="9">
        <f t="shared" si="33"/>
        <v>0.55686527759651383</v>
      </c>
      <c r="AX41" s="9">
        <f>'1'!BQ41</f>
        <v>0.72814586378270407</v>
      </c>
      <c r="AY41" s="9">
        <f>'1'!BS41</f>
        <v>0.78008528358466378</v>
      </c>
      <c r="AZ41" s="9">
        <f>'2'!BQ41</f>
        <v>0.30341941194699057</v>
      </c>
      <c r="BA41" s="9">
        <f>'2'!BS41</f>
        <v>0.44378950320805027</v>
      </c>
      <c r="BB41" s="9">
        <f>'3'!V41</f>
        <v>0.582872589220094</v>
      </c>
      <c r="BC41" s="9">
        <f>'8'!AJ38</f>
        <v>0.48863746059964691</v>
      </c>
      <c r="BD41" s="9">
        <f t="shared" si="34"/>
        <v>0.50673424544311385</v>
      </c>
      <c r="BE41" s="9">
        <f t="shared" si="35"/>
        <v>0.57083741579745362</v>
      </c>
      <c r="BF41" s="9">
        <f>'1'!CA41</f>
        <v>0.60406633948456723</v>
      </c>
      <c r="BG41" s="9">
        <f>'1'!CC41</f>
        <v>0.67871939582636442</v>
      </c>
      <c r="BH41" s="9">
        <f>'2'!CA41</f>
        <v>0.32238280986879825</v>
      </c>
      <c r="BI41" s="9">
        <f>'2'!CC41</f>
        <v>0.46626301861092806</v>
      </c>
      <c r="BJ41" s="9">
        <f>'3'!Y41</f>
        <v>0.5280502759686404</v>
      </c>
      <c r="BK41" s="9">
        <f>'8'!AO38</f>
        <v>0.54275876846982352</v>
      </c>
      <c r="BL41" s="9">
        <f t="shared" si="36"/>
        <v>0.48973597260772966</v>
      </c>
      <c r="BM41" s="9">
        <f t="shared" si="37"/>
        <v>0.56258039430237206</v>
      </c>
      <c r="BN41" s="9">
        <f>'1'!CK41</f>
        <v>0.53560443588310236</v>
      </c>
      <c r="BO41" s="9">
        <f>'1'!CM41</f>
        <v>0.61802025818743667</v>
      </c>
      <c r="BP41" s="9">
        <f>'2'!CK41</f>
        <v>0.49710904465845734</v>
      </c>
      <c r="BQ41" s="9">
        <f>'2'!CM41</f>
        <v>0.63956910342030737</v>
      </c>
      <c r="BR41" s="9">
        <f>'3'!AB41</f>
        <v>0.49367216324488522</v>
      </c>
      <c r="BS41" s="9">
        <f>'8'!AT38</f>
        <v>0.55049116782559471</v>
      </c>
      <c r="BT41" s="9">
        <f t="shared" si="38"/>
        <v>0.52773488278905145</v>
      </c>
      <c r="BU41" s="9">
        <f t="shared" si="39"/>
        <v>0.60269350981111292</v>
      </c>
      <c r="BV41" s="9">
        <f>'1'!CU41</f>
        <v>0.71339040960749223</v>
      </c>
      <c r="BW41" s="9">
        <f>'1'!CW41</f>
        <v>0.7685588532465637</v>
      </c>
      <c r="BX41" s="9">
        <f>'2'!CU41</f>
        <v>0.62127111995067152</v>
      </c>
      <c r="BY41" s="9">
        <f>'2'!CW41</f>
        <v>0.73666348204483123</v>
      </c>
      <c r="BZ41" s="9">
        <f>'3'!AE41</f>
        <v>0.53860890889353696</v>
      </c>
      <c r="CA41" s="9">
        <f>'8'!AY38</f>
        <v>0.5872506918372582</v>
      </c>
      <c r="CB41" s="9">
        <f t="shared" si="40"/>
        <v>0.64063740713180728</v>
      </c>
      <c r="CC41" s="9">
        <f t="shared" si="41"/>
        <v>0.69749100904288441</v>
      </c>
      <c r="CD41" s="9">
        <f>'1'!DE41</f>
        <v>0.71973601901368522</v>
      </c>
      <c r="CE41" s="9">
        <f>'1'!DG41</f>
        <v>0.77353221225075286</v>
      </c>
      <c r="CF41" s="9">
        <f>'2'!DE41</f>
        <v>0.42497449107229696</v>
      </c>
      <c r="CG41" s="9">
        <f>'2'!DG41</f>
        <v>0.57435711758698982</v>
      </c>
      <c r="CH41" s="9">
        <f>'3'!AH41</f>
        <v>0.30568836782083347</v>
      </c>
      <c r="CI41" s="9">
        <f>'8'!BD38</f>
        <v>0.47764982398540601</v>
      </c>
      <c r="CJ41" s="9">
        <f t="shared" si="42"/>
        <v>0.54078677802379616</v>
      </c>
      <c r="CK41" s="9">
        <f t="shared" si="43"/>
        <v>0.60851305127438293</v>
      </c>
    </row>
    <row r="42" spans="1:89">
      <c r="A42" s="1">
        <v>2004</v>
      </c>
      <c r="B42" s="9">
        <f>'1'!I42</f>
        <v>0.6899340129521192</v>
      </c>
      <c r="C42" s="9">
        <f>'1'!K42</f>
        <v>0.74995577721682849</v>
      </c>
      <c r="D42" s="9">
        <f>'2'!I42</f>
        <v>0.37961828068370757</v>
      </c>
      <c r="E42" s="9">
        <f>'2'!K42</f>
        <v>0.52910831465534658</v>
      </c>
      <c r="F42" s="9">
        <f>'3'!D42</f>
        <v>0.47808133692446614</v>
      </c>
      <c r="G42" s="9">
        <f>'8'!F39</f>
        <v>0.51596623412325804</v>
      </c>
      <c r="H42" s="9">
        <f t="shared" si="22"/>
        <v>0.52850617591969495</v>
      </c>
      <c r="I42" s="9">
        <f t="shared" si="23"/>
        <v>0.59834344199847778</v>
      </c>
      <c r="J42" s="9">
        <f>'1'!S42</f>
        <v>0.54784729185012326</v>
      </c>
      <c r="K42" s="9">
        <f>'1'!U42</f>
        <v>0.62915077446744916</v>
      </c>
      <c r="L42" s="9">
        <f>'2'!S42</f>
        <v>0.48431866550680364</v>
      </c>
      <c r="M42" s="9">
        <f>'2'!U42</f>
        <v>0.6285441479245214</v>
      </c>
      <c r="N42" s="9">
        <f>'3'!G42</f>
        <v>0.31268665690853231</v>
      </c>
      <c r="O42" s="9">
        <f>'8'!K39</f>
        <v>0.43060369246007757</v>
      </c>
      <c r="P42" s="9">
        <f t="shared" si="24"/>
        <v>0.48758988327233482</v>
      </c>
      <c r="Q42" s="9">
        <f t="shared" si="25"/>
        <v>0.56276620495068275</v>
      </c>
      <c r="R42" s="9">
        <f>'1'!AC42</f>
        <v>0.56770374652001532</v>
      </c>
      <c r="S42" s="9">
        <f>'1'!AE42</f>
        <v>0.64694215130376953</v>
      </c>
      <c r="T42" s="9">
        <f>'2'!AC42</f>
        <v>0.23897996945008093</v>
      </c>
      <c r="U42" s="9">
        <f>'2'!AE42</f>
        <v>0.35992027333288035</v>
      </c>
      <c r="V42" s="9">
        <f>'3'!J42</f>
        <v>0.71652592922084468</v>
      </c>
      <c r="W42" s="9">
        <f>'8'!P39</f>
        <v>0.43167904981643213</v>
      </c>
      <c r="X42" s="9">
        <f t="shared" si="26"/>
        <v>0.41278758859550946</v>
      </c>
      <c r="Y42" s="9">
        <f t="shared" si="27"/>
        <v>0.479513824817694</v>
      </c>
      <c r="Z42" s="9">
        <f>'1'!AM42</f>
        <v>0.67988602680818677</v>
      </c>
      <c r="AA42" s="9">
        <f>'1'!AO42</f>
        <v>0.74187898689348075</v>
      </c>
      <c r="AB42" s="9">
        <f>'2'!AM42</f>
        <v>0.26984703651749492</v>
      </c>
      <c r="AC42" s="9">
        <f>'2'!AO42</f>
        <v>0.40165721446367503</v>
      </c>
      <c r="AD42" s="9">
        <f>'3'!M42</f>
        <v>0.44957251458312769</v>
      </c>
      <c r="AE42" s="9">
        <f>'8'!U39</f>
        <v>0.50070210592867204</v>
      </c>
      <c r="AF42" s="9">
        <f t="shared" si="28"/>
        <v>0.48347838975145124</v>
      </c>
      <c r="AG42" s="9">
        <f t="shared" si="29"/>
        <v>0.54807943576194262</v>
      </c>
      <c r="AH42" s="9">
        <f>'1'!AW42</f>
        <v>0.55061841542550904</v>
      </c>
      <c r="AI42" s="9">
        <f>'1'!AY42</f>
        <v>0.6316529113060152</v>
      </c>
      <c r="AJ42" s="9">
        <f>'2'!AW42</f>
        <v>0.31874962048666344</v>
      </c>
      <c r="AK42" s="9">
        <f>'2'!AY42</f>
        <v>0.46202631876990846</v>
      </c>
      <c r="AL42" s="9">
        <f>'3'!P42</f>
        <v>0.43961543511611179</v>
      </c>
      <c r="AM42" s="9">
        <f>'8'!Z39</f>
        <v>0.45778132091988288</v>
      </c>
      <c r="AN42" s="9">
        <f t="shared" si="30"/>
        <v>0.44238311894401844</v>
      </c>
      <c r="AO42" s="9">
        <f t="shared" si="31"/>
        <v>0.51715351699860224</v>
      </c>
      <c r="AP42" s="9">
        <f>'1'!BG42</f>
        <v>0.61255407428745345</v>
      </c>
      <c r="AQ42" s="9">
        <f>'1'!BI42</f>
        <v>0.68599276792918085</v>
      </c>
      <c r="AR42" s="9">
        <f>'2'!BG42</f>
        <v>0.34386656268445254</v>
      </c>
      <c r="AS42" s="9">
        <f>'2'!BI42</f>
        <v>0.49068322761589422</v>
      </c>
      <c r="AT42" s="9">
        <f>'3'!S42</f>
        <v>0.58104128717154824</v>
      </c>
      <c r="AU42" s="9">
        <f>'8'!AE39</f>
        <v>0.55248116841431039</v>
      </c>
      <c r="AV42" s="9">
        <f t="shared" si="32"/>
        <v>0.50296726846207207</v>
      </c>
      <c r="AW42" s="9">
        <f t="shared" si="33"/>
        <v>0.57638572131979515</v>
      </c>
      <c r="AX42" s="9">
        <f>'1'!BQ42</f>
        <v>0.75127092994033673</v>
      </c>
      <c r="AY42" s="9">
        <f>'1'!BS42</f>
        <v>0.79788496891546279</v>
      </c>
      <c r="AZ42" s="9">
        <f>'2'!BQ42</f>
        <v>0.3138672498996436</v>
      </c>
      <c r="BA42" s="9">
        <f>'2'!BS42</f>
        <v>0.45628219029951711</v>
      </c>
      <c r="BB42" s="9">
        <f>'3'!V42</f>
        <v>0.49364007922877107</v>
      </c>
      <c r="BC42" s="9">
        <f>'8'!AJ39</f>
        <v>0.48246168512621723</v>
      </c>
      <c r="BD42" s="9">
        <f t="shared" si="34"/>
        <v>0.5158666216553992</v>
      </c>
      <c r="BE42" s="9">
        <f t="shared" si="35"/>
        <v>0.57887628144706571</v>
      </c>
      <c r="BF42" s="9">
        <f>'1'!CA42</f>
        <v>0.62366146387753496</v>
      </c>
      <c r="BG42" s="9">
        <f>'1'!CC42</f>
        <v>0.69543126379156506</v>
      </c>
      <c r="BH42" s="9">
        <f>'2'!CA42</f>
        <v>0.33293516459729988</v>
      </c>
      <c r="BI42" s="9">
        <f>'2'!CC42</f>
        <v>0.47839025614465241</v>
      </c>
      <c r="BJ42" s="9">
        <f>'3'!Y42</f>
        <v>0.52659501140425125</v>
      </c>
      <c r="BK42" s="9">
        <f>'8'!AO39</f>
        <v>0.54216681123845067</v>
      </c>
      <c r="BL42" s="9">
        <f t="shared" si="36"/>
        <v>0.49958781323776186</v>
      </c>
      <c r="BM42" s="9">
        <f t="shared" si="37"/>
        <v>0.57199611039155596</v>
      </c>
      <c r="BN42" s="9">
        <f>'1'!CK42</f>
        <v>0.55339212990848174</v>
      </c>
      <c r="BO42" s="9">
        <f>'1'!CM42</f>
        <v>0.63415109313756368</v>
      </c>
      <c r="BP42" s="9">
        <f>'2'!CK42</f>
        <v>0.52583069429502505</v>
      </c>
      <c r="BQ42" s="9">
        <f>'2'!CM42</f>
        <v>0.66356579728393372</v>
      </c>
      <c r="BR42" s="9">
        <f>'3'!AB42</f>
        <v>0.39251773049857858</v>
      </c>
      <c r="BS42" s="9">
        <f>'8'!AT39</f>
        <v>0.56127288956406873</v>
      </c>
      <c r="BT42" s="9">
        <f t="shared" si="38"/>
        <v>0.54683190458919195</v>
      </c>
      <c r="BU42" s="9">
        <f t="shared" si="39"/>
        <v>0.61966325999518868</v>
      </c>
      <c r="BV42" s="9">
        <f>'1'!CU42</f>
        <v>0.73684749328894783</v>
      </c>
      <c r="BW42" s="9">
        <f>'1'!CW42</f>
        <v>0.78682052485356113</v>
      </c>
      <c r="BX42" s="9">
        <f>'2'!CU42</f>
        <v>0.64915590754528329</v>
      </c>
      <c r="BY42" s="9">
        <f>'2'!CW42</f>
        <v>0.75634198166826749</v>
      </c>
      <c r="BZ42" s="9">
        <f>'3'!AE42</f>
        <v>0.53870975031676926</v>
      </c>
      <c r="CA42" s="9">
        <f>'8'!AY39</f>
        <v>0.59647555754004333</v>
      </c>
      <c r="CB42" s="9">
        <f t="shared" si="40"/>
        <v>0.66082631945809156</v>
      </c>
      <c r="CC42" s="9">
        <f t="shared" si="41"/>
        <v>0.71321268802062399</v>
      </c>
      <c r="CD42" s="9">
        <f>'1'!DE42</f>
        <v>0.7440893030786524</v>
      </c>
      <c r="CE42" s="9">
        <f>'1'!DG42</f>
        <v>0.79239123227672281</v>
      </c>
      <c r="CF42" s="9">
        <f>'2'!DE42</f>
        <v>0.43697907497870775</v>
      </c>
      <c r="CG42" s="9">
        <f>'2'!DG42</f>
        <v>0.58574788416938817</v>
      </c>
      <c r="CH42" s="9">
        <f>'3'!AH42</f>
        <v>0.32658628401928419</v>
      </c>
      <c r="CI42" s="9">
        <f>'8'!BD39</f>
        <v>0.49377195146083552</v>
      </c>
      <c r="CJ42" s="9">
        <f t="shared" si="42"/>
        <v>0.55828010983939846</v>
      </c>
      <c r="CK42" s="9">
        <f t="shared" si="43"/>
        <v>0.6239703559689822</v>
      </c>
    </row>
    <row r="43" spans="1:89">
      <c r="A43" s="1">
        <v>2005</v>
      </c>
      <c r="B43" s="9">
        <f>'1'!I43</f>
        <v>0.71372649724491843</v>
      </c>
      <c r="C43" s="9">
        <f>'1'!K43</f>
        <v>0.7688228865667871</v>
      </c>
      <c r="D43" s="9">
        <f>'2'!I43</f>
        <v>0.40536908875496142</v>
      </c>
      <c r="E43" s="9">
        <f>'2'!K43</f>
        <v>0.55524322943660276</v>
      </c>
      <c r="F43" s="9">
        <f>'3'!D43</f>
        <v>0.48807374584042851</v>
      </c>
      <c r="G43" s="9">
        <f>'8'!F40</f>
        <v>0.51756411217884624</v>
      </c>
      <c r="H43" s="9">
        <f t="shared" si="22"/>
        <v>0.54555323272624212</v>
      </c>
      <c r="I43" s="9">
        <f t="shared" si="23"/>
        <v>0.61387674272741199</v>
      </c>
      <c r="J43" s="9">
        <f>'1'!S43</f>
        <v>0.56734103853214679</v>
      </c>
      <c r="K43" s="9">
        <f>'1'!U43</f>
        <v>0.64662000534747111</v>
      </c>
      <c r="L43" s="9">
        <f>'2'!S43</f>
        <v>0.66885863556400604</v>
      </c>
      <c r="M43" s="9">
        <f>'2'!U43</f>
        <v>0.76984245476362967</v>
      </c>
      <c r="N43" s="9">
        <f>'3'!G43</f>
        <v>0.41717623790078512</v>
      </c>
      <c r="O43" s="9">
        <f>'8'!K40</f>
        <v>0.42251369007689143</v>
      </c>
      <c r="P43" s="9">
        <f t="shared" si="24"/>
        <v>0.55290445472434813</v>
      </c>
      <c r="Q43" s="9">
        <f t="shared" si="25"/>
        <v>0.61299205006266411</v>
      </c>
      <c r="R43" s="9">
        <f>'1'!AC43</f>
        <v>0.60345604697787936</v>
      </c>
      <c r="S43" s="9">
        <f>'1'!AE43</f>
        <v>0.67819436182202142</v>
      </c>
      <c r="T43" s="9">
        <f>'2'!AC43</f>
        <v>0.24750011277354897</v>
      </c>
      <c r="U43" s="9">
        <f>'2'!AE43</f>
        <v>0.37175375611182815</v>
      </c>
      <c r="V43" s="9">
        <f>'3'!J43</f>
        <v>0.79981263567032657</v>
      </c>
      <c r="W43" s="9">
        <f>'8'!P40</f>
        <v>0.45814107602301746</v>
      </c>
      <c r="X43" s="9">
        <f t="shared" si="26"/>
        <v>0.43636574525814859</v>
      </c>
      <c r="Y43" s="9">
        <f t="shared" si="27"/>
        <v>0.50269639798562238</v>
      </c>
      <c r="Z43" s="9">
        <f>'1'!AM43</f>
        <v>0.71271455410885742</v>
      </c>
      <c r="AA43" s="9">
        <f>'1'!AO43</f>
        <v>0.76802768286917122</v>
      </c>
      <c r="AB43" s="9">
        <f>'2'!AM43</f>
        <v>0.27722613294341197</v>
      </c>
      <c r="AC43" s="9">
        <f>'2'!AO43</f>
        <v>0.41119223556217116</v>
      </c>
      <c r="AD43" s="9">
        <f>'3'!M43</f>
        <v>0.51561518787071703</v>
      </c>
      <c r="AE43" s="9">
        <f>'8'!U40</f>
        <v>0.49780100951551504</v>
      </c>
      <c r="AF43" s="9">
        <f t="shared" si="28"/>
        <v>0.49591389885592813</v>
      </c>
      <c r="AG43" s="9">
        <f t="shared" si="29"/>
        <v>0.55900697598228577</v>
      </c>
      <c r="AH43" s="9">
        <f>'1'!AW43</f>
        <v>0.57481853634458058</v>
      </c>
      <c r="AI43" s="9">
        <f>'1'!AY43</f>
        <v>0.65324025762074345</v>
      </c>
      <c r="AJ43" s="9">
        <f>'2'!AW43</f>
        <v>0.32378230106263473</v>
      </c>
      <c r="AK43" s="9">
        <f>'2'!AY43</f>
        <v>0.46788650069075677</v>
      </c>
      <c r="AL43" s="9">
        <f>'3'!P43</f>
        <v>0.42016097926032597</v>
      </c>
      <c r="AM43" s="9">
        <f>'8'!Z40</f>
        <v>0.42027655538547404</v>
      </c>
      <c r="AN43" s="9">
        <f t="shared" si="30"/>
        <v>0.43962579759756309</v>
      </c>
      <c r="AO43" s="9">
        <f t="shared" si="31"/>
        <v>0.51380110456565797</v>
      </c>
      <c r="AP43" s="9">
        <f>'1'!BG43</f>
        <v>0.63530967005613881</v>
      </c>
      <c r="AQ43" s="9">
        <f>'1'!BI43</f>
        <v>0.70523393292264258</v>
      </c>
      <c r="AR43" s="9">
        <f>'2'!BG43</f>
        <v>0.35302359087848501</v>
      </c>
      <c r="AS43" s="9">
        <f>'2'!BI43</f>
        <v>0.50077790402465272</v>
      </c>
      <c r="AT43" s="9">
        <f>'3'!S43</f>
        <v>0.51263688744710445</v>
      </c>
      <c r="AU43" s="9">
        <f>'8'!AE40</f>
        <v>0.52681679918809898</v>
      </c>
      <c r="AV43" s="9">
        <f t="shared" si="32"/>
        <v>0.5050500200409076</v>
      </c>
      <c r="AW43" s="9">
        <f t="shared" si="33"/>
        <v>0.57760954537846476</v>
      </c>
      <c r="AX43" s="9">
        <f>'1'!BQ43</f>
        <v>0.7671852223443808</v>
      </c>
      <c r="AY43" s="9">
        <f>'1'!BS43</f>
        <v>0.80995177057621737</v>
      </c>
      <c r="AZ43" s="9">
        <f>'2'!BQ43</f>
        <v>0.3241234001951937</v>
      </c>
      <c r="BA43" s="9">
        <f>'2'!BS43</f>
        <v>0.46828148382615659</v>
      </c>
      <c r="BB43" s="9">
        <f>'3'!V43</f>
        <v>0.52630836895137612</v>
      </c>
      <c r="BC43" s="9">
        <f>'8'!AJ40</f>
        <v>0.47790822092754648</v>
      </c>
      <c r="BD43" s="9">
        <f t="shared" si="34"/>
        <v>0.52307228115570703</v>
      </c>
      <c r="BE43" s="9">
        <f t="shared" si="35"/>
        <v>0.5853804917766402</v>
      </c>
      <c r="BF43" s="9">
        <f>'1'!CA43</f>
        <v>0.64673864136269321</v>
      </c>
      <c r="BG43" s="9">
        <f>'1'!CC43</f>
        <v>0.71475900459265795</v>
      </c>
      <c r="BH43" s="9">
        <f>'2'!CA43</f>
        <v>0.34387012601600742</v>
      </c>
      <c r="BI43" s="9">
        <f>'2'!CC43</f>
        <v>0.49068719128105531</v>
      </c>
      <c r="BJ43" s="9">
        <f>'3'!Y43</f>
        <v>0.48161275480134491</v>
      </c>
      <c r="BK43" s="9">
        <f>'8'!AO40</f>
        <v>0.52631429879034175</v>
      </c>
      <c r="BL43" s="9">
        <f t="shared" si="36"/>
        <v>0.50564102205634753</v>
      </c>
      <c r="BM43" s="9">
        <f t="shared" si="37"/>
        <v>0.57725349822135164</v>
      </c>
      <c r="BN43" s="9">
        <f>'1'!CK43</f>
        <v>0.58230504715343268</v>
      </c>
      <c r="BO43" s="9">
        <f>'1'!CM43</f>
        <v>0.65982458940258237</v>
      </c>
      <c r="BP43" s="9">
        <f>'2'!CK43</f>
        <v>0.57852148042930429</v>
      </c>
      <c r="BQ43" s="9">
        <f>'2'!CM43</f>
        <v>0.70509050201438339</v>
      </c>
      <c r="BR43" s="9">
        <f>'3'!AB43</f>
        <v>0.24171567320173007</v>
      </c>
      <c r="BS43" s="9">
        <f>'8'!AT40</f>
        <v>0.54506159028490564</v>
      </c>
      <c r="BT43" s="9">
        <f t="shared" si="38"/>
        <v>0.56862937262254754</v>
      </c>
      <c r="BU43" s="9">
        <f t="shared" si="39"/>
        <v>0.6366588939006238</v>
      </c>
      <c r="BV43" s="9">
        <f>'1'!CU43</f>
        <v>0.77732575418068017</v>
      </c>
      <c r="BW43" s="9">
        <f>'1'!CW43</f>
        <v>0.81756494731194584</v>
      </c>
      <c r="BX43" s="9">
        <f>'2'!CU43</f>
        <v>0.70766384053771147</v>
      </c>
      <c r="BY43" s="9">
        <f>'2'!CW43</f>
        <v>0.79552007001436353</v>
      </c>
      <c r="BZ43" s="9">
        <f>'3'!AE43</f>
        <v>0.64714629773438359</v>
      </c>
      <c r="CA43" s="9">
        <f>'8'!AY40</f>
        <v>0.63693588629069842</v>
      </c>
      <c r="CB43" s="9">
        <f t="shared" si="40"/>
        <v>0.70730849366969661</v>
      </c>
      <c r="CC43" s="9">
        <f t="shared" si="41"/>
        <v>0.75000696787233601</v>
      </c>
      <c r="CD43" s="9">
        <f>'1'!DE43</f>
        <v>0.77521463590000705</v>
      </c>
      <c r="CE43" s="9">
        <f>'1'!DG43</f>
        <v>0.81598479052293449</v>
      </c>
      <c r="CF43" s="9">
        <f>'2'!DE43</f>
        <v>0.4581115591036915</v>
      </c>
      <c r="CG43" s="9">
        <f>'2'!DG43</f>
        <v>0.60525571454050686</v>
      </c>
      <c r="CH43" s="9">
        <f>'3'!AH43</f>
        <v>0.36152238234555356</v>
      </c>
      <c r="CI43" s="9">
        <f>'8'!BD40</f>
        <v>0.54289205102477045</v>
      </c>
      <c r="CJ43" s="9">
        <f t="shared" si="42"/>
        <v>0.59207274867615622</v>
      </c>
      <c r="CK43" s="9">
        <f t="shared" si="43"/>
        <v>0.65471085202940393</v>
      </c>
    </row>
    <row r="44" spans="1:89">
      <c r="A44" s="1">
        <v>2006</v>
      </c>
      <c r="B44" s="9">
        <f>'1'!I44</f>
        <v>0.74822394374285328</v>
      </c>
      <c r="C44" s="9">
        <f>'1'!K44</f>
        <v>0.79555782174810696</v>
      </c>
      <c r="D44" s="9">
        <f>'2'!I44</f>
        <v>0.42590721115943969</v>
      </c>
      <c r="E44" s="9">
        <f>'2'!K44</f>
        <v>0.57525046146595071</v>
      </c>
      <c r="F44" s="9">
        <f>'3'!D44</f>
        <v>0.52715282225268989</v>
      </c>
      <c r="G44" s="9">
        <f>'8'!F41</f>
        <v>0.52194964780300157</v>
      </c>
      <c r="H44" s="9">
        <f t="shared" si="22"/>
        <v>0.5653602675684315</v>
      </c>
      <c r="I44" s="9">
        <f t="shared" si="23"/>
        <v>0.63091931033901982</v>
      </c>
      <c r="J44" s="9">
        <f>'1'!S44</f>
        <v>0.60711570287657335</v>
      </c>
      <c r="K44" s="9">
        <f>'1'!U44</f>
        <v>0.68133861141298679</v>
      </c>
      <c r="L44" s="9">
        <f>'2'!S44</f>
        <v>0.66147399510555338</v>
      </c>
      <c r="M44" s="9">
        <f>'2'!U44</f>
        <v>0.76482034015051148</v>
      </c>
      <c r="N44" s="9">
        <f>'3'!G44</f>
        <v>0.4691003005776756</v>
      </c>
      <c r="O44" s="9">
        <f>'8'!K41</f>
        <v>0.503064502170112</v>
      </c>
      <c r="P44" s="9">
        <f t="shared" si="24"/>
        <v>0.59055140005074624</v>
      </c>
      <c r="Q44" s="9">
        <f t="shared" si="25"/>
        <v>0.64974115124453669</v>
      </c>
      <c r="R44" s="9">
        <f>'1'!AC44</f>
        <v>0.64175689758933185</v>
      </c>
      <c r="S44" s="9">
        <f>'1'!AE44</f>
        <v>0.71061836891863062</v>
      </c>
      <c r="T44" s="9">
        <f>'2'!AC44</f>
        <v>0.26151208445577279</v>
      </c>
      <c r="U44" s="9">
        <f>'2'!AE44</f>
        <v>0.3906889405339487</v>
      </c>
      <c r="V44" s="9">
        <f>'3'!J44</f>
        <v>0.7375042739021751</v>
      </c>
      <c r="W44" s="9">
        <f>'8'!P41</f>
        <v>0.41895251853988613</v>
      </c>
      <c r="X44" s="9">
        <f t="shared" si="26"/>
        <v>0.44074050019499689</v>
      </c>
      <c r="Y44" s="9">
        <f t="shared" si="27"/>
        <v>0.50675327599748854</v>
      </c>
      <c r="Z44" s="9">
        <f>'1'!AM44</f>
        <v>0.7397523396094019</v>
      </c>
      <c r="AA44" s="9">
        <f>'1'!AO44</f>
        <v>0.78905880895977643</v>
      </c>
      <c r="AB44" s="9">
        <f>'2'!AM44</f>
        <v>0.29129625222689898</v>
      </c>
      <c r="AC44" s="9">
        <f>'2'!AO44</f>
        <v>0.42893690816449853</v>
      </c>
      <c r="AD44" s="9">
        <f>'3'!M44</f>
        <v>0.5268125760675364</v>
      </c>
      <c r="AE44" s="9">
        <f>'8'!U41</f>
        <v>0.47442374385681746</v>
      </c>
      <c r="AF44" s="9">
        <f t="shared" si="28"/>
        <v>0.50182411189770615</v>
      </c>
      <c r="AG44" s="9">
        <f t="shared" si="29"/>
        <v>0.56413982032703081</v>
      </c>
      <c r="AH44" s="9">
        <f>'1'!AW44</f>
        <v>0.61433476782738228</v>
      </c>
      <c r="AI44" s="9">
        <f>'1'!AY44</f>
        <v>0.68751195902798623</v>
      </c>
      <c r="AJ44" s="9">
        <f>'2'!AW44</f>
        <v>0.34199372268447509</v>
      </c>
      <c r="AK44" s="9">
        <f>'2'!AY44</f>
        <v>0.48859610130154052</v>
      </c>
      <c r="AL44" s="9">
        <f>'3'!P44</f>
        <v>0.43131973016319719</v>
      </c>
      <c r="AM44" s="9">
        <f>'8'!Z41</f>
        <v>0.42970624808759206</v>
      </c>
      <c r="AN44" s="9">
        <f t="shared" si="30"/>
        <v>0.46201157953314986</v>
      </c>
      <c r="AO44" s="9">
        <f t="shared" si="31"/>
        <v>0.53527143613903971</v>
      </c>
      <c r="AP44" s="9">
        <f>'1'!BG44</f>
        <v>0.66398235260167537</v>
      </c>
      <c r="AQ44" s="9">
        <f>'1'!BI44</f>
        <v>0.72895952749429382</v>
      </c>
      <c r="AR44" s="162">
        <f>'2'!BG44</f>
        <v>0.36578628677586084</v>
      </c>
      <c r="AS44" s="9">
        <f>'2'!BI44</f>
        <v>0.51455181197407462</v>
      </c>
      <c r="AT44" s="9">
        <f>'3'!S44</f>
        <v>0.57410892197845653</v>
      </c>
      <c r="AU44" s="9">
        <f>'8'!AE41</f>
        <v>0.5344464201294542</v>
      </c>
      <c r="AV44" s="9">
        <f t="shared" si="32"/>
        <v>0.52140501983566345</v>
      </c>
      <c r="AW44" s="9">
        <f t="shared" si="33"/>
        <v>0.59265258653260755</v>
      </c>
      <c r="AX44" s="9">
        <f>'1'!BQ44</f>
        <v>0.80030932253686493</v>
      </c>
      <c r="AY44" s="9">
        <f>'1'!BS44</f>
        <v>0.83460730376539338</v>
      </c>
      <c r="AZ44" s="9">
        <f>'2'!BQ44</f>
        <v>0.340401199053396</v>
      </c>
      <c r="BA44" s="9">
        <f>'2'!BS44</f>
        <v>0.48681524930613257</v>
      </c>
      <c r="BB44" s="9">
        <f>'3'!V44</f>
        <v>0.55441660086093891</v>
      </c>
      <c r="BC44" s="9">
        <f>'8'!AJ41</f>
        <v>0.47943308971779913</v>
      </c>
      <c r="BD44" s="9">
        <f t="shared" si="34"/>
        <v>0.54004787043601998</v>
      </c>
      <c r="BE44" s="9">
        <f t="shared" si="35"/>
        <v>0.60028521426310844</v>
      </c>
      <c r="BF44" s="9">
        <f>'1'!CA44</f>
        <v>0.67944169860101478</v>
      </c>
      <c r="BG44" s="9">
        <f>'1'!CC44</f>
        <v>0.74152030577034622</v>
      </c>
      <c r="BH44" s="9">
        <f>'2'!CA44</f>
        <v>0.36160520935213802</v>
      </c>
      <c r="BI44" s="9">
        <f>'2'!CC44</f>
        <v>0.51007651824868594</v>
      </c>
      <c r="BJ44" s="9">
        <f>'3'!Y44</f>
        <v>0.50298529058663566</v>
      </c>
      <c r="BK44" s="9">
        <f>'8'!AO41</f>
        <v>0.54980411080613856</v>
      </c>
      <c r="BL44" s="9">
        <f t="shared" si="36"/>
        <v>0.53028367291976375</v>
      </c>
      <c r="BM44" s="9">
        <f t="shared" si="37"/>
        <v>0.60046697827505691</v>
      </c>
      <c r="BN44" s="9">
        <f>'1'!CK44</f>
        <v>0.61691535423387922</v>
      </c>
      <c r="BO44" s="9">
        <f>'1'!CM44</f>
        <v>0.68970946093279106</v>
      </c>
      <c r="BP44" s="9">
        <f>'2'!CK44</f>
        <v>0.6055595697044075</v>
      </c>
      <c r="BQ44" s="9">
        <f>'2'!CM44</f>
        <v>0.72526464608287067</v>
      </c>
      <c r="BR44" s="9">
        <f>'3'!AB44</f>
        <v>0.28804552089360047</v>
      </c>
      <c r="BS44" s="9">
        <f>'8'!AT41</f>
        <v>0.53957873098526143</v>
      </c>
      <c r="BT44" s="9">
        <f t="shared" si="38"/>
        <v>0.58735121830784942</v>
      </c>
      <c r="BU44" s="9">
        <f t="shared" si="39"/>
        <v>0.65151761266697428</v>
      </c>
      <c r="BV44" s="9">
        <f>'1'!CU44</f>
        <v>0.82155636121690789</v>
      </c>
      <c r="BW44" s="9">
        <f>'1'!CW44</f>
        <v>0.8501061472123983</v>
      </c>
      <c r="BX44" s="9">
        <f>'2'!CU44</f>
        <v>0.76764795213749204</v>
      </c>
      <c r="BY44" s="9">
        <f>'2'!CW44</f>
        <v>0.83303909176405355</v>
      </c>
      <c r="BZ44" s="9">
        <f>'3'!AE44</f>
        <v>0.71123737991806979</v>
      </c>
      <c r="CA44" s="9">
        <f>'8'!AY41</f>
        <v>0.65962016254038347</v>
      </c>
      <c r="CB44" s="9">
        <f t="shared" si="40"/>
        <v>0.74960815863159436</v>
      </c>
      <c r="CC44" s="9">
        <f t="shared" si="41"/>
        <v>0.78092180050561177</v>
      </c>
      <c r="CD44" s="9">
        <f>'1'!DE44</f>
        <v>0.81287046766392557</v>
      </c>
      <c r="CE44" s="9">
        <f>'1'!DG44</f>
        <v>0.84379933290354203</v>
      </c>
      <c r="CF44" s="9">
        <f>'2'!DE44</f>
        <v>0.46242942920911284</v>
      </c>
      <c r="CG44" s="9">
        <f>'2'!DG44</f>
        <v>0.60915969145804394</v>
      </c>
      <c r="CH44" s="9">
        <f>'3'!AH44</f>
        <v>0.38694136955494662</v>
      </c>
      <c r="CI44" s="9">
        <f>'8'!BD41</f>
        <v>0.5260128679861612</v>
      </c>
      <c r="CJ44" s="9">
        <f t="shared" si="42"/>
        <v>0.60043758828639993</v>
      </c>
      <c r="CK44" s="9">
        <f t="shared" si="43"/>
        <v>0.65965729744924906</v>
      </c>
    </row>
    <row r="45" spans="1:89">
      <c r="A45" s="1">
        <v>2007</v>
      </c>
      <c r="B45" s="9">
        <f>'1'!I45</f>
        <v>0.78274165438300747</v>
      </c>
      <c r="C45" s="9">
        <f>'1'!K45</f>
        <v>0.82160725311650906</v>
      </c>
      <c r="D45" s="9">
        <f>'2'!I45</f>
        <v>0.42768292531287988</v>
      </c>
      <c r="E45" s="9">
        <f>'2'!K45</f>
        <v>0.57694729775435283</v>
      </c>
      <c r="F45" s="9">
        <f>'3'!D45</f>
        <v>0.53518203140115705</v>
      </c>
      <c r="G45" s="9">
        <f>'8'!F42</f>
        <v>0.52971044644617782</v>
      </c>
      <c r="H45" s="9">
        <f t="shared" si="22"/>
        <v>0.58004500871402176</v>
      </c>
      <c r="I45" s="9">
        <f t="shared" si="23"/>
        <v>0.6427549991056799</v>
      </c>
      <c r="J45" s="9">
        <f>'1'!S45</f>
        <v>0.6559587064521144</v>
      </c>
      <c r="K45" s="9">
        <f>'1'!U45</f>
        <v>0.72237714310924961</v>
      </c>
      <c r="L45" s="9">
        <f>'2'!S45</f>
        <v>0.71947291479627407</v>
      </c>
      <c r="M45" s="9">
        <f>'2'!U45</f>
        <v>0.80310703695324015</v>
      </c>
      <c r="N45" s="9">
        <f>'3'!G45</f>
        <v>0.5225744277441462</v>
      </c>
      <c r="O45" s="9">
        <f>'8'!K42</f>
        <v>0.47422061376665747</v>
      </c>
      <c r="P45" s="9">
        <f t="shared" si="24"/>
        <v>0.61655074500501528</v>
      </c>
      <c r="Q45" s="9">
        <f t="shared" si="25"/>
        <v>0.66656826460971574</v>
      </c>
      <c r="R45" s="9">
        <f>'1'!AC45</f>
        <v>0.66853084073780777</v>
      </c>
      <c r="S45" s="9">
        <f>'1'!AE45</f>
        <v>0.73267170806466719</v>
      </c>
      <c r="T45" s="9">
        <f>'2'!AC45</f>
        <v>0.265891661587077</v>
      </c>
      <c r="U45" s="9">
        <f>'2'!AE45</f>
        <v>0.39647885589714488</v>
      </c>
      <c r="V45" s="9">
        <f>'3'!J45</f>
        <v>0.80264168779177147</v>
      </c>
      <c r="W45" s="9">
        <f>'8'!P42</f>
        <v>0.45602704685559181</v>
      </c>
      <c r="X45" s="9">
        <f t="shared" si="26"/>
        <v>0.46348318306015884</v>
      </c>
      <c r="Y45" s="9">
        <f t="shared" si="27"/>
        <v>0.52839253693913457</v>
      </c>
      <c r="Z45" s="9">
        <f>'1'!AM45</f>
        <v>0.77687106671694695</v>
      </c>
      <c r="AA45" s="9">
        <f>'1'!AO45</f>
        <v>0.81722482931297291</v>
      </c>
      <c r="AB45" s="9">
        <f>'2'!AM45</f>
        <v>0.29846217273990971</v>
      </c>
      <c r="AC45" s="9">
        <f>'2'!AO45</f>
        <v>0.43776351756161452</v>
      </c>
      <c r="AD45" s="9">
        <f>'3'!M45</f>
        <v>0.48664826436349179</v>
      </c>
      <c r="AE45" s="9">
        <f>'8'!U42</f>
        <v>0.46240489681755076</v>
      </c>
      <c r="AF45" s="9">
        <f t="shared" si="28"/>
        <v>0.51257937875813575</v>
      </c>
      <c r="AG45" s="9">
        <f t="shared" si="29"/>
        <v>0.57246441456404606</v>
      </c>
      <c r="AH45" s="9">
        <f>'1'!AW45</f>
        <v>0.66373896871061133</v>
      </c>
      <c r="AI45" s="9">
        <f>'1'!AY45</f>
        <v>0.72876050189298491</v>
      </c>
      <c r="AJ45" s="9">
        <f>'2'!AW45</f>
        <v>0.35078395762648368</v>
      </c>
      <c r="AK45" s="9">
        <f>'2'!AY45</f>
        <v>0.49832563144138281</v>
      </c>
      <c r="AL45" s="9">
        <f>'3'!P45</f>
        <v>0.42375287452978916</v>
      </c>
      <c r="AM45" s="9">
        <f>'8'!Z42</f>
        <v>0.46219815595868874</v>
      </c>
      <c r="AN45" s="9">
        <f t="shared" si="30"/>
        <v>0.49224036076526123</v>
      </c>
      <c r="AO45" s="9">
        <f t="shared" si="31"/>
        <v>0.56309476309768547</v>
      </c>
      <c r="AP45" s="9">
        <f>'1'!BG45</f>
        <v>0.6945657394459801</v>
      </c>
      <c r="AQ45" s="9">
        <f>'1'!BI45</f>
        <v>0.75365686555642375</v>
      </c>
      <c r="AR45" s="162">
        <f>'2'!BG45</f>
        <v>0.37177909528293296</v>
      </c>
      <c r="AS45" s="9">
        <f>'2'!BI45</f>
        <v>0.5209048384379017</v>
      </c>
      <c r="AT45" s="9">
        <f>'3'!S45</f>
        <v>0.54629721444866153</v>
      </c>
      <c r="AU45" s="9">
        <f>'8'!AE42</f>
        <v>0.54179939300696378</v>
      </c>
      <c r="AV45" s="9">
        <f t="shared" si="32"/>
        <v>0.53604807591195891</v>
      </c>
      <c r="AW45" s="9">
        <f t="shared" si="33"/>
        <v>0.60545369900042967</v>
      </c>
      <c r="AX45" s="9">
        <f>'1'!BQ45</f>
        <v>0.83102631976755947</v>
      </c>
      <c r="AY45" s="9">
        <f>'1'!BS45</f>
        <v>0.85693695596324293</v>
      </c>
      <c r="AZ45" s="9">
        <f>'2'!BQ45</f>
        <v>0.34695529269353176</v>
      </c>
      <c r="BA45" s="9">
        <f>'2'!BS45</f>
        <v>0.49410852811911538</v>
      </c>
      <c r="BB45" s="9">
        <f>'3'!V45</f>
        <v>0.5745115262429128</v>
      </c>
      <c r="BC45" s="9">
        <f>'8'!AJ42</f>
        <v>0.48379150242867963</v>
      </c>
      <c r="BD45" s="9">
        <f t="shared" si="34"/>
        <v>0.55392437162992358</v>
      </c>
      <c r="BE45" s="9">
        <f t="shared" si="35"/>
        <v>0.61161232883701266</v>
      </c>
      <c r="BF45" s="9">
        <f>'1'!CA45</f>
        <v>0.71962194070955743</v>
      </c>
      <c r="BG45" s="9">
        <f>'1'!CC45</f>
        <v>0.77344302300398171</v>
      </c>
      <c r="BH45" s="9">
        <f>'2'!CA45</f>
        <v>0.36849160125548541</v>
      </c>
      <c r="BI45" s="9">
        <f>'2'!CC45</f>
        <v>0.51742862987364047</v>
      </c>
      <c r="BJ45" s="9">
        <f>'3'!Y45</f>
        <v>0.50809557824988527</v>
      </c>
      <c r="BK45" s="9">
        <f>'8'!AO42</f>
        <v>0.54530907348558999</v>
      </c>
      <c r="BL45" s="9">
        <f t="shared" si="36"/>
        <v>0.54447420515021105</v>
      </c>
      <c r="BM45" s="9">
        <f t="shared" si="37"/>
        <v>0.6120602421210708</v>
      </c>
      <c r="BN45" s="9">
        <f>'1'!CK45</f>
        <v>0.65693432593297085</v>
      </c>
      <c r="BO45" s="9">
        <f>'1'!CM45</f>
        <v>0.72317984803620705</v>
      </c>
      <c r="BP45" s="9">
        <f>'2'!CK45</f>
        <v>0.61600344737637414</v>
      </c>
      <c r="BQ45" s="9">
        <f>'2'!CM45</f>
        <v>0.73286744324366149</v>
      </c>
      <c r="BR45" s="9">
        <f>'3'!AB45</f>
        <v>0.43136279456039345</v>
      </c>
      <c r="BS45" s="9">
        <f>'8'!AT42</f>
        <v>0.5813283221004123</v>
      </c>
      <c r="BT45" s="9">
        <f t="shared" si="38"/>
        <v>0.6180886984699191</v>
      </c>
      <c r="BU45" s="9">
        <f t="shared" si="39"/>
        <v>0.67912520446009361</v>
      </c>
      <c r="BV45" s="9">
        <f>'1'!CU45</f>
        <v>0.86475982217625125</v>
      </c>
      <c r="BW45" s="9">
        <f>'1'!CW45</f>
        <v>0.88089473974849031</v>
      </c>
      <c r="BX45" s="9">
        <f>'2'!CU45</f>
        <v>0.72240354424069397</v>
      </c>
      <c r="BY45" s="9">
        <f>'2'!CW45</f>
        <v>0.80497412662572365</v>
      </c>
      <c r="BZ45" s="9">
        <f>'3'!AE45</f>
        <v>0.69283348731330996</v>
      </c>
      <c r="CA45" s="9">
        <f>'8'!AY42</f>
        <v>0.64713182237130851</v>
      </c>
      <c r="CB45" s="9">
        <f t="shared" si="40"/>
        <v>0.74476506292941791</v>
      </c>
      <c r="CC45" s="9">
        <f t="shared" si="41"/>
        <v>0.77766689624850738</v>
      </c>
      <c r="CD45" s="9">
        <f>'1'!DE45</f>
        <v>0.84963062949886803</v>
      </c>
      <c r="CE45" s="9">
        <f>'1'!DG45</f>
        <v>0.87022126154105894</v>
      </c>
      <c r="CF45" s="9">
        <f>'2'!DE45</f>
        <v>0.46386250113812744</v>
      </c>
      <c r="CG45" s="9">
        <f>'2'!DG45</f>
        <v>0.61044942685065262</v>
      </c>
      <c r="CH45" s="9">
        <f>'3'!AH45</f>
        <v>0.44873461455964792</v>
      </c>
      <c r="CI45" s="9">
        <f>'8'!BD42</f>
        <v>0.5516852389215201</v>
      </c>
      <c r="CJ45" s="9">
        <f t="shared" si="42"/>
        <v>0.62172612318617182</v>
      </c>
      <c r="CK45" s="9">
        <f t="shared" si="43"/>
        <v>0.67745197577107719</v>
      </c>
    </row>
    <row r="46" spans="1:89">
      <c r="A46" s="1">
        <v>2008</v>
      </c>
      <c r="B46" s="9">
        <f>'1'!I46</f>
        <v>0.80583389411014994</v>
      </c>
      <c r="C46" s="9">
        <f>'1'!K46</f>
        <v>0.83866057010893658</v>
      </c>
      <c r="D46" s="9">
        <f>'2'!I46</f>
        <v>0.47911064987499741</v>
      </c>
      <c r="E46" s="9">
        <f>'2'!K46</f>
        <v>0.62399230517300985</v>
      </c>
      <c r="F46" s="9">
        <f>'3'!D46</f>
        <v>0.49344838232948285</v>
      </c>
      <c r="G46" s="9">
        <f>'8'!F43</f>
        <v>0.52098448905782768</v>
      </c>
      <c r="H46" s="9">
        <f t="shared" si="22"/>
        <v>0.60197634434765834</v>
      </c>
      <c r="I46" s="9">
        <f t="shared" si="23"/>
        <v>0.66121245477992463</v>
      </c>
      <c r="J46" s="9">
        <f>'1'!S46</f>
        <v>0.71512018986386705</v>
      </c>
      <c r="K46" s="9">
        <f>'1'!U46</f>
        <v>0.76991703522837418</v>
      </c>
      <c r="L46" s="9">
        <f>'2'!S46</f>
        <v>0.78818108483662708</v>
      </c>
      <c r="M46" s="9">
        <f>'2'!U46</f>
        <v>0.84532781098708754</v>
      </c>
      <c r="N46" s="9">
        <f>'3'!G46</f>
        <v>0.4347167122262191</v>
      </c>
      <c r="O46" s="9">
        <f>'8'!K43</f>
        <v>0.47363544773355193</v>
      </c>
      <c r="P46" s="9">
        <f t="shared" si="24"/>
        <v>0.65897890747801535</v>
      </c>
      <c r="Q46" s="9">
        <f t="shared" si="25"/>
        <v>0.69629343131633792</v>
      </c>
      <c r="R46" s="9">
        <f>'1'!AC46</f>
        <v>0.68491238251049869</v>
      </c>
      <c r="S46" s="9">
        <f>'1'!AE46</f>
        <v>0.74592748854801316</v>
      </c>
      <c r="T46" s="9">
        <f>'2'!AC46</f>
        <v>0.27622545623768457</v>
      </c>
      <c r="U46" s="9">
        <f>'2'!AE46</f>
        <v>0.40990863272765399</v>
      </c>
      <c r="V46" s="9">
        <f>'3'!J46</f>
        <v>0.68180358425468834</v>
      </c>
      <c r="W46" s="9">
        <f>'8'!P43</f>
        <v>0.4239921492289318</v>
      </c>
      <c r="X46" s="9">
        <f t="shared" si="26"/>
        <v>0.46170999599237167</v>
      </c>
      <c r="Y46" s="9">
        <f t="shared" si="27"/>
        <v>0.52660942350153295</v>
      </c>
      <c r="Z46" s="9">
        <f>'1'!AM46</f>
        <v>0.80989374454177732</v>
      </c>
      <c r="AA46" s="9">
        <f>'1'!AO46</f>
        <v>0.84162869459795764</v>
      </c>
      <c r="AB46" s="9">
        <f>'2'!AM46</f>
        <v>0.30962992660515748</v>
      </c>
      <c r="AC46" s="9">
        <f>'2'!AO46</f>
        <v>0.45124894991336972</v>
      </c>
      <c r="AD46" s="9">
        <f>'3'!M46</f>
        <v>0.42745334617073449</v>
      </c>
      <c r="AE46" s="9">
        <f>'8'!U43</f>
        <v>0.43828585190456404</v>
      </c>
      <c r="AF46" s="9">
        <f t="shared" si="28"/>
        <v>0.51926984101716622</v>
      </c>
      <c r="AG46" s="9">
        <f t="shared" si="29"/>
        <v>0.57705449880529713</v>
      </c>
      <c r="AH46" s="9">
        <f>'1'!AW46</f>
        <v>0.68107601312331356</v>
      </c>
      <c r="AI46" s="9">
        <f>'1'!AY46</f>
        <v>0.74283895849037906</v>
      </c>
      <c r="AJ46" s="9">
        <f>'2'!AW46</f>
        <v>0.37018756012340487</v>
      </c>
      <c r="AK46" s="9">
        <f>'2'!AY46</f>
        <v>0.51922462673817538</v>
      </c>
      <c r="AL46" s="9">
        <f>'3'!P46</f>
        <v>0.46664458557383881</v>
      </c>
      <c r="AM46" s="9">
        <f>'8'!Z43</f>
        <v>0.44300580529577527</v>
      </c>
      <c r="AN46" s="9">
        <f t="shared" si="30"/>
        <v>0.49808979284749788</v>
      </c>
      <c r="AO46" s="9">
        <f t="shared" si="31"/>
        <v>0.56835646350810987</v>
      </c>
      <c r="AP46" s="9">
        <f>'1'!BG46</f>
        <v>0.72529580636546875</v>
      </c>
      <c r="AQ46" s="9">
        <f>'1'!BI46</f>
        <v>0.77786931651514157</v>
      </c>
      <c r="AR46" s="162">
        <f>'2'!BG46</f>
        <v>0.38465959997018262</v>
      </c>
      <c r="AS46" s="9">
        <f>'2'!BI46</f>
        <v>0.53432136612352776</v>
      </c>
      <c r="AT46" s="9">
        <f>'3'!S46</f>
        <v>0.48578140509320167</v>
      </c>
      <c r="AU46" s="9">
        <f>'8'!AE43</f>
        <v>0.5309923609365208</v>
      </c>
      <c r="AV46" s="9">
        <f t="shared" si="32"/>
        <v>0.54698258909072406</v>
      </c>
      <c r="AW46" s="9">
        <f t="shared" si="33"/>
        <v>0.61439434785839675</v>
      </c>
      <c r="AX46" s="9">
        <f>'1'!BQ46</f>
        <v>0.84862489336049207</v>
      </c>
      <c r="AY46" s="9">
        <f>'1'!BS46</f>
        <v>0.86950764465278574</v>
      </c>
      <c r="AZ46" s="9">
        <f>'2'!BQ46</f>
        <v>0.36273031146914259</v>
      </c>
      <c r="BA46" s="9">
        <f>'2'!BS46</f>
        <v>0.51128429942255593</v>
      </c>
      <c r="BB46" s="9">
        <f>'3'!V46</f>
        <v>0.51894797277583138</v>
      </c>
      <c r="BC46" s="9">
        <f>'8'!AJ43</f>
        <v>0.46402463332582</v>
      </c>
      <c r="BD46" s="9">
        <f t="shared" si="34"/>
        <v>0.55845994605181826</v>
      </c>
      <c r="BE46" s="9">
        <f t="shared" si="35"/>
        <v>0.61493885913372059</v>
      </c>
      <c r="BF46" s="9">
        <f>'1'!CA46</f>
        <v>0.74282601191343089</v>
      </c>
      <c r="BG46" s="9">
        <f>'1'!CC46</f>
        <v>0.79142170147628566</v>
      </c>
      <c r="BH46" s="9">
        <f>'2'!CA46</f>
        <v>0.38952076550397019</v>
      </c>
      <c r="BI46" s="9">
        <f>'2'!CC46</f>
        <v>0.53930276419625633</v>
      </c>
      <c r="BJ46" s="9">
        <f>'3'!Y46</f>
        <v>0.57295653119191481</v>
      </c>
      <c r="BK46" s="9">
        <f>'8'!AO43</f>
        <v>0.55656450916064115</v>
      </c>
      <c r="BL46" s="9">
        <f t="shared" si="36"/>
        <v>0.56297042885934745</v>
      </c>
      <c r="BM46" s="9">
        <f t="shared" si="37"/>
        <v>0.62909632494439427</v>
      </c>
      <c r="BN46" s="9">
        <f>'1'!CK46</f>
        <v>0.69936242887256606</v>
      </c>
      <c r="BO46" s="9">
        <f>'1'!CM46</f>
        <v>0.75747529401680791</v>
      </c>
      <c r="BP46" s="9">
        <f>'2'!CK46</f>
        <v>0.6745406667701751</v>
      </c>
      <c r="BQ46" s="9">
        <f>'2'!CM46</f>
        <v>0.77367635915858646</v>
      </c>
      <c r="BR46" s="9">
        <f>'3'!AB46</f>
        <v>0.51635645721202372</v>
      </c>
      <c r="BS46" s="9">
        <f>'8'!AT43</f>
        <v>0.63483534072125725</v>
      </c>
      <c r="BT46" s="9">
        <f t="shared" si="38"/>
        <v>0.6695794787879995</v>
      </c>
      <c r="BU46" s="9">
        <f t="shared" si="39"/>
        <v>0.72199566463221709</v>
      </c>
      <c r="BV46" s="9">
        <f>'1'!CU46</f>
        <v>0.88906274999430579</v>
      </c>
      <c r="BW46" s="9">
        <f>'1'!CW46</f>
        <v>0.89780371232101941</v>
      </c>
      <c r="BX46" s="9">
        <f>'2'!CU46</f>
        <v>0.91666666666666663</v>
      </c>
      <c r="BY46" s="9">
        <f>'2'!CW46</f>
        <v>0.91666666666666674</v>
      </c>
      <c r="BZ46" s="9">
        <f>'3'!AE46</f>
        <v>0.73403482298833467</v>
      </c>
      <c r="CA46" s="9">
        <f>'8'!AY43</f>
        <v>0.65600527393835106</v>
      </c>
      <c r="CB46" s="9">
        <f t="shared" si="40"/>
        <v>0.82057823019977449</v>
      </c>
      <c r="CC46" s="9">
        <f t="shared" si="41"/>
        <v>0.82349188430867903</v>
      </c>
      <c r="CD46" s="9">
        <f>'1'!DE46</f>
        <v>0.86222999470382578</v>
      </c>
      <c r="CE46" s="9">
        <f>'1'!DG46</f>
        <v>0.87911793917696424</v>
      </c>
      <c r="CF46" s="9">
        <f>'2'!DE46</f>
        <v>0.49466415723318619</v>
      </c>
      <c r="CG46" s="9">
        <f>'2'!DG46</f>
        <v>0.63747832208628719</v>
      </c>
      <c r="CH46" s="9">
        <f>'3'!AH46</f>
        <v>0.3433856429534306</v>
      </c>
      <c r="CI46" s="9">
        <f>'8'!BD43</f>
        <v>0.53503075504935782</v>
      </c>
      <c r="CJ46" s="9">
        <f t="shared" si="42"/>
        <v>0.63064163566212328</v>
      </c>
      <c r="CK46" s="9">
        <f t="shared" si="43"/>
        <v>0.68387567210420297</v>
      </c>
    </row>
    <row r="47" spans="1:89">
      <c r="A47" s="1">
        <v>2009</v>
      </c>
      <c r="B47" s="9">
        <f>'1'!I47</f>
        <v>0.81159519848141226</v>
      </c>
      <c r="C47" s="9">
        <f>'1'!K47</f>
        <v>0.84286998213869713</v>
      </c>
      <c r="D47" s="9">
        <f>'2'!I47</f>
        <v>0.42718276285445739</v>
      </c>
      <c r="E47" s="9">
        <f>'2'!K47</f>
        <v>0.57646987051589094</v>
      </c>
      <c r="F47" s="9">
        <f>'3'!D47</f>
        <v>0.48990011732755612</v>
      </c>
      <c r="G47" s="9">
        <f>'8'!F44</f>
        <v>0.48573658005511883</v>
      </c>
      <c r="H47" s="9">
        <f t="shared" si="22"/>
        <v>0.57483818046366275</v>
      </c>
      <c r="I47" s="9">
        <f t="shared" si="23"/>
        <v>0.63502547756990235</v>
      </c>
      <c r="J47" s="9">
        <f>'1'!S47</f>
        <v>0.74530987547333027</v>
      </c>
      <c r="K47" s="9">
        <f>'1'!U47</f>
        <v>0.79332708014483178</v>
      </c>
      <c r="L47" s="9">
        <f>'2'!S47</f>
        <v>0.8126686150603466</v>
      </c>
      <c r="M47" s="9">
        <f>'2'!U47</f>
        <v>0.85964045404846057</v>
      </c>
      <c r="N47" s="9">
        <f>'3'!G47</f>
        <v>0.4904809624274809</v>
      </c>
      <c r="O47" s="9">
        <f>'8'!K44</f>
        <v>0.45899527638509663</v>
      </c>
      <c r="P47" s="9">
        <f t="shared" si="24"/>
        <v>0.67232458897292446</v>
      </c>
      <c r="Q47" s="9">
        <f t="shared" si="25"/>
        <v>0.70398760352612966</v>
      </c>
      <c r="R47" s="9">
        <f>'1'!AC47</f>
        <v>0.71683542809959488</v>
      </c>
      <c r="S47" s="9">
        <f>'1'!AE47</f>
        <v>0.77126196833508209</v>
      </c>
      <c r="T47" s="9">
        <f>'2'!AC47</f>
        <v>0.27521788818408738</v>
      </c>
      <c r="U47" s="9">
        <f>'2'!AE47</f>
        <v>0.4086132226187924</v>
      </c>
      <c r="V47" s="9">
        <f>'3'!J47</f>
        <v>0.7859903746853204</v>
      </c>
      <c r="W47" s="9">
        <f>'8'!P44</f>
        <v>0.42819014567816238</v>
      </c>
      <c r="X47" s="9">
        <f t="shared" si="26"/>
        <v>0.47341448732061481</v>
      </c>
      <c r="Y47" s="9">
        <f t="shared" si="27"/>
        <v>0.53602177887734559</v>
      </c>
      <c r="Z47" s="9">
        <f>'1'!AM47</f>
        <v>0.83727019376457168</v>
      </c>
      <c r="AA47" s="9">
        <f>'1'!AO47</f>
        <v>0.86141519172683745</v>
      </c>
      <c r="AB47" s="9">
        <f>'2'!AM47</f>
        <v>0.29485160884337808</v>
      </c>
      <c r="AC47" s="9">
        <f>'2'!AO47</f>
        <v>0.43333353197821756</v>
      </c>
      <c r="AD47" s="9">
        <f>'3'!M47</f>
        <v>0.43435666890078939</v>
      </c>
      <c r="AE47" s="9">
        <f>'8'!U44</f>
        <v>0.40225455394959675</v>
      </c>
      <c r="AF47" s="9">
        <f t="shared" si="28"/>
        <v>0.51145878551918222</v>
      </c>
      <c r="AG47" s="9">
        <f t="shared" si="29"/>
        <v>0.56566775921821721</v>
      </c>
      <c r="AH47" s="9">
        <f>'1'!AW47</f>
        <v>0.70272834587279165</v>
      </c>
      <c r="AI47" s="9">
        <f>'1'!AY47</f>
        <v>0.76014601381012648</v>
      </c>
      <c r="AJ47" s="9">
        <f>'2'!AW47</f>
        <v>0.34405645382478789</v>
      </c>
      <c r="AK47" s="9">
        <f>'2'!AY47</f>
        <v>0.49089441374804688</v>
      </c>
      <c r="AL47" s="9">
        <f>'3'!P47</f>
        <v>0.51945171804193502</v>
      </c>
      <c r="AM47" s="9">
        <f>'8'!Z44</f>
        <v>0.42334944065335423</v>
      </c>
      <c r="AN47" s="9">
        <f t="shared" si="30"/>
        <v>0.49004474678364457</v>
      </c>
      <c r="AO47" s="9">
        <f t="shared" si="31"/>
        <v>0.55812995607050919</v>
      </c>
      <c r="AP47" s="9">
        <f>'1'!BG47</f>
        <v>0.74223082043253719</v>
      </c>
      <c r="AQ47" s="9">
        <f>'1'!BI47</f>
        <v>0.79096458520522717</v>
      </c>
      <c r="AR47" s="162">
        <f>'2'!BG47</f>
        <v>0.37003909407371349</v>
      </c>
      <c r="AS47" s="9">
        <f>'2'!BI47</f>
        <v>0.51906763217554075</v>
      </c>
      <c r="AT47" s="9">
        <f>'3'!S47</f>
        <v>0.55743456629889687</v>
      </c>
      <c r="AU47" s="9">
        <f>'8'!AE44</f>
        <v>0.49796487617219848</v>
      </c>
      <c r="AV47" s="9">
        <f t="shared" si="32"/>
        <v>0.53674493022614966</v>
      </c>
      <c r="AW47" s="9">
        <f t="shared" si="33"/>
        <v>0.60266569785098878</v>
      </c>
      <c r="AX47" s="9">
        <f>'1'!BQ47</f>
        <v>0.85186627990389541</v>
      </c>
      <c r="AY47" s="9">
        <f>'1'!BS47</f>
        <v>0.87180572653822319</v>
      </c>
      <c r="AZ47" s="9">
        <f>'2'!BQ47</f>
        <v>0.3451465160515671</v>
      </c>
      <c r="BA47" s="9">
        <f>'2'!BS47</f>
        <v>0.49210518678505266</v>
      </c>
      <c r="BB47" s="9">
        <f>'3'!V47</f>
        <v>0.50214907569174194</v>
      </c>
      <c r="BC47" s="9">
        <f>'8'!AJ44</f>
        <v>0.43316800828593127</v>
      </c>
      <c r="BD47" s="9">
        <f t="shared" si="34"/>
        <v>0.54339360141379789</v>
      </c>
      <c r="BE47" s="9">
        <f t="shared" si="35"/>
        <v>0.59902630720306904</v>
      </c>
      <c r="BF47" s="9">
        <f>'1'!CA47</f>
        <v>0.7565639608261242</v>
      </c>
      <c r="BG47" s="9">
        <f>'1'!CC47</f>
        <v>0.80191462742732689</v>
      </c>
      <c r="BH47" s="9">
        <f>'2'!CA47</f>
        <v>0.37044831612751117</v>
      </c>
      <c r="BI47" s="9">
        <f>'2'!CC47</f>
        <v>0.51950025560064539</v>
      </c>
      <c r="BJ47" s="9">
        <f>'3'!Y47</f>
        <v>0.57044824849781883</v>
      </c>
      <c r="BK47" s="9">
        <f>'8'!AO44</f>
        <v>0.52552605567741117</v>
      </c>
      <c r="BL47" s="9">
        <f t="shared" si="36"/>
        <v>0.55084611087701552</v>
      </c>
      <c r="BM47" s="9">
        <f t="shared" si="37"/>
        <v>0.61564697956846126</v>
      </c>
      <c r="BN47" s="9">
        <f>'1'!CK47</f>
        <v>0.69374528402758773</v>
      </c>
      <c r="BO47" s="9">
        <f>'1'!CM47</f>
        <v>0.75300226565837691</v>
      </c>
      <c r="BP47" s="9">
        <f>'2'!CK47</f>
        <v>0.63891609895147317</v>
      </c>
      <c r="BQ47" s="9">
        <f>'2'!CM47</f>
        <v>0.74919544101271807</v>
      </c>
      <c r="BR47" s="9">
        <f>'3'!AB47</f>
        <v>0.52324420602529553</v>
      </c>
      <c r="BS47" s="9">
        <f>'8'!AT44</f>
        <v>0.5954554782091106</v>
      </c>
      <c r="BT47" s="9">
        <f t="shared" si="38"/>
        <v>0.64270562039605716</v>
      </c>
      <c r="BU47" s="9">
        <f t="shared" si="39"/>
        <v>0.6992177282934019</v>
      </c>
      <c r="BV47" s="9">
        <f>'1'!CU47</f>
        <v>0.87700599972243976</v>
      </c>
      <c r="BW47" s="9">
        <f>'1'!CW47</f>
        <v>0.88945109145284962</v>
      </c>
      <c r="BX47" s="9">
        <f>'2'!CU47</f>
        <v>0.84782283136184522</v>
      </c>
      <c r="BY47" s="9">
        <f>'2'!CW47</f>
        <v>0.87957087912203202</v>
      </c>
      <c r="BZ47" s="9">
        <f>'3'!AE47</f>
        <v>0.56330550852340866</v>
      </c>
      <c r="CA47" s="9">
        <f>'8'!AY44</f>
        <v>0.61584323728248902</v>
      </c>
      <c r="CB47" s="9">
        <f t="shared" si="40"/>
        <v>0.78022402278892466</v>
      </c>
      <c r="CC47" s="9">
        <f t="shared" si="41"/>
        <v>0.79495506928579029</v>
      </c>
      <c r="CD47" s="9">
        <f>'1'!DE47</f>
        <v>0.85586079389294423</v>
      </c>
      <c r="CE47" s="9">
        <f>'1'!DG47</f>
        <v>0.87463046942512224</v>
      </c>
      <c r="CF47" s="9">
        <f>'2'!DE47</f>
        <v>0.47230914776830207</v>
      </c>
      <c r="CG47" s="9">
        <f>'2'!DG47</f>
        <v>0.61799171047208967</v>
      </c>
      <c r="CH47" s="9">
        <f>'3'!AH47</f>
        <v>0.33362442119702618</v>
      </c>
      <c r="CI47" s="9">
        <f>'8'!BD44</f>
        <v>0.49199350820397819</v>
      </c>
      <c r="CJ47" s="9">
        <f t="shared" si="42"/>
        <v>0.60672114995507476</v>
      </c>
      <c r="CK47" s="9">
        <f t="shared" si="43"/>
        <v>0.66153856270039668</v>
      </c>
    </row>
    <row r="48" spans="1:89">
      <c r="A48" s="1">
        <v>2010</v>
      </c>
      <c r="B48" s="9">
        <f>'1'!I48</f>
        <v>0.83603513861958567</v>
      </c>
      <c r="C48" s="9">
        <f>'1'!K48</f>
        <v>0.86053098459620181</v>
      </c>
      <c r="D48" s="9">
        <f>'2'!I48</f>
        <v>0.43582687101768375</v>
      </c>
      <c r="E48" s="9">
        <f>'2'!K48</f>
        <v>0.58466455153998442</v>
      </c>
      <c r="F48" s="9">
        <f>'3'!D48</f>
        <v>0.48990011732755612</v>
      </c>
      <c r="G48" s="9">
        <f>'8'!F45</f>
        <v>0.48472340768248307</v>
      </c>
      <c r="H48" s="9">
        <f t="shared" si="22"/>
        <v>0.58552847243991757</v>
      </c>
      <c r="I48" s="9">
        <f t="shared" si="23"/>
        <v>0.64330631460622312</v>
      </c>
      <c r="J48" s="9">
        <f>'1'!S48</f>
        <v>0.78807770795431809</v>
      </c>
      <c r="K48" s="9">
        <f>'1'!U48</f>
        <v>0.82557394304033982</v>
      </c>
      <c r="L48" s="9">
        <f>'2'!S48</f>
        <v>0.80272982683000638</v>
      </c>
      <c r="M48" s="9">
        <f>'2'!U48</f>
        <v>0.85387521792337062</v>
      </c>
      <c r="N48" s="9">
        <f>'3'!G48</f>
        <v>0.4904809624274809</v>
      </c>
      <c r="O48" s="9">
        <f>'8'!K45</f>
        <v>0.47297315923293426</v>
      </c>
      <c r="P48" s="9">
        <f t="shared" si="24"/>
        <v>0.68792689800575291</v>
      </c>
      <c r="Q48" s="9">
        <f t="shared" si="25"/>
        <v>0.7174741067322149</v>
      </c>
      <c r="R48" s="9">
        <f>'1'!AC48</f>
        <v>0.74860183445626904</v>
      </c>
      <c r="S48" s="9">
        <f>'1'!AE48</f>
        <v>0.7958467334661814</v>
      </c>
      <c r="T48" s="9">
        <f>'2'!AC48</f>
        <v>0.28464226347746752</v>
      </c>
      <c r="U48" s="9">
        <f>'2'!AE48</f>
        <v>0.42061491634365228</v>
      </c>
      <c r="V48" s="9">
        <f>'3'!J48</f>
        <v>0.7859903746853204</v>
      </c>
      <c r="W48" s="9">
        <f>'8'!P45</f>
        <v>0.45422804823823049</v>
      </c>
      <c r="X48" s="9">
        <f t="shared" si="26"/>
        <v>0.49582404872398894</v>
      </c>
      <c r="Y48" s="9">
        <f t="shared" si="27"/>
        <v>0.55689656601602133</v>
      </c>
      <c r="Z48" s="9">
        <f>'1'!AM48</f>
        <v>0.86656261342980634</v>
      </c>
      <c r="AA48" s="9">
        <f>'1'!AO48</f>
        <v>0.88215897705126389</v>
      </c>
      <c r="AB48" s="9">
        <f>'2'!AM48</f>
        <v>0.30164917372179045</v>
      </c>
      <c r="AC48" s="9">
        <f>'2'!AO48</f>
        <v>0.44164501971860437</v>
      </c>
      <c r="AD48" s="9">
        <f>'3'!M48</f>
        <v>0.43435666890078939</v>
      </c>
      <c r="AE48" s="9">
        <f>'8'!U45</f>
        <v>0.39301948177345436</v>
      </c>
      <c r="AF48" s="9">
        <f t="shared" si="28"/>
        <v>0.52041042297501694</v>
      </c>
      <c r="AG48" s="9">
        <f t="shared" si="29"/>
        <v>0.57227449284777421</v>
      </c>
      <c r="AH48" s="9">
        <f>'1'!AW48</f>
        <v>0.73322971093990053</v>
      </c>
      <c r="AI48" s="9">
        <f>'1'!AY48</f>
        <v>0.78402582967898138</v>
      </c>
      <c r="AJ48" s="9">
        <f>'2'!AW48</f>
        <v>0.34582441076233233</v>
      </c>
      <c r="AK48" s="9">
        <f>'2'!AY48</f>
        <v>0.49285683712402817</v>
      </c>
      <c r="AL48" s="9">
        <f>'3'!P48</f>
        <v>0.51945171804193502</v>
      </c>
      <c r="AM48" s="9">
        <f>'8'!Z45</f>
        <v>0.41103494289026249</v>
      </c>
      <c r="AN48" s="9">
        <f t="shared" si="30"/>
        <v>0.49669635486416513</v>
      </c>
      <c r="AO48" s="9">
        <f t="shared" si="31"/>
        <v>0.56263920323109062</v>
      </c>
      <c r="AP48" s="9">
        <f>'1'!BG48</f>
        <v>0.76730257696181658</v>
      </c>
      <c r="AQ48" s="9">
        <f>'1'!BI48</f>
        <v>0.8100402110447309</v>
      </c>
      <c r="AR48" s="162">
        <f>'2'!BG48</f>
        <v>0.37458867321138462</v>
      </c>
      <c r="AS48" s="9">
        <f>'2'!BI48</f>
        <v>0.52385875895793443</v>
      </c>
      <c r="AT48" s="9">
        <f>'3'!S48</f>
        <v>0.55743456629889687</v>
      </c>
      <c r="AU48" s="9">
        <f>'8'!AE45</f>
        <v>0.49951556067048475</v>
      </c>
      <c r="AV48" s="9">
        <f t="shared" si="32"/>
        <v>0.54713560361456193</v>
      </c>
      <c r="AW48" s="9">
        <f t="shared" si="33"/>
        <v>0.6111381768910501</v>
      </c>
      <c r="AX48" s="9">
        <f>'1'!BQ48</f>
        <v>0.87205048722580303</v>
      </c>
      <c r="AY48" s="9">
        <f>'1'!BS48</f>
        <v>0.885997567297651</v>
      </c>
      <c r="AZ48" s="9">
        <f>'2'!BQ48</f>
        <v>0.34987624280597179</v>
      </c>
      <c r="BA48" s="9">
        <f>'2'!BS48</f>
        <v>0.49732868083324477</v>
      </c>
      <c r="BB48" s="9">
        <f>'3'!V48</f>
        <v>0.50214907569174194</v>
      </c>
      <c r="BC48" s="9">
        <f>'8'!AJ45</f>
        <v>0.42629406192423747</v>
      </c>
      <c r="BD48" s="9">
        <f t="shared" si="34"/>
        <v>0.54940693065200408</v>
      </c>
      <c r="BE48" s="9">
        <f t="shared" si="35"/>
        <v>0.60320677001837775</v>
      </c>
      <c r="BF48" s="9">
        <f>'1'!CA48</f>
        <v>0.78270217470703973</v>
      </c>
      <c r="BG48" s="9">
        <f>'1'!CC48</f>
        <v>0.82157784580449233</v>
      </c>
      <c r="BH48" s="9">
        <f>'2'!CA48</f>
        <v>0.37551026795015141</v>
      </c>
      <c r="BI48" s="9">
        <f>'2'!CC48</f>
        <v>0.52482433047163057</v>
      </c>
      <c r="BJ48" s="9">
        <f>'3'!Y48</f>
        <v>0.57044824849781883</v>
      </c>
      <c r="BK48" s="9">
        <f>'8'!AO45</f>
        <v>0.52085201986743479</v>
      </c>
      <c r="BL48" s="9">
        <f t="shared" si="36"/>
        <v>0.55968815417487539</v>
      </c>
      <c r="BM48" s="9">
        <f t="shared" si="37"/>
        <v>0.62241806538118594</v>
      </c>
      <c r="BN48" s="9">
        <f>'1'!CK48</f>
        <v>0.71898537493791903</v>
      </c>
      <c r="BO48" s="9">
        <f>'1'!CM48</f>
        <v>0.77294519305769782</v>
      </c>
      <c r="BP48" s="9">
        <f>'2'!CK48</f>
        <v>0.6326724544753124</v>
      </c>
      <c r="BQ48" s="9">
        <f>'2'!CM48</f>
        <v>0.74479289119766179</v>
      </c>
      <c r="BR48" s="9">
        <f>'3'!AB48</f>
        <v>0.52324420602529553</v>
      </c>
      <c r="BS48" s="9">
        <f>'8'!AT45</f>
        <v>0.59553343581439844</v>
      </c>
      <c r="BT48" s="9">
        <f t="shared" si="38"/>
        <v>0.64906375507587655</v>
      </c>
      <c r="BU48" s="9">
        <f t="shared" si="39"/>
        <v>0.70442384002325265</v>
      </c>
      <c r="BV48" s="9">
        <f>'1'!CU48</f>
        <v>0.91666666666666674</v>
      </c>
      <c r="BW48" s="9">
        <f>'1'!CW48</f>
        <v>0.91666666666666707</v>
      </c>
      <c r="BX48" s="9">
        <f>'2'!CU48</f>
        <v>0.83053411157346535</v>
      </c>
      <c r="BY48" s="9">
        <f>'2'!CW48</f>
        <v>0.86985742916875586</v>
      </c>
      <c r="BZ48" s="9">
        <f>'3'!AE48</f>
        <v>0.56330550852340866</v>
      </c>
      <c r="CA48" s="9">
        <f>'8'!AY45</f>
        <v>0.62013965685631289</v>
      </c>
      <c r="CB48" s="9">
        <f t="shared" si="40"/>
        <v>0.78911347836548174</v>
      </c>
      <c r="CC48" s="9">
        <f t="shared" si="41"/>
        <v>0.80222125089724516</v>
      </c>
      <c r="CD48" s="9">
        <f>'1'!DE48</f>
        <v>0.87741125227275085</v>
      </c>
      <c r="CE48" s="9">
        <f>'1'!DG48</f>
        <v>0.88973298392674738</v>
      </c>
      <c r="CF48" s="9">
        <f>'2'!DE48</f>
        <v>0.47356861023263919</v>
      </c>
      <c r="CG48" s="9">
        <f>'2'!DG48</f>
        <v>0.61910770768938905</v>
      </c>
      <c r="CH48" s="9">
        <f>'3'!AH48</f>
        <v>0.33362442119702618</v>
      </c>
      <c r="CI48" s="9">
        <f>'8'!BD45</f>
        <v>0.49116511425617471</v>
      </c>
      <c r="CJ48" s="9">
        <f t="shared" si="42"/>
        <v>0.61404832558718825</v>
      </c>
      <c r="CK48" s="9">
        <f t="shared" si="43"/>
        <v>0.66666860195743716</v>
      </c>
    </row>
    <row r="49" spans="1:138">
      <c r="B49" s="267" t="s">
        <v>968</v>
      </c>
      <c r="C49" s="9"/>
      <c r="D49" s="9"/>
      <c r="E49" s="9"/>
      <c r="F49" s="9"/>
      <c r="G49" s="9"/>
      <c r="H49" s="9"/>
      <c r="I49" s="9"/>
      <c r="J49" s="9"/>
      <c r="K49" s="9"/>
      <c r="L49" s="9"/>
      <c r="M49" s="9"/>
      <c r="N49" s="9"/>
      <c r="O49" s="9"/>
      <c r="P49" s="9"/>
      <c r="Q49" s="9"/>
      <c r="R49" s="267" t="s">
        <v>968</v>
      </c>
      <c r="S49" s="9"/>
      <c r="T49" s="9"/>
      <c r="U49" s="9"/>
      <c r="V49" s="9"/>
      <c r="W49" s="9"/>
      <c r="X49" s="9"/>
      <c r="Y49" s="9"/>
      <c r="Z49" s="9"/>
      <c r="AA49" s="9"/>
      <c r="AB49" s="9"/>
      <c r="AC49" s="9"/>
      <c r="AD49" s="9"/>
      <c r="AE49" s="9"/>
      <c r="AF49" s="9"/>
      <c r="AG49" s="9"/>
      <c r="AH49" s="267" t="s">
        <v>968</v>
      </c>
      <c r="AI49" s="9"/>
      <c r="AJ49" s="9"/>
      <c r="AK49" s="9"/>
      <c r="AL49" s="9"/>
      <c r="AM49" s="9"/>
      <c r="AN49" s="9"/>
      <c r="AO49" s="9"/>
      <c r="AP49" s="9"/>
      <c r="AQ49" s="9"/>
      <c r="AR49" s="162"/>
      <c r="AS49" s="9"/>
      <c r="AT49" s="9"/>
      <c r="AU49" s="9"/>
      <c r="AV49" s="9"/>
      <c r="AW49" s="9"/>
      <c r="AX49" s="267" t="s">
        <v>968</v>
      </c>
      <c r="AY49" s="9"/>
      <c r="AZ49" s="9"/>
      <c r="BA49" s="9"/>
      <c r="BB49" s="9"/>
      <c r="BC49" s="9"/>
      <c r="BD49" s="9"/>
      <c r="BE49" s="9"/>
      <c r="BF49" s="9"/>
      <c r="BG49" s="9"/>
      <c r="BH49" s="9"/>
      <c r="BI49" s="9"/>
      <c r="BJ49" s="9"/>
      <c r="BK49" s="9"/>
      <c r="BL49" s="9"/>
      <c r="BM49" s="9"/>
      <c r="BN49" s="267" t="s">
        <v>968</v>
      </c>
      <c r="BO49" s="9"/>
      <c r="BP49" s="9"/>
      <c r="BQ49" s="9"/>
      <c r="BR49" s="9"/>
      <c r="BS49" s="9"/>
      <c r="BT49" s="9"/>
      <c r="BU49" s="9"/>
      <c r="BV49" s="9"/>
      <c r="BW49" s="9"/>
      <c r="BX49" s="9"/>
      <c r="BY49" s="9"/>
      <c r="BZ49" s="9"/>
      <c r="CA49" s="9"/>
      <c r="CB49" s="9"/>
      <c r="CC49" s="9"/>
      <c r="CD49" s="267" t="s">
        <v>968</v>
      </c>
      <c r="CE49" s="9"/>
      <c r="CF49" s="9"/>
      <c r="CG49" s="9"/>
      <c r="CH49" s="9"/>
      <c r="CI49" s="9"/>
      <c r="CJ49" s="9"/>
      <c r="CK49" s="9"/>
    </row>
    <row r="50" spans="1:138" s="252" customFormat="1">
      <c r="A50" s="252" t="s">
        <v>988</v>
      </c>
      <c r="B50" s="271">
        <f t="shared" ref="B50:BM50" si="44">B48-B19</f>
        <v>0.57101489756468671</v>
      </c>
      <c r="C50" s="271">
        <f t="shared" si="44"/>
        <v>0.52699966169184953</v>
      </c>
      <c r="D50" s="271">
        <f t="shared" si="44"/>
        <v>0.18314700393603206</v>
      </c>
      <c r="E50" s="271">
        <f t="shared" si="44"/>
        <v>0.20583658740676353</v>
      </c>
      <c r="F50" s="271">
        <f t="shared" si="44"/>
        <v>-0.15160215218864448</v>
      </c>
      <c r="G50" s="271">
        <f t="shared" si="44"/>
        <v>-0.14729254529242658</v>
      </c>
      <c r="H50" s="271">
        <f t="shared" si="44"/>
        <v>0.20228978540276416</v>
      </c>
      <c r="I50" s="271">
        <f t="shared" si="44"/>
        <v>0.19518123460206216</v>
      </c>
      <c r="J50" s="271">
        <f t="shared" si="44"/>
        <v>0.70474437462098471</v>
      </c>
      <c r="K50" s="271">
        <f t="shared" si="44"/>
        <v>0.74224060970700689</v>
      </c>
      <c r="L50" s="271">
        <f t="shared" si="44"/>
        <v>0.6284986011683662</v>
      </c>
      <c r="M50" s="271">
        <f t="shared" si="44"/>
        <v>0.59308290018035525</v>
      </c>
      <c r="N50" s="271">
        <f t="shared" si="44"/>
        <v>4.7123426753133912E-2</v>
      </c>
      <c r="O50" s="271">
        <f t="shared" si="44"/>
        <v>5.9871084417736919E-2</v>
      </c>
      <c r="P50" s="271">
        <f t="shared" si="44"/>
        <v>0.46437135340236257</v>
      </c>
      <c r="Q50" s="271">
        <f t="shared" si="44"/>
        <v>0.46506486476836634</v>
      </c>
      <c r="R50" s="271">
        <f t="shared" si="44"/>
        <v>0.55343308707350136</v>
      </c>
      <c r="S50" s="271">
        <f t="shared" si="44"/>
        <v>0.55121172964171672</v>
      </c>
      <c r="T50" s="271">
        <f t="shared" si="44"/>
        <v>0.2013089301441342</v>
      </c>
      <c r="U50" s="271">
        <f t="shared" si="44"/>
        <v>0.33728158301031902</v>
      </c>
      <c r="V50" s="271">
        <f t="shared" si="44"/>
        <v>0.34400916466293646</v>
      </c>
      <c r="W50" s="271">
        <f t="shared" si="44"/>
        <v>3.0867184475913412E-3</v>
      </c>
      <c r="X50" s="271">
        <f t="shared" si="44"/>
        <v>0.25260957855507554</v>
      </c>
      <c r="Y50" s="271">
        <f t="shared" si="44"/>
        <v>0.29719334369987566</v>
      </c>
      <c r="Z50" s="271">
        <f t="shared" si="44"/>
        <v>0.63653452906181052</v>
      </c>
      <c r="AA50" s="271">
        <f t="shared" si="44"/>
        <v>0.59216635960636865</v>
      </c>
      <c r="AB50" s="271">
        <f t="shared" si="44"/>
        <v>0.16246078353751528</v>
      </c>
      <c r="AC50" s="271">
        <f t="shared" si="44"/>
        <v>0.24281383787223793</v>
      </c>
      <c r="AD50" s="271">
        <f t="shared" si="44"/>
        <v>-9.0190986166141074E-2</v>
      </c>
      <c r="AE50" s="271">
        <f t="shared" si="44"/>
        <v>-0.23641705718416761</v>
      </c>
      <c r="AF50" s="271">
        <f t="shared" si="44"/>
        <v>0.18752608513838592</v>
      </c>
      <c r="AG50" s="271">
        <f t="shared" si="44"/>
        <v>0.19952104676481303</v>
      </c>
      <c r="AH50" s="271">
        <f t="shared" si="44"/>
        <v>0.63642062963325829</v>
      </c>
      <c r="AI50" s="271">
        <f t="shared" si="44"/>
        <v>0.67981052566734734</v>
      </c>
      <c r="AJ50" s="271">
        <f t="shared" si="44"/>
        <v>0.18802268955044726</v>
      </c>
      <c r="AK50" s="271">
        <f t="shared" si="44"/>
        <v>0.26026659146139808</v>
      </c>
      <c r="AL50" s="271">
        <f t="shared" si="44"/>
        <v>0.1690179602852091</v>
      </c>
      <c r="AM50" s="271">
        <f t="shared" si="44"/>
        <v>-0.10913641838832439</v>
      </c>
      <c r="AN50" s="271">
        <f t="shared" si="44"/>
        <v>0.23843563359846043</v>
      </c>
      <c r="AO50" s="271">
        <f t="shared" si="44"/>
        <v>0.27698023291347362</v>
      </c>
      <c r="AP50" s="271">
        <f t="shared" si="44"/>
        <v>0.57919077072023861</v>
      </c>
      <c r="AQ50" s="271">
        <f t="shared" si="44"/>
        <v>0.57484495076610687</v>
      </c>
      <c r="AR50" s="271">
        <f t="shared" si="44"/>
        <v>0.17482991316766019</v>
      </c>
      <c r="AS50" s="271">
        <f t="shared" si="44"/>
        <v>0.22187435906936931</v>
      </c>
      <c r="AT50" s="271">
        <f t="shared" si="44"/>
        <v>-4.0065238625625055E-2</v>
      </c>
      <c r="AU50" s="271">
        <f t="shared" si="44"/>
        <v>-6.1617509528376857E-2</v>
      </c>
      <c r="AV50" s="271">
        <f t="shared" si="44"/>
        <v>0.23080105811984059</v>
      </c>
      <c r="AW50" s="271">
        <f t="shared" si="44"/>
        <v>0.24503393343569985</v>
      </c>
      <c r="AX50" s="271">
        <f t="shared" si="44"/>
        <v>0.59451200281631178</v>
      </c>
      <c r="AY50" s="271">
        <f t="shared" si="44"/>
        <v>0.53734256508584677</v>
      </c>
      <c r="AZ50" s="271">
        <f t="shared" si="44"/>
        <v>0.1533931942643777</v>
      </c>
      <c r="BA50" s="271">
        <f t="shared" si="44"/>
        <v>0.20046434141942687</v>
      </c>
      <c r="BB50" s="271">
        <f t="shared" si="44"/>
        <v>-0.26056292854650698</v>
      </c>
      <c r="BC50" s="271">
        <f t="shared" si="44"/>
        <v>-0.25558122083750257</v>
      </c>
      <c r="BD50" s="271">
        <f t="shared" si="44"/>
        <v>0.1641079920810623</v>
      </c>
      <c r="BE50" s="271">
        <f t="shared" si="44"/>
        <v>0.16074189522259036</v>
      </c>
      <c r="BF50" s="271">
        <f t="shared" si="44"/>
        <v>0.56907647094817926</v>
      </c>
      <c r="BG50" s="271">
        <f t="shared" si="44"/>
        <v>0.55266968273139438</v>
      </c>
      <c r="BH50" s="271">
        <f t="shared" si="44"/>
        <v>0.13313518264443336</v>
      </c>
      <c r="BI50" s="271">
        <f t="shared" si="44"/>
        <v>0.16015874847227535</v>
      </c>
      <c r="BJ50" s="271">
        <f t="shared" si="44"/>
        <v>8.6895973106219659E-2</v>
      </c>
      <c r="BK50" s="271">
        <f t="shared" si="44"/>
        <v>-9.3690301318484659E-2</v>
      </c>
      <c r="BL50" s="271">
        <f t="shared" si="44"/>
        <v>0.20284045075804275</v>
      </c>
      <c r="BM50" s="271">
        <f t="shared" si="44"/>
        <v>0.20637937662839506</v>
      </c>
      <c r="BN50" s="271">
        <f t="shared" ref="BN50:CK50" si="45">BN48-BN19</f>
        <v>0.47960473711327534</v>
      </c>
      <c r="BO50" s="271">
        <f t="shared" si="45"/>
        <v>0.47112764582949834</v>
      </c>
      <c r="BP50" s="271">
        <f t="shared" si="45"/>
        <v>0.28894961885146009</v>
      </c>
      <c r="BQ50" s="271">
        <f t="shared" si="45"/>
        <v>0.2542695614050039</v>
      </c>
      <c r="BR50" s="271">
        <f t="shared" si="45"/>
        <v>0.14717759535715802</v>
      </c>
      <c r="BS50" s="271">
        <f t="shared" si="45"/>
        <v>-0.12529830991380131</v>
      </c>
      <c r="BT50" s="271">
        <f t="shared" si="45"/>
        <v>0.21441868201697795</v>
      </c>
      <c r="BU50" s="271">
        <f t="shared" si="45"/>
        <v>0.20003296577356688</v>
      </c>
      <c r="BV50" s="271">
        <f t="shared" si="45"/>
        <v>0.51530856045630746</v>
      </c>
      <c r="BW50" s="271">
        <f t="shared" si="45"/>
        <v>0.42965142359708519</v>
      </c>
      <c r="BX50" s="271">
        <f t="shared" si="45"/>
        <v>0.25113214660062633</v>
      </c>
      <c r="BY50" s="271">
        <f t="shared" si="45"/>
        <v>0.16409843359580667</v>
      </c>
      <c r="BZ50" s="271">
        <f t="shared" si="45"/>
        <v>-0.15086982027006024</v>
      </c>
      <c r="CA50" s="271">
        <f t="shared" si="45"/>
        <v>-9.2749363114025152E-2</v>
      </c>
      <c r="CB50" s="271">
        <f t="shared" si="45"/>
        <v>0.22456378131430288</v>
      </c>
      <c r="CC50" s="271">
        <f t="shared" si="45"/>
        <v>0.16700016469295553</v>
      </c>
      <c r="CD50" s="271">
        <f t="shared" si="45"/>
        <v>0.50976287916817531</v>
      </c>
      <c r="CE50" s="271">
        <f t="shared" si="45"/>
        <v>0.43851823425233838</v>
      </c>
      <c r="CF50" s="271">
        <f t="shared" si="45"/>
        <v>0.16262935857309907</v>
      </c>
      <c r="CG50" s="271">
        <f t="shared" si="45"/>
        <v>0.16629868018097599</v>
      </c>
      <c r="CH50" s="271">
        <f t="shared" si="45"/>
        <v>-0.32684605512047138</v>
      </c>
      <c r="CI50" s="271">
        <f t="shared" si="45"/>
        <v>-0.11836549296246568</v>
      </c>
      <c r="CJ50" s="271">
        <f t="shared" si="45"/>
        <v>0.18467558159293623</v>
      </c>
      <c r="CK50" s="271">
        <f t="shared" si="45"/>
        <v>0.16215047382361636</v>
      </c>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c r="B51" s="1" t="s">
        <v>21</v>
      </c>
      <c r="Z51" s="1" t="s">
        <v>380</v>
      </c>
      <c r="AX51" s="1" t="s">
        <v>380</v>
      </c>
      <c r="BV51" s="1" t="s">
        <v>380</v>
      </c>
    </row>
    <row r="53" spans="1:138">
      <c r="A53" s="1" t="s">
        <v>988</v>
      </c>
      <c r="B53" s="1">
        <v>0.57101489756468671</v>
      </c>
      <c r="C53" s="1">
        <v>0.52699966169184953</v>
      </c>
      <c r="D53" s="1">
        <v>0.18314700393603206</v>
      </c>
      <c r="E53" s="1">
        <v>0.20583658740676353</v>
      </c>
      <c r="F53" s="1">
        <v>-0.15160215218864448</v>
      </c>
      <c r="G53" s="1">
        <v>-0.14729254529242658</v>
      </c>
      <c r="H53" s="13">
        <v>0.11381680100491187</v>
      </c>
      <c r="I53" s="1">
        <v>0.10848538790438544</v>
      </c>
      <c r="J53" s="1">
        <v>0.70474437462098471</v>
      </c>
      <c r="K53" s="1">
        <v>0.74224060970700689</v>
      </c>
      <c r="L53" s="1">
        <v>0.6284986011683662</v>
      </c>
      <c r="M53" s="1">
        <v>0.59308290018035525</v>
      </c>
      <c r="N53" s="1">
        <v>4.7123426753133912E-2</v>
      </c>
      <c r="O53" s="1">
        <v>5.9871084417736919E-2</v>
      </c>
      <c r="P53" s="1">
        <v>0.36005937174005548</v>
      </c>
      <c r="Q53" s="1">
        <v>0.36057950526455818</v>
      </c>
      <c r="R53" s="1">
        <v>0.55343308707350136</v>
      </c>
      <c r="S53" s="1">
        <v>0.55121172964171672</v>
      </c>
      <c r="T53" s="1">
        <v>0.2013089301441342</v>
      </c>
      <c r="U53" s="1">
        <v>0.33728158301031902</v>
      </c>
      <c r="V53" s="1">
        <v>0.34400916466293646</v>
      </c>
      <c r="W53" s="1">
        <v>3.0867184475913412E-3</v>
      </c>
      <c r="X53" s="1">
        <v>0.27545947508204083</v>
      </c>
      <c r="Y53" s="1">
        <v>0.30889729894064089</v>
      </c>
      <c r="Z53" s="1">
        <v>0.63653452906181052</v>
      </c>
      <c r="AA53" s="1">
        <v>0.59216635960636865</v>
      </c>
      <c r="AB53" s="1">
        <v>0.16246078353751528</v>
      </c>
      <c r="AC53" s="1">
        <v>0.24281383787223793</v>
      </c>
      <c r="AD53" s="1">
        <v>-9.0190986166141074E-2</v>
      </c>
      <c r="AE53" s="1">
        <v>-0.23641705718416761</v>
      </c>
      <c r="AF53" s="1">
        <v>0.1180968173122543</v>
      </c>
      <c r="AG53" s="1">
        <v>0.12709303853207449</v>
      </c>
      <c r="AH53" s="1">
        <v>0.63642062963325829</v>
      </c>
      <c r="AI53" s="1">
        <v>0.67981052566734734</v>
      </c>
      <c r="AJ53" s="1">
        <v>0.18802268955044726</v>
      </c>
      <c r="AK53" s="1">
        <v>0.26026659146139808</v>
      </c>
      <c r="AL53" s="1">
        <v>0.1690179602852091</v>
      </c>
      <c r="AM53" s="1">
        <v>-0.10913641838832439</v>
      </c>
      <c r="AN53" s="1">
        <v>0.22108121527014757</v>
      </c>
      <c r="AO53" s="1">
        <v>0.2499896647564076</v>
      </c>
      <c r="AP53" s="1">
        <v>0.57919077072023861</v>
      </c>
      <c r="AQ53" s="1">
        <v>0.57484495076610687</v>
      </c>
      <c r="AR53" s="1">
        <v>0.17482991316766019</v>
      </c>
      <c r="AS53" s="1">
        <v>0.22187435906936931</v>
      </c>
      <c r="AT53" s="1">
        <v>-4.0065238625625055E-2</v>
      </c>
      <c r="AU53" s="1">
        <v>-6.1617509528376857E-2</v>
      </c>
      <c r="AV53" s="1">
        <v>0.16308448393347419</v>
      </c>
      <c r="AW53" s="1">
        <v>0.17375914042036855</v>
      </c>
      <c r="AX53" s="1">
        <v>0.59451200281631178</v>
      </c>
      <c r="AY53" s="1">
        <v>0.53734256508584677</v>
      </c>
      <c r="AZ53" s="1">
        <v>0.1533931942643777</v>
      </c>
      <c r="BA53" s="1">
        <v>0.20046434141942687</v>
      </c>
      <c r="BB53" s="1">
        <v>-0.26056292854650698</v>
      </c>
      <c r="BC53" s="1">
        <v>-0.25558122083750257</v>
      </c>
      <c r="BD53" s="1">
        <v>5.7940261924169956E-2</v>
      </c>
      <c r="BE53" s="1">
        <v>5.5415689280316038E-2</v>
      </c>
      <c r="BF53" s="1">
        <v>0.56907647094817926</v>
      </c>
      <c r="BG53" s="1">
        <v>0.55266968273139438</v>
      </c>
      <c r="BH53" s="1">
        <v>0.13313518264443336</v>
      </c>
      <c r="BI53" s="1">
        <v>0.16015874847227535</v>
      </c>
      <c r="BJ53" s="1">
        <v>8.6895973106219659E-2</v>
      </c>
      <c r="BK53" s="1">
        <v>-9.3690301318484659E-2</v>
      </c>
      <c r="BL53" s="1">
        <v>0.17385433134508688</v>
      </c>
      <c r="BM53" s="1">
        <v>0.17650852574785114</v>
      </c>
      <c r="BN53" s="1">
        <v>0.47960473711327534</v>
      </c>
      <c r="BO53" s="1">
        <v>0.47112764582949834</v>
      </c>
      <c r="BP53" s="1">
        <v>0.28894961885146009</v>
      </c>
      <c r="BQ53" s="1">
        <v>0.2542695614050039</v>
      </c>
      <c r="BR53" s="1">
        <v>0.14717759535715802</v>
      </c>
      <c r="BS53" s="1">
        <v>-0.12529830991380131</v>
      </c>
      <c r="BT53" s="1">
        <v>0.19760841035202303</v>
      </c>
      <c r="BU53" s="1">
        <v>0.18681912316946481</v>
      </c>
      <c r="BV53" s="1">
        <v>0.51530856045630746</v>
      </c>
      <c r="BW53" s="1">
        <v>0.42965142359708519</v>
      </c>
      <c r="BX53" s="1">
        <v>0.25113214660062633</v>
      </c>
      <c r="BY53" s="1">
        <v>0.16409843359580667</v>
      </c>
      <c r="BZ53" s="1">
        <v>-0.15086982027006024</v>
      </c>
      <c r="CA53" s="1">
        <v>-9.2749363114025152E-2</v>
      </c>
      <c r="CB53" s="1">
        <v>0.13070538091821216</v>
      </c>
      <c r="CC53" s="1">
        <v>8.7532668452201645E-2</v>
      </c>
      <c r="CD53" s="1">
        <v>0.50976287916817531</v>
      </c>
      <c r="CE53" s="1">
        <v>0.43851823425233838</v>
      </c>
      <c r="CF53" s="1">
        <v>0.16262935857309907</v>
      </c>
      <c r="CG53" s="1">
        <v>0.16629868018097599</v>
      </c>
      <c r="CH53" s="1">
        <v>-0.32684605512047138</v>
      </c>
      <c r="CI53" s="1">
        <v>-0.11836549296246568</v>
      </c>
      <c r="CJ53" s="1">
        <v>5.6795172414584316E-2</v>
      </c>
      <c r="CK53" s="1">
        <v>3.9901341587594286E-2</v>
      </c>
    </row>
    <row r="56" spans="1:138">
      <c r="H56" s="142">
        <f>H50-H53</f>
        <v>8.8472984397852283E-2</v>
      </c>
      <c r="P56" s="142">
        <f>P50-P53</f>
        <v>0.1043119816623071</v>
      </c>
      <c r="X56" s="142">
        <f>X50-X53</f>
        <v>-2.2849896526965285E-2</v>
      </c>
      <c r="AF56" s="142">
        <f>AF50-AF53</f>
        <v>6.9429267826131624E-2</v>
      </c>
      <c r="AN56" s="142">
        <f>AN50-AN53</f>
        <v>1.7354418328312859E-2</v>
      </c>
      <c r="AV56" s="142">
        <f>AV50-AV53</f>
        <v>6.7716574186366396E-2</v>
      </c>
      <c r="BD56" s="142">
        <f>BD50-BD53</f>
        <v>0.10616773015689235</v>
      </c>
      <c r="BL56" s="142">
        <f>BL50-BL53</f>
        <v>2.8986119412955869E-2</v>
      </c>
      <c r="BT56" s="142">
        <f>BT50-BT53</f>
        <v>1.6810271664954912E-2</v>
      </c>
      <c r="CB56" s="142">
        <f>CB50-CB53</f>
        <v>9.3858400396090724E-2</v>
      </c>
      <c r="CJ56" s="142">
        <f>CJ50-CJ53</f>
        <v>0.12788040917835192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dimension ref="A1:EH53"/>
  <sheetViews>
    <sheetView workbookViewId="0">
      <pane xSplit="1" ySplit="18" topLeftCell="B43" activePane="bottomRight" state="frozen"/>
      <selection activeCell="E9" sqref="E9"/>
      <selection pane="topRight" activeCell="E9" sqref="E9"/>
      <selection pane="bottomLeft" activeCell="E9" sqref="E9"/>
      <selection pane="bottomRight" activeCell="E9" sqref="E9"/>
    </sheetView>
  </sheetViews>
  <sheetFormatPr defaultColWidth="8.875" defaultRowHeight="12.75"/>
  <cols>
    <col min="1" max="1" width="8.875" style="1"/>
    <col min="2" max="89" width="9.75" style="1" customWidth="1"/>
    <col min="90" max="16384" width="8.875" style="1"/>
  </cols>
  <sheetData>
    <row r="1" spans="1:89" ht="15.75">
      <c r="B1" s="2" t="s">
        <v>1453</v>
      </c>
      <c r="C1" s="2"/>
      <c r="R1" s="2" t="s">
        <v>1453</v>
      </c>
      <c r="AA1" s="2"/>
      <c r="AH1" s="2" t="s">
        <v>1453</v>
      </c>
      <c r="AX1" s="2" t="s">
        <v>1453</v>
      </c>
      <c r="AY1" s="2"/>
      <c r="BN1" s="2" t="s">
        <v>1453</v>
      </c>
      <c r="BW1" s="2"/>
      <c r="CD1" s="2" t="s">
        <v>1453</v>
      </c>
    </row>
    <row r="3" spans="1:89" s="3" customFormat="1" ht="15">
      <c r="B3" s="3" t="s">
        <v>321</v>
      </c>
      <c r="J3" s="3" t="s">
        <v>370</v>
      </c>
      <c r="R3" s="3" t="s">
        <v>371</v>
      </c>
      <c r="Z3" s="3" t="s">
        <v>372</v>
      </c>
      <c r="AH3" s="3" t="s">
        <v>373</v>
      </c>
      <c r="AP3" s="3" t="s">
        <v>374</v>
      </c>
      <c r="AX3" s="3" t="s">
        <v>375</v>
      </c>
      <c r="BF3" s="3" t="s">
        <v>376</v>
      </c>
      <c r="BN3" s="3" t="s">
        <v>377</v>
      </c>
      <c r="BV3" s="3" t="s">
        <v>378</v>
      </c>
      <c r="CD3" s="3" t="s">
        <v>379</v>
      </c>
    </row>
    <row r="4" spans="1:89" s="4" customFormat="1" ht="63.75">
      <c r="B4" s="4" t="s">
        <v>24</v>
      </c>
      <c r="C4" s="4" t="s">
        <v>180</v>
      </c>
      <c r="D4" s="4" t="s">
        <v>25</v>
      </c>
      <c r="E4" s="4" t="s">
        <v>181</v>
      </c>
      <c r="F4" s="4" t="s">
        <v>628</v>
      </c>
      <c r="G4" s="4" t="s">
        <v>22</v>
      </c>
      <c r="H4" s="4" t="s">
        <v>23</v>
      </c>
      <c r="I4" s="4" t="s">
        <v>182</v>
      </c>
      <c r="J4" s="4" t="s">
        <v>24</v>
      </c>
      <c r="K4" s="4" t="s">
        <v>180</v>
      </c>
      <c r="L4" s="4" t="s">
        <v>25</v>
      </c>
      <c r="M4" s="4" t="s">
        <v>181</v>
      </c>
      <c r="N4" s="4" t="s">
        <v>628</v>
      </c>
      <c r="O4" s="4" t="s">
        <v>22</v>
      </c>
      <c r="P4" s="4" t="s">
        <v>23</v>
      </c>
      <c r="Q4" s="4" t="s">
        <v>182</v>
      </c>
      <c r="R4" s="4" t="s">
        <v>24</v>
      </c>
      <c r="S4" s="4" t="s">
        <v>180</v>
      </c>
      <c r="T4" s="4" t="s">
        <v>25</v>
      </c>
      <c r="U4" s="4" t="s">
        <v>181</v>
      </c>
      <c r="V4" s="4" t="s">
        <v>628</v>
      </c>
      <c r="W4" s="4" t="s">
        <v>22</v>
      </c>
      <c r="X4" s="4" t="s">
        <v>23</v>
      </c>
      <c r="Y4" s="4" t="s">
        <v>182</v>
      </c>
      <c r="Z4" s="4" t="s">
        <v>24</v>
      </c>
      <c r="AA4" s="4" t="s">
        <v>180</v>
      </c>
      <c r="AB4" s="4" t="s">
        <v>25</v>
      </c>
      <c r="AC4" s="4" t="s">
        <v>181</v>
      </c>
      <c r="AD4" s="4" t="s">
        <v>628</v>
      </c>
      <c r="AE4" s="4" t="s">
        <v>22</v>
      </c>
      <c r="AF4" s="4" t="s">
        <v>23</v>
      </c>
      <c r="AG4" s="4" t="s">
        <v>182</v>
      </c>
      <c r="AH4" s="4" t="s">
        <v>24</v>
      </c>
      <c r="AI4" s="4" t="s">
        <v>180</v>
      </c>
      <c r="AJ4" s="4" t="s">
        <v>25</v>
      </c>
      <c r="AK4" s="4" t="s">
        <v>181</v>
      </c>
      <c r="AL4" s="4" t="s">
        <v>628</v>
      </c>
      <c r="AM4" s="4" t="s">
        <v>22</v>
      </c>
      <c r="AN4" s="4" t="s">
        <v>23</v>
      </c>
      <c r="AO4" s="4" t="s">
        <v>182</v>
      </c>
      <c r="AP4" s="4" t="s">
        <v>24</v>
      </c>
      <c r="AQ4" s="4" t="s">
        <v>180</v>
      </c>
      <c r="AR4" s="4" t="s">
        <v>25</v>
      </c>
      <c r="AS4" s="4" t="s">
        <v>181</v>
      </c>
      <c r="AT4" s="4" t="s">
        <v>628</v>
      </c>
      <c r="AU4" s="4" t="s">
        <v>22</v>
      </c>
      <c r="AV4" s="4" t="s">
        <v>23</v>
      </c>
      <c r="AW4" s="4" t="s">
        <v>182</v>
      </c>
      <c r="AX4" s="4" t="s">
        <v>24</v>
      </c>
      <c r="AY4" s="4" t="s">
        <v>180</v>
      </c>
      <c r="AZ4" s="4" t="s">
        <v>25</v>
      </c>
      <c r="BA4" s="4" t="s">
        <v>181</v>
      </c>
      <c r="BB4" s="4" t="s">
        <v>628</v>
      </c>
      <c r="BC4" s="4" t="s">
        <v>22</v>
      </c>
      <c r="BD4" s="4" t="s">
        <v>23</v>
      </c>
      <c r="BE4" s="4" t="s">
        <v>182</v>
      </c>
      <c r="BF4" s="4" t="s">
        <v>24</v>
      </c>
      <c r="BG4" s="4" t="s">
        <v>180</v>
      </c>
      <c r="BH4" s="4" t="s">
        <v>25</v>
      </c>
      <c r="BI4" s="4" t="s">
        <v>181</v>
      </c>
      <c r="BJ4" s="4" t="s">
        <v>628</v>
      </c>
      <c r="BK4" s="4" t="s">
        <v>22</v>
      </c>
      <c r="BL4" s="4" t="s">
        <v>23</v>
      </c>
      <c r="BM4" s="4" t="s">
        <v>182</v>
      </c>
      <c r="BN4" s="4" t="s">
        <v>24</v>
      </c>
      <c r="BO4" s="4" t="s">
        <v>180</v>
      </c>
      <c r="BP4" s="4" t="s">
        <v>25</v>
      </c>
      <c r="BQ4" s="4" t="s">
        <v>181</v>
      </c>
      <c r="BR4" s="4" t="s">
        <v>628</v>
      </c>
      <c r="BS4" s="4" t="s">
        <v>22</v>
      </c>
      <c r="BT4" s="4" t="s">
        <v>23</v>
      </c>
      <c r="BU4" s="4" t="s">
        <v>182</v>
      </c>
      <c r="BV4" s="4" t="s">
        <v>24</v>
      </c>
      <c r="BW4" s="4" t="s">
        <v>180</v>
      </c>
      <c r="BX4" s="4" t="s">
        <v>25</v>
      </c>
      <c r="BY4" s="4" t="s">
        <v>181</v>
      </c>
      <c r="BZ4" s="4" t="s">
        <v>628</v>
      </c>
      <c r="CA4" s="4" t="s">
        <v>22</v>
      </c>
      <c r="CB4" s="4" t="s">
        <v>23</v>
      </c>
      <c r="CC4" s="4" t="s">
        <v>182</v>
      </c>
      <c r="CD4" s="4" t="s">
        <v>24</v>
      </c>
      <c r="CE4" s="4" t="s">
        <v>180</v>
      </c>
      <c r="CF4" s="4" t="s">
        <v>25</v>
      </c>
      <c r="CG4" s="4" t="s">
        <v>181</v>
      </c>
      <c r="CH4" s="4" t="s">
        <v>628</v>
      </c>
      <c r="CI4" s="4" t="s">
        <v>22</v>
      </c>
      <c r="CJ4" s="4" t="s">
        <v>23</v>
      </c>
      <c r="CK4" s="4" t="s">
        <v>182</v>
      </c>
    </row>
    <row r="5" spans="1:89" s="4" customFormat="1" hidden="1"/>
    <row r="6" spans="1:89" s="4" customFormat="1" ht="38.25">
      <c r="B6" s="4" t="s">
        <v>105</v>
      </c>
      <c r="C6" s="4" t="s">
        <v>266</v>
      </c>
      <c r="D6" s="4" t="s">
        <v>106</v>
      </c>
      <c r="E6" s="4" t="s">
        <v>184</v>
      </c>
      <c r="F6" s="4" t="s">
        <v>107</v>
      </c>
      <c r="G6" s="4" t="s">
        <v>108</v>
      </c>
      <c r="H6" s="4" t="s">
        <v>1440</v>
      </c>
      <c r="I6" s="4" t="s">
        <v>1441</v>
      </c>
      <c r="J6" s="4" t="s">
        <v>110</v>
      </c>
      <c r="K6" s="4" t="s">
        <v>186</v>
      </c>
      <c r="L6" s="4" t="s">
        <v>111</v>
      </c>
      <c r="M6" s="4" t="s">
        <v>187</v>
      </c>
      <c r="N6" s="4" t="s">
        <v>112</v>
      </c>
      <c r="O6" s="4" t="s">
        <v>138</v>
      </c>
      <c r="P6" s="4" t="s">
        <v>1446</v>
      </c>
      <c r="Q6" s="4" t="s">
        <v>1447</v>
      </c>
      <c r="R6" s="4" t="s">
        <v>105</v>
      </c>
      <c r="S6" s="4" t="s">
        <v>266</v>
      </c>
      <c r="T6" s="4" t="s">
        <v>106</v>
      </c>
      <c r="U6" s="4" t="s">
        <v>184</v>
      </c>
      <c r="V6" s="4" t="s">
        <v>107</v>
      </c>
      <c r="W6" s="4" t="s">
        <v>108</v>
      </c>
      <c r="X6" s="4" t="s">
        <v>1440</v>
      </c>
      <c r="Y6" s="4" t="s">
        <v>1441</v>
      </c>
      <c r="Z6" s="4" t="s">
        <v>110</v>
      </c>
      <c r="AA6" s="4" t="s">
        <v>186</v>
      </c>
      <c r="AB6" s="4" t="s">
        <v>111</v>
      </c>
      <c r="AC6" s="4" t="s">
        <v>187</v>
      </c>
      <c r="AD6" s="4" t="s">
        <v>112</v>
      </c>
      <c r="AE6" s="4" t="s">
        <v>138</v>
      </c>
      <c r="AF6" s="4" t="s">
        <v>1446</v>
      </c>
      <c r="AG6" s="4" t="s">
        <v>1447</v>
      </c>
      <c r="AH6" s="4" t="s">
        <v>105</v>
      </c>
      <c r="AI6" s="4" t="s">
        <v>266</v>
      </c>
      <c r="AJ6" s="4" t="s">
        <v>106</v>
      </c>
      <c r="AK6" s="4" t="s">
        <v>184</v>
      </c>
      <c r="AL6" s="4" t="s">
        <v>107</v>
      </c>
      <c r="AM6" s="4" t="s">
        <v>108</v>
      </c>
      <c r="AN6" s="4" t="s">
        <v>1440</v>
      </c>
      <c r="AO6" s="4" t="s">
        <v>1441</v>
      </c>
      <c r="AP6" s="4" t="s">
        <v>110</v>
      </c>
      <c r="AQ6" s="4" t="s">
        <v>186</v>
      </c>
      <c r="AR6" s="4" t="s">
        <v>111</v>
      </c>
      <c r="AS6" s="4" t="s">
        <v>187</v>
      </c>
      <c r="AT6" s="4" t="s">
        <v>112</v>
      </c>
      <c r="AU6" s="4" t="s">
        <v>138</v>
      </c>
      <c r="AV6" s="4" t="s">
        <v>1446</v>
      </c>
      <c r="AW6" s="4" t="s">
        <v>1447</v>
      </c>
      <c r="AX6" s="4" t="s">
        <v>105</v>
      </c>
      <c r="AY6" s="4" t="s">
        <v>266</v>
      </c>
      <c r="AZ6" s="4" t="s">
        <v>106</v>
      </c>
      <c r="BA6" s="4" t="s">
        <v>184</v>
      </c>
      <c r="BB6" s="4" t="s">
        <v>107</v>
      </c>
      <c r="BC6" s="4" t="s">
        <v>108</v>
      </c>
      <c r="BD6" s="4" t="s">
        <v>1440</v>
      </c>
      <c r="BE6" s="4" t="s">
        <v>1441</v>
      </c>
      <c r="BF6" s="4" t="s">
        <v>110</v>
      </c>
      <c r="BG6" s="4" t="s">
        <v>186</v>
      </c>
      <c r="BH6" s="4" t="s">
        <v>111</v>
      </c>
      <c r="BI6" s="4" t="s">
        <v>187</v>
      </c>
      <c r="BJ6" s="4" t="s">
        <v>112</v>
      </c>
      <c r="BK6" s="4" t="s">
        <v>138</v>
      </c>
      <c r="BL6" s="4" t="s">
        <v>1446</v>
      </c>
      <c r="BM6" s="4" t="s">
        <v>1447</v>
      </c>
      <c r="BN6" s="4" t="s">
        <v>105</v>
      </c>
      <c r="BO6" s="4" t="s">
        <v>266</v>
      </c>
      <c r="BP6" s="4" t="s">
        <v>106</v>
      </c>
      <c r="BQ6" s="4" t="s">
        <v>184</v>
      </c>
      <c r="BR6" s="4" t="s">
        <v>107</v>
      </c>
      <c r="BS6" s="4" t="s">
        <v>108</v>
      </c>
      <c r="BT6" s="4" t="s">
        <v>1440</v>
      </c>
      <c r="BU6" s="4" t="s">
        <v>1441</v>
      </c>
      <c r="BV6" s="4" t="s">
        <v>110</v>
      </c>
      <c r="BW6" s="4" t="s">
        <v>186</v>
      </c>
      <c r="BX6" s="4" t="s">
        <v>111</v>
      </c>
      <c r="BY6" s="4" t="s">
        <v>187</v>
      </c>
      <c r="BZ6" s="4" t="s">
        <v>112</v>
      </c>
      <c r="CA6" s="4" t="s">
        <v>138</v>
      </c>
      <c r="CB6" s="4" t="s">
        <v>1446</v>
      </c>
      <c r="CC6" s="4" t="s">
        <v>1447</v>
      </c>
      <c r="CD6" s="4" t="s">
        <v>105</v>
      </c>
      <c r="CE6" s="4" t="s">
        <v>266</v>
      </c>
      <c r="CF6" s="4" t="s">
        <v>106</v>
      </c>
      <c r="CG6" s="4" t="s">
        <v>184</v>
      </c>
      <c r="CH6" s="4" t="s">
        <v>107</v>
      </c>
      <c r="CI6" s="4" t="s">
        <v>108</v>
      </c>
      <c r="CJ6" s="4" t="s">
        <v>1440</v>
      </c>
      <c r="CK6" s="4" t="s">
        <v>1441</v>
      </c>
    </row>
    <row r="7" spans="1:89" s="4" customFormat="1" hidden="1"/>
    <row r="8" spans="1:89" hidden="1">
      <c r="A8" s="1">
        <v>1971</v>
      </c>
      <c r="B8" s="9">
        <f>'1'!I8</f>
        <v>9.286072550406746E-2</v>
      </c>
      <c r="C8" s="9">
        <f>'1'!K8</f>
        <v>9.8142272288917642E-2</v>
      </c>
      <c r="D8" s="9">
        <f>'2'!I8</f>
        <v>0.18222616585167906</v>
      </c>
      <c r="E8" s="9">
        <f>'2'!K8</f>
        <v>0.27402070198874739</v>
      </c>
      <c r="F8" s="9">
        <f>'3'!D8</f>
        <v>-46.459539597108417</v>
      </c>
      <c r="G8" s="9" t="e">
        <f>'8'!F5</f>
        <v>#REF!</v>
      </c>
      <c r="H8" s="9" t="e">
        <f>SUM(B8,D8,F8,G8)/4</f>
        <v>#REF!</v>
      </c>
      <c r="I8" s="9" t="e">
        <f>SUM(C8,E8,F8,G8)/4</f>
        <v>#REF!</v>
      </c>
      <c r="J8" s="9">
        <f>'1'!S8</f>
        <v>-1.2416360431895312E-2</v>
      </c>
      <c r="K8" s="9">
        <f>'1'!U8</f>
        <v>-7.921006185159718E-2</v>
      </c>
      <c r="L8" s="9">
        <f>'2'!S8</f>
        <v>0.13783193796692461</v>
      </c>
      <c r="M8" s="9">
        <f>'2'!U8</f>
        <v>0.19628988799083394</v>
      </c>
      <c r="N8" s="9">
        <f>'3'!G8</f>
        <v>-87.44282039190017</v>
      </c>
      <c r="O8" s="9" t="e">
        <f>'8'!K5</f>
        <v>#REF!</v>
      </c>
      <c r="P8" s="9" t="e">
        <f>SUM(J8,L8,N8,O8)/4</f>
        <v>#REF!</v>
      </c>
      <c r="Q8" s="9" t="e">
        <f>SUM(K8,M8,N8,O8)/4</f>
        <v>#REF!</v>
      </c>
      <c r="R8" s="9">
        <f>'1'!AC8</f>
        <v>6.2557182280176912E-2</v>
      </c>
      <c r="S8" s="9">
        <f>'1'!AE8</f>
        <v>5.0253326247256869E-2</v>
      </c>
      <c r="T8" s="9">
        <f>'2'!AC8</f>
        <v>6.5786261073974367E-2</v>
      </c>
      <c r="U8" s="9">
        <f>'2'!AE8</f>
        <v>4.1538166056354214E-2</v>
      </c>
      <c r="V8" s="9">
        <f>'3'!J8</f>
        <v>-73.855883474873721</v>
      </c>
      <c r="W8" s="9" t="e">
        <f>'8'!P5</f>
        <v>#REF!</v>
      </c>
      <c r="X8" s="9" t="e">
        <f>SUM(R8,T8,V8,W8)/4</f>
        <v>#REF!</v>
      </c>
      <c r="Y8" s="9" t="e">
        <f>SUM(S8,U8,V8,W8)/4</f>
        <v>#REF!</v>
      </c>
      <c r="Z8" s="9">
        <f>'1'!AM8</f>
        <v>0.10115269880784397</v>
      </c>
      <c r="AA8" s="9">
        <f>'1'!AO8</f>
        <v>0.1108536899076922</v>
      </c>
      <c r="AB8" s="9">
        <f>'2'!AM8</f>
        <v>0.10973413383196122</v>
      </c>
      <c r="AC8" s="9">
        <f>'2'!AO8</f>
        <v>0.14088791842055143</v>
      </c>
      <c r="AD8" s="9">
        <f>'3'!M8</f>
        <v>-51.230603824914851</v>
      </c>
      <c r="AE8" s="9" t="e">
        <f>'8'!U5</f>
        <v>#REF!</v>
      </c>
      <c r="AF8" s="9" t="e">
        <f>SUM(Z8,AB8,AD8,AE8)/4</f>
        <v>#REF!</v>
      </c>
      <c r="AG8" s="9" t="e">
        <f>SUM(AA8,AC8,AD8,AE8)/4</f>
        <v>#REF!</v>
      </c>
      <c r="AH8" s="9">
        <f>'1'!AW8</f>
        <v>3.5682580310753394E-2</v>
      </c>
      <c r="AI8" s="9">
        <f>'1'!AY8</f>
        <v>5.7614758664340038E-3</v>
      </c>
      <c r="AJ8" s="9">
        <f>'2'!AW8</f>
        <v>0.11807951407484041</v>
      </c>
      <c r="AK8" s="9">
        <f>'2'!AY8</f>
        <v>0.15792033913589126</v>
      </c>
      <c r="AL8" s="9">
        <f>'3'!P8</f>
        <v>-61.037687169951042</v>
      </c>
      <c r="AM8" s="9" t="e">
        <f>'8'!Z5</f>
        <v>#REF!</v>
      </c>
      <c r="AN8" s="9" t="e">
        <f>SUM(AH8,AJ8,AL8,AM8)/4</f>
        <v>#REF!</v>
      </c>
      <c r="AO8" s="9" t="e">
        <f>SUM(AI8,AK8,AL8,AM8)/4</f>
        <v>#REF!</v>
      </c>
      <c r="AP8" s="9">
        <f>'1'!BG8</f>
        <v>5.6224012902191242E-2</v>
      </c>
      <c r="AQ8" s="9">
        <f>'1'!BI8</f>
        <v>3.9946561660017352E-2</v>
      </c>
      <c r="AR8" s="9">
        <f>'2'!BG8</f>
        <v>0.15785953627863655</v>
      </c>
      <c r="AS8" s="9">
        <f>'2'!BI8</f>
        <v>0.23269200996821837</v>
      </c>
      <c r="AT8" s="9">
        <f>'3'!S8</f>
        <v>-41.292861930799653</v>
      </c>
      <c r="AU8" s="9" t="e">
        <f>'8'!AE5</f>
        <v>#REF!</v>
      </c>
      <c r="AV8" s="9" t="e">
        <f>SUM(AP8,AR8,AT8,AU8)/4</f>
        <v>#REF!</v>
      </c>
      <c r="AW8" s="9" t="e">
        <f>SUM(AQ8,AS8,AT8,AU8)/4</f>
        <v>#REF!</v>
      </c>
      <c r="AX8" s="9">
        <f>'1'!BQ8</f>
        <v>0.17118963708997967</v>
      </c>
      <c r="AY8" s="9">
        <f>'1'!BS8</f>
        <v>0.21218701412252566</v>
      </c>
      <c r="AZ8" s="9">
        <f>'2'!BQ8</f>
        <v>0.15969280418157433</v>
      </c>
      <c r="BA8" s="9">
        <f>'2'!BS8</f>
        <v>0.23590935724775663</v>
      </c>
      <c r="BB8" s="9">
        <f>'3'!V8</f>
        <v>-41.269291869468965</v>
      </c>
      <c r="BC8" s="9" t="e">
        <f>'8'!AJ5</f>
        <v>#REF!</v>
      </c>
      <c r="BD8" s="9" t="e">
        <f>SUM(AX8,AZ8,BB8,BC8)/4</f>
        <v>#REF!</v>
      </c>
      <c r="BE8" s="9" t="e">
        <f>SUM(AY8,BA8,BB8,BC8)/4</f>
        <v>#REF!</v>
      </c>
      <c r="BF8" s="9">
        <f>'1'!CA8</f>
        <v>0.1266627610322468</v>
      </c>
      <c r="BG8" s="9">
        <f>'1'!CC8</f>
        <v>0.14897035701114769</v>
      </c>
      <c r="BH8" s="9">
        <f>'2'!CA8</f>
        <v>0.21607209009362854</v>
      </c>
      <c r="BI8" s="9">
        <f>'2'!CC8</f>
        <v>0.32681075465456128</v>
      </c>
      <c r="BJ8" s="9">
        <f>'3'!Y8</f>
        <v>-61.228690455242877</v>
      </c>
      <c r="BK8" s="9" t="e">
        <f>'8'!AO5</f>
        <v>#REF!</v>
      </c>
      <c r="BL8" s="9" t="e">
        <f>SUM(BF8,BH8,BJ8,BK8)/4</f>
        <v>#REF!</v>
      </c>
      <c r="BM8" s="9" t="e">
        <f>SUM(BG8,BI8,BJ8,BK8)/4</f>
        <v>#REF!</v>
      </c>
      <c r="BN8" s="9">
        <f>'1'!CK8</f>
        <v>1.3077925063923111E-2</v>
      </c>
      <c r="BO8" s="9">
        <f>'1'!CM8</f>
        <v>-3.3268589750641814E-2</v>
      </c>
      <c r="BP8" s="9">
        <f>'2'!CK8</f>
        <v>0.30657179370537407</v>
      </c>
      <c r="BQ8" s="9">
        <f>'2'!CM8</f>
        <v>0.44758819428118407</v>
      </c>
      <c r="BR8" s="9">
        <f>'3'!AB8</f>
        <v>-62.175584769885326</v>
      </c>
      <c r="BS8" s="9" t="e">
        <f>'8'!AT5</f>
        <v>#REF!</v>
      </c>
      <c r="BT8" s="9" t="e">
        <f>SUM(BN8,BP8,BR8,BS8)/4</f>
        <v>#REF!</v>
      </c>
      <c r="BU8" s="9" t="e">
        <f>SUM(BO8,BQ8,BR8,BS8)/4</f>
        <v>#REF!</v>
      </c>
      <c r="BV8" s="9">
        <f>'1'!CU8</f>
        <v>0.12164088674446942</v>
      </c>
      <c r="BW8" s="9">
        <f>'1'!CW8</f>
        <v>0.14158147064749127</v>
      </c>
      <c r="BX8" s="9">
        <f>'2'!CU8</f>
        <v>0.2415980883363375</v>
      </c>
      <c r="BY8" s="9">
        <f>'2'!CW8</f>
        <v>0.36358311211320782</v>
      </c>
      <c r="BZ8" s="9">
        <f>'3'!AE8</f>
        <v>-52.036767110410516</v>
      </c>
      <c r="CA8" s="9" t="e">
        <f>'8'!AY5</f>
        <v>#REF!</v>
      </c>
      <c r="CB8" s="9" t="e">
        <f>SUM(BV8,BX8,BZ8,CA8)/4</f>
        <v>#REF!</v>
      </c>
      <c r="CC8" s="9" t="e">
        <f>SUM(BW8,BY8,BZ8,CA8)/4</f>
        <v>#REF!</v>
      </c>
      <c r="CD8" s="9">
        <f>'1'!DE8</f>
        <v>0.13780551677973304</v>
      </c>
      <c r="CE8" s="9">
        <f>'1'!DG8</f>
        <v>0.16517151640617717</v>
      </c>
      <c r="CF8" s="9">
        <f>'2'!DE8</f>
        <v>0.26908540722552432</v>
      </c>
      <c r="CG8" s="9">
        <f>'2'!DG8</f>
        <v>0.40066379342618608</v>
      </c>
      <c r="CH8" s="9">
        <f>'3'!AH8</f>
        <v>-46.326652926995003</v>
      </c>
      <c r="CI8" s="9" t="e">
        <f>'8'!BD5</f>
        <v>#REF!</v>
      </c>
      <c r="CJ8" s="9" t="e">
        <f>SUM(CD8,CF8,CH8,CI8)/4</f>
        <v>#REF!</v>
      </c>
      <c r="CK8" s="142" t="e">
        <f>SUM(CE8,CG8,CH8,CI8)/4</f>
        <v>#REF!</v>
      </c>
    </row>
    <row r="9" spans="1:89" hidden="1">
      <c r="A9" s="1">
        <v>1972</v>
      </c>
      <c r="B9" s="9">
        <f>'1'!I9</f>
        <v>0.11701940637881059</v>
      </c>
      <c r="C9" s="9">
        <f>'1'!K9</f>
        <v>0.13473280170859125</v>
      </c>
      <c r="D9" s="9">
        <f>'2'!I9</f>
        <v>0.18446376732384434</v>
      </c>
      <c r="E9" s="9">
        <f>'2'!K9</f>
        <v>0.27766795749607875</v>
      </c>
      <c r="F9" s="9">
        <f>'3'!D9</f>
        <v>-46.459539597108417</v>
      </c>
      <c r="G9" s="9" t="e">
        <f>'8'!F6</f>
        <v>#REF!</v>
      </c>
      <c r="H9" s="9" t="e">
        <f t="shared" ref="H9:H17" si="0">SUM(B9,D9,F9,G9)/4</f>
        <v>#REF!</v>
      </c>
      <c r="I9" s="9" t="e">
        <f t="shared" ref="I9:I17" si="1">SUM(C9,E9,F9,G9)/4</f>
        <v>#REF!</v>
      </c>
      <c r="J9" s="9">
        <f>'1'!S9</f>
        <v>2.5894125630057758E-3</v>
      </c>
      <c r="K9" s="9">
        <f>'1'!U9</f>
        <v>-5.1912721225290656E-2</v>
      </c>
      <c r="L9" s="9">
        <f>'2'!S9</f>
        <v>0.13896666149846171</v>
      </c>
      <c r="M9" s="9">
        <f>'2'!U9</f>
        <v>0.198416560835287</v>
      </c>
      <c r="N9" s="9">
        <f>'3'!G9</f>
        <v>-87.44282039190017</v>
      </c>
      <c r="O9" s="9" t="e">
        <f>'8'!K6</f>
        <v>#REF!</v>
      </c>
      <c r="P9" s="9" t="e">
        <f t="shared" ref="P9:P17" si="2">SUM(J9,L9,N9,O9)/4</f>
        <v>#REF!</v>
      </c>
      <c r="Q9" s="9" t="e">
        <f t="shared" ref="Q9:Q17" si="3">SUM(K9,M9,N9,O9)/4</f>
        <v>#REF!</v>
      </c>
      <c r="R9" s="9">
        <f>'1'!AC9</f>
        <v>8.9395039799158638E-2</v>
      </c>
      <c r="S9" s="9">
        <f>'1'!AE9</f>
        <v>9.2780878493023008E-2</v>
      </c>
      <c r="T9" s="9">
        <f>'2'!AC9</f>
        <v>6.7713291953682697E-2</v>
      </c>
      <c r="U9" s="9">
        <f>'2'!AE9</f>
        <v>4.6282963286511491E-2</v>
      </c>
      <c r="V9" s="9">
        <f>'3'!J9</f>
        <v>-73.855883474873721</v>
      </c>
      <c r="W9" s="9" t="e">
        <f>'8'!P6</f>
        <v>#REF!</v>
      </c>
      <c r="X9" s="9" t="e">
        <f t="shared" ref="X9:X17" si="4">SUM(R9,T9,V9,W9)/4</f>
        <v>#REF!</v>
      </c>
      <c r="Y9" s="9" t="e">
        <f t="shared" ref="Y9:Y17" si="5">SUM(S9,U9,V9,W9)/4</f>
        <v>#REF!</v>
      </c>
      <c r="Z9" s="9">
        <f>'1'!AM9</f>
        <v>0.11779214078635432</v>
      </c>
      <c r="AA9" s="9">
        <f>'1'!AO9</f>
        <v>0.13588122501184977</v>
      </c>
      <c r="AB9" s="9">
        <f>'2'!AM9</f>
        <v>0.11111257190512831</v>
      </c>
      <c r="AC9" s="9">
        <f>'2'!AO9</f>
        <v>0.14373704175378091</v>
      </c>
      <c r="AD9" s="9">
        <f>'3'!M9</f>
        <v>-51.230603824914851</v>
      </c>
      <c r="AE9" s="9" t="e">
        <f>'8'!U6</f>
        <v>#REF!</v>
      </c>
      <c r="AF9" s="9" t="e">
        <f t="shared" ref="AF9:AF17" si="6">SUM(Z9,AB9,AD9,AE9)/4</f>
        <v>#REF!</v>
      </c>
      <c r="AG9" s="9" t="e">
        <f t="shared" ref="AG9:AG17" si="7">SUM(AA9,AC9,AD9,AE9)/4</f>
        <v>#REF!</v>
      </c>
      <c r="AH9" s="9">
        <f>'1'!AW9</f>
        <v>4.5322110922740022E-2</v>
      </c>
      <c r="AI9" s="9">
        <f>'1'!AY9</f>
        <v>2.195016764162808E-2</v>
      </c>
      <c r="AJ9" s="9">
        <f>'2'!AW9</f>
        <v>0.11808227942356452</v>
      </c>
      <c r="AK9" s="9">
        <f>'2'!AY9</f>
        <v>0.15792589839189977</v>
      </c>
      <c r="AL9" s="9">
        <f>'3'!P9</f>
        <v>-61.037687169951042</v>
      </c>
      <c r="AM9" s="9" t="e">
        <f>'8'!Z6</f>
        <v>#REF!</v>
      </c>
      <c r="AN9" s="9" t="e">
        <f t="shared" ref="AN9:AN17" si="8">SUM(AH9,AJ9,AL9,AM9)/4</f>
        <v>#REF!</v>
      </c>
      <c r="AO9" s="9" t="e">
        <f t="shared" ref="AO9:AO17" si="9">SUM(AI9,AK9,AL9,AM9)/4</f>
        <v>#REF!</v>
      </c>
      <c r="AP9" s="9">
        <f>'1'!BG9</f>
        <v>7.9451696223627369E-2</v>
      </c>
      <c r="AQ9" s="9">
        <f>'1'!BI9</f>
        <v>7.7236034910803594E-2</v>
      </c>
      <c r="AR9" s="9">
        <f>'2'!BG9</f>
        <v>0.16060116109357234</v>
      </c>
      <c r="AS9" s="9">
        <f>'2'!BI9</f>
        <v>0.23749670982075108</v>
      </c>
      <c r="AT9" s="9">
        <f>'3'!S9</f>
        <v>-41.292861930799653</v>
      </c>
      <c r="AU9" s="9" t="e">
        <f>'8'!AE6</f>
        <v>#REF!</v>
      </c>
      <c r="AV9" s="9" t="e">
        <f t="shared" ref="AV9:AV17" si="10">SUM(AP9,AR9,AT9,AU9)/4</f>
        <v>#REF!</v>
      </c>
      <c r="AW9" s="9" t="e">
        <f t="shared" ref="AW9:AW17" si="11">SUM(AQ9,AS9,AT9,AU9)/4</f>
        <v>#REF!</v>
      </c>
      <c r="AX9" s="9">
        <f>'1'!BQ9</f>
        <v>0.19490336844051109</v>
      </c>
      <c r="AY9" s="9">
        <f>'1'!BS9</f>
        <v>0.24428163692473856</v>
      </c>
      <c r="AZ9" s="9">
        <f>'2'!BQ9</f>
        <v>0.16194006716399267</v>
      </c>
      <c r="BA9" s="9">
        <f>'2'!BS9</f>
        <v>0.23982830590446202</v>
      </c>
      <c r="BB9" s="9">
        <f>'3'!V9</f>
        <v>-41.269291869468965</v>
      </c>
      <c r="BC9" s="9" t="e">
        <f>'8'!AJ6</f>
        <v>#REF!</v>
      </c>
      <c r="BD9" s="9" t="e">
        <f t="shared" ref="BD9:BD17" si="12">SUM(AX9,AZ9,BB9,BC9)/4</f>
        <v>#REF!</v>
      </c>
      <c r="BE9" s="9" t="e">
        <f t="shared" ref="BE9:BE17" si="13">SUM(AY9,BA9,BB9,BC9)/4</f>
        <v>#REF!</v>
      </c>
      <c r="BF9" s="9">
        <f>'1'!CA9</f>
        <v>0.14764483322259325</v>
      </c>
      <c r="BG9" s="9">
        <f>'1'!CC9</f>
        <v>0.179261134221949</v>
      </c>
      <c r="BH9" s="9">
        <f>'2'!CA9</f>
        <v>0.21773206200284898</v>
      </c>
      <c r="BI9" s="9">
        <f>'2'!CC9</f>
        <v>0.32927659941237913</v>
      </c>
      <c r="BJ9" s="9">
        <f>'3'!Y9</f>
        <v>-61.228690455242877</v>
      </c>
      <c r="BK9" s="9" t="e">
        <f>'8'!AO6</f>
        <v>#REF!</v>
      </c>
      <c r="BL9" s="9" t="e">
        <f t="shared" ref="BL9:BL17" si="14">SUM(BF9,BH9,BJ9,BK9)/4</f>
        <v>#REF!</v>
      </c>
      <c r="BM9" s="9" t="e">
        <f t="shared" ref="BM9:BM17" si="15">SUM(BG9,BI9,BJ9,BK9)/4</f>
        <v>#REF!</v>
      </c>
      <c r="BN9" s="9">
        <f>'1'!CK9</f>
        <v>4.7271215409419448E-2</v>
      </c>
      <c r="BO9" s="9">
        <f>'1'!CM9</f>
        <v>2.5191689245728836E-2</v>
      </c>
      <c r="BP9" s="9">
        <f>'2'!CK9</f>
        <v>0.30311238567460042</v>
      </c>
      <c r="BQ9" s="9">
        <f>'2'!CM9</f>
        <v>0.44341815442797961</v>
      </c>
      <c r="BR9" s="9">
        <f>'3'!AB9</f>
        <v>-62.175584769885326</v>
      </c>
      <c r="BS9" s="9" t="e">
        <f>'8'!AT6</f>
        <v>#REF!</v>
      </c>
      <c r="BT9" s="9" t="e">
        <f t="shared" ref="BT9:BT17" si="16">SUM(BN9,BP9,BR9,BS9)/4</f>
        <v>#REF!</v>
      </c>
      <c r="BU9" s="9" t="e">
        <f t="shared" ref="BU9:BU17" si="17">SUM(BO9,BQ9,BR9,BS9)/4</f>
        <v>#REF!</v>
      </c>
      <c r="BV9" s="9">
        <f>'1'!CU9</f>
        <v>0.15091165735650389</v>
      </c>
      <c r="BW9" s="9">
        <f>'1'!CW9</f>
        <v>0.18389529401284924</v>
      </c>
      <c r="BX9" s="9">
        <f>'2'!CU9</f>
        <v>0.24106852498669612</v>
      </c>
      <c r="BY9" s="9">
        <f>'2'!CW9</f>
        <v>0.3628441572857159</v>
      </c>
      <c r="BZ9" s="9">
        <f>'3'!AE9</f>
        <v>-52.036767110410516</v>
      </c>
      <c r="CA9" s="9" t="e">
        <f>'8'!AY6</f>
        <v>#REF!</v>
      </c>
      <c r="CB9" s="9" t="e">
        <f t="shared" ref="CB9:CB17" si="18">SUM(BV9,BX9,BZ9,CA9)/4</f>
        <v>#REF!</v>
      </c>
      <c r="CC9" s="9" t="e">
        <f t="shared" ref="CC9:CC17" si="19">SUM(BW9,BY9,BZ9,CA9)/4</f>
        <v>#REF!</v>
      </c>
      <c r="CD9" s="9">
        <f>'1'!DE9</f>
        <v>0.16746903410538064</v>
      </c>
      <c r="CE9" s="9">
        <f>'1'!DG9</f>
        <v>0.20705603600821712</v>
      </c>
      <c r="CF9" s="9">
        <f>'2'!DE9</f>
        <v>0.26989759491711973</v>
      </c>
      <c r="CG9" s="9">
        <f>'2'!DG9</f>
        <v>0.40172309755741614</v>
      </c>
      <c r="CH9" s="9">
        <f>'3'!AH9</f>
        <v>-46.326652926995003</v>
      </c>
      <c r="CI9" s="9" t="e">
        <f>'8'!BD6</f>
        <v>#REF!</v>
      </c>
      <c r="CJ9" s="9" t="e">
        <f t="shared" ref="CJ9:CJ17" si="20">SUM(CD9,CF9,CH9,CI9)/4</f>
        <v>#REF!</v>
      </c>
      <c r="CK9" s="142" t="e">
        <f t="shared" ref="CK9:CK17" si="21">SUM(CE9,CG9,CH9,CI9)/4</f>
        <v>#REF!</v>
      </c>
    </row>
    <row r="10" spans="1:89" hidden="1">
      <c r="A10" s="1">
        <v>1973</v>
      </c>
      <c r="B10" s="9">
        <f>'1'!I10</f>
        <v>0.14042456734718101</v>
      </c>
      <c r="C10" s="9">
        <f>'1'!K10</f>
        <v>0.16894147879647725</v>
      </c>
      <c r="D10" s="9">
        <f>'2'!I10</f>
        <v>0.1879740233961798</v>
      </c>
      <c r="E10" s="9">
        <f>'2'!K10</f>
        <v>0.28334237294913689</v>
      </c>
      <c r="F10" s="9">
        <f>'3'!D10</f>
        <v>-46.459539597108417</v>
      </c>
      <c r="G10" s="9" t="e">
        <f>'8'!F7</f>
        <v>#REF!</v>
      </c>
      <c r="H10" s="9" t="e">
        <f>SUM(B10,D10,F10,G10)/4</f>
        <v>#REF!</v>
      </c>
      <c r="I10" s="9" t="e">
        <f>SUM(C10,E10,F10,G10)/4</f>
        <v>#REF!</v>
      </c>
      <c r="J10" s="9">
        <f>'1'!S10</f>
        <v>2.5739830537903206E-2</v>
      </c>
      <c r="K10" s="9">
        <f>'1'!U10</f>
        <v>-1.1217482358619154E-2</v>
      </c>
      <c r="L10" s="9">
        <f>'2'!S10</f>
        <v>0.13950414057840363</v>
      </c>
      <c r="M10" s="9">
        <f>'2'!U10</f>
        <v>0.19942109131092231</v>
      </c>
      <c r="N10" s="9">
        <f>'3'!G10</f>
        <v>-87.44282039190017</v>
      </c>
      <c r="O10" s="9" t="e">
        <f>'8'!K7</f>
        <v>#REF!</v>
      </c>
      <c r="P10" s="9" t="e">
        <f t="shared" si="2"/>
        <v>#REF!</v>
      </c>
      <c r="Q10" s="9" t="e">
        <f t="shared" si="3"/>
        <v>#REF!</v>
      </c>
      <c r="R10" s="9">
        <f>'1'!AC10</f>
        <v>0.13012305695109949</v>
      </c>
      <c r="S10" s="9">
        <f>'1'!AE10</f>
        <v>0.15402984068565281</v>
      </c>
      <c r="T10" s="9">
        <f>'2'!AC10</f>
        <v>7.3241703614914236E-2</v>
      </c>
      <c r="U10" s="9">
        <f>'2'!AE10</f>
        <v>5.9677111503833612E-2</v>
      </c>
      <c r="V10" s="9">
        <f>'3'!J10</f>
        <v>-73.855883474873721</v>
      </c>
      <c r="W10" s="9" t="e">
        <f>'8'!P7</f>
        <v>#REF!</v>
      </c>
      <c r="X10" s="9" t="e">
        <f t="shared" si="4"/>
        <v>#REF!</v>
      </c>
      <c r="Y10" s="9" t="e">
        <f t="shared" si="5"/>
        <v>#REF!</v>
      </c>
      <c r="Z10" s="9">
        <f>'1'!AM10</f>
        <v>0.1451847564371459</v>
      </c>
      <c r="AA10" s="9">
        <f>'1'!AO10</f>
        <v>0.17575706418875314</v>
      </c>
      <c r="AB10" s="9">
        <f>'2'!AM10</f>
        <v>0.11460129379679383</v>
      </c>
      <c r="AC10" s="9">
        <f>'2'!AO10</f>
        <v>0.1508841004059048</v>
      </c>
      <c r="AD10" s="9">
        <f>'3'!M10</f>
        <v>-51.230603824914851</v>
      </c>
      <c r="AE10" s="9" t="e">
        <f>'8'!U7</f>
        <v>#REF!</v>
      </c>
      <c r="AF10" s="9" t="e">
        <f t="shared" si="6"/>
        <v>#REF!</v>
      </c>
      <c r="AG10" s="9" t="e">
        <f t="shared" si="7"/>
        <v>#REF!</v>
      </c>
      <c r="AH10" s="9">
        <f>'1'!AW10</f>
        <v>5.2927324606308376E-2</v>
      </c>
      <c r="AI10" s="9">
        <f>'1'!AY10</f>
        <v>3.453883014622422E-2</v>
      </c>
      <c r="AJ10" s="9">
        <f>'2'!AW10</f>
        <v>0.1219471156694063</v>
      </c>
      <c r="AK10" s="9">
        <f>'2'!AY10</f>
        <v>0.1656422542353265</v>
      </c>
      <c r="AL10" s="9">
        <f>'3'!P10</f>
        <v>-61.037687169951042</v>
      </c>
      <c r="AM10" s="9" t="e">
        <f>'8'!Z7</f>
        <v>#REF!</v>
      </c>
      <c r="AN10" s="9" t="e">
        <f t="shared" si="8"/>
        <v>#REF!</v>
      </c>
      <c r="AO10" s="9" t="e">
        <f t="shared" si="9"/>
        <v>#REF!</v>
      </c>
      <c r="AP10" s="9">
        <f>'1'!BG10</f>
        <v>0.11517841301717084</v>
      </c>
      <c r="AQ10" s="9">
        <f>'1'!BI10</f>
        <v>0.13199139154012865</v>
      </c>
      <c r="AR10" s="9">
        <f>'2'!BG10</f>
        <v>0.16505726305514878</v>
      </c>
      <c r="AS10" s="9">
        <f>'2'!BI10</f>
        <v>0.24521948063984525</v>
      </c>
      <c r="AT10" s="9">
        <f>'3'!S10</f>
        <v>-41.292861930799653</v>
      </c>
      <c r="AU10" s="9" t="e">
        <f>'8'!AE7</f>
        <v>#REF!</v>
      </c>
      <c r="AV10" s="9" t="e">
        <f t="shared" si="10"/>
        <v>#REF!</v>
      </c>
      <c r="AW10" s="9" t="e">
        <f t="shared" si="11"/>
        <v>#REF!</v>
      </c>
      <c r="AX10" s="9">
        <f>'1'!BQ10</f>
        <v>0.22066435838334109</v>
      </c>
      <c r="AY10" s="9">
        <f>'1'!BS10</f>
        <v>0.27801086886818199</v>
      </c>
      <c r="AZ10" s="9">
        <f>'2'!BQ10</f>
        <v>0.165522488513411</v>
      </c>
      <c r="BA10" s="9">
        <f>'2'!BS10</f>
        <v>0.24601967097493183</v>
      </c>
      <c r="BB10" s="9">
        <f>'3'!V10</f>
        <v>-41.269291869468965</v>
      </c>
      <c r="BC10" s="9" t="e">
        <f>'8'!AJ7</f>
        <v>#REF!</v>
      </c>
      <c r="BD10" s="9" t="e">
        <f t="shared" si="12"/>
        <v>#REF!</v>
      </c>
      <c r="BE10" s="9" t="e">
        <f t="shared" si="13"/>
        <v>#REF!</v>
      </c>
      <c r="BF10" s="9">
        <f>'1'!CA10</f>
        <v>0.17549003198845856</v>
      </c>
      <c r="BG10" s="9">
        <f>'1'!CC10</f>
        <v>0.21808473988423713</v>
      </c>
      <c r="BH10" s="9">
        <f>'2'!CA10</f>
        <v>0.22000816179587743</v>
      </c>
      <c r="BI10" s="9">
        <f>'2'!CC10</f>
        <v>0.33264020181805054</v>
      </c>
      <c r="BJ10" s="9">
        <f>'3'!Y10</f>
        <v>-61.228690455242877</v>
      </c>
      <c r="BK10" s="9" t="e">
        <f>'8'!AO7</f>
        <v>#REF!</v>
      </c>
      <c r="BL10" s="9" t="e">
        <f t="shared" si="14"/>
        <v>#REF!</v>
      </c>
      <c r="BM10" s="9" t="e">
        <f t="shared" si="15"/>
        <v>#REF!</v>
      </c>
      <c r="BN10" s="9">
        <f>'1'!CK10</f>
        <v>7.6673146900038541E-2</v>
      </c>
      <c r="BO10" s="9">
        <f>'1'!CM10</f>
        <v>7.2848379042191463E-2</v>
      </c>
      <c r="BP10" s="9">
        <f>'2'!CK10</f>
        <v>0.30480393190451716</v>
      </c>
      <c r="BQ10" s="9">
        <f>'2'!CM10</f>
        <v>0.4454610424040274</v>
      </c>
      <c r="BR10" s="9">
        <f>'3'!AB10</f>
        <v>-62.175584769885326</v>
      </c>
      <c r="BS10" s="9" t="e">
        <f>'8'!AT7</f>
        <v>#REF!</v>
      </c>
      <c r="BT10" s="9" t="e">
        <f t="shared" si="16"/>
        <v>#REF!</v>
      </c>
      <c r="BU10" s="9" t="e">
        <f t="shared" si="17"/>
        <v>#REF!</v>
      </c>
      <c r="BV10" s="9">
        <f>'1'!CU10</f>
        <v>0.19048774376849695</v>
      </c>
      <c r="BW10" s="9">
        <f>'1'!CW10</f>
        <v>0.23838346723277301</v>
      </c>
      <c r="BX10" s="9">
        <f>'2'!CU10</f>
        <v>0.26933007881023613</v>
      </c>
      <c r="BY10" s="9">
        <f>'2'!CW10</f>
        <v>0.40098311895205185</v>
      </c>
      <c r="BZ10" s="9">
        <f>'3'!AE10</f>
        <v>-52.036767110410516</v>
      </c>
      <c r="CA10" s="9" t="e">
        <f>'8'!AY7</f>
        <v>#REF!</v>
      </c>
      <c r="CB10" s="9" t="e">
        <f t="shared" si="18"/>
        <v>#REF!</v>
      </c>
      <c r="CC10" s="9" t="e">
        <f t="shared" si="19"/>
        <v>#REF!</v>
      </c>
      <c r="CD10" s="9">
        <f>'1'!DE10</f>
        <v>0.20138348001919087</v>
      </c>
      <c r="CE10" s="9">
        <f>'1'!DG10</f>
        <v>0.25287453583476444</v>
      </c>
      <c r="CF10" s="9">
        <f>'2'!DE10</f>
        <v>0.27626040124614148</v>
      </c>
      <c r="CG10" s="9">
        <f>'2'!DG10</f>
        <v>0.40995350732031161</v>
      </c>
      <c r="CH10" s="9">
        <f>'3'!AH10</f>
        <v>-46.326652926995003</v>
      </c>
      <c r="CI10" s="9" t="e">
        <f>'8'!BD7</f>
        <v>#REF!</v>
      </c>
      <c r="CJ10" s="9" t="e">
        <f t="shared" si="20"/>
        <v>#REF!</v>
      </c>
      <c r="CK10" s="142" t="e">
        <f t="shared" si="21"/>
        <v>#REF!</v>
      </c>
    </row>
    <row r="11" spans="1:89" hidden="1">
      <c r="A11" s="1">
        <v>1974</v>
      </c>
      <c r="B11" s="9">
        <f>'1'!I11</f>
        <v>0.15667009511655916</v>
      </c>
      <c r="C11" s="9">
        <f>'1'!K11</f>
        <v>0.19201167353458995</v>
      </c>
      <c r="D11" s="9">
        <f>'2'!I11</f>
        <v>0.19036063609921283</v>
      </c>
      <c r="E11" s="9">
        <f>'2'!K11</f>
        <v>0.28716794494552289</v>
      </c>
      <c r="F11" s="9">
        <f>'3'!D11</f>
        <v>-46.457663086515652</v>
      </c>
      <c r="G11" s="9" t="e">
        <f>'8'!F8</f>
        <v>#REF!</v>
      </c>
      <c r="H11" s="9" t="e">
        <f t="shared" si="0"/>
        <v>#REF!</v>
      </c>
      <c r="I11" s="9" t="e">
        <f t="shared" si="1"/>
        <v>#REF!</v>
      </c>
      <c r="J11" s="9">
        <f>'1'!S11</f>
        <v>5.7303145352137402E-2</v>
      </c>
      <c r="K11" s="9">
        <f>'1'!U11</f>
        <v>4.1710344266765814E-2</v>
      </c>
      <c r="L11" s="9">
        <f>'2'!S11</f>
        <v>0.14152999978354736</v>
      </c>
      <c r="M11" s="9">
        <f>'2'!U11</f>
        <v>0.20319130568088586</v>
      </c>
      <c r="N11" s="9">
        <f>'3'!G11</f>
        <v>-87.439966198175895</v>
      </c>
      <c r="O11" s="9" t="e">
        <f>'8'!K8</f>
        <v>#REF!</v>
      </c>
      <c r="P11" s="9" t="e">
        <f t="shared" si="2"/>
        <v>#REF!</v>
      </c>
      <c r="Q11" s="9" t="e">
        <f t="shared" si="3"/>
        <v>#REF!</v>
      </c>
      <c r="R11" s="9">
        <f>'1'!AC11</f>
        <v>0.15674721092182259</v>
      </c>
      <c r="S11" s="9">
        <f>'1'!AE11</f>
        <v>0.19211991774968218</v>
      </c>
      <c r="T11" s="9">
        <f>'2'!AC11</f>
        <v>7.6205404211708974E-2</v>
      </c>
      <c r="U11" s="9">
        <f>'2'!AE11</f>
        <v>6.6728270060586209E-2</v>
      </c>
      <c r="V11" s="9">
        <f>'3'!J11</f>
        <v>-73.844297223950846</v>
      </c>
      <c r="W11" s="9" t="e">
        <f>'8'!P8</f>
        <v>#REF!</v>
      </c>
      <c r="X11" s="9" t="e">
        <f t="shared" si="4"/>
        <v>#REF!</v>
      </c>
      <c r="Y11" s="9" t="e">
        <f t="shared" si="5"/>
        <v>#REF!</v>
      </c>
      <c r="Z11" s="9">
        <f>'1'!AM11</f>
        <v>0.18141872196920064</v>
      </c>
      <c r="AA11" s="9">
        <f>'1'!AO11</f>
        <v>0.22615859186423803</v>
      </c>
      <c r="AB11" s="9">
        <f>'2'!AM11</f>
        <v>0.11796817052604915</v>
      </c>
      <c r="AC11" s="9">
        <f>'2'!AO11</f>
        <v>0.15769645648764188</v>
      </c>
      <c r="AD11" s="9">
        <f>'3'!M11</f>
        <v>-51.22519050547529</v>
      </c>
      <c r="AE11" s="9" t="e">
        <f>'8'!U8</f>
        <v>#REF!</v>
      </c>
      <c r="AF11" s="9" t="e">
        <f t="shared" si="6"/>
        <v>#REF!</v>
      </c>
      <c r="AG11" s="9" t="e">
        <f t="shared" si="7"/>
        <v>#REF!</v>
      </c>
      <c r="AH11" s="9">
        <f>'1'!AW11</f>
        <v>7.4120690290924676E-2</v>
      </c>
      <c r="AI11" s="9">
        <f>'1'!AY11</f>
        <v>6.8800602574472153E-2</v>
      </c>
      <c r="AJ11" s="9">
        <f>'2'!AW11</f>
        <v>0.13470367282978349</v>
      </c>
      <c r="AK11" s="9">
        <f>'2'!AY11</f>
        <v>0.19038496481371858</v>
      </c>
      <c r="AL11" s="9">
        <f>'3'!P11</f>
        <v>-61.041362834804609</v>
      </c>
      <c r="AM11" s="9" t="e">
        <f>'8'!Z8</f>
        <v>#REF!</v>
      </c>
      <c r="AN11" s="9" t="e">
        <f t="shared" si="8"/>
        <v>#REF!</v>
      </c>
      <c r="AO11" s="9" t="e">
        <f t="shared" si="9"/>
        <v>#REF!</v>
      </c>
      <c r="AP11" s="9">
        <f>'1'!BG11</f>
        <v>0.1370364837946457</v>
      </c>
      <c r="AQ11" s="9">
        <f>'1'!BI11</f>
        <v>0.16406181830860714</v>
      </c>
      <c r="AR11" s="9">
        <f>'2'!BG11</f>
        <v>0.17021454062564204</v>
      </c>
      <c r="AS11" s="9">
        <f>'2'!BI11</f>
        <v>0.25402699774085374</v>
      </c>
      <c r="AT11" s="9">
        <f>'3'!S11</f>
        <v>-41.28140434669389</v>
      </c>
      <c r="AU11" s="9" t="e">
        <f>'8'!AE8</f>
        <v>#REF!</v>
      </c>
      <c r="AV11" s="9" t="e">
        <f t="shared" si="10"/>
        <v>#REF!</v>
      </c>
      <c r="AW11" s="9" t="e">
        <f t="shared" si="11"/>
        <v>#REF!</v>
      </c>
      <c r="AX11" s="9">
        <f>'1'!BQ11</f>
        <v>0.24697777184003003</v>
      </c>
      <c r="AY11" s="9">
        <f>'1'!BS11</f>
        <v>0.31132047953146885</v>
      </c>
      <c r="AZ11" s="9">
        <f>'2'!BQ11</f>
        <v>0.16936964928392917</v>
      </c>
      <c r="BA11" s="9">
        <f>'2'!BS11</f>
        <v>0.25259352212616382</v>
      </c>
      <c r="BB11" s="9">
        <f>'3'!V11</f>
        <v>-41.266663016901475</v>
      </c>
      <c r="BC11" s="9" t="e">
        <f>'8'!AJ8</f>
        <v>#REF!</v>
      </c>
      <c r="BD11" s="9" t="e">
        <f t="shared" si="12"/>
        <v>#REF!</v>
      </c>
      <c r="BE11" s="9" t="e">
        <f t="shared" si="13"/>
        <v>#REF!</v>
      </c>
      <c r="BF11" s="9">
        <f>'1'!CA11</f>
        <v>0.20600645308420301</v>
      </c>
      <c r="BG11" s="9">
        <f>'1'!CC11</f>
        <v>0.25895968478189596</v>
      </c>
      <c r="BH11" s="9">
        <f>'2'!CA11</f>
        <v>0.22169947193785583</v>
      </c>
      <c r="BI11" s="9">
        <f>'2'!CC11</f>
        <v>0.33512663968444001</v>
      </c>
      <c r="BJ11" s="9">
        <f>'3'!Y11</f>
        <v>-61.219915101696678</v>
      </c>
      <c r="BK11" s="9" t="e">
        <f>'8'!AO8</f>
        <v>#REF!</v>
      </c>
      <c r="BL11" s="9" t="e">
        <f t="shared" si="14"/>
        <v>#REF!</v>
      </c>
      <c r="BM11" s="9" t="e">
        <f t="shared" si="15"/>
        <v>#REF!</v>
      </c>
      <c r="BN11" s="9">
        <f>'1'!CK11</f>
        <v>0.13695212040339574</v>
      </c>
      <c r="BO11" s="9">
        <f>'1'!CM11</f>
        <v>0.16394000826898886</v>
      </c>
      <c r="BP11" s="9">
        <f>'2'!CK11</f>
        <v>0.30798845645659978</v>
      </c>
      <c r="BQ11" s="9">
        <f>'2'!CM11</f>
        <v>0.44928698224322722</v>
      </c>
      <c r="BR11" s="9">
        <f>'3'!AB11</f>
        <v>-62.194542448042029</v>
      </c>
      <c r="BS11" s="9" t="e">
        <f>'8'!AT8</f>
        <v>#REF!</v>
      </c>
      <c r="BT11" s="9" t="e">
        <f t="shared" si="16"/>
        <v>#REF!</v>
      </c>
      <c r="BU11" s="9" t="e">
        <f t="shared" si="17"/>
        <v>#REF!</v>
      </c>
      <c r="BV11" s="9">
        <f>'1'!CU11</f>
        <v>0.23851755972165808</v>
      </c>
      <c r="BW11" s="9">
        <f>'1'!CW11</f>
        <v>0.30073218734784096</v>
      </c>
      <c r="BX11" s="9">
        <f>'2'!CU11</f>
        <v>0.33996310890536313</v>
      </c>
      <c r="BY11" s="9">
        <f>'2'!CW11</f>
        <v>0.48632436070842278</v>
      </c>
      <c r="BZ11" s="9">
        <f>'3'!AE11</f>
        <v>-52.058527021079009</v>
      </c>
      <c r="CA11" s="9" t="e">
        <f>'8'!AY8</f>
        <v>#REF!</v>
      </c>
      <c r="CB11" s="9" t="e">
        <f t="shared" si="18"/>
        <v>#REF!</v>
      </c>
      <c r="CC11" s="9" t="e">
        <f t="shared" si="19"/>
        <v>#REF!</v>
      </c>
      <c r="CD11" s="9">
        <f>'1'!DE11</f>
        <v>0.24645220588302014</v>
      </c>
      <c r="CE11" s="9">
        <f>'1'!DG11</f>
        <v>0.31066598985490684</v>
      </c>
      <c r="CF11" s="9">
        <f>'2'!DE11</f>
        <v>0.27309027700476329</v>
      </c>
      <c r="CG11" s="9">
        <f>'2'!DG11</f>
        <v>0.40586795090083516</v>
      </c>
      <c r="CH11" s="9">
        <f>'3'!AH11</f>
        <v>-46.344817049310002</v>
      </c>
      <c r="CI11" s="9" t="e">
        <f>'8'!BD8</f>
        <v>#REF!</v>
      </c>
      <c r="CJ11" s="9" t="e">
        <f t="shared" si="20"/>
        <v>#REF!</v>
      </c>
      <c r="CK11" s="142" t="e">
        <f t="shared" si="21"/>
        <v>#REF!</v>
      </c>
    </row>
    <row r="12" spans="1:89" hidden="1">
      <c r="A12" s="1">
        <v>1975</v>
      </c>
      <c r="B12" s="9">
        <f>'1'!I12</f>
        <v>0.17627869346084327</v>
      </c>
      <c r="C12" s="9">
        <f>'1'!K12</f>
        <v>0.21916255159999537</v>
      </c>
      <c r="D12" s="9">
        <f>'2'!I12</f>
        <v>0.1915218716260664</v>
      </c>
      <c r="E12" s="9">
        <f>'2'!K12</f>
        <v>0.28901995227485333</v>
      </c>
      <c r="F12" s="9">
        <f>'3'!D12</f>
        <v>-46.455786575922893</v>
      </c>
      <c r="G12" s="9" t="e">
        <f>'8'!F9</f>
        <v>#REF!</v>
      </c>
      <c r="H12" s="9" t="e">
        <f t="shared" si="0"/>
        <v>#REF!</v>
      </c>
      <c r="I12" s="9" t="e">
        <f t="shared" si="1"/>
        <v>#REF!</v>
      </c>
      <c r="J12" s="9">
        <f>'1'!S12</f>
        <v>8.1780805350767524E-2</v>
      </c>
      <c r="K12" s="9">
        <f>'1'!U12</f>
        <v>8.0899101556527603E-2</v>
      </c>
      <c r="L12" s="9">
        <f>'2'!S12</f>
        <v>0.13899596912834475</v>
      </c>
      <c r="M12" s="9">
        <f>'2'!U12</f>
        <v>0.19847138210454693</v>
      </c>
      <c r="N12" s="9">
        <f>'3'!G12</f>
        <v>-87.43711200445162</v>
      </c>
      <c r="O12" s="9" t="e">
        <f>'8'!K9</f>
        <v>#REF!</v>
      </c>
      <c r="P12" s="9" t="e">
        <f t="shared" si="2"/>
        <v>#REF!</v>
      </c>
      <c r="Q12" s="9" t="e">
        <f t="shared" si="3"/>
        <v>#REF!</v>
      </c>
      <c r="R12" s="9">
        <f>'1'!AC12</f>
        <v>0.19233748999705619</v>
      </c>
      <c r="S12" s="9">
        <f>'1'!AE12</f>
        <v>0.2408585284475564</v>
      </c>
      <c r="T12" s="9">
        <f>'2'!AC12</f>
        <v>7.7454191193426461E-2</v>
      </c>
      <c r="U12" s="9">
        <f>'2'!AE12</f>
        <v>6.9673074202520169E-2</v>
      </c>
      <c r="V12" s="9">
        <f>'3'!J12</f>
        <v>-73.832710973027972</v>
      </c>
      <c r="W12" s="9" t="e">
        <f>'8'!P9</f>
        <v>#REF!</v>
      </c>
      <c r="X12" s="9" t="e">
        <f t="shared" si="4"/>
        <v>#REF!</v>
      </c>
      <c r="Y12" s="9" t="e">
        <f t="shared" si="5"/>
        <v>#REF!</v>
      </c>
      <c r="Z12" s="9">
        <f>'1'!AM12</f>
        <v>0.20252667241918984</v>
      </c>
      <c r="AA12" s="9">
        <f>'1'!AO12</f>
        <v>0.25438277477023619</v>
      </c>
      <c r="AB12" s="9">
        <f>'2'!AM12</f>
        <v>0.11906144780304653</v>
      </c>
      <c r="AC12" s="9">
        <f>'2'!AO12</f>
        <v>0.15989089993278777</v>
      </c>
      <c r="AD12" s="9">
        <f>'3'!M12</f>
        <v>-51.219777186035735</v>
      </c>
      <c r="AE12" s="9" t="e">
        <f>'8'!U9</f>
        <v>#REF!</v>
      </c>
      <c r="AF12" s="9" t="e">
        <f t="shared" si="6"/>
        <v>#REF!</v>
      </c>
      <c r="AG12" s="9" t="e">
        <f t="shared" si="7"/>
        <v>#REF!</v>
      </c>
      <c r="AH12" s="9">
        <f>'1'!AW12</f>
        <v>0.10072057943871146</v>
      </c>
      <c r="AI12" s="9">
        <f>'1'!AY12</f>
        <v>0.11019526163607579</v>
      </c>
      <c r="AJ12" s="9">
        <f>'2'!AW12</f>
        <v>0.1408775998370807</v>
      </c>
      <c r="AK12" s="9">
        <f>'2'!AY12</f>
        <v>0.2019799178391212</v>
      </c>
      <c r="AL12" s="9">
        <f>'3'!P12</f>
        <v>-61.045038499658169</v>
      </c>
      <c r="AM12" s="9" t="e">
        <f>'8'!Z9</f>
        <v>#REF!</v>
      </c>
      <c r="AN12" s="9" t="e">
        <f t="shared" si="8"/>
        <v>#REF!</v>
      </c>
      <c r="AO12" s="9" t="e">
        <f t="shared" si="9"/>
        <v>#REF!</v>
      </c>
      <c r="AP12" s="9">
        <f>'1'!BG12</f>
        <v>0.16010866461186965</v>
      </c>
      <c r="AQ12" s="9">
        <f>'1'!BI12</f>
        <v>0.19682682479393981</v>
      </c>
      <c r="AR12" s="9">
        <f>'2'!BG12</f>
        <v>0.17341672314485557</v>
      </c>
      <c r="AS12" s="9">
        <f>'2'!BI12</f>
        <v>0.25942701168013405</v>
      </c>
      <c r="AT12" s="9">
        <f>'3'!S12</f>
        <v>-41.269946762588127</v>
      </c>
      <c r="AU12" s="9" t="e">
        <f>'8'!AE9</f>
        <v>#REF!</v>
      </c>
      <c r="AV12" s="9" t="e">
        <f t="shared" si="10"/>
        <v>#REF!</v>
      </c>
      <c r="AW12" s="9" t="e">
        <f t="shared" si="11"/>
        <v>#REF!</v>
      </c>
      <c r="AX12" s="9">
        <f>'1'!BQ12</f>
        <v>0.27348310403594156</v>
      </c>
      <c r="AY12" s="9">
        <f>'1'!BS12</f>
        <v>0.34378073533594206</v>
      </c>
      <c r="AZ12" s="9">
        <f>'2'!BQ12</f>
        <v>0.17059700118734988</v>
      </c>
      <c r="BA12" s="9">
        <f>'2'!BS12</f>
        <v>0.25467469558411365</v>
      </c>
      <c r="BB12" s="9">
        <f>'3'!V12</f>
        <v>-41.264034164333992</v>
      </c>
      <c r="BC12" s="9" t="e">
        <f>'8'!AJ9</f>
        <v>#REF!</v>
      </c>
      <c r="BD12" s="9" t="e">
        <f t="shared" si="12"/>
        <v>#REF!</v>
      </c>
      <c r="BE12" s="9" t="e">
        <f t="shared" si="13"/>
        <v>#REF!</v>
      </c>
      <c r="BF12" s="9">
        <f>'1'!CA12</f>
        <v>0.22382835048391519</v>
      </c>
      <c r="BG12" s="9">
        <f>'1'!CC12</f>
        <v>0.28207567238815395</v>
      </c>
      <c r="BH12" s="9">
        <f>'2'!CA12</f>
        <v>0.22232355051983427</v>
      </c>
      <c r="BI12" s="9">
        <f>'2'!CC12</f>
        <v>0.33604134334715363</v>
      </c>
      <c r="BJ12" s="9">
        <f>'3'!Y12</f>
        <v>-61.211139748150487</v>
      </c>
      <c r="BK12" s="9" t="e">
        <f>'8'!AO9</f>
        <v>#REF!</v>
      </c>
      <c r="BL12" s="9" t="e">
        <f t="shared" si="14"/>
        <v>#REF!</v>
      </c>
      <c r="BM12" s="9" t="e">
        <f t="shared" si="15"/>
        <v>#REF!</v>
      </c>
      <c r="BN12" s="9">
        <f>'1'!CK12</f>
        <v>0.19026976059198314</v>
      </c>
      <c r="BO12" s="9">
        <f>'1'!CM12</f>
        <v>0.23809138733362956</v>
      </c>
      <c r="BP12" s="9">
        <f>'2'!CK12</f>
        <v>0.30331827630138131</v>
      </c>
      <c r="BQ12" s="9">
        <f>'2'!CM12</f>
        <v>0.44366720656511927</v>
      </c>
      <c r="BR12" s="9">
        <f>'3'!AB12</f>
        <v>-62.213500126198731</v>
      </c>
      <c r="BS12" s="9" t="e">
        <f>'8'!AT9</f>
        <v>#REF!</v>
      </c>
      <c r="BT12" s="9" t="e">
        <f t="shared" si="16"/>
        <v>#REF!</v>
      </c>
      <c r="BU12" s="9" t="e">
        <f t="shared" si="17"/>
        <v>#REF!</v>
      </c>
      <c r="BV12" s="9">
        <f>'1'!CU12</f>
        <v>0.28885023544913124</v>
      </c>
      <c r="BW12" s="9">
        <f>'1'!CW12</f>
        <v>0.36212585637971378</v>
      </c>
      <c r="BX12" s="9">
        <f>'2'!CU12</f>
        <v>0.37861369303241471</v>
      </c>
      <c r="BY12" s="9">
        <f>'2'!CW12</f>
        <v>0.52806370544308889</v>
      </c>
      <c r="BZ12" s="9">
        <f>'3'!AE12</f>
        <v>-52.080286931747509</v>
      </c>
      <c r="CA12" s="9" t="e">
        <f>'8'!AY9</f>
        <v>#REF!</v>
      </c>
      <c r="CB12" s="9" t="e">
        <f t="shared" si="18"/>
        <v>#REF!</v>
      </c>
      <c r="CC12" s="9" t="e">
        <f t="shared" si="19"/>
        <v>#REF!</v>
      </c>
      <c r="CD12" s="9">
        <f>'1'!DE12</f>
        <v>0.27596989850844073</v>
      </c>
      <c r="CE12" s="9">
        <f>'1'!DG12</f>
        <v>0.34677251297489753</v>
      </c>
      <c r="CF12" s="9">
        <f>'2'!DE12</f>
        <v>0.266553346803238</v>
      </c>
      <c r="CG12" s="9">
        <f>'2'!DG12</f>
        <v>0.39734845970050231</v>
      </c>
      <c r="CH12" s="9">
        <f>'3'!AH12</f>
        <v>-46.362981171625002</v>
      </c>
      <c r="CI12" s="9" t="e">
        <f>'8'!BD9</f>
        <v>#REF!</v>
      </c>
      <c r="CJ12" s="9" t="e">
        <f t="shared" si="20"/>
        <v>#REF!</v>
      </c>
      <c r="CK12" s="142" t="e">
        <f t="shared" si="21"/>
        <v>#REF!</v>
      </c>
    </row>
    <row r="13" spans="1:89" hidden="1">
      <c r="A13" s="1">
        <v>1976</v>
      </c>
      <c r="B13" s="9">
        <f>'1'!I13</f>
        <v>0.19630893151526885</v>
      </c>
      <c r="C13" s="9">
        <f>'1'!K13</f>
        <v>0.24615179438609688</v>
      </c>
      <c r="D13" s="9">
        <f>'2'!I13</f>
        <v>0.20342458928402068</v>
      </c>
      <c r="E13" s="9">
        <f>'2'!K13</f>
        <v>0.30765948316408981</v>
      </c>
      <c r="F13" s="9">
        <f>'3'!D13</f>
        <v>-46.452971810033745</v>
      </c>
      <c r="G13" s="9" t="e">
        <f>'8'!F10</f>
        <v>#REF!</v>
      </c>
      <c r="H13" s="9" t="e">
        <f t="shared" si="0"/>
        <v>#REF!</v>
      </c>
      <c r="I13" s="9" t="e">
        <f t="shared" si="1"/>
        <v>#REF!</v>
      </c>
      <c r="J13" s="9">
        <f>'1'!S13</f>
        <v>9.6300027666184035E-2</v>
      </c>
      <c r="K13" s="9">
        <f>'1'!U13</f>
        <v>0.10343440148278413</v>
      </c>
      <c r="L13" s="9">
        <f>'2'!S13</f>
        <v>0.1237257938219465</v>
      </c>
      <c r="M13" s="9">
        <f>'2'!U13</f>
        <v>0.1691582091081231</v>
      </c>
      <c r="N13" s="9">
        <f>'3'!G13</f>
        <v>-87.412185379259611</v>
      </c>
      <c r="O13" s="9" t="e">
        <f>'8'!K10</f>
        <v>#REF!</v>
      </c>
      <c r="P13" s="9" t="e">
        <f t="shared" si="2"/>
        <v>#REF!</v>
      </c>
      <c r="Q13" s="9" t="e">
        <f t="shared" si="3"/>
        <v>#REF!</v>
      </c>
      <c r="R13" s="9">
        <f>'1'!AC13</f>
        <v>0.22587763313615664</v>
      </c>
      <c r="S13" s="9">
        <f>'1'!AE13</f>
        <v>0.28469955453350698</v>
      </c>
      <c r="T13" s="9">
        <f>'2'!AC13</f>
        <v>7.1273227996526037E-2</v>
      </c>
      <c r="U13" s="9">
        <f>'2'!AE13</f>
        <v>5.4944414593473163E-2</v>
      </c>
      <c r="V13" s="9">
        <f>'3'!J13</f>
        <v>-73.835554362143341</v>
      </c>
      <c r="W13" s="9" t="e">
        <f>'8'!P10</f>
        <v>#REF!</v>
      </c>
      <c r="X13" s="9" t="e">
        <f t="shared" si="4"/>
        <v>#REF!</v>
      </c>
      <c r="Y13" s="9" t="e">
        <f t="shared" si="5"/>
        <v>#REF!</v>
      </c>
      <c r="Z13" s="9">
        <f>'1'!AM13</f>
        <v>0.24779738211647265</v>
      </c>
      <c r="AA13" s="9">
        <f>'1'!AO13</f>
        <v>0.31234028426431837</v>
      </c>
      <c r="AB13" s="9">
        <f>'2'!AM13</f>
        <v>0.11896429501176536</v>
      </c>
      <c r="AC13" s="9">
        <f>'2'!AO13</f>
        <v>0.15969623966825883</v>
      </c>
      <c r="AD13" s="9">
        <f>'3'!M13</f>
        <v>-51.224162211171269</v>
      </c>
      <c r="AE13" s="9" t="e">
        <f>'8'!U10</f>
        <v>#REF!</v>
      </c>
      <c r="AF13" s="9" t="e">
        <f t="shared" si="6"/>
        <v>#REF!</v>
      </c>
      <c r="AG13" s="9" t="e">
        <f t="shared" si="7"/>
        <v>#REF!</v>
      </c>
      <c r="AH13" s="9">
        <f>'1'!AW13</f>
        <v>0.1202438167095297</v>
      </c>
      <c r="AI13" s="9">
        <f>'1'!AY13</f>
        <v>0.1395160972441179</v>
      </c>
      <c r="AJ13" s="9">
        <f>'2'!AW13</f>
        <v>0.13537247919063625</v>
      </c>
      <c r="AK13" s="9">
        <f>'2'!AY13</f>
        <v>0.19165262809195238</v>
      </c>
      <c r="AL13" s="9">
        <f>'3'!P13</f>
        <v>-61.056356290488921</v>
      </c>
      <c r="AM13" s="9" t="e">
        <f>'8'!Z10</f>
        <v>#REF!</v>
      </c>
      <c r="AN13" s="9" t="e">
        <f t="shared" si="8"/>
        <v>#REF!</v>
      </c>
      <c r="AO13" s="9" t="e">
        <f t="shared" si="9"/>
        <v>#REF!</v>
      </c>
      <c r="AP13" s="9">
        <f>'1'!BG13</f>
        <v>0.18492236822300859</v>
      </c>
      <c r="AQ13" s="9">
        <f>'1'!BI13</f>
        <v>0.23089929018851513</v>
      </c>
      <c r="AR13" s="9">
        <f>'2'!BG13</f>
        <v>0.16957077529556883</v>
      </c>
      <c r="AS13" s="9">
        <f>'2'!BI13</f>
        <v>0.25293509195127756</v>
      </c>
      <c r="AT13" s="9">
        <f>'3'!S13</f>
        <v>-41.273050104112137</v>
      </c>
      <c r="AU13" s="9" t="e">
        <f>'8'!AE10</f>
        <v>#REF!</v>
      </c>
      <c r="AV13" s="9" t="e">
        <f t="shared" si="10"/>
        <v>#REF!</v>
      </c>
      <c r="AW13" s="9" t="e">
        <f t="shared" si="11"/>
        <v>#REF!</v>
      </c>
      <c r="AX13" s="9">
        <f>'1'!BQ13</f>
        <v>0.29601655225865847</v>
      </c>
      <c r="AY13" s="9">
        <f>'1'!BS13</f>
        <v>0.37056647610921928</v>
      </c>
      <c r="AZ13" s="9">
        <f>'2'!BQ13</f>
        <v>0.17500502750655153</v>
      </c>
      <c r="BA13" s="9">
        <f>'2'!BS13</f>
        <v>0.26208633576989682</v>
      </c>
      <c r="BB13" s="9">
        <f>'3'!V13</f>
        <v>-41.267893030488096</v>
      </c>
      <c r="BC13" s="9" t="e">
        <f>'8'!AJ10</f>
        <v>#REF!</v>
      </c>
      <c r="BD13" s="9" t="e">
        <f t="shared" si="12"/>
        <v>#REF!</v>
      </c>
      <c r="BE13" s="9" t="e">
        <f t="shared" si="13"/>
        <v>#REF!</v>
      </c>
      <c r="BF13" s="9">
        <f>'1'!CA13</f>
        <v>0.25616271397513662</v>
      </c>
      <c r="BG13" s="9">
        <f>'1'!CC13</f>
        <v>0.3226894667523843</v>
      </c>
      <c r="BH13" s="9">
        <f>'2'!CA13</f>
        <v>0.22465988999906616</v>
      </c>
      <c r="BI13" s="9">
        <f>'2'!CC13</f>
        <v>0.33945253253001961</v>
      </c>
      <c r="BJ13" s="9">
        <f>'3'!Y13</f>
        <v>-61.227595008424359</v>
      </c>
      <c r="BK13" s="9" t="e">
        <f>'8'!AO10</f>
        <v>#REF!</v>
      </c>
      <c r="BL13" s="9" t="e">
        <f t="shared" si="14"/>
        <v>#REF!</v>
      </c>
      <c r="BM13" s="9" t="e">
        <f t="shared" si="15"/>
        <v>#REF!</v>
      </c>
      <c r="BN13" s="9">
        <f>'1'!CK13</f>
        <v>0.22156482541592737</v>
      </c>
      <c r="BO13" s="9">
        <f>'1'!CM13</f>
        <v>0.27916939933678142</v>
      </c>
      <c r="BP13" s="9">
        <f>'2'!CK13</f>
        <v>0.28984312411974267</v>
      </c>
      <c r="BQ13" s="9">
        <f>'2'!CM13</f>
        <v>0.42712999711899419</v>
      </c>
      <c r="BR13" s="9">
        <f>'3'!AB13</f>
        <v>-62.181437234922335</v>
      </c>
      <c r="BS13" s="9" t="e">
        <f>'8'!AT10</f>
        <v>#REF!</v>
      </c>
      <c r="BT13" s="9" t="e">
        <f t="shared" si="16"/>
        <v>#REF!</v>
      </c>
      <c r="BU13" s="9" t="e">
        <f t="shared" si="17"/>
        <v>#REF!</v>
      </c>
      <c r="BV13" s="9">
        <f>'1'!CU13</f>
        <v>0.33785196071458812</v>
      </c>
      <c r="BW13" s="9">
        <f>'1'!CW13</f>
        <v>0.41845917988099318</v>
      </c>
      <c r="BX13" s="9">
        <f>'2'!CU13</f>
        <v>0.41806609316154691</v>
      </c>
      <c r="BY13" s="9">
        <f>'2'!CW13</f>
        <v>0.56769580519113483</v>
      </c>
      <c r="BZ13" s="9">
        <f>'3'!AE13</f>
        <v>-52.046497862655492</v>
      </c>
      <c r="CA13" s="9" t="e">
        <f>'8'!AY10</f>
        <v>#REF!</v>
      </c>
      <c r="CB13" s="9" t="e">
        <f t="shared" si="18"/>
        <v>#REF!</v>
      </c>
      <c r="CC13" s="9" t="e">
        <f t="shared" si="19"/>
        <v>#REF!</v>
      </c>
      <c r="CD13" s="9">
        <f>'1'!DE13</f>
        <v>0.32479144607416083</v>
      </c>
      <c r="CE13" s="9">
        <f>'1'!DG13</f>
        <v>0.40375400382981197</v>
      </c>
      <c r="CF13" s="9">
        <f>'2'!DE13</f>
        <v>0.286991795728815</v>
      </c>
      <c r="CG13" s="9">
        <f>'2'!DG13</f>
        <v>0.42356751055896508</v>
      </c>
      <c r="CH13" s="9">
        <f>'3'!AH13</f>
        <v>-46.350665896695432</v>
      </c>
      <c r="CI13" s="9" t="e">
        <f>'8'!BD10</f>
        <v>#REF!</v>
      </c>
      <c r="CJ13" s="9" t="e">
        <f t="shared" si="20"/>
        <v>#REF!</v>
      </c>
      <c r="CK13" s="142" t="e">
        <f t="shared" si="21"/>
        <v>#REF!</v>
      </c>
    </row>
    <row r="14" spans="1:89" hidden="1">
      <c r="A14" s="1">
        <v>1977</v>
      </c>
      <c r="B14" s="9">
        <f>'1'!I14</f>
        <v>0.21573246635837778</v>
      </c>
      <c r="C14" s="9">
        <f>'1'!K14</f>
        <v>0.27164147961976548</v>
      </c>
      <c r="D14" s="9">
        <f>'2'!I14</f>
        <v>0.20836169809978436</v>
      </c>
      <c r="E14" s="9">
        <f>'2'!K14</f>
        <v>0.31521322780513367</v>
      </c>
      <c r="F14" s="9">
        <f>'3'!D14</f>
        <v>-52.990013765375096</v>
      </c>
      <c r="G14" s="9" t="e">
        <f>'8'!F11</f>
        <v>#REF!</v>
      </c>
      <c r="H14" s="9" t="e">
        <f t="shared" si="0"/>
        <v>#REF!</v>
      </c>
      <c r="I14" s="9" t="e">
        <f t="shared" si="1"/>
        <v>#REF!</v>
      </c>
      <c r="J14" s="9">
        <f>'1'!S14</f>
        <v>0.10671715287462524</v>
      </c>
      <c r="K14" s="9">
        <f>'1'!U14</f>
        <v>0.11929359307061004</v>
      </c>
      <c r="L14" s="9">
        <f>'2'!S14</f>
        <v>0.12979057114203205</v>
      </c>
      <c r="M14" s="9">
        <f>'2'!U14</f>
        <v>0.18098395398900693</v>
      </c>
      <c r="N14" s="9">
        <f>'3'!G14</f>
        <v>-71.290685817298581</v>
      </c>
      <c r="O14" s="9" t="e">
        <f>'8'!K11</f>
        <v>#REF!</v>
      </c>
      <c r="P14" s="9" t="e">
        <f t="shared" si="2"/>
        <v>#REF!</v>
      </c>
      <c r="Q14" s="9" t="e">
        <f t="shared" si="3"/>
        <v>#REF!</v>
      </c>
      <c r="R14" s="9">
        <f>'1'!AC14</f>
        <v>0.250816337099728</v>
      </c>
      <c r="S14" s="9">
        <f>'1'!AE14</f>
        <v>0.31608763303012105</v>
      </c>
      <c r="T14" s="9">
        <f>'2'!AC14</f>
        <v>7.3882762195263629E-2</v>
      </c>
      <c r="U14" s="9">
        <f>'2'!AE14</f>
        <v>6.1209813823309492E-2</v>
      </c>
      <c r="V14" s="9">
        <f>'3'!J14</f>
        <v>-69.688068343820603</v>
      </c>
      <c r="W14" s="9" t="e">
        <f>'8'!P11</f>
        <v>#REF!</v>
      </c>
      <c r="X14" s="9" t="e">
        <f t="shared" si="4"/>
        <v>#REF!</v>
      </c>
      <c r="Y14" s="9" t="e">
        <f t="shared" si="5"/>
        <v>#REF!</v>
      </c>
      <c r="Z14" s="9">
        <f>'1'!AM14</f>
        <v>0.25861168891021857</v>
      </c>
      <c r="AA14" s="9">
        <f>'1'!AO14</f>
        <v>0.32569893200632027</v>
      </c>
      <c r="AB14" s="9">
        <f>'2'!AM14</f>
        <v>0.12549083950552753</v>
      </c>
      <c r="AC14" s="9">
        <f>'2'!AO14</f>
        <v>0.17262561681780192</v>
      </c>
      <c r="AD14" s="9">
        <f>'3'!M14</f>
        <v>-59.205556510235986</v>
      </c>
      <c r="AE14" s="9" t="e">
        <f>'8'!U11</f>
        <v>#REF!</v>
      </c>
      <c r="AF14" s="9" t="e">
        <f t="shared" si="6"/>
        <v>#REF!</v>
      </c>
      <c r="AG14" s="9" t="e">
        <f t="shared" si="7"/>
        <v>#REF!</v>
      </c>
      <c r="AH14" s="9">
        <f>'1'!AW14</f>
        <v>0.12865242621116021</v>
      </c>
      <c r="AI14" s="9">
        <f>'1'!AY14</f>
        <v>0.15188270020886652</v>
      </c>
      <c r="AJ14" s="9">
        <f>'2'!AW14</f>
        <v>0.14052380094533734</v>
      </c>
      <c r="AK14" s="9">
        <f>'2'!AY14</f>
        <v>0.20132188465812936</v>
      </c>
      <c r="AL14" s="9">
        <f>'3'!P14</f>
        <v>-68.767816728577884</v>
      </c>
      <c r="AM14" s="9" t="e">
        <f>'8'!Z11</f>
        <v>#REF!</v>
      </c>
      <c r="AN14" s="9" t="e">
        <f t="shared" si="8"/>
        <v>#REF!</v>
      </c>
      <c r="AO14" s="9" t="e">
        <f t="shared" si="9"/>
        <v>#REF!</v>
      </c>
      <c r="AP14" s="9">
        <f>'1'!BG14</f>
        <v>0.20882377782231279</v>
      </c>
      <c r="AQ14" s="9">
        <f>'1'!BI14</f>
        <v>0.26264989136899192</v>
      </c>
      <c r="AR14" s="9">
        <f>'2'!BG14</f>
        <v>0.1763089310631655</v>
      </c>
      <c r="AS14" s="9">
        <f>'2'!BI14</f>
        <v>0.26426012079328259</v>
      </c>
      <c r="AT14" s="9">
        <f>'3'!S14</f>
        <v>-56.097514686815892</v>
      </c>
      <c r="AU14" s="9" t="e">
        <f>'8'!AE11</f>
        <v>#REF!</v>
      </c>
      <c r="AV14" s="9" t="e">
        <f t="shared" si="10"/>
        <v>#REF!</v>
      </c>
      <c r="AW14" s="9" t="e">
        <f t="shared" si="11"/>
        <v>#REF!</v>
      </c>
      <c r="AX14" s="9">
        <f>'1'!BQ14</f>
        <v>0.3143807153620688</v>
      </c>
      <c r="AY14" s="9">
        <f>'1'!BS14</f>
        <v>0.39187437366732492</v>
      </c>
      <c r="AZ14" s="9">
        <f>'2'!BQ14</f>
        <v>0.17997732417787871</v>
      </c>
      <c r="BA14" s="9">
        <f>'2'!BS14</f>
        <v>0.27033113158932842</v>
      </c>
      <c r="BB14" s="9">
        <f>'3'!V14</f>
        <v>-43.994099595619346</v>
      </c>
      <c r="BC14" s="9" t="e">
        <f>'8'!AJ11</f>
        <v>#REF!</v>
      </c>
      <c r="BD14" s="9" t="e">
        <f t="shared" si="12"/>
        <v>#REF!</v>
      </c>
      <c r="BE14" s="9" t="e">
        <f t="shared" si="13"/>
        <v>#REF!</v>
      </c>
      <c r="BF14" s="9">
        <f>'1'!CA14</f>
        <v>0.26311969760328935</v>
      </c>
      <c r="BG14" s="9">
        <f>'1'!CC14</f>
        <v>0.33121495426930952</v>
      </c>
      <c r="BH14" s="9">
        <f>'2'!CA14</f>
        <v>0.22716105701069064</v>
      </c>
      <c r="BI14" s="9">
        <f>'2'!CC14</f>
        <v>0.34308158722608417</v>
      </c>
      <c r="BJ14" s="9">
        <f>'3'!Y14</f>
        <v>-77.209213133604976</v>
      </c>
      <c r="BK14" s="9" t="e">
        <f>'8'!AO11</f>
        <v>#REF!</v>
      </c>
      <c r="BL14" s="9" t="e">
        <f t="shared" si="14"/>
        <v>#REF!</v>
      </c>
      <c r="BM14" s="9" t="e">
        <f t="shared" si="15"/>
        <v>#REF!</v>
      </c>
      <c r="BN14" s="9">
        <f>'1'!CK14</f>
        <v>0.2354209281273146</v>
      </c>
      <c r="BO14" s="9">
        <f>'1'!CM14</f>
        <v>0.29682824483713149</v>
      </c>
      <c r="BP14" s="9">
        <f>'2'!CK14</f>
        <v>0.29433490541595614</v>
      </c>
      <c r="BQ14" s="9">
        <f>'2'!CM14</f>
        <v>0.43269669755487822</v>
      </c>
      <c r="BR14" s="9">
        <f>'3'!AB14</f>
        <v>-71.812658090959701</v>
      </c>
      <c r="BS14" s="9" t="e">
        <f>'8'!AT11</f>
        <v>#REF!</v>
      </c>
      <c r="BT14" s="9" t="e">
        <f t="shared" si="16"/>
        <v>#REF!</v>
      </c>
      <c r="BU14" s="9" t="e">
        <f t="shared" si="17"/>
        <v>#REF!</v>
      </c>
      <c r="BV14" s="9">
        <f>'1'!CU14</f>
        <v>0.36326136022507521</v>
      </c>
      <c r="BW14" s="9">
        <f>'1'!CW14</f>
        <v>0.44645932160866086</v>
      </c>
      <c r="BX14" s="9">
        <f>'2'!CU14</f>
        <v>0.42117290263185325</v>
      </c>
      <c r="BY14" s="9">
        <f>'2'!CW14</f>
        <v>0.57070126547753341</v>
      </c>
      <c r="BZ14" s="9">
        <f>'3'!AE14</f>
        <v>-49.783148864069851</v>
      </c>
      <c r="CA14" s="9" t="e">
        <f>'8'!AY11</f>
        <v>#REF!</v>
      </c>
      <c r="CB14" s="9" t="e">
        <f t="shared" si="18"/>
        <v>#REF!</v>
      </c>
      <c r="CC14" s="9" t="e">
        <f t="shared" si="19"/>
        <v>#REF!</v>
      </c>
      <c r="CD14" s="9">
        <f>'1'!DE14</f>
        <v>0.35339745067387968</v>
      </c>
      <c r="CE14" s="9">
        <f>'1'!DG14</f>
        <v>0.43568319560976976</v>
      </c>
      <c r="CF14" s="9">
        <f>'2'!DE14</f>
        <v>0.29294624257665036</v>
      </c>
      <c r="CG14" s="9">
        <f>'2'!DG14</f>
        <v>0.43098159467021352</v>
      </c>
      <c r="CH14" s="9">
        <f>'3'!AH14</f>
        <v>-49.667134906792931</v>
      </c>
      <c r="CI14" s="9" t="e">
        <f>'8'!BD11</f>
        <v>#REF!</v>
      </c>
      <c r="CJ14" s="9" t="e">
        <f t="shared" si="20"/>
        <v>#REF!</v>
      </c>
      <c r="CK14" s="142" t="e">
        <f t="shared" si="21"/>
        <v>#REF!</v>
      </c>
    </row>
    <row r="15" spans="1:89" hidden="1">
      <c r="A15" s="1">
        <v>1978</v>
      </c>
      <c r="B15" s="9">
        <f>'1'!I15</f>
        <v>0.23022843159693168</v>
      </c>
      <c r="C15" s="9">
        <f>'1'!K15</f>
        <v>0.29024740783902736</v>
      </c>
      <c r="D15" s="9">
        <f>'2'!I15</f>
        <v>0.2147298950211077</v>
      </c>
      <c r="E15" s="9">
        <f>'2'!K15</f>
        <v>0.3248090217240977</v>
      </c>
      <c r="F15" s="9">
        <f>'3'!D15</f>
        <v>-47.343954220727156</v>
      </c>
      <c r="G15" s="9" t="e">
        <f>'8'!F12</f>
        <v>#REF!</v>
      </c>
      <c r="H15" s="9" t="e">
        <f t="shared" si="0"/>
        <v>#REF!</v>
      </c>
      <c r="I15" s="9" t="e">
        <f t="shared" si="1"/>
        <v>#REF!</v>
      </c>
      <c r="J15" s="9">
        <f>'1'!S15</f>
        <v>0.12925271164548124</v>
      </c>
      <c r="K15" s="9">
        <f>'1'!U15</f>
        <v>0.15275968548378399</v>
      </c>
      <c r="L15" s="9">
        <f>'2'!S15</f>
        <v>0.13824399151284511</v>
      </c>
      <c r="M15" s="9">
        <f>'2'!U15</f>
        <v>0.19706307975689449</v>
      </c>
      <c r="N15" s="9">
        <f>'3'!G15</f>
        <v>-87.16824395894038</v>
      </c>
      <c r="O15" s="9" t="e">
        <f>'8'!K12</f>
        <v>#REF!</v>
      </c>
      <c r="P15" s="9" t="e">
        <f t="shared" si="2"/>
        <v>#REF!</v>
      </c>
      <c r="Q15" s="9" t="e">
        <f t="shared" si="3"/>
        <v>#REF!</v>
      </c>
      <c r="R15" s="9">
        <f>'1'!AC15</f>
        <v>0.2626035352568013</v>
      </c>
      <c r="S15" s="9">
        <f>'1'!AE15</f>
        <v>0.33058492569036108</v>
      </c>
      <c r="T15" s="9">
        <f>'2'!AC15</f>
        <v>7.7817521435605955E-2</v>
      </c>
      <c r="U15" s="9">
        <f>'2'!AE15</f>
        <v>7.0526966302625962E-2</v>
      </c>
      <c r="V15" s="9">
        <f>'3'!J15</f>
        <v>-73.563601756623655</v>
      </c>
      <c r="W15" s="9" t="e">
        <f>'8'!P12</f>
        <v>#REF!</v>
      </c>
      <c r="X15" s="9" t="e">
        <f t="shared" si="4"/>
        <v>#REF!</v>
      </c>
      <c r="Y15" s="9" t="e">
        <f t="shared" si="5"/>
        <v>#REF!</v>
      </c>
      <c r="Z15" s="9">
        <f>'1'!AM15</f>
        <v>0.29030065048200349</v>
      </c>
      <c r="AA15" s="9">
        <f>'1'!AO15</f>
        <v>0.36383997954062741</v>
      </c>
      <c r="AB15" s="9">
        <f>'2'!AM15</f>
        <v>0.12594988683736782</v>
      </c>
      <c r="AC15" s="9">
        <f>'2'!AO15</f>
        <v>0.17352391605212328</v>
      </c>
      <c r="AD15" s="9">
        <f>'3'!M15</f>
        <v>-58.115508044358869</v>
      </c>
      <c r="AE15" s="9" t="e">
        <f>'8'!U12</f>
        <v>#REF!</v>
      </c>
      <c r="AF15" s="9" t="e">
        <f t="shared" si="6"/>
        <v>#REF!</v>
      </c>
      <c r="AG15" s="9" t="e">
        <f t="shared" si="7"/>
        <v>#REF!</v>
      </c>
      <c r="AH15" s="9">
        <f>'1'!AW15</f>
        <v>0.13894613311518775</v>
      </c>
      <c r="AI15" s="9">
        <f>'1'!AY15</f>
        <v>0.16681512222436429</v>
      </c>
      <c r="AJ15" s="9">
        <f>'2'!AW15</f>
        <v>0.14227771258617553</v>
      </c>
      <c r="AK15" s="9">
        <f>'2'!AY15</f>
        <v>0.20457646999400733</v>
      </c>
      <c r="AL15" s="9">
        <f>'3'!P15</f>
        <v>-76.988009380491306</v>
      </c>
      <c r="AM15" s="9" t="e">
        <f>'8'!Z12</f>
        <v>#REF!</v>
      </c>
      <c r="AN15" s="9" t="e">
        <f t="shared" si="8"/>
        <v>#REF!</v>
      </c>
      <c r="AO15" s="9" t="e">
        <f t="shared" si="9"/>
        <v>#REF!</v>
      </c>
      <c r="AP15" s="9">
        <f>'1'!BG15</f>
        <v>0.22494830740052849</v>
      </c>
      <c r="AQ15" s="9">
        <f>'1'!BI15</f>
        <v>0.28351051327252563</v>
      </c>
      <c r="AR15" s="9">
        <f>'2'!BG15</f>
        <v>0.18094992913658789</v>
      </c>
      <c r="AS15" s="9">
        <f>'2'!BI15</f>
        <v>0.27192981157084267</v>
      </c>
      <c r="AT15" s="9">
        <f>'3'!S15</f>
        <v>-45.17824782685333</v>
      </c>
      <c r="AU15" s="9" t="e">
        <f>'8'!AE12</f>
        <v>#REF!</v>
      </c>
      <c r="AV15" s="9" t="e">
        <f t="shared" si="10"/>
        <v>#REF!</v>
      </c>
      <c r="AW15" s="9" t="e">
        <f t="shared" si="11"/>
        <v>#REF!</v>
      </c>
      <c r="AX15" s="9">
        <f>'1'!BQ15</f>
        <v>0.32458778871812832</v>
      </c>
      <c r="AY15" s="9">
        <f>'1'!BS15</f>
        <v>0.40352296846101071</v>
      </c>
      <c r="AZ15" s="9">
        <f>'2'!BQ15</f>
        <v>0.18127604050861831</v>
      </c>
      <c r="BA15" s="9">
        <f>'2'!BS15</f>
        <v>0.27246482797164495</v>
      </c>
      <c r="BB15" s="9">
        <f>'3'!V15</f>
        <v>-39.667260646215894</v>
      </c>
      <c r="BC15" s="9" t="e">
        <f>'8'!AJ12</f>
        <v>#REF!</v>
      </c>
      <c r="BD15" s="9" t="e">
        <f t="shared" si="12"/>
        <v>#REF!</v>
      </c>
      <c r="BE15" s="9" t="e">
        <f t="shared" si="13"/>
        <v>#REF!</v>
      </c>
      <c r="BF15" s="9">
        <f>'1'!CA15</f>
        <v>0.26318350227580833</v>
      </c>
      <c r="BG15" s="9">
        <f>'1'!CC15</f>
        <v>0.33129280661569771</v>
      </c>
      <c r="BH15" s="9">
        <f>'2'!CA15</f>
        <v>0.22925775914249699</v>
      </c>
      <c r="BI15" s="9">
        <f>'2'!CC15</f>
        <v>0.34610584130422711</v>
      </c>
      <c r="BJ15" s="9">
        <f>'3'!Y15</f>
        <v>-85.507966291002973</v>
      </c>
      <c r="BK15" s="9" t="e">
        <f>'8'!AO12</f>
        <v>#REF!</v>
      </c>
      <c r="BL15" s="9" t="e">
        <f t="shared" si="14"/>
        <v>#REF!</v>
      </c>
      <c r="BM15" s="9" t="e">
        <f t="shared" si="15"/>
        <v>#REF!</v>
      </c>
      <c r="BN15" s="9">
        <f>'1'!CK15</f>
        <v>0.25882339734967713</v>
      </c>
      <c r="BO15" s="9">
        <f>'1'!CM15</f>
        <v>0.32595866601040263</v>
      </c>
      <c r="BP15" s="9">
        <f>'2'!CK15</f>
        <v>0.30416063691170925</v>
      </c>
      <c r="BQ15" s="9">
        <f>'2'!CM15</f>
        <v>0.44468500653223025</v>
      </c>
      <c r="BR15" s="9">
        <f>'3'!AB15</f>
        <v>-56.538895469618794</v>
      </c>
      <c r="BS15" s="9" t="e">
        <f>'8'!AT12</f>
        <v>#REF!</v>
      </c>
      <c r="BT15" s="9" t="e">
        <f t="shared" si="16"/>
        <v>#REF!</v>
      </c>
      <c r="BU15" s="9" t="e">
        <f t="shared" si="17"/>
        <v>#REF!</v>
      </c>
      <c r="BV15" s="9">
        <f>'1'!CU15</f>
        <v>0.39900995497212355</v>
      </c>
      <c r="BW15" s="9">
        <f>'1'!CW15</f>
        <v>0.48456282463778444</v>
      </c>
      <c r="BX15" s="9">
        <f>'2'!CU15</f>
        <v>0.44629236837394137</v>
      </c>
      <c r="BY15" s="9">
        <f>'2'!CW15</f>
        <v>0.59442870065935305</v>
      </c>
      <c r="BZ15" s="9">
        <f>'3'!AE15</f>
        <v>-39.4807805253918</v>
      </c>
      <c r="CA15" s="9" t="e">
        <f>'8'!AY12</f>
        <v>#REF!</v>
      </c>
      <c r="CB15" s="9" t="e">
        <f t="shared" si="18"/>
        <v>#REF!</v>
      </c>
      <c r="CC15" s="9" t="e">
        <f t="shared" si="19"/>
        <v>#REF!</v>
      </c>
      <c r="CD15" s="9">
        <f>'1'!DE15</f>
        <v>0.38515166697819375</v>
      </c>
      <c r="CE15" s="9">
        <f>'1'!DG15</f>
        <v>0.46996457123642205</v>
      </c>
      <c r="CF15" s="9">
        <f>'2'!DE15</f>
        <v>0.29665959825628496</v>
      </c>
      <c r="CG15" s="9">
        <f>'2'!DG15</f>
        <v>0.43555620954199775</v>
      </c>
      <c r="CH15" s="9">
        <f>'3'!AH15</f>
        <v>-44.562792140288664</v>
      </c>
      <c r="CI15" s="9" t="e">
        <f>'8'!BD12</f>
        <v>#REF!</v>
      </c>
      <c r="CJ15" s="9" t="e">
        <f t="shared" si="20"/>
        <v>#REF!</v>
      </c>
      <c r="CK15" s="142" t="e">
        <f t="shared" si="21"/>
        <v>#REF!</v>
      </c>
    </row>
    <row r="16" spans="1:89" hidden="1">
      <c r="A16" s="1">
        <v>1979</v>
      </c>
      <c r="B16" s="9">
        <f>'1'!I16</f>
        <v>0.23867823350722323</v>
      </c>
      <c r="C16" s="9">
        <f>'1'!K16</f>
        <v>0.30093433176376611</v>
      </c>
      <c r="D16" s="9">
        <f>'2'!I16</f>
        <v>0.23598434718089964</v>
      </c>
      <c r="E16" s="9">
        <f>'2'!K16</f>
        <v>0.35569981345484375</v>
      </c>
      <c r="F16" s="9">
        <f>'3'!D16</f>
        <v>-48.90443694740248</v>
      </c>
      <c r="G16" s="9" t="e">
        <f>'8'!F13</f>
        <v>#REF!</v>
      </c>
      <c r="H16" s="9" t="e">
        <f t="shared" si="0"/>
        <v>#REF!</v>
      </c>
      <c r="I16" s="9" t="e">
        <f t="shared" si="1"/>
        <v>#REF!</v>
      </c>
      <c r="J16" s="9">
        <f>'1'!S16</f>
        <v>0.14030256842829705</v>
      </c>
      <c r="K16" s="9">
        <f>'1'!U16</f>
        <v>0.16876618613995059</v>
      </c>
      <c r="L16" s="9">
        <f>'2'!S16</f>
        <v>0.16972312234618461</v>
      </c>
      <c r="M16" s="9">
        <f>'2'!U16</f>
        <v>0.25319368302344475</v>
      </c>
      <c r="N16" s="9">
        <f>'3'!G16</f>
        <v>-77.828534352792914</v>
      </c>
      <c r="O16" s="9" t="e">
        <f>'8'!K13</f>
        <v>#REF!</v>
      </c>
      <c r="P16" s="9" t="e">
        <f t="shared" si="2"/>
        <v>#REF!</v>
      </c>
      <c r="Q16" s="9" t="e">
        <f t="shared" si="3"/>
        <v>#REF!</v>
      </c>
      <c r="R16" s="9">
        <f>'1'!AC16</f>
        <v>0.26986742557639565</v>
      </c>
      <c r="S16" s="9">
        <f>'1'!AE16</f>
        <v>0.33941470083500974</v>
      </c>
      <c r="T16" s="9">
        <f>'2'!AC16</f>
        <v>8.0259164521288867E-2</v>
      </c>
      <c r="U16" s="9">
        <f>'2'!AE16</f>
        <v>7.6231876216169225E-2</v>
      </c>
      <c r="V16" s="9">
        <f>'3'!J16</f>
        <v>-67.637476152095417</v>
      </c>
      <c r="W16" s="9" t="e">
        <f>'8'!P13</f>
        <v>#REF!</v>
      </c>
      <c r="X16" s="9" t="e">
        <f t="shared" si="4"/>
        <v>#REF!</v>
      </c>
      <c r="Y16" s="9" t="e">
        <f t="shared" si="5"/>
        <v>#REF!</v>
      </c>
      <c r="Z16" s="9">
        <f>'1'!AM16</f>
        <v>0.30541782327969458</v>
      </c>
      <c r="AA16" s="9">
        <f>'1'!AO16</f>
        <v>0.38153182927385565</v>
      </c>
      <c r="AB16" s="9">
        <f>'2'!AM16</f>
        <v>0.14297298533735509</v>
      </c>
      <c r="AC16" s="9">
        <f>'2'!AO16</f>
        <v>0.20586143261986306</v>
      </c>
      <c r="AD16" s="9">
        <f>'3'!M16</f>
        <v>-56.244428692007055</v>
      </c>
      <c r="AE16" s="9" t="e">
        <f>'8'!U13</f>
        <v>#REF!</v>
      </c>
      <c r="AF16" s="9" t="e">
        <f t="shared" si="6"/>
        <v>#REF!</v>
      </c>
      <c r="AG16" s="9" t="e">
        <f t="shared" si="7"/>
        <v>#REF!</v>
      </c>
      <c r="AH16" s="9">
        <f>'1'!AW16</f>
        <v>0.14506558808336645</v>
      </c>
      <c r="AI16" s="9">
        <f>'1'!AY16</f>
        <v>0.17558700962238644</v>
      </c>
      <c r="AJ16" s="9">
        <f>'2'!AW16</f>
        <v>0.16198941198457475</v>
      </c>
      <c r="AK16" s="9">
        <f>'2'!AY16</f>
        <v>0.23991405143898709</v>
      </c>
      <c r="AL16" s="9">
        <f>'3'!P16</f>
        <v>-69.044066673529841</v>
      </c>
      <c r="AM16" s="9" t="e">
        <f>'8'!Z13</f>
        <v>#REF!</v>
      </c>
      <c r="AN16" s="9" t="e">
        <f t="shared" si="8"/>
        <v>#REF!</v>
      </c>
      <c r="AO16" s="9" t="e">
        <f t="shared" si="9"/>
        <v>#REF!</v>
      </c>
      <c r="AP16" s="9">
        <f>'1'!BG16</f>
        <v>0.25030707764932819</v>
      </c>
      <c r="AQ16" s="9">
        <f>'1'!BI16</f>
        <v>0.31545649297391259</v>
      </c>
      <c r="AR16" s="9">
        <f>'2'!BG16</f>
        <v>0.19467483426303003</v>
      </c>
      <c r="AS16" s="9">
        <f>'2'!BI16</f>
        <v>0.2940179321889701</v>
      </c>
      <c r="AT16" s="9">
        <f>'3'!S16</f>
        <v>-49.675518390436139</v>
      </c>
      <c r="AU16" s="9" t="e">
        <f>'8'!AE13</f>
        <v>#REF!</v>
      </c>
      <c r="AV16" s="9" t="e">
        <f t="shared" si="10"/>
        <v>#REF!</v>
      </c>
      <c r="AW16" s="9" t="e">
        <f t="shared" si="11"/>
        <v>#REF!</v>
      </c>
      <c r="AX16" s="9">
        <f>'1'!BQ16</f>
        <v>0.33641670997878365</v>
      </c>
      <c r="AY16" s="9">
        <f>'1'!BS16</f>
        <v>0.41685379734709532</v>
      </c>
      <c r="AZ16" s="9">
        <f>'2'!BQ16</f>
        <v>0.19514435887023393</v>
      </c>
      <c r="BA16" s="9">
        <f>'2'!BS16</f>
        <v>0.29475842225433713</v>
      </c>
      <c r="BB16" s="9">
        <f>'3'!V16</f>
        <v>-42.457693345112652</v>
      </c>
      <c r="BC16" s="9" t="e">
        <f>'8'!AJ13</f>
        <v>#REF!</v>
      </c>
      <c r="BD16" s="9" t="e">
        <f t="shared" si="12"/>
        <v>#REF!</v>
      </c>
      <c r="BE16" s="9" t="e">
        <f t="shared" si="13"/>
        <v>#REF!</v>
      </c>
      <c r="BF16" s="9">
        <f>'1'!CA16</f>
        <v>0.27811350904572102</v>
      </c>
      <c r="BG16" s="9">
        <f>'1'!CC16</f>
        <v>0.34934420754847967</v>
      </c>
      <c r="BH16" s="9">
        <f>'2'!CA16</f>
        <v>0.25083708405764155</v>
      </c>
      <c r="BI16" s="9">
        <f>'2'!CC16</f>
        <v>0.37632138539691556</v>
      </c>
      <c r="BJ16" s="9">
        <f>'3'!Y16</f>
        <v>-67.882716261126262</v>
      </c>
      <c r="BK16" s="9" t="e">
        <f>'8'!AO13</f>
        <v>#REF!</v>
      </c>
      <c r="BL16" s="9" t="e">
        <f t="shared" si="14"/>
        <v>#REF!</v>
      </c>
      <c r="BM16" s="9" t="e">
        <f t="shared" si="15"/>
        <v>#REF!</v>
      </c>
      <c r="BN16" s="9">
        <f>'1'!CK16</f>
        <v>0.28644658365049636</v>
      </c>
      <c r="BO16" s="9">
        <f>'1'!CM16</f>
        <v>0.35927865545292392</v>
      </c>
      <c r="BP16" s="9">
        <f>'2'!CK16</f>
        <v>0.37489455213577616</v>
      </c>
      <c r="BQ16" s="9">
        <f>'2'!CM16</f>
        <v>0.52417941773037824</v>
      </c>
      <c r="BR16" s="9">
        <f>'3'!AB16</f>
        <v>-66.927941104730877</v>
      </c>
      <c r="BS16" s="9" t="e">
        <f>'8'!AT13</f>
        <v>#REF!</v>
      </c>
      <c r="BT16" s="9" t="e">
        <f t="shared" si="16"/>
        <v>#REF!</v>
      </c>
      <c r="BU16" s="9" t="e">
        <f t="shared" si="17"/>
        <v>#REF!</v>
      </c>
      <c r="BV16" s="9">
        <f>'1'!CU16</f>
        <v>0.44318464077202485</v>
      </c>
      <c r="BW16" s="9">
        <f>'1'!CW16</f>
        <v>0.52971434417067353</v>
      </c>
      <c r="BX16" s="9">
        <f>'2'!CU16</f>
        <v>0.46911929908194117</v>
      </c>
      <c r="BY16" s="9">
        <f>'2'!CW16</f>
        <v>0.61515526778984175</v>
      </c>
      <c r="BZ16" s="9">
        <f>'3'!AE16</f>
        <v>-45.066609612005038</v>
      </c>
      <c r="CA16" s="9" t="e">
        <f>'8'!AY13</f>
        <v>#REF!</v>
      </c>
      <c r="CB16" s="9" t="e">
        <f t="shared" si="18"/>
        <v>#REF!</v>
      </c>
      <c r="CC16" s="9" t="e">
        <f t="shared" si="19"/>
        <v>#REF!</v>
      </c>
      <c r="CD16" s="9">
        <f>'1'!DE16</f>
        <v>0.41312828752527125</v>
      </c>
      <c r="CE16" s="9">
        <f>'1'!DG16</f>
        <v>0.49921766586032734</v>
      </c>
      <c r="CF16" s="9">
        <f>'2'!DE16</f>
        <v>0.3358775237305513</v>
      </c>
      <c r="CG16" s="9">
        <f>'2'!DG16</f>
        <v>0.4817256282281514</v>
      </c>
      <c r="CH16" s="9">
        <f>'3'!AH16</f>
        <v>-44.777422945036513</v>
      </c>
      <c r="CI16" s="9" t="e">
        <f>'8'!BD13</f>
        <v>#REF!</v>
      </c>
      <c r="CJ16" s="9" t="e">
        <f t="shared" si="20"/>
        <v>#REF!</v>
      </c>
      <c r="CK16" s="142" t="e">
        <f t="shared" si="21"/>
        <v>#REF!</v>
      </c>
    </row>
    <row r="17" spans="1:89" hidden="1">
      <c r="A17" s="1">
        <v>1980</v>
      </c>
      <c r="B17" s="9">
        <f>'1'!I17</f>
        <v>0.24956313042265793</v>
      </c>
      <c r="C17" s="9">
        <f>'1'!K17</f>
        <v>0.31453377627592888</v>
      </c>
      <c r="D17" s="9">
        <f>'2'!I17</f>
        <v>0.25753477765760036</v>
      </c>
      <c r="E17" s="9">
        <f>'2'!K17</f>
        <v>0.38537867383194491</v>
      </c>
      <c r="F17" s="9">
        <f>'3'!D17</f>
        <v>-45.339100796180233</v>
      </c>
      <c r="G17" s="9" t="e">
        <f>'8'!F14</f>
        <v>#REF!</v>
      </c>
      <c r="H17" s="9" t="e">
        <f t="shared" si="0"/>
        <v>#REF!</v>
      </c>
      <c r="I17" s="9" t="e">
        <f t="shared" si="1"/>
        <v>#REF!</v>
      </c>
      <c r="J17" s="9">
        <f>'1'!S17</f>
        <v>0.13921200840914363</v>
      </c>
      <c r="K17" s="9">
        <f>'1'!U17</f>
        <v>0.16719785286766153</v>
      </c>
      <c r="L17" s="9">
        <f>'2'!S17</f>
        <v>0.18314890620265148</v>
      </c>
      <c r="M17" s="9">
        <f>'2'!U17</f>
        <v>0.27552762197553909</v>
      </c>
      <c r="N17" s="9">
        <f>'3'!G17</f>
        <v>-94.543165043061521</v>
      </c>
      <c r="O17" s="9" t="e">
        <f>'8'!K14</f>
        <v>#REF!</v>
      </c>
      <c r="P17" s="9" t="e">
        <f t="shared" si="2"/>
        <v>#REF!</v>
      </c>
      <c r="Q17" s="9" t="e">
        <f t="shared" si="3"/>
        <v>#REF!</v>
      </c>
      <c r="R17" s="9">
        <f>'1'!AC17</f>
        <v>0.28704086757580499</v>
      </c>
      <c r="S17" s="9">
        <f>'1'!AE17</f>
        <v>0.35998336304343242</v>
      </c>
      <c r="T17" s="9">
        <f>'2'!AC17</f>
        <v>8.5481496406001917E-2</v>
      </c>
      <c r="U17" s="9">
        <f>'2'!AE17</f>
        <v>8.8242975190385584E-2</v>
      </c>
      <c r="V17" s="9">
        <f>'3'!J17</f>
        <v>-54.99250458466485</v>
      </c>
      <c r="W17" s="9" t="e">
        <f>'8'!P14</f>
        <v>#REF!</v>
      </c>
      <c r="X17" s="9" t="e">
        <f t="shared" si="4"/>
        <v>#REF!</v>
      </c>
      <c r="Y17" s="9" t="e">
        <f t="shared" si="5"/>
        <v>#REF!</v>
      </c>
      <c r="Z17" s="9">
        <f>'1'!AM17</f>
        <v>0.31461096359536805</v>
      </c>
      <c r="AA17" s="9">
        <f>'1'!AO17</f>
        <v>0.39213865060078529</v>
      </c>
      <c r="AB17" s="9">
        <f>'2'!AM17</f>
        <v>0.1516760979957773</v>
      </c>
      <c r="AC17" s="9">
        <f>'2'!AO17</f>
        <v>0.22170239547797832</v>
      </c>
      <c r="AD17" s="9">
        <f>'3'!M17</f>
        <v>-49.190557495225946</v>
      </c>
      <c r="AE17" s="9" t="e">
        <f>'8'!U14</f>
        <v>#REF!</v>
      </c>
      <c r="AF17" s="9" t="e">
        <f t="shared" si="6"/>
        <v>#REF!</v>
      </c>
      <c r="AG17" s="9" t="e">
        <f t="shared" si="7"/>
        <v>#REF!</v>
      </c>
      <c r="AH17" s="9">
        <f>'1'!AW17</f>
        <v>0.15764756609148828</v>
      </c>
      <c r="AI17" s="9">
        <f>'1'!AY17</f>
        <v>0.19338283660959807</v>
      </c>
      <c r="AJ17" s="9">
        <f>'2'!AW17</f>
        <v>0.17567252495932173</v>
      </c>
      <c r="AK17" s="9">
        <f>'2'!AY17</f>
        <v>0.26320019492523766</v>
      </c>
      <c r="AL17" s="9">
        <f>'3'!P17</f>
        <v>-60.056884834913873</v>
      </c>
      <c r="AM17" s="9" t="e">
        <f>'8'!Z14</f>
        <v>#REF!</v>
      </c>
      <c r="AN17" s="9" t="e">
        <f t="shared" si="8"/>
        <v>#REF!</v>
      </c>
      <c r="AO17" s="9" t="e">
        <f t="shared" si="9"/>
        <v>#REF!</v>
      </c>
      <c r="AP17" s="9">
        <f>'1'!BG17</f>
        <v>0.26771835401395672</v>
      </c>
      <c r="AQ17" s="9">
        <f>'1'!BI17</f>
        <v>0.3368105155560861</v>
      </c>
      <c r="AR17" s="9">
        <f>'2'!BG17</f>
        <v>0.20484311367519481</v>
      </c>
      <c r="AS17" s="9">
        <f>'2'!BI17</f>
        <v>0.3098402260256683</v>
      </c>
      <c r="AT17" s="9">
        <f>'3'!S17</f>
        <v>-49.211440494915799</v>
      </c>
      <c r="AU17" s="9" t="e">
        <f>'8'!AE14</f>
        <v>#REF!</v>
      </c>
      <c r="AV17" s="9" t="e">
        <f t="shared" si="10"/>
        <v>#REF!</v>
      </c>
      <c r="AW17" s="9" t="e">
        <f t="shared" si="11"/>
        <v>#REF!</v>
      </c>
      <c r="AX17" s="9">
        <f>'1'!BQ17</f>
        <v>0.35615667039285021</v>
      </c>
      <c r="AY17" s="9">
        <f>'1'!BS17</f>
        <v>0.43870938188493103</v>
      </c>
      <c r="AZ17" s="9">
        <f>'2'!BQ17</f>
        <v>0.20494050941541084</v>
      </c>
      <c r="BA17" s="9">
        <f>'2'!BS17</f>
        <v>0.30998964576498461</v>
      </c>
      <c r="BB17" s="9">
        <f>'3'!V17</f>
        <v>-37.508909906445055</v>
      </c>
      <c r="BC17" s="9" t="e">
        <f>'8'!AJ14</f>
        <v>#REF!</v>
      </c>
      <c r="BD17" s="9" t="e">
        <f t="shared" si="12"/>
        <v>#REF!</v>
      </c>
      <c r="BE17" s="9" t="e">
        <f t="shared" si="13"/>
        <v>#REF!</v>
      </c>
      <c r="BF17" s="9">
        <f>'1'!CA17</f>
        <v>0.29318715164736187</v>
      </c>
      <c r="BG17" s="9">
        <f>'1'!CC17</f>
        <v>0.36724251773274502</v>
      </c>
      <c r="BH17" s="9">
        <f>'2'!CA17</f>
        <v>0.25900212020054197</v>
      </c>
      <c r="BI17" s="9">
        <f>'2'!CC17</f>
        <v>0.38734362655971694</v>
      </c>
      <c r="BJ17" s="9">
        <f>'3'!Y17</f>
        <v>-58.183004496758564</v>
      </c>
      <c r="BK17" s="9" t="e">
        <f>'8'!AO14</f>
        <v>#REF!</v>
      </c>
      <c r="BL17" s="9" t="e">
        <f t="shared" si="14"/>
        <v>#REF!</v>
      </c>
      <c r="BM17" s="9" t="e">
        <f t="shared" si="15"/>
        <v>#REF!</v>
      </c>
      <c r="BN17" s="9">
        <f>'1'!CK17</f>
        <v>0.31409896663044168</v>
      </c>
      <c r="BO17" s="9">
        <f>'1'!CM17</f>
        <v>0.39155088923672682</v>
      </c>
      <c r="BP17" s="9">
        <f>'2'!CK17</f>
        <v>0.37819042215859522</v>
      </c>
      <c r="BQ17" s="9">
        <f>'2'!CM17</f>
        <v>0.52762299018568415</v>
      </c>
      <c r="BR17" s="9">
        <f>'3'!AB17</f>
        <v>-46.69755591745961</v>
      </c>
      <c r="BS17" s="9" t="e">
        <f>'8'!AT14</f>
        <v>#REF!</v>
      </c>
      <c r="BT17" s="9" t="e">
        <f t="shared" si="16"/>
        <v>#REF!</v>
      </c>
      <c r="BU17" s="9" t="e">
        <f t="shared" si="17"/>
        <v>#REF!</v>
      </c>
      <c r="BV17" s="9">
        <f>'1'!CU17</f>
        <v>0.47794652011180722</v>
      </c>
      <c r="BW17" s="9">
        <f>'1'!CW17</f>
        <v>0.56385624768401343</v>
      </c>
      <c r="BX17" s="9">
        <f>'2'!CU17</f>
        <v>0.49078262798173633</v>
      </c>
      <c r="BY17" s="9">
        <f>'2'!CW17</f>
        <v>0.63414292288839547</v>
      </c>
      <c r="BZ17" s="9">
        <f>'3'!AE17</f>
        <v>-42.795287769167302</v>
      </c>
      <c r="CA17" s="9" t="e">
        <f>'8'!AY14</f>
        <v>#REF!</v>
      </c>
      <c r="CB17" s="9" t="e">
        <f t="shared" si="18"/>
        <v>#REF!</v>
      </c>
      <c r="CC17" s="9" t="e">
        <f t="shared" si="19"/>
        <v>#REF!</v>
      </c>
      <c r="CD17" s="9">
        <f>'1'!DE17</f>
        <v>0.45949506836533488</v>
      </c>
      <c r="CE17" s="9">
        <f>'1'!DG17</f>
        <v>0.54588007309118203</v>
      </c>
      <c r="CF17" s="9">
        <f>'2'!DE17</f>
        <v>0.33836390207543393</v>
      </c>
      <c r="CG17" s="9">
        <f>'2'!DG17</f>
        <v>0.48452877159872637</v>
      </c>
      <c r="CH17" s="9">
        <f>'3'!AH17</f>
        <v>-42.164777444460185</v>
      </c>
      <c r="CI17" s="9" t="e">
        <f>'8'!BD14</f>
        <v>#REF!</v>
      </c>
      <c r="CJ17" s="9" t="e">
        <f t="shared" si="20"/>
        <v>#REF!</v>
      </c>
      <c r="CK17" s="142" t="e">
        <f t="shared" si="21"/>
        <v>#REF!</v>
      </c>
    </row>
    <row r="18" spans="1:89" hidden="1">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142"/>
    </row>
    <row r="19" spans="1:89">
      <c r="A19" s="1">
        <v>1981</v>
      </c>
      <c r="B19" s="9">
        <f>'1'!I19</f>
        <v>0.26502024105489891</v>
      </c>
      <c r="C19" s="9">
        <f>'1'!K19</f>
        <v>0.33353132290435233</v>
      </c>
      <c r="D19" s="9">
        <f>'2'!I19</f>
        <v>0.25267986708165169</v>
      </c>
      <c r="E19" s="9">
        <f>'2'!K19</f>
        <v>0.3788279641332209</v>
      </c>
      <c r="F19" s="9">
        <f>'3'!D19</f>
        <v>0.6415022695162006</v>
      </c>
      <c r="G19" s="9">
        <f>'8'!F16</f>
        <v>0.63201595297490964</v>
      </c>
      <c r="H19" s="9">
        <f>SUM(0.2*B19,0.1*D19,0.4*F19,0.3*G19)</f>
        <v>0.52447772861809816</v>
      </c>
      <c r="I19" s="9">
        <f>SUM(0.2*C19,0.1*E19,0.4*F19,0.3*G19)</f>
        <v>0.55079475469314576</v>
      </c>
      <c r="J19" s="9">
        <f>'1'!S19</f>
        <v>8.3333333333333315E-2</v>
      </c>
      <c r="K19" s="9">
        <f>'1'!U19</f>
        <v>8.3333333333332898E-2</v>
      </c>
      <c r="L19" s="9">
        <f>'2'!S19</f>
        <v>0.17423122566164023</v>
      </c>
      <c r="M19" s="9">
        <f>'2'!U19</f>
        <v>0.26079231774301537</v>
      </c>
      <c r="N19" s="9">
        <f>'3'!G19</f>
        <v>0.44335753567434699</v>
      </c>
      <c r="O19" s="9">
        <f>'8'!K16</f>
        <v>0.41310207481519734</v>
      </c>
      <c r="P19" s="9">
        <f>SUM(0.2*J19,0.1*L19,0.4*N19,0.3*O19)</f>
        <v>0.3353634259471287</v>
      </c>
      <c r="Q19" s="9">
        <f>SUM(0.2*K19,0.1*M19,0.4*N19,0.3*O19)</f>
        <v>0.34401953515526612</v>
      </c>
      <c r="R19" s="9">
        <f>'1'!AC19</f>
        <v>0.19516874738276771</v>
      </c>
      <c r="S19" s="9">
        <f>'1'!AE19</f>
        <v>0.24463500382446471</v>
      </c>
      <c r="T19" s="9">
        <f>'2'!AC19</f>
        <v>8.3333333333333329E-2</v>
      </c>
      <c r="U19" s="9">
        <f>'2'!AE19</f>
        <v>8.3333333333333245E-2</v>
      </c>
      <c r="V19" s="9">
        <f>'3'!J19</f>
        <v>0.44198121002238394</v>
      </c>
      <c r="W19" s="9">
        <f>'8'!P16</f>
        <v>0.45114132979063915</v>
      </c>
      <c r="X19" s="9">
        <f>SUM(0.2*R19,0.1*T19,0.4*V19,0.3*W19)</f>
        <v>0.35950196575603222</v>
      </c>
      <c r="Y19" s="9">
        <f>SUM(0.2*S19,0.1*U19,0.4*V19,0.3*W19)</f>
        <v>0.36939521704437162</v>
      </c>
      <c r="Z19" s="9">
        <f>'1'!AM19</f>
        <v>0.23002808436799582</v>
      </c>
      <c r="AA19" s="9">
        <f>'1'!AO19</f>
        <v>0.28999261744489518</v>
      </c>
      <c r="AB19" s="9">
        <f>'2'!AM19</f>
        <v>0.13918839018427517</v>
      </c>
      <c r="AC19" s="9">
        <f>'2'!AO19</f>
        <v>0.19883118184636644</v>
      </c>
      <c r="AD19" s="9">
        <f>'3'!M19</f>
        <v>0.52454765506693046</v>
      </c>
      <c r="AE19" s="9">
        <f>'8'!U16</f>
        <v>0.62943653895762197</v>
      </c>
      <c r="AF19" s="9">
        <f>SUM(0.2*Z19,0.1*AB19,0.4*AD19,0.3*AE19)</f>
        <v>0.45857447960608544</v>
      </c>
      <c r="AG19" s="9">
        <f>SUM(0.2*AA19,0.1*AC19,0.4*AD19,0.3*AE19)</f>
        <v>0.4765316653876745</v>
      </c>
      <c r="AH19" s="9">
        <f>'1'!AW19</f>
        <v>9.6809081306642272E-2</v>
      </c>
      <c r="AI19" s="9">
        <f>'1'!AY19</f>
        <v>0.10421530401163399</v>
      </c>
      <c r="AJ19" s="9">
        <f>'2'!AW19</f>
        <v>0.15780172121188507</v>
      </c>
      <c r="AK19" s="9">
        <f>'2'!AY19</f>
        <v>0.23259024566263012</v>
      </c>
      <c r="AL19" s="9">
        <f>'3'!P19</f>
        <v>0.35043375775672592</v>
      </c>
      <c r="AM19" s="9">
        <f>'8'!Z16</f>
        <v>0.52017136127858687</v>
      </c>
      <c r="AN19" s="9">
        <f>SUM(0.2*AH19,0.1*AJ19,0.4*AL19,0.3*AM19)</f>
        <v>0.33136689986878337</v>
      </c>
      <c r="AO19" s="9">
        <f>SUM(0.2*AI19,0.1*AK19,0.4*AL19,0.3*AM19)</f>
        <v>0.34032699685485623</v>
      </c>
      <c r="AP19" s="9">
        <f>'1'!BG19</f>
        <v>0.188111806241578</v>
      </c>
      <c r="AQ19" s="9">
        <f>'1'!BI19</f>
        <v>0.23519526027862409</v>
      </c>
      <c r="AR19" s="9">
        <f>'2'!BG19</f>
        <v>0.19975876004372442</v>
      </c>
      <c r="AS19" s="9">
        <f>'2'!BI19</f>
        <v>0.30198439988856512</v>
      </c>
      <c r="AT19" s="9">
        <f>'3'!S19</f>
        <v>0.59749980492452193</v>
      </c>
      <c r="AU19" s="9">
        <f>'8'!AE16</f>
        <v>0.56113307019886161</v>
      </c>
      <c r="AV19" s="9">
        <f>SUM(0.2*AP19,0.1*AR19,0.4*AT19,0.3*AU19)</f>
        <v>0.46493808028215533</v>
      </c>
      <c r="AW19" s="9">
        <f>SUM(0.2*AQ19,0.1*AS19,0.4*AT19,0.3*AU19)</f>
        <v>0.48457733507404854</v>
      </c>
      <c r="AX19" s="9">
        <f>'1'!BQ19</f>
        <v>0.27753848440949125</v>
      </c>
      <c r="AY19" s="9">
        <f>'1'!BS19</f>
        <v>0.34865500221180429</v>
      </c>
      <c r="AZ19" s="9">
        <f>'2'!BQ19</f>
        <v>0.1964830485415941</v>
      </c>
      <c r="BA19" s="9">
        <f>'2'!BS19</f>
        <v>0.2968643394138179</v>
      </c>
      <c r="BB19" s="9">
        <f>'3'!V19</f>
        <v>0.76271200423824892</v>
      </c>
      <c r="BC19" s="9">
        <f>'8'!AJ16</f>
        <v>0.68187528276174003</v>
      </c>
      <c r="BD19" s="9">
        <f>SUM(0.2*AX19,0.1*AZ19,0.4*BB19,0.3*BC19)</f>
        <v>0.58480338825987921</v>
      </c>
      <c r="BE19" s="9">
        <f>SUM(0.2*AY19,0.1*BA19,0.4*BB19,0.3*BC19)</f>
        <v>0.6090648209075642</v>
      </c>
      <c r="BF19" s="9">
        <f>'1'!CA19</f>
        <v>0.21362570375886047</v>
      </c>
      <c r="BG19" s="9">
        <f>'1'!CC19</f>
        <v>0.26890816307309789</v>
      </c>
      <c r="BH19" s="9">
        <f>'2'!CA19</f>
        <v>0.24237508530571805</v>
      </c>
      <c r="BI19" s="9">
        <f>'2'!CC19</f>
        <v>0.36466558199935523</v>
      </c>
      <c r="BJ19" s="9">
        <f>'3'!Y19</f>
        <v>0.48355227539159917</v>
      </c>
      <c r="BK19" s="9">
        <f>'8'!AO16</f>
        <v>0.61454232118591945</v>
      </c>
      <c r="BL19" s="9">
        <f>SUM(0.2*BF19,0.1*BH19,0.4*BJ19,0.3*BK19)</f>
        <v>0.44474625579475946</v>
      </c>
      <c r="BM19" s="9">
        <f>SUM(0.2*BG19,0.1*BI19,0.4*BJ19,0.3*BK19)</f>
        <v>0.46803179732697064</v>
      </c>
      <c r="BN19" s="9">
        <f>'1'!CK19</f>
        <v>0.23938063782464369</v>
      </c>
      <c r="BO19" s="9">
        <f>'1'!CM19</f>
        <v>0.30181754722819948</v>
      </c>
      <c r="BP19" s="9">
        <f>'2'!CK19</f>
        <v>0.34372283562385231</v>
      </c>
      <c r="BQ19" s="9">
        <f>'2'!CM19</f>
        <v>0.49052332979265789</v>
      </c>
      <c r="BR19" s="9">
        <f>'3'!AB19</f>
        <v>0.37606661066813751</v>
      </c>
      <c r="BS19" s="9">
        <f>'8'!AT16</f>
        <v>0.72083174572819975</v>
      </c>
      <c r="BT19" s="9">
        <f>SUM(0.2*BN19,0.1*BP19,0.4*BR19,0.3*BS19)</f>
        <v>0.44892457911302897</v>
      </c>
      <c r="BU19" s="9">
        <f>SUM(0.2*BO19,0.1*BQ19,0.4*BR19,0.3*BS19)</f>
        <v>0.47609201041062066</v>
      </c>
      <c r="BV19" s="9">
        <f>'1'!CU19</f>
        <v>0.40135810621035933</v>
      </c>
      <c r="BW19" s="9">
        <f>'1'!CW19</f>
        <v>0.48701524306958188</v>
      </c>
      <c r="BX19" s="9">
        <f>'2'!CU19</f>
        <v>0.57940196497283902</v>
      </c>
      <c r="BY19" s="9">
        <f>'2'!CW19</f>
        <v>0.70575899557294919</v>
      </c>
      <c r="BZ19" s="9">
        <f>'3'!AE19</f>
        <v>0.7141753287934689</v>
      </c>
      <c r="CA19" s="9">
        <f>'8'!AY16</f>
        <v>0.71288901997033804</v>
      </c>
      <c r="CB19" s="9">
        <f>SUM(0.2*BV19,0.1*BX19,0.4*BZ19,0.3*CA19)</f>
        <v>0.63774865524784485</v>
      </c>
      <c r="CC19" s="9">
        <f>SUM(0.2*BW19,0.1*BY19,0.4*BZ19,0.3*CA19)</f>
        <v>0.66751578567970027</v>
      </c>
      <c r="CD19" s="9">
        <f>'1'!DE19</f>
        <v>0.36764837310457554</v>
      </c>
      <c r="CE19" s="9">
        <f>'1'!DG19</f>
        <v>0.451214749674409</v>
      </c>
      <c r="CF19" s="9">
        <f>'2'!DE19</f>
        <v>0.31093925165954012</v>
      </c>
      <c r="CG19" s="9">
        <f>'2'!DG19</f>
        <v>0.45280902750841306</v>
      </c>
      <c r="CH19" s="9">
        <f>'3'!AH19</f>
        <v>0.66047047631749756</v>
      </c>
      <c r="CI19" s="9">
        <f>'8'!BD16</f>
        <v>0.60953060721864039</v>
      </c>
      <c r="CJ19" s="9">
        <f>SUM(0.2*CD19,0.1*CF19,0.4*CH19,0.3*CI19)</f>
        <v>0.55167097247946029</v>
      </c>
      <c r="CK19" s="9">
        <f>SUM(0.2*CE19,0.1*CG19,0.4*CH19,0.3*CI19)</f>
        <v>0.58257122537831418</v>
      </c>
    </row>
    <row r="20" spans="1:89">
      <c r="A20" s="1">
        <v>1982</v>
      </c>
      <c r="B20" s="9">
        <f>'1'!I20</f>
        <v>0.24478856353058198</v>
      </c>
      <c r="C20" s="9">
        <f>'1'!K20</f>
        <v>0.30859140147898034</v>
      </c>
      <c r="D20" s="9">
        <f>'2'!I20</f>
        <v>0.25213587905563967</v>
      </c>
      <c r="E20" s="9">
        <f>'2'!K20</f>
        <v>0.3780891859005715</v>
      </c>
      <c r="F20" s="9">
        <f>'3'!D20</f>
        <v>0.63333307819238305</v>
      </c>
      <c r="G20" s="9">
        <f>'8'!F17</f>
        <v>0.60180498696168072</v>
      </c>
      <c r="H20" s="9">
        <f t="shared" ref="H20:H48" si="22">SUM(0.2*B20,0.1*D20,0.4*F20,0.3*G20)</f>
        <v>0.50804602797713783</v>
      </c>
      <c r="I20" s="9">
        <f t="shared" ref="I20:I48" si="23">SUM(0.2*C20,0.1*E20,0.4*F20,0.3*G20)</f>
        <v>0.53340192625131067</v>
      </c>
      <c r="J20" s="9">
        <f>'1'!S20</f>
        <v>8.7466334539934174E-2</v>
      </c>
      <c r="K20" s="9">
        <f>'1'!U20</f>
        <v>8.9784605245577381E-2</v>
      </c>
      <c r="L20" s="9">
        <f>'2'!S20</f>
        <v>0.17192099883548367</v>
      </c>
      <c r="M20" s="9">
        <f>'2'!U20</f>
        <v>0.2569111439913454</v>
      </c>
      <c r="N20" s="9">
        <f>'3'!G20</f>
        <v>0.40885941266959336</v>
      </c>
      <c r="O20" s="9">
        <f>'8'!K17</f>
        <v>0.41157836978659207</v>
      </c>
      <c r="P20" s="9">
        <f t="shared" ref="P20:P48" si="24">SUM(0.2*J20,0.1*L20,0.4*N20,0.3*O20)</f>
        <v>0.32170264279535021</v>
      </c>
      <c r="Q20" s="9">
        <f t="shared" ref="Q20:Q48" si="25">SUM(0.2*K20,0.1*M20,0.4*N20,0.3*O20)</f>
        <v>0.33066531145206501</v>
      </c>
      <c r="R20" s="9">
        <f>'1'!AC20</f>
        <v>0.17999325186694534</v>
      </c>
      <c r="S20" s="9">
        <f>'1'!AE20</f>
        <v>0.22422333049771684</v>
      </c>
      <c r="T20" s="9">
        <f>'2'!AC20</f>
        <v>8.8554849676685463E-2</v>
      </c>
      <c r="U20" s="9">
        <f>'2'!AE20</f>
        <v>9.5193430959594899E-2</v>
      </c>
      <c r="V20" s="9">
        <f>'3'!J20</f>
        <v>0.5757024128558178</v>
      </c>
      <c r="W20" s="9">
        <f>'8'!P17</f>
        <v>0.50014769336507026</v>
      </c>
      <c r="X20" s="9">
        <f t="shared" ref="X20:X48" si="26">SUM(0.2*R20,0.1*T20,0.4*V20,0.3*W20)</f>
        <v>0.42517940849290581</v>
      </c>
      <c r="Y20" s="9">
        <f t="shared" ref="Y20:Y48" si="27">SUM(0.2*S20,0.1*U20,0.4*V20,0.3*W20)</f>
        <v>0.43468928234735105</v>
      </c>
      <c r="Z20" s="9">
        <f>'1'!AM20</f>
        <v>0.21691283683106291</v>
      </c>
      <c r="AA20" s="9">
        <f>'1'!AO20</f>
        <v>0.27316961340061485</v>
      </c>
      <c r="AB20" s="9">
        <f>'2'!AM20</f>
        <v>0.14247628863851514</v>
      </c>
      <c r="AC20" s="9">
        <f>'2'!AO20</f>
        <v>0.20494376637572401</v>
      </c>
      <c r="AD20" s="9">
        <f>'3'!M20</f>
        <v>0.51883087090194802</v>
      </c>
      <c r="AE20" s="9">
        <f>'8'!U17</f>
        <v>0.65044368359813687</v>
      </c>
      <c r="AF20" s="9">
        <f t="shared" ref="AF20:AF48" si="28">SUM(0.2*Z20,0.1*AB20,0.4*AD20,0.3*AE20)</f>
        <v>0.46029564967028436</v>
      </c>
      <c r="AG20" s="9">
        <f t="shared" ref="AG20:AG48" si="29">SUM(0.2*AA20,0.1*AC20,0.4*AD20,0.3*AE20)</f>
        <v>0.47779375275791569</v>
      </c>
      <c r="AH20" s="9">
        <f>'1'!AW20</f>
        <v>0.1117113878130612</v>
      </c>
      <c r="AI20" s="9">
        <f>'1'!AY20</f>
        <v>0.12680804217995839</v>
      </c>
      <c r="AJ20" s="9">
        <f>'2'!AW20</f>
        <v>0.15021683481130779</v>
      </c>
      <c r="AK20" s="9">
        <f>'2'!AY20</f>
        <v>0.21907726679148992</v>
      </c>
      <c r="AL20" s="9">
        <f>'3'!P20</f>
        <v>0.35992118980643312</v>
      </c>
      <c r="AM20" s="9">
        <f>'8'!Z17</f>
        <v>0.47666775672041134</v>
      </c>
      <c r="AN20" s="9">
        <f t="shared" ref="AN20:AN48" si="30">SUM(0.2*AH20,0.1*AJ20,0.4*AL20,0.3*AM20)</f>
        <v>0.32433276398243971</v>
      </c>
      <c r="AO20" s="9">
        <f t="shared" ref="AO20:AO48" si="31">SUM(0.2*AI20,0.1*AK20,0.4*AL20,0.3*AM20)</f>
        <v>0.33423813805383729</v>
      </c>
      <c r="AP20" s="9">
        <f>'1'!BG20</f>
        <v>0.1688607542450852</v>
      </c>
      <c r="AQ20" s="9">
        <f>'1'!BI20</f>
        <v>0.20897842128269906</v>
      </c>
      <c r="AR20" s="9">
        <f>'2'!BG20</f>
        <v>0.20022856321087612</v>
      </c>
      <c r="AS20" s="9">
        <f>'2'!BI20</f>
        <v>0.30271491189582767</v>
      </c>
      <c r="AT20" s="9">
        <f>'3'!S20</f>
        <v>0.61605476410599769</v>
      </c>
      <c r="AU20" s="9">
        <f>'8'!AE17</f>
        <v>0.55783184340064806</v>
      </c>
      <c r="AV20" s="9">
        <f t="shared" ref="AV20:AV48" si="32">SUM(0.2*AP20,0.1*AR20,0.4*AT20,0.3*AU20)</f>
        <v>0.46756646583269812</v>
      </c>
      <c r="AW20" s="9">
        <f t="shared" ref="AW20:AW48" si="33">SUM(0.2*AQ20,0.1*AS20,0.4*AT20,0.3*AU20)</f>
        <v>0.48583863410871608</v>
      </c>
      <c r="AX20" s="9">
        <f>'1'!BQ20</f>
        <v>0.25968459506712777</v>
      </c>
      <c r="AY20" s="9">
        <f>'1'!BS20</f>
        <v>0.32701452507764778</v>
      </c>
      <c r="AZ20" s="9">
        <f>'2'!BQ20</f>
        <v>0.1966969268541173</v>
      </c>
      <c r="BA20" s="9">
        <f>'2'!BS20</f>
        <v>0.29720006574312913</v>
      </c>
      <c r="BB20" s="9">
        <f>'3'!V20</f>
        <v>0.73808586794813802</v>
      </c>
      <c r="BC20" s="9">
        <f>'8'!AJ17</f>
        <v>0.63565983644267643</v>
      </c>
      <c r="BD20" s="9">
        <f t="shared" ref="BD20:BD48" si="34">SUM(0.2*AX20,0.1*AZ20,0.4*BB20,0.3*BC20)</f>
        <v>0.55753890981089549</v>
      </c>
      <c r="BE20" s="9">
        <f t="shared" ref="BE20:BE48" si="35">SUM(0.2*AY20,0.1*BA20,0.4*BB20,0.3*BC20)</f>
        <v>0.58105520970190061</v>
      </c>
      <c r="BF20" s="9">
        <f>'1'!CA20</f>
        <v>0.23036416368652973</v>
      </c>
      <c r="BG20" s="9">
        <f>'1'!CC20</f>
        <v>0.29041998719350859</v>
      </c>
      <c r="BH20" s="9">
        <f>'2'!CA20</f>
        <v>0.23655071191279708</v>
      </c>
      <c r="BI20" s="9">
        <f>'2'!CC20</f>
        <v>0.35650018336289574</v>
      </c>
      <c r="BJ20" s="9">
        <f>'3'!Y20</f>
        <v>0.51464060519526611</v>
      </c>
      <c r="BK20" s="9">
        <f>'8'!AO17</f>
        <v>0.63543806260371716</v>
      </c>
      <c r="BL20" s="9">
        <f t="shared" ref="BL20:BL48" si="36">SUM(0.2*BF20,0.1*BH20,0.4*BJ20,0.3*BK20)</f>
        <v>0.46621556478780724</v>
      </c>
      <c r="BM20" s="9">
        <f t="shared" ref="BM20:BM48" si="37">SUM(0.2*BG20,0.1*BI20,0.4*BJ20,0.3*BK20)</f>
        <v>0.4902216766342129</v>
      </c>
      <c r="BN20" s="9">
        <f>'1'!CK20</f>
        <v>0.21783472983496147</v>
      </c>
      <c r="BO20" s="9">
        <f>'1'!CM20</f>
        <v>0.27436148395204529</v>
      </c>
      <c r="BP20" s="9">
        <f>'2'!CK20</f>
        <v>0.33032409623529557</v>
      </c>
      <c r="BQ20" s="9">
        <f>'2'!CM20</f>
        <v>0.47541376476539071</v>
      </c>
      <c r="BR20" s="9">
        <f>'3'!AB20</f>
        <v>0.51827543171596335</v>
      </c>
      <c r="BS20" s="9">
        <f>'8'!AT17</f>
        <v>0.76371266951126482</v>
      </c>
      <c r="BT20" s="9">
        <f t="shared" ref="BT20:BT48" si="38">SUM(0.2*BN20,0.1*BP20,0.4*BR20,0.3*BS20)</f>
        <v>0.51302332913028659</v>
      </c>
      <c r="BU20" s="9">
        <f t="shared" ref="BU20:BU48" si="39">SUM(0.2*BO20,0.1*BQ20,0.4*BR20,0.3*BS20)</f>
        <v>0.53883764680671287</v>
      </c>
      <c r="BV20" s="9">
        <f>'1'!CU20</f>
        <v>0.37475517484536675</v>
      </c>
      <c r="BW20" s="9">
        <f>'1'!CW20</f>
        <v>0.45887039271928132</v>
      </c>
      <c r="BX20" s="9">
        <f>'2'!CU20</f>
        <v>0.58281227586298545</v>
      </c>
      <c r="BY20" s="9">
        <f>'2'!CW20</f>
        <v>0.70834074363672006</v>
      </c>
      <c r="BZ20" s="9">
        <f>'3'!AE20</f>
        <v>0.71213847018311682</v>
      </c>
      <c r="CA20" s="9">
        <f>'8'!AY17</f>
        <v>0.64474961545561871</v>
      </c>
      <c r="CB20" s="9">
        <f t="shared" ref="CB20:CB48" si="40">SUM(0.2*BV20,0.1*BX20,0.4*BZ20,0.3*CA20)</f>
        <v>0.61151253526530425</v>
      </c>
      <c r="CC20" s="9">
        <f t="shared" ref="CC20:CC48" si="41">SUM(0.2*BW20,0.1*BY20,0.4*BZ20,0.3*CA20)</f>
        <v>0.64088842561746062</v>
      </c>
      <c r="CD20" s="9">
        <f>'1'!DE20</f>
        <v>0.31496722849577508</v>
      </c>
      <c r="CE20" s="9">
        <f>'1'!DG20</f>
        <v>0.39254742989004565</v>
      </c>
      <c r="CF20" s="9">
        <f>'2'!DE20</f>
        <v>0.29677007627738905</v>
      </c>
      <c r="CG20" s="9">
        <f>'2'!DG20</f>
        <v>0.43569174284040724</v>
      </c>
      <c r="CH20" s="9">
        <f>'3'!AH20</f>
        <v>0.57084594300491354</v>
      </c>
      <c r="CI20" s="9">
        <f>'8'!BD17</f>
        <v>0.55295977688516529</v>
      </c>
      <c r="CJ20" s="9">
        <f t="shared" ref="CJ20:CJ48" si="42">SUM(0.2*CD20,0.1*CF20,0.4*CH20,0.3*CI20)</f>
        <v>0.48689676359440892</v>
      </c>
      <c r="CK20" s="9">
        <f t="shared" ref="CK20:CK48" si="43">SUM(0.2*CE20,0.1*CG20,0.4*CH20,0.3*CI20)</f>
        <v>0.51630497052956492</v>
      </c>
    </row>
    <row r="21" spans="1:89">
      <c r="A21" s="1">
        <v>1983</v>
      </c>
      <c r="B21" s="9">
        <f>'1'!I21</f>
        <v>0.25449385343764758</v>
      </c>
      <c r="C21" s="9">
        <f>'1'!K21</f>
        <v>0.32063342349342272</v>
      </c>
      <c r="D21" s="9">
        <f>'2'!I21</f>
        <v>0.26155044305366026</v>
      </c>
      <c r="E21" s="9">
        <f>'2'!K21</f>
        <v>0.39073991128868363</v>
      </c>
      <c r="F21" s="9">
        <f>'3'!D21</f>
        <v>0.60013558735999839</v>
      </c>
      <c r="G21" s="9">
        <f>'8'!F18</f>
        <v>0.57745844659138112</v>
      </c>
      <c r="H21" s="9">
        <f t="shared" si="22"/>
        <v>0.49034558391430927</v>
      </c>
      <c r="I21" s="9">
        <f t="shared" si="23"/>
        <v>0.51649244474896661</v>
      </c>
      <c r="J21" s="9">
        <f>'1'!S21</f>
        <v>0.1012860766753356</v>
      </c>
      <c r="K21" s="9">
        <f>'1'!U21</f>
        <v>0.11105683213421934</v>
      </c>
      <c r="L21" s="9">
        <f>'2'!S21</f>
        <v>0.17335665356942101</v>
      </c>
      <c r="M21" s="9">
        <f>'2'!U21</f>
        <v>0.25932618894450771</v>
      </c>
      <c r="N21" s="9">
        <f>'3'!G21</f>
        <v>0.24238351254480286</v>
      </c>
      <c r="O21" s="9">
        <f>'8'!K18</f>
        <v>0.33440328678736059</v>
      </c>
      <c r="P21" s="9">
        <f t="shared" si="24"/>
        <v>0.23486727174613856</v>
      </c>
      <c r="Q21" s="9">
        <f t="shared" si="25"/>
        <v>0.24541837637542399</v>
      </c>
      <c r="R21" s="9">
        <f>'1'!AC21</f>
        <v>0.18853152565688744</v>
      </c>
      <c r="S21" s="9">
        <f>'1'!AE21</f>
        <v>0.23575921506326397</v>
      </c>
      <c r="T21" s="9">
        <f>'2'!AC21</f>
        <v>9.3876826678976497E-2</v>
      </c>
      <c r="U21" s="9">
        <f>'2'!AE21</f>
        <v>0.1070296531166328</v>
      </c>
      <c r="V21" s="9">
        <f>'3'!J21</f>
        <v>0.64336692878912549</v>
      </c>
      <c r="W21" s="9">
        <f>'8'!P18</f>
        <v>0.50932292058240758</v>
      </c>
      <c r="X21" s="9">
        <f t="shared" si="26"/>
        <v>0.45723763548964763</v>
      </c>
      <c r="Y21" s="9">
        <f t="shared" si="27"/>
        <v>0.46799845601468854</v>
      </c>
      <c r="Z21" s="9">
        <f>'1'!AM21</f>
        <v>0.21913810381994009</v>
      </c>
      <c r="AA21" s="9">
        <f>'1'!AO21</f>
        <v>0.27604411670912954</v>
      </c>
      <c r="AB21" s="9">
        <f>'2'!AM21</f>
        <v>0.14935443507237858</v>
      </c>
      <c r="AC21" s="9">
        <f>'2'!AO21</f>
        <v>0.21752007875490392</v>
      </c>
      <c r="AD21" s="9">
        <f>'3'!M21</f>
        <v>0.53755030279422311</v>
      </c>
      <c r="AE21" s="9">
        <f>'8'!U18</f>
        <v>0.65093139818486079</v>
      </c>
      <c r="AF21" s="9">
        <f t="shared" si="28"/>
        <v>0.46906260484437334</v>
      </c>
      <c r="AG21" s="9">
        <f t="shared" si="29"/>
        <v>0.48726037179046378</v>
      </c>
      <c r="AH21" s="9">
        <f>'1'!AW21</f>
        <v>0.1322248716609048</v>
      </c>
      <c r="AI21" s="9">
        <f>'1'!AY21</f>
        <v>0.15709048556756963</v>
      </c>
      <c r="AJ21" s="9">
        <f>'2'!AW21</f>
        <v>0.14843292782374889</v>
      </c>
      <c r="AK21" s="9">
        <f>'2'!AY21</f>
        <v>0.21585138355632436</v>
      </c>
      <c r="AL21" s="9">
        <f>'3'!P21</f>
        <v>0.27145798470311339</v>
      </c>
      <c r="AM21" s="9">
        <f>'8'!Z18</f>
        <v>0.41863736341171404</v>
      </c>
      <c r="AN21" s="9">
        <f t="shared" si="30"/>
        <v>0.2754626700193154</v>
      </c>
      <c r="AO21" s="9">
        <f t="shared" si="31"/>
        <v>0.28717763837390592</v>
      </c>
      <c r="AP21" s="9">
        <f>'1'!BG21</f>
        <v>0.18707762604829281</v>
      </c>
      <c r="AQ21" s="9">
        <f>'1'!BI21</f>
        <v>0.23380431938391405</v>
      </c>
      <c r="AR21" s="9">
        <f>'2'!BG21</f>
        <v>0.20409905194775241</v>
      </c>
      <c r="AS21" s="9">
        <f>'2'!BI21</f>
        <v>0.3086974109345062</v>
      </c>
      <c r="AT21" s="9">
        <f>'3'!S21</f>
        <v>0.61597300000268285</v>
      </c>
      <c r="AU21" s="9">
        <f>'8'!AE18</f>
        <v>0.57483691178143614</v>
      </c>
      <c r="AV21" s="9">
        <f t="shared" si="32"/>
        <v>0.47666570393993779</v>
      </c>
      <c r="AW21" s="9">
        <f t="shared" si="33"/>
        <v>0.4964708785057374</v>
      </c>
      <c r="AX21" s="9">
        <f>'1'!BQ21</f>
        <v>0.27078232783297135</v>
      </c>
      <c r="AY21" s="9">
        <f>'1'!BS21</f>
        <v>0.34052128582354252</v>
      </c>
      <c r="AZ21" s="9">
        <f>'2'!BQ21</f>
        <v>0.20118175447870573</v>
      </c>
      <c r="BA21" s="9">
        <f>'2'!BS21</f>
        <v>0.30419414961224439</v>
      </c>
      <c r="BB21" s="9">
        <f>'3'!V21</f>
        <v>0.66969336398326762</v>
      </c>
      <c r="BC21" s="9">
        <f>'8'!AJ18</f>
        <v>0.58831083900365877</v>
      </c>
      <c r="BD21" s="9">
        <f t="shared" si="34"/>
        <v>0.51864523830886955</v>
      </c>
      <c r="BE21" s="9">
        <f t="shared" si="35"/>
        <v>0.54289426942033758</v>
      </c>
      <c r="BF21" s="9">
        <f>'1'!CA21</f>
        <v>0.23832159975295916</v>
      </c>
      <c r="BG21" s="9">
        <f>'1'!CC21</f>
        <v>0.30048559354374438</v>
      </c>
      <c r="BH21" s="9">
        <f>'2'!CA21</f>
        <v>0.23626078627920308</v>
      </c>
      <c r="BI21" s="9">
        <f>'2'!CC21</f>
        <v>0.35609061135636078</v>
      </c>
      <c r="BJ21" s="9">
        <f>'3'!Y21</f>
        <v>0.5652200559241003</v>
      </c>
      <c r="BK21" s="9">
        <f>'8'!AO18</f>
        <v>0.54803029694156802</v>
      </c>
      <c r="BL21" s="9">
        <f t="shared" si="36"/>
        <v>0.46178751003062268</v>
      </c>
      <c r="BM21" s="9">
        <f t="shared" si="37"/>
        <v>0.48620329129649553</v>
      </c>
      <c r="BN21" s="9">
        <f>'1'!CK21</f>
        <v>0.22109435720565673</v>
      </c>
      <c r="BO21" s="9">
        <f>'1'!CM21</f>
        <v>0.27856426890725466</v>
      </c>
      <c r="BP21" s="9">
        <f>'2'!CK21</f>
        <v>0.34264978558856035</v>
      </c>
      <c r="BQ21" s="9">
        <f>'2'!CM21</f>
        <v>0.48932811145500038</v>
      </c>
      <c r="BR21" s="9">
        <f>'3'!AB21</f>
        <v>0.49912954994953801</v>
      </c>
      <c r="BS21" s="9">
        <f>'8'!AT18</f>
        <v>0.75240404066837185</v>
      </c>
      <c r="BT21" s="9">
        <f t="shared" si="38"/>
        <v>0.50385688218031421</v>
      </c>
      <c r="BU21" s="9">
        <f t="shared" si="39"/>
        <v>0.53001869710727778</v>
      </c>
      <c r="BV21" s="9">
        <f>'1'!CU21</f>
        <v>0.37828773270750471</v>
      </c>
      <c r="BW21" s="9">
        <f>'1'!CW21</f>
        <v>0.46265392477864764</v>
      </c>
      <c r="BX21" s="9">
        <f>'2'!CU21</f>
        <v>0.64573445984009481</v>
      </c>
      <c r="BY21" s="9">
        <f>'2'!CW21</f>
        <v>0.75396418429387912</v>
      </c>
      <c r="BZ21" s="9">
        <f>'3'!AE21</f>
        <v>0.57882041668042217</v>
      </c>
      <c r="CA21" s="9">
        <f>'8'!AY18</f>
        <v>0.57542741616684556</v>
      </c>
      <c r="CB21" s="9">
        <f t="shared" si="40"/>
        <v>0.54438738404773301</v>
      </c>
      <c r="CC21" s="9">
        <f t="shared" si="41"/>
        <v>0.57208359490734007</v>
      </c>
      <c r="CD21" s="9">
        <f>'1'!DE21</f>
        <v>0.30962657179109354</v>
      </c>
      <c r="CE21" s="9">
        <f>'1'!DG21</f>
        <v>0.38640183878135526</v>
      </c>
      <c r="CF21" s="9">
        <f>'2'!DE21</f>
        <v>0.29234823858125308</v>
      </c>
      <c r="CG21" s="9">
        <f>'2'!DG21</f>
        <v>0.4302414002206616</v>
      </c>
      <c r="CH21" s="9">
        <f>'3'!AH21</f>
        <v>0.62531379257892206</v>
      </c>
      <c r="CI21" s="9">
        <f>'8'!BD18</f>
        <v>0.57695756152533217</v>
      </c>
      <c r="CJ21" s="9">
        <f t="shared" si="42"/>
        <v>0.51437292370551257</v>
      </c>
      <c r="CK21" s="9">
        <f t="shared" si="43"/>
        <v>0.54351729326750564</v>
      </c>
    </row>
    <row r="22" spans="1:89">
      <c r="A22" s="1">
        <v>1984</v>
      </c>
      <c r="B22" s="9">
        <f>'1'!I22</f>
        <v>0.27404016142312027</v>
      </c>
      <c r="C22" s="9">
        <f>'1'!K22</f>
        <v>0.34445169552363886</v>
      </c>
      <c r="D22" s="9">
        <f>'2'!I22</f>
        <v>0.26197048084309882</v>
      </c>
      <c r="E22" s="9">
        <f>'2'!K22</f>
        <v>0.39129775374248149</v>
      </c>
      <c r="F22" s="9">
        <f>'3'!D22</f>
        <v>0.57898096574614399</v>
      </c>
      <c r="G22" s="9">
        <f>'8'!F19</f>
        <v>0.59876962118468435</v>
      </c>
      <c r="H22" s="9">
        <f t="shared" si="22"/>
        <v>0.49222835302279683</v>
      </c>
      <c r="I22" s="9">
        <f t="shared" si="23"/>
        <v>0.5192433871328388</v>
      </c>
      <c r="J22" s="9">
        <f>'1'!S22</f>
        <v>0.13184549093481235</v>
      </c>
      <c r="K22" s="9">
        <f>'1'!U22</f>
        <v>0.15653873142805841</v>
      </c>
      <c r="L22" s="9">
        <f>'2'!S22</f>
        <v>0.17951969995066791</v>
      </c>
      <c r="M22" s="9">
        <f>'2'!U22</f>
        <v>0.26957735490373602</v>
      </c>
      <c r="N22" s="9">
        <f>'3'!G22</f>
        <v>0.32385081270531235</v>
      </c>
      <c r="O22" s="9">
        <f>'8'!K19</f>
        <v>0.46041952656113777</v>
      </c>
      <c r="P22" s="9">
        <f t="shared" si="24"/>
        <v>0.31198725123249554</v>
      </c>
      <c r="Q22" s="9">
        <f t="shared" si="25"/>
        <v>0.32593166482645153</v>
      </c>
      <c r="R22" s="9">
        <f>'1'!AC22</f>
        <v>0.22211688697315826</v>
      </c>
      <c r="S22" s="9">
        <f>'1'!AE22</f>
        <v>0.27987900792410941</v>
      </c>
      <c r="T22" s="9">
        <f>'2'!AC22</f>
        <v>9.6323565249441898E-2</v>
      </c>
      <c r="U22" s="9">
        <f>'2'!AE22</f>
        <v>0.11238876966805374</v>
      </c>
      <c r="V22" s="9">
        <f>'3'!J22</f>
        <v>0.57243536460880062</v>
      </c>
      <c r="W22" s="9">
        <f>'8'!P19</f>
        <v>0.58618352790458705</v>
      </c>
      <c r="X22" s="9">
        <f t="shared" si="26"/>
        <v>0.45888493813447223</v>
      </c>
      <c r="Y22" s="9">
        <f t="shared" si="27"/>
        <v>0.47204388276652365</v>
      </c>
      <c r="Z22" s="9">
        <f>'1'!AM22</f>
        <v>0.26105707218938345</v>
      </c>
      <c r="AA22" s="9">
        <f>'1'!AO22</f>
        <v>0.32869491523844441</v>
      </c>
      <c r="AB22" s="9">
        <f>'2'!AM22</f>
        <v>0.15865884616511211</v>
      </c>
      <c r="AC22" s="9">
        <f>'2'!AO22</f>
        <v>0.23409704640360723</v>
      </c>
      <c r="AD22" s="9">
        <f>'3'!M22</f>
        <v>0.54081003633493385</v>
      </c>
      <c r="AE22" s="9">
        <f>'8'!U19</f>
        <v>0.60637174218150214</v>
      </c>
      <c r="AF22" s="9">
        <f t="shared" si="28"/>
        <v>0.46631283624281206</v>
      </c>
      <c r="AG22" s="9">
        <f t="shared" si="29"/>
        <v>0.48738422487647381</v>
      </c>
      <c r="AH22" s="9">
        <f>'1'!AW22</f>
        <v>0.1618565386204231</v>
      </c>
      <c r="AI22" s="9">
        <f>'1'!AY22</f>
        <v>0.19926551797303152</v>
      </c>
      <c r="AJ22" s="9">
        <f>'2'!AW22</f>
        <v>0.14857153031966308</v>
      </c>
      <c r="AK22" s="9">
        <f>'2'!AY22</f>
        <v>0.21610268608908992</v>
      </c>
      <c r="AL22" s="9">
        <f>'3'!P22</f>
        <v>0.39077901066278808</v>
      </c>
      <c r="AM22" s="9">
        <f>'8'!Z19</f>
        <v>0.47762912328318485</v>
      </c>
      <c r="AN22" s="9">
        <f t="shared" si="30"/>
        <v>0.34682880200612165</v>
      </c>
      <c r="AO22" s="9">
        <f t="shared" si="31"/>
        <v>0.36106371345358601</v>
      </c>
      <c r="AP22" s="9">
        <f>'1'!BG22</f>
        <v>0.21514370265068819</v>
      </c>
      <c r="AQ22" s="9">
        <f>'1'!BI22</f>
        <v>0.27087837360279349</v>
      </c>
      <c r="AR22" s="9">
        <f>'2'!BG22</f>
        <v>0.20834088472275455</v>
      </c>
      <c r="AS22" s="9">
        <f>'2'!BI22</f>
        <v>0.31518159553428643</v>
      </c>
      <c r="AT22" s="9">
        <f>'3'!S22</f>
        <v>0.5450508350951373</v>
      </c>
      <c r="AU22" s="9">
        <f>'8'!AE19</f>
        <v>0.60178313388351179</v>
      </c>
      <c r="AV22" s="9">
        <f t="shared" si="32"/>
        <v>0.46241810320552157</v>
      </c>
      <c r="AW22" s="9">
        <f t="shared" si="33"/>
        <v>0.48424910847709579</v>
      </c>
      <c r="AX22" s="9">
        <f>'1'!BQ22</f>
        <v>0.29170422250463268</v>
      </c>
      <c r="AY22" s="9">
        <f>'1'!BS22</f>
        <v>0.36549593202564934</v>
      </c>
      <c r="AZ22" s="9">
        <f>'2'!BQ22</f>
        <v>0.20574985146448668</v>
      </c>
      <c r="BA22" s="9">
        <f>'2'!BS22</f>
        <v>0.31122976484219905</v>
      </c>
      <c r="BB22" s="9">
        <f>'3'!V22</f>
        <v>0.69538436423292294</v>
      </c>
      <c r="BC22" s="9">
        <f>'8'!AJ19</f>
        <v>0.62792185924655119</v>
      </c>
      <c r="BD22" s="9">
        <f t="shared" si="34"/>
        <v>0.54544613311450973</v>
      </c>
      <c r="BE22" s="9">
        <f t="shared" si="35"/>
        <v>0.57075246635648436</v>
      </c>
      <c r="BF22" s="9">
        <f>'1'!CA22</f>
        <v>0.28708622703446462</v>
      </c>
      <c r="BG22" s="9">
        <f>'1'!CC22</f>
        <v>0.36003713019944567</v>
      </c>
      <c r="BH22" s="9">
        <f>'2'!CA22</f>
        <v>0.24133118722514368</v>
      </c>
      <c r="BI22" s="9">
        <f>'2'!CC22</f>
        <v>0.3632107986181719</v>
      </c>
      <c r="BJ22" s="9">
        <f>'3'!Y22</f>
        <v>0.53172476750368269</v>
      </c>
      <c r="BK22" s="9">
        <f>'8'!AO19</f>
        <v>0.653035095947196</v>
      </c>
      <c r="BL22" s="9">
        <f t="shared" si="36"/>
        <v>0.49015079991503918</v>
      </c>
      <c r="BM22" s="9">
        <f t="shared" si="37"/>
        <v>0.51692894168733816</v>
      </c>
      <c r="BN22" s="9">
        <f>'1'!CK22</f>
        <v>0.22748730331968453</v>
      </c>
      <c r="BO22" s="9">
        <f>'1'!CM22</f>
        <v>0.28675571278185558</v>
      </c>
      <c r="BP22" s="9">
        <f>'2'!CK22</f>
        <v>0.3590251009599465</v>
      </c>
      <c r="BQ22" s="9">
        <f>'2'!CM22</f>
        <v>0.50729697256822093</v>
      </c>
      <c r="BR22" s="9">
        <f>'3'!AB22</f>
        <v>0.38175936614772821</v>
      </c>
      <c r="BS22" s="9">
        <f>'8'!AT19</f>
        <v>0.69979436344291701</v>
      </c>
      <c r="BT22" s="9">
        <f t="shared" si="38"/>
        <v>0.44404202625189793</v>
      </c>
      <c r="BU22" s="9">
        <f t="shared" si="39"/>
        <v>0.47072289530515965</v>
      </c>
      <c r="BV22" s="9">
        <f>'1'!CU22</f>
        <v>0.37629400613310432</v>
      </c>
      <c r="BW22" s="9">
        <f>'1'!CW22</f>
        <v>0.46052032331412679</v>
      </c>
      <c r="BX22" s="9">
        <f>'2'!CU22</f>
        <v>0.62221602152750144</v>
      </c>
      <c r="BY22" s="9">
        <f>'2'!CW22</f>
        <v>0.73734170311759306</v>
      </c>
      <c r="BZ22" s="9">
        <f>'3'!AE22</f>
        <v>0.52423218651320747</v>
      </c>
      <c r="CA22" s="9">
        <f>'8'!AY19</f>
        <v>0.59173142086563169</v>
      </c>
      <c r="CB22" s="9">
        <f t="shared" si="40"/>
        <v>0.52469270424434356</v>
      </c>
      <c r="CC22" s="9">
        <f t="shared" si="41"/>
        <v>0.55305053583955721</v>
      </c>
      <c r="CD22" s="9">
        <f>'1'!DE22</f>
        <v>0.30552942895581869</v>
      </c>
      <c r="CE22" s="9">
        <f>'1'!DG22</f>
        <v>0.3816612785572141</v>
      </c>
      <c r="CF22" s="9">
        <f>'2'!DE22</f>
        <v>0.28939480861255956</v>
      </c>
      <c r="CG22" s="9">
        <f>'2'!DG22</f>
        <v>0.4265713592440471</v>
      </c>
      <c r="CH22" s="9">
        <f>'3'!AH22</f>
        <v>0.55510391696181638</v>
      </c>
      <c r="CI22" s="9">
        <f>'8'!BD19</f>
        <v>0.51629846634910725</v>
      </c>
      <c r="CJ22" s="9">
        <f t="shared" si="42"/>
        <v>0.46697647334187842</v>
      </c>
      <c r="CK22" s="9">
        <f t="shared" si="43"/>
        <v>0.49592049832530627</v>
      </c>
    </row>
    <row r="23" spans="1:89">
      <c r="A23" s="1">
        <v>1985</v>
      </c>
      <c r="B23" s="9">
        <f>'1'!I23</f>
        <v>0.30292426979507547</v>
      </c>
      <c r="C23" s="9">
        <f>'1'!K23</f>
        <v>0.37863519753986374</v>
      </c>
      <c r="D23" s="9">
        <f>'2'!I23</f>
        <v>0.25766914460604035</v>
      </c>
      <c r="E23" s="9">
        <f>'2'!K23</f>
        <v>0.38555889364555529</v>
      </c>
      <c r="F23" s="9">
        <f>'3'!D23</f>
        <v>0.62312174818864408</v>
      </c>
      <c r="G23" s="9">
        <f>'8'!F20</f>
        <v>0.60452439439058236</v>
      </c>
      <c r="H23" s="9">
        <f t="shared" si="22"/>
        <v>0.51695778601225151</v>
      </c>
      <c r="I23" s="9">
        <f t="shared" si="23"/>
        <v>0.54488894646516062</v>
      </c>
      <c r="J23" s="9">
        <f>'1'!S23</f>
        <v>0.16012008057354765</v>
      </c>
      <c r="K23" s="9">
        <f>'1'!U23</f>
        <v>0.1968427721674961</v>
      </c>
      <c r="L23" s="9">
        <f>'2'!S23</f>
        <v>0.17606800093250471</v>
      </c>
      <c r="M23" s="9">
        <f>'2'!U23</f>
        <v>0.26385908987147633</v>
      </c>
      <c r="N23" s="9">
        <f>'3'!G23</f>
        <v>0.27627680337235294</v>
      </c>
      <c r="O23" s="9">
        <f>'8'!K20</f>
        <v>0.46778924147499279</v>
      </c>
      <c r="P23" s="9">
        <f t="shared" si="24"/>
        <v>0.30047830999939906</v>
      </c>
      <c r="Q23" s="9">
        <f t="shared" si="25"/>
        <v>0.31660195721208589</v>
      </c>
      <c r="R23" s="9">
        <f>'1'!AC23</f>
        <v>0.232458709554414</v>
      </c>
      <c r="S23" s="9">
        <f>'1'!AE23</f>
        <v>0.29307934700177113</v>
      </c>
      <c r="T23" s="9">
        <f>'2'!AC23</f>
        <v>9.9251967392188695E-2</v>
      </c>
      <c r="U23" s="9">
        <f>'2'!AE23</f>
        <v>0.11873644221499288</v>
      </c>
      <c r="V23" s="9">
        <f>'3'!J23</f>
        <v>0.65071956921236351</v>
      </c>
      <c r="W23" s="9">
        <f>'8'!P20</f>
        <v>0.54990750262374466</v>
      </c>
      <c r="X23" s="9">
        <f t="shared" si="26"/>
        <v>0.48167701712217048</v>
      </c>
      <c r="Y23" s="9">
        <f t="shared" si="27"/>
        <v>0.49574959209392233</v>
      </c>
      <c r="Z23" s="9">
        <f>'1'!AM23</f>
        <v>0.2941726649126169</v>
      </c>
      <c r="AA23" s="9">
        <f>'1'!AO23</f>
        <v>0.36840155380581946</v>
      </c>
      <c r="AB23" s="9">
        <f>'2'!AM23</f>
        <v>0.15718713515518212</v>
      </c>
      <c r="AC23" s="9">
        <f>'2'!AO23</f>
        <v>0.23150733008007687</v>
      </c>
      <c r="AD23" s="9">
        <f>'3'!M23</f>
        <v>0.53924779731142203</v>
      </c>
      <c r="AE23" s="9">
        <f>'8'!U20</f>
        <v>0.59106151278813224</v>
      </c>
      <c r="AF23" s="9">
        <f t="shared" si="28"/>
        <v>0.46757081925905009</v>
      </c>
      <c r="AG23" s="9">
        <f t="shared" si="29"/>
        <v>0.48984861653018008</v>
      </c>
      <c r="AH23" s="9">
        <f>'1'!AW23</f>
        <v>0.20490621429382325</v>
      </c>
      <c r="AI23" s="9">
        <f>'1'!AY23</f>
        <v>0.25751483313744844</v>
      </c>
      <c r="AJ23" s="9">
        <f>'2'!AW23</f>
        <v>0.14604121910447213</v>
      </c>
      <c r="AK23" s="9">
        <f>'2'!AY23</f>
        <v>0.21149715038554068</v>
      </c>
      <c r="AL23" s="9">
        <f>'3'!P23</f>
        <v>0.52854800054075879</v>
      </c>
      <c r="AM23" s="9">
        <f>'8'!Z20</f>
        <v>0.49711685107665859</v>
      </c>
      <c r="AN23" s="9">
        <f t="shared" si="30"/>
        <v>0.41613962030851293</v>
      </c>
      <c r="AO23" s="9">
        <f t="shared" si="31"/>
        <v>0.43320693720534487</v>
      </c>
      <c r="AP23" s="9">
        <f>'1'!BG23</f>
        <v>0.24761751876682772</v>
      </c>
      <c r="AQ23" s="9">
        <f>'1'!BI23</f>
        <v>0.31211657790621194</v>
      </c>
      <c r="AR23" s="9">
        <f>'2'!BG23</f>
        <v>0.20903861041290089</v>
      </c>
      <c r="AS23" s="9">
        <f>'2'!BI23</f>
        <v>0.31624103349326149</v>
      </c>
      <c r="AT23" s="9">
        <f>'3'!S23</f>
        <v>0.60980448487394967</v>
      </c>
      <c r="AU23" s="9">
        <f>'8'!AE20</f>
        <v>0.59220165730100516</v>
      </c>
      <c r="AV23" s="9">
        <f t="shared" si="32"/>
        <v>0.49200965593453705</v>
      </c>
      <c r="AW23" s="9">
        <f t="shared" si="33"/>
        <v>0.51562971007045</v>
      </c>
      <c r="AX23" s="9">
        <f>'1'!BQ23</f>
        <v>0.3204168209382543</v>
      </c>
      <c r="AY23" s="9">
        <f>'1'!BS23</f>
        <v>0.39877943424341405</v>
      </c>
      <c r="AZ23" s="9">
        <f>'2'!BQ23</f>
        <v>0.20635208737036076</v>
      </c>
      <c r="BA23" s="9">
        <f>'2'!BS23</f>
        <v>0.31215077270775021</v>
      </c>
      <c r="BB23" s="9">
        <f>'3'!V23</f>
        <v>0.74410758965338442</v>
      </c>
      <c r="BC23" s="9">
        <f>'8'!AJ20</f>
        <v>0.64410289414045541</v>
      </c>
      <c r="BD23" s="9">
        <f t="shared" si="34"/>
        <v>0.57559247702817729</v>
      </c>
      <c r="BE23" s="9">
        <f t="shared" si="35"/>
        <v>0.60184486822294825</v>
      </c>
      <c r="BF23" s="9">
        <f>'1'!CA23</f>
        <v>0.32226396899777598</v>
      </c>
      <c r="BG23" s="9">
        <f>'1'!CC23</f>
        <v>0.40088294263007235</v>
      </c>
      <c r="BH23" s="9">
        <f>'2'!CA23</f>
        <v>0.23632867842537861</v>
      </c>
      <c r="BI23" s="9">
        <f>'2'!CC23</f>
        <v>0.35618654795654769</v>
      </c>
      <c r="BJ23" s="9">
        <f>'3'!Y23</f>
        <v>0.59439845266683344</v>
      </c>
      <c r="BK23" s="9">
        <f>'8'!AO20</f>
        <v>0.62816502695729171</v>
      </c>
      <c r="BL23" s="9">
        <f t="shared" si="36"/>
        <v>0.51429455079601394</v>
      </c>
      <c r="BM23" s="9">
        <f t="shared" si="37"/>
        <v>0.54200413247559009</v>
      </c>
      <c r="BN23" s="9">
        <f>'1'!CK23</f>
        <v>0.23303855465586082</v>
      </c>
      <c r="BO23" s="9">
        <f>'1'!CM23</f>
        <v>0.2938142964622768</v>
      </c>
      <c r="BP23" s="9">
        <f>'2'!CK23</f>
        <v>0.35100489924667277</v>
      </c>
      <c r="BQ23" s="9">
        <f>'2'!CM23</f>
        <v>0.49856802616830731</v>
      </c>
      <c r="BR23" s="9">
        <f>'3'!AB23</f>
        <v>0.30368179575610416</v>
      </c>
      <c r="BS23" s="9">
        <f>'8'!AT20</f>
        <v>0.66759072841013045</v>
      </c>
      <c r="BT23" s="9">
        <f t="shared" si="38"/>
        <v>0.40345813768132022</v>
      </c>
      <c r="BU23" s="9">
        <f t="shared" si="39"/>
        <v>0.43036959873476688</v>
      </c>
      <c r="BV23" s="9">
        <f>'1'!CU23</f>
        <v>0.41099399635570755</v>
      </c>
      <c r="BW23" s="9">
        <f>'1'!CW23</f>
        <v>0.49701609112956463</v>
      </c>
      <c r="BX23" s="9">
        <f>'2'!CU23</f>
        <v>0.60843397916877917</v>
      </c>
      <c r="BY23" s="9">
        <f>'2'!CW23</f>
        <v>0.7273673951101034</v>
      </c>
      <c r="BZ23" s="9">
        <f>'3'!AE23</f>
        <v>0.67581879391074784</v>
      </c>
      <c r="CA23" s="9">
        <f>'8'!AY20</f>
        <v>0.63762014494069985</v>
      </c>
      <c r="CB23" s="9">
        <f t="shared" si="40"/>
        <v>0.60465575823452844</v>
      </c>
      <c r="CC23" s="9">
        <f t="shared" si="41"/>
        <v>0.63375351878343233</v>
      </c>
      <c r="CD23" s="9">
        <f>'1'!DE23</f>
        <v>0.32123530301798991</v>
      </c>
      <c r="CE23" s="9">
        <f>'1'!DG23</f>
        <v>0.399712060609065</v>
      </c>
      <c r="CF23" s="9">
        <f>'2'!DE23</f>
        <v>0.28318051422973378</v>
      </c>
      <c r="CG23" s="9">
        <f>'2'!DG23</f>
        <v>0.41877012057727975</v>
      </c>
      <c r="CH23" s="9">
        <f>'3'!AH23</f>
        <v>0.51651369843274342</v>
      </c>
      <c r="CI23" s="9">
        <f>'8'!BD20</f>
        <v>0.51610257421341199</v>
      </c>
      <c r="CJ23" s="9">
        <f t="shared" si="42"/>
        <v>0.45400136366369231</v>
      </c>
      <c r="CK23" s="9">
        <f t="shared" si="43"/>
        <v>0.48325567581666196</v>
      </c>
    </row>
    <row r="24" spans="1:89">
      <c r="A24" s="1">
        <v>1986</v>
      </c>
      <c r="B24" s="9">
        <f>'1'!I24</f>
        <v>0.32553926355574225</v>
      </c>
      <c r="C24" s="9">
        <f>'1'!K24</f>
        <v>0.40460189118823231</v>
      </c>
      <c r="D24" s="9">
        <f>'2'!I24</f>
        <v>0.24123711194910621</v>
      </c>
      <c r="E24" s="9">
        <f>'2'!K24</f>
        <v>0.36307950960129681</v>
      </c>
      <c r="F24" s="9">
        <f>'3'!D24</f>
        <v>0.6457171797083503</v>
      </c>
      <c r="G24" s="9">
        <f>'8'!F21</f>
        <v>0.59441335458415334</v>
      </c>
      <c r="H24" s="9">
        <f t="shared" si="22"/>
        <v>0.52584244216464526</v>
      </c>
      <c r="I24" s="9">
        <f t="shared" si="23"/>
        <v>0.55383920745636228</v>
      </c>
      <c r="J24" s="9">
        <f>'1'!S24</f>
        <v>0.19430746991861012</v>
      </c>
      <c r="K24" s="9">
        <f>'1'!U24</f>
        <v>0.24348770647206275</v>
      </c>
      <c r="L24" s="9">
        <f>'2'!S24</f>
        <v>0.17819992730765696</v>
      </c>
      <c r="M24" s="9">
        <f>'2'!U24</f>
        <v>0.26739781198617774</v>
      </c>
      <c r="N24" s="9">
        <f>'3'!G24</f>
        <v>0.3640919163431402</v>
      </c>
      <c r="O24" s="9">
        <f>'8'!K21</f>
        <v>0.52975644179646042</v>
      </c>
      <c r="P24" s="9">
        <f t="shared" si="24"/>
        <v>0.36124518579068188</v>
      </c>
      <c r="Q24" s="9">
        <f t="shared" si="25"/>
        <v>0.38000102156922455</v>
      </c>
      <c r="R24" s="9">
        <f>'1'!AC24</f>
        <v>0.23904445868748284</v>
      </c>
      <c r="S24" s="9">
        <f>'1'!AE24</f>
        <v>0.30139492766838077</v>
      </c>
      <c r="T24" s="9">
        <f>'2'!AC24</f>
        <v>0.10181351197257678</v>
      </c>
      <c r="U24" s="9">
        <f>'2'!AE24</f>
        <v>0.12423074909459024</v>
      </c>
      <c r="V24" s="9">
        <f>'3'!J24</f>
        <v>0.72109728779744076</v>
      </c>
      <c r="W24" s="9">
        <f>'8'!P21</f>
        <v>0.59195155131031219</v>
      </c>
      <c r="X24" s="9">
        <f t="shared" si="26"/>
        <v>0.52401462344682415</v>
      </c>
      <c r="Y24" s="9">
        <f t="shared" si="27"/>
        <v>0.53872644095520505</v>
      </c>
      <c r="Z24" s="9">
        <f>'1'!AM24</f>
        <v>0.32152266660074758</v>
      </c>
      <c r="AA24" s="9">
        <f>'1'!AO24</f>
        <v>0.40003929195758647</v>
      </c>
      <c r="AB24" s="9">
        <f>'2'!AM24</f>
        <v>0.15783692687311154</v>
      </c>
      <c r="AC24" s="9">
        <f>'2'!AO24</f>
        <v>0.23265221577969136</v>
      </c>
      <c r="AD24" s="9">
        <f>'3'!M24</f>
        <v>0.54998120927676664</v>
      </c>
      <c r="AE24" s="9">
        <f>'8'!U21</f>
        <v>0.54350528644540874</v>
      </c>
      <c r="AF24" s="9">
        <f t="shared" si="28"/>
        <v>0.46313229565178998</v>
      </c>
      <c r="AG24" s="9">
        <f t="shared" si="29"/>
        <v>0.48631714961381572</v>
      </c>
      <c r="AH24" s="9">
        <f>'1'!AW24</f>
        <v>0.24181540089177453</v>
      </c>
      <c r="AI24" s="9">
        <f>'1'!AY24</f>
        <v>0.30487299738449775</v>
      </c>
      <c r="AJ24" s="9">
        <f>'2'!AW24</f>
        <v>0.14920101401944477</v>
      </c>
      <c r="AK24" s="9">
        <f>'2'!AY24</f>
        <v>0.21724260233362702</v>
      </c>
      <c r="AL24" s="9">
        <f>'3'!P24</f>
        <v>0.58463015337036794</v>
      </c>
      <c r="AM24" s="9">
        <f>'8'!Z21</f>
        <v>0.50278573333178356</v>
      </c>
      <c r="AN24" s="9">
        <f t="shared" si="30"/>
        <v>0.44797096292798166</v>
      </c>
      <c r="AO24" s="9">
        <f t="shared" si="31"/>
        <v>0.46738664105794447</v>
      </c>
      <c r="AP24" s="9">
        <f>'1'!BG24</f>
        <v>0.27632761952857293</v>
      </c>
      <c r="AQ24" s="9">
        <f>'1'!BI24</f>
        <v>0.34720213472163886</v>
      </c>
      <c r="AR24" s="9">
        <f>'2'!BG24</f>
        <v>0.21363947240771014</v>
      </c>
      <c r="AS24" s="9">
        <f>'2'!BI24</f>
        <v>0.32317751608153289</v>
      </c>
      <c r="AT24" s="9">
        <f>'3'!S24</f>
        <v>0.59827622896069943</v>
      </c>
      <c r="AU24" s="9">
        <f>'8'!AE21</f>
        <v>0.56871123842186944</v>
      </c>
      <c r="AV24" s="9">
        <f t="shared" si="32"/>
        <v>0.48655333425732628</v>
      </c>
      <c r="AW24" s="9">
        <f t="shared" si="33"/>
        <v>0.51168204166332165</v>
      </c>
      <c r="AX24" s="9">
        <f>'1'!BQ24</f>
        <v>0.34453304975147464</v>
      </c>
      <c r="AY24" s="9">
        <f>'1'!BS24</f>
        <v>0.42589827788518791</v>
      </c>
      <c r="AZ24" s="9">
        <f>'2'!BQ24</f>
        <v>0.20881956124984066</v>
      </c>
      <c r="BA24" s="9">
        <f>'2'!BS24</f>
        <v>0.31590864063344959</v>
      </c>
      <c r="BB24" s="9">
        <f>'3'!V24</f>
        <v>0.77408148775221253</v>
      </c>
      <c r="BC24" s="9">
        <f>'8'!AJ21</f>
        <v>0.64972332082582884</v>
      </c>
      <c r="BD24" s="9">
        <f t="shared" si="34"/>
        <v>0.59433815742391272</v>
      </c>
      <c r="BE24" s="9">
        <f t="shared" si="35"/>
        <v>0.62132011098901618</v>
      </c>
      <c r="BF24" s="9">
        <f>'1'!CA24</f>
        <v>0.35378228072788942</v>
      </c>
      <c r="BG24" s="9">
        <f>'1'!CC24</f>
        <v>0.43610581318716368</v>
      </c>
      <c r="BH24" s="9">
        <f>'2'!CA24</f>
        <v>0.23762840977170077</v>
      </c>
      <c r="BI24" s="9">
        <f>'2'!CC24</f>
        <v>0.35802001475609491</v>
      </c>
      <c r="BJ24" s="9">
        <f>'3'!Y24</f>
        <v>0.59885652899434094</v>
      </c>
      <c r="BK24" s="9">
        <f>'8'!AO21</f>
        <v>0.57402380844785461</v>
      </c>
      <c r="BL24" s="9">
        <f t="shared" si="36"/>
        <v>0.50626905125484067</v>
      </c>
      <c r="BM24" s="9">
        <f t="shared" si="37"/>
        <v>0.53477291824513506</v>
      </c>
      <c r="BN24" s="9">
        <f>'1'!CK24</f>
        <v>0.25606133156464017</v>
      </c>
      <c r="BO24" s="9">
        <f>'1'!CM24</f>
        <v>0.32256468450732267</v>
      </c>
      <c r="BP24" s="9">
        <f>'2'!CK24</f>
        <v>0.3184936245095224</v>
      </c>
      <c r="BQ24" s="9">
        <f>'2'!CM24</f>
        <v>0.46172659181932346</v>
      </c>
      <c r="BR24" s="9">
        <f>'3'!AB24</f>
        <v>0.26564202343942789</v>
      </c>
      <c r="BS24" s="9">
        <f>'8'!AT21</f>
        <v>0.63763845638143513</v>
      </c>
      <c r="BT24" s="9">
        <f t="shared" si="38"/>
        <v>0.38060997505408201</v>
      </c>
      <c r="BU24" s="9">
        <f t="shared" si="39"/>
        <v>0.40823394237359856</v>
      </c>
      <c r="BV24" s="9">
        <f>'1'!CU24</f>
        <v>0.41344234509665334</v>
      </c>
      <c r="BW24" s="9">
        <f>'1'!CW24</f>
        <v>0.49954121274834068</v>
      </c>
      <c r="BX24" s="9">
        <f>'2'!CU24</f>
        <v>0.4759015112563188</v>
      </c>
      <c r="BY24" s="9">
        <f>'2'!CW24</f>
        <v>0.62116903491369335</v>
      </c>
      <c r="BZ24" s="9">
        <f>'3'!AE24</f>
        <v>0.66544327829219063</v>
      </c>
      <c r="CA24" s="9">
        <f>'8'!AY21</f>
        <v>0.6261993457939613</v>
      </c>
      <c r="CB24" s="9">
        <f t="shared" si="40"/>
        <v>0.58431573520002722</v>
      </c>
      <c r="CC24" s="9">
        <f t="shared" si="41"/>
        <v>0.61606226109610218</v>
      </c>
      <c r="CD24" s="9">
        <f>'1'!DE24</f>
        <v>0.32883566666357544</v>
      </c>
      <c r="CE24" s="9">
        <f>'1'!DG24</f>
        <v>0.40833080470868538</v>
      </c>
      <c r="CF24" s="9">
        <f>'2'!DE24</f>
        <v>0.28294181154944653</v>
      </c>
      <c r="CG24" s="9">
        <f>'2'!DG24</f>
        <v>0.41846829090783511</v>
      </c>
      <c r="CH24" s="9">
        <f>'3'!AH24</f>
        <v>0.63174365658849596</v>
      </c>
      <c r="CI24" s="9">
        <f>'8'!BD21</f>
        <v>0.5150191965315396</v>
      </c>
      <c r="CJ24" s="9">
        <f t="shared" si="42"/>
        <v>0.50126453608251997</v>
      </c>
      <c r="CK24" s="9">
        <f t="shared" si="43"/>
        <v>0.53071621162738081</v>
      </c>
    </row>
    <row r="25" spans="1:89">
      <c r="A25" s="1">
        <v>1987</v>
      </c>
      <c r="B25" s="9">
        <f>'1'!I25</f>
        <v>0.35170871528965209</v>
      </c>
      <c r="C25" s="9">
        <f>'1'!K25</f>
        <v>0.43382651037508896</v>
      </c>
      <c r="D25" s="9">
        <f>'2'!I25</f>
        <v>0.24846321299635038</v>
      </c>
      <c r="E25" s="9">
        <f>'2'!K25</f>
        <v>0.37307585634880303</v>
      </c>
      <c r="F25" s="9">
        <f>'3'!D25</f>
        <v>0.66683467440276667</v>
      </c>
      <c r="G25" s="9">
        <f>'8'!F22</f>
        <v>0.58230626019551324</v>
      </c>
      <c r="H25" s="9">
        <f t="shared" si="22"/>
        <v>0.53661381217732607</v>
      </c>
      <c r="I25" s="9">
        <f t="shared" si="23"/>
        <v>0.56549863552965873</v>
      </c>
      <c r="J25" s="9">
        <f>'1'!S25</f>
        <v>0.2136348075064117</v>
      </c>
      <c r="K25" s="9">
        <f>'1'!U25</f>
        <v>0.26891999047852444</v>
      </c>
      <c r="L25" s="9">
        <f>'2'!S25</f>
        <v>0.18742049606747793</v>
      </c>
      <c r="M25" s="9">
        <f>'2'!U25</f>
        <v>0.28245137678433568</v>
      </c>
      <c r="N25" s="9">
        <f>'3'!G25</f>
        <v>0.37273323076700415</v>
      </c>
      <c r="O25" s="9">
        <f>'8'!K22</f>
        <v>0.48784348802459798</v>
      </c>
      <c r="P25" s="9">
        <f t="shared" si="24"/>
        <v>0.35691534982221118</v>
      </c>
      <c r="Q25" s="9">
        <f t="shared" si="25"/>
        <v>0.37747547448831953</v>
      </c>
      <c r="R25" s="9">
        <f>'1'!AC25</f>
        <v>0.28725709234027469</v>
      </c>
      <c r="S25" s="9">
        <f>'1'!AE25</f>
        <v>0.36023964048114343</v>
      </c>
      <c r="T25" s="9">
        <f>'2'!AC25</f>
        <v>0.10169859053067337</v>
      </c>
      <c r="U25" s="9">
        <f>'2'!AE25</f>
        <v>0.12398539877200582</v>
      </c>
      <c r="V25" s="9">
        <f>'3'!J25</f>
        <v>0.67854189929346687</v>
      </c>
      <c r="W25" s="9">
        <f>'8'!P22</f>
        <v>0.58087052395097549</v>
      </c>
      <c r="X25" s="9">
        <f t="shared" si="26"/>
        <v>0.51329919442380167</v>
      </c>
      <c r="Y25" s="9">
        <f t="shared" si="27"/>
        <v>0.53012438487610869</v>
      </c>
      <c r="Z25" s="9">
        <f>'1'!AM25</f>
        <v>0.34912294921748643</v>
      </c>
      <c r="AA25" s="9">
        <f>'1'!AO25</f>
        <v>0.43097684115582874</v>
      </c>
      <c r="AB25" s="9">
        <f>'2'!AM25</f>
        <v>0.16797427195003378</v>
      </c>
      <c r="AC25" s="9">
        <f>'2'!AO25</f>
        <v>0.25021803909801288</v>
      </c>
      <c r="AD25" s="9">
        <f>'3'!M25</f>
        <v>0.60245604687014798</v>
      </c>
      <c r="AE25" s="9">
        <f>'8'!U22</f>
        <v>0.56767714019592197</v>
      </c>
      <c r="AF25" s="9">
        <f t="shared" si="28"/>
        <v>0.49790757784533646</v>
      </c>
      <c r="AG25" s="9">
        <f t="shared" si="29"/>
        <v>0.52250273294780281</v>
      </c>
      <c r="AH25" s="9">
        <f>'1'!AW25</f>
        <v>0.2660904988975562</v>
      </c>
      <c r="AI25" s="9">
        <f>'1'!AY25</f>
        <v>0.33483337246370171</v>
      </c>
      <c r="AJ25" s="9">
        <f>'2'!AW25</f>
        <v>0.16581552261934299</v>
      </c>
      <c r="AK25" s="9">
        <f>'2'!AY25</f>
        <v>0.2465231073131906</v>
      </c>
      <c r="AL25" s="9">
        <f>'3'!P25</f>
        <v>0.51600665780407207</v>
      </c>
      <c r="AM25" s="9">
        <f>'8'!Z22</f>
        <v>0.48381983196851525</v>
      </c>
      <c r="AN25" s="9">
        <f t="shared" si="30"/>
        <v>0.42134826475362896</v>
      </c>
      <c r="AO25" s="9">
        <f t="shared" si="31"/>
        <v>0.44316759793624283</v>
      </c>
      <c r="AP25" s="9">
        <f>'1'!BG25</f>
        <v>0.28917651502903846</v>
      </c>
      <c r="AQ25" s="9">
        <f>'1'!BI25</f>
        <v>0.36251171657725806</v>
      </c>
      <c r="AR25" s="9">
        <f>'2'!BG25</f>
        <v>0.22100448017792335</v>
      </c>
      <c r="AS25" s="9">
        <f>'2'!BI25</f>
        <v>0.33410624515766141</v>
      </c>
      <c r="AT25" s="9">
        <f>'3'!S25</f>
        <v>0.59860376802807147</v>
      </c>
      <c r="AU25" s="9">
        <f>'8'!AE22</f>
        <v>0.570071030919722</v>
      </c>
      <c r="AV25" s="9">
        <f t="shared" si="32"/>
        <v>0.49039856751074518</v>
      </c>
      <c r="AW25" s="9">
        <f t="shared" si="33"/>
        <v>0.51637578431836295</v>
      </c>
      <c r="AX25" s="9">
        <f>'1'!BQ25</f>
        <v>0.37817344894894789</v>
      </c>
      <c r="AY25" s="9">
        <f>'1'!BS25</f>
        <v>0.46253174687101772</v>
      </c>
      <c r="AZ25" s="9">
        <f>'2'!BQ25</f>
        <v>0.21828176994961038</v>
      </c>
      <c r="BA25" s="9">
        <f>'2'!BS25</f>
        <v>0.330090798407422</v>
      </c>
      <c r="BB25" s="9">
        <f>'3'!V25</f>
        <v>0.82186408271762157</v>
      </c>
      <c r="BC25" s="9">
        <f>'8'!AJ22</f>
        <v>0.64186571094492151</v>
      </c>
      <c r="BD25" s="9">
        <f t="shared" si="34"/>
        <v>0.61876821315527575</v>
      </c>
      <c r="BE25" s="9">
        <f t="shared" si="35"/>
        <v>0.6468207755854708</v>
      </c>
      <c r="BF25" s="9">
        <f>'1'!CA25</f>
        <v>0.36559993760567655</v>
      </c>
      <c r="BG25" s="9">
        <f>'1'!CC25</f>
        <v>0.44899712185134466</v>
      </c>
      <c r="BH25" s="9">
        <f>'2'!CA25</f>
        <v>0.24475704736966836</v>
      </c>
      <c r="BI25" s="9">
        <f>'2'!CC25</f>
        <v>0.36797107426710995</v>
      </c>
      <c r="BJ25" s="9">
        <f>'3'!Y25</f>
        <v>0.62683505177171051</v>
      </c>
      <c r="BK25" s="9">
        <f>'8'!AO22</f>
        <v>0.60866382829394539</v>
      </c>
      <c r="BL25" s="9">
        <f t="shared" si="36"/>
        <v>0.53092886145496998</v>
      </c>
      <c r="BM25" s="9">
        <f t="shared" si="37"/>
        <v>0.55992970099384776</v>
      </c>
      <c r="BN25" s="9">
        <f>'1'!CK25</f>
        <v>0.27030354203810419</v>
      </c>
      <c r="BO25" s="9">
        <f>'1'!CM25</f>
        <v>0.33994234253046512</v>
      </c>
      <c r="BP25" s="9">
        <f>'2'!CK25</f>
        <v>0.34852765264501168</v>
      </c>
      <c r="BQ25" s="9">
        <f>'2'!CM25</f>
        <v>0.49584424151519846</v>
      </c>
      <c r="BR25" s="9">
        <f>'3'!AB25</f>
        <v>0.5007472026582539</v>
      </c>
      <c r="BS25" s="9">
        <f>'8'!AT22</f>
        <v>0.59294760021909387</v>
      </c>
      <c r="BT25" s="9">
        <f t="shared" si="38"/>
        <v>0.46709663480115177</v>
      </c>
      <c r="BU25" s="9">
        <f t="shared" si="39"/>
        <v>0.49575605378664261</v>
      </c>
      <c r="BV25" s="9">
        <f>'1'!CU25</f>
        <v>0.44034859780562285</v>
      </c>
      <c r="BW25" s="9">
        <f>'1'!CW25</f>
        <v>0.52687641961853071</v>
      </c>
      <c r="BX25" s="9">
        <f>'2'!CU25</f>
        <v>0.45487016154575283</v>
      </c>
      <c r="BY25" s="9">
        <f>'2'!CW25</f>
        <v>0.6023071080501361</v>
      </c>
      <c r="BZ25" s="9">
        <f>'3'!AE25</f>
        <v>0.59797887241866676</v>
      </c>
      <c r="CA25" s="9">
        <f>'8'!AY22</f>
        <v>0.60706867801617315</v>
      </c>
      <c r="CB25" s="9">
        <f t="shared" si="40"/>
        <v>0.55486888808801849</v>
      </c>
      <c r="CC25" s="9">
        <f t="shared" si="41"/>
        <v>0.5869181471010384</v>
      </c>
      <c r="CD25" s="9">
        <f>'1'!DE25</f>
        <v>0.36847119782639448</v>
      </c>
      <c r="CE25" s="9">
        <f>'1'!DG25</f>
        <v>0.45210414471345112</v>
      </c>
      <c r="CF25" s="9">
        <f>'2'!DE25</f>
        <v>0.30120837912337806</v>
      </c>
      <c r="CG25" s="9">
        <f>'2'!DG25</f>
        <v>0.44110976263731555</v>
      </c>
      <c r="CH25" s="9">
        <f>'3'!AH25</f>
        <v>0.62624645091947895</v>
      </c>
      <c r="CI25" s="9">
        <f>'8'!BD22</f>
        <v>0.49961050950751129</v>
      </c>
      <c r="CJ25" s="9">
        <f t="shared" si="42"/>
        <v>0.50419681069766165</v>
      </c>
      <c r="CK25" s="9">
        <f t="shared" si="43"/>
        <v>0.53491353842646672</v>
      </c>
    </row>
    <row r="26" spans="1:89">
      <c r="A26" s="1">
        <v>1988</v>
      </c>
      <c r="B26" s="9">
        <f>'1'!I26</f>
        <v>0.38220464420613254</v>
      </c>
      <c r="C26" s="9">
        <f>'1'!K26</f>
        <v>0.46683234069243978</v>
      </c>
      <c r="D26" s="9">
        <f>'2'!I26</f>
        <v>0.25681141822596482</v>
      </c>
      <c r="E26" s="9">
        <f>'2'!K26</f>
        <v>0.38440747342014048</v>
      </c>
      <c r="F26" s="9">
        <f>'3'!D26</f>
        <v>0.69125665216367604</v>
      </c>
      <c r="G26" s="9">
        <f>'8'!F23</f>
        <v>0.61925908394818063</v>
      </c>
      <c r="H26" s="9">
        <f t="shared" si="22"/>
        <v>0.56440245671374756</v>
      </c>
      <c r="I26" s="9">
        <f t="shared" si="23"/>
        <v>0.59408760153042661</v>
      </c>
      <c r="J26" s="9">
        <f>'1'!S26</f>
        <v>0.25193918788364705</v>
      </c>
      <c r="K26" s="9">
        <f>'1'!U26</f>
        <v>0.3174777997500503</v>
      </c>
      <c r="L26" s="9">
        <f>'2'!S26</f>
        <v>0.20693463651034158</v>
      </c>
      <c r="M26" s="9">
        <f>'2'!U26</f>
        <v>0.31304024014941972</v>
      </c>
      <c r="N26" s="9">
        <f>'3'!G26</f>
        <v>0.51624936208937289</v>
      </c>
      <c r="O26" s="9">
        <f>'8'!K23</f>
        <v>0.54753425335997818</v>
      </c>
      <c r="P26" s="9">
        <f t="shared" si="24"/>
        <v>0.44184132207150617</v>
      </c>
      <c r="Q26" s="9">
        <f t="shared" si="25"/>
        <v>0.46555960480869463</v>
      </c>
      <c r="R26" s="9">
        <f>'1'!AC26</f>
        <v>0.33397498697491473</v>
      </c>
      <c r="S26" s="9">
        <f>'1'!AE26</f>
        <v>0.4141166626907824</v>
      </c>
      <c r="T26" s="9">
        <f>'2'!AC26</f>
        <v>0.11083898552922813</v>
      </c>
      <c r="U26" s="9">
        <f>'2'!AE26</f>
        <v>0.14317270736612667</v>
      </c>
      <c r="V26" s="9">
        <f>'3'!J26</f>
        <v>0.7155403952899908</v>
      </c>
      <c r="W26" s="9">
        <f>'8'!P23</f>
        <v>0.60217298270424291</v>
      </c>
      <c r="X26" s="9">
        <f t="shared" si="26"/>
        <v>0.54474694887517494</v>
      </c>
      <c r="Y26" s="9">
        <f t="shared" si="27"/>
        <v>0.56400865620203833</v>
      </c>
      <c r="Z26" s="9">
        <f>'1'!AM26</f>
        <v>0.37943724858124939</v>
      </c>
      <c r="AA26" s="9">
        <f>'1'!AO26</f>
        <v>0.46388200857076922</v>
      </c>
      <c r="AB26" s="9">
        <f>'2'!AM26</f>
        <v>0.17921775044155613</v>
      </c>
      <c r="AC26" s="9">
        <f>'2'!AO26</f>
        <v>0.2690794442246115</v>
      </c>
      <c r="AD26" s="9">
        <f>'3'!M26</f>
        <v>0.65029999299851959</v>
      </c>
      <c r="AE26" s="9">
        <f>'8'!U23</f>
        <v>0.61297022526581846</v>
      </c>
      <c r="AF26" s="9">
        <f t="shared" si="28"/>
        <v>0.53782028953955885</v>
      </c>
      <c r="AG26" s="9">
        <f t="shared" si="29"/>
        <v>0.56369541091576836</v>
      </c>
      <c r="AH26" s="9">
        <f>'1'!AW26</f>
        <v>0.28621764169728453</v>
      </c>
      <c r="AI26" s="9">
        <f>'1'!AY26</f>
        <v>0.35900704045733089</v>
      </c>
      <c r="AJ26" s="9">
        <f>'2'!AW26</f>
        <v>0.19006527403957815</v>
      </c>
      <c r="AK26" s="9">
        <f>'2'!AY26</f>
        <v>0.28669590926695893</v>
      </c>
      <c r="AL26" s="9">
        <f>'3'!P26</f>
        <v>0.60434979021422308</v>
      </c>
      <c r="AM26" s="9">
        <f>'8'!Z23</f>
        <v>0.53460147185274942</v>
      </c>
      <c r="AN26" s="9">
        <f t="shared" si="30"/>
        <v>0.47837041338492875</v>
      </c>
      <c r="AO26" s="9">
        <f t="shared" si="31"/>
        <v>0.50259135665967614</v>
      </c>
      <c r="AP26" s="9">
        <f>'1'!BG26</f>
        <v>0.31771903418119962</v>
      </c>
      <c r="AQ26" s="9">
        <f>'1'!BI26</f>
        <v>0.39569920509342049</v>
      </c>
      <c r="AR26" s="9">
        <f>'2'!BG26</f>
        <v>0.23453286793879127</v>
      </c>
      <c r="AS26" s="9">
        <f>'2'!BI26</f>
        <v>0.35364340934619526</v>
      </c>
      <c r="AT26" s="9">
        <f>'3'!S26</f>
        <v>0.64034289272744704</v>
      </c>
      <c r="AU26" s="9">
        <f>'8'!AE23</f>
        <v>0.5990670139551445</v>
      </c>
      <c r="AV26" s="9">
        <f t="shared" si="32"/>
        <v>0.52285435490764132</v>
      </c>
      <c r="AW26" s="9">
        <f t="shared" si="33"/>
        <v>0.55036144323082581</v>
      </c>
      <c r="AX26" s="9">
        <f>'1'!BQ26</f>
        <v>0.41123218682154333</v>
      </c>
      <c r="AY26" s="9">
        <f>'1'!BS26</f>
        <v>0.49726203253490137</v>
      </c>
      <c r="AZ26" s="9">
        <f>'2'!BQ26</f>
        <v>0.23234233433806753</v>
      </c>
      <c r="BA26" s="9">
        <f>'2'!BS26</f>
        <v>0.35052562901277851</v>
      </c>
      <c r="BB26" s="9">
        <f>'3'!V26</f>
        <v>0.80790183955726469</v>
      </c>
      <c r="BC26" s="9">
        <f>'8'!AJ23</f>
        <v>0.6638736091746168</v>
      </c>
      <c r="BD26" s="9">
        <f t="shared" si="34"/>
        <v>0.62780348937340635</v>
      </c>
      <c r="BE26" s="9">
        <f t="shared" si="35"/>
        <v>0.65682778798354902</v>
      </c>
      <c r="BF26" s="9">
        <f>'1'!CA26</f>
        <v>0.37378385421783744</v>
      </c>
      <c r="BG26" s="9">
        <f>'1'!CC26</f>
        <v>0.45782753310908764</v>
      </c>
      <c r="BH26" s="9">
        <f>'2'!CA26</f>
        <v>0.25599671444673244</v>
      </c>
      <c r="BI26" s="9">
        <f>'2'!CC26</f>
        <v>0.38331161935274838</v>
      </c>
      <c r="BJ26" s="9">
        <f>'3'!Y26</f>
        <v>0.62706523201492803</v>
      </c>
      <c r="BK26" s="9">
        <f>'8'!AO23</f>
        <v>0.64751783197723223</v>
      </c>
      <c r="BL26" s="9">
        <f t="shared" si="36"/>
        <v>0.54543788468738164</v>
      </c>
      <c r="BM26" s="9">
        <f t="shared" si="37"/>
        <v>0.5749781109562333</v>
      </c>
      <c r="BN26" s="9">
        <f>'1'!CK26</f>
        <v>0.2790427901229216</v>
      </c>
      <c r="BO26" s="9">
        <f>'1'!CM26</f>
        <v>0.35045700318236328</v>
      </c>
      <c r="BP26" s="9">
        <f>'2'!CK26</f>
        <v>0.36607072664653678</v>
      </c>
      <c r="BQ26" s="9">
        <f>'2'!CM26</f>
        <v>0.5148549772826535</v>
      </c>
      <c r="BR26" s="9">
        <f>'3'!AB26</f>
        <v>0.42519769129694535</v>
      </c>
      <c r="BS26" s="9">
        <f>'8'!AT23</f>
        <v>0.62869795976875997</v>
      </c>
      <c r="BT26" s="9">
        <f t="shared" si="38"/>
        <v>0.45110409513864413</v>
      </c>
      <c r="BU26" s="9">
        <f t="shared" si="39"/>
        <v>0.48026536281414417</v>
      </c>
      <c r="BV26" s="9">
        <f>'1'!CU26</f>
        <v>0.46737932974309893</v>
      </c>
      <c r="BW26" s="9">
        <f>'1'!CW26</f>
        <v>0.55360108026895893</v>
      </c>
      <c r="BX26" s="9">
        <f>'2'!CU26</f>
        <v>0.39898019819529273</v>
      </c>
      <c r="BY26" s="9">
        <f>'2'!CW26</f>
        <v>0.54887146221836502</v>
      </c>
      <c r="BZ26" s="9">
        <f>'3'!AE26</f>
        <v>0.68625117117684975</v>
      </c>
      <c r="CA26" s="9">
        <f>'8'!AY23</f>
        <v>0.61035946750140313</v>
      </c>
      <c r="CB26" s="9">
        <f t="shared" si="40"/>
        <v>0.59098219448930989</v>
      </c>
      <c r="CC26" s="9">
        <f t="shared" si="41"/>
        <v>0.6232156709967891</v>
      </c>
      <c r="CD26" s="9">
        <f>'1'!DE26</f>
        <v>0.40485237537592844</v>
      </c>
      <c r="CE26" s="9">
        <f>'1'!DG26</f>
        <v>0.49065350152635639</v>
      </c>
      <c r="CF26" s="9">
        <f>'2'!DE26</f>
        <v>0.32453860795380257</v>
      </c>
      <c r="CG26" s="9">
        <f>'2'!DG26</f>
        <v>0.46876190850731686</v>
      </c>
      <c r="CH26" s="9">
        <f>'3'!AH26</f>
        <v>0.7355727462304732</v>
      </c>
      <c r="CI26" s="9">
        <f>'8'!BD23</f>
        <v>0.57337011107653224</v>
      </c>
      <c r="CJ26" s="9">
        <f t="shared" si="42"/>
        <v>0.57966446768571489</v>
      </c>
      <c r="CK26" s="9">
        <f t="shared" si="43"/>
        <v>0.61124702297115197</v>
      </c>
    </row>
    <row r="27" spans="1:89">
      <c r="A27" s="1">
        <v>1989</v>
      </c>
      <c r="B27" s="9">
        <f>'1'!I27</f>
        <v>0.4057939045173144</v>
      </c>
      <c r="C27" s="9">
        <f>'1'!K27</f>
        <v>0.49163155418790633</v>
      </c>
      <c r="D27" s="9">
        <f>'2'!I27</f>
        <v>0.26094061492035886</v>
      </c>
      <c r="E27" s="9">
        <f>'2'!K27</f>
        <v>0.38992902634217386</v>
      </c>
      <c r="F27" s="9">
        <f>'3'!D27</f>
        <v>0.71080697727316267</v>
      </c>
      <c r="G27" s="9">
        <f>'8'!F24</f>
        <v>0.63674335810743921</v>
      </c>
      <c r="H27" s="9">
        <f t="shared" si="22"/>
        <v>0.58259864073699563</v>
      </c>
      <c r="I27" s="9">
        <f t="shared" si="23"/>
        <v>0.61266501181329547</v>
      </c>
      <c r="J27" s="9">
        <f>'1'!S27</f>
        <v>0.26839700876410905</v>
      </c>
      <c r="K27" s="9">
        <f>'1'!U27</f>
        <v>0.33763362821268933</v>
      </c>
      <c r="L27" s="9">
        <f>'2'!S27</f>
        <v>0.21645169179699814</v>
      </c>
      <c r="M27" s="9">
        <f>'2'!U27</f>
        <v>0.32737559751468881</v>
      </c>
      <c r="N27" s="9">
        <f>'3'!G27</f>
        <v>0.59032159403358042</v>
      </c>
      <c r="O27" s="9">
        <f>'8'!K24</f>
        <v>0.57273553184947601</v>
      </c>
      <c r="P27" s="9">
        <f t="shared" si="24"/>
        <v>0.48327386810079664</v>
      </c>
      <c r="Q27" s="9">
        <f t="shared" si="25"/>
        <v>0.50821358256228177</v>
      </c>
      <c r="R27" s="9">
        <f>'1'!AC27</f>
        <v>0.3652161508303452</v>
      </c>
      <c r="S27" s="9">
        <f>'1'!AE27</f>
        <v>0.44858108473608199</v>
      </c>
      <c r="T27" s="9">
        <f>'2'!AC27</f>
        <v>0.11601203213914742</v>
      </c>
      <c r="U27" s="9">
        <f>'2'!AE27</f>
        <v>0.15374856501357956</v>
      </c>
      <c r="V27" s="9">
        <f>'3'!J27</f>
        <v>0.6808433730215484</v>
      </c>
      <c r="W27" s="9">
        <f>'8'!P24</f>
        <v>0.56756375479130416</v>
      </c>
      <c r="X27" s="9">
        <f t="shared" si="26"/>
        <v>0.52725090902599436</v>
      </c>
      <c r="Y27" s="9">
        <f t="shared" si="27"/>
        <v>0.54769754909458501</v>
      </c>
      <c r="Z27" s="9">
        <f>'1'!AM27</f>
        <v>0.39852032734179016</v>
      </c>
      <c r="AA27" s="9">
        <f>'1'!AO27</f>
        <v>0.4840506919886467</v>
      </c>
      <c r="AB27" s="9">
        <f>'2'!AM27</f>
        <v>0.18621128840200088</v>
      </c>
      <c r="AC27" s="9">
        <f>'2'!AO27</f>
        <v>0.28050002664929236</v>
      </c>
      <c r="AD27" s="9">
        <f>'3'!M27</f>
        <v>0.63142892865918843</v>
      </c>
      <c r="AE27" s="9">
        <f>'8'!U24</f>
        <v>0.60699956353581452</v>
      </c>
      <c r="AF27" s="9">
        <f t="shared" si="28"/>
        <v>0.53299663483297788</v>
      </c>
      <c r="AG27" s="9">
        <f t="shared" si="29"/>
        <v>0.55953158158707827</v>
      </c>
      <c r="AH27" s="9">
        <f>'1'!AW27</f>
        <v>0.29134489863561314</v>
      </c>
      <c r="AI27" s="9">
        <f>'1'!AY27</f>
        <v>0.3650722598385841</v>
      </c>
      <c r="AJ27" s="9">
        <f>'2'!AW27</f>
        <v>0.20377737284441291</v>
      </c>
      <c r="AK27" s="9">
        <f>'2'!AY27</f>
        <v>0.30820261929125192</v>
      </c>
      <c r="AL27" s="9">
        <f>'3'!P27</f>
        <v>0.60799307150352921</v>
      </c>
      <c r="AM27" s="9">
        <f>'8'!Z24</f>
        <v>0.55229531282347089</v>
      </c>
      <c r="AN27" s="9">
        <f t="shared" si="30"/>
        <v>0.48753253946001684</v>
      </c>
      <c r="AO27" s="9">
        <f t="shared" si="31"/>
        <v>0.51272053634529491</v>
      </c>
      <c r="AP27" s="9">
        <f>'1'!BG27</f>
        <v>0.33355672811851089</v>
      </c>
      <c r="AQ27" s="9">
        <f>'1'!BI27</f>
        <v>0.41364704341124175</v>
      </c>
      <c r="AR27" s="9">
        <f>'2'!BG27</f>
        <v>0.23798653734463676</v>
      </c>
      <c r="AS27" s="9">
        <f>'2'!BI27</f>
        <v>0.35852415876078692</v>
      </c>
      <c r="AT27" s="9">
        <f>'3'!S27</f>
        <v>0.67821501763428393</v>
      </c>
      <c r="AU27" s="9">
        <f>'8'!AE24</f>
        <v>0.59789924921031101</v>
      </c>
      <c r="AV27" s="9">
        <f t="shared" si="32"/>
        <v>0.54116578117497272</v>
      </c>
      <c r="AW27" s="9">
        <f t="shared" si="33"/>
        <v>0.56923760637513388</v>
      </c>
      <c r="AX27" s="9">
        <f>'1'!BQ27</f>
        <v>0.43669180336965502</v>
      </c>
      <c r="AY27" s="9">
        <f>'1'!BS27</f>
        <v>0.52320519352616568</v>
      </c>
      <c r="AZ27" s="9">
        <f>'2'!BQ27</f>
        <v>0.23588131510733157</v>
      </c>
      <c r="BA27" s="9">
        <f>'2'!BS27</f>
        <v>0.35555408901032237</v>
      </c>
      <c r="BB27" s="9">
        <f>'3'!V27</f>
        <v>0.83602150537634412</v>
      </c>
      <c r="BC27" s="9">
        <f>'8'!AJ24</f>
        <v>0.69747434279663212</v>
      </c>
      <c r="BD27" s="9">
        <f t="shared" si="34"/>
        <v>0.6545773971741915</v>
      </c>
      <c r="BE27" s="9">
        <f t="shared" si="35"/>
        <v>0.68384735259579266</v>
      </c>
      <c r="BF27" s="9">
        <f>'1'!CA27</f>
        <v>0.39440459595715349</v>
      </c>
      <c r="BG27" s="9">
        <f>'1'!CC27</f>
        <v>0.47973531904171401</v>
      </c>
      <c r="BH27" s="9">
        <f>'2'!CA27</f>
        <v>0.26123046650381937</v>
      </c>
      <c r="BI27" s="9">
        <f>'2'!CC27</f>
        <v>0.39031458614509612</v>
      </c>
      <c r="BJ27" s="9">
        <f>'3'!Y27</f>
        <v>0.65031160166211155</v>
      </c>
      <c r="BK27" s="9">
        <f>'8'!AO24</f>
        <v>0.64093733488351723</v>
      </c>
      <c r="BL27" s="9">
        <f t="shared" si="36"/>
        <v>0.5574098069717125</v>
      </c>
      <c r="BM27" s="9">
        <f t="shared" si="37"/>
        <v>0.58738436355275225</v>
      </c>
      <c r="BN27" s="9">
        <f>'1'!CK27</f>
        <v>0.30907095838751047</v>
      </c>
      <c r="BO27" s="9">
        <f>'1'!CM27</f>
        <v>0.38576029574063031</v>
      </c>
      <c r="BP27" s="9">
        <f>'2'!CK27</f>
        <v>0.3792016768781894</v>
      </c>
      <c r="BQ27" s="9">
        <f>'2'!CM27</f>
        <v>0.52867534936337868</v>
      </c>
      <c r="BR27" s="9">
        <f>'3'!AB27</f>
        <v>0.43346439539493647</v>
      </c>
      <c r="BS27" s="9">
        <f>'8'!AT24</f>
        <v>0.61423236386551539</v>
      </c>
      <c r="BT27" s="9">
        <f t="shared" si="38"/>
        <v>0.45738982668295025</v>
      </c>
      <c r="BU27" s="9">
        <f t="shared" si="39"/>
        <v>0.48767506140209316</v>
      </c>
      <c r="BV27" s="9">
        <f>'1'!CU27</f>
        <v>0.49211481047097233</v>
      </c>
      <c r="BW27" s="9">
        <f>'1'!CW27</f>
        <v>0.57744215027449541</v>
      </c>
      <c r="BX27" s="9">
        <f>'2'!CU27</f>
        <v>0.40554578857723245</v>
      </c>
      <c r="BY27" s="9">
        <f>'2'!CW27</f>
        <v>0.55541843360755616</v>
      </c>
      <c r="BZ27" s="9">
        <f>'3'!AE27</f>
        <v>0.6003624805622706</v>
      </c>
      <c r="CA27" s="9">
        <f>'8'!AY24</f>
        <v>0.63231837364604648</v>
      </c>
      <c r="CB27" s="9">
        <f t="shared" si="40"/>
        <v>0.56881804527063995</v>
      </c>
      <c r="CC27" s="9">
        <f t="shared" si="41"/>
        <v>0.60087077773437692</v>
      </c>
      <c r="CD27" s="9">
        <f>'1'!DE27</f>
        <v>0.44374009541263632</v>
      </c>
      <c r="CE27" s="9">
        <f>'1'!DG27</f>
        <v>0.53026921928578119</v>
      </c>
      <c r="CF27" s="9">
        <f>'2'!DE27</f>
        <v>0.32999030546746566</v>
      </c>
      <c r="CG27" s="9">
        <f>'2'!DG27</f>
        <v>0.47503212104513537</v>
      </c>
      <c r="CH27" s="9">
        <f>'3'!AH27</f>
        <v>0.73103526914048256</v>
      </c>
      <c r="CI27" s="9">
        <f>'8'!BD24</f>
        <v>0.5839612976969929</v>
      </c>
      <c r="CJ27" s="9">
        <f t="shared" si="42"/>
        <v>0.58934954659456473</v>
      </c>
      <c r="CK27" s="9">
        <f t="shared" si="43"/>
        <v>0.62115955292696068</v>
      </c>
    </row>
    <row r="28" spans="1:89">
      <c r="A28" s="1">
        <v>1990</v>
      </c>
      <c r="B28" s="9">
        <f>'1'!I28</f>
        <v>0.41954931627629088</v>
      </c>
      <c r="C28" s="9">
        <f>'1'!K28</f>
        <v>0.50581185292627906</v>
      </c>
      <c r="D28" s="9">
        <f>'2'!I28</f>
        <v>0.27594805873625794</v>
      </c>
      <c r="E28" s="9">
        <f>'2'!K28</f>
        <v>0.40955228593080256</v>
      </c>
      <c r="F28" s="9">
        <f>'3'!D28</f>
        <v>0.64545797780615266</v>
      </c>
      <c r="G28" s="9">
        <f>'8'!F25</f>
        <v>0.62122446788902042</v>
      </c>
      <c r="H28" s="9">
        <f t="shared" si="22"/>
        <v>0.55605520061805114</v>
      </c>
      <c r="I28" s="9">
        <f t="shared" si="23"/>
        <v>0.58666813066750323</v>
      </c>
      <c r="J28" s="9">
        <f>'1'!S28</f>
        <v>0.26595320069704886</v>
      </c>
      <c r="K28" s="9">
        <f>'1'!U28</f>
        <v>0.33466643420425901</v>
      </c>
      <c r="L28" s="9">
        <f>'2'!S28</f>
        <v>0.22284073523676026</v>
      </c>
      <c r="M28" s="9">
        <f>'2'!U28</f>
        <v>0.3367982481503094</v>
      </c>
      <c r="N28" s="9">
        <f>'3'!G28</f>
        <v>0.46110468581983322</v>
      </c>
      <c r="O28" s="9">
        <f>'8'!K25</f>
        <v>0.53893481652752417</v>
      </c>
      <c r="P28" s="9">
        <f t="shared" si="24"/>
        <v>0.42159703294927642</v>
      </c>
      <c r="Q28" s="9">
        <f t="shared" si="25"/>
        <v>0.44673543094207335</v>
      </c>
      <c r="R28" s="9">
        <f>'1'!AC28</f>
        <v>0.38919860665377942</v>
      </c>
      <c r="S28" s="9">
        <f>'1'!AE28</f>
        <v>0.47424981601429822</v>
      </c>
      <c r="T28" s="9">
        <f>'2'!AC28</f>
        <v>0.1346357747444179</v>
      </c>
      <c r="U28" s="9">
        <f>'2'!AE28</f>
        <v>0.19025611005252005</v>
      </c>
      <c r="V28" s="9">
        <f>'3'!J28</f>
        <v>0.75161033134511135</v>
      </c>
      <c r="W28" s="9">
        <f>'8'!P25</f>
        <v>0.56776582622832605</v>
      </c>
      <c r="X28" s="9">
        <f t="shared" si="26"/>
        <v>0.56227717921174003</v>
      </c>
      <c r="Y28" s="9">
        <f t="shared" si="27"/>
        <v>0.5848494546146541</v>
      </c>
      <c r="Z28" s="9">
        <f>'1'!AM28</f>
        <v>0.41151360940395154</v>
      </c>
      <c r="AA28" s="9">
        <f>'1'!AO28</f>
        <v>0.49755253443318143</v>
      </c>
      <c r="AB28" s="9">
        <f>'2'!AM28</f>
        <v>0.20350055441485559</v>
      </c>
      <c r="AC28" s="9">
        <f>'2'!AO28</f>
        <v>0.30777648137840874</v>
      </c>
      <c r="AD28" s="9">
        <f>'3'!M28</f>
        <v>0.66856574250653356</v>
      </c>
      <c r="AE28" s="9">
        <f>'8'!U25</f>
        <v>0.60558532492647854</v>
      </c>
      <c r="AF28" s="9">
        <f t="shared" si="28"/>
        <v>0.55175467180283289</v>
      </c>
      <c r="AG28" s="9">
        <f t="shared" si="29"/>
        <v>0.57939004950503414</v>
      </c>
      <c r="AH28" s="9">
        <f>'1'!AW28</f>
        <v>0.30510195914057053</v>
      </c>
      <c r="AI28" s="9">
        <f>'1'!AY28</f>
        <v>0.38116537307452025</v>
      </c>
      <c r="AJ28" s="9">
        <f>'2'!AW28</f>
        <v>0.22081366862078933</v>
      </c>
      <c r="AK28" s="9">
        <f>'2'!AY28</f>
        <v>0.33382576923001522</v>
      </c>
      <c r="AL28" s="9">
        <f>'3'!P28</f>
        <v>0.60267945747334273</v>
      </c>
      <c r="AM28" s="9">
        <f>'8'!Z25</f>
        <v>0.54099621330364334</v>
      </c>
      <c r="AN28" s="9">
        <f t="shared" si="30"/>
        <v>0.48647240567062316</v>
      </c>
      <c r="AO28" s="9">
        <f t="shared" si="31"/>
        <v>0.51298629851833577</v>
      </c>
      <c r="AP28" s="9">
        <f>'1'!BG28</f>
        <v>0.34301383877430669</v>
      </c>
      <c r="AQ28" s="9">
        <f>'1'!BI28</f>
        <v>0.42421158962379857</v>
      </c>
      <c r="AR28" s="9">
        <f>'2'!BG28</f>
        <v>0.25049604463273756</v>
      </c>
      <c r="AS28" s="9">
        <f>'2'!BI28</f>
        <v>0.37585627103127062</v>
      </c>
      <c r="AT28" s="9">
        <f>'3'!S28</f>
        <v>0.62369589438233819</v>
      </c>
      <c r="AU28" s="9">
        <f>'8'!AE25</f>
        <v>0.58140773740134155</v>
      </c>
      <c r="AV28" s="9">
        <f t="shared" si="32"/>
        <v>0.51755305119147277</v>
      </c>
      <c r="AW28" s="9">
        <f t="shared" si="33"/>
        <v>0.54632862400122451</v>
      </c>
      <c r="AX28" s="9">
        <f>'1'!BQ28</f>
        <v>0.45243011087831597</v>
      </c>
      <c r="AY28" s="9">
        <f>'1'!BS28</f>
        <v>0.53891006027585775</v>
      </c>
      <c r="AZ28" s="9">
        <f>'2'!BQ28</f>
        <v>0.24671554015213698</v>
      </c>
      <c r="BA28" s="9">
        <f>'2'!BS28</f>
        <v>0.37067442793268368</v>
      </c>
      <c r="BB28" s="9">
        <f>'3'!V28</f>
        <v>0.76761546213142751</v>
      </c>
      <c r="BC28" s="9">
        <f>'8'!AJ25</f>
        <v>0.6585343809986316</v>
      </c>
      <c r="BD28" s="9">
        <f t="shared" si="34"/>
        <v>0.61976407534303735</v>
      </c>
      <c r="BE28" s="9">
        <f t="shared" si="35"/>
        <v>0.64945595400060041</v>
      </c>
      <c r="BF28" s="9">
        <f>'1'!CA28</f>
        <v>0.40798327837411341</v>
      </c>
      <c r="BG28" s="9">
        <f>'1'!CC28</f>
        <v>0.49390214198116716</v>
      </c>
      <c r="BH28" s="9">
        <f>'2'!CA28</f>
        <v>0.2734696952953013</v>
      </c>
      <c r="BI28" s="9">
        <f>'2'!CC28</f>
        <v>0.40635850005232971</v>
      </c>
      <c r="BJ28" s="9">
        <f>'3'!Y28</f>
        <v>0.57291631278966348</v>
      </c>
      <c r="BK28" s="9">
        <f>'8'!AO25</f>
        <v>0.62649739935408422</v>
      </c>
      <c r="BL28" s="9">
        <f t="shared" si="36"/>
        <v>0.52605937012644355</v>
      </c>
      <c r="BM28" s="9">
        <f t="shared" si="37"/>
        <v>0.55653202332355711</v>
      </c>
      <c r="BN28" s="9">
        <f>'1'!CK28</f>
        <v>0.32987400633150493</v>
      </c>
      <c r="BO28" s="9">
        <f>'1'!CM28</f>
        <v>0.40950248896455321</v>
      </c>
      <c r="BP28" s="9">
        <f>'2'!CK28</f>
        <v>0.38478753751752898</v>
      </c>
      <c r="BQ28" s="9">
        <f>'2'!CM28</f>
        <v>0.53445303503591934</v>
      </c>
      <c r="BR28" s="9">
        <f>'3'!AB28</f>
        <v>0.29210351024750231</v>
      </c>
      <c r="BS28" s="9">
        <f>'8'!AT25</f>
        <v>0.62364041484483168</v>
      </c>
      <c r="BT28" s="9">
        <f t="shared" si="38"/>
        <v>0.40838708357050435</v>
      </c>
      <c r="BU28" s="9">
        <f t="shared" si="39"/>
        <v>0.43927932984895302</v>
      </c>
      <c r="BV28" s="9">
        <f>'1'!CU28</f>
        <v>0.50040585534866278</v>
      </c>
      <c r="BW28" s="9">
        <f>'1'!CW28</f>
        <v>0.58530706934351107</v>
      </c>
      <c r="BX28" s="9">
        <f>'2'!CU28</f>
        <v>0.43747838995719013</v>
      </c>
      <c r="BY28" s="9">
        <f>'2'!CW28</f>
        <v>0.58621670582649699</v>
      </c>
      <c r="BZ28" s="9">
        <f>'3'!AE28</f>
        <v>0.65083129947882878</v>
      </c>
      <c r="CA28" s="9">
        <f>'8'!AY25</f>
        <v>0.62775261785905634</v>
      </c>
      <c r="CB28" s="9">
        <f t="shared" si="40"/>
        <v>0.59248731521469999</v>
      </c>
      <c r="CC28" s="9">
        <f t="shared" si="41"/>
        <v>0.62434138960060037</v>
      </c>
      <c r="CD28" s="9">
        <f>'1'!DE28</f>
        <v>0.46478946085388284</v>
      </c>
      <c r="CE28" s="9">
        <f>'1'!DG28</f>
        <v>0.55107144990116919</v>
      </c>
      <c r="CF28" s="9">
        <f>'2'!DE28</f>
        <v>0.34741394543150828</v>
      </c>
      <c r="CG28" s="9">
        <f>'2'!DG28</f>
        <v>0.49461538433347574</v>
      </c>
      <c r="CH28" s="9">
        <f>'3'!AH28</f>
        <v>0.55505879712382611</v>
      </c>
      <c r="CI28" s="9">
        <f>'8'!BD25</f>
        <v>0.61511979384135873</v>
      </c>
      <c r="CJ28" s="9">
        <f t="shared" si="42"/>
        <v>0.53425874371586546</v>
      </c>
      <c r="CK28" s="9">
        <f t="shared" si="43"/>
        <v>0.56623528541551948</v>
      </c>
    </row>
    <row r="29" spans="1:89">
      <c r="A29" s="1">
        <v>1991</v>
      </c>
      <c r="B29" s="9">
        <f>'1'!I29</f>
        <v>0.42347896147781944</v>
      </c>
      <c r="C29" s="9">
        <f>'1'!K29</f>
        <v>0.50982598751269381</v>
      </c>
      <c r="D29" s="9">
        <f>'2'!I29</f>
        <v>0.26829177037425173</v>
      </c>
      <c r="E29" s="9">
        <f>'2'!K29</f>
        <v>0.39962675296627276</v>
      </c>
      <c r="F29" s="9">
        <f>'3'!D29</f>
        <v>0.63719491025725805</v>
      </c>
      <c r="G29" s="9">
        <f>'8'!F26</f>
        <v>0.59521184035586427</v>
      </c>
      <c r="H29" s="9">
        <f t="shared" si="22"/>
        <v>0.54496648554265159</v>
      </c>
      <c r="I29" s="9">
        <f t="shared" si="23"/>
        <v>0.5753693890088285</v>
      </c>
      <c r="J29" s="9">
        <f>'1'!S29</f>
        <v>0.25729492876995846</v>
      </c>
      <c r="K29" s="9">
        <f>'1'!U29</f>
        <v>0.32408194160194553</v>
      </c>
      <c r="L29" s="9">
        <f>'2'!S29</f>
        <v>0.2210490981914463</v>
      </c>
      <c r="M29" s="9">
        <f>'2'!U29</f>
        <v>0.33417180947013297</v>
      </c>
      <c r="N29" s="9">
        <f>'3'!G29</f>
        <v>0.43431714951484063</v>
      </c>
      <c r="O29" s="9">
        <f>'8'!K26</f>
        <v>0.52949460664476289</v>
      </c>
      <c r="P29" s="9">
        <f t="shared" si="24"/>
        <v>0.40613913737250146</v>
      </c>
      <c r="Q29" s="9">
        <f t="shared" si="25"/>
        <v>0.43080881106676749</v>
      </c>
      <c r="R29" s="9">
        <f>'1'!AC29</f>
        <v>0.38675869167230209</v>
      </c>
      <c r="S29" s="9">
        <f>'1'!AE29</f>
        <v>0.47166843915060136</v>
      </c>
      <c r="T29" s="9">
        <f>'2'!AC29</f>
        <v>0.14111961569670195</v>
      </c>
      <c r="U29" s="9">
        <f>'2'!AE29</f>
        <v>0.20242960176491451</v>
      </c>
      <c r="V29" s="9">
        <f>'3'!J29</f>
        <v>0.67495944490489657</v>
      </c>
      <c r="W29" s="9">
        <f>'8'!P26</f>
        <v>0.52463646016435306</v>
      </c>
      <c r="X29" s="9">
        <f t="shared" si="26"/>
        <v>0.51883841591539515</v>
      </c>
      <c r="Y29" s="9">
        <f t="shared" si="27"/>
        <v>0.54195136401787625</v>
      </c>
      <c r="Z29" s="9">
        <f>'1'!AM29</f>
        <v>0.41201149475507004</v>
      </c>
      <c r="AA29" s="9">
        <f>'1'!AO29</f>
        <v>0.4980662746921381</v>
      </c>
      <c r="AB29" s="9">
        <f>'2'!AM29</f>
        <v>0.20133914249113</v>
      </c>
      <c r="AC29" s="9">
        <f>'2'!AO29</f>
        <v>0.30443802289380789</v>
      </c>
      <c r="AD29" s="9">
        <f>'3'!M29</f>
        <v>0.64761376904737034</v>
      </c>
      <c r="AE29" s="9">
        <f>'8'!U26</f>
        <v>0.59558428011923403</v>
      </c>
      <c r="AF29" s="9">
        <f t="shared" si="28"/>
        <v>0.5402570048548454</v>
      </c>
      <c r="AG29" s="9">
        <f t="shared" si="29"/>
        <v>0.56777784888252669</v>
      </c>
      <c r="AH29" s="9">
        <f>'1'!AW29</f>
        <v>0.30055364812503199</v>
      </c>
      <c r="AI29" s="9">
        <f>'1'!AY29</f>
        <v>0.37587351633102828</v>
      </c>
      <c r="AJ29" s="9">
        <f>'2'!AW29</f>
        <v>0.21579494180731787</v>
      </c>
      <c r="AK29" s="9">
        <f>'2'!AY29</f>
        <v>0.32639800259878127</v>
      </c>
      <c r="AL29" s="9">
        <f>'3'!P29</f>
        <v>0.58682349177296744</v>
      </c>
      <c r="AM29" s="9">
        <f>'8'!Z26</f>
        <v>0.53437452132880192</v>
      </c>
      <c r="AN29" s="9">
        <f t="shared" si="30"/>
        <v>0.47673197691356572</v>
      </c>
      <c r="AO29" s="9">
        <f t="shared" si="31"/>
        <v>0.50285625663391142</v>
      </c>
      <c r="AP29" s="9">
        <f>'1'!BG29</f>
        <v>0.33843250671196068</v>
      </c>
      <c r="AQ29" s="9">
        <f>'1'!BI29</f>
        <v>0.41910780653689617</v>
      </c>
      <c r="AR29" s="9">
        <f>'2'!BG29</f>
        <v>0.24956865636656225</v>
      </c>
      <c r="AS29" s="9">
        <f>'2'!BI29</f>
        <v>0.37458953674711948</v>
      </c>
      <c r="AT29" s="9">
        <f>'3'!S29</f>
        <v>0.59071152030593421</v>
      </c>
      <c r="AU29" s="9">
        <f>'8'!AE26</f>
        <v>0.58289172967857894</v>
      </c>
      <c r="AV29" s="9">
        <f t="shared" si="32"/>
        <v>0.50379549400499579</v>
      </c>
      <c r="AW29" s="9">
        <f t="shared" si="33"/>
        <v>0.53243264200803853</v>
      </c>
      <c r="AX29" s="9">
        <f>'1'!BQ29</f>
        <v>0.46399565381733415</v>
      </c>
      <c r="AY29" s="9">
        <f>'1'!BS29</f>
        <v>0.55029481490306265</v>
      </c>
      <c r="AZ29" s="9">
        <f>'2'!BQ29</f>
        <v>0.24716512928624149</v>
      </c>
      <c r="BA29" s="9">
        <f>'2'!BS29</f>
        <v>0.37129317634061199</v>
      </c>
      <c r="BB29" s="9">
        <f>'3'!V29</f>
        <v>0.73458745778748735</v>
      </c>
      <c r="BC29" s="9">
        <f>'8'!AJ26</f>
        <v>0.60297492938772468</v>
      </c>
      <c r="BD29" s="9">
        <f t="shared" si="34"/>
        <v>0.59224310562340332</v>
      </c>
      <c r="BE29" s="9">
        <f t="shared" si="35"/>
        <v>0.62191574254598614</v>
      </c>
      <c r="BF29" s="9">
        <f>'1'!CA29</f>
        <v>0.40417736884116567</v>
      </c>
      <c r="BG29" s="9">
        <f>'1'!CC29</f>
        <v>0.48995171729640158</v>
      </c>
      <c r="BH29" s="9">
        <f>'2'!CA29</f>
        <v>0.27125868851480334</v>
      </c>
      <c r="BI29" s="9">
        <f>'2'!CC29</f>
        <v>0.4034938553668016</v>
      </c>
      <c r="BJ29" s="9">
        <f>'3'!Y29</f>
        <v>0.58764372083075722</v>
      </c>
      <c r="BK29" s="9">
        <f>'8'!AO26</f>
        <v>0.632029212950592</v>
      </c>
      <c r="BL29" s="9">
        <f t="shared" si="36"/>
        <v>0.53262759483719391</v>
      </c>
      <c r="BM29" s="9">
        <f t="shared" si="37"/>
        <v>0.56300598121344092</v>
      </c>
      <c r="BN29" s="9">
        <f>'1'!CK29</f>
        <v>0.32360921333398046</v>
      </c>
      <c r="BO29" s="9">
        <f>'1'!CM29</f>
        <v>0.4024120915925874</v>
      </c>
      <c r="BP29" s="9">
        <f>'2'!CK29</f>
        <v>0.36045562696262606</v>
      </c>
      <c r="BQ29" s="9">
        <f>'2'!CM29</f>
        <v>0.50883977231619104</v>
      </c>
      <c r="BR29" s="9">
        <f>'3'!AB29</f>
        <v>0.36252118094290631</v>
      </c>
      <c r="BS29" s="9">
        <f>'8'!AT26</f>
        <v>0.60556234615905191</v>
      </c>
      <c r="BT29" s="9">
        <f t="shared" si="38"/>
        <v>0.4274445815879368</v>
      </c>
      <c r="BU29" s="9">
        <f t="shared" si="39"/>
        <v>0.45804357177501476</v>
      </c>
      <c r="BV29" s="9">
        <f>'1'!CU29</f>
        <v>0.48322988937001005</v>
      </c>
      <c r="BW29" s="9">
        <f>'1'!CW29</f>
        <v>0.56894419073197522</v>
      </c>
      <c r="BX29" s="9">
        <f>'2'!CU29</f>
        <v>0.3768181812967567</v>
      </c>
      <c r="BY29" s="9">
        <f>'2'!CW29</f>
        <v>0.5261918147673359</v>
      </c>
      <c r="BZ29" s="9">
        <f>'3'!AE29</f>
        <v>0.63713172001569063</v>
      </c>
      <c r="CA29" s="9">
        <f>'8'!AY26</f>
        <v>0.60591115098469772</v>
      </c>
      <c r="CB29" s="9">
        <f t="shared" si="40"/>
        <v>0.57095382930536331</v>
      </c>
      <c r="CC29" s="9">
        <f t="shared" si="41"/>
        <v>0.60303405292481427</v>
      </c>
      <c r="CD29" s="9">
        <f>'1'!DE29</f>
        <v>0.48688943795566952</v>
      </c>
      <c r="CE29" s="9">
        <f>'1'!DG29</f>
        <v>0.57245316428606252</v>
      </c>
      <c r="CF29" s="9">
        <f>'2'!DE29</f>
        <v>0.33295891415461165</v>
      </c>
      <c r="CG29" s="9">
        <f>'2'!DG29</f>
        <v>0.47841725730705104</v>
      </c>
      <c r="CH29" s="9">
        <f>'3'!AH29</f>
        <v>0.67062420404927625</v>
      </c>
      <c r="CI29" s="9">
        <f>'8'!BD26</f>
        <v>0.60730254761094293</v>
      </c>
      <c r="CJ29" s="9">
        <f t="shared" si="42"/>
        <v>0.58111422490958842</v>
      </c>
      <c r="CK29" s="9">
        <f t="shared" si="43"/>
        <v>0.61277280449091098</v>
      </c>
    </row>
    <row r="30" spans="1:89">
      <c r="A30" s="1">
        <v>1992</v>
      </c>
      <c r="B30" s="9">
        <f>'1'!I30</f>
        <v>0.44639853153233605</v>
      </c>
      <c r="C30" s="9">
        <f>'1'!K30</f>
        <v>0.53292059939094782</v>
      </c>
      <c r="D30" s="9">
        <f>'2'!I30</f>
        <v>0.26547490353597075</v>
      </c>
      <c r="E30" s="9">
        <f>'2'!K30</f>
        <v>0.39593045057602927</v>
      </c>
      <c r="F30" s="9">
        <f>'3'!D30</f>
        <v>0.62715689884919212</v>
      </c>
      <c r="G30" s="9">
        <f>'8'!F27</f>
        <v>0.57962823395007501</v>
      </c>
      <c r="H30" s="9">
        <f t="shared" si="22"/>
        <v>0.54057842638476361</v>
      </c>
      <c r="I30" s="9">
        <f t="shared" si="23"/>
        <v>0.57092839466049183</v>
      </c>
      <c r="J30" s="9">
        <f>'1'!S30</f>
        <v>0.26830211607008103</v>
      </c>
      <c r="K30" s="9">
        <f>'1'!U30</f>
        <v>0.33751857773647254</v>
      </c>
      <c r="L30" s="9">
        <f>'2'!S30</f>
        <v>0.22355036374478418</v>
      </c>
      <c r="M30" s="9">
        <f>'2'!U30</f>
        <v>0.33783514089959171</v>
      </c>
      <c r="N30" s="9">
        <f>'3'!G30</f>
        <v>0.34585350336552034</v>
      </c>
      <c r="O30" s="9">
        <f>'8'!K27</f>
        <v>0.49362253565600994</v>
      </c>
      <c r="P30" s="9">
        <f t="shared" si="24"/>
        <v>0.36244362163150579</v>
      </c>
      <c r="Q30" s="9">
        <f t="shared" si="25"/>
        <v>0.38771539168026481</v>
      </c>
      <c r="R30" s="9">
        <f>'1'!AC30</f>
        <v>0.43687803884460563</v>
      </c>
      <c r="S30" s="9">
        <f>'1'!AE30</f>
        <v>0.52339249219491157</v>
      </c>
      <c r="T30" s="9">
        <f>'2'!AC30</f>
        <v>0.14794380348655806</v>
      </c>
      <c r="U30" s="9">
        <f>'2'!AE30</f>
        <v>0.21496364528294823</v>
      </c>
      <c r="V30" s="9">
        <f>'3'!J30</f>
        <v>0.74553104897601818</v>
      </c>
      <c r="W30" s="9">
        <f>'8'!P27</f>
        <v>0.49858929792596746</v>
      </c>
      <c r="X30" s="9">
        <f t="shared" si="26"/>
        <v>0.54995919708577445</v>
      </c>
      <c r="Y30" s="9">
        <f t="shared" si="27"/>
        <v>0.57396407193547461</v>
      </c>
      <c r="Z30" s="9">
        <f>'1'!AM30</f>
        <v>0.44574648722445809</v>
      </c>
      <c r="AA30" s="9">
        <f>'1'!AO30</f>
        <v>0.53227094033616607</v>
      </c>
      <c r="AB30" s="9">
        <f>'2'!AM30</f>
        <v>0.194832323392721</v>
      </c>
      <c r="AC30" s="9">
        <f>'2'!AO30</f>
        <v>0.29426641794668418</v>
      </c>
      <c r="AD30" s="9">
        <f>'3'!M30</f>
        <v>0.63830888011204023</v>
      </c>
      <c r="AE30" s="9">
        <f>'8'!U27</f>
        <v>0.56965718810900967</v>
      </c>
      <c r="AF30" s="9">
        <f t="shared" si="28"/>
        <v>0.53485323826168274</v>
      </c>
      <c r="AG30" s="9">
        <f t="shared" si="29"/>
        <v>0.56210153833942067</v>
      </c>
      <c r="AH30" s="9">
        <f>'1'!AW30</f>
        <v>0.31204363893246867</v>
      </c>
      <c r="AI30" s="9">
        <f>'1'!AY30</f>
        <v>0.38918791197566505</v>
      </c>
      <c r="AJ30" s="9">
        <f>'2'!AW30</f>
        <v>0.20855263742318508</v>
      </c>
      <c r="AK30" s="9">
        <f>'2'!AY30</f>
        <v>0.31550333529239349</v>
      </c>
      <c r="AL30" s="9">
        <f>'3'!P30</f>
        <v>0.59230475321299347</v>
      </c>
      <c r="AM30" s="9">
        <f>'8'!Z27</f>
        <v>0.4910447342571862</v>
      </c>
      <c r="AN30" s="9">
        <f t="shared" si="30"/>
        <v>0.46749931309116555</v>
      </c>
      <c r="AO30" s="9">
        <f t="shared" si="31"/>
        <v>0.49362323748672565</v>
      </c>
      <c r="AP30" s="9">
        <f>'1'!BG30</f>
        <v>0.36085866877954903</v>
      </c>
      <c r="AQ30" s="9">
        <f>'1'!BI30</f>
        <v>0.44384517646333493</v>
      </c>
      <c r="AR30" s="9">
        <f>'2'!BG30</f>
        <v>0.25004559047027025</v>
      </c>
      <c r="AS30" s="9">
        <f>'2'!BI30</f>
        <v>0.37524134500601219</v>
      </c>
      <c r="AT30" s="9">
        <f>'3'!S30</f>
        <v>0.6354163298489901</v>
      </c>
      <c r="AU30" s="9">
        <f>'8'!AE27</f>
        <v>0.55761749356146095</v>
      </c>
      <c r="AV30" s="9">
        <f t="shared" si="32"/>
        <v>0.51862807281097112</v>
      </c>
      <c r="AW30" s="9">
        <f t="shared" si="33"/>
        <v>0.54774494980130251</v>
      </c>
      <c r="AX30" s="9">
        <f>'1'!BQ30</f>
        <v>0.49398113478618055</v>
      </c>
      <c r="AY30" s="9">
        <f>'1'!BS30</f>
        <v>0.57921799101619342</v>
      </c>
      <c r="AZ30" s="9">
        <f>'2'!BQ30</f>
        <v>0.24566092614168619</v>
      </c>
      <c r="BA30" s="9">
        <f>'2'!BS30</f>
        <v>0.36922033468123983</v>
      </c>
      <c r="BB30" s="9">
        <f>'3'!V30</f>
        <v>0.72365974009415523</v>
      </c>
      <c r="BC30" s="9">
        <f>'8'!AJ27</f>
        <v>0.60046455070826243</v>
      </c>
      <c r="BD30" s="9">
        <f t="shared" si="34"/>
        <v>0.5929655808215456</v>
      </c>
      <c r="BE30" s="9">
        <f t="shared" si="35"/>
        <v>0.62236889292150355</v>
      </c>
      <c r="BF30" s="9">
        <f>'1'!CA30</f>
        <v>0.41966602307329459</v>
      </c>
      <c r="BG30" s="9">
        <f>'1'!CC30</f>
        <v>0.50593130295506805</v>
      </c>
      <c r="BH30" s="9">
        <f>'2'!CA30</f>
        <v>0.26959247663949737</v>
      </c>
      <c r="BI30" s="9">
        <f>'2'!CC30</f>
        <v>0.401325377917851</v>
      </c>
      <c r="BJ30" s="9">
        <f>'3'!Y30</f>
        <v>0.53989358851529268</v>
      </c>
      <c r="BK30" s="9">
        <f>'8'!AO27</f>
        <v>0.59987441853187051</v>
      </c>
      <c r="BL30" s="9">
        <f t="shared" si="36"/>
        <v>0.50681221324428694</v>
      </c>
      <c r="BM30" s="9">
        <f t="shared" si="37"/>
        <v>0.53723855934847697</v>
      </c>
      <c r="BN30" s="9">
        <f>'1'!CK30</f>
        <v>0.33253479081719994</v>
      </c>
      <c r="BO30" s="9">
        <f>'1'!CM30</f>
        <v>0.4124986818938004</v>
      </c>
      <c r="BP30" s="9">
        <f>'2'!CK30</f>
        <v>0.36150648813285241</v>
      </c>
      <c r="BQ30" s="9">
        <f>'2'!CM30</f>
        <v>0.50997041850630109</v>
      </c>
      <c r="BR30" s="9">
        <f>'3'!AB30</f>
        <v>0.3630023954156939</v>
      </c>
      <c r="BS30" s="9">
        <f>'8'!AT27</f>
        <v>0.59526614259891708</v>
      </c>
      <c r="BT30" s="9">
        <f t="shared" si="38"/>
        <v>0.42643840792267795</v>
      </c>
      <c r="BU30" s="9">
        <f t="shared" si="39"/>
        <v>0.45727757917534284</v>
      </c>
      <c r="BV30" s="9">
        <f>'1'!CU30</f>
        <v>0.49304559250598951</v>
      </c>
      <c r="BW30" s="9">
        <f>'1'!CW30</f>
        <v>0.57832820268152496</v>
      </c>
      <c r="BX30" s="9">
        <f>'2'!CU30</f>
        <v>0.37524340184243815</v>
      </c>
      <c r="BY30" s="9">
        <f>'2'!CW30</f>
        <v>0.52454490053017433</v>
      </c>
      <c r="BZ30" s="9">
        <f>'3'!AE30</f>
        <v>0.50524267219712382</v>
      </c>
      <c r="CA30" s="9">
        <f>'8'!AY27</f>
        <v>0.59325404162897366</v>
      </c>
      <c r="CB30" s="9">
        <f t="shared" si="40"/>
        <v>0.51620674005298339</v>
      </c>
      <c r="CC30" s="9">
        <f t="shared" si="41"/>
        <v>0.54819341195686411</v>
      </c>
      <c r="CD30" s="9">
        <f>'1'!DE30</f>
        <v>0.51299539769274249</v>
      </c>
      <c r="CE30" s="9">
        <f>'1'!DG30</f>
        <v>0.59713176930746903</v>
      </c>
      <c r="CF30" s="9">
        <f>'2'!DE30</f>
        <v>0.31680111586390736</v>
      </c>
      <c r="CG30" s="9">
        <f>'2'!DG30</f>
        <v>0.45974092695928764</v>
      </c>
      <c r="CH30" s="9">
        <f>'3'!AH30</f>
        <v>0.61668801046372801</v>
      </c>
      <c r="CI30" s="9">
        <f>'8'!BD27</f>
        <v>0.5902072315786091</v>
      </c>
      <c r="CJ30" s="9">
        <f t="shared" si="42"/>
        <v>0.55801656478401318</v>
      </c>
      <c r="CK30" s="9">
        <f t="shared" si="43"/>
        <v>0.58913782021649652</v>
      </c>
    </row>
    <row r="31" spans="1:89">
      <c r="A31" s="1">
        <v>1993</v>
      </c>
      <c r="B31" s="9">
        <f>'1'!I31</f>
        <v>0.45409767595013772</v>
      </c>
      <c r="C31" s="9">
        <f>'1'!K31</f>
        <v>0.54055962930496426</v>
      </c>
      <c r="D31" s="9">
        <f>'2'!I31</f>
        <v>0.26425017342839102</v>
      </c>
      <c r="E31" s="9">
        <f>'2'!K31</f>
        <v>0.39431574509612249</v>
      </c>
      <c r="F31" s="9">
        <f>'3'!D31</f>
        <v>0.63523635395519973</v>
      </c>
      <c r="G31" s="9">
        <f>'8'!F28</f>
        <v>0.56590126225754278</v>
      </c>
      <c r="H31" s="9">
        <f t="shared" si="22"/>
        <v>0.54110947279220933</v>
      </c>
      <c r="I31" s="9">
        <f t="shared" si="23"/>
        <v>0.57140842062994779</v>
      </c>
      <c r="J31" s="9">
        <f>'1'!S31</f>
        <v>0.26815036630862493</v>
      </c>
      <c r="K31" s="9">
        <f>'1'!U31</f>
        <v>0.33733456451675609</v>
      </c>
      <c r="L31" s="9">
        <f>'2'!S31</f>
        <v>0.22244543142849407</v>
      </c>
      <c r="M31" s="9">
        <f>'2'!U31</f>
        <v>0.33621980901703125</v>
      </c>
      <c r="N31" s="9">
        <f>'3'!G31</f>
        <v>0.45028668456028575</v>
      </c>
      <c r="O31" s="9">
        <f>'8'!K28</f>
        <v>0.49308792931566037</v>
      </c>
      <c r="P31" s="9">
        <f t="shared" si="24"/>
        <v>0.40391566902338683</v>
      </c>
      <c r="Q31" s="9">
        <f t="shared" si="25"/>
        <v>0.42912994642386676</v>
      </c>
      <c r="R31" s="9">
        <f>'1'!AC31</f>
        <v>0.30279743633291778</v>
      </c>
      <c r="S31" s="9">
        <f>'1'!AE31</f>
        <v>0.37848763574191696</v>
      </c>
      <c r="T31" s="9">
        <f>'2'!AC31</f>
        <v>0.15662747461210255</v>
      </c>
      <c r="U31" s="9">
        <f>'2'!AE31</f>
        <v>0.23051937688026572</v>
      </c>
      <c r="V31" s="9">
        <f>'3'!J31</f>
        <v>0.8339066440361137</v>
      </c>
      <c r="W31" s="9">
        <f>'8'!P28</f>
        <v>0.52230814874021436</v>
      </c>
      <c r="X31" s="9">
        <f t="shared" si="26"/>
        <v>0.56647733696430358</v>
      </c>
      <c r="Y31" s="9">
        <f t="shared" si="27"/>
        <v>0.58900456707291982</v>
      </c>
      <c r="Z31" s="9">
        <f>'1'!AM31</f>
        <v>0.46562080291503388</v>
      </c>
      <c r="AA31" s="9">
        <f>'1'!AO31</f>
        <v>0.55188415764578735</v>
      </c>
      <c r="AB31" s="9">
        <f>'2'!AM31</f>
        <v>0.19201023935816144</v>
      </c>
      <c r="AC31" s="9">
        <f>'2'!AO31</f>
        <v>0.28979701157361537</v>
      </c>
      <c r="AD31" s="9">
        <f>'3'!M31</f>
        <v>0.6299583065402049</v>
      </c>
      <c r="AE31" s="9">
        <f>'8'!U28</f>
        <v>0.53524784643989676</v>
      </c>
      <c r="AF31" s="9">
        <f t="shared" si="28"/>
        <v>0.52488286106687398</v>
      </c>
      <c r="AG31" s="9">
        <f t="shared" si="29"/>
        <v>0.55191420923457002</v>
      </c>
      <c r="AH31" s="9">
        <f>'1'!AW31</f>
        <v>0.32731999924413729</v>
      </c>
      <c r="AI31" s="9">
        <f>'1'!AY31</f>
        <v>0.40661800938417841</v>
      </c>
      <c r="AJ31" s="9">
        <f>'2'!AW31</f>
        <v>0.20001778841048812</v>
      </c>
      <c r="AK31" s="9">
        <f>'2'!AY31</f>
        <v>0.30238728878210164</v>
      </c>
      <c r="AL31" s="9">
        <f>'3'!P31</f>
        <v>0.57621448806619058</v>
      </c>
      <c r="AM31" s="9">
        <f>'8'!Z28</f>
        <v>0.50104280956289671</v>
      </c>
      <c r="AN31" s="9">
        <f t="shared" si="30"/>
        <v>0.46626441678522157</v>
      </c>
      <c r="AO31" s="9">
        <f t="shared" si="31"/>
        <v>0.49236096885039116</v>
      </c>
      <c r="AP31" s="9">
        <f>'1'!BG31</f>
        <v>0.36818067300640384</v>
      </c>
      <c r="AQ31" s="9">
        <f>'1'!BI31</f>
        <v>0.45179020601573178</v>
      </c>
      <c r="AR31" s="9">
        <f>'2'!BG31</f>
        <v>0.2491520854682657</v>
      </c>
      <c r="AS31" s="9">
        <f>'2'!BI31</f>
        <v>0.37401960578641658</v>
      </c>
      <c r="AT31" s="9">
        <f>'3'!S31</f>
        <v>0.58534402376911077</v>
      </c>
      <c r="AU31" s="9">
        <f>'8'!AE28</f>
        <v>0.53153495894987612</v>
      </c>
      <c r="AV31" s="9">
        <f t="shared" si="32"/>
        <v>0.49214944034071451</v>
      </c>
      <c r="AW31" s="9">
        <f t="shared" si="33"/>
        <v>0.52135809897439511</v>
      </c>
      <c r="AX31" s="9">
        <f>'1'!BQ31</f>
        <v>0.5005129155213297</v>
      </c>
      <c r="AY31" s="9">
        <f>'1'!BS31</f>
        <v>0.58540822099919088</v>
      </c>
      <c r="AZ31" s="9">
        <f>'2'!BQ31</f>
        <v>0.243171096495473</v>
      </c>
      <c r="BA31" s="9">
        <f>'2'!BS31</f>
        <v>0.36577238459546418</v>
      </c>
      <c r="BB31" s="9">
        <f>'3'!V31</f>
        <v>0.74324817823536315</v>
      </c>
      <c r="BC31" s="9">
        <f>'8'!AJ28</f>
        <v>0.5772941800331689</v>
      </c>
      <c r="BD31" s="9">
        <f t="shared" si="34"/>
        <v>0.59490721805790925</v>
      </c>
      <c r="BE31" s="9">
        <f t="shared" si="35"/>
        <v>0.62414640796348053</v>
      </c>
      <c r="BF31" s="9">
        <f>'1'!CA31</f>
        <v>0.42460178446498964</v>
      </c>
      <c r="BG31" s="9">
        <f>'1'!CC31</f>
        <v>0.51096997899795027</v>
      </c>
      <c r="BH31" s="9">
        <f>'2'!CA31</f>
        <v>0.26590867524211659</v>
      </c>
      <c r="BI31" s="9">
        <f>'2'!CC31</f>
        <v>0.39650123253664799</v>
      </c>
      <c r="BJ31" s="9">
        <f>'3'!Y31</f>
        <v>0.54619709284578843</v>
      </c>
      <c r="BK31" s="9">
        <f>'8'!AO28</f>
        <v>0.60608164859423674</v>
      </c>
      <c r="BL31" s="9">
        <f t="shared" si="36"/>
        <v>0.51181455613379601</v>
      </c>
      <c r="BM31" s="9">
        <f t="shared" si="37"/>
        <v>0.54214745076984128</v>
      </c>
      <c r="BN31" s="9">
        <f>'1'!CK31</f>
        <v>0.34608927812798596</v>
      </c>
      <c r="BO31" s="9">
        <f>'1'!CM31</f>
        <v>0.42762310050225699</v>
      </c>
      <c r="BP31" s="9">
        <f>'2'!CK31</f>
        <v>0.35023220259348753</v>
      </c>
      <c r="BQ31" s="9">
        <f>'2'!CM31</f>
        <v>0.49771984508541045</v>
      </c>
      <c r="BR31" s="9">
        <f>'3'!AB31</f>
        <v>0.4641391072665747</v>
      </c>
      <c r="BS31" s="9">
        <f>'8'!AT28</f>
        <v>0.57729079215344181</v>
      </c>
      <c r="BT31" s="9">
        <f t="shared" si="38"/>
        <v>0.46308395643760836</v>
      </c>
      <c r="BU31" s="9">
        <f t="shared" si="39"/>
        <v>0.49413948516165485</v>
      </c>
      <c r="BV31" s="9">
        <f>'1'!CU31</f>
        <v>0.50344067261904746</v>
      </c>
      <c r="BW31" s="9">
        <f>'1'!CW31</f>
        <v>0.58817041478917642</v>
      </c>
      <c r="BX31" s="9">
        <f>'2'!CU31</f>
        <v>0.38468220772343198</v>
      </c>
      <c r="BY31" s="9">
        <f>'2'!CW31</f>
        <v>0.53434463548665134</v>
      </c>
      <c r="BZ31" s="9">
        <f>'3'!AE31</f>
        <v>0.59819387818298819</v>
      </c>
      <c r="CA31" s="9">
        <f>'8'!AY28</f>
        <v>0.60999278863482242</v>
      </c>
      <c r="CB31" s="9">
        <f t="shared" si="40"/>
        <v>0.56143174315979461</v>
      </c>
      <c r="CC31" s="9">
        <f t="shared" si="41"/>
        <v>0.59334393437014232</v>
      </c>
      <c r="CD31" s="9">
        <f>'1'!DE31</f>
        <v>0.51830455403552589</v>
      </c>
      <c r="CE31" s="9">
        <f>'1'!DG31</f>
        <v>0.60207650040421556</v>
      </c>
      <c r="CF31" s="9">
        <f>'2'!DE31</f>
        <v>0.31277812030136992</v>
      </c>
      <c r="CG31" s="9">
        <f>'2'!DG31</f>
        <v>0.45499278005316973</v>
      </c>
      <c r="CH31" s="9">
        <f>'3'!AH31</f>
        <v>0.62813183103279413</v>
      </c>
      <c r="CI31" s="9">
        <f>'8'!BD28</f>
        <v>0.59283549408205594</v>
      </c>
      <c r="CJ31" s="9">
        <f t="shared" si="42"/>
        <v>0.56404210347497663</v>
      </c>
      <c r="CK31" s="9">
        <f t="shared" si="43"/>
        <v>0.59501795872389462</v>
      </c>
    </row>
    <row r="32" spans="1:89">
      <c r="A32" s="1">
        <v>1994</v>
      </c>
      <c r="B32" s="9">
        <f>'1'!I32</f>
        <v>0.4707879554041452</v>
      </c>
      <c r="C32" s="9">
        <f>'1'!K32</f>
        <v>0.55692063711279405</v>
      </c>
      <c r="D32" s="9">
        <f>'2'!I32</f>
        <v>0.27042889032161399</v>
      </c>
      <c r="E32" s="9">
        <f>'2'!K32</f>
        <v>0.40241496684723144</v>
      </c>
      <c r="F32" s="9">
        <f>'3'!D32</f>
        <v>0.63273304343063508</v>
      </c>
      <c r="G32" s="9">
        <f>'8'!F29</f>
        <v>0.57065555282292912</v>
      </c>
      <c r="H32" s="9">
        <f t="shared" si="22"/>
        <v>0.5454903633321232</v>
      </c>
      <c r="I32" s="9">
        <f t="shared" si="23"/>
        <v>0.57591550732641472</v>
      </c>
      <c r="J32" s="9">
        <f>'1'!S32</f>
        <v>0.27757566852670645</v>
      </c>
      <c r="K32" s="9">
        <f>'1'!U32</f>
        <v>0.34869958431502579</v>
      </c>
      <c r="L32" s="9">
        <f>'2'!S32</f>
        <v>0.23795497044475625</v>
      </c>
      <c r="M32" s="9">
        <f>'2'!U32</f>
        <v>0.35847973950800688</v>
      </c>
      <c r="N32" s="9">
        <f>'3'!G32</f>
        <v>0.44964490021771963</v>
      </c>
      <c r="O32" s="9">
        <f>'8'!K29</f>
        <v>0.4896761657912887</v>
      </c>
      <c r="P32" s="9">
        <f t="shared" si="24"/>
        <v>0.4060714405742914</v>
      </c>
      <c r="Q32" s="9">
        <f t="shared" si="25"/>
        <v>0.43234870063828029</v>
      </c>
      <c r="R32" s="9">
        <f>'1'!AC32</f>
        <v>0.31711266141564254</v>
      </c>
      <c r="S32" s="9">
        <f>'1'!AE32</f>
        <v>0.3950055555866237</v>
      </c>
      <c r="T32" s="9">
        <f>'2'!AC32</f>
        <v>0.159852292631428</v>
      </c>
      <c r="U32" s="9">
        <f>'2'!AE32</f>
        <v>0.2361883876511662</v>
      </c>
      <c r="V32" s="9">
        <f>'3'!J32</f>
        <v>0.87321690760793291</v>
      </c>
      <c r="W32" s="9">
        <f>'8'!P29</f>
        <v>0.49830843866634822</v>
      </c>
      <c r="X32" s="9">
        <f t="shared" si="26"/>
        <v>0.57818705618934896</v>
      </c>
      <c r="Y32" s="9">
        <f t="shared" si="27"/>
        <v>0.60139924452551907</v>
      </c>
      <c r="Z32" s="9">
        <f>'1'!AM32</f>
        <v>0.4650720912873213</v>
      </c>
      <c r="AA32" s="9">
        <f>'1'!AO32</f>
        <v>0.55134781983976899</v>
      </c>
      <c r="AB32" s="9">
        <f>'2'!AM32</f>
        <v>0.193130370726005</v>
      </c>
      <c r="AC32" s="9">
        <f>'2'!AO32</f>
        <v>0.29157524658436618</v>
      </c>
      <c r="AD32" s="9">
        <f>'3'!M32</f>
        <v>0.54544220100820917</v>
      </c>
      <c r="AE32" s="9">
        <f>'8'!U29</f>
        <v>0.53913920021720529</v>
      </c>
      <c r="AF32" s="9">
        <f t="shared" si="28"/>
        <v>0.49224609579850997</v>
      </c>
      <c r="AG32" s="9">
        <f t="shared" si="29"/>
        <v>0.51934572909483567</v>
      </c>
      <c r="AH32" s="9">
        <f>'1'!AW32</f>
        <v>0.33489440688660105</v>
      </c>
      <c r="AI32" s="9">
        <f>'1'!AY32</f>
        <v>0.41514820386383555</v>
      </c>
      <c r="AJ32" s="9">
        <f>'2'!AW32</f>
        <v>0.20508401775922594</v>
      </c>
      <c r="AK32" s="9">
        <f>'2'!AY32</f>
        <v>0.31020973685296338</v>
      </c>
      <c r="AL32" s="9">
        <f>'3'!P32</f>
        <v>0.50823481147919769</v>
      </c>
      <c r="AM32" s="9">
        <f>'8'!Z29</f>
        <v>0.49459121718787813</v>
      </c>
      <c r="AN32" s="9">
        <f t="shared" si="30"/>
        <v>0.43915857290128535</v>
      </c>
      <c r="AO32" s="9">
        <f t="shared" si="31"/>
        <v>0.46572190420610593</v>
      </c>
      <c r="AP32" s="9">
        <f>'1'!BG32</f>
        <v>0.38804205042598833</v>
      </c>
      <c r="AQ32" s="9">
        <f>'1'!BI32</f>
        <v>0.47302704079429336</v>
      </c>
      <c r="AR32" s="9">
        <f>'2'!BG32</f>
        <v>0.25435065921878725</v>
      </c>
      <c r="AS32" s="9">
        <f>'2'!BI32</f>
        <v>0.38109098008790504</v>
      </c>
      <c r="AT32" s="9">
        <f>'3'!S32</f>
        <v>0.58162708363694771</v>
      </c>
      <c r="AU32" s="9">
        <f>'8'!AE29</f>
        <v>0.54493310600669875</v>
      </c>
      <c r="AV32" s="9">
        <f t="shared" si="32"/>
        <v>0.49917424126386511</v>
      </c>
      <c r="AW32" s="9">
        <f t="shared" si="33"/>
        <v>0.52884527142443793</v>
      </c>
      <c r="AX32" s="9">
        <f>'1'!BQ32</f>
        <v>0.52297506604949962</v>
      </c>
      <c r="AY32" s="9">
        <f>'1'!BS32</f>
        <v>0.60640616987633811</v>
      </c>
      <c r="AZ32" s="9">
        <f>'2'!BQ32</f>
        <v>0.24746453953453088</v>
      </c>
      <c r="BA32" s="9">
        <f>'2'!BS32</f>
        <v>0.37170486320153934</v>
      </c>
      <c r="BB32" s="9">
        <f>'3'!V32</f>
        <v>0.72691778850627997</v>
      </c>
      <c r="BC32" s="9">
        <f>'8'!AJ29</f>
        <v>0.58469736231893121</v>
      </c>
      <c r="BD32" s="9">
        <f t="shared" si="34"/>
        <v>0.59551779126154436</v>
      </c>
      <c r="BE32" s="9">
        <f t="shared" si="35"/>
        <v>0.62462804439361286</v>
      </c>
      <c r="BF32" s="9">
        <f>'1'!CA32</f>
        <v>0.43994270390035312</v>
      </c>
      <c r="BG32" s="9">
        <f>'1'!CC32</f>
        <v>0.52646959250537551</v>
      </c>
      <c r="BH32" s="9">
        <f>'2'!CA32</f>
        <v>0.27010946210724635</v>
      </c>
      <c r="BI32" s="9">
        <f>'2'!CC32</f>
        <v>0.40199909962318942</v>
      </c>
      <c r="BJ32" s="9">
        <f>'3'!Y32</f>
        <v>0.57094678442814573</v>
      </c>
      <c r="BK32" s="9">
        <f>'8'!AO29</f>
        <v>0.57696097822295522</v>
      </c>
      <c r="BL32" s="9">
        <f t="shared" si="36"/>
        <v>0.51646649422894009</v>
      </c>
      <c r="BM32" s="9">
        <f t="shared" si="37"/>
        <v>0.54696083570153897</v>
      </c>
      <c r="BN32" s="9">
        <f>'1'!CK32</f>
        <v>0.35565706530771451</v>
      </c>
      <c r="BO32" s="9">
        <f>'1'!CM32</f>
        <v>0.43816212077215844</v>
      </c>
      <c r="BP32" s="9">
        <f>'2'!CK32</f>
        <v>0.37509014852380773</v>
      </c>
      <c r="BQ32" s="9">
        <f>'2'!CM32</f>
        <v>0.52438436937811017</v>
      </c>
      <c r="BR32" s="9">
        <f>'3'!AB32</f>
        <v>0.47567945449753046</v>
      </c>
      <c r="BS32" s="9">
        <f>'8'!AT29</f>
        <v>0.56447507635919492</v>
      </c>
      <c r="BT32" s="9">
        <f t="shared" si="38"/>
        <v>0.46825473262069434</v>
      </c>
      <c r="BU32" s="9">
        <f t="shared" si="39"/>
        <v>0.4996851657990134</v>
      </c>
      <c r="BV32" s="9">
        <f>'1'!CU32</f>
        <v>0.51245994212043267</v>
      </c>
      <c r="BW32" s="9">
        <f>'1'!CW32</f>
        <v>0.59663169899833968</v>
      </c>
      <c r="BX32" s="9">
        <f>'2'!CU32</f>
        <v>0.39162633030657706</v>
      </c>
      <c r="BY32" s="9">
        <f>'2'!CW32</f>
        <v>0.54144678386396772</v>
      </c>
      <c r="BZ32" s="9">
        <f>'3'!AE32</f>
        <v>0.64712447843980414</v>
      </c>
      <c r="CA32" s="9">
        <f>'8'!AY29</f>
        <v>0.59275983333368854</v>
      </c>
      <c r="CB32" s="9">
        <f t="shared" si="40"/>
        <v>0.5783323628307725</v>
      </c>
      <c r="CC32" s="9">
        <f t="shared" si="41"/>
        <v>0.61014875956209291</v>
      </c>
      <c r="CD32" s="9">
        <f>'1'!DE32</f>
        <v>0.53677516123955482</v>
      </c>
      <c r="CE32" s="9">
        <f>'1'!DG32</f>
        <v>0.6190900240328312</v>
      </c>
      <c r="CF32" s="9">
        <f>'2'!DE32</f>
        <v>0.32091156878904892</v>
      </c>
      <c r="CG32" s="9">
        <f>'2'!DG32</f>
        <v>0.46455123352515948</v>
      </c>
      <c r="CH32" s="9">
        <f>'3'!AH32</f>
        <v>0.61995105184944088</v>
      </c>
      <c r="CI32" s="9">
        <f>'8'!BD29</f>
        <v>0.60947598398953118</v>
      </c>
      <c r="CJ32" s="9">
        <f t="shared" si="42"/>
        <v>0.57026940506345158</v>
      </c>
      <c r="CK32" s="9">
        <f t="shared" si="43"/>
        <v>0.60109634409571788</v>
      </c>
    </row>
    <row r="33" spans="1:89">
      <c r="A33" s="1">
        <v>1995</v>
      </c>
      <c r="B33" s="9">
        <f>'1'!I33</f>
        <v>0.48340105029325475</v>
      </c>
      <c r="C33" s="9">
        <f>'1'!K33</f>
        <v>0.569108585660834</v>
      </c>
      <c r="D33" s="9">
        <f>'2'!I33</f>
        <v>0.27966740692347536</v>
      </c>
      <c r="E33" s="9">
        <f>'2'!K33</f>
        <v>0.41431150251897209</v>
      </c>
      <c r="F33" s="9">
        <f>'3'!D33</f>
        <v>0.61180974212230088</v>
      </c>
      <c r="G33" s="9">
        <f>'8'!F30</f>
        <v>0.57648328337656674</v>
      </c>
      <c r="H33" s="9">
        <f t="shared" si="22"/>
        <v>0.54231583261288896</v>
      </c>
      <c r="I33" s="9">
        <f t="shared" si="23"/>
        <v>0.5729217492459544</v>
      </c>
      <c r="J33" s="9">
        <f>'1'!S33</f>
        <v>0.2894416490761122</v>
      </c>
      <c r="K33" s="9">
        <f>'1'!U33</f>
        <v>0.36282515537337584</v>
      </c>
      <c r="L33" s="9">
        <f>'2'!S33</f>
        <v>0.26199034358642942</v>
      </c>
      <c r="M33" s="9">
        <f>'2'!U33</f>
        <v>0.39132411929185407</v>
      </c>
      <c r="N33" s="9">
        <f>'3'!G33</f>
        <v>0.38154979440299513</v>
      </c>
      <c r="O33" s="9">
        <f>'8'!K30</f>
        <v>0.50241019118959662</v>
      </c>
      <c r="P33" s="9">
        <f t="shared" si="24"/>
        <v>0.38743033929194248</v>
      </c>
      <c r="Q33" s="9">
        <f t="shared" si="25"/>
        <v>0.41504041812193759</v>
      </c>
      <c r="R33" s="9">
        <f>'1'!AC33</f>
        <v>0.32331548031576229</v>
      </c>
      <c r="S33" s="9">
        <f>'1'!AE33</f>
        <v>0.40207840392982003</v>
      </c>
      <c r="T33" s="9">
        <f>'2'!AC33</f>
        <v>0.1673345311087519</v>
      </c>
      <c r="U33" s="9">
        <f>'2'!AE33</f>
        <v>0.24912558318234432</v>
      </c>
      <c r="V33" s="9">
        <f>'3'!J33</f>
        <v>0.7597872992252922</v>
      </c>
      <c r="W33" s="9">
        <f>'8'!P30</f>
        <v>0.48897618508319179</v>
      </c>
      <c r="X33" s="9">
        <f t="shared" si="26"/>
        <v>0.53200432438910217</v>
      </c>
      <c r="Y33" s="9">
        <f t="shared" si="27"/>
        <v>0.55593601431927286</v>
      </c>
      <c r="Z33" s="9">
        <f>'1'!AM33</f>
        <v>0.48317739461380826</v>
      </c>
      <c r="AA33" s="9">
        <f>'1'!AO33</f>
        <v>0.56889376564326399</v>
      </c>
      <c r="AB33" s="9">
        <f>'2'!AM33</f>
        <v>0.2034849870365717</v>
      </c>
      <c r="AC33" s="9">
        <f>'2'!AO33</f>
        <v>0.30775250715782881</v>
      </c>
      <c r="AD33" s="9">
        <f>'3'!M33</f>
        <v>0.56626617126782153</v>
      </c>
      <c r="AE33" s="9">
        <f>'8'!U30</f>
        <v>0.55250687169514012</v>
      </c>
      <c r="AF33" s="9">
        <f t="shared" si="28"/>
        <v>0.50924250764208945</v>
      </c>
      <c r="AG33" s="9">
        <f t="shared" si="29"/>
        <v>0.5368125338601063</v>
      </c>
      <c r="AH33" s="9">
        <f>'1'!AW33</f>
        <v>0.34730560175309128</v>
      </c>
      <c r="AI33" s="9">
        <f>'1'!AY33</f>
        <v>0.4289691130490545</v>
      </c>
      <c r="AJ33" s="9">
        <f>'2'!AW33</f>
        <v>0.22997667222976872</v>
      </c>
      <c r="AK33" s="9">
        <f>'2'!AY33</f>
        <v>0.34713905794311578</v>
      </c>
      <c r="AL33" s="9">
        <f>'3'!P33</f>
        <v>0.54404786736483879</v>
      </c>
      <c r="AM33" s="9">
        <f>'8'!Z30</f>
        <v>0.5521510346434777</v>
      </c>
      <c r="AN33" s="9">
        <f t="shared" si="30"/>
        <v>0.47572324491257401</v>
      </c>
      <c r="AO33" s="9">
        <f t="shared" si="31"/>
        <v>0.50377218574310134</v>
      </c>
      <c r="AP33" s="9">
        <f>'1'!BG33</f>
        <v>0.39794716737729335</v>
      </c>
      <c r="AQ33" s="9">
        <f>'1'!BI33</f>
        <v>0.48345085198639953</v>
      </c>
      <c r="AR33" s="9">
        <f>'2'!BG33</f>
        <v>0.26904836663429765</v>
      </c>
      <c r="AS33" s="9">
        <f>'2'!BI33</f>
        <v>0.4006154352384701</v>
      </c>
      <c r="AT33" s="9">
        <f>'3'!S33</f>
        <v>0.52285638512347121</v>
      </c>
      <c r="AU33" s="9">
        <f>'8'!AE30</f>
        <v>0.55292205112947079</v>
      </c>
      <c r="AV33" s="9">
        <f t="shared" si="32"/>
        <v>0.48151343952711817</v>
      </c>
      <c r="AW33" s="9">
        <f t="shared" si="33"/>
        <v>0.51177088330935661</v>
      </c>
      <c r="AX33" s="9">
        <f>'1'!BQ33</f>
        <v>0.54030514795659623</v>
      </c>
      <c r="AY33" s="9">
        <f>'1'!BS33</f>
        <v>0.62230864127688046</v>
      </c>
      <c r="AZ33" s="9">
        <f>'2'!BQ33</f>
        <v>0.25363037668895105</v>
      </c>
      <c r="BA33" s="9">
        <f>'2'!BS33</f>
        <v>0.38011650514278272</v>
      </c>
      <c r="BB33" s="9">
        <f>'3'!V33</f>
        <v>0.72105009171460044</v>
      </c>
      <c r="BC33" s="9">
        <f>'8'!AJ30</f>
        <v>0.57225957579920972</v>
      </c>
      <c r="BD33" s="9">
        <f t="shared" si="34"/>
        <v>0.59352197668581741</v>
      </c>
      <c r="BE33" s="9">
        <f t="shared" si="35"/>
        <v>0.62257128819525742</v>
      </c>
      <c r="BF33" s="9">
        <f>'1'!CA33</f>
        <v>0.44973709011830881</v>
      </c>
      <c r="BG33" s="9">
        <f>'1'!CC33</f>
        <v>0.53624030558155589</v>
      </c>
      <c r="BH33" s="9">
        <f>'2'!CA33</f>
        <v>0.27912860320331073</v>
      </c>
      <c r="BI33" s="9">
        <f>'2'!CC33</f>
        <v>0.41362454832942447</v>
      </c>
      <c r="BJ33" s="9">
        <f>'3'!Y33</f>
        <v>0.66890068781806122</v>
      </c>
      <c r="BK33" s="9">
        <f>'8'!AO30</f>
        <v>0.61776678300884746</v>
      </c>
      <c r="BL33" s="9">
        <f t="shared" si="36"/>
        <v>0.5707505883738716</v>
      </c>
      <c r="BM33" s="9">
        <f t="shared" si="37"/>
        <v>0.60150082597913235</v>
      </c>
      <c r="BN33" s="9">
        <f>'1'!CK33</f>
        <v>0.36306438150549847</v>
      </c>
      <c r="BO33" s="9">
        <f>'1'!CM33</f>
        <v>0.44624526602323328</v>
      </c>
      <c r="BP33" s="9">
        <f>'2'!CK33</f>
        <v>0.39553219627414382</v>
      </c>
      <c r="BQ33" s="9">
        <f>'2'!CM33</f>
        <v>0.54540246382124913</v>
      </c>
      <c r="BR33" s="9">
        <f>'3'!AB33</f>
        <v>0.41795982269324999</v>
      </c>
      <c r="BS33" s="9">
        <f>'8'!AT30</f>
        <v>0.57402368115939839</v>
      </c>
      <c r="BT33" s="9">
        <f t="shared" si="38"/>
        <v>0.45155712935363357</v>
      </c>
      <c r="BU33" s="9">
        <f t="shared" si="39"/>
        <v>0.48318033301189112</v>
      </c>
      <c r="BV33" s="9">
        <f>'1'!CU33</f>
        <v>0.52296322516338223</v>
      </c>
      <c r="BW33" s="9">
        <f>'1'!CW33</f>
        <v>0.60639521693160514</v>
      </c>
      <c r="BX33" s="9">
        <f>'2'!CU33</f>
        <v>0.38173085177549065</v>
      </c>
      <c r="BY33" s="9">
        <f>'2'!CW33</f>
        <v>0.53129873651375392</v>
      </c>
      <c r="BZ33" s="9">
        <f>'3'!AE33</f>
        <v>0.64330489941391744</v>
      </c>
      <c r="CA33" s="9">
        <f>'8'!AY30</f>
        <v>0.6062359103649001</v>
      </c>
      <c r="CB33" s="9">
        <f t="shared" si="40"/>
        <v>0.58195846308526256</v>
      </c>
      <c r="CC33" s="9">
        <f t="shared" si="41"/>
        <v>0.61360164991273347</v>
      </c>
      <c r="CD33" s="9">
        <f>'1'!DE33</f>
        <v>0.5397287013939136</v>
      </c>
      <c r="CE33" s="9">
        <f>'1'!DG33</f>
        <v>0.62178375313904111</v>
      </c>
      <c r="CF33" s="9">
        <f>'2'!DE33</f>
        <v>0.33306173062269906</v>
      </c>
      <c r="CG33" s="9">
        <f>'2'!DG33</f>
        <v>0.47853413565276404</v>
      </c>
      <c r="CH33" s="9">
        <f>'3'!AH33</f>
        <v>0.60381251296966498</v>
      </c>
      <c r="CI33" s="9">
        <f>'8'!BD30</f>
        <v>0.6316327898228431</v>
      </c>
      <c r="CJ33" s="9">
        <f t="shared" si="42"/>
        <v>0.57226675547577155</v>
      </c>
      <c r="CK33" s="9">
        <f t="shared" si="43"/>
        <v>0.60322500632780363</v>
      </c>
    </row>
    <row r="34" spans="1:89">
      <c r="A34" s="1">
        <v>1996</v>
      </c>
      <c r="B34" s="9">
        <f>'1'!I34</f>
        <v>0.49807269871500515</v>
      </c>
      <c r="C34" s="9">
        <f>'1'!K34</f>
        <v>0.58310011512600657</v>
      </c>
      <c r="D34" s="9">
        <f>'2'!I34</f>
        <v>0.29092897677022855</v>
      </c>
      <c r="E34" s="9">
        <f>'2'!K34</f>
        <v>0.42848076277984837</v>
      </c>
      <c r="F34" s="9">
        <f>'3'!D34</f>
        <v>0.55444102066259571</v>
      </c>
      <c r="G34" s="9">
        <f>'8'!F31</f>
        <v>0.56373686210282115</v>
      </c>
      <c r="H34" s="9">
        <f t="shared" si="22"/>
        <v>0.51960490431590856</v>
      </c>
      <c r="I34" s="9">
        <f t="shared" si="23"/>
        <v>0.55036556619907084</v>
      </c>
      <c r="J34" s="9">
        <f>'1'!S34</f>
        <v>0.29832970321722241</v>
      </c>
      <c r="K34" s="9">
        <f>'1'!U34</f>
        <v>0.37327571037274943</v>
      </c>
      <c r="L34" s="9">
        <f>'2'!S34</f>
        <v>0.27306820372706886</v>
      </c>
      <c r="M34" s="9">
        <f>'2'!U34</f>
        <v>0.40583939922634049</v>
      </c>
      <c r="N34" s="9">
        <f>'3'!G34</f>
        <v>0.3630737741339457</v>
      </c>
      <c r="O34" s="9">
        <f>'8'!K31</f>
        <v>0.49818143832306133</v>
      </c>
      <c r="P34" s="9">
        <f t="shared" si="24"/>
        <v>0.38165670216664804</v>
      </c>
      <c r="Q34" s="9">
        <f t="shared" si="25"/>
        <v>0.40992302314768059</v>
      </c>
      <c r="R34" s="9">
        <f>'1'!AC34</f>
        <v>0.34776052329327711</v>
      </c>
      <c r="S34" s="9">
        <f>'1'!AE34</f>
        <v>0.42947207181633518</v>
      </c>
      <c r="T34" s="9">
        <f>'2'!AC34</f>
        <v>0.17325125730859611</v>
      </c>
      <c r="U34" s="9">
        <f>'2'!AE34</f>
        <v>0.25914924472040052</v>
      </c>
      <c r="V34" s="9">
        <f>'3'!J34</f>
        <v>0.7285334273823153</v>
      </c>
      <c r="W34" s="9">
        <f>'8'!P31</f>
        <v>0.4779630287941774</v>
      </c>
      <c r="X34" s="9">
        <f t="shared" si="26"/>
        <v>0.52167950998069434</v>
      </c>
      <c r="Y34" s="9">
        <f t="shared" si="27"/>
        <v>0.54661161842648642</v>
      </c>
      <c r="Z34" s="9">
        <f>'1'!AM34</f>
        <v>0.47756329188992874</v>
      </c>
      <c r="AA34" s="9">
        <f>'1'!AO34</f>
        <v>0.563486179167483</v>
      </c>
      <c r="AB34" s="9">
        <f>'2'!AM34</f>
        <v>0.2076882057813666</v>
      </c>
      <c r="AC34" s="9">
        <f>'2'!AO34</f>
        <v>0.3141887469551024</v>
      </c>
      <c r="AD34" s="9">
        <f>'3'!M34</f>
        <v>0.49720139253500784</v>
      </c>
      <c r="AE34" s="9">
        <f>'8'!U31</f>
        <v>0.53104065709669301</v>
      </c>
      <c r="AF34" s="9">
        <f t="shared" si="28"/>
        <v>0.47447423309913345</v>
      </c>
      <c r="AG34" s="9">
        <f t="shared" si="29"/>
        <v>0.50230886467201796</v>
      </c>
      <c r="AH34" s="9">
        <f>'1'!AW34</f>
        <v>0.35902531597675047</v>
      </c>
      <c r="AI34" s="9">
        <f>'1'!AY34</f>
        <v>0.44184583892681822</v>
      </c>
      <c r="AJ34" s="9">
        <f>'2'!AW34</f>
        <v>0.24507566642408657</v>
      </c>
      <c r="AK34" s="9">
        <f>'2'!AY34</f>
        <v>0.36841175786582819</v>
      </c>
      <c r="AL34" s="9">
        <f>'3'!P34</f>
        <v>0.56109865164481953</v>
      </c>
      <c r="AM34" s="9">
        <f>'8'!Z31</f>
        <v>0.5520371486035125</v>
      </c>
      <c r="AN34" s="9">
        <f t="shared" si="30"/>
        <v>0.48636323507674034</v>
      </c>
      <c r="AO34" s="9">
        <f t="shared" si="31"/>
        <v>0.5152609488109281</v>
      </c>
      <c r="AP34" s="9">
        <f>'1'!BG34</f>
        <v>0.42021762001627372</v>
      </c>
      <c r="AQ34" s="9">
        <f>'1'!BI34</f>
        <v>0.50649567110699223</v>
      </c>
      <c r="AR34" s="9">
        <f>'2'!BG34</f>
        <v>0.27957372057277452</v>
      </c>
      <c r="AS34" s="9">
        <f>'2'!BI34</f>
        <v>0.4141921162597928</v>
      </c>
      <c r="AT34" s="9">
        <f>'3'!S34</f>
        <v>0.54786011088036246</v>
      </c>
      <c r="AU34" s="9">
        <f>'8'!AE31</f>
        <v>0.5498272395477658</v>
      </c>
      <c r="AV34" s="9">
        <f t="shared" si="32"/>
        <v>0.49609311227700692</v>
      </c>
      <c r="AW34" s="9">
        <f t="shared" si="33"/>
        <v>0.52681056206385246</v>
      </c>
      <c r="AX34" s="9">
        <f>'1'!BQ34</f>
        <v>0.55118973271723748</v>
      </c>
      <c r="AY34" s="9">
        <f>'1'!BS34</f>
        <v>0.63216798954013642</v>
      </c>
      <c r="AZ34" s="9">
        <f>'2'!BQ34</f>
        <v>0.25952948205783533</v>
      </c>
      <c r="BA34" s="9">
        <f>'2'!BS34</f>
        <v>0.38804815503215284</v>
      </c>
      <c r="BB34" s="9">
        <f>'3'!V34</f>
        <v>0.61022297095522682</v>
      </c>
      <c r="BC34" s="9">
        <f>'8'!AJ31</f>
        <v>0.54762996686903498</v>
      </c>
      <c r="BD34" s="9">
        <f t="shared" si="34"/>
        <v>0.54456907319203229</v>
      </c>
      <c r="BE34" s="9">
        <f t="shared" si="35"/>
        <v>0.57361659185404379</v>
      </c>
      <c r="BF34" s="9">
        <f>'1'!CA34</f>
        <v>0.46273097696448295</v>
      </c>
      <c r="BG34" s="9">
        <f>'1'!CC34</f>
        <v>0.54905624075376624</v>
      </c>
      <c r="BH34" s="9">
        <f>'2'!CA34</f>
        <v>0.2833063571434738</v>
      </c>
      <c r="BI34" s="9">
        <f>'2'!CC34</f>
        <v>0.41892917853665568</v>
      </c>
      <c r="BJ34" s="9">
        <f>'3'!Y34</f>
        <v>0.59241350433855122</v>
      </c>
      <c r="BK34" s="9">
        <f>'8'!AO31</f>
        <v>0.58486053795548831</v>
      </c>
      <c r="BL34" s="9">
        <f t="shared" si="36"/>
        <v>0.53330039422931097</v>
      </c>
      <c r="BM34" s="9">
        <f t="shared" si="37"/>
        <v>0.56412772912648579</v>
      </c>
      <c r="BN34" s="9">
        <f>'1'!CK34</f>
        <v>0.37772546104340987</v>
      </c>
      <c r="BO34" s="9">
        <f>'1'!CM34</f>
        <v>0.46205266927177635</v>
      </c>
      <c r="BP34" s="9">
        <f>'2'!CK34</f>
        <v>0.39726459152482069</v>
      </c>
      <c r="BQ34" s="9">
        <f>'2'!CM34</f>
        <v>0.54714808366108758</v>
      </c>
      <c r="BR34" s="9">
        <f>'3'!AB34</f>
        <v>0.46234355490891876</v>
      </c>
      <c r="BS34" s="9">
        <f>'8'!AT31</f>
        <v>0.59153306605404543</v>
      </c>
      <c r="BT34" s="9">
        <f t="shared" si="38"/>
        <v>0.47766889314094518</v>
      </c>
      <c r="BU34" s="9">
        <f t="shared" si="39"/>
        <v>0.50952268400024514</v>
      </c>
      <c r="BV34" s="9">
        <f>'1'!CU34</f>
        <v>0.53599961616756442</v>
      </c>
      <c r="BW34" s="9">
        <f>'1'!CW34</f>
        <v>0.6183814882192753</v>
      </c>
      <c r="BX34" s="9">
        <f>'2'!CU34</f>
        <v>0.42315713441968528</v>
      </c>
      <c r="BY34" s="9">
        <f>'2'!CW34</f>
        <v>0.57261239575265821</v>
      </c>
      <c r="BZ34" s="9">
        <f>'3'!AE34</f>
        <v>0.57518452083121474</v>
      </c>
      <c r="CA34" s="9">
        <f>'8'!AY31</f>
        <v>0.61972737869565075</v>
      </c>
      <c r="CB34" s="9">
        <f t="shared" si="40"/>
        <v>0.56550765861666252</v>
      </c>
      <c r="CC34" s="9">
        <f t="shared" si="41"/>
        <v>0.59692955916030199</v>
      </c>
      <c r="CD34" s="9">
        <f>'1'!DE34</f>
        <v>0.56183546143676799</v>
      </c>
      <c r="CE34" s="9">
        <f>'1'!DG34</f>
        <v>0.64171725328522589</v>
      </c>
      <c r="CF34" s="9">
        <f>'2'!DE34</f>
        <v>0.34720763513546604</v>
      </c>
      <c r="CG34" s="9">
        <f>'2'!DG34</f>
        <v>0.49438744777848498</v>
      </c>
      <c r="CH34" s="9">
        <f>'3'!AH34</f>
        <v>0.51395296039029437</v>
      </c>
      <c r="CI34" s="9">
        <f>'8'!BD31</f>
        <v>0.60974369887350299</v>
      </c>
      <c r="CJ34" s="9">
        <f t="shared" si="42"/>
        <v>0.53559214961906876</v>
      </c>
      <c r="CK34" s="9">
        <f t="shared" si="43"/>
        <v>0.56628648925306235</v>
      </c>
    </row>
    <row r="35" spans="1:89">
      <c r="A35" s="1">
        <v>1997</v>
      </c>
      <c r="B35" s="9">
        <f>'1'!I35</f>
        <v>0.52409770210052486</v>
      </c>
      <c r="C35" s="9">
        <f>'1'!K35</f>
        <v>0.6074440720427291</v>
      </c>
      <c r="D35" s="9">
        <f>'2'!I35</f>
        <v>0.30185091473476916</v>
      </c>
      <c r="E35" s="9">
        <f>'2'!K35</f>
        <v>0.44188982405547639</v>
      </c>
      <c r="F35" s="9">
        <f>'3'!D35</f>
        <v>0.52192430097487674</v>
      </c>
      <c r="G35" s="9">
        <f>'8'!F32</f>
        <v>0.56279919499675102</v>
      </c>
      <c r="H35" s="9">
        <f t="shared" si="22"/>
        <v>0.51261411078255792</v>
      </c>
      <c r="I35" s="9">
        <f t="shared" si="23"/>
        <v>0.54328727570306945</v>
      </c>
      <c r="J35" s="9">
        <f>'1'!S35</f>
        <v>0.31298798306272024</v>
      </c>
      <c r="K35" s="9">
        <f>'1'!U35</f>
        <v>0.39027430719058248</v>
      </c>
      <c r="L35" s="9">
        <f>'2'!S35</f>
        <v>0.28937920209203533</v>
      </c>
      <c r="M35" s="9">
        <f>'2'!U35</f>
        <v>0.42655190223942346</v>
      </c>
      <c r="N35" s="9">
        <f>'3'!G35</f>
        <v>0.41654095690631732</v>
      </c>
      <c r="O35" s="9">
        <f>'8'!K32</f>
        <v>0.52646947167375102</v>
      </c>
      <c r="P35" s="9">
        <f t="shared" si="24"/>
        <v>0.41609274108639982</v>
      </c>
      <c r="Q35" s="9">
        <f t="shared" si="25"/>
        <v>0.44526727592671111</v>
      </c>
      <c r="R35" s="9">
        <f>'1'!AC35</f>
        <v>0.39906276422322268</v>
      </c>
      <c r="S35" s="9">
        <f>'1'!AE35</f>
        <v>0.48461804542051062</v>
      </c>
      <c r="T35" s="9">
        <f>'2'!AC35</f>
        <v>0.18192223587520631</v>
      </c>
      <c r="U35" s="9">
        <f>'2'!AE35</f>
        <v>0.27352347082747241</v>
      </c>
      <c r="V35" s="9">
        <f>'3'!J35</f>
        <v>0.70131937046937987</v>
      </c>
      <c r="W35" s="9">
        <f>'8'!P32</f>
        <v>0.45044417570070183</v>
      </c>
      <c r="X35" s="9">
        <f t="shared" si="26"/>
        <v>0.51366577733012764</v>
      </c>
      <c r="Y35" s="9">
        <f t="shared" si="27"/>
        <v>0.53993695706481182</v>
      </c>
      <c r="Z35" s="9">
        <f>'1'!AM35</f>
        <v>0.49540636560141593</v>
      </c>
      <c r="AA35" s="9">
        <f>'1'!AO35</f>
        <v>0.58057198916173713</v>
      </c>
      <c r="AB35" s="9">
        <f>'2'!AM35</f>
        <v>0.21656613232070399</v>
      </c>
      <c r="AC35" s="9">
        <f>'2'!AO35</f>
        <v>0.32754577240507782</v>
      </c>
      <c r="AD35" s="9">
        <f>'3'!M35</f>
        <v>0.45299691639277045</v>
      </c>
      <c r="AE35" s="9">
        <f>'8'!U32</f>
        <v>0.50837444691641598</v>
      </c>
      <c r="AF35" s="9">
        <f t="shared" si="28"/>
        <v>0.45444898698438663</v>
      </c>
      <c r="AG35" s="9">
        <f t="shared" si="29"/>
        <v>0.48258007570488826</v>
      </c>
      <c r="AH35" s="9">
        <f>'1'!AW35</f>
        <v>0.3776320805114618</v>
      </c>
      <c r="AI35" s="9">
        <f>'1'!AY35</f>
        <v>0.46195277916845578</v>
      </c>
      <c r="AJ35" s="9">
        <f>'2'!AW35</f>
        <v>0.25870349116934471</v>
      </c>
      <c r="AK35" s="9">
        <f>'2'!AY35</f>
        <v>0.38694428161096811</v>
      </c>
      <c r="AL35" s="9">
        <f>'3'!P35</f>
        <v>0.50505863951229335</v>
      </c>
      <c r="AM35" s="9">
        <f>'8'!Z32</f>
        <v>0.51249717927068839</v>
      </c>
      <c r="AN35" s="9">
        <f t="shared" si="30"/>
        <v>0.45716937480535069</v>
      </c>
      <c r="AO35" s="9">
        <f t="shared" si="31"/>
        <v>0.4868575935809118</v>
      </c>
      <c r="AP35" s="9">
        <f>'1'!BG35</f>
        <v>0.43637490854377176</v>
      </c>
      <c r="AQ35" s="9">
        <f>'1'!BI35</f>
        <v>0.52288640840965583</v>
      </c>
      <c r="AR35" s="9">
        <f>'2'!BG35</f>
        <v>0.29276113138129567</v>
      </c>
      <c r="AS35" s="9">
        <f>'2'!BI35</f>
        <v>0.43075257275779033</v>
      </c>
      <c r="AT35" s="9">
        <f>'3'!S35</f>
        <v>0.47277954792006055</v>
      </c>
      <c r="AU35" s="9">
        <f>'8'!AE32</f>
        <v>0.54261499745484643</v>
      </c>
      <c r="AV35" s="9">
        <f t="shared" si="32"/>
        <v>0.46844741325136208</v>
      </c>
      <c r="AW35" s="9">
        <f t="shared" si="33"/>
        <v>0.49954885736218835</v>
      </c>
      <c r="AX35" s="9">
        <f>'1'!BQ35</f>
        <v>0.58419461992966959</v>
      </c>
      <c r="AY35" s="9">
        <f>'1'!BS35</f>
        <v>0.6614795811277695</v>
      </c>
      <c r="AZ35" s="9">
        <f>'2'!BQ35</f>
        <v>0.2675791276542438</v>
      </c>
      <c r="BA35" s="9">
        <f>'2'!BS35</f>
        <v>0.39869391436511104</v>
      </c>
      <c r="BB35" s="9">
        <f>'3'!V35</f>
        <v>0.59175290896799237</v>
      </c>
      <c r="BC35" s="9">
        <f>'8'!AJ32</f>
        <v>0.55339924682750474</v>
      </c>
      <c r="BD35" s="9">
        <f t="shared" si="34"/>
        <v>0.54631777438680662</v>
      </c>
      <c r="BE35" s="9">
        <f t="shared" si="35"/>
        <v>0.57488624529751342</v>
      </c>
      <c r="BF35" s="9">
        <f>'1'!CA35</f>
        <v>0.48694301949763352</v>
      </c>
      <c r="BG35" s="9">
        <f>'1'!CC35</f>
        <v>0.57250444922922139</v>
      </c>
      <c r="BH35" s="9">
        <f>'2'!CA35</f>
        <v>0.29222782408990738</v>
      </c>
      <c r="BI35" s="9">
        <f>'2'!CC35</f>
        <v>0.43009223622952647</v>
      </c>
      <c r="BJ35" s="9">
        <f>'3'!Y35</f>
        <v>0.56982569542518924</v>
      </c>
      <c r="BK35" s="9">
        <f>'8'!AO32</f>
        <v>0.57279832219417537</v>
      </c>
      <c r="BL35" s="9">
        <f t="shared" si="36"/>
        <v>0.52638116113684574</v>
      </c>
      <c r="BM35" s="9">
        <f t="shared" si="37"/>
        <v>0.55727988829712527</v>
      </c>
      <c r="BN35" s="9">
        <f>'1'!CK35</f>
        <v>0.40754346280351528</v>
      </c>
      <c r="BO35" s="9">
        <f>'1'!CM35</f>
        <v>0.49344642794837229</v>
      </c>
      <c r="BP35" s="9">
        <f>'2'!CK35</f>
        <v>0.40802956252027583</v>
      </c>
      <c r="BQ35" s="9">
        <f>'2'!CM35</f>
        <v>0.55787542420808411</v>
      </c>
      <c r="BR35" s="9">
        <f>'3'!AB35</f>
        <v>0.58067232722745243</v>
      </c>
      <c r="BS35" s="9">
        <f>'8'!AT32</f>
        <v>0.58770582509077951</v>
      </c>
      <c r="BT35" s="9">
        <f t="shared" si="38"/>
        <v>0.53089232723094548</v>
      </c>
      <c r="BU35" s="9">
        <f t="shared" si="39"/>
        <v>0.56305750642869778</v>
      </c>
      <c r="BV35" s="9">
        <f>'1'!CU35</f>
        <v>0.57368774764415209</v>
      </c>
      <c r="BW35" s="9">
        <f>'1'!CW35</f>
        <v>0.6522419330557907</v>
      </c>
      <c r="BX35" s="9">
        <f>'2'!CU35</f>
        <v>0.43353368510349943</v>
      </c>
      <c r="BY35" s="9">
        <f>'2'!CW35</f>
        <v>0.58250220642813555</v>
      </c>
      <c r="BZ35" s="9">
        <f>'3'!AE35</f>
        <v>0.55229385894406235</v>
      </c>
      <c r="CA35" s="9">
        <f>'8'!AY32</f>
        <v>0.61944656978451196</v>
      </c>
      <c r="CB35" s="9">
        <f t="shared" si="40"/>
        <v>0.56484243255215882</v>
      </c>
      <c r="CC35" s="9">
        <f t="shared" si="41"/>
        <v>0.59545012176695022</v>
      </c>
      <c r="CD35" s="9">
        <f>'1'!DE35</f>
        <v>0.58400882809251697</v>
      </c>
      <c r="CE35" s="9">
        <f>'1'!DG35</f>
        <v>0.66131697657352795</v>
      </c>
      <c r="CF35" s="9">
        <f>'2'!DE35</f>
        <v>0.36129966195937352</v>
      </c>
      <c r="CG35" s="9">
        <f>'2'!DG35</f>
        <v>0.50974806900429293</v>
      </c>
      <c r="CH35" s="9">
        <f>'3'!AH35</f>
        <v>0.47343257061401095</v>
      </c>
      <c r="CI35" s="9">
        <f>'8'!BD32</f>
        <v>0.60848724958557066</v>
      </c>
      <c r="CJ35" s="9">
        <f t="shared" si="42"/>
        <v>0.52485093493571633</v>
      </c>
      <c r="CK35" s="9">
        <f t="shared" si="43"/>
        <v>0.55515740533641045</v>
      </c>
    </row>
    <row r="36" spans="1:89">
      <c r="A36" s="1">
        <v>1998</v>
      </c>
      <c r="B36" s="9">
        <f>'1'!I36</f>
        <v>0.55382919037071332</v>
      </c>
      <c r="C36" s="9">
        <f>'1'!K36</f>
        <v>0.63454416504784661</v>
      </c>
      <c r="D36" s="9">
        <f>'2'!I36</f>
        <v>0.30286039128744413</v>
      </c>
      <c r="E36" s="9">
        <f>'2'!K36</f>
        <v>0.44311318343970818</v>
      </c>
      <c r="F36" s="9">
        <f>'3'!D36</f>
        <v>0.51388214754238271</v>
      </c>
      <c r="G36" s="9">
        <f>'8'!F33</f>
        <v>0.56631444600833059</v>
      </c>
      <c r="H36" s="9">
        <f t="shared" si="22"/>
        <v>0.5164990700223393</v>
      </c>
      <c r="I36" s="9">
        <f t="shared" si="23"/>
        <v>0.54666734417299234</v>
      </c>
      <c r="J36" s="9">
        <f>'1'!S36</f>
        <v>0.3676298882097111</v>
      </c>
      <c r="K36" s="9">
        <f>'1'!U36</f>
        <v>0.45119476011941406</v>
      </c>
      <c r="L36" s="9">
        <f>'2'!S36</f>
        <v>0.3075984438103615</v>
      </c>
      <c r="M36" s="9">
        <f>'2'!U36</f>
        <v>0.4488198112276327</v>
      </c>
      <c r="N36" s="9">
        <f>'3'!G36</f>
        <v>0.35710490721493937</v>
      </c>
      <c r="O36" s="9">
        <f>'8'!K33</f>
        <v>0.49442751104606053</v>
      </c>
      <c r="P36" s="9">
        <f t="shared" si="24"/>
        <v>0.39545603822277231</v>
      </c>
      <c r="Q36" s="9">
        <f t="shared" si="25"/>
        <v>0.42629114934643997</v>
      </c>
      <c r="R36" s="9">
        <f>'1'!AC36</f>
        <v>0.41535381927562864</v>
      </c>
      <c r="S36" s="9">
        <f>'1'!AE36</f>
        <v>0.50150817357588329</v>
      </c>
      <c r="T36" s="9">
        <f>'2'!AC36</f>
        <v>0.18587969157102738</v>
      </c>
      <c r="U36" s="9">
        <f>'2'!AE36</f>
        <v>0.27996372934278435</v>
      </c>
      <c r="V36" s="9">
        <f>'3'!J36</f>
        <v>0.74429299956676298</v>
      </c>
      <c r="W36" s="9">
        <f>'8'!P33</f>
        <v>0.45776943603870024</v>
      </c>
      <c r="X36" s="9">
        <f t="shared" si="26"/>
        <v>0.53670676365054382</v>
      </c>
      <c r="Y36" s="9">
        <f t="shared" si="27"/>
        <v>0.56334603828777041</v>
      </c>
      <c r="Z36" s="9">
        <f>'1'!AM36</f>
        <v>0.52222617770002555</v>
      </c>
      <c r="AA36" s="9">
        <f>'1'!AO36</f>
        <v>0.605713202452412</v>
      </c>
      <c r="AB36" s="9">
        <f>'2'!AM36</f>
        <v>0.22278556129178911</v>
      </c>
      <c r="AC36" s="9">
        <f>'2'!AO36</f>
        <v>0.33671754908641482</v>
      </c>
      <c r="AD36" s="9">
        <f>'3'!M36</f>
        <v>0.41713841196504475</v>
      </c>
      <c r="AE36" s="9">
        <f>'8'!U33</f>
        <v>0.51107584277856177</v>
      </c>
      <c r="AF36" s="9">
        <f t="shared" si="28"/>
        <v>0.44690190928877049</v>
      </c>
      <c r="AG36" s="9">
        <f t="shared" si="29"/>
        <v>0.47499251301871037</v>
      </c>
      <c r="AH36" s="9">
        <f>'1'!AW36</f>
        <v>0.41105147910938672</v>
      </c>
      <c r="AI36" s="9">
        <f>'1'!AY36</f>
        <v>0.49707544999915182</v>
      </c>
      <c r="AJ36" s="9">
        <f>'2'!AW36</f>
        <v>0.26684587271975196</v>
      </c>
      <c r="AK36" s="9">
        <f>'2'!AY36</f>
        <v>0.39773247650837679</v>
      </c>
      <c r="AL36" s="9">
        <f>'3'!P36</f>
        <v>0.52108755349613367</v>
      </c>
      <c r="AM36" s="9">
        <f>'8'!Z33</f>
        <v>0.52628654345046377</v>
      </c>
      <c r="AN36" s="9">
        <f t="shared" si="30"/>
        <v>0.47521586752744516</v>
      </c>
      <c r="AO36" s="9">
        <f t="shared" si="31"/>
        <v>0.50550932208426069</v>
      </c>
      <c r="AP36" s="9">
        <f>'1'!BG36</f>
        <v>0.46405455932897854</v>
      </c>
      <c r="AQ36" s="9">
        <f>'1'!BI36</f>
        <v>0.55035246699867446</v>
      </c>
      <c r="AR36" s="9">
        <f>'2'!BG36</f>
        <v>0.29778306670670068</v>
      </c>
      <c r="AS36" s="9">
        <f>'2'!BI36</f>
        <v>0.43693294830357904</v>
      </c>
      <c r="AT36" s="9">
        <f>'3'!S36</f>
        <v>0.51405399737165869</v>
      </c>
      <c r="AU36" s="9">
        <f>'8'!AE33</f>
        <v>0.56627056965767741</v>
      </c>
      <c r="AV36" s="9">
        <f t="shared" si="32"/>
        <v>0.49809198838243252</v>
      </c>
      <c r="AW36" s="9">
        <f t="shared" si="33"/>
        <v>0.5292665580760596</v>
      </c>
      <c r="AX36" s="9">
        <f>'1'!BQ36</f>
        <v>0.61761527515092574</v>
      </c>
      <c r="AY36" s="9">
        <f>'1'!BS36</f>
        <v>0.69030464259066793</v>
      </c>
      <c r="AZ36" s="9">
        <f>'2'!BQ36</f>
        <v>0.26934092976383051</v>
      </c>
      <c r="BA36" s="9">
        <f>'2'!BS36</f>
        <v>0.40099727653848394</v>
      </c>
      <c r="BB36" s="9">
        <f>'3'!V36</f>
        <v>0.59687182615392664</v>
      </c>
      <c r="BC36" s="9">
        <f>'8'!AJ33</f>
        <v>0.554258491625782</v>
      </c>
      <c r="BD36" s="9">
        <f t="shared" si="34"/>
        <v>0.55548342595587341</v>
      </c>
      <c r="BE36" s="9">
        <f t="shared" si="35"/>
        <v>0.58318693412128719</v>
      </c>
      <c r="BF36" s="9">
        <f>'1'!CA36</f>
        <v>0.50160515315104226</v>
      </c>
      <c r="BG36" s="9">
        <f>'1'!CC36</f>
        <v>0.5864395913609658</v>
      </c>
      <c r="BH36" s="9">
        <f>'2'!CA36</f>
        <v>0.29460233054373774</v>
      </c>
      <c r="BI36" s="9">
        <f>'2'!CC36</f>
        <v>0.43302638775387681</v>
      </c>
      <c r="BJ36" s="9">
        <f>'3'!Y36</f>
        <v>0.51948056494683947</v>
      </c>
      <c r="BK36" s="9">
        <f>'8'!AO33</f>
        <v>0.60376125618948739</v>
      </c>
      <c r="BL36" s="9">
        <f t="shared" si="36"/>
        <v>0.51870186652016426</v>
      </c>
      <c r="BM36" s="9">
        <f t="shared" si="37"/>
        <v>0.5495111598831629</v>
      </c>
      <c r="BN36" s="9">
        <f>'1'!CK36</f>
        <v>0.43038322958225916</v>
      </c>
      <c r="BO36" s="9">
        <f>'1'!CM36</f>
        <v>0.51683965844058699</v>
      </c>
      <c r="BP36" s="9">
        <f>'2'!CK36</f>
        <v>0.3964654452790094</v>
      </c>
      <c r="BQ36" s="9">
        <f>'2'!CM36</f>
        <v>0.54634351029353634</v>
      </c>
      <c r="BR36" s="9">
        <f>'3'!AB36</f>
        <v>0.48472140096128324</v>
      </c>
      <c r="BS36" s="9">
        <f>'8'!AT33</f>
        <v>0.63910218981792299</v>
      </c>
      <c r="BT36" s="9">
        <f t="shared" si="38"/>
        <v>0.511342407774243</v>
      </c>
      <c r="BU36" s="9">
        <f t="shared" si="39"/>
        <v>0.54362150004736121</v>
      </c>
      <c r="BV36" s="9">
        <f>'1'!CU36</f>
        <v>0.60505800788423514</v>
      </c>
      <c r="BW36" s="9">
        <f>'1'!CW36</f>
        <v>0.67957193585016906</v>
      </c>
      <c r="BX36" s="9">
        <f>'2'!CU36</f>
        <v>0.40115014012401523</v>
      </c>
      <c r="BY36" s="9">
        <f>'2'!CW36</f>
        <v>0.55104369559046251</v>
      </c>
      <c r="BZ36" s="9">
        <f>'3'!AE36</f>
        <v>0.51925792409373972</v>
      </c>
      <c r="CA36" s="9">
        <f>'8'!AY33</f>
        <v>0.64091865863076258</v>
      </c>
      <c r="CB36" s="9">
        <f t="shared" si="40"/>
        <v>0.56110538281597322</v>
      </c>
      <c r="CC36" s="9">
        <f t="shared" si="41"/>
        <v>0.59099752395580474</v>
      </c>
      <c r="CD36" s="9">
        <f>'1'!DE36</f>
        <v>0.61579884007801267</v>
      </c>
      <c r="CE36" s="9">
        <f>'1'!DG36</f>
        <v>0.68875928824316535</v>
      </c>
      <c r="CF36" s="9">
        <f>'2'!DE36</f>
        <v>0.36934787131137803</v>
      </c>
      <c r="CG36" s="9">
        <f>'2'!DG36</f>
        <v>0.51833612498364889</v>
      </c>
      <c r="CH36" s="9">
        <f>'3'!AH36</f>
        <v>0.41092854669338014</v>
      </c>
      <c r="CI36" s="9">
        <f>'8'!BD33</f>
        <v>0.55879161033963654</v>
      </c>
      <c r="CJ36" s="9">
        <f t="shared" si="42"/>
        <v>0.49210345692598334</v>
      </c>
      <c r="CK36" s="9">
        <f t="shared" si="43"/>
        <v>0.52159437192624092</v>
      </c>
    </row>
    <row r="37" spans="1:89">
      <c r="A37" s="1">
        <v>1999</v>
      </c>
      <c r="B37" s="9">
        <f>'1'!I37</f>
        <v>0.57870379700417096</v>
      </c>
      <c r="C37" s="9">
        <f>'1'!K37</f>
        <v>0.65666276223548392</v>
      </c>
      <c r="D37" s="9">
        <f>'2'!I37</f>
        <v>0.32161106042480536</v>
      </c>
      <c r="E37" s="9">
        <f>'2'!K37</f>
        <v>0.46536574007449821</v>
      </c>
      <c r="F37" s="9">
        <f>'3'!D37</f>
        <v>0.50846554511032127</v>
      </c>
      <c r="G37" s="9">
        <f>'8'!F34</f>
        <v>0.57033085877621292</v>
      </c>
      <c r="H37" s="9">
        <f t="shared" si="22"/>
        <v>0.52238734112030705</v>
      </c>
      <c r="I37" s="9">
        <f t="shared" si="23"/>
        <v>0.55235460213153909</v>
      </c>
      <c r="J37" s="9">
        <f>'1'!S37</f>
        <v>0.4133066520219208</v>
      </c>
      <c r="K37" s="9">
        <f>'1'!U37</f>
        <v>0.49940143260552117</v>
      </c>
      <c r="L37" s="9">
        <f>'2'!S37</f>
        <v>0.35546528639434349</v>
      </c>
      <c r="M37" s="9">
        <f>'2'!U37</f>
        <v>0.50343929315893721</v>
      </c>
      <c r="N37" s="9">
        <f>'3'!G37</f>
        <v>0.29417997146002983</v>
      </c>
      <c r="O37" s="9">
        <f>'8'!K34</f>
        <v>0.50486892942479578</v>
      </c>
      <c r="P37" s="9">
        <f t="shared" si="24"/>
        <v>0.38734052645526917</v>
      </c>
      <c r="Q37" s="9">
        <f t="shared" si="25"/>
        <v>0.41935688324844866</v>
      </c>
      <c r="R37" s="9">
        <f>'1'!AC37</f>
        <v>0.46549630466318914</v>
      </c>
      <c r="S37" s="9">
        <f>'1'!AE37</f>
        <v>0.55176249230556451</v>
      </c>
      <c r="T37" s="9">
        <f>'2'!AC37</f>
        <v>0.19462809022624322</v>
      </c>
      <c r="U37" s="9">
        <f>'2'!AE37</f>
        <v>0.29394415848413524</v>
      </c>
      <c r="V37" s="9">
        <f>'3'!J37</f>
        <v>0.55400788436464887</v>
      </c>
      <c r="W37" s="9">
        <f>'8'!P34</f>
        <v>0.45007923326342253</v>
      </c>
      <c r="X37" s="9">
        <f t="shared" si="26"/>
        <v>0.46918899368014849</v>
      </c>
      <c r="Y37" s="9">
        <f t="shared" si="27"/>
        <v>0.49637383803441276</v>
      </c>
      <c r="Z37" s="9">
        <f>'1'!AM37</f>
        <v>0.56241420575957657</v>
      </c>
      <c r="AA37" s="9">
        <f>'1'!AO37</f>
        <v>0.64223376826457823</v>
      </c>
      <c r="AB37" s="9">
        <f>'2'!AM37</f>
        <v>0.22970007146667343</v>
      </c>
      <c r="AC37" s="9">
        <f>'2'!AO37</f>
        <v>0.34674175403445234</v>
      </c>
      <c r="AD37" s="9">
        <f>'3'!M37</f>
        <v>0.46894472368148532</v>
      </c>
      <c r="AE37" s="9">
        <f>'8'!U34</f>
        <v>0.57628755763399309</v>
      </c>
      <c r="AF37" s="9">
        <f t="shared" si="28"/>
        <v>0.4959170050613747</v>
      </c>
      <c r="AG37" s="9">
        <f t="shared" si="29"/>
        <v>0.52358508581915297</v>
      </c>
      <c r="AH37" s="9">
        <f>'1'!AW37</f>
        <v>0.45169032682381477</v>
      </c>
      <c r="AI37" s="9">
        <f>'1'!AY37</f>
        <v>0.53817738189694364</v>
      </c>
      <c r="AJ37" s="9">
        <f>'2'!AW37</f>
        <v>0.28011198509709245</v>
      </c>
      <c r="AK37" s="9">
        <f>'2'!AY37</f>
        <v>0.41487769144639858</v>
      </c>
      <c r="AL37" s="9">
        <f>'3'!P37</f>
        <v>0.51328009062633184</v>
      </c>
      <c r="AM37" s="9">
        <f>'8'!Z34</f>
        <v>0.51798825550025662</v>
      </c>
      <c r="AN37" s="9">
        <f t="shared" si="30"/>
        <v>0.47905777677508188</v>
      </c>
      <c r="AO37" s="9">
        <f t="shared" si="31"/>
        <v>0.50983175842463835</v>
      </c>
      <c r="AP37" s="9">
        <f>'1'!BG37</f>
        <v>0.48723200500675606</v>
      </c>
      <c r="AQ37" s="9">
        <f>'1'!BI37</f>
        <v>0.57278100268078125</v>
      </c>
      <c r="AR37" s="9">
        <f>'2'!BG37</f>
        <v>0.30800298892170802</v>
      </c>
      <c r="AS37" s="9">
        <f>'2'!BI37</f>
        <v>0.4493043822477249</v>
      </c>
      <c r="AT37" s="9">
        <f>'3'!S37</f>
        <v>0.54764451844164452</v>
      </c>
      <c r="AU37" s="9">
        <f>'8'!AE34</f>
        <v>0.56863694137594634</v>
      </c>
      <c r="AV37" s="9">
        <f t="shared" si="32"/>
        <v>0.51789558968296368</v>
      </c>
      <c r="AW37" s="9">
        <f t="shared" si="33"/>
        <v>0.5491355285503704</v>
      </c>
      <c r="AX37" s="9">
        <f>'1'!BQ37</f>
        <v>0.64566743464818133</v>
      </c>
      <c r="AY37" s="9">
        <f>'1'!BS37</f>
        <v>0.71387011357934815</v>
      </c>
      <c r="AZ37" s="9">
        <f>'2'!BQ37</f>
        <v>0.28106565278443429</v>
      </c>
      <c r="BA37" s="9">
        <f>'2'!BS37</f>
        <v>0.41609030735225883</v>
      </c>
      <c r="BB37" s="9">
        <f>'3'!V37</f>
        <v>0.56094066979968427</v>
      </c>
      <c r="BC37" s="9">
        <f>'8'!AJ34</f>
        <v>0.56267555644556888</v>
      </c>
      <c r="BD37" s="9">
        <f t="shared" si="34"/>
        <v>0.55041898706162407</v>
      </c>
      <c r="BE37" s="9">
        <f t="shared" si="35"/>
        <v>0.5775619883046399</v>
      </c>
      <c r="BF37" s="9">
        <f>'1'!CA37</f>
        <v>0.5268606498470787</v>
      </c>
      <c r="BG37" s="9">
        <f>'1'!CC37</f>
        <v>0.60999387062791222</v>
      </c>
      <c r="BH37" s="9">
        <f>'2'!CA37</f>
        <v>0.30426274544837378</v>
      </c>
      <c r="BI37" s="9">
        <f>'2'!CC37</f>
        <v>0.44480825621729708</v>
      </c>
      <c r="BJ37" s="9">
        <f>'3'!Y37</f>
        <v>0.47704794118096033</v>
      </c>
      <c r="BK37" s="9">
        <f>'8'!AO34</f>
        <v>0.55423718859588789</v>
      </c>
      <c r="BL37" s="9">
        <f t="shared" si="36"/>
        <v>0.49288873756540363</v>
      </c>
      <c r="BM37" s="9">
        <f t="shared" si="37"/>
        <v>0.52356993279846264</v>
      </c>
      <c r="BN37" s="9">
        <f>'1'!CK37</f>
        <v>0.44570382870967756</v>
      </c>
      <c r="BO37" s="9">
        <f>'1'!CM37</f>
        <v>0.53222842306246443</v>
      </c>
      <c r="BP37" s="9">
        <f>'2'!CK37</f>
        <v>0.43376404841294114</v>
      </c>
      <c r="BQ37" s="9">
        <f>'2'!CM37</f>
        <v>0.58271980216446551</v>
      </c>
      <c r="BR37" s="9">
        <f>'3'!AB37</f>
        <v>0.54691185781896579</v>
      </c>
      <c r="BS37" s="9">
        <f>'8'!AT34</f>
        <v>0.61130209045433137</v>
      </c>
      <c r="BT37" s="9">
        <f t="shared" si="38"/>
        <v>0.53467254084711535</v>
      </c>
      <c r="BU37" s="9">
        <f t="shared" si="39"/>
        <v>0.56687303509282516</v>
      </c>
      <c r="BV37" s="9">
        <f>'1'!CU37</f>
        <v>0.62148496077463289</v>
      </c>
      <c r="BW37" s="9">
        <f>'1'!CW37</f>
        <v>0.69358883188620124</v>
      </c>
      <c r="BX37" s="9">
        <f>'2'!CU37</f>
        <v>0.48247866513571297</v>
      </c>
      <c r="BY37" s="9">
        <f>'2'!CW37</f>
        <v>0.62694018085242942</v>
      </c>
      <c r="BZ37" s="9">
        <f>'3'!AE37</f>
        <v>0.56297404581095867</v>
      </c>
      <c r="CA37" s="9">
        <f>'8'!AY34</f>
        <v>0.64008680591641787</v>
      </c>
      <c r="CB37" s="9">
        <f t="shared" si="40"/>
        <v>0.58976051876780666</v>
      </c>
      <c r="CC37" s="9">
        <f t="shared" si="41"/>
        <v>0.61862744456179197</v>
      </c>
      <c r="CD37" s="9">
        <f>'1'!DE37</f>
        <v>0.63710844007810286</v>
      </c>
      <c r="CE37" s="9">
        <f>'1'!DG37</f>
        <v>0.7067391225024624</v>
      </c>
      <c r="CF37" s="9">
        <f>'2'!DE37</f>
        <v>0.38172764205768306</v>
      </c>
      <c r="CG37" s="9">
        <f>'2'!DG37</f>
        <v>0.53129541497825494</v>
      </c>
      <c r="CH37" s="9">
        <f>'3'!AH37</f>
        <v>0.37930919750538505</v>
      </c>
      <c r="CI37" s="9">
        <f>'8'!BD34</f>
        <v>0.57089648141486704</v>
      </c>
      <c r="CJ37" s="9">
        <f t="shared" si="42"/>
        <v>0.48858707564800302</v>
      </c>
      <c r="CK37" s="9">
        <f t="shared" si="43"/>
        <v>0.51746998942493216</v>
      </c>
    </row>
    <row r="38" spans="1:89">
      <c r="A38" s="1">
        <v>2000</v>
      </c>
      <c r="B38" s="9">
        <f>'1'!I38</f>
        <v>0.60769764491524347</v>
      </c>
      <c r="C38" s="9">
        <f>'1'!K38</f>
        <v>0.6818376801695516</v>
      </c>
      <c r="D38" s="9">
        <f>'2'!I38</f>
        <v>0.35005266596543333</v>
      </c>
      <c r="E38" s="9">
        <f>'2'!K38</f>
        <v>0.49752258627761098</v>
      </c>
      <c r="F38" s="9">
        <f>'3'!D38</f>
        <v>0.50214776087536384</v>
      </c>
      <c r="G38" s="9">
        <f>'8'!F35</f>
        <v>0.57886134779821263</v>
      </c>
      <c r="H38" s="9">
        <f t="shared" si="22"/>
        <v>0.53106230426920131</v>
      </c>
      <c r="I38" s="9">
        <f t="shared" si="23"/>
        <v>0.56063730335128081</v>
      </c>
      <c r="J38" s="9">
        <f>'1'!S38</f>
        <v>0.44040329454067229</v>
      </c>
      <c r="K38" s="9">
        <f>'1'!U38</f>
        <v>0.52693122937461123</v>
      </c>
      <c r="L38" s="9">
        <f>'2'!S38</f>
        <v>0.43606835142159517</v>
      </c>
      <c r="M38" s="9">
        <f>'2'!U38</f>
        <v>0.58489177075219223</v>
      </c>
      <c r="N38" s="9">
        <f>'3'!G38</f>
        <v>0.31700490501070799</v>
      </c>
      <c r="O38" s="9">
        <f>'8'!K35</f>
        <v>0.47377308533973922</v>
      </c>
      <c r="P38" s="9">
        <f t="shared" si="24"/>
        <v>0.40062138165649896</v>
      </c>
      <c r="Q38" s="9">
        <f t="shared" si="25"/>
        <v>0.43280931055634642</v>
      </c>
      <c r="R38" s="9">
        <f>'1'!AC38</f>
        <v>0.4783148072775002</v>
      </c>
      <c r="S38" s="9">
        <f>'1'!AE38</f>
        <v>0.56421175836789161</v>
      </c>
      <c r="T38" s="9">
        <f>'2'!AC38</f>
        <v>0.20264730453669488</v>
      </c>
      <c r="U38" s="9">
        <f>'2'!AE38</f>
        <v>0.30646094168125831</v>
      </c>
      <c r="V38" s="9">
        <f>'3'!J38</f>
        <v>0.53867965100765636</v>
      </c>
      <c r="W38" s="9">
        <f>'8'!P35</f>
        <v>0.49744249684194863</v>
      </c>
      <c r="X38" s="9">
        <f t="shared" si="26"/>
        <v>0.48063230136481661</v>
      </c>
      <c r="Y38" s="9">
        <f t="shared" si="27"/>
        <v>0.50819305529735126</v>
      </c>
      <c r="Z38" s="9">
        <f>'1'!AM38</f>
        <v>0.58290400183654201</v>
      </c>
      <c r="AA38" s="9">
        <f>'1'!AO38</f>
        <v>0.66034948533580207</v>
      </c>
      <c r="AB38" s="9">
        <f>'2'!AM38</f>
        <v>0.26186311179892163</v>
      </c>
      <c r="AC38" s="9">
        <f>'2'!AO38</f>
        <v>0.39115521204958803</v>
      </c>
      <c r="AD38" s="9">
        <f>'3'!M38</f>
        <v>0.4826130928988871</v>
      </c>
      <c r="AE38" s="9">
        <f>'8'!U35</f>
        <v>0.54337917554704263</v>
      </c>
      <c r="AF38" s="9">
        <f t="shared" si="28"/>
        <v>0.49882610137086819</v>
      </c>
      <c r="AG38" s="9">
        <f t="shared" si="29"/>
        <v>0.52724440809578688</v>
      </c>
      <c r="AH38" s="9">
        <f>'1'!AW38</f>
        <v>0.46761771480012659</v>
      </c>
      <c r="AI38" s="9">
        <f>'1'!AY38</f>
        <v>0.55383359728220838</v>
      </c>
      <c r="AJ38" s="9">
        <f>'2'!AW38</f>
        <v>0.28951855379795449</v>
      </c>
      <c r="AK38" s="9">
        <f>'2'!AY38</f>
        <v>0.42672561135530873</v>
      </c>
      <c r="AL38" s="9">
        <f>'3'!P38</f>
        <v>0.53234695026410461</v>
      </c>
      <c r="AM38" s="9">
        <f>'8'!Z35</f>
        <v>0.53454163211248873</v>
      </c>
      <c r="AN38" s="9">
        <f t="shared" si="30"/>
        <v>0.49577666807920923</v>
      </c>
      <c r="AO38" s="9">
        <f t="shared" si="31"/>
        <v>0.52674055033136091</v>
      </c>
      <c r="AP38" s="9">
        <f>'1'!BG38</f>
        <v>0.51893058272233095</v>
      </c>
      <c r="AQ38" s="9">
        <f>'1'!BI38</f>
        <v>0.60265793924214173</v>
      </c>
      <c r="AR38" s="9">
        <f>'2'!BG38</f>
        <v>0.31609377067851258</v>
      </c>
      <c r="AS38" s="9">
        <f>'2'!BI38</f>
        <v>0.45890898159538296</v>
      </c>
      <c r="AT38" s="9">
        <f>'3'!S38</f>
        <v>0.49279288395279519</v>
      </c>
      <c r="AU38" s="9">
        <f>'8'!AE35</f>
        <v>0.57332468600192721</v>
      </c>
      <c r="AV38" s="9">
        <f t="shared" si="32"/>
        <v>0.50451005299401364</v>
      </c>
      <c r="AW38" s="9">
        <f t="shared" si="33"/>
        <v>0.53553704538966285</v>
      </c>
      <c r="AX38" s="9">
        <f>'1'!BQ38</f>
        <v>0.67084626602538422</v>
      </c>
      <c r="AY38" s="9">
        <f>'1'!BS38</f>
        <v>0.73455609375436293</v>
      </c>
      <c r="AZ38" s="9">
        <f>'2'!BQ38</f>
        <v>0.29166660330602429</v>
      </c>
      <c r="BA38" s="9">
        <f>'2'!BS38</f>
        <v>0.42939649897209059</v>
      </c>
      <c r="BB38" s="9">
        <f>'3'!V38</f>
        <v>0.58537622844875314</v>
      </c>
      <c r="BC38" s="9">
        <f>'8'!AJ35</f>
        <v>0.57131808333860501</v>
      </c>
      <c r="BD38" s="9">
        <f t="shared" si="34"/>
        <v>0.56888182991676206</v>
      </c>
      <c r="BE38" s="9">
        <f t="shared" si="35"/>
        <v>0.59539678502916438</v>
      </c>
      <c r="BF38" s="9">
        <f>'1'!CA38</f>
        <v>0.54173693135950862</v>
      </c>
      <c r="BG38" s="9">
        <f>'1'!CC38</f>
        <v>0.62361116487932555</v>
      </c>
      <c r="BH38" s="9">
        <f>'2'!CA38</f>
        <v>0.31516512868186242</v>
      </c>
      <c r="BI38" s="9">
        <f>'2'!CC38</f>
        <v>0.45781488533294334</v>
      </c>
      <c r="BJ38" s="9">
        <f>'3'!Y38</f>
        <v>0.4876973796521773</v>
      </c>
      <c r="BK38" s="9">
        <f>'8'!AO35</f>
        <v>0.56775842075651128</v>
      </c>
      <c r="BL38" s="9">
        <f t="shared" si="36"/>
        <v>0.50527037722791224</v>
      </c>
      <c r="BM38" s="9">
        <f t="shared" si="37"/>
        <v>0.53591019959698372</v>
      </c>
      <c r="BN38" s="9">
        <f>'1'!CK38</f>
        <v>0.46776011599062156</v>
      </c>
      <c r="BO38" s="9">
        <f>'1'!CM38</f>
        <v>0.55397246719325099</v>
      </c>
      <c r="BP38" s="9">
        <f>'2'!CK38</f>
        <v>0.49016243808522564</v>
      </c>
      <c r="BQ38" s="9">
        <f>'2'!CM38</f>
        <v>0.63360815548666161</v>
      </c>
      <c r="BR38" s="9">
        <f>'3'!AB38</f>
        <v>0.4202178617119271</v>
      </c>
      <c r="BS38" s="9">
        <f>'8'!AT35</f>
        <v>0.59259162850887204</v>
      </c>
      <c r="BT38" s="9">
        <f t="shared" si="38"/>
        <v>0.48843290024407937</v>
      </c>
      <c r="BU38" s="9">
        <f t="shared" si="39"/>
        <v>0.52001994222474879</v>
      </c>
      <c r="BV38" s="9">
        <f>'1'!CU38</f>
        <v>0.65856412862737246</v>
      </c>
      <c r="BW38" s="9">
        <f>'1'!CW38</f>
        <v>0.72451934666710782</v>
      </c>
      <c r="BX38" s="9">
        <f>'2'!CU38</f>
        <v>0.60823375030767857</v>
      </c>
      <c r="BY38" s="9">
        <f>'2'!CW38</f>
        <v>0.72722117398452579</v>
      </c>
      <c r="BZ38" s="9">
        <f>'3'!AE38</f>
        <v>0.58082201657562027</v>
      </c>
      <c r="CA38" s="9">
        <f>'8'!AY35</f>
        <v>0.63609782744343235</v>
      </c>
      <c r="CB38" s="9">
        <f t="shared" si="40"/>
        <v>0.61569435561952013</v>
      </c>
      <c r="CC38" s="9">
        <f t="shared" si="41"/>
        <v>0.64078414159515196</v>
      </c>
      <c r="CD38" s="9">
        <f>'1'!DE38</f>
        <v>0.66790133193502976</v>
      </c>
      <c r="CE38" s="9">
        <f>'1'!DG38</f>
        <v>0.73215877008868846</v>
      </c>
      <c r="CF38" s="9">
        <f>'2'!DE38</f>
        <v>0.40643735320748853</v>
      </c>
      <c r="CG38" s="9">
        <f>'2'!DG38</f>
        <v>0.55630161999149141</v>
      </c>
      <c r="CH38" s="9">
        <f>'3'!AH38</f>
        <v>0.37611648631347033</v>
      </c>
      <c r="CI38" s="9">
        <f>'8'!BD35</f>
        <v>0.60704245861753581</v>
      </c>
      <c r="CJ38" s="9">
        <f t="shared" si="42"/>
        <v>0.50678333381840368</v>
      </c>
      <c r="CK38" s="9">
        <f t="shared" si="43"/>
        <v>0.53462124812753564</v>
      </c>
    </row>
    <row r="39" spans="1:89">
      <c r="A39" s="1">
        <v>2001</v>
      </c>
      <c r="B39" s="9">
        <f>'1'!I39</f>
        <v>0.62648184541481788</v>
      </c>
      <c r="C39" s="9">
        <f>'1'!K39</f>
        <v>0.69781367427793883</v>
      </c>
      <c r="D39" s="9">
        <f>'2'!I39</f>
        <v>0.34979103379749987</v>
      </c>
      <c r="E39" s="9">
        <f>'2'!K39</f>
        <v>0.49723500426215467</v>
      </c>
      <c r="F39" s="9">
        <f>'3'!D39</f>
        <v>0.51107598404402743</v>
      </c>
      <c r="G39" s="9">
        <f>'8'!F36</f>
        <v>0.55139674317838749</v>
      </c>
      <c r="H39" s="9">
        <f t="shared" si="22"/>
        <v>0.53012488903384081</v>
      </c>
      <c r="I39" s="9">
        <f t="shared" si="23"/>
        <v>0.55913565185293046</v>
      </c>
      <c r="J39" s="9">
        <f>'1'!S39</f>
        <v>0.4825548466815337</v>
      </c>
      <c r="K39" s="9">
        <f>'1'!U39</f>
        <v>0.56829556717051466</v>
      </c>
      <c r="L39" s="9">
        <f>'2'!S39</f>
        <v>0.42286743197028021</v>
      </c>
      <c r="M39" s="9">
        <f>'2'!U39</f>
        <v>0.57233377094208504</v>
      </c>
      <c r="N39" s="9">
        <f>'3'!G39</f>
        <v>0.41124604988384045</v>
      </c>
      <c r="O39" s="9">
        <f>'8'!K36</f>
        <v>0.49950470879844366</v>
      </c>
      <c r="P39" s="9">
        <f t="shared" si="24"/>
        <v>0.45314754512640409</v>
      </c>
      <c r="Q39" s="9">
        <f t="shared" si="25"/>
        <v>0.48524232312138071</v>
      </c>
      <c r="R39" s="9">
        <f>'1'!AC39</f>
        <v>0.51415455480124672</v>
      </c>
      <c r="S39" s="9">
        <f>'1'!AE39</f>
        <v>0.59821346276257581</v>
      </c>
      <c r="T39" s="9">
        <f>'2'!AC39</f>
        <v>0.21425197494443562</v>
      </c>
      <c r="U39" s="9">
        <f>'2'!AE39</f>
        <v>0.32409453366376284</v>
      </c>
      <c r="V39" s="9">
        <f>'3'!J39</f>
        <v>0.57684878294837461</v>
      </c>
      <c r="W39" s="9">
        <f>'8'!P36</f>
        <v>0.43163235365441127</v>
      </c>
      <c r="X39" s="9">
        <f t="shared" si="26"/>
        <v>0.48448532773036612</v>
      </c>
      <c r="Y39" s="9">
        <f t="shared" si="27"/>
        <v>0.51228136519456469</v>
      </c>
      <c r="Z39" s="9">
        <f>'1'!AM39</f>
        <v>0.60626015081086526</v>
      </c>
      <c r="AA39" s="9">
        <f>'1'!AO39</f>
        <v>0.68060444142412546</v>
      </c>
      <c r="AB39" s="9">
        <f>'2'!AM39</f>
        <v>0.26322769278266067</v>
      </c>
      <c r="AC39" s="9">
        <f>'2'!AO39</f>
        <v>0.39296412804427089</v>
      </c>
      <c r="AD39" s="9">
        <f>'3'!M39</f>
        <v>0.4669450335986845</v>
      </c>
      <c r="AE39" s="9">
        <f>'8'!U36</f>
        <v>0.51603940494434264</v>
      </c>
      <c r="AF39" s="9">
        <f t="shared" si="28"/>
        <v>0.48916463436321567</v>
      </c>
      <c r="AG39" s="9">
        <f t="shared" si="29"/>
        <v>0.51700713601202875</v>
      </c>
      <c r="AH39" s="9">
        <f>'1'!AW39</f>
        <v>0.47658532289306299</v>
      </c>
      <c r="AI39" s="9">
        <f>'1'!AY39</f>
        <v>0.56254116753769612</v>
      </c>
      <c r="AJ39" s="9">
        <f>'2'!AW39</f>
        <v>0.294099573542283</v>
      </c>
      <c r="AK39" s="9">
        <f>'2'!AY39</f>
        <v>0.43240641294352056</v>
      </c>
      <c r="AL39" s="9">
        <f>'3'!P39</f>
        <v>0.52521390914088895</v>
      </c>
      <c r="AM39" s="9">
        <f>'8'!Z36</f>
        <v>0.47329947601938116</v>
      </c>
      <c r="AN39" s="9">
        <f t="shared" si="30"/>
        <v>0.4768024283950108</v>
      </c>
      <c r="AO39" s="9">
        <f t="shared" si="31"/>
        <v>0.50782428126406121</v>
      </c>
      <c r="AP39" s="9">
        <f>'1'!BG39</f>
        <v>0.54265827780181919</v>
      </c>
      <c r="AQ39" s="9">
        <f>'1'!BI39</f>
        <v>0.62444843112975701</v>
      </c>
      <c r="AR39" s="9">
        <f>'2'!BG39</f>
        <v>0.32139137955585945</v>
      </c>
      <c r="AS39" s="9">
        <f>'2'!BI39</f>
        <v>0.46511006493250978</v>
      </c>
      <c r="AT39" s="9">
        <f>'3'!S39</f>
        <v>0.51484303698776857</v>
      </c>
      <c r="AU39" s="9">
        <f>'8'!AE36</f>
        <v>0.55909850511304449</v>
      </c>
      <c r="AV39" s="9">
        <f t="shared" si="32"/>
        <v>0.51433755984497054</v>
      </c>
      <c r="AW39" s="9">
        <f t="shared" si="33"/>
        <v>0.54506745904822318</v>
      </c>
      <c r="AX39" s="9">
        <f>'1'!BQ39</f>
        <v>0.68598462591857168</v>
      </c>
      <c r="AY39" s="9">
        <f>'1'!BS39</f>
        <v>0.7467890011563646</v>
      </c>
      <c r="AZ39" s="9">
        <f>'2'!BQ39</f>
        <v>0.29470094381073564</v>
      </c>
      <c r="BA39" s="9">
        <f>'2'!BS39</f>
        <v>0.43314791255453744</v>
      </c>
      <c r="BB39" s="9">
        <f>'3'!V39</f>
        <v>0.59613962738130466</v>
      </c>
      <c r="BC39" s="9">
        <f>'8'!AJ36</f>
        <v>0.53995233333456505</v>
      </c>
      <c r="BD39" s="9">
        <f t="shared" si="34"/>
        <v>0.56710857051767927</v>
      </c>
      <c r="BE39" s="9">
        <f t="shared" si="35"/>
        <v>0.59311414243961802</v>
      </c>
      <c r="BF39" s="9">
        <f>'1'!CA39</f>
        <v>0.56740661016170135</v>
      </c>
      <c r="BG39" s="9">
        <f>'1'!CC39</f>
        <v>0.64667825176523031</v>
      </c>
      <c r="BH39" s="9">
        <f>'2'!CA39</f>
        <v>0.31561857671371757</v>
      </c>
      <c r="BI39" s="9">
        <f>'2'!CC39</f>
        <v>0.45834938926288138</v>
      </c>
      <c r="BJ39" s="9">
        <f>'3'!Y39</f>
        <v>0.54659327697837279</v>
      </c>
      <c r="BK39" s="9">
        <f>'8'!AO36</f>
        <v>0.52786819158789489</v>
      </c>
      <c r="BL39" s="9">
        <f t="shared" si="36"/>
        <v>0.52204094797142964</v>
      </c>
      <c r="BM39" s="9">
        <f t="shared" si="37"/>
        <v>0.55216835754705174</v>
      </c>
      <c r="BN39" s="9">
        <f>'1'!CK39</f>
        <v>0.50243188642159942</v>
      </c>
      <c r="BO39" s="9">
        <f>'1'!CM39</f>
        <v>0.58721954188220093</v>
      </c>
      <c r="BP39" s="9">
        <f>'2'!CK39</f>
        <v>0.46786132598999519</v>
      </c>
      <c r="BQ39" s="9">
        <f>'2'!CM39</f>
        <v>0.61403272052735769</v>
      </c>
      <c r="BR39" s="9">
        <f>'3'!AB39</f>
        <v>0.50956411580239591</v>
      </c>
      <c r="BS39" s="9">
        <f>'8'!AT36</f>
        <v>0.56803531723160205</v>
      </c>
      <c r="BT39" s="9">
        <f t="shared" si="38"/>
        <v>0.52150875137375841</v>
      </c>
      <c r="BU39" s="9">
        <f t="shared" si="39"/>
        <v>0.55308342191961501</v>
      </c>
      <c r="BV39" s="9">
        <f>'1'!CU39</f>
        <v>0.68439814576899927</v>
      </c>
      <c r="BW39" s="9">
        <f>'1'!CW39</f>
        <v>0.74551405090090772</v>
      </c>
      <c r="BX39" s="9">
        <f>'2'!CU39</f>
        <v>0.5773731881112002</v>
      </c>
      <c r="BY39" s="9">
        <f>'2'!CW39</f>
        <v>0.70421748388006</v>
      </c>
      <c r="BZ39" s="9">
        <f>'3'!AE39</f>
        <v>0.59874778619040558</v>
      </c>
      <c r="CA39" s="9">
        <f>'8'!AY36</f>
        <v>0.62609709007118308</v>
      </c>
      <c r="CB39" s="9">
        <f t="shared" si="40"/>
        <v>0.62194518946243704</v>
      </c>
      <c r="CC39" s="9">
        <f t="shared" si="41"/>
        <v>0.64685280006570467</v>
      </c>
      <c r="CD39" s="9">
        <f>'1'!DE39</f>
        <v>0.68251591287710278</v>
      </c>
      <c r="CE39" s="9">
        <f>'1'!DG39</f>
        <v>0.74399929845232138</v>
      </c>
      <c r="CF39" s="9">
        <f>'2'!DE39</f>
        <v>0.41220797351981675</v>
      </c>
      <c r="CG39" s="9">
        <f>'2'!DG39</f>
        <v>0.561984707313536</v>
      </c>
      <c r="CH39" s="9">
        <f>'3'!AH39</f>
        <v>0.31449866527497178</v>
      </c>
      <c r="CI39" s="9">
        <f>'8'!BD36</f>
        <v>0.55002331892054901</v>
      </c>
      <c r="CJ39" s="9">
        <f t="shared" si="42"/>
        <v>0.46853044171355562</v>
      </c>
      <c r="CK39" s="9">
        <f t="shared" si="43"/>
        <v>0.49580479220797125</v>
      </c>
    </row>
    <row r="40" spans="1:89">
      <c r="A40" s="1">
        <v>2002</v>
      </c>
      <c r="B40" s="9">
        <f>'1'!I40</f>
        <v>0.64603724803837104</v>
      </c>
      <c r="C40" s="9">
        <f>'1'!K40</f>
        <v>0.71417707589382318</v>
      </c>
      <c r="D40" s="9">
        <f>'2'!I40</f>
        <v>0.35157732960737681</v>
      </c>
      <c r="E40" s="9">
        <f>'2'!K40</f>
        <v>0.49919555301401564</v>
      </c>
      <c r="F40" s="9">
        <f>'3'!D40</f>
        <v>0.4993868919690741</v>
      </c>
      <c r="G40" s="9">
        <f>'8'!F37</f>
        <v>0.51205581417800172</v>
      </c>
      <c r="H40" s="9">
        <f t="shared" si="22"/>
        <v>0.51773668360944214</v>
      </c>
      <c r="I40" s="9">
        <f t="shared" si="23"/>
        <v>0.54612647152119642</v>
      </c>
      <c r="J40" s="9">
        <f>'1'!S40</f>
        <v>0.51817309037159864</v>
      </c>
      <c r="K40" s="9">
        <f>'1'!U40</f>
        <v>0.60195435719786172</v>
      </c>
      <c r="L40" s="9">
        <f>'2'!S40</f>
        <v>0.43528803154789669</v>
      </c>
      <c r="M40" s="9">
        <f>'2'!U40</f>
        <v>0.58415720321001086</v>
      </c>
      <c r="N40" s="9">
        <f>'3'!G40</f>
        <v>0.32051670050138581</v>
      </c>
      <c r="O40" s="9">
        <f>'8'!K37</f>
        <v>0.47734990143508094</v>
      </c>
      <c r="P40" s="9">
        <f t="shared" si="24"/>
        <v>0.41857507186018805</v>
      </c>
      <c r="Q40" s="9">
        <f t="shared" si="25"/>
        <v>0.45021824239165209</v>
      </c>
      <c r="R40" s="9">
        <f>'1'!AC40</f>
        <v>0.53624046823867666</v>
      </c>
      <c r="S40" s="9">
        <f>'1'!AE40</f>
        <v>0.6186015840985698</v>
      </c>
      <c r="T40" s="9">
        <f>'2'!AC40</f>
        <v>0.22170022458170222</v>
      </c>
      <c r="U40" s="9">
        <f>'2'!AE40</f>
        <v>0.33512774372120513</v>
      </c>
      <c r="V40" s="9">
        <f>'3'!J40</f>
        <v>0.63100468817585098</v>
      </c>
      <c r="W40" s="9">
        <f>'8'!P37</f>
        <v>0.47401391023156625</v>
      </c>
      <c r="X40" s="9">
        <f t="shared" si="26"/>
        <v>0.52402416444571587</v>
      </c>
      <c r="Y40" s="9">
        <f t="shared" si="27"/>
        <v>0.55183913953164476</v>
      </c>
      <c r="Z40" s="9">
        <f>'1'!AM40</f>
        <v>0.64146109227636638</v>
      </c>
      <c r="AA40" s="9">
        <f>'1'!AO40</f>
        <v>0.71037196321818752</v>
      </c>
      <c r="AB40" s="9">
        <f>'2'!AM40</f>
        <v>0.26048139799075898</v>
      </c>
      <c r="AC40" s="9">
        <f>'2'!AO40</f>
        <v>0.38931763543815245</v>
      </c>
      <c r="AD40" s="9">
        <f>'3'!M40</f>
        <v>0.45948878897349577</v>
      </c>
      <c r="AE40" s="9">
        <f>'8'!U37</f>
        <v>0.47198552345040967</v>
      </c>
      <c r="AF40" s="9">
        <f t="shared" si="28"/>
        <v>0.47973153087887038</v>
      </c>
      <c r="AG40" s="9">
        <f t="shared" si="29"/>
        <v>0.50639732881197397</v>
      </c>
      <c r="AH40" s="9">
        <f>'1'!AW40</f>
        <v>0.4999476600642816</v>
      </c>
      <c r="AI40" s="9">
        <f>'1'!AY40</f>
        <v>0.58487404489405415</v>
      </c>
      <c r="AJ40" s="9">
        <f>'2'!AW40</f>
        <v>0.29950969283697348</v>
      </c>
      <c r="AK40" s="9">
        <f>'2'!AY40</f>
        <v>0.43904226846063688</v>
      </c>
      <c r="AL40" s="9">
        <f>'3'!P40</f>
        <v>0.45548182780966318</v>
      </c>
      <c r="AM40" s="9">
        <f>'8'!Z37</f>
        <v>0.47031596384641045</v>
      </c>
      <c r="AN40" s="9">
        <f t="shared" si="30"/>
        <v>0.45322802157434205</v>
      </c>
      <c r="AO40" s="9">
        <f t="shared" si="31"/>
        <v>0.4841665561026629</v>
      </c>
      <c r="AP40" s="9">
        <f>'1'!BG40</f>
        <v>0.56300589110130783</v>
      </c>
      <c r="AQ40" s="9">
        <f>'1'!BI40</f>
        <v>0.6427615553314312</v>
      </c>
      <c r="AR40" s="9">
        <f>'2'!BG40</f>
        <v>0.32574163288715241</v>
      </c>
      <c r="AS40" s="9">
        <f>'2'!BI40</f>
        <v>0.47015158000015134</v>
      </c>
      <c r="AT40" s="9">
        <f>'3'!S40</f>
        <v>0.52167806416076257</v>
      </c>
      <c r="AU40" s="9">
        <f>'8'!AE37</f>
        <v>0.53433378650175545</v>
      </c>
      <c r="AV40" s="9">
        <f t="shared" si="32"/>
        <v>0.5141467031238085</v>
      </c>
      <c r="AW40" s="9">
        <f t="shared" si="33"/>
        <v>0.54453883068113307</v>
      </c>
      <c r="AX40" s="9">
        <f>'1'!BQ40</f>
        <v>0.70615839029193861</v>
      </c>
      <c r="AY40" s="9">
        <f>'1'!BS40</f>
        <v>0.76286025053788065</v>
      </c>
      <c r="AZ40" s="9">
        <f>'2'!BQ40</f>
        <v>0.29758483743233022</v>
      </c>
      <c r="BA40" s="9">
        <f>'2'!BS40</f>
        <v>0.43669027579590569</v>
      </c>
      <c r="BB40" s="9">
        <f>'3'!V40</f>
        <v>0.56244896390438914</v>
      </c>
      <c r="BC40" s="9">
        <f>'8'!AJ37</f>
        <v>0.48731835015735403</v>
      </c>
      <c r="BD40" s="9">
        <f t="shared" si="34"/>
        <v>0.54216525241058267</v>
      </c>
      <c r="BE40" s="9">
        <f t="shared" si="35"/>
        <v>0.56741616829612862</v>
      </c>
      <c r="BF40" s="9">
        <f>'1'!CA40</f>
        <v>0.58768660768432635</v>
      </c>
      <c r="BG40" s="9">
        <f>'1'!CC40</f>
        <v>0.66453081992756835</v>
      </c>
      <c r="BH40" s="9">
        <f>'2'!CA40</f>
        <v>0.31784881029076906</v>
      </c>
      <c r="BI40" s="9">
        <f>'2'!CC40</f>
        <v>0.46097091721101546</v>
      </c>
      <c r="BJ40" s="9">
        <f>'3'!Y40</f>
        <v>0.49264812516604545</v>
      </c>
      <c r="BK40" s="9">
        <f>'8'!AO37</f>
        <v>0.53490233870051695</v>
      </c>
      <c r="BL40" s="9">
        <f t="shared" si="36"/>
        <v>0.50685215424251551</v>
      </c>
      <c r="BM40" s="9">
        <f t="shared" si="37"/>
        <v>0.53653320738318855</v>
      </c>
      <c r="BN40" s="9">
        <f>'1'!CK40</f>
        <v>0.52290842253150849</v>
      </c>
      <c r="BO40" s="9">
        <f>'1'!CM40</f>
        <v>0.60634452234550229</v>
      </c>
      <c r="BP40" s="9">
        <f>'2'!CK40</f>
        <v>0.47033701053853599</v>
      </c>
      <c r="BQ40" s="9">
        <f>'2'!CM40</f>
        <v>0.61623975721290891</v>
      </c>
      <c r="BR40" s="9">
        <f>'3'!AB40</f>
        <v>0.50039360026875235</v>
      </c>
      <c r="BS40" s="9">
        <f>'8'!AT37</f>
        <v>0.53730076682248606</v>
      </c>
      <c r="BT40" s="9">
        <f t="shared" si="38"/>
        <v>0.51296305571440204</v>
      </c>
      <c r="BU40" s="9">
        <f t="shared" si="39"/>
        <v>0.54424055034463814</v>
      </c>
      <c r="BV40" s="9">
        <f>'1'!CU40</f>
        <v>0.69899179728158278</v>
      </c>
      <c r="BW40" s="9">
        <f>'1'!CW40</f>
        <v>0.7571807734887801</v>
      </c>
      <c r="BX40" s="9">
        <f>'2'!CU40</f>
        <v>0.58103322241899913</v>
      </c>
      <c r="BY40" s="9">
        <f>'2'!CW40</f>
        <v>0.70699540486502366</v>
      </c>
      <c r="BZ40" s="9">
        <f>'3'!AE40</f>
        <v>0.66093077439176251</v>
      </c>
      <c r="CA40" s="9">
        <f>'8'!AY37</f>
        <v>0.60255218635365027</v>
      </c>
      <c r="CB40" s="9">
        <f t="shared" si="40"/>
        <v>0.6430396473610166</v>
      </c>
      <c r="CC40" s="9">
        <f t="shared" si="41"/>
        <v>0.66727366084705853</v>
      </c>
      <c r="CD40" s="9">
        <f>'1'!DE40</f>
        <v>0.69977640301901978</v>
      </c>
      <c r="CE40" s="9">
        <f>'1'!DG40</f>
        <v>0.75780415330257112</v>
      </c>
      <c r="CF40" s="9">
        <f>'2'!DE40</f>
        <v>0.4088294434636604</v>
      </c>
      <c r="CG40" s="9">
        <f>'2'!DG40</f>
        <v>0.55866439966469406</v>
      </c>
      <c r="CH40" s="9">
        <f>'3'!AH40</f>
        <v>0.27951742630665571</v>
      </c>
      <c r="CI40" s="9">
        <f>'8'!BD37</f>
        <v>0.49134483678116497</v>
      </c>
      <c r="CJ40" s="9">
        <f t="shared" si="42"/>
        <v>0.44004864650718178</v>
      </c>
      <c r="CK40" s="9">
        <f t="shared" si="43"/>
        <v>0.46663769218399542</v>
      </c>
    </row>
    <row r="41" spans="1:89">
      <c r="A41" s="1">
        <v>2003</v>
      </c>
      <c r="B41" s="9">
        <f>'1'!I41</f>
        <v>0.66790011172971175</v>
      </c>
      <c r="C41" s="9">
        <f>'1'!K41</f>
        <v>0.73215777558066708</v>
      </c>
      <c r="D41" s="9">
        <f>'2'!I41</f>
        <v>0.36351439297037474</v>
      </c>
      <c r="E41" s="9">
        <f>'2'!K41</f>
        <v>0.5121244684058377</v>
      </c>
      <c r="F41" s="9">
        <f>'3'!D41</f>
        <v>0.50314279809928009</v>
      </c>
      <c r="G41" s="9">
        <f>'8'!F38</f>
        <v>0.50774013929159489</v>
      </c>
      <c r="H41" s="9">
        <f t="shared" si="22"/>
        <v>0.52351062267017034</v>
      </c>
      <c r="I41" s="9">
        <f t="shared" si="23"/>
        <v>0.55122316298390772</v>
      </c>
      <c r="J41" s="9">
        <f>'1'!S41</f>
        <v>0.53172913282398937</v>
      </c>
      <c r="K41" s="9">
        <f>'1'!U41</f>
        <v>0.61447090905261836</v>
      </c>
      <c r="L41" s="9">
        <f>'2'!S41</f>
        <v>0.43504105123682457</v>
      </c>
      <c r="M41" s="9">
        <f>'2'!U41</f>
        <v>0.58392450395815643</v>
      </c>
      <c r="N41" s="9">
        <f>'3'!G41</f>
        <v>0.33795374537894463</v>
      </c>
      <c r="O41" s="9">
        <f>'8'!K38</f>
        <v>0.45163289883695507</v>
      </c>
      <c r="P41" s="9">
        <f t="shared" si="24"/>
        <v>0.4205212994911447</v>
      </c>
      <c r="Q41" s="9">
        <f t="shared" si="25"/>
        <v>0.45195800000900371</v>
      </c>
      <c r="R41" s="9">
        <f>'1'!AC41</f>
        <v>0.56484597538070591</v>
      </c>
      <c r="S41" s="9">
        <f>'1'!AE41</f>
        <v>0.64440113265761823</v>
      </c>
      <c r="T41" s="9">
        <f>'2'!AC41</f>
        <v>0.22900414900116234</v>
      </c>
      <c r="U41" s="9">
        <f>'2'!AE41</f>
        <v>0.34574090115885681</v>
      </c>
      <c r="V41" s="9">
        <f>'3'!J41</f>
        <v>0.68916827438751882</v>
      </c>
      <c r="W41" s="9">
        <f>'8'!P38</f>
        <v>0.44015235940963948</v>
      </c>
      <c r="X41" s="9">
        <f t="shared" si="26"/>
        <v>0.54358262755415676</v>
      </c>
      <c r="Y41" s="9">
        <f t="shared" si="27"/>
        <v>0.57116733422530874</v>
      </c>
      <c r="Z41" s="9">
        <f>'1'!AM41</f>
        <v>0.66216294347264948</v>
      </c>
      <c r="AA41" s="9">
        <f>'1'!AO41</f>
        <v>0.72747075158400254</v>
      </c>
      <c r="AB41" s="9">
        <f>'2'!AM41</f>
        <v>0.2616420657755083</v>
      </c>
      <c r="AC41" s="9">
        <f>'2'!AO41</f>
        <v>0.3908616405066308</v>
      </c>
      <c r="AD41" s="9">
        <f>'3'!M41</f>
        <v>0.42297176542006165</v>
      </c>
      <c r="AE41" s="9">
        <f>'8'!U38</f>
        <v>0.47815479311819797</v>
      </c>
      <c r="AF41" s="9">
        <f t="shared" si="28"/>
        <v>0.47123193937556485</v>
      </c>
      <c r="AG41" s="9">
        <f t="shared" si="29"/>
        <v>0.49721545847094772</v>
      </c>
      <c r="AH41" s="9">
        <f>'1'!AW41</f>
        <v>0.51812443683337017</v>
      </c>
      <c r="AI41" s="9">
        <f>'1'!AY41</f>
        <v>0.60190914927118433</v>
      </c>
      <c r="AJ41" s="9">
        <f>'2'!AW41</f>
        <v>0.30359612753296683</v>
      </c>
      <c r="AK41" s="9">
        <f>'2'!AY41</f>
        <v>0.44400312984522916</v>
      </c>
      <c r="AL41" s="9">
        <f>'3'!P41</f>
        <v>0.41160953420023483</v>
      </c>
      <c r="AM41" s="9">
        <f>'8'!Z38</f>
        <v>0.44398761411016308</v>
      </c>
      <c r="AN41" s="9">
        <f t="shared" si="30"/>
        <v>0.43182459803311357</v>
      </c>
      <c r="AO41" s="9">
        <f t="shared" si="31"/>
        <v>0.46262224075190267</v>
      </c>
      <c r="AP41" s="9">
        <f>'1'!BG41</f>
        <v>0.59300707319132673</v>
      </c>
      <c r="AQ41" s="9">
        <f>'1'!BI41</f>
        <v>0.66916181013582332</v>
      </c>
      <c r="AR41" s="9">
        <f>'2'!BG41</f>
        <v>0.33198937478293461</v>
      </c>
      <c r="AS41" s="9">
        <f>'2'!BI41</f>
        <v>0.4773139207600619</v>
      </c>
      <c r="AT41" s="9">
        <f>'3'!S41</f>
        <v>0.54527135809527338</v>
      </c>
      <c r="AU41" s="9">
        <f>'8'!AE38</f>
        <v>0.52412010189365599</v>
      </c>
      <c r="AV41" s="9">
        <f t="shared" si="32"/>
        <v>0.52714492592276496</v>
      </c>
      <c r="AW41" s="9">
        <f t="shared" si="33"/>
        <v>0.55690832790937694</v>
      </c>
      <c r="AX41" s="9">
        <f>'1'!BQ41</f>
        <v>0.72814586378270407</v>
      </c>
      <c r="AY41" s="9">
        <f>'1'!BS41</f>
        <v>0.78008528358466378</v>
      </c>
      <c r="AZ41" s="9">
        <f>'2'!BQ41</f>
        <v>0.30341941194699057</v>
      </c>
      <c r="BA41" s="9">
        <f>'2'!BS41</f>
        <v>0.44378950320805027</v>
      </c>
      <c r="BB41" s="9">
        <f>'3'!V41</f>
        <v>0.582872589220094</v>
      </c>
      <c r="BC41" s="9">
        <f>'8'!AJ38</f>
        <v>0.48863746059964691</v>
      </c>
      <c r="BD41" s="9">
        <f t="shared" si="34"/>
        <v>0.55571138781917151</v>
      </c>
      <c r="BE41" s="9">
        <f t="shared" si="35"/>
        <v>0.58013628090566949</v>
      </c>
      <c r="BF41" s="9">
        <f>'1'!CA41</f>
        <v>0.60406633948456723</v>
      </c>
      <c r="BG41" s="9">
        <f>'1'!CC41</f>
        <v>0.67871939582636442</v>
      </c>
      <c r="BH41" s="9">
        <f>'2'!CA41</f>
        <v>0.32238280986879825</v>
      </c>
      <c r="BI41" s="9">
        <f>'2'!CC41</f>
        <v>0.46626301861092806</v>
      </c>
      <c r="BJ41" s="9">
        <f>'3'!Y41</f>
        <v>0.5280502759686404</v>
      </c>
      <c r="BK41" s="9">
        <f>'8'!AO38</f>
        <v>0.54275876846982352</v>
      </c>
      <c r="BL41" s="9">
        <f t="shared" si="36"/>
        <v>0.52709928981219645</v>
      </c>
      <c r="BM41" s="9">
        <f t="shared" si="37"/>
        <v>0.55641792195476891</v>
      </c>
      <c r="BN41" s="9">
        <f>'1'!CK41</f>
        <v>0.53560443588310236</v>
      </c>
      <c r="BO41" s="9">
        <f>'1'!CM41</f>
        <v>0.61802025818743667</v>
      </c>
      <c r="BP41" s="9">
        <f>'2'!CK41</f>
        <v>0.49710904465845734</v>
      </c>
      <c r="BQ41" s="9">
        <f>'2'!CM41</f>
        <v>0.63956910342030737</v>
      </c>
      <c r="BR41" s="9">
        <f>'3'!AB41</f>
        <v>0.49367216324488522</v>
      </c>
      <c r="BS41" s="9">
        <f>'8'!AT38</f>
        <v>0.55049116782559471</v>
      </c>
      <c r="BT41" s="9">
        <f t="shared" si="38"/>
        <v>0.5194480072880987</v>
      </c>
      <c r="BU41" s="9">
        <f t="shared" si="39"/>
        <v>0.5501771776251505</v>
      </c>
      <c r="BV41" s="9">
        <f>'1'!CU41</f>
        <v>0.71339040960749223</v>
      </c>
      <c r="BW41" s="9">
        <f>'1'!CW41</f>
        <v>0.7685588532465637</v>
      </c>
      <c r="BX41" s="9">
        <f>'2'!CU41</f>
        <v>0.62127111995067152</v>
      </c>
      <c r="BY41" s="9">
        <f>'2'!CW41</f>
        <v>0.73666348204483123</v>
      </c>
      <c r="BZ41" s="9">
        <f>'3'!AE41</f>
        <v>0.53860890889353696</v>
      </c>
      <c r="CA41" s="9">
        <f>'8'!AY38</f>
        <v>0.5872506918372582</v>
      </c>
      <c r="CB41" s="9">
        <f t="shared" si="40"/>
        <v>0.59642396502515782</v>
      </c>
      <c r="CC41" s="9">
        <f t="shared" si="41"/>
        <v>0.61899688996238811</v>
      </c>
      <c r="CD41" s="9">
        <f>'1'!DE41</f>
        <v>0.71973601901368522</v>
      </c>
      <c r="CE41" s="9">
        <f>'1'!DG41</f>
        <v>0.77353221225075286</v>
      </c>
      <c r="CF41" s="9">
        <f>'2'!DE41</f>
        <v>0.42497449107229696</v>
      </c>
      <c r="CG41" s="9">
        <f>'2'!DG41</f>
        <v>0.57435711758698982</v>
      </c>
      <c r="CH41" s="9">
        <f>'3'!AH41</f>
        <v>0.30568836782083347</v>
      </c>
      <c r="CI41" s="9">
        <f>'8'!BD38</f>
        <v>0.47764982398540601</v>
      </c>
      <c r="CJ41" s="9">
        <f t="shared" si="42"/>
        <v>0.45201494723392194</v>
      </c>
      <c r="CK41" s="9">
        <f t="shared" si="43"/>
        <v>0.47771244853280476</v>
      </c>
    </row>
    <row r="42" spans="1:89">
      <c r="A42" s="1">
        <v>2004</v>
      </c>
      <c r="B42" s="9">
        <f>'1'!I42</f>
        <v>0.6899340129521192</v>
      </c>
      <c r="C42" s="9">
        <f>'1'!K42</f>
        <v>0.74995577721682849</v>
      </c>
      <c r="D42" s="9">
        <f>'2'!I42</f>
        <v>0.37961828068370757</v>
      </c>
      <c r="E42" s="9">
        <f>'2'!K42</f>
        <v>0.52910831465534658</v>
      </c>
      <c r="F42" s="9">
        <f>'3'!D42</f>
        <v>0.47808133692446614</v>
      </c>
      <c r="G42" s="9">
        <f>'8'!F39</f>
        <v>0.51596623412325804</v>
      </c>
      <c r="H42" s="9">
        <f t="shared" si="22"/>
        <v>0.52197103566555847</v>
      </c>
      <c r="I42" s="9">
        <f t="shared" si="23"/>
        <v>0.54892439191566422</v>
      </c>
      <c r="J42" s="9">
        <f>'1'!S42</f>
        <v>0.54784729185012326</v>
      </c>
      <c r="K42" s="9">
        <f>'1'!U42</f>
        <v>0.62915077446744916</v>
      </c>
      <c r="L42" s="9">
        <f>'2'!S42</f>
        <v>0.48431866550680364</v>
      </c>
      <c r="M42" s="9">
        <f>'2'!U42</f>
        <v>0.6285441479245214</v>
      </c>
      <c r="N42" s="9">
        <f>'3'!G42</f>
        <v>0.31268665690853231</v>
      </c>
      <c r="O42" s="9">
        <f>'8'!K39</f>
        <v>0.43060369246007757</v>
      </c>
      <c r="P42" s="9">
        <f t="shared" si="24"/>
        <v>0.41225709542214117</v>
      </c>
      <c r="Q42" s="9">
        <f t="shared" si="25"/>
        <v>0.44294034018737816</v>
      </c>
      <c r="R42" s="9">
        <f>'1'!AC42</f>
        <v>0.56770374652001532</v>
      </c>
      <c r="S42" s="9">
        <f>'1'!AE42</f>
        <v>0.64694215130376953</v>
      </c>
      <c r="T42" s="9">
        <f>'2'!AC42</f>
        <v>0.23897996945008093</v>
      </c>
      <c r="U42" s="9">
        <f>'2'!AE42</f>
        <v>0.35992027333288035</v>
      </c>
      <c r="V42" s="9">
        <f>'3'!J42</f>
        <v>0.71652592922084468</v>
      </c>
      <c r="W42" s="9">
        <f>'8'!P39</f>
        <v>0.43167904981643213</v>
      </c>
      <c r="X42" s="9">
        <f t="shared" si="26"/>
        <v>0.55355283288227863</v>
      </c>
      <c r="Y42" s="9">
        <f t="shared" si="27"/>
        <v>0.5814945442273094</v>
      </c>
      <c r="Z42" s="9">
        <f>'1'!AM42</f>
        <v>0.67988602680818677</v>
      </c>
      <c r="AA42" s="9">
        <f>'1'!AO42</f>
        <v>0.74187898689348075</v>
      </c>
      <c r="AB42" s="9">
        <f>'2'!AM42</f>
        <v>0.26984703651749492</v>
      </c>
      <c r="AC42" s="9">
        <f>'2'!AO42</f>
        <v>0.40165721446367503</v>
      </c>
      <c r="AD42" s="9">
        <f>'3'!M42</f>
        <v>0.44957251458312769</v>
      </c>
      <c r="AE42" s="9">
        <f>'8'!U39</f>
        <v>0.50070210592867204</v>
      </c>
      <c r="AF42" s="9">
        <f t="shared" si="28"/>
        <v>0.49300154662523954</v>
      </c>
      <c r="AG42" s="9">
        <f t="shared" si="29"/>
        <v>0.51858115643691638</v>
      </c>
      <c r="AH42" s="9">
        <f>'1'!AW42</f>
        <v>0.55061841542550904</v>
      </c>
      <c r="AI42" s="9">
        <f>'1'!AY42</f>
        <v>0.6316529113060152</v>
      </c>
      <c r="AJ42" s="9">
        <f>'2'!AW42</f>
        <v>0.31874962048666344</v>
      </c>
      <c r="AK42" s="9">
        <f>'2'!AY42</f>
        <v>0.46202631876990846</v>
      </c>
      <c r="AL42" s="9">
        <f>'3'!P42</f>
        <v>0.43961543511611179</v>
      </c>
      <c r="AM42" s="9">
        <f>'8'!Z39</f>
        <v>0.45778132091988288</v>
      </c>
      <c r="AN42" s="9">
        <f t="shared" si="30"/>
        <v>0.45517921545617779</v>
      </c>
      <c r="AO42" s="9">
        <f t="shared" si="31"/>
        <v>0.48571378446060354</v>
      </c>
      <c r="AP42" s="9">
        <f>'1'!BG42</f>
        <v>0.61255407428745345</v>
      </c>
      <c r="AQ42" s="9">
        <f>'1'!BI42</f>
        <v>0.68599276792918085</v>
      </c>
      <c r="AR42" s="9">
        <f>'2'!BG42</f>
        <v>0.34386656268445254</v>
      </c>
      <c r="AS42" s="9">
        <f>'2'!BI42</f>
        <v>0.49068322761589422</v>
      </c>
      <c r="AT42" s="9">
        <f>'3'!S42</f>
        <v>0.58104128717154824</v>
      </c>
      <c r="AU42" s="9">
        <f>'8'!AE39</f>
        <v>0.55248116841431039</v>
      </c>
      <c r="AV42" s="9">
        <f t="shared" si="32"/>
        <v>0.55505833651884839</v>
      </c>
      <c r="AW42" s="9">
        <f t="shared" si="33"/>
        <v>0.58442774174033807</v>
      </c>
      <c r="AX42" s="9">
        <f>'1'!BQ42</f>
        <v>0.75127092994033673</v>
      </c>
      <c r="AY42" s="9">
        <f>'1'!BS42</f>
        <v>0.79788496891546279</v>
      </c>
      <c r="AZ42" s="9">
        <f>'2'!BQ42</f>
        <v>0.3138672498996436</v>
      </c>
      <c r="BA42" s="9">
        <f>'2'!BS42</f>
        <v>0.45628219029951711</v>
      </c>
      <c r="BB42" s="9">
        <f>'3'!V42</f>
        <v>0.49364007922877107</v>
      </c>
      <c r="BC42" s="9">
        <f>'8'!AJ39</f>
        <v>0.48246168512621723</v>
      </c>
      <c r="BD42" s="9">
        <f t="shared" si="34"/>
        <v>0.52383544820740535</v>
      </c>
      <c r="BE42" s="9">
        <f t="shared" si="35"/>
        <v>0.54739975004241792</v>
      </c>
      <c r="BF42" s="9">
        <f>'1'!CA42</f>
        <v>0.62366146387753496</v>
      </c>
      <c r="BG42" s="9">
        <f>'1'!CC42</f>
        <v>0.69543126379156506</v>
      </c>
      <c r="BH42" s="9">
        <f>'2'!CA42</f>
        <v>0.33293516459729988</v>
      </c>
      <c r="BI42" s="9">
        <f>'2'!CC42</f>
        <v>0.47839025614465241</v>
      </c>
      <c r="BJ42" s="9">
        <f>'3'!Y42</f>
        <v>0.52659501140425125</v>
      </c>
      <c r="BK42" s="9">
        <f>'8'!AO39</f>
        <v>0.54216681123845067</v>
      </c>
      <c r="BL42" s="9">
        <f t="shared" si="36"/>
        <v>0.53131385716847268</v>
      </c>
      <c r="BM42" s="9">
        <f t="shared" si="37"/>
        <v>0.56021332630601395</v>
      </c>
      <c r="BN42" s="9">
        <f>'1'!CK42</f>
        <v>0.55339212990848174</v>
      </c>
      <c r="BO42" s="9">
        <f>'1'!CM42</f>
        <v>0.63415109313756368</v>
      </c>
      <c r="BP42" s="9">
        <f>'2'!CK42</f>
        <v>0.52583069429502505</v>
      </c>
      <c r="BQ42" s="9">
        <f>'2'!CM42</f>
        <v>0.66356579728393372</v>
      </c>
      <c r="BR42" s="9">
        <f>'3'!AB42</f>
        <v>0.39251773049857858</v>
      </c>
      <c r="BS42" s="9">
        <f>'8'!AT39</f>
        <v>0.56127288956406873</v>
      </c>
      <c r="BT42" s="9">
        <f t="shared" si="38"/>
        <v>0.48865045447985089</v>
      </c>
      <c r="BU42" s="9">
        <f t="shared" si="39"/>
        <v>0.51857575742455819</v>
      </c>
      <c r="BV42" s="9">
        <f>'1'!CU42</f>
        <v>0.73684749328894783</v>
      </c>
      <c r="BW42" s="9">
        <f>'1'!CW42</f>
        <v>0.78682052485356113</v>
      </c>
      <c r="BX42" s="9">
        <f>'2'!CU42</f>
        <v>0.64915590754528329</v>
      </c>
      <c r="BY42" s="9">
        <f>'2'!CW42</f>
        <v>0.75634198166826749</v>
      </c>
      <c r="BZ42" s="9">
        <f>'3'!AE42</f>
        <v>0.53870975031676926</v>
      </c>
      <c r="CA42" s="9">
        <f>'8'!AY39</f>
        <v>0.59647555754004333</v>
      </c>
      <c r="CB42" s="9">
        <f t="shared" si="40"/>
        <v>0.60671165680103856</v>
      </c>
      <c r="CC42" s="9">
        <f t="shared" si="41"/>
        <v>0.62742487052625973</v>
      </c>
      <c r="CD42" s="9">
        <f>'1'!DE42</f>
        <v>0.7440893030786524</v>
      </c>
      <c r="CE42" s="9">
        <f>'1'!DG42</f>
        <v>0.79239123227672281</v>
      </c>
      <c r="CF42" s="9">
        <f>'2'!DE42</f>
        <v>0.43697907497870775</v>
      </c>
      <c r="CG42" s="9">
        <f>'2'!DG42</f>
        <v>0.58574788416938817</v>
      </c>
      <c r="CH42" s="9">
        <f>'3'!AH42</f>
        <v>0.32658628401928419</v>
      </c>
      <c r="CI42" s="9">
        <f>'8'!BD39</f>
        <v>0.49377195146083552</v>
      </c>
      <c r="CJ42" s="9">
        <f t="shared" si="42"/>
        <v>0.47128186715956566</v>
      </c>
      <c r="CK42" s="9">
        <f t="shared" si="43"/>
        <v>0.49581913391824772</v>
      </c>
    </row>
    <row r="43" spans="1:89">
      <c r="A43" s="1">
        <v>2005</v>
      </c>
      <c r="B43" s="9">
        <f>'1'!I43</f>
        <v>0.71372649724491843</v>
      </c>
      <c r="C43" s="9">
        <f>'1'!K43</f>
        <v>0.7688228865667871</v>
      </c>
      <c r="D43" s="9">
        <f>'2'!I43</f>
        <v>0.40536908875496142</v>
      </c>
      <c r="E43" s="9">
        <f>'2'!K43</f>
        <v>0.55524322943660276</v>
      </c>
      <c r="F43" s="9">
        <f>'3'!D43</f>
        <v>0.48807374584042851</v>
      </c>
      <c r="G43" s="9">
        <f>'8'!F40</f>
        <v>0.51756411217884624</v>
      </c>
      <c r="H43" s="9">
        <f t="shared" si="22"/>
        <v>0.53378094031430512</v>
      </c>
      <c r="I43" s="9">
        <f t="shared" si="23"/>
        <v>0.55978763224684303</v>
      </c>
      <c r="J43" s="9">
        <f>'1'!S43</f>
        <v>0.56734103853214679</v>
      </c>
      <c r="K43" s="9">
        <f>'1'!U43</f>
        <v>0.64662000534747111</v>
      </c>
      <c r="L43" s="9">
        <f>'2'!S43</f>
        <v>0.66885863556400604</v>
      </c>
      <c r="M43" s="9">
        <f>'2'!U43</f>
        <v>0.76984245476362967</v>
      </c>
      <c r="N43" s="9">
        <f>'3'!G43</f>
        <v>0.41717623790078512</v>
      </c>
      <c r="O43" s="9">
        <f>'8'!K40</f>
        <v>0.42251369007689143</v>
      </c>
      <c r="P43" s="9">
        <f t="shared" si="24"/>
        <v>0.47397867344621147</v>
      </c>
      <c r="Q43" s="9">
        <f t="shared" si="25"/>
        <v>0.49993284872923871</v>
      </c>
      <c r="R43" s="9">
        <f>'1'!AC43</f>
        <v>0.60345604697787936</v>
      </c>
      <c r="S43" s="9">
        <f>'1'!AE43</f>
        <v>0.67819436182202142</v>
      </c>
      <c r="T43" s="9">
        <f>'2'!AC43</f>
        <v>0.24750011277354897</v>
      </c>
      <c r="U43" s="9">
        <f>'2'!AE43</f>
        <v>0.37175375611182815</v>
      </c>
      <c r="V43" s="9">
        <f>'3'!J43</f>
        <v>0.79981263567032657</v>
      </c>
      <c r="W43" s="9">
        <f>'8'!P40</f>
        <v>0.45814107602301746</v>
      </c>
      <c r="X43" s="9">
        <f t="shared" si="26"/>
        <v>0.60280859774796669</v>
      </c>
      <c r="Y43" s="9">
        <f t="shared" si="27"/>
        <v>0.63018162505062303</v>
      </c>
      <c r="Z43" s="9">
        <f>'1'!AM43</f>
        <v>0.71271455410885742</v>
      </c>
      <c r="AA43" s="9">
        <f>'1'!AO43</f>
        <v>0.76802768286917122</v>
      </c>
      <c r="AB43" s="9">
        <f>'2'!AM43</f>
        <v>0.27722613294341197</v>
      </c>
      <c r="AC43" s="9">
        <f>'2'!AO43</f>
        <v>0.41119223556217116</v>
      </c>
      <c r="AD43" s="9">
        <f>'3'!M43</f>
        <v>0.51561518787071703</v>
      </c>
      <c r="AE43" s="9">
        <f>'8'!U40</f>
        <v>0.49780100951551504</v>
      </c>
      <c r="AF43" s="9">
        <f t="shared" si="28"/>
        <v>0.52585190211905397</v>
      </c>
      <c r="AG43" s="9">
        <f t="shared" si="29"/>
        <v>0.55031113813299271</v>
      </c>
      <c r="AH43" s="9">
        <f>'1'!AW43</f>
        <v>0.57481853634458058</v>
      </c>
      <c r="AI43" s="9">
        <f>'1'!AY43</f>
        <v>0.65324025762074345</v>
      </c>
      <c r="AJ43" s="9">
        <f>'2'!AW43</f>
        <v>0.32378230106263473</v>
      </c>
      <c r="AK43" s="9">
        <f>'2'!AY43</f>
        <v>0.46788650069075677</v>
      </c>
      <c r="AL43" s="9">
        <f>'3'!P43</f>
        <v>0.42016097926032597</v>
      </c>
      <c r="AM43" s="9">
        <f>'8'!Z40</f>
        <v>0.42027655538547404</v>
      </c>
      <c r="AN43" s="9">
        <f t="shared" si="30"/>
        <v>0.44148929569495221</v>
      </c>
      <c r="AO43" s="9">
        <f t="shared" si="31"/>
        <v>0.47158405991299701</v>
      </c>
      <c r="AP43" s="9">
        <f>'1'!BG43</f>
        <v>0.63530967005613881</v>
      </c>
      <c r="AQ43" s="9">
        <f>'1'!BI43</f>
        <v>0.70523393292264258</v>
      </c>
      <c r="AR43" s="9">
        <f>'2'!BG43</f>
        <v>0.35302359087848501</v>
      </c>
      <c r="AS43" s="9">
        <f>'2'!BI43</f>
        <v>0.50077790402465272</v>
      </c>
      <c r="AT43" s="9">
        <f>'3'!S43</f>
        <v>0.51263688744710445</v>
      </c>
      <c r="AU43" s="9">
        <f>'8'!AE40</f>
        <v>0.52681679918809898</v>
      </c>
      <c r="AV43" s="9">
        <f t="shared" si="32"/>
        <v>0.52546408783434773</v>
      </c>
      <c r="AW43" s="9">
        <f t="shared" si="33"/>
        <v>0.55422437172226524</v>
      </c>
      <c r="AX43" s="9">
        <f>'1'!BQ43</f>
        <v>0.7671852223443808</v>
      </c>
      <c r="AY43" s="9">
        <f>'1'!BS43</f>
        <v>0.80995177057621737</v>
      </c>
      <c r="AZ43" s="9">
        <f>'2'!BQ43</f>
        <v>0.3241234001951937</v>
      </c>
      <c r="BA43" s="9">
        <f>'2'!BS43</f>
        <v>0.46828148382615659</v>
      </c>
      <c r="BB43" s="9">
        <f>'3'!V43</f>
        <v>0.52630836895137612</v>
      </c>
      <c r="BC43" s="9">
        <f>'8'!AJ40</f>
        <v>0.47790822092754648</v>
      </c>
      <c r="BD43" s="9">
        <f t="shared" si="34"/>
        <v>0.53974519834720991</v>
      </c>
      <c r="BE43" s="9">
        <f t="shared" si="35"/>
        <v>0.56271431635667357</v>
      </c>
      <c r="BF43" s="9">
        <f>'1'!CA43</f>
        <v>0.64673864136269321</v>
      </c>
      <c r="BG43" s="9">
        <f>'1'!CC43</f>
        <v>0.71475900459265795</v>
      </c>
      <c r="BH43" s="9">
        <f>'2'!CA43</f>
        <v>0.34387012601600742</v>
      </c>
      <c r="BI43" s="9">
        <f>'2'!CC43</f>
        <v>0.49068719128105531</v>
      </c>
      <c r="BJ43" s="9">
        <f>'3'!Y43</f>
        <v>0.48161275480134491</v>
      </c>
      <c r="BK43" s="9">
        <f>'8'!AO40</f>
        <v>0.52631429879034175</v>
      </c>
      <c r="BL43" s="9">
        <f t="shared" si="36"/>
        <v>0.51427413243177988</v>
      </c>
      <c r="BM43" s="9">
        <f t="shared" si="37"/>
        <v>0.54255991160427763</v>
      </c>
      <c r="BN43" s="9">
        <f>'1'!CK43</f>
        <v>0.58230504715343268</v>
      </c>
      <c r="BO43" s="9">
        <f>'1'!CM43</f>
        <v>0.65982458940258237</v>
      </c>
      <c r="BP43" s="9">
        <f>'2'!CK43</f>
        <v>0.57852148042930429</v>
      </c>
      <c r="BQ43" s="9">
        <f>'2'!CM43</f>
        <v>0.70509050201438339</v>
      </c>
      <c r="BR43" s="9">
        <f>'3'!AB43</f>
        <v>0.24171567320173007</v>
      </c>
      <c r="BS43" s="9">
        <f>'8'!AT40</f>
        <v>0.54506159028490564</v>
      </c>
      <c r="BT43" s="9">
        <f t="shared" si="38"/>
        <v>0.43451790383978067</v>
      </c>
      <c r="BU43" s="9">
        <f t="shared" si="39"/>
        <v>0.46267871444811853</v>
      </c>
      <c r="BV43" s="9">
        <f>'1'!CU43</f>
        <v>0.77732575418068017</v>
      </c>
      <c r="BW43" s="9">
        <f>'1'!CW43</f>
        <v>0.81756494731194584</v>
      </c>
      <c r="BX43" s="9">
        <f>'2'!CU43</f>
        <v>0.70766384053771147</v>
      </c>
      <c r="BY43" s="9">
        <f>'2'!CW43</f>
        <v>0.79552007001436353</v>
      </c>
      <c r="BZ43" s="9">
        <f>'3'!AE43</f>
        <v>0.64714629773438359</v>
      </c>
      <c r="CA43" s="9">
        <f>'8'!AY40</f>
        <v>0.63693588629069842</v>
      </c>
      <c r="CB43" s="9">
        <f t="shared" si="40"/>
        <v>0.67617081987087024</v>
      </c>
      <c r="CC43" s="9">
        <f t="shared" si="41"/>
        <v>0.69300428144478854</v>
      </c>
      <c r="CD43" s="9">
        <f>'1'!DE43</f>
        <v>0.77521463590000705</v>
      </c>
      <c r="CE43" s="9">
        <f>'1'!DG43</f>
        <v>0.81598479052293449</v>
      </c>
      <c r="CF43" s="9">
        <f>'2'!DE43</f>
        <v>0.4581115591036915</v>
      </c>
      <c r="CG43" s="9">
        <f>'2'!DG43</f>
        <v>0.60525571454050686</v>
      </c>
      <c r="CH43" s="9">
        <f>'3'!AH43</f>
        <v>0.36152238234555356</v>
      </c>
      <c r="CI43" s="9">
        <f>'8'!BD40</f>
        <v>0.54289205102477045</v>
      </c>
      <c r="CJ43" s="9">
        <f t="shared" si="42"/>
        <v>0.50833065133602318</v>
      </c>
      <c r="CK43" s="9">
        <f t="shared" si="43"/>
        <v>0.53119909780429009</v>
      </c>
    </row>
    <row r="44" spans="1:89">
      <c r="A44" s="1">
        <v>2006</v>
      </c>
      <c r="B44" s="9">
        <f>'1'!I44</f>
        <v>0.74822394374285328</v>
      </c>
      <c r="C44" s="9">
        <f>'1'!K44</f>
        <v>0.79555782174810696</v>
      </c>
      <c r="D44" s="9">
        <f>'2'!I44</f>
        <v>0.42590721115943969</v>
      </c>
      <c r="E44" s="9">
        <f>'2'!K44</f>
        <v>0.57525046146595071</v>
      </c>
      <c r="F44" s="9">
        <f>'3'!D44</f>
        <v>0.52715282225268989</v>
      </c>
      <c r="G44" s="9">
        <f>'8'!F41</f>
        <v>0.52194964780300157</v>
      </c>
      <c r="H44" s="9">
        <f t="shared" si="22"/>
        <v>0.55968153310649105</v>
      </c>
      <c r="I44" s="9">
        <f t="shared" si="23"/>
        <v>0.58408263373819291</v>
      </c>
      <c r="J44" s="9">
        <f>'1'!S44</f>
        <v>0.60711570287657335</v>
      </c>
      <c r="K44" s="9">
        <f>'1'!U44</f>
        <v>0.68133861141298679</v>
      </c>
      <c r="L44" s="9">
        <f>'2'!S44</f>
        <v>0.66147399510555338</v>
      </c>
      <c r="M44" s="9">
        <f>'2'!U44</f>
        <v>0.76482034015051148</v>
      </c>
      <c r="N44" s="9">
        <f>'3'!G44</f>
        <v>0.4691003005776756</v>
      </c>
      <c r="O44" s="9">
        <f>'8'!K41</f>
        <v>0.503064502170112</v>
      </c>
      <c r="P44" s="9">
        <f t="shared" si="24"/>
        <v>0.52613001096797385</v>
      </c>
      <c r="Q44" s="9">
        <f t="shared" si="25"/>
        <v>0.55130922717975239</v>
      </c>
      <c r="R44" s="9">
        <f>'1'!AC44</f>
        <v>0.64175689758933185</v>
      </c>
      <c r="S44" s="9">
        <f>'1'!AE44</f>
        <v>0.71061836891863062</v>
      </c>
      <c r="T44" s="9">
        <f>'2'!AC44</f>
        <v>0.26151208445577279</v>
      </c>
      <c r="U44" s="9">
        <f>'2'!AE44</f>
        <v>0.3906889405339487</v>
      </c>
      <c r="V44" s="9">
        <f>'3'!J44</f>
        <v>0.7375042739021751</v>
      </c>
      <c r="W44" s="9">
        <f>'8'!P41</f>
        <v>0.41895251853988613</v>
      </c>
      <c r="X44" s="9">
        <f t="shared" si="26"/>
        <v>0.57519005308627957</v>
      </c>
      <c r="Y44" s="9">
        <f t="shared" si="27"/>
        <v>0.60188003295995685</v>
      </c>
      <c r="Z44" s="9">
        <f>'1'!AM44</f>
        <v>0.7397523396094019</v>
      </c>
      <c r="AA44" s="9">
        <f>'1'!AO44</f>
        <v>0.78905880895977643</v>
      </c>
      <c r="AB44" s="9">
        <f>'2'!AM44</f>
        <v>0.29129625222689898</v>
      </c>
      <c r="AC44" s="9">
        <f>'2'!AO44</f>
        <v>0.42893690816449853</v>
      </c>
      <c r="AD44" s="9">
        <f>'3'!M44</f>
        <v>0.5268125760675364</v>
      </c>
      <c r="AE44" s="9">
        <f>'8'!U41</f>
        <v>0.47442374385681746</v>
      </c>
      <c r="AF44" s="9">
        <f t="shared" si="28"/>
        <v>0.53013224672863013</v>
      </c>
      <c r="AG44" s="9">
        <f t="shared" si="29"/>
        <v>0.55375760619246495</v>
      </c>
      <c r="AH44" s="9">
        <f>'1'!AW44</f>
        <v>0.61433476782738228</v>
      </c>
      <c r="AI44" s="9">
        <f>'1'!AY44</f>
        <v>0.68751195902798623</v>
      </c>
      <c r="AJ44" s="9">
        <f>'2'!AW44</f>
        <v>0.34199372268447509</v>
      </c>
      <c r="AK44" s="9">
        <f>'2'!AY44</f>
        <v>0.48859610130154052</v>
      </c>
      <c r="AL44" s="9">
        <f>'3'!P44</f>
        <v>0.43131973016319719</v>
      </c>
      <c r="AM44" s="9">
        <f>'8'!Z41</f>
        <v>0.42970624808759206</v>
      </c>
      <c r="AN44" s="9">
        <f t="shared" si="30"/>
        <v>0.45850609232548045</v>
      </c>
      <c r="AO44" s="9">
        <f t="shared" si="31"/>
        <v>0.48780176842730782</v>
      </c>
      <c r="AP44" s="9">
        <f>'1'!BG44</f>
        <v>0.66398235260167537</v>
      </c>
      <c r="AQ44" s="9">
        <f>'1'!BI44</f>
        <v>0.72895952749429382</v>
      </c>
      <c r="AR44" s="162">
        <f>'2'!BG44</f>
        <v>0.36578628677586084</v>
      </c>
      <c r="AS44" s="9">
        <f>'2'!BI44</f>
        <v>0.51455181197407462</v>
      </c>
      <c r="AT44" s="9">
        <f>'3'!S44</f>
        <v>0.57410892197845653</v>
      </c>
      <c r="AU44" s="9">
        <f>'8'!AE41</f>
        <v>0.5344464201294542</v>
      </c>
      <c r="AV44" s="9">
        <f t="shared" si="32"/>
        <v>0.55935259402813997</v>
      </c>
      <c r="AW44" s="9">
        <f t="shared" si="33"/>
        <v>0.58722458152648505</v>
      </c>
      <c r="AX44" s="9">
        <f>'1'!BQ44</f>
        <v>0.80030932253686493</v>
      </c>
      <c r="AY44" s="9">
        <f>'1'!BS44</f>
        <v>0.83460730376539338</v>
      </c>
      <c r="AZ44" s="9">
        <f>'2'!BQ44</f>
        <v>0.340401199053396</v>
      </c>
      <c r="BA44" s="9">
        <f>'2'!BS44</f>
        <v>0.48681524930613257</v>
      </c>
      <c r="BB44" s="9">
        <f>'3'!V44</f>
        <v>0.55441660086093891</v>
      </c>
      <c r="BC44" s="9">
        <f>'8'!AJ41</f>
        <v>0.47943308971779913</v>
      </c>
      <c r="BD44" s="9">
        <f t="shared" si="34"/>
        <v>0.55969855167242799</v>
      </c>
      <c r="BE44" s="9">
        <f t="shared" si="35"/>
        <v>0.5811995529434073</v>
      </c>
      <c r="BF44" s="9">
        <f>'1'!CA44</f>
        <v>0.67944169860101478</v>
      </c>
      <c r="BG44" s="9">
        <f>'1'!CC44</f>
        <v>0.74152030577034622</v>
      </c>
      <c r="BH44" s="9">
        <f>'2'!CA44</f>
        <v>0.36160520935213802</v>
      </c>
      <c r="BI44" s="9">
        <f>'2'!CC44</f>
        <v>0.51007651824868594</v>
      </c>
      <c r="BJ44" s="9">
        <f>'3'!Y44</f>
        <v>0.50298529058663566</v>
      </c>
      <c r="BK44" s="9">
        <f>'8'!AO41</f>
        <v>0.54980411080613856</v>
      </c>
      <c r="BL44" s="9">
        <f t="shared" si="36"/>
        <v>0.53818421013191253</v>
      </c>
      <c r="BM44" s="9">
        <f t="shared" si="37"/>
        <v>0.56544706245543375</v>
      </c>
      <c r="BN44" s="9">
        <f>'1'!CK44</f>
        <v>0.61691535423387922</v>
      </c>
      <c r="BO44" s="9">
        <f>'1'!CM44</f>
        <v>0.68970946093279106</v>
      </c>
      <c r="BP44" s="9">
        <f>'2'!CK44</f>
        <v>0.6055595697044075</v>
      </c>
      <c r="BQ44" s="9">
        <f>'2'!CM44</f>
        <v>0.72526464608287067</v>
      </c>
      <c r="BR44" s="9">
        <f>'3'!AB44</f>
        <v>0.28804552089360047</v>
      </c>
      <c r="BS44" s="9">
        <f>'8'!AT41</f>
        <v>0.53957873098526143</v>
      </c>
      <c r="BT44" s="9">
        <f t="shared" si="38"/>
        <v>0.4610308554702352</v>
      </c>
      <c r="BU44" s="9">
        <f t="shared" si="39"/>
        <v>0.48756018444786392</v>
      </c>
      <c r="BV44" s="9">
        <f>'1'!CU44</f>
        <v>0.82155636121690789</v>
      </c>
      <c r="BW44" s="9">
        <f>'1'!CW44</f>
        <v>0.8501061472123983</v>
      </c>
      <c r="BX44" s="9">
        <f>'2'!CU44</f>
        <v>0.76764795213749204</v>
      </c>
      <c r="BY44" s="9">
        <f>'2'!CW44</f>
        <v>0.83303909176405355</v>
      </c>
      <c r="BZ44" s="9">
        <f>'3'!AE44</f>
        <v>0.71123737991806979</v>
      </c>
      <c r="CA44" s="9">
        <f>'8'!AY41</f>
        <v>0.65962016254038347</v>
      </c>
      <c r="CB44" s="9">
        <f t="shared" si="40"/>
        <v>0.72345706818647371</v>
      </c>
      <c r="CC44" s="9">
        <f t="shared" si="41"/>
        <v>0.73570613934822793</v>
      </c>
      <c r="CD44" s="9">
        <f>'1'!DE44</f>
        <v>0.81287046766392557</v>
      </c>
      <c r="CE44" s="9">
        <f>'1'!DG44</f>
        <v>0.84379933290354203</v>
      </c>
      <c r="CF44" s="9">
        <f>'2'!DE44</f>
        <v>0.46242942920911284</v>
      </c>
      <c r="CG44" s="9">
        <f>'2'!DG44</f>
        <v>0.60915969145804394</v>
      </c>
      <c r="CH44" s="9">
        <f>'3'!AH44</f>
        <v>0.38694136955494662</v>
      </c>
      <c r="CI44" s="9">
        <f>'8'!BD41</f>
        <v>0.5260128679861612</v>
      </c>
      <c r="CJ44" s="9">
        <f t="shared" si="42"/>
        <v>0.52139744467152349</v>
      </c>
      <c r="CK44" s="9">
        <f t="shared" si="43"/>
        <v>0.5422562439443398</v>
      </c>
    </row>
    <row r="45" spans="1:89">
      <c r="A45" s="1">
        <v>2007</v>
      </c>
      <c r="B45" s="9">
        <f>'1'!I45</f>
        <v>0.78274165438300747</v>
      </c>
      <c r="C45" s="9">
        <f>'1'!K45</f>
        <v>0.82160725311650906</v>
      </c>
      <c r="D45" s="9">
        <f>'2'!I45</f>
        <v>0.42768292531287988</v>
      </c>
      <c r="E45" s="9">
        <f>'2'!K45</f>
        <v>0.57694729775435283</v>
      </c>
      <c r="F45" s="9">
        <f>'3'!D45</f>
        <v>0.53518203140115705</v>
      </c>
      <c r="G45" s="9">
        <f>'8'!F42</f>
        <v>0.52971044644617782</v>
      </c>
      <c r="H45" s="9">
        <f t="shared" si="22"/>
        <v>0.57230256990220563</v>
      </c>
      <c r="I45" s="9">
        <f t="shared" si="23"/>
        <v>0.59500212689305332</v>
      </c>
      <c r="J45" s="9">
        <f>'1'!S45</f>
        <v>0.6559587064521144</v>
      </c>
      <c r="K45" s="9">
        <f>'1'!U45</f>
        <v>0.72237714310924961</v>
      </c>
      <c r="L45" s="9">
        <f>'2'!S45</f>
        <v>0.71947291479627407</v>
      </c>
      <c r="M45" s="9">
        <f>'2'!U45</f>
        <v>0.80310703695324015</v>
      </c>
      <c r="N45" s="9">
        <f>'3'!G45</f>
        <v>0.5225744277441462</v>
      </c>
      <c r="O45" s="9">
        <f>'8'!K42</f>
        <v>0.47422061376665747</v>
      </c>
      <c r="P45" s="9">
        <f t="shared" si="24"/>
        <v>0.55443498799770607</v>
      </c>
      <c r="Q45" s="9">
        <f t="shared" si="25"/>
        <v>0.5760820875448297</v>
      </c>
      <c r="R45" s="9">
        <f>'1'!AC45</f>
        <v>0.66853084073780777</v>
      </c>
      <c r="S45" s="9">
        <f>'1'!AE45</f>
        <v>0.73267170806466719</v>
      </c>
      <c r="T45" s="9">
        <f>'2'!AC45</f>
        <v>0.265891661587077</v>
      </c>
      <c r="U45" s="9">
        <f>'2'!AE45</f>
        <v>0.39647885589714488</v>
      </c>
      <c r="V45" s="9">
        <f>'3'!J45</f>
        <v>0.80264168779177147</v>
      </c>
      <c r="W45" s="9">
        <f>'8'!P42</f>
        <v>0.45602704685559181</v>
      </c>
      <c r="X45" s="9">
        <f t="shared" si="26"/>
        <v>0.61816012347965543</v>
      </c>
      <c r="Y45" s="9">
        <f t="shared" si="27"/>
        <v>0.64404701637603412</v>
      </c>
      <c r="Z45" s="9">
        <f>'1'!AM45</f>
        <v>0.77687106671694695</v>
      </c>
      <c r="AA45" s="9">
        <f>'1'!AO45</f>
        <v>0.81722482931297291</v>
      </c>
      <c r="AB45" s="9">
        <f>'2'!AM45</f>
        <v>0.29846217273990971</v>
      </c>
      <c r="AC45" s="9">
        <f>'2'!AO45</f>
        <v>0.43776351756161452</v>
      </c>
      <c r="AD45" s="9">
        <f>'3'!M45</f>
        <v>0.48664826436349179</v>
      </c>
      <c r="AE45" s="9">
        <f>'8'!U42</f>
        <v>0.46240489681755076</v>
      </c>
      <c r="AF45" s="9">
        <f t="shared" si="28"/>
        <v>0.51860120540804233</v>
      </c>
      <c r="AG45" s="9">
        <f t="shared" si="29"/>
        <v>0.54060209240941792</v>
      </c>
      <c r="AH45" s="9">
        <f>'1'!AW45</f>
        <v>0.66373896871061133</v>
      </c>
      <c r="AI45" s="9">
        <f>'1'!AY45</f>
        <v>0.72876050189298491</v>
      </c>
      <c r="AJ45" s="9">
        <f>'2'!AW45</f>
        <v>0.35078395762648368</v>
      </c>
      <c r="AK45" s="9">
        <f>'2'!AY45</f>
        <v>0.49832563144138281</v>
      </c>
      <c r="AL45" s="9">
        <f>'3'!P45</f>
        <v>0.42375287452978916</v>
      </c>
      <c r="AM45" s="9">
        <f>'8'!Z42</f>
        <v>0.46219815595868874</v>
      </c>
      <c r="AN45" s="9">
        <f t="shared" si="30"/>
        <v>0.47598678610429296</v>
      </c>
      <c r="AO45" s="9">
        <f t="shared" si="31"/>
        <v>0.50374526012225762</v>
      </c>
      <c r="AP45" s="9">
        <f>'1'!BG45</f>
        <v>0.6945657394459801</v>
      </c>
      <c r="AQ45" s="9">
        <f>'1'!BI45</f>
        <v>0.75365686555642375</v>
      </c>
      <c r="AR45" s="162">
        <f>'2'!BG45</f>
        <v>0.37177909528293296</v>
      </c>
      <c r="AS45" s="9">
        <f>'2'!BI45</f>
        <v>0.5209048384379017</v>
      </c>
      <c r="AT45" s="9">
        <f>'3'!S45</f>
        <v>0.54629721444866153</v>
      </c>
      <c r="AU45" s="9">
        <f>'8'!AE42</f>
        <v>0.54179939300696378</v>
      </c>
      <c r="AV45" s="9">
        <f t="shared" si="32"/>
        <v>0.55714976109904313</v>
      </c>
      <c r="AW45" s="9">
        <f t="shared" si="33"/>
        <v>0.58388056063662874</v>
      </c>
      <c r="AX45" s="9">
        <f>'1'!BQ45</f>
        <v>0.83102631976755947</v>
      </c>
      <c r="AY45" s="9">
        <f>'1'!BS45</f>
        <v>0.85693695596324293</v>
      </c>
      <c r="AZ45" s="9">
        <f>'2'!BQ45</f>
        <v>0.34695529269353176</v>
      </c>
      <c r="BA45" s="9">
        <f>'2'!BS45</f>
        <v>0.49410852811911538</v>
      </c>
      <c r="BB45" s="9">
        <f>'3'!V45</f>
        <v>0.5745115262429128</v>
      </c>
      <c r="BC45" s="9">
        <f>'8'!AJ42</f>
        <v>0.48379150242867963</v>
      </c>
      <c r="BD45" s="9">
        <f t="shared" si="34"/>
        <v>0.57584285444863403</v>
      </c>
      <c r="BE45" s="9">
        <f t="shared" si="35"/>
        <v>0.59574030523032917</v>
      </c>
      <c r="BF45" s="9">
        <f>'1'!CA45</f>
        <v>0.71962194070955743</v>
      </c>
      <c r="BG45" s="9">
        <f>'1'!CC45</f>
        <v>0.77344302300398171</v>
      </c>
      <c r="BH45" s="9">
        <f>'2'!CA45</f>
        <v>0.36849160125548541</v>
      </c>
      <c r="BI45" s="9">
        <f>'2'!CC45</f>
        <v>0.51742862987364047</v>
      </c>
      <c r="BJ45" s="9">
        <f>'3'!Y45</f>
        <v>0.50809557824988527</v>
      </c>
      <c r="BK45" s="9">
        <f>'8'!AO42</f>
        <v>0.54530907348558999</v>
      </c>
      <c r="BL45" s="9">
        <f t="shared" si="36"/>
        <v>0.54760450161309115</v>
      </c>
      <c r="BM45" s="9">
        <f t="shared" si="37"/>
        <v>0.57326242093379154</v>
      </c>
      <c r="BN45" s="9">
        <f>'1'!CK45</f>
        <v>0.65693432593297085</v>
      </c>
      <c r="BO45" s="9">
        <f>'1'!CM45</f>
        <v>0.72317984803620705</v>
      </c>
      <c r="BP45" s="9">
        <f>'2'!CK45</f>
        <v>0.61600344737637414</v>
      </c>
      <c r="BQ45" s="9">
        <f>'2'!CM45</f>
        <v>0.73286744324366149</v>
      </c>
      <c r="BR45" s="9">
        <f>'3'!AB45</f>
        <v>0.43136279456039345</v>
      </c>
      <c r="BS45" s="9">
        <f>'8'!AT42</f>
        <v>0.5813283221004123</v>
      </c>
      <c r="BT45" s="9">
        <f t="shared" si="38"/>
        <v>0.53993082437851259</v>
      </c>
      <c r="BU45" s="9">
        <f t="shared" si="39"/>
        <v>0.56486632838588857</v>
      </c>
      <c r="BV45" s="9">
        <f>'1'!CU45</f>
        <v>0.86475982217625125</v>
      </c>
      <c r="BW45" s="9">
        <f>'1'!CW45</f>
        <v>0.88089473974849031</v>
      </c>
      <c r="BX45" s="9">
        <f>'2'!CU45</f>
        <v>0.72240354424069397</v>
      </c>
      <c r="BY45" s="9">
        <f>'2'!CW45</f>
        <v>0.80497412662572365</v>
      </c>
      <c r="BZ45" s="9">
        <f>'3'!AE45</f>
        <v>0.69283348731330996</v>
      </c>
      <c r="CA45" s="9">
        <f>'8'!AY42</f>
        <v>0.64713182237130851</v>
      </c>
      <c r="CB45" s="9">
        <f t="shared" si="40"/>
        <v>0.7164652604960362</v>
      </c>
      <c r="CC45" s="9">
        <f t="shared" si="41"/>
        <v>0.72794930224898702</v>
      </c>
      <c r="CD45" s="9">
        <f>'1'!DE45</f>
        <v>0.84963062949886803</v>
      </c>
      <c r="CE45" s="9">
        <f>'1'!DG45</f>
        <v>0.87022126154105894</v>
      </c>
      <c r="CF45" s="9">
        <f>'2'!DE45</f>
        <v>0.46386250113812744</v>
      </c>
      <c r="CG45" s="9">
        <f>'2'!DG45</f>
        <v>0.61044942685065262</v>
      </c>
      <c r="CH45" s="9">
        <f>'3'!AH45</f>
        <v>0.44873461455964792</v>
      </c>
      <c r="CI45" s="9">
        <f>'8'!BD42</f>
        <v>0.5516852389215201</v>
      </c>
      <c r="CJ45" s="9">
        <f t="shared" si="42"/>
        <v>0.56131179351390159</v>
      </c>
      <c r="CK45" s="9">
        <f t="shared" si="43"/>
        <v>0.58008861249359223</v>
      </c>
    </row>
    <row r="46" spans="1:89">
      <c r="A46" s="1">
        <v>2008</v>
      </c>
      <c r="B46" s="9">
        <f>'1'!I46</f>
        <v>0.80583389411014994</v>
      </c>
      <c r="C46" s="9">
        <f>'1'!K46</f>
        <v>0.83866057010893658</v>
      </c>
      <c r="D46" s="9">
        <f>'2'!I46</f>
        <v>0.47911064987499741</v>
      </c>
      <c r="E46" s="9">
        <f>'2'!K46</f>
        <v>0.62399230517300985</v>
      </c>
      <c r="F46" s="9">
        <f>'3'!D46</f>
        <v>0.49344838232948285</v>
      </c>
      <c r="G46" s="9">
        <f>'8'!F43</f>
        <v>0.52098448905782768</v>
      </c>
      <c r="H46" s="9">
        <f t="shared" si="22"/>
        <v>0.56275254345867121</v>
      </c>
      <c r="I46" s="9">
        <f t="shared" si="23"/>
        <v>0.58380604418822979</v>
      </c>
      <c r="J46" s="9">
        <f>'1'!S46</f>
        <v>0.71512018986386705</v>
      </c>
      <c r="K46" s="9">
        <f>'1'!U46</f>
        <v>0.76991703522837418</v>
      </c>
      <c r="L46" s="9">
        <f>'2'!S46</f>
        <v>0.78818108483662708</v>
      </c>
      <c r="M46" s="9">
        <f>'2'!U46</f>
        <v>0.84532781098708754</v>
      </c>
      <c r="N46" s="9">
        <f>'3'!G46</f>
        <v>0.4347167122262191</v>
      </c>
      <c r="O46" s="9">
        <f>'8'!K43</f>
        <v>0.47363544773355193</v>
      </c>
      <c r="P46" s="9">
        <f t="shared" si="24"/>
        <v>0.53781946566698935</v>
      </c>
      <c r="Q46" s="9">
        <f t="shared" si="25"/>
        <v>0.55449350735493685</v>
      </c>
      <c r="R46" s="9">
        <f>'1'!AC46</f>
        <v>0.68491238251049869</v>
      </c>
      <c r="S46" s="9">
        <f>'1'!AE46</f>
        <v>0.74592748854801316</v>
      </c>
      <c r="T46" s="9">
        <f>'2'!AC46</f>
        <v>0.27622545623768457</v>
      </c>
      <c r="U46" s="9">
        <f>'2'!AE46</f>
        <v>0.40990863272765399</v>
      </c>
      <c r="V46" s="9">
        <f>'3'!J46</f>
        <v>0.68180358425468834</v>
      </c>
      <c r="W46" s="9">
        <f>'8'!P43</f>
        <v>0.4239921492289318</v>
      </c>
      <c r="X46" s="9">
        <f t="shared" si="26"/>
        <v>0.56452410059642311</v>
      </c>
      <c r="Y46" s="9">
        <f t="shared" si="27"/>
        <v>0.59009543945292298</v>
      </c>
      <c r="Z46" s="9">
        <f>'1'!AM46</f>
        <v>0.80989374454177732</v>
      </c>
      <c r="AA46" s="9">
        <f>'1'!AO46</f>
        <v>0.84162869459795764</v>
      </c>
      <c r="AB46" s="9">
        <f>'2'!AM46</f>
        <v>0.30962992660515748</v>
      </c>
      <c r="AC46" s="9">
        <f>'2'!AO46</f>
        <v>0.45124894991336972</v>
      </c>
      <c r="AD46" s="9">
        <f>'3'!M46</f>
        <v>0.42745334617073449</v>
      </c>
      <c r="AE46" s="9">
        <f>'8'!U43</f>
        <v>0.43828585190456404</v>
      </c>
      <c r="AF46" s="9">
        <f t="shared" si="28"/>
        <v>0.49540883560853421</v>
      </c>
      <c r="AG46" s="9">
        <f t="shared" si="29"/>
        <v>0.51591772795059154</v>
      </c>
      <c r="AH46" s="9">
        <f>'1'!AW46</f>
        <v>0.68107601312331356</v>
      </c>
      <c r="AI46" s="9">
        <f>'1'!AY46</f>
        <v>0.74283895849037906</v>
      </c>
      <c r="AJ46" s="9">
        <f>'2'!AW46</f>
        <v>0.37018756012340487</v>
      </c>
      <c r="AK46" s="9">
        <f>'2'!AY46</f>
        <v>0.51922462673817538</v>
      </c>
      <c r="AL46" s="9">
        <f>'3'!P46</f>
        <v>0.46664458557383881</v>
      </c>
      <c r="AM46" s="9">
        <f>'8'!Z43</f>
        <v>0.44300580529577527</v>
      </c>
      <c r="AN46" s="9">
        <f t="shared" si="30"/>
        <v>0.4927935344552713</v>
      </c>
      <c r="AO46" s="9">
        <f t="shared" si="31"/>
        <v>0.52004983019016149</v>
      </c>
      <c r="AP46" s="9">
        <f>'1'!BG46</f>
        <v>0.72529580636546875</v>
      </c>
      <c r="AQ46" s="9">
        <f>'1'!BI46</f>
        <v>0.77786931651514157</v>
      </c>
      <c r="AR46" s="162">
        <f>'2'!BG46</f>
        <v>0.38465959997018262</v>
      </c>
      <c r="AS46" s="9">
        <f>'2'!BI46</f>
        <v>0.53432136612352776</v>
      </c>
      <c r="AT46" s="9">
        <f>'3'!S46</f>
        <v>0.48578140509320167</v>
      </c>
      <c r="AU46" s="9">
        <f>'8'!AE43</f>
        <v>0.5309923609365208</v>
      </c>
      <c r="AV46" s="9">
        <f t="shared" si="32"/>
        <v>0.537135391588349</v>
      </c>
      <c r="AW46" s="9">
        <f t="shared" si="33"/>
        <v>0.56261627023361804</v>
      </c>
      <c r="AX46" s="9">
        <f>'1'!BQ46</f>
        <v>0.84862489336049207</v>
      </c>
      <c r="AY46" s="9">
        <f>'1'!BS46</f>
        <v>0.86950764465278574</v>
      </c>
      <c r="AZ46" s="9">
        <f>'2'!BQ46</f>
        <v>0.36273031146914259</v>
      </c>
      <c r="BA46" s="9">
        <f>'2'!BS46</f>
        <v>0.51128429942255593</v>
      </c>
      <c r="BB46" s="9">
        <f>'3'!V46</f>
        <v>0.51894797277583138</v>
      </c>
      <c r="BC46" s="9">
        <f>'8'!AJ43</f>
        <v>0.46402463332582</v>
      </c>
      <c r="BD46" s="9">
        <f t="shared" si="34"/>
        <v>0.55278458892709126</v>
      </c>
      <c r="BE46" s="9">
        <f t="shared" si="35"/>
        <v>0.57181653798089127</v>
      </c>
      <c r="BF46" s="9">
        <f>'1'!CA46</f>
        <v>0.74282601191343089</v>
      </c>
      <c r="BG46" s="9">
        <f>'1'!CC46</f>
        <v>0.79142170147628566</v>
      </c>
      <c r="BH46" s="9">
        <f>'2'!CA46</f>
        <v>0.38952076550397019</v>
      </c>
      <c r="BI46" s="9">
        <f>'2'!CC46</f>
        <v>0.53930276419625633</v>
      </c>
      <c r="BJ46" s="9">
        <f>'3'!Y46</f>
        <v>0.57295653119191481</v>
      </c>
      <c r="BK46" s="9">
        <f>'8'!AO43</f>
        <v>0.55656450916064115</v>
      </c>
      <c r="BL46" s="9">
        <f t="shared" si="36"/>
        <v>0.58366924415804156</v>
      </c>
      <c r="BM46" s="9">
        <f t="shared" si="37"/>
        <v>0.60836658193984106</v>
      </c>
      <c r="BN46" s="9">
        <f>'1'!CK46</f>
        <v>0.69936242887256606</v>
      </c>
      <c r="BO46" s="9">
        <f>'1'!CM46</f>
        <v>0.75747529401680791</v>
      </c>
      <c r="BP46" s="9">
        <f>'2'!CK46</f>
        <v>0.6745406667701751</v>
      </c>
      <c r="BQ46" s="9">
        <f>'2'!CM46</f>
        <v>0.77367635915858646</v>
      </c>
      <c r="BR46" s="9">
        <f>'3'!AB46</f>
        <v>0.51635645721202372</v>
      </c>
      <c r="BS46" s="9">
        <f>'8'!AT43</f>
        <v>0.63483534072125725</v>
      </c>
      <c r="BT46" s="9">
        <f t="shared" si="38"/>
        <v>0.6043197375527174</v>
      </c>
      <c r="BU46" s="9">
        <f t="shared" si="39"/>
        <v>0.62585587982040691</v>
      </c>
      <c r="BV46" s="9">
        <f>'1'!CU46</f>
        <v>0.88906274999430579</v>
      </c>
      <c r="BW46" s="9">
        <f>'1'!CW46</f>
        <v>0.89780371232101941</v>
      </c>
      <c r="BX46" s="9">
        <f>'2'!CU46</f>
        <v>0.91666666666666663</v>
      </c>
      <c r="BY46" s="9">
        <f>'2'!CW46</f>
        <v>0.91666666666666674</v>
      </c>
      <c r="BZ46" s="9">
        <f>'3'!AE46</f>
        <v>0.73403482298833467</v>
      </c>
      <c r="CA46" s="9">
        <f>'8'!AY43</f>
        <v>0.65600527393835106</v>
      </c>
      <c r="CB46" s="9">
        <f t="shared" si="40"/>
        <v>0.75989472804236702</v>
      </c>
      <c r="CC46" s="9">
        <f t="shared" si="41"/>
        <v>0.76164292050770976</v>
      </c>
      <c r="CD46" s="9">
        <f>'1'!DE46</f>
        <v>0.86222999470382578</v>
      </c>
      <c r="CE46" s="9">
        <f>'1'!DG46</f>
        <v>0.87911793917696424</v>
      </c>
      <c r="CF46" s="9">
        <f>'2'!DE46</f>
        <v>0.49466415723318619</v>
      </c>
      <c r="CG46" s="9">
        <f>'2'!DG46</f>
        <v>0.63747832208628719</v>
      </c>
      <c r="CH46" s="9">
        <f>'3'!AH46</f>
        <v>0.3433856429534306</v>
      </c>
      <c r="CI46" s="9">
        <f>'8'!BD43</f>
        <v>0.53503075504935782</v>
      </c>
      <c r="CJ46" s="9">
        <f t="shared" si="42"/>
        <v>0.51977589836026339</v>
      </c>
      <c r="CK46" s="9">
        <f t="shared" si="43"/>
        <v>0.5374349037402012</v>
      </c>
    </row>
    <row r="47" spans="1:89">
      <c r="A47" s="1">
        <v>2009</v>
      </c>
      <c r="B47" s="9">
        <f>'1'!I47</f>
        <v>0.81159519848141226</v>
      </c>
      <c r="C47" s="9">
        <f>'1'!K47</f>
        <v>0.84286998213869713</v>
      </c>
      <c r="D47" s="9">
        <f>'2'!I47</f>
        <v>0.42718276285445739</v>
      </c>
      <c r="E47" s="9">
        <f>'2'!K47</f>
        <v>0.57646987051589094</v>
      </c>
      <c r="F47" s="9">
        <f>'3'!D47</f>
        <v>0.48990011732755612</v>
      </c>
      <c r="G47" s="9">
        <f>'8'!F44</f>
        <v>0.48573658005511883</v>
      </c>
      <c r="H47" s="9">
        <f t="shared" si="22"/>
        <v>0.54671833692928629</v>
      </c>
      <c r="I47" s="9">
        <f t="shared" si="23"/>
        <v>0.56790200442688665</v>
      </c>
      <c r="J47" s="9">
        <f>'1'!S47</f>
        <v>0.74530987547333027</v>
      </c>
      <c r="K47" s="9">
        <f>'1'!U47</f>
        <v>0.79332708014483178</v>
      </c>
      <c r="L47" s="9">
        <f>'2'!S47</f>
        <v>0.8126686150603466</v>
      </c>
      <c r="M47" s="9">
        <f>'2'!U47</f>
        <v>0.85964045404846057</v>
      </c>
      <c r="N47" s="9">
        <f>'3'!G47</f>
        <v>0.4904809624274809</v>
      </c>
      <c r="O47" s="9">
        <f>'8'!K44</f>
        <v>0.45899527638509663</v>
      </c>
      <c r="P47" s="9">
        <f t="shared" si="24"/>
        <v>0.56421980448722209</v>
      </c>
      <c r="Q47" s="9">
        <f t="shared" si="25"/>
        <v>0.57852042932033376</v>
      </c>
      <c r="R47" s="9">
        <f>'1'!AC47</f>
        <v>0.71683542809959488</v>
      </c>
      <c r="S47" s="9">
        <f>'1'!AE47</f>
        <v>0.77126196833508209</v>
      </c>
      <c r="T47" s="9">
        <f>'2'!AC47</f>
        <v>0.27521788818408738</v>
      </c>
      <c r="U47" s="9">
        <f>'2'!AE47</f>
        <v>0.4086132226187924</v>
      </c>
      <c r="V47" s="9">
        <f>'3'!J47</f>
        <v>0.7859903746853204</v>
      </c>
      <c r="W47" s="9">
        <f>'8'!P44</f>
        <v>0.42819014567816238</v>
      </c>
      <c r="X47" s="9">
        <f t="shared" si="26"/>
        <v>0.61374206801590458</v>
      </c>
      <c r="Y47" s="9">
        <f t="shared" si="27"/>
        <v>0.6379669095064725</v>
      </c>
      <c r="Z47" s="9">
        <f>'1'!AM47</f>
        <v>0.83727019376457168</v>
      </c>
      <c r="AA47" s="9">
        <f>'1'!AO47</f>
        <v>0.86141519172683745</v>
      </c>
      <c r="AB47" s="9">
        <f>'2'!AM47</f>
        <v>0.29485160884337808</v>
      </c>
      <c r="AC47" s="9">
        <f>'2'!AO47</f>
        <v>0.43333353197821756</v>
      </c>
      <c r="AD47" s="9">
        <f>'3'!M47</f>
        <v>0.43435666890078939</v>
      </c>
      <c r="AE47" s="9">
        <f>'8'!U44</f>
        <v>0.40225455394959675</v>
      </c>
      <c r="AF47" s="9">
        <f t="shared" si="28"/>
        <v>0.49135823338244694</v>
      </c>
      <c r="AG47" s="9">
        <f t="shared" si="29"/>
        <v>0.51003542528838397</v>
      </c>
      <c r="AH47" s="9">
        <f>'1'!AW47</f>
        <v>0.70272834587279165</v>
      </c>
      <c r="AI47" s="9">
        <f>'1'!AY47</f>
        <v>0.76014601381012648</v>
      </c>
      <c r="AJ47" s="9">
        <f>'2'!AW47</f>
        <v>0.34405645382478789</v>
      </c>
      <c r="AK47" s="9">
        <f>'2'!AY47</f>
        <v>0.49089441374804688</v>
      </c>
      <c r="AL47" s="9">
        <f>'3'!P47</f>
        <v>0.51945171804193502</v>
      </c>
      <c r="AM47" s="9">
        <f>'8'!Z44</f>
        <v>0.42334944065335423</v>
      </c>
      <c r="AN47" s="9">
        <f t="shared" si="30"/>
        <v>0.50973683396981739</v>
      </c>
      <c r="AO47" s="9">
        <f t="shared" si="31"/>
        <v>0.53590416354961024</v>
      </c>
      <c r="AP47" s="9">
        <f>'1'!BG47</f>
        <v>0.74223082043253719</v>
      </c>
      <c r="AQ47" s="9">
        <f>'1'!BI47</f>
        <v>0.79096458520522717</v>
      </c>
      <c r="AR47" s="162">
        <f>'2'!BG47</f>
        <v>0.37003909407371349</v>
      </c>
      <c r="AS47" s="9">
        <f>'2'!BI47</f>
        <v>0.51906763217554075</v>
      </c>
      <c r="AT47" s="9">
        <f>'3'!S47</f>
        <v>0.55743456629889687</v>
      </c>
      <c r="AU47" s="9">
        <f>'8'!AE44</f>
        <v>0.49796487617219848</v>
      </c>
      <c r="AV47" s="9">
        <f t="shared" si="32"/>
        <v>0.55781336286509708</v>
      </c>
      <c r="AW47" s="9">
        <f t="shared" si="33"/>
        <v>0.58246296962981781</v>
      </c>
      <c r="AX47" s="9">
        <f>'1'!BQ47</f>
        <v>0.85186627990389541</v>
      </c>
      <c r="AY47" s="9">
        <f>'1'!BS47</f>
        <v>0.87180572653822319</v>
      </c>
      <c r="AZ47" s="9">
        <f>'2'!BQ47</f>
        <v>0.3451465160515671</v>
      </c>
      <c r="BA47" s="9">
        <f>'2'!BS47</f>
        <v>0.49210518678505266</v>
      </c>
      <c r="BB47" s="9">
        <f>'3'!V47</f>
        <v>0.50214907569174194</v>
      </c>
      <c r="BC47" s="9">
        <f>'8'!AJ44</f>
        <v>0.43316800828593127</v>
      </c>
      <c r="BD47" s="9">
        <f t="shared" si="34"/>
        <v>0.53569794034841201</v>
      </c>
      <c r="BE47" s="9">
        <f t="shared" si="35"/>
        <v>0.55438169674862614</v>
      </c>
      <c r="BF47" s="9">
        <f>'1'!CA47</f>
        <v>0.7565639608261242</v>
      </c>
      <c r="BG47" s="9">
        <f>'1'!CC47</f>
        <v>0.80191462742732689</v>
      </c>
      <c r="BH47" s="9">
        <f>'2'!CA47</f>
        <v>0.37044831612751117</v>
      </c>
      <c r="BI47" s="9">
        <f>'2'!CC47</f>
        <v>0.51950025560064539</v>
      </c>
      <c r="BJ47" s="9">
        <f>'3'!Y47</f>
        <v>0.57044824849781883</v>
      </c>
      <c r="BK47" s="9">
        <f>'8'!AO44</f>
        <v>0.52552605567741117</v>
      </c>
      <c r="BL47" s="9">
        <f t="shared" si="36"/>
        <v>0.57419473988032688</v>
      </c>
      <c r="BM47" s="9">
        <f t="shared" si="37"/>
        <v>0.59817006714788079</v>
      </c>
      <c r="BN47" s="9">
        <f>'1'!CK47</f>
        <v>0.69374528402758773</v>
      </c>
      <c r="BO47" s="9">
        <f>'1'!CM47</f>
        <v>0.75300226565837691</v>
      </c>
      <c r="BP47" s="9">
        <f>'2'!CK47</f>
        <v>0.63891609895147317</v>
      </c>
      <c r="BQ47" s="9">
        <f>'2'!CM47</f>
        <v>0.74919544101271807</v>
      </c>
      <c r="BR47" s="9">
        <f>'3'!AB47</f>
        <v>0.52324420602529553</v>
      </c>
      <c r="BS47" s="9">
        <f>'8'!AT44</f>
        <v>0.5954554782091106</v>
      </c>
      <c r="BT47" s="9">
        <f t="shared" si="38"/>
        <v>0.5905749925735162</v>
      </c>
      <c r="BU47" s="9">
        <f t="shared" si="39"/>
        <v>0.6134543231057985</v>
      </c>
      <c r="BV47" s="9">
        <f>'1'!CU47</f>
        <v>0.87700599972243976</v>
      </c>
      <c r="BW47" s="9">
        <f>'1'!CW47</f>
        <v>0.88945109145284962</v>
      </c>
      <c r="BX47" s="9">
        <f>'2'!CU47</f>
        <v>0.84782283136184522</v>
      </c>
      <c r="BY47" s="9">
        <f>'2'!CW47</f>
        <v>0.87957087912203202</v>
      </c>
      <c r="BZ47" s="9">
        <f>'3'!AE47</f>
        <v>0.56330550852340866</v>
      </c>
      <c r="CA47" s="9">
        <f>'8'!AY44</f>
        <v>0.61584323728248902</v>
      </c>
      <c r="CB47" s="9">
        <f t="shared" si="40"/>
        <v>0.67025865767478265</v>
      </c>
      <c r="CC47" s="9">
        <f t="shared" si="41"/>
        <v>0.67592248079688333</v>
      </c>
      <c r="CD47" s="9">
        <f>'1'!DE47</f>
        <v>0.85586079389294423</v>
      </c>
      <c r="CE47" s="9">
        <f>'1'!DG47</f>
        <v>0.87463046942512224</v>
      </c>
      <c r="CF47" s="9">
        <f>'2'!DE47</f>
        <v>0.47230914776830207</v>
      </c>
      <c r="CG47" s="9">
        <f>'2'!DG47</f>
        <v>0.61799171047208967</v>
      </c>
      <c r="CH47" s="9">
        <f>'3'!AH47</f>
        <v>0.33362442119702618</v>
      </c>
      <c r="CI47" s="9">
        <f>'8'!BD44</f>
        <v>0.49199350820397819</v>
      </c>
      <c r="CJ47" s="9">
        <f t="shared" si="42"/>
        <v>0.49945089449542296</v>
      </c>
      <c r="CK47" s="9">
        <f t="shared" si="43"/>
        <v>0.51777308587223736</v>
      </c>
    </row>
    <row r="48" spans="1:89">
      <c r="A48" s="1">
        <v>2010</v>
      </c>
      <c r="B48" s="9">
        <f>'1'!I48</f>
        <v>0.83603513861958567</v>
      </c>
      <c r="C48" s="9">
        <f>'1'!K48</f>
        <v>0.86053098459620181</v>
      </c>
      <c r="D48" s="9">
        <f>'2'!I48</f>
        <v>0.43582687101768375</v>
      </c>
      <c r="E48" s="9">
        <f>'2'!K48</f>
        <v>0.58466455153998442</v>
      </c>
      <c r="F48" s="9">
        <f>'3'!D48</f>
        <v>0.48990011732755612</v>
      </c>
      <c r="G48" s="9">
        <f>'8'!F45</f>
        <v>0.48472340768248307</v>
      </c>
      <c r="H48" s="9">
        <f t="shared" si="22"/>
        <v>0.55216678406145281</v>
      </c>
      <c r="I48" s="9">
        <f t="shared" si="23"/>
        <v>0.57194972130900612</v>
      </c>
      <c r="J48" s="9">
        <f>'1'!S48</f>
        <v>0.78807770795431809</v>
      </c>
      <c r="K48" s="9">
        <f>'1'!U48</f>
        <v>0.82557394304033982</v>
      </c>
      <c r="L48" s="9">
        <f>'2'!S48</f>
        <v>0.80272982683000638</v>
      </c>
      <c r="M48" s="9">
        <f>'2'!U48</f>
        <v>0.85387521792337062</v>
      </c>
      <c r="N48" s="9">
        <f>'3'!G48</f>
        <v>0.4904809624274809</v>
      </c>
      <c r="O48" s="9">
        <f>'8'!K45</f>
        <v>0.47297315923293426</v>
      </c>
      <c r="P48" s="9">
        <f t="shared" si="24"/>
        <v>0.57597285701473688</v>
      </c>
      <c r="Q48" s="9">
        <f t="shared" si="25"/>
        <v>0.58858664314127762</v>
      </c>
      <c r="R48" s="9">
        <f>'1'!AC48</f>
        <v>0.74860183445626904</v>
      </c>
      <c r="S48" s="9">
        <f>'1'!AE48</f>
        <v>0.7958467334661814</v>
      </c>
      <c r="T48" s="9">
        <f>'2'!AC48</f>
        <v>0.28464226347746752</v>
      </c>
      <c r="U48" s="9">
        <f>'2'!AE48</f>
        <v>0.42061491634365228</v>
      </c>
      <c r="V48" s="9">
        <f>'3'!J48</f>
        <v>0.7859903746853204</v>
      </c>
      <c r="W48" s="9">
        <f>'8'!P45</f>
        <v>0.45422804823823049</v>
      </c>
      <c r="X48" s="9">
        <f t="shared" si="26"/>
        <v>0.62884915758459781</v>
      </c>
      <c r="Y48" s="9">
        <f t="shared" si="27"/>
        <v>0.6518954026731989</v>
      </c>
      <c r="Z48" s="9">
        <f>'1'!AM48</f>
        <v>0.86656261342980634</v>
      </c>
      <c r="AA48" s="9">
        <f>'1'!AO48</f>
        <v>0.88215897705126389</v>
      </c>
      <c r="AB48" s="9">
        <f>'2'!AM48</f>
        <v>0.30164917372179045</v>
      </c>
      <c r="AC48" s="9">
        <f>'2'!AO48</f>
        <v>0.44164501971860437</v>
      </c>
      <c r="AD48" s="9">
        <f>'3'!M48</f>
        <v>0.43435666890078939</v>
      </c>
      <c r="AE48" s="9">
        <f>'8'!U45</f>
        <v>0.39301948177345436</v>
      </c>
      <c r="AF48" s="9">
        <f t="shared" si="28"/>
        <v>0.49512595215049238</v>
      </c>
      <c r="AG48" s="9">
        <f t="shared" si="29"/>
        <v>0.51224480947446527</v>
      </c>
      <c r="AH48" s="9">
        <f>'1'!AW48</f>
        <v>0.73322971093990053</v>
      </c>
      <c r="AI48" s="9">
        <f>'1'!AY48</f>
        <v>0.78402582967898138</v>
      </c>
      <c r="AJ48" s="9">
        <f>'2'!AW48</f>
        <v>0.34582441076233233</v>
      </c>
      <c r="AK48" s="9">
        <f>'2'!AY48</f>
        <v>0.49285683712402817</v>
      </c>
      <c r="AL48" s="9">
        <f>'3'!P48</f>
        <v>0.51945171804193502</v>
      </c>
      <c r="AM48" s="9">
        <f>'8'!Z45</f>
        <v>0.41103494289026249</v>
      </c>
      <c r="AN48" s="9">
        <f t="shared" si="30"/>
        <v>0.512319553348066</v>
      </c>
      <c r="AO48" s="9">
        <f t="shared" si="31"/>
        <v>0.53718201973205182</v>
      </c>
      <c r="AP48" s="9">
        <f>'1'!BG48</f>
        <v>0.76730257696181658</v>
      </c>
      <c r="AQ48" s="9">
        <f>'1'!BI48</f>
        <v>0.8100402110447309</v>
      </c>
      <c r="AR48" s="162">
        <f>'2'!BG48</f>
        <v>0.37458867321138462</v>
      </c>
      <c r="AS48" s="9">
        <f>'2'!BI48</f>
        <v>0.52385875895793443</v>
      </c>
      <c r="AT48" s="9">
        <f>'3'!S48</f>
        <v>0.55743456629889687</v>
      </c>
      <c r="AU48" s="9">
        <f>'8'!AE45</f>
        <v>0.49951556067048475</v>
      </c>
      <c r="AV48" s="9">
        <f t="shared" si="32"/>
        <v>0.56374787743420596</v>
      </c>
      <c r="AW48" s="9">
        <f t="shared" si="33"/>
        <v>0.58722241282544385</v>
      </c>
      <c r="AX48" s="9">
        <f>'1'!BQ48</f>
        <v>0.87205048722580303</v>
      </c>
      <c r="AY48" s="9">
        <f>'1'!BS48</f>
        <v>0.885997567297651</v>
      </c>
      <c r="AZ48" s="9">
        <f>'2'!BQ48</f>
        <v>0.34987624280597179</v>
      </c>
      <c r="BA48" s="9">
        <f>'2'!BS48</f>
        <v>0.49732868083324477</v>
      </c>
      <c r="BB48" s="9">
        <f>'3'!V48</f>
        <v>0.50214907569174194</v>
      </c>
      <c r="BC48" s="9">
        <f>'8'!AJ45</f>
        <v>0.42629406192423747</v>
      </c>
      <c r="BD48" s="9">
        <f t="shared" si="34"/>
        <v>0.53814557057972578</v>
      </c>
      <c r="BE48" s="9">
        <f t="shared" si="35"/>
        <v>0.55568023039682268</v>
      </c>
      <c r="BF48" s="9">
        <f>'1'!CA48</f>
        <v>0.78270217470703973</v>
      </c>
      <c r="BG48" s="9">
        <f>'1'!CC48</f>
        <v>0.82157784580449233</v>
      </c>
      <c r="BH48" s="9">
        <f>'2'!CA48</f>
        <v>0.37551026795015141</v>
      </c>
      <c r="BI48" s="9">
        <f>'2'!CC48</f>
        <v>0.52482433047163057</v>
      </c>
      <c r="BJ48" s="9">
        <f>'3'!Y48</f>
        <v>0.57044824849781883</v>
      </c>
      <c r="BK48" s="9">
        <f>'8'!AO45</f>
        <v>0.52085201986743479</v>
      </c>
      <c r="BL48" s="9">
        <f t="shared" si="36"/>
        <v>0.57852636709578109</v>
      </c>
      <c r="BM48" s="9">
        <f t="shared" si="37"/>
        <v>0.60123290756741954</v>
      </c>
      <c r="BN48" s="9">
        <f>'1'!CK48</f>
        <v>0.71898537493791903</v>
      </c>
      <c r="BO48" s="9">
        <f>'1'!CM48</f>
        <v>0.77294519305769782</v>
      </c>
      <c r="BP48" s="9">
        <f>'2'!CK48</f>
        <v>0.6326724544753124</v>
      </c>
      <c r="BQ48" s="9">
        <f>'2'!CM48</f>
        <v>0.74479289119766179</v>
      </c>
      <c r="BR48" s="9">
        <f>'3'!AB48</f>
        <v>0.52324420602529553</v>
      </c>
      <c r="BS48" s="9">
        <f>'8'!AT45</f>
        <v>0.59553343581439844</v>
      </c>
      <c r="BT48" s="9">
        <f t="shared" si="38"/>
        <v>0.59502203358955286</v>
      </c>
      <c r="BU48" s="9">
        <f t="shared" si="39"/>
        <v>0.61702604088574353</v>
      </c>
      <c r="BV48" s="9">
        <f>'1'!CU48</f>
        <v>0.91666666666666674</v>
      </c>
      <c r="BW48" s="9">
        <f>'1'!CW48</f>
        <v>0.91666666666666707</v>
      </c>
      <c r="BX48" s="9">
        <f>'2'!CU48</f>
        <v>0.83053411157346535</v>
      </c>
      <c r="BY48" s="9">
        <f>'2'!CW48</f>
        <v>0.86985742916875586</v>
      </c>
      <c r="BZ48" s="9">
        <f>'3'!AE48</f>
        <v>0.56330550852340866</v>
      </c>
      <c r="CA48" s="9">
        <f>'8'!AY45</f>
        <v>0.62013965685631289</v>
      </c>
      <c r="CB48" s="9">
        <f t="shared" si="40"/>
        <v>0.67775084495693727</v>
      </c>
      <c r="CC48" s="9">
        <f t="shared" si="41"/>
        <v>0.68168317671646639</v>
      </c>
      <c r="CD48" s="9">
        <f>'1'!DE48</f>
        <v>0.87741125227275085</v>
      </c>
      <c r="CE48" s="9">
        <f>'1'!DG48</f>
        <v>0.88973298392674738</v>
      </c>
      <c r="CF48" s="9">
        <f>'2'!DE48</f>
        <v>0.47356861023263919</v>
      </c>
      <c r="CG48" s="9">
        <f>'2'!DG48</f>
        <v>0.61910770768938905</v>
      </c>
      <c r="CH48" s="9">
        <f>'3'!AH48</f>
        <v>0.33362442119702618</v>
      </c>
      <c r="CI48" s="9">
        <f>'8'!BD45</f>
        <v>0.49116511425617471</v>
      </c>
      <c r="CJ48" s="9">
        <f t="shared" si="42"/>
        <v>0.50363841423347699</v>
      </c>
      <c r="CK48" s="9">
        <f t="shared" si="43"/>
        <v>0.52065667030995133</v>
      </c>
    </row>
    <row r="49" spans="1:138">
      <c r="B49" s="267" t="s">
        <v>968</v>
      </c>
      <c r="C49" s="9"/>
      <c r="D49" s="9"/>
      <c r="E49" s="9"/>
      <c r="F49" s="9"/>
      <c r="G49" s="9"/>
      <c r="H49" s="9"/>
      <c r="I49" s="9"/>
      <c r="J49" s="9"/>
      <c r="K49" s="9"/>
      <c r="L49" s="9"/>
      <c r="M49" s="9"/>
      <c r="N49" s="9"/>
      <c r="O49" s="9"/>
      <c r="P49" s="9"/>
      <c r="Q49" s="9"/>
      <c r="R49" s="267" t="s">
        <v>968</v>
      </c>
      <c r="S49" s="9"/>
      <c r="T49" s="9"/>
      <c r="U49" s="9"/>
      <c r="V49" s="9"/>
      <c r="W49" s="9"/>
      <c r="X49" s="9"/>
      <c r="Y49" s="9"/>
      <c r="Z49" s="9"/>
      <c r="AA49" s="9"/>
      <c r="AB49" s="9"/>
      <c r="AC49" s="9"/>
      <c r="AD49" s="9"/>
      <c r="AE49" s="9"/>
      <c r="AF49" s="9"/>
      <c r="AG49" s="9"/>
      <c r="AH49" s="267" t="s">
        <v>968</v>
      </c>
      <c r="AI49" s="9"/>
      <c r="AJ49" s="9"/>
      <c r="AK49" s="9"/>
      <c r="AL49" s="9"/>
      <c r="AM49" s="9"/>
      <c r="AN49" s="9"/>
      <c r="AO49" s="9"/>
      <c r="AP49" s="9"/>
      <c r="AQ49" s="9"/>
      <c r="AR49" s="162"/>
      <c r="AS49" s="9"/>
      <c r="AT49" s="9"/>
      <c r="AU49" s="9"/>
      <c r="AV49" s="9"/>
      <c r="AW49" s="9"/>
      <c r="AX49" s="267" t="s">
        <v>968</v>
      </c>
      <c r="AY49" s="9"/>
      <c r="AZ49" s="9"/>
      <c r="BA49" s="9"/>
      <c r="BB49" s="9"/>
      <c r="BC49" s="9"/>
      <c r="BD49" s="9"/>
      <c r="BE49" s="9"/>
      <c r="BF49" s="9"/>
      <c r="BG49" s="9"/>
      <c r="BH49" s="9"/>
      <c r="BI49" s="9"/>
      <c r="BJ49" s="9"/>
      <c r="BK49" s="9"/>
      <c r="BL49" s="9"/>
      <c r="BM49" s="9"/>
      <c r="BN49" s="267" t="s">
        <v>968</v>
      </c>
      <c r="BO49" s="9"/>
      <c r="BP49" s="9"/>
      <c r="BQ49" s="9"/>
      <c r="BR49" s="9"/>
      <c r="BS49" s="9"/>
      <c r="BT49" s="9"/>
      <c r="BU49" s="9"/>
      <c r="BV49" s="9"/>
      <c r="BW49" s="9"/>
      <c r="BX49" s="9"/>
      <c r="BY49" s="9"/>
      <c r="BZ49" s="9"/>
      <c r="CA49" s="9"/>
      <c r="CB49" s="9"/>
      <c r="CC49" s="9"/>
      <c r="CD49" s="267" t="s">
        <v>968</v>
      </c>
      <c r="CE49" s="9"/>
      <c r="CF49" s="9"/>
      <c r="CG49" s="9"/>
      <c r="CH49" s="9"/>
      <c r="CI49" s="9"/>
      <c r="CJ49" s="9"/>
      <c r="CK49" s="9"/>
    </row>
    <row r="50" spans="1:138" s="252" customFormat="1">
      <c r="A50" s="252" t="s">
        <v>988</v>
      </c>
      <c r="B50" s="271">
        <f t="shared" ref="B50:BM50" si="44">B48-B19</f>
        <v>0.57101489756468671</v>
      </c>
      <c r="C50" s="271">
        <f t="shared" si="44"/>
        <v>0.52699966169184953</v>
      </c>
      <c r="D50" s="271">
        <f t="shared" si="44"/>
        <v>0.18314700393603206</v>
      </c>
      <c r="E50" s="271">
        <f t="shared" si="44"/>
        <v>0.20583658740676353</v>
      </c>
      <c r="F50" s="271">
        <f t="shared" si="44"/>
        <v>-0.15160215218864448</v>
      </c>
      <c r="G50" s="271">
        <f t="shared" si="44"/>
        <v>-0.14729254529242658</v>
      </c>
      <c r="H50" s="271">
        <f t="shared" si="44"/>
        <v>2.7689055443354649E-2</v>
      </c>
      <c r="I50" s="271">
        <f t="shared" si="44"/>
        <v>2.115496661586036E-2</v>
      </c>
      <c r="J50" s="271">
        <f t="shared" si="44"/>
        <v>0.70474437462098471</v>
      </c>
      <c r="K50" s="271">
        <f t="shared" si="44"/>
        <v>0.74224060970700689</v>
      </c>
      <c r="L50" s="271">
        <f t="shared" si="44"/>
        <v>0.6284986011683662</v>
      </c>
      <c r="M50" s="271">
        <f t="shared" si="44"/>
        <v>0.59308290018035525</v>
      </c>
      <c r="N50" s="271">
        <f t="shared" si="44"/>
        <v>4.7123426753133912E-2</v>
      </c>
      <c r="O50" s="271">
        <f t="shared" si="44"/>
        <v>5.9871084417736919E-2</v>
      </c>
      <c r="P50" s="271">
        <f t="shared" si="44"/>
        <v>0.24060943106760818</v>
      </c>
      <c r="Q50" s="271">
        <f t="shared" si="44"/>
        <v>0.2445671079860115</v>
      </c>
      <c r="R50" s="271">
        <f t="shared" si="44"/>
        <v>0.55343308707350136</v>
      </c>
      <c r="S50" s="271">
        <f t="shared" si="44"/>
        <v>0.55121172964171672</v>
      </c>
      <c r="T50" s="271">
        <f t="shared" si="44"/>
        <v>0.2013089301441342</v>
      </c>
      <c r="U50" s="271">
        <f t="shared" si="44"/>
        <v>0.33728158301031902</v>
      </c>
      <c r="V50" s="271">
        <f t="shared" si="44"/>
        <v>0.34400916466293646</v>
      </c>
      <c r="W50" s="271">
        <f t="shared" si="44"/>
        <v>3.0867184475913412E-3</v>
      </c>
      <c r="X50" s="271">
        <f t="shared" si="44"/>
        <v>0.26934719182856559</v>
      </c>
      <c r="Y50" s="271">
        <f t="shared" si="44"/>
        <v>0.28250018562882728</v>
      </c>
      <c r="Z50" s="271">
        <f t="shared" si="44"/>
        <v>0.63653452906181052</v>
      </c>
      <c r="AA50" s="271">
        <f t="shared" si="44"/>
        <v>0.59216635960636865</v>
      </c>
      <c r="AB50" s="271">
        <f t="shared" si="44"/>
        <v>0.16246078353751528</v>
      </c>
      <c r="AC50" s="271">
        <f t="shared" si="44"/>
        <v>0.24281383787223793</v>
      </c>
      <c r="AD50" s="271">
        <f t="shared" si="44"/>
        <v>-9.0190986166141074E-2</v>
      </c>
      <c r="AE50" s="271">
        <f t="shared" si="44"/>
        <v>-0.23641705718416761</v>
      </c>
      <c r="AF50" s="271">
        <f t="shared" si="44"/>
        <v>3.6551472544406938E-2</v>
      </c>
      <c r="AG50" s="271">
        <f t="shared" si="44"/>
        <v>3.5713144086790771E-2</v>
      </c>
      <c r="AH50" s="271">
        <f t="shared" si="44"/>
        <v>0.63642062963325829</v>
      </c>
      <c r="AI50" s="271">
        <f t="shared" si="44"/>
        <v>0.67981052566734734</v>
      </c>
      <c r="AJ50" s="271">
        <f t="shared" si="44"/>
        <v>0.18802268955044726</v>
      </c>
      <c r="AK50" s="271">
        <f t="shared" si="44"/>
        <v>0.26026659146139808</v>
      </c>
      <c r="AL50" s="271">
        <f t="shared" si="44"/>
        <v>0.1690179602852091</v>
      </c>
      <c r="AM50" s="271">
        <f t="shared" si="44"/>
        <v>-0.10913641838832439</v>
      </c>
      <c r="AN50" s="271">
        <f t="shared" si="44"/>
        <v>0.18095265347928263</v>
      </c>
      <c r="AO50" s="271">
        <f t="shared" si="44"/>
        <v>0.19685502287719558</v>
      </c>
      <c r="AP50" s="271">
        <f t="shared" si="44"/>
        <v>0.57919077072023861</v>
      </c>
      <c r="AQ50" s="271">
        <f t="shared" si="44"/>
        <v>0.57484495076610687</v>
      </c>
      <c r="AR50" s="271">
        <f t="shared" si="44"/>
        <v>0.17482991316766019</v>
      </c>
      <c r="AS50" s="271">
        <f t="shared" si="44"/>
        <v>0.22187435906936931</v>
      </c>
      <c r="AT50" s="271">
        <f t="shared" si="44"/>
        <v>-4.0065238625625055E-2</v>
      </c>
      <c r="AU50" s="271">
        <f t="shared" si="44"/>
        <v>-6.1617509528376857E-2</v>
      </c>
      <c r="AV50" s="271">
        <f t="shared" si="44"/>
        <v>9.8809797152050627E-2</v>
      </c>
      <c r="AW50" s="271">
        <f t="shared" si="44"/>
        <v>0.10264507775139531</v>
      </c>
      <c r="AX50" s="271">
        <f t="shared" si="44"/>
        <v>0.59451200281631178</v>
      </c>
      <c r="AY50" s="271">
        <f t="shared" si="44"/>
        <v>0.53734256508584677</v>
      </c>
      <c r="AZ50" s="271">
        <f t="shared" si="44"/>
        <v>0.1533931942643777</v>
      </c>
      <c r="BA50" s="271">
        <f t="shared" si="44"/>
        <v>0.20046434141942687</v>
      </c>
      <c r="BB50" s="271">
        <f t="shared" si="44"/>
        <v>-0.26056292854650698</v>
      </c>
      <c r="BC50" s="271">
        <f t="shared" si="44"/>
        <v>-0.25558122083750257</v>
      </c>
      <c r="BD50" s="271">
        <f t="shared" si="44"/>
        <v>-4.6657817680153424E-2</v>
      </c>
      <c r="BE50" s="271">
        <f t="shared" si="44"/>
        <v>-5.3384590510741514E-2</v>
      </c>
      <c r="BF50" s="271">
        <f t="shared" si="44"/>
        <v>0.56907647094817926</v>
      </c>
      <c r="BG50" s="271">
        <f t="shared" si="44"/>
        <v>0.55266968273139438</v>
      </c>
      <c r="BH50" s="271">
        <f t="shared" si="44"/>
        <v>0.13313518264443336</v>
      </c>
      <c r="BI50" s="271">
        <f t="shared" si="44"/>
        <v>0.16015874847227535</v>
      </c>
      <c r="BJ50" s="271">
        <f t="shared" si="44"/>
        <v>8.6895973106219659E-2</v>
      </c>
      <c r="BK50" s="271">
        <f t="shared" si="44"/>
        <v>-9.3690301318484659E-2</v>
      </c>
      <c r="BL50" s="271">
        <f t="shared" si="44"/>
        <v>0.13378011130102163</v>
      </c>
      <c r="BM50" s="271">
        <f t="shared" si="44"/>
        <v>0.13320111024044889</v>
      </c>
      <c r="BN50" s="271">
        <f t="shared" ref="BN50:CE50" si="45">BN48-BN19</f>
        <v>0.47960473711327534</v>
      </c>
      <c r="BO50" s="271">
        <f t="shared" si="45"/>
        <v>0.47112764582949834</v>
      </c>
      <c r="BP50" s="271">
        <f t="shared" si="45"/>
        <v>0.28894961885146009</v>
      </c>
      <c r="BQ50" s="271">
        <f t="shared" si="45"/>
        <v>0.2542695614050039</v>
      </c>
      <c r="BR50" s="271">
        <f t="shared" si="45"/>
        <v>0.14717759535715802</v>
      </c>
      <c r="BS50" s="271">
        <f t="shared" si="45"/>
        <v>-0.12529830991380131</v>
      </c>
      <c r="BT50" s="271">
        <f t="shared" si="45"/>
        <v>0.14609745447652389</v>
      </c>
      <c r="BU50" s="271">
        <f t="shared" si="45"/>
        <v>0.14093403047512287</v>
      </c>
      <c r="BV50" s="271">
        <f t="shared" si="45"/>
        <v>0.51530856045630746</v>
      </c>
      <c r="BW50" s="271">
        <f t="shared" si="45"/>
        <v>0.42965142359708519</v>
      </c>
      <c r="BX50" s="271">
        <f t="shared" si="45"/>
        <v>0.25113214660062633</v>
      </c>
      <c r="BY50" s="271">
        <f t="shared" si="45"/>
        <v>0.16409843359580667</v>
      </c>
      <c r="BZ50" s="271">
        <f t="shared" si="45"/>
        <v>-0.15086982027006024</v>
      </c>
      <c r="CA50" s="271">
        <f t="shared" si="45"/>
        <v>-9.2749363114025152E-2</v>
      </c>
      <c r="CB50" s="271">
        <f t="shared" si="45"/>
        <v>4.0002189709092417E-2</v>
      </c>
      <c r="CC50" s="271">
        <f t="shared" si="45"/>
        <v>1.4167391036766119E-2</v>
      </c>
      <c r="CD50" s="271">
        <f t="shared" si="45"/>
        <v>0.50976287916817531</v>
      </c>
      <c r="CE50" s="271">
        <f t="shared" si="45"/>
        <v>0.43851823425233838</v>
      </c>
      <c r="CF50" s="271">
        <f t="shared" ref="CF50:CK50" si="46">CF48-CF19</f>
        <v>0.16262935857309907</v>
      </c>
      <c r="CG50" s="271">
        <f t="shared" si="46"/>
        <v>0.16629868018097599</v>
      </c>
      <c r="CH50" s="271">
        <f t="shared" si="46"/>
        <v>-0.32684605512047138</v>
      </c>
      <c r="CI50" s="271">
        <f t="shared" si="46"/>
        <v>-0.11836549296246568</v>
      </c>
      <c r="CJ50" s="271">
        <f t="shared" si="46"/>
        <v>-4.8032558245983292E-2</v>
      </c>
      <c r="CK50" s="271">
        <f t="shared" si="46"/>
        <v>-6.1914555068362853E-2</v>
      </c>
      <c r="CL50" s="269"/>
      <c r="CM50" s="269"/>
      <c r="CN50" s="269"/>
      <c r="CO50" s="269"/>
      <c r="CP50" s="269"/>
      <c r="CQ50" s="269"/>
      <c r="CR50" s="269"/>
      <c r="CS50" s="269"/>
      <c r="CT50" s="269"/>
      <c r="CU50" s="269"/>
      <c r="CV50" s="269"/>
      <c r="CW50" s="269"/>
      <c r="CX50" s="269"/>
      <c r="CY50" s="269"/>
      <c r="CZ50" s="269"/>
      <c r="DA50" s="269"/>
      <c r="DB50" s="269"/>
      <c r="DC50" s="269"/>
      <c r="DD50" s="269"/>
      <c r="DE50" s="269"/>
      <c r="DF50" s="269"/>
      <c r="DG50" s="269"/>
      <c r="DH50" s="269"/>
      <c r="DI50" s="269"/>
      <c r="DJ50" s="269"/>
      <c r="DK50" s="269"/>
      <c r="DL50" s="269"/>
      <c r="DM50" s="269"/>
      <c r="DN50" s="269"/>
      <c r="DO50" s="269"/>
      <c r="DP50" s="269"/>
      <c r="DQ50" s="269"/>
      <c r="DR50" s="269"/>
      <c r="DS50" s="269"/>
      <c r="DT50" s="269"/>
      <c r="DU50" s="269"/>
      <c r="DV50" s="269"/>
      <c r="DW50" s="269"/>
      <c r="DX50" s="269"/>
      <c r="DY50" s="269"/>
      <c r="DZ50" s="269"/>
      <c r="EA50" s="269"/>
      <c r="EB50" s="269"/>
      <c r="EC50" s="269"/>
      <c r="ED50" s="269"/>
      <c r="EE50" s="269"/>
      <c r="EF50" s="269"/>
      <c r="EG50" s="269"/>
      <c r="EH50" s="269"/>
    </row>
    <row r="51" spans="1:138">
      <c r="B51" s="1" t="s">
        <v>21</v>
      </c>
      <c r="Z51" s="1" t="s">
        <v>380</v>
      </c>
      <c r="AX51" s="1" t="s">
        <v>380</v>
      </c>
      <c r="BV51" s="1" t="s">
        <v>380</v>
      </c>
    </row>
    <row r="53" spans="1:138">
      <c r="H53" s="13"/>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dimension ref="A1:I60"/>
  <sheetViews>
    <sheetView workbookViewId="0">
      <selection activeCell="E9" sqref="E9"/>
    </sheetView>
  </sheetViews>
  <sheetFormatPr defaultRowHeight="12.75"/>
  <cols>
    <col min="2" max="2" width="12" bestFit="1" customWidth="1"/>
  </cols>
  <sheetData>
    <row r="1" spans="1:9" ht="15.75">
      <c r="A1" s="404" t="s">
        <v>1430</v>
      </c>
    </row>
    <row r="4" spans="1:9">
      <c r="I4" s="206"/>
    </row>
    <row r="23" spans="1:8">
      <c r="A23" t="s">
        <v>1423</v>
      </c>
    </row>
    <row r="24" spans="1:8">
      <c r="B24" s="206" t="s">
        <v>700</v>
      </c>
    </row>
    <row r="25" spans="1:8">
      <c r="A25" s="580" t="s">
        <v>412</v>
      </c>
      <c r="B25" s="580" t="s">
        <v>1424</v>
      </c>
      <c r="C25" s="580" t="s">
        <v>369</v>
      </c>
      <c r="D25" s="580" t="s">
        <v>1425</v>
      </c>
      <c r="E25" s="580" t="s">
        <v>1426</v>
      </c>
      <c r="G25" s="580" t="s">
        <v>1184</v>
      </c>
      <c r="H25" s="580" t="s">
        <v>1429</v>
      </c>
    </row>
    <row r="26" spans="1:8">
      <c r="A26">
        <v>1981</v>
      </c>
      <c r="B26">
        <f>'a30-1'!B4*1000000</f>
        <v>647323000000</v>
      </c>
      <c r="C26" s="7">
        <f>'a1'!F19</f>
        <v>24819915</v>
      </c>
      <c r="D26">
        <f t="shared" ref="D26:D55" si="0">B26/C26</f>
        <v>26080.790365317527</v>
      </c>
      <c r="E26" s="396">
        <f t="shared" ref="E26:E55" si="1">D26/$D$26</f>
        <v>1</v>
      </c>
      <c r="G26">
        <f>'9'!H19</f>
        <v>0.44780458265691525</v>
      </c>
      <c r="H26" s="396">
        <f>G26/$G$26</f>
        <v>1</v>
      </c>
    </row>
    <row r="27" spans="1:8">
      <c r="A27">
        <v>1982</v>
      </c>
      <c r="B27">
        <f>'a30-1'!B5*1000000</f>
        <v>628816000000</v>
      </c>
      <c r="C27" s="7">
        <f>'a1'!F20</f>
        <v>25116942</v>
      </c>
      <c r="D27">
        <f t="shared" si="0"/>
        <v>25035.531793639529</v>
      </c>
      <c r="E27" s="396">
        <f t="shared" si="1"/>
        <v>0.95992228160891968</v>
      </c>
      <c r="G27">
        <f>'9'!H20</f>
        <v>0.43301562693507134</v>
      </c>
      <c r="H27" s="396">
        <f t="shared" ref="H27:H55" si="2">G27/$G$26</f>
        <v>0.96697453243086962</v>
      </c>
    </row>
    <row r="28" spans="1:8">
      <c r="A28">
        <v>1983</v>
      </c>
      <c r="B28">
        <f>'a30-1'!B6*1000000</f>
        <v>645906000000</v>
      </c>
      <c r="C28" s="7">
        <f>'a1'!F21</f>
        <v>25366451</v>
      </c>
      <c r="D28">
        <f t="shared" si="0"/>
        <v>25463.00229385656</v>
      </c>
      <c r="E28" s="396">
        <f t="shared" si="1"/>
        <v>0.97631252493473097</v>
      </c>
      <c r="G28">
        <f>'9'!H21</f>
        <v>0.42340958261067185</v>
      </c>
      <c r="H28" s="396">
        <f t="shared" si="2"/>
        <v>0.94552311210952122</v>
      </c>
    </row>
    <row r="29" spans="1:8">
      <c r="A29">
        <v>1984</v>
      </c>
      <c r="B29">
        <f>'a30-1'!B7*1000000</f>
        <v>683462000000</v>
      </c>
      <c r="C29" s="7">
        <f>'a1'!F22</f>
        <v>25607053</v>
      </c>
      <c r="D29">
        <f t="shared" si="0"/>
        <v>26690.380966525121</v>
      </c>
      <c r="E29" s="396">
        <f t="shared" si="1"/>
        <v>1.023373164412158</v>
      </c>
      <c r="G29">
        <f>'9'!H22</f>
        <v>0.42844030729926186</v>
      </c>
      <c r="H29" s="396">
        <f t="shared" si="2"/>
        <v>0.95675730863949349</v>
      </c>
    </row>
    <row r="30" spans="1:8">
      <c r="A30">
        <v>1985</v>
      </c>
      <c r="B30">
        <f>'a30-1'!B8*1000000</f>
        <v>716132000000</v>
      </c>
      <c r="C30" s="7">
        <f>'a1'!F23</f>
        <v>25842116</v>
      </c>
      <c r="D30">
        <f t="shared" si="0"/>
        <v>27711.817406902748</v>
      </c>
      <c r="E30" s="396">
        <f t="shared" si="1"/>
        <v>1.0625374852042129</v>
      </c>
      <c r="G30">
        <f>'9'!H23</f>
        <v>0.44705988924508555</v>
      </c>
      <c r="H30" s="396">
        <f t="shared" si="2"/>
        <v>0.99833701252584039</v>
      </c>
    </row>
    <row r="31" spans="1:8">
      <c r="A31">
        <v>1986</v>
      </c>
      <c r="B31">
        <f>'a30-1'!B9*1000000</f>
        <v>733468000000</v>
      </c>
      <c r="C31" s="7">
        <f>'a1'!F24</f>
        <v>26100278</v>
      </c>
      <c r="D31">
        <f t="shared" si="0"/>
        <v>28101.922899058776</v>
      </c>
      <c r="E31" s="396">
        <f t="shared" si="1"/>
        <v>1.0774950645832027</v>
      </c>
      <c r="G31">
        <f>'9'!H24</f>
        <v>0.45172672744933806</v>
      </c>
      <c r="H31" s="396">
        <f t="shared" si="2"/>
        <v>1.0087586079828659</v>
      </c>
    </row>
    <row r="32" spans="1:8">
      <c r="A32">
        <v>1987</v>
      </c>
      <c r="B32">
        <f>'a30-1'!B10*1000000</f>
        <v>764664000000</v>
      </c>
      <c r="C32" s="7">
        <f>'a1'!F25</f>
        <v>26446601</v>
      </c>
      <c r="D32">
        <f t="shared" si="0"/>
        <v>28913.507637522114</v>
      </c>
      <c r="E32" s="396">
        <f t="shared" si="1"/>
        <v>1.1086131682562641</v>
      </c>
      <c r="G32">
        <f>'9'!H25</f>
        <v>0.46232821572107063</v>
      </c>
      <c r="H32" s="396">
        <f t="shared" si="2"/>
        <v>1.0324329710472897</v>
      </c>
    </row>
    <row r="33" spans="1:8">
      <c r="A33">
        <v>1988</v>
      </c>
      <c r="B33">
        <f>'a30-1'!B11*1000000</f>
        <v>802702000000</v>
      </c>
      <c r="C33" s="7">
        <f>'a1'!F26</f>
        <v>26791747</v>
      </c>
      <c r="D33">
        <f t="shared" si="0"/>
        <v>29960.793523468252</v>
      </c>
      <c r="E33" s="396">
        <f t="shared" si="1"/>
        <v>1.1487686187344379</v>
      </c>
      <c r="G33">
        <f>'9'!H26</f>
        <v>0.48738294963598849</v>
      </c>
      <c r="H33" s="396">
        <f t="shared" si="2"/>
        <v>1.0883831218167683</v>
      </c>
    </row>
    <row r="34" spans="1:8">
      <c r="A34">
        <v>1989</v>
      </c>
      <c r="B34">
        <f>'a30-1'!B12*1000000</f>
        <v>823728000000</v>
      </c>
      <c r="C34" s="7">
        <f>'a1'!F27</f>
        <v>27276781</v>
      </c>
      <c r="D34">
        <f t="shared" si="0"/>
        <v>30198.871340426864</v>
      </c>
      <c r="E34" s="396">
        <f t="shared" si="1"/>
        <v>1.1578970927424652</v>
      </c>
      <c r="G34">
        <f>'9'!H27</f>
        <v>0.50357121370456881</v>
      </c>
      <c r="H34" s="396">
        <f t="shared" si="2"/>
        <v>1.124533408561339</v>
      </c>
    </row>
    <row r="35" spans="1:8">
      <c r="A35">
        <v>1990</v>
      </c>
      <c r="B35">
        <f>'a30-1'!B13*1000000</f>
        <v>825318000000</v>
      </c>
      <c r="C35" s="7">
        <f>'a1'!F28</f>
        <v>27691138</v>
      </c>
      <c r="D35">
        <f t="shared" si="0"/>
        <v>29804.408905116143</v>
      </c>
      <c r="E35" s="396">
        <f t="shared" si="1"/>
        <v>1.1427724577223823</v>
      </c>
      <c r="G35">
        <f>'9'!H28</f>
        <v>0.49054495517693048</v>
      </c>
      <c r="H35" s="396">
        <f t="shared" si="2"/>
        <v>1.0954442499592745</v>
      </c>
    </row>
    <row r="36" spans="1:8">
      <c r="A36">
        <v>1991</v>
      </c>
      <c r="B36">
        <f>'a30-1'!B14*1000000</f>
        <v>808051000000</v>
      </c>
      <c r="C36" s="7">
        <f>'a1'!F29</f>
        <v>28037420</v>
      </c>
      <c r="D36">
        <f t="shared" si="0"/>
        <v>28820.447815811869</v>
      </c>
      <c r="E36" s="396">
        <f t="shared" si="1"/>
        <v>1.1050450316926577</v>
      </c>
      <c r="G36">
        <f>'9'!H29</f>
        <v>0.48104437061629834</v>
      </c>
      <c r="H36" s="396">
        <f t="shared" si="2"/>
        <v>1.0742283336230387</v>
      </c>
    </row>
    <row r="37" spans="1:8">
      <c r="A37">
        <v>1992</v>
      </c>
      <c r="B37">
        <f>'a30-1'!B15*1000000</f>
        <v>815123000000</v>
      </c>
      <c r="C37" s="7">
        <f>'a1'!F30</f>
        <v>28371264</v>
      </c>
      <c r="D37">
        <f t="shared" si="0"/>
        <v>28730.584580228784</v>
      </c>
      <c r="E37" s="396">
        <f t="shared" si="1"/>
        <v>1.1015994599011454</v>
      </c>
      <c r="G37">
        <f>'9'!H30</f>
        <v>0.47966464196689351</v>
      </c>
      <c r="H37" s="396">
        <f t="shared" si="2"/>
        <v>1.0711472382014182</v>
      </c>
    </row>
    <row r="38" spans="1:8">
      <c r="A38">
        <v>1993</v>
      </c>
      <c r="B38">
        <f>'a30-1'!B16*1000000</f>
        <v>834185000000</v>
      </c>
      <c r="C38" s="7">
        <f>'a1'!F31</f>
        <v>28684764</v>
      </c>
      <c r="D38">
        <f t="shared" si="0"/>
        <v>29081.11776690929</v>
      </c>
      <c r="E38" s="396">
        <f t="shared" si="1"/>
        <v>1.1150397422610945</v>
      </c>
      <c r="G38">
        <f>'9'!H31</f>
        <v>0.4798713663978178</v>
      </c>
      <c r="H38" s="396">
        <f t="shared" si="2"/>
        <v>1.0716088780303314</v>
      </c>
    </row>
    <row r="39" spans="1:8">
      <c r="A39">
        <v>1994</v>
      </c>
      <c r="B39">
        <f>'a30-1'!B17*1000000</f>
        <v>874261000000</v>
      </c>
      <c r="C39" s="7">
        <f>'a1'!F32</f>
        <v>29000663</v>
      </c>
      <c r="D39">
        <f t="shared" si="0"/>
        <v>30146.241829023013</v>
      </c>
      <c r="E39" s="396">
        <f t="shared" si="1"/>
        <v>1.155879151159152</v>
      </c>
      <c r="G39">
        <f>'9'!H32</f>
        <v>0.48615136049483088</v>
      </c>
      <c r="H39" s="396">
        <f t="shared" si="2"/>
        <v>1.0856328392407162</v>
      </c>
    </row>
    <row r="40" spans="1:8">
      <c r="A40">
        <v>1995</v>
      </c>
      <c r="B40">
        <f>'a30-1'!B18*1000000</f>
        <v>898814000000</v>
      </c>
      <c r="C40" s="7">
        <f>'a1'!F33</f>
        <v>29302311</v>
      </c>
      <c r="D40">
        <f t="shared" si="0"/>
        <v>30673.826374991379</v>
      </c>
      <c r="E40" s="396">
        <f t="shared" si="1"/>
        <v>1.1761080069023411</v>
      </c>
      <c r="G40">
        <f>'9'!H33</f>
        <v>0.4878403706788994</v>
      </c>
      <c r="H40" s="396">
        <f t="shared" si="2"/>
        <v>1.0894045964970784</v>
      </c>
    </row>
    <row r="41" spans="1:8">
      <c r="A41">
        <v>1996</v>
      </c>
      <c r="B41">
        <f>'a30-1'!B19*1000000</f>
        <v>913364000000</v>
      </c>
      <c r="C41" s="7">
        <f>'a1'!F34</f>
        <v>29610218</v>
      </c>
      <c r="D41">
        <f t="shared" si="0"/>
        <v>30846.243685203532</v>
      </c>
      <c r="E41" s="396">
        <f t="shared" si="1"/>
        <v>1.1827188997394475</v>
      </c>
      <c r="G41">
        <f>'9'!H34</f>
        <v>0.47679488956266264</v>
      </c>
      <c r="H41" s="396">
        <f t="shared" si="2"/>
        <v>1.0647387454897002</v>
      </c>
    </row>
    <row r="42" spans="1:8">
      <c r="A42">
        <v>1997</v>
      </c>
      <c r="B42">
        <f>'a30-1'!B20*1000000</f>
        <v>951962000000</v>
      </c>
      <c r="C42" s="7">
        <f>'a1'!F35</f>
        <v>29905948</v>
      </c>
      <c r="D42">
        <f t="shared" si="0"/>
        <v>31831.861675142351</v>
      </c>
      <c r="E42" s="396">
        <f t="shared" si="1"/>
        <v>1.2205098553099314</v>
      </c>
      <c r="G42">
        <f>'9'!H35</f>
        <v>0.47766802820173043</v>
      </c>
      <c r="H42" s="396">
        <f t="shared" si="2"/>
        <v>1.0666885661768561</v>
      </c>
    </row>
    <row r="43" spans="1:8">
      <c r="A43">
        <v>1998</v>
      </c>
      <c r="B43">
        <f>'a30-1'!B21*1000000</f>
        <v>990968000000</v>
      </c>
      <c r="C43" s="7">
        <f>'a1'!F36</f>
        <v>30155173</v>
      </c>
      <c r="D43">
        <f t="shared" si="0"/>
        <v>32862.288669343732</v>
      </c>
      <c r="E43" s="396">
        <f t="shared" si="1"/>
        <v>1.2600188954796516</v>
      </c>
      <c r="G43">
        <f>'9'!H36</f>
        <v>0.48422154380221771</v>
      </c>
      <c r="H43" s="396">
        <f t="shared" si="2"/>
        <v>1.0813233328905061</v>
      </c>
    </row>
    <row r="44" spans="1:8">
      <c r="A44">
        <v>1999</v>
      </c>
      <c r="B44">
        <f>'a30-1'!B22*1000000</f>
        <v>1045786000000</v>
      </c>
      <c r="C44" s="7">
        <f>'a1'!F37</f>
        <v>30401286</v>
      </c>
      <c r="D44">
        <f t="shared" si="0"/>
        <v>34399.400078009858</v>
      </c>
      <c r="E44" s="396">
        <f t="shared" si="1"/>
        <v>1.3189554302677304</v>
      </c>
      <c r="G44">
        <f>'9'!H37</f>
        <v>0.49477781532887766</v>
      </c>
      <c r="H44" s="396">
        <f t="shared" si="2"/>
        <v>1.1048967216754699</v>
      </c>
    </row>
    <row r="45" spans="1:8">
      <c r="A45">
        <v>2000</v>
      </c>
      <c r="B45">
        <f>'a30-1'!B23*1000000</f>
        <v>1100515000000</v>
      </c>
      <c r="C45" s="7">
        <f>'a1'!F38</f>
        <v>30685730</v>
      </c>
      <c r="D45">
        <f t="shared" si="0"/>
        <v>35864.064501642948</v>
      </c>
      <c r="E45" s="396">
        <f t="shared" si="1"/>
        <v>1.3751141740449442</v>
      </c>
      <c r="G45">
        <f>'9'!H38</f>
        <v>0.50968985488856333</v>
      </c>
      <c r="H45" s="396">
        <f t="shared" si="2"/>
        <v>1.1381970498481062</v>
      </c>
    </row>
    <row r="46" spans="1:8">
      <c r="A46">
        <v>2001</v>
      </c>
      <c r="B46">
        <f>'a30-1'!B24*1000000</f>
        <v>1120146000000</v>
      </c>
      <c r="C46" s="7">
        <f>'a1'!F39</f>
        <v>31019020</v>
      </c>
      <c r="D46">
        <f t="shared" si="0"/>
        <v>36111.585730303537</v>
      </c>
      <c r="E46" s="396">
        <f t="shared" si="1"/>
        <v>1.3846047310868712</v>
      </c>
      <c r="G46">
        <f>'9'!H39</f>
        <v>0.50968640160868317</v>
      </c>
      <c r="H46" s="396">
        <f t="shared" si="2"/>
        <v>1.1381893382703021</v>
      </c>
    </row>
    <row r="47" spans="1:8">
      <c r="A47">
        <v>2002</v>
      </c>
      <c r="B47">
        <f>'a30-1'!B25*1000000</f>
        <v>1152905000000</v>
      </c>
      <c r="C47" s="7">
        <f>'a1'!F40</f>
        <v>31353656</v>
      </c>
      <c r="D47">
        <f t="shared" si="0"/>
        <v>36770.990917295261</v>
      </c>
      <c r="E47" s="396">
        <f t="shared" si="1"/>
        <v>1.4098879060886766</v>
      </c>
      <c r="G47">
        <f>'9'!H40</f>
        <v>0.50226432094820594</v>
      </c>
      <c r="H47" s="396">
        <f t="shared" si="2"/>
        <v>1.1216149642064179</v>
      </c>
    </row>
    <row r="48" spans="1:8">
      <c r="A48">
        <v>2003</v>
      </c>
      <c r="B48">
        <f>'a30-1'!B26*1000000</f>
        <v>1174592000000</v>
      </c>
      <c r="C48" s="7">
        <f>'a1'!F41</f>
        <v>31639670</v>
      </c>
      <c r="D48">
        <f t="shared" si="0"/>
        <v>37124.028158321496</v>
      </c>
      <c r="E48" s="396">
        <f t="shared" si="1"/>
        <v>1.423424199892706</v>
      </c>
      <c r="G48">
        <f>'9'!H41</f>
        <v>0.5105743605227403</v>
      </c>
      <c r="H48" s="396">
        <f t="shared" si="2"/>
        <v>1.1401722543646142</v>
      </c>
    </row>
    <row r="49" spans="1:8">
      <c r="A49">
        <v>2004</v>
      </c>
      <c r="B49">
        <f>'a30-1'!B27*1000000</f>
        <v>1211239000000</v>
      </c>
      <c r="C49" s="7">
        <f>'a1'!F42</f>
        <v>31940676</v>
      </c>
      <c r="D49">
        <f t="shared" si="0"/>
        <v>37921.520508833317</v>
      </c>
      <c r="E49" s="396">
        <f t="shared" si="1"/>
        <v>1.4540019676421194</v>
      </c>
      <c r="G49">
        <f>'9'!H42</f>
        <v>0.51589996617088774</v>
      </c>
      <c r="H49" s="396">
        <f t="shared" si="2"/>
        <v>1.1520649545610917</v>
      </c>
    </row>
    <row r="50" spans="1:8">
      <c r="A50">
        <v>2005</v>
      </c>
      <c r="B50">
        <f>'a30-1'!B28*1000000</f>
        <v>1247807000000</v>
      </c>
      <c r="C50" s="7">
        <f>'a1'!F43</f>
        <v>32245209</v>
      </c>
      <c r="D50">
        <f t="shared" si="0"/>
        <v>38697.438741984894</v>
      </c>
      <c r="E50" s="396">
        <f t="shared" si="1"/>
        <v>1.4837525320338874</v>
      </c>
      <c r="G50">
        <f>'9'!H43</f>
        <v>0.53118336100478869</v>
      </c>
      <c r="H50" s="396">
        <f t="shared" si="2"/>
        <v>1.1861945624878831</v>
      </c>
    </row>
    <row r="51" spans="1:8">
      <c r="A51">
        <v>2006</v>
      </c>
      <c r="B51">
        <f>'a30-1'!B29*1000000</f>
        <v>1283033000000</v>
      </c>
      <c r="C51" s="7">
        <f>'a1'!F44</f>
        <v>32576074</v>
      </c>
      <c r="D51">
        <f t="shared" si="0"/>
        <v>39385.746729332699</v>
      </c>
      <c r="E51" s="396">
        <f t="shared" si="1"/>
        <v>1.5101439096611207</v>
      </c>
      <c r="G51">
        <f>'9'!H44</f>
        <v>0.55580840623949612</v>
      </c>
      <c r="H51" s="396">
        <f t="shared" si="2"/>
        <v>1.2411851681860251</v>
      </c>
    </row>
    <row r="52" spans="1:8">
      <c r="A52">
        <v>2007</v>
      </c>
      <c r="B52">
        <f>'a30-1'!B30*1000000</f>
        <v>1311260000000</v>
      </c>
      <c r="C52" s="7">
        <f>'a1'!F45</f>
        <v>32929733</v>
      </c>
      <c r="D52">
        <f t="shared" si="0"/>
        <v>39819.94023455945</v>
      </c>
      <c r="E52" s="396">
        <f t="shared" si="1"/>
        <v>1.5267919291093406</v>
      </c>
      <c r="G52">
        <f>'9'!H45</f>
        <v>0.56882926438580561</v>
      </c>
      <c r="H52" s="396">
        <f t="shared" si="2"/>
        <v>1.2702622671050539</v>
      </c>
    </row>
    <row r="53" spans="1:8">
      <c r="A53">
        <v>2008</v>
      </c>
      <c r="B53">
        <f>'a30-1'!B31*1000000</f>
        <v>1318055000000</v>
      </c>
      <c r="C53" s="7">
        <f>'a1'!F46</f>
        <v>33315976</v>
      </c>
      <c r="D53">
        <f t="shared" si="0"/>
        <v>39562.250855265353</v>
      </c>
      <c r="E53" s="396">
        <f t="shared" si="1"/>
        <v>1.5169115008061871</v>
      </c>
      <c r="G53">
        <f>'9'!H46</f>
        <v>0.5748443538431145</v>
      </c>
      <c r="H53" s="396">
        <f t="shared" si="2"/>
        <v>1.2836946652766406</v>
      </c>
    </row>
    <row r="54" spans="1:8">
      <c r="A54">
        <v>2009</v>
      </c>
      <c r="B54">
        <f>'a30-1'!B32*1000000</f>
        <v>1285604000000</v>
      </c>
      <c r="C54" s="7">
        <f>'a1'!F47</f>
        <v>33720184</v>
      </c>
      <c r="D54">
        <f t="shared" si="0"/>
        <v>38125.651983393684</v>
      </c>
      <c r="E54" s="396">
        <f t="shared" si="1"/>
        <v>1.4618288575369833</v>
      </c>
      <c r="G54">
        <f>'9'!H47</f>
        <v>0.55360366467963618</v>
      </c>
      <c r="H54" s="396">
        <f t="shared" si="2"/>
        <v>1.2362617224571342</v>
      </c>
    </row>
    <row r="55" spans="1:8">
      <c r="A55">
        <v>2010</v>
      </c>
      <c r="B55">
        <f>'a30-1'!B33*1000000</f>
        <v>1301016153482.2712</v>
      </c>
      <c r="C55" s="7">
        <f>'a1'!F48</f>
        <v>34108752</v>
      </c>
      <c r="D55">
        <f t="shared" si="0"/>
        <v>38143.176668623681</v>
      </c>
      <c r="E55" s="396">
        <f t="shared" si="1"/>
        <v>1.4625007959631018</v>
      </c>
      <c r="G55">
        <f>'9'!H48</f>
        <v>0.56162138366182712</v>
      </c>
      <c r="H55" s="396">
        <f t="shared" si="2"/>
        <v>1.2541662265482272</v>
      </c>
    </row>
    <row r="57" spans="1:8">
      <c r="A57" s="206"/>
      <c r="C57" s="206" t="s">
        <v>1477</v>
      </c>
      <c r="D57">
        <f>100*(POWER(D55/D53, 1/2)-1)</f>
        <v>-1.8098477260281021</v>
      </c>
      <c r="F57" s="206" t="s">
        <v>1477</v>
      </c>
      <c r="G57">
        <f>100*(POWER(G55/G53, 1/2)-1)</f>
        <v>-1.1568260554466137</v>
      </c>
    </row>
    <row r="58" spans="1:8">
      <c r="A58" s="206"/>
      <c r="C58" s="206"/>
      <c r="F58" s="206"/>
    </row>
    <row r="59" spans="1:8">
      <c r="A59" s="206"/>
      <c r="C59" s="206"/>
      <c r="D59">
        <f>100*D54/D53</f>
        <v>96.368763554107858</v>
      </c>
      <c r="F59" s="206"/>
      <c r="G59">
        <f>100*G54/G53</f>
        <v>96.304966897304638</v>
      </c>
    </row>
    <row r="60" spans="1:8">
      <c r="A60" s="206"/>
      <c r="C60" s="206" t="s">
        <v>1478</v>
      </c>
      <c r="D60">
        <f>100*D55/D53</f>
        <v>96.413060035857882</v>
      </c>
      <c r="F60" s="206" t="s">
        <v>1478</v>
      </c>
      <c r="G60">
        <f>100*G55/G53</f>
        <v>97.699730354332374</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dimension ref="A1:L23"/>
  <sheetViews>
    <sheetView workbookViewId="0">
      <selection activeCell="E9" sqref="E9"/>
    </sheetView>
  </sheetViews>
  <sheetFormatPr defaultRowHeight="12.75"/>
  <cols>
    <col min="2" max="2" width="14" bestFit="1" customWidth="1"/>
    <col min="3" max="3" width="13.625" bestFit="1" customWidth="1"/>
    <col min="4" max="4" width="12.625" bestFit="1" customWidth="1"/>
    <col min="5" max="6" width="13.625" bestFit="1" customWidth="1"/>
    <col min="7" max="8" width="13.875" bestFit="1" customWidth="1"/>
    <col min="9" max="10" width="13.625" bestFit="1" customWidth="1"/>
    <col min="11" max="11" width="13.875" bestFit="1" customWidth="1"/>
    <col min="12" max="12" width="11.75" bestFit="1" customWidth="1"/>
  </cols>
  <sheetData>
    <row r="1" spans="1:11" ht="15.75">
      <c r="A1" s="404" t="s">
        <v>1434</v>
      </c>
    </row>
    <row r="3" spans="1:11">
      <c r="I3" s="206" t="s">
        <v>1422</v>
      </c>
    </row>
    <row r="4" spans="1:11">
      <c r="J4" t="s">
        <v>1183</v>
      </c>
    </row>
    <row r="5" spans="1:11">
      <c r="I5" s="579"/>
      <c r="J5" s="579" t="s">
        <v>1184</v>
      </c>
      <c r="K5" s="579" t="s">
        <v>1185</v>
      </c>
    </row>
    <row r="6" spans="1:11">
      <c r="I6" s="579" t="s">
        <v>988</v>
      </c>
      <c r="J6" s="206">
        <f>100*(POWER('9'!H48/'9'!H19, 1/29)-1)</f>
        <v>0.78399169619405296</v>
      </c>
      <c r="K6" s="206">
        <f>100*(POWER('a30'!B33/'a30'!B4, 1/29)-1)</f>
        <v>1.3216297665156418</v>
      </c>
    </row>
    <row r="7" spans="1:11">
      <c r="I7" s="579" t="s">
        <v>1186</v>
      </c>
      <c r="J7" s="206">
        <f>100*(POWER('9'!H27/'9'!H19, 1/8)-1)</f>
        <v>1.4779172932342322</v>
      </c>
      <c r="K7" s="206">
        <f>100*(POWER('a30'!B12/'a30'!B4, 1/8)-1)</f>
        <v>1.8494634473792182</v>
      </c>
    </row>
    <row r="8" spans="1:11">
      <c r="I8" s="579" t="s">
        <v>1187</v>
      </c>
      <c r="J8" s="206">
        <f>100*(POWER('9'!H38/'9'!H27, 1/11)-1)</f>
        <v>0.10985369100686704</v>
      </c>
      <c r="K8" s="206">
        <f>100*(POWER('a30'!B23/'a30'!B12, 1/11)-1)</f>
        <v>1.5752903180778155</v>
      </c>
    </row>
    <row r="9" spans="1:11">
      <c r="I9" s="579" t="s">
        <v>1188</v>
      </c>
      <c r="J9" s="206">
        <f>100*(POWER('9'!H46/'9'!H38, 1/8)-1)</f>
        <v>1.5150738967648847</v>
      </c>
      <c r="K9" s="206">
        <f>100*(POWER('a30'!B31/'a30'!B23, 1/8)-1)</f>
        <v>1.234300342353456</v>
      </c>
    </row>
    <row r="20" spans="1:12">
      <c r="A20" s="405" t="s">
        <v>1421</v>
      </c>
      <c r="B20" s="405"/>
      <c r="C20" s="405"/>
      <c r="D20" s="405"/>
      <c r="E20" s="405"/>
      <c r="F20" s="405"/>
      <c r="G20" s="405"/>
    </row>
    <row r="21" spans="1:12">
      <c r="B21" t="s">
        <v>321</v>
      </c>
      <c r="C21" t="s">
        <v>370</v>
      </c>
      <c r="D21" t="s">
        <v>371</v>
      </c>
      <c r="E21" t="s">
        <v>372</v>
      </c>
      <c r="F21" t="s">
        <v>373</v>
      </c>
      <c r="G21" t="s">
        <v>374</v>
      </c>
      <c r="H21" t="s">
        <v>375</v>
      </c>
      <c r="I21" t="s">
        <v>376</v>
      </c>
      <c r="J21" t="s">
        <v>377</v>
      </c>
      <c r="K21" t="s">
        <v>378</v>
      </c>
      <c r="L21" t="s">
        <v>379</v>
      </c>
    </row>
    <row r="22" spans="1:12">
      <c r="A22" t="s">
        <v>1190</v>
      </c>
      <c r="B22" s="585">
        <f>100*(POWER('9'!H48/'9'!H19, 1/29)-1)</f>
        <v>0.78399169619405296</v>
      </c>
      <c r="C22" s="585">
        <f>100*(POWER('9'!P48/'9'!P19, 1/29)-1)</f>
        <v>2.9026545559239114</v>
      </c>
      <c r="D22" s="585">
        <f>100*(POWER('9'!X48/'9'!X19, 1/29)-1)</f>
        <v>2.3122327656535102</v>
      </c>
      <c r="E22" s="585">
        <f>100*(POWER('9'!AF48/'9'!AF19, 1/29)-1)</f>
        <v>0.93581677047003264</v>
      </c>
      <c r="F22" s="585">
        <f>100*(POWER('9'!AN48/'9'!AN19, 1/29)-1)</f>
        <v>2.0198922578372525</v>
      </c>
      <c r="G22" s="585">
        <f>100*(POWER('9'!AV48/'9'!AV19, 1/29)-1)</f>
        <v>1.2209592291991145</v>
      </c>
      <c r="H22" s="585">
        <f>100*(POWER('9'!BD48/'9'!BD19, 1/29)-1)</f>
        <v>0.39401388566711049</v>
      </c>
      <c r="I22" s="585">
        <f>100*(POWER('9'!BL48/'9'!BL19, 1/29)-1)</f>
        <v>1.2834072187437151</v>
      </c>
      <c r="J22" s="585">
        <f>100*(POWER('9'!BT48/'9'!BT19, 1/29)-1)</f>
        <v>1.3385328482346859</v>
      </c>
      <c r="K22" s="585">
        <f>100*(POWER('9'!CB48/'9'!CB19, 1/29)-1)</f>
        <v>0.67988440460025057</v>
      </c>
      <c r="L22" s="585">
        <f>100*(POWER('9'!CJ48/'9'!CJ19, 1/29)-1)</f>
        <v>0.38098936412638285</v>
      </c>
    </row>
    <row r="23" spans="1:12">
      <c r="A23" s="579" t="s">
        <v>1191</v>
      </c>
      <c r="B23" s="584">
        <f>'a30'!B35</f>
        <v>1.3216297665156418</v>
      </c>
      <c r="C23" s="584">
        <f>'a30'!C35</f>
        <v>2.790105833310097</v>
      </c>
      <c r="D23" s="584">
        <f>'a30'!D35</f>
        <v>1.9336938302620288</v>
      </c>
      <c r="E23" s="584">
        <f>'a30'!E35</f>
        <v>1.7691551950665962</v>
      </c>
      <c r="F23" s="584">
        <f>'a30'!F35</f>
        <v>2.1083376060971437</v>
      </c>
      <c r="G23" s="584">
        <f>'a30'!G35</f>
        <v>1.2862243344832436</v>
      </c>
      <c r="H23" s="584">
        <f>'a30'!H35</f>
        <v>1.0631824213967134</v>
      </c>
      <c r="I23" s="584">
        <f>'a30'!I35</f>
        <v>1.3379743312771808</v>
      </c>
      <c r="J23" s="584">
        <f>'a30'!J35</f>
        <v>1.6795557530022931</v>
      </c>
      <c r="K23" s="584">
        <f>'a30'!K35</f>
        <v>1.0303526923468587</v>
      </c>
      <c r="L23" s="584">
        <f>'a30'!L35</f>
        <v>0.69094557274957946</v>
      </c>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dimension ref="A10:E44"/>
  <sheetViews>
    <sheetView topLeftCell="A10" workbookViewId="0">
      <selection activeCell="E9" sqref="E9"/>
    </sheetView>
  </sheetViews>
  <sheetFormatPr defaultRowHeight="12.75"/>
  <sheetData>
    <row r="10" spans="1:1" ht="15.75">
      <c r="A10" s="2" t="s">
        <v>1476</v>
      </c>
    </row>
    <row r="32" spans="1:1">
      <c r="A32" s="206"/>
    </row>
    <row r="33" spans="1:5">
      <c r="A33" s="206"/>
    </row>
    <row r="39" spans="1:5">
      <c r="E39" s="388"/>
    </row>
    <row r="44" spans="1:5">
      <c r="E44" s="388"/>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dimension ref="A1:B25"/>
  <sheetViews>
    <sheetView workbookViewId="0">
      <selection activeCell="E9" sqref="E9"/>
    </sheetView>
  </sheetViews>
  <sheetFormatPr defaultRowHeight="12.75"/>
  <sheetData>
    <row r="1" spans="1:1" ht="15.75">
      <c r="A1" s="404" t="s">
        <v>1435</v>
      </c>
    </row>
    <row r="23" spans="1:2">
      <c r="A23" s="206"/>
    </row>
    <row r="25" spans="1:2">
      <c r="B25" s="206"/>
    </row>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dimension ref="A1:F58"/>
  <sheetViews>
    <sheetView workbookViewId="0">
      <selection activeCell="E9" sqref="E9"/>
    </sheetView>
  </sheetViews>
  <sheetFormatPr defaultRowHeight="12.75"/>
  <sheetData>
    <row r="1" spans="1:1" ht="15.75">
      <c r="A1" s="404" t="s">
        <v>1420</v>
      </c>
    </row>
    <row r="28" spans="1:6">
      <c r="B28" s="206" t="s">
        <v>1184</v>
      </c>
      <c r="C28" s="206" t="s">
        <v>28</v>
      </c>
      <c r="D28" s="206" t="s">
        <v>32</v>
      </c>
      <c r="E28" s="206" t="s">
        <v>31</v>
      </c>
      <c r="F28" s="206" t="s">
        <v>30</v>
      </c>
    </row>
    <row r="29" spans="1:6">
      <c r="A29">
        <v>1981</v>
      </c>
      <c r="B29">
        <f>'9'!H19</f>
        <v>0.44780458265691525</v>
      </c>
      <c r="C29">
        <f>'9'!B19</f>
        <v>0.26502024105489891</v>
      </c>
      <c r="D29">
        <f>'9'!D19</f>
        <v>0.25267986708165169</v>
      </c>
      <c r="E29">
        <f>'9'!F19</f>
        <v>0.6415022695162006</v>
      </c>
      <c r="F29">
        <f>'9'!G19</f>
        <v>0.63201595297490964</v>
      </c>
    </row>
    <row r="30" spans="1:6">
      <c r="A30">
        <f>A29+1</f>
        <v>1982</v>
      </c>
      <c r="B30">
        <f>'9'!H20</f>
        <v>0.43301562693507134</v>
      </c>
      <c r="C30">
        <f>'9'!B20</f>
        <v>0.24478856353058198</v>
      </c>
      <c r="D30">
        <f>'9'!D20</f>
        <v>0.25213587905563967</v>
      </c>
      <c r="E30">
        <f>'9'!F20</f>
        <v>0.63333307819238305</v>
      </c>
      <c r="F30">
        <f>'9'!G20</f>
        <v>0.60180498696168072</v>
      </c>
    </row>
    <row r="31" spans="1:6">
      <c r="A31">
        <f t="shared" ref="A31:A58" si="0">A30+1</f>
        <v>1983</v>
      </c>
      <c r="B31">
        <f>'9'!H21</f>
        <v>0.42340958261067185</v>
      </c>
      <c r="C31">
        <f>'9'!B21</f>
        <v>0.25449385343764758</v>
      </c>
      <c r="D31">
        <f>'9'!D21</f>
        <v>0.26155044305366026</v>
      </c>
      <c r="E31">
        <f>'9'!F21</f>
        <v>0.60013558735999839</v>
      </c>
      <c r="F31">
        <f>'9'!G21</f>
        <v>0.57745844659138112</v>
      </c>
    </row>
    <row r="32" spans="1:6">
      <c r="A32">
        <f t="shared" si="0"/>
        <v>1984</v>
      </c>
      <c r="B32">
        <f>'9'!H22</f>
        <v>0.42844030729926186</v>
      </c>
      <c r="C32">
        <f>'9'!B22</f>
        <v>0.27404016142312027</v>
      </c>
      <c r="D32">
        <f>'9'!D22</f>
        <v>0.26197048084309882</v>
      </c>
      <c r="E32">
        <f>'9'!F22</f>
        <v>0.57898096574614399</v>
      </c>
      <c r="F32">
        <f>'9'!G22</f>
        <v>0.59876962118468435</v>
      </c>
    </row>
    <row r="33" spans="1:6">
      <c r="A33">
        <f t="shared" si="0"/>
        <v>1985</v>
      </c>
      <c r="B33">
        <f>'9'!H23</f>
        <v>0.44705988924508555</v>
      </c>
      <c r="C33">
        <f>'9'!B23</f>
        <v>0.30292426979507547</v>
      </c>
      <c r="D33">
        <f>'9'!D23</f>
        <v>0.25766914460604035</v>
      </c>
      <c r="E33">
        <f>'9'!F23</f>
        <v>0.62312174818864408</v>
      </c>
      <c r="F33">
        <f>'9'!G23</f>
        <v>0.60452439439058236</v>
      </c>
    </row>
    <row r="34" spans="1:6">
      <c r="A34">
        <f t="shared" si="0"/>
        <v>1986</v>
      </c>
      <c r="B34">
        <f>'9'!H24</f>
        <v>0.45172672744933806</v>
      </c>
      <c r="C34">
        <f>'9'!B24</f>
        <v>0.32553926355574225</v>
      </c>
      <c r="D34">
        <f>'9'!D24</f>
        <v>0.24123711194910621</v>
      </c>
      <c r="E34">
        <f>'9'!F24</f>
        <v>0.6457171797083503</v>
      </c>
      <c r="F34">
        <f>'9'!G24</f>
        <v>0.59441335458415334</v>
      </c>
    </row>
    <row r="35" spans="1:6">
      <c r="A35">
        <f t="shared" si="0"/>
        <v>1987</v>
      </c>
      <c r="B35">
        <f>'9'!H25</f>
        <v>0.46232821572107063</v>
      </c>
      <c r="C35">
        <f>'9'!B25</f>
        <v>0.35170871528965209</v>
      </c>
      <c r="D35">
        <f>'9'!D25</f>
        <v>0.24846321299635038</v>
      </c>
      <c r="E35">
        <f>'9'!F25</f>
        <v>0.66683467440276667</v>
      </c>
      <c r="F35">
        <f>'9'!G25</f>
        <v>0.58230626019551324</v>
      </c>
    </row>
    <row r="36" spans="1:6">
      <c r="A36">
        <f t="shared" si="0"/>
        <v>1988</v>
      </c>
      <c r="B36">
        <f>'9'!H26</f>
        <v>0.48738294963598849</v>
      </c>
      <c r="C36">
        <f>'9'!B26</f>
        <v>0.38220464420613254</v>
      </c>
      <c r="D36">
        <f>'9'!D26</f>
        <v>0.25681141822596482</v>
      </c>
      <c r="E36">
        <f>'9'!F26</f>
        <v>0.69125665216367604</v>
      </c>
      <c r="F36">
        <f>'9'!G26</f>
        <v>0.61925908394818063</v>
      </c>
    </row>
    <row r="37" spans="1:6">
      <c r="A37">
        <f t="shared" si="0"/>
        <v>1989</v>
      </c>
      <c r="B37">
        <f>'9'!H27</f>
        <v>0.50357121370456881</v>
      </c>
      <c r="C37">
        <f>'9'!B27</f>
        <v>0.4057939045173144</v>
      </c>
      <c r="D37">
        <f>'9'!D27</f>
        <v>0.26094061492035886</v>
      </c>
      <c r="E37">
        <f>'9'!F27</f>
        <v>0.71080697727316267</v>
      </c>
      <c r="F37">
        <f>'9'!G27</f>
        <v>0.63674335810743921</v>
      </c>
    </row>
    <row r="38" spans="1:6">
      <c r="A38">
        <f t="shared" si="0"/>
        <v>1990</v>
      </c>
      <c r="B38">
        <f>'9'!H28</f>
        <v>0.49054495517693048</v>
      </c>
      <c r="C38">
        <f>'9'!B28</f>
        <v>0.41954931627629088</v>
      </c>
      <c r="D38">
        <f>'9'!D28</f>
        <v>0.27594805873625794</v>
      </c>
      <c r="E38">
        <f>'9'!F28</f>
        <v>0.64545797780615266</v>
      </c>
      <c r="F38">
        <f>'9'!G28</f>
        <v>0.62122446788902042</v>
      </c>
    </row>
    <row r="39" spans="1:6">
      <c r="A39">
        <f t="shared" si="0"/>
        <v>1991</v>
      </c>
      <c r="B39">
        <f>'9'!H29</f>
        <v>0.48104437061629834</v>
      </c>
      <c r="C39">
        <f>'9'!B29</f>
        <v>0.42347896147781944</v>
      </c>
      <c r="D39">
        <f>'9'!D29</f>
        <v>0.26829177037425173</v>
      </c>
      <c r="E39">
        <f>'9'!F29</f>
        <v>0.63719491025725805</v>
      </c>
      <c r="F39">
        <f>'9'!G29</f>
        <v>0.59521184035586427</v>
      </c>
    </row>
    <row r="40" spans="1:6">
      <c r="A40">
        <f t="shared" si="0"/>
        <v>1992</v>
      </c>
      <c r="B40">
        <f>'9'!H30</f>
        <v>0.47966464196689351</v>
      </c>
      <c r="C40">
        <f>'9'!B30</f>
        <v>0.44639853153233605</v>
      </c>
      <c r="D40">
        <f>'9'!D30</f>
        <v>0.26547490353597075</v>
      </c>
      <c r="E40">
        <f>'9'!F30</f>
        <v>0.62715689884919212</v>
      </c>
      <c r="F40">
        <f>'9'!G30</f>
        <v>0.57962823395007501</v>
      </c>
    </row>
    <row r="41" spans="1:6">
      <c r="A41">
        <f t="shared" si="0"/>
        <v>1993</v>
      </c>
      <c r="B41">
        <f>'9'!H31</f>
        <v>0.4798713663978178</v>
      </c>
      <c r="C41">
        <f>'9'!B31</f>
        <v>0.45409767595013772</v>
      </c>
      <c r="D41">
        <f>'9'!D31</f>
        <v>0.26425017342839102</v>
      </c>
      <c r="E41">
        <f>'9'!F31</f>
        <v>0.63523635395519973</v>
      </c>
      <c r="F41">
        <f>'9'!G31</f>
        <v>0.56590126225754278</v>
      </c>
    </row>
    <row r="42" spans="1:6">
      <c r="A42">
        <f t="shared" si="0"/>
        <v>1994</v>
      </c>
      <c r="B42">
        <f>'9'!H32</f>
        <v>0.48615136049483088</v>
      </c>
      <c r="C42">
        <f>'9'!B32</f>
        <v>0.4707879554041452</v>
      </c>
      <c r="D42">
        <f>'9'!D32</f>
        <v>0.27042889032161399</v>
      </c>
      <c r="E42">
        <f>'9'!F32</f>
        <v>0.63273304343063508</v>
      </c>
      <c r="F42">
        <f>'9'!G32</f>
        <v>0.57065555282292912</v>
      </c>
    </row>
    <row r="43" spans="1:6">
      <c r="A43">
        <f t="shared" si="0"/>
        <v>1995</v>
      </c>
      <c r="B43">
        <f>'9'!H33</f>
        <v>0.4878403706788994</v>
      </c>
      <c r="C43">
        <f>'9'!B33</f>
        <v>0.48340105029325475</v>
      </c>
      <c r="D43">
        <f>'9'!D33</f>
        <v>0.27966740692347536</v>
      </c>
      <c r="E43">
        <f>'9'!F33</f>
        <v>0.61180974212230088</v>
      </c>
      <c r="F43">
        <f>'9'!G33</f>
        <v>0.57648328337656674</v>
      </c>
    </row>
    <row r="44" spans="1:6">
      <c r="A44">
        <f t="shared" si="0"/>
        <v>1996</v>
      </c>
      <c r="B44">
        <f>'9'!H34</f>
        <v>0.47679488956266264</v>
      </c>
      <c r="C44">
        <f>'9'!B34</f>
        <v>0.49807269871500515</v>
      </c>
      <c r="D44">
        <f>'9'!D34</f>
        <v>0.29092897677022855</v>
      </c>
      <c r="E44">
        <f>'9'!F34</f>
        <v>0.55444102066259571</v>
      </c>
      <c r="F44">
        <f>'9'!G34</f>
        <v>0.56373686210282115</v>
      </c>
    </row>
    <row r="45" spans="1:6">
      <c r="A45">
        <f t="shared" si="0"/>
        <v>1997</v>
      </c>
      <c r="B45">
        <f>'9'!H35</f>
        <v>0.47766802820173043</v>
      </c>
      <c r="C45">
        <f>'9'!B35</f>
        <v>0.52409770210052486</v>
      </c>
      <c r="D45">
        <f>'9'!D35</f>
        <v>0.30185091473476916</v>
      </c>
      <c r="E45">
        <f>'9'!F35</f>
        <v>0.52192430097487674</v>
      </c>
      <c r="F45">
        <f>'9'!G35</f>
        <v>0.56279919499675102</v>
      </c>
    </row>
    <row r="46" spans="1:6">
      <c r="A46">
        <f t="shared" si="0"/>
        <v>1998</v>
      </c>
      <c r="B46">
        <f>'9'!H36</f>
        <v>0.48422154380221771</v>
      </c>
      <c r="C46">
        <f>'9'!B36</f>
        <v>0.55382919037071332</v>
      </c>
      <c r="D46">
        <f>'9'!D36</f>
        <v>0.30286039128744413</v>
      </c>
      <c r="E46">
        <f>'9'!F36</f>
        <v>0.51388214754238271</v>
      </c>
      <c r="F46">
        <f>'9'!G36</f>
        <v>0.56631444600833059</v>
      </c>
    </row>
    <row r="47" spans="1:6">
      <c r="A47">
        <f t="shared" si="0"/>
        <v>1999</v>
      </c>
      <c r="B47">
        <f>'9'!H37</f>
        <v>0.49477781532887766</v>
      </c>
      <c r="C47">
        <f>'9'!B37</f>
        <v>0.57870379700417096</v>
      </c>
      <c r="D47">
        <f>'9'!D37</f>
        <v>0.32161106042480536</v>
      </c>
      <c r="E47">
        <f>'9'!F37</f>
        <v>0.50846554511032127</v>
      </c>
      <c r="F47">
        <f>'9'!G37</f>
        <v>0.57033085877621292</v>
      </c>
    </row>
    <row r="48" spans="1:6">
      <c r="A48">
        <f t="shared" si="0"/>
        <v>2000</v>
      </c>
      <c r="B48">
        <f>'9'!H38</f>
        <v>0.50968985488856333</v>
      </c>
      <c r="C48">
        <f>'9'!B38</f>
        <v>0.60769764491524347</v>
      </c>
      <c r="D48">
        <f>'9'!D38</f>
        <v>0.35005266596543333</v>
      </c>
      <c r="E48">
        <f>'9'!F38</f>
        <v>0.50214776087536384</v>
      </c>
      <c r="F48">
        <f>'9'!G38</f>
        <v>0.57886134779821263</v>
      </c>
    </row>
    <row r="49" spans="1:6">
      <c r="A49">
        <f t="shared" si="0"/>
        <v>2001</v>
      </c>
      <c r="B49">
        <f>'9'!H39</f>
        <v>0.50968640160868317</v>
      </c>
      <c r="C49">
        <f>'9'!B39</f>
        <v>0.62648184541481788</v>
      </c>
      <c r="D49">
        <f>'9'!D39</f>
        <v>0.34979103379749987</v>
      </c>
      <c r="E49">
        <f>'9'!F39</f>
        <v>0.51107598404402743</v>
      </c>
      <c r="F49">
        <f>'9'!G39</f>
        <v>0.55139674317838749</v>
      </c>
    </row>
    <row r="50" spans="1:6">
      <c r="A50">
        <f t="shared" si="0"/>
        <v>2002</v>
      </c>
      <c r="B50">
        <f>'9'!H40</f>
        <v>0.50226432094820594</v>
      </c>
      <c r="C50">
        <f>'9'!B40</f>
        <v>0.64603724803837104</v>
      </c>
      <c r="D50">
        <f>'9'!D40</f>
        <v>0.35157732960737681</v>
      </c>
      <c r="E50">
        <f>'9'!F40</f>
        <v>0.4993868919690741</v>
      </c>
      <c r="F50">
        <f>'9'!G40</f>
        <v>0.51205581417800172</v>
      </c>
    </row>
    <row r="51" spans="1:6">
      <c r="A51">
        <f t="shared" si="0"/>
        <v>2003</v>
      </c>
      <c r="B51">
        <f>'9'!H41</f>
        <v>0.5105743605227403</v>
      </c>
      <c r="C51">
        <f>'9'!B41</f>
        <v>0.66790011172971175</v>
      </c>
      <c r="D51">
        <f>'9'!D41</f>
        <v>0.36351439297037474</v>
      </c>
      <c r="E51">
        <f>'9'!F41</f>
        <v>0.50314279809928009</v>
      </c>
      <c r="F51">
        <f>'9'!G41</f>
        <v>0.50774013929159489</v>
      </c>
    </row>
    <row r="52" spans="1:6">
      <c r="A52">
        <f t="shared" si="0"/>
        <v>2004</v>
      </c>
      <c r="B52">
        <f>'9'!H42</f>
        <v>0.51589996617088774</v>
      </c>
      <c r="C52">
        <f>'9'!B42</f>
        <v>0.6899340129521192</v>
      </c>
      <c r="D52">
        <f>'9'!D42</f>
        <v>0.37961828068370757</v>
      </c>
      <c r="E52">
        <f>'9'!F42</f>
        <v>0.47808133692446614</v>
      </c>
      <c r="F52">
        <f>'9'!G42</f>
        <v>0.51596623412325804</v>
      </c>
    </row>
    <row r="53" spans="1:6">
      <c r="A53">
        <f t="shared" si="0"/>
        <v>2005</v>
      </c>
      <c r="B53">
        <f>'9'!H43</f>
        <v>0.53118336100478869</v>
      </c>
      <c r="C53">
        <f>'9'!B43</f>
        <v>0.71372649724491843</v>
      </c>
      <c r="D53">
        <f>'9'!D43</f>
        <v>0.40536908875496142</v>
      </c>
      <c r="E53">
        <f>'9'!F43</f>
        <v>0.48807374584042851</v>
      </c>
      <c r="F53">
        <f>'9'!G43</f>
        <v>0.51756411217884624</v>
      </c>
    </row>
    <row r="54" spans="1:6">
      <c r="A54">
        <f t="shared" si="0"/>
        <v>2006</v>
      </c>
      <c r="B54">
        <f>'9'!H44</f>
        <v>0.55580840623949612</v>
      </c>
      <c r="C54">
        <f>'9'!B44</f>
        <v>0.74822394374285328</v>
      </c>
      <c r="D54">
        <f>'9'!D44</f>
        <v>0.42590721115943969</v>
      </c>
      <c r="E54">
        <f>'9'!F44</f>
        <v>0.52715282225268989</v>
      </c>
      <c r="F54">
        <f>'9'!G44</f>
        <v>0.52194964780300157</v>
      </c>
    </row>
    <row r="55" spans="1:6">
      <c r="A55">
        <f t="shared" si="0"/>
        <v>2007</v>
      </c>
      <c r="B55">
        <f>'9'!H45</f>
        <v>0.56882926438580561</v>
      </c>
      <c r="C55">
        <f>'9'!B45</f>
        <v>0.78274165438300747</v>
      </c>
      <c r="D55">
        <f>'9'!D45</f>
        <v>0.42768292531287988</v>
      </c>
      <c r="E55">
        <f>'9'!F45</f>
        <v>0.53518203140115705</v>
      </c>
      <c r="F55">
        <f>'9'!G45</f>
        <v>0.52971044644617782</v>
      </c>
    </row>
    <row r="56" spans="1:6">
      <c r="A56">
        <f t="shared" si="0"/>
        <v>2008</v>
      </c>
      <c r="B56">
        <f>'9'!H46</f>
        <v>0.5748443538431145</v>
      </c>
      <c r="C56">
        <f>'9'!B46</f>
        <v>0.80583389411014994</v>
      </c>
      <c r="D56">
        <f>'9'!D46</f>
        <v>0.47911064987499741</v>
      </c>
      <c r="E56">
        <f>'9'!F46</f>
        <v>0.49344838232948285</v>
      </c>
      <c r="F56">
        <f>'9'!G46</f>
        <v>0.52098448905782768</v>
      </c>
    </row>
    <row r="57" spans="1:6">
      <c r="A57">
        <f t="shared" si="0"/>
        <v>2009</v>
      </c>
      <c r="B57">
        <f>'9'!H47</f>
        <v>0.55360366467963618</v>
      </c>
      <c r="C57">
        <f>'9'!B47</f>
        <v>0.81159519848141226</v>
      </c>
      <c r="D57">
        <f>'9'!D47</f>
        <v>0.42718276285445739</v>
      </c>
      <c r="E57">
        <f>'9'!F47</f>
        <v>0.48990011732755612</v>
      </c>
      <c r="F57">
        <f>'9'!G47</f>
        <v>0.48573658005511883</v>
      </c>
    </row>
    <row r="58" spans="1:6">
      <c r="A58">
        <f t="shared" si="0"/>
        <v>2010</v>
      </c>
      <c r="B58">
        <f>'9'!H48</f>
        <v>0.56162138366182712</v>
      </c>
      <c r="C58">
        <f>'9'!B48</f>
        <v>0.83603513861958567</v>
      </c>
      <c r="D58">
        <f>'9'!D48</f>
        <v>0.43582687101768375</v>
      </c>
      <c r="E58">
        <f>'9'!F48</f>
        <v>0.48990011732755612</v>
      </c>
      <c r="F58">
        <f>'9'!G48</f>
        <v>0.48472340768248307</v>
      </c>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dimension ref="A1:F22"/>
  <sheetViews>
    <sheetView workbookViewId="0">
      <selection activeCell="E9" sqref="E9"/>
    </sheetView>
  </sheetViews>
  <sheetFormatPr defaultRowHeight="12.75"/>
  <sheetData>
    <row r="1" spans="1:1" ht="15.75">
      <c r="A1" s="404" t="s">
        <v>1419</v>
      </c>
    </row>
    <row r="20" spans="1:6">
      <c r="B20" s="206" t="s">
        <v>1184</v>
      </c>
      <c r="C20" s="206" t="s">
        <v>28</v>
      </c>
      <c r="D20" s="206" t="s">
        <v>32</v>
      </c>
      <c r="E20" s="206" t="s">
        <v>31</v>
      </c>
      <c r="F20" s="206" t="s">
        <v>30</v>
      </c>
    </row>
    <row r="21" spans="1:6">
      <c r="A21">
        <v>1981</v>
      </c>
      <c r="B21">
        <f>'9'!H19</f>
        <v>0.44780458265691525</v>
      </c>
      <c r="C21">
        <f>'9'!B19</f>
        <v>0.26502024105489891</v>
      </c>
      <c r="D21">
        <f>'9'!D19</f>
        <v>0.25267986708165169</v>
      </c>
      <c r="E21">
        <f>'9'!F19</f>
        <v>0.6415022695162006</v>
      </c>
      <c r="F21">
        <f>'9'!G19</f>
        <v>0.63201595297490964</v>
      </c>
    </row>
    <row r="22" spans="1:6">
      <c r="A22">
        <v>2010</v>
      </c>
      <c r="B22">
        <f>'9'!H48</f>
        <v>0.56162138366182712</v>
      </c>
      <c r="C22">
        <f>'9'!B48</f>
        <v>0.83603513861958567</v>
      </c>
      <c r="D22">
        <f>'9'!D48</f>
        <v>0.43582687101768375</v>
      </c>
      <c r="E22">
        <f>'9'!F48</f>
        <v>0.48990011732755612</v>
      </c>
      <c r="F22">
        <f>'9'!G48</f>
        <v>0.48472340768248307</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EH60"/>
  <sheetViews>
    <sheetView view="pageBreakPreview" topLeftCell="AP1" zoomScaleSheetLayoutView="100" workbookViewId="0">
      <pane ySplit="4" topLeftCell="A6" activePane="bottomLeft" state="frozen"/>
      <selection activeCell="E9" sqref="E9"/>
      <selection pane="bottomLeft" activeCell="E9" sqref="E9"/>
    </sheetView>
  </sheetViews>
  <sheetFormatPr defaultColWidth="8.875" defaultRowHeight="12.75"/>
  <cols>
    <col min="1" max="1" width="8.875" style="1"/>
    <col min="2" max="56" width="10.875" style="1" customWidth="1"/>
    <col min="57" max="16384" width="8.875" style="1"/>
  </cols>
  <sheetData>
    <row r="1" spans="1:56" ht="15.75">
      <c r="B1" s="2" t="s">
        <v>500</v>
      </c>
      <c r="Q1" s="2" t="s">
        <v>501</v>
      </c>
      <c r="AF1" s="2" t="s">
        <v>502</v>
      </c>
      <c r="AU1" s="2" t="s">
        <v>1157</v>
      </c>
    </row>
    <row r="3" spans="1:56" s="3" customFormat="1" ht="15">
      <c r="B3" s="3" t="s">
        <v>321</v>
      </c>
      <c r="G3" s="3" t="s">
        <v>370</v>
      </c>
      <c r="L3" s="3" t="s">
        <v>371</v>
      </c>
      <c r="Q3" s="3" t="s">
        <v>372</v>
      </c>
      <c r="V3" s="3" t="s">
        <v>373</v>
      </c>
      <c r="AA3" s="3" t="s">
        <v>374</v>
      </c>
      <c r="AF3" s="3" t="s">
        <v>375</v>
      </c>
      <c r="AK3" s="3" t="s">
        <v>376</v>
      </c>
      <c r="AP3" s="3" t="s">
        <v>377</v>
      </c>
      <c r="AU3" s="3" t="s">
        <v>378</v>
      </c>
      <c r="AZ3" s="3" t="s">
        <v>379</v>
      </c>
    </row>
    <row r="4" spans="1:56" s="4" customFormat="1" ht="148.5" customHeight="1">
      <c r="B4" s="4" t="s">
        <v>382</v>
      </c>
      <c r="C4" s="4" t="s">
        <v>1161</v>
      </c>
      <c r="D4" s="4" t="s">
        <v>1162</v>
      </c>
      <c r="E4" s="4" t="s">
        <v>383</v>
      </c>
      <c r="F4" s="4" t="s">
        <v>653</v>
      </c>
      <c r="G4" s="4" t="s">
        <v>382</v>
      </c>
      <c r="H4" s="4" t="s">
        <v>1161</v>
      </c>
      <c r="I4" s="4" t="s">
        <v>1162</v>
      </c>
      <c r="J4" s="4" t="s">
        <v>383</v>
      </c>
      <c r="K4" s="4" t="s">
        <v>653</v>
      </c>
      <c r="L4" s="4" t="s">
        <v>382</v>
      </c>
      <c r="M4" s="4" t="s">
        <v>1161</v>
      </c>
      <c r="N4" s="4" t="s">
        <v>1162</v>
      </c>
      <c r="O4" s="4" t="s">
        <v>383</v>
      </c>
      <c r="P4" s="4" t="s">
        <v>653</v>
      </c>
      <c r="Q4" s="4" t="s">
        <v>382</v>
      </c>
      <c r="R4" s="4" t="s">
        <v>1161</v>
      </c>
      <c r="S4" s="4" t="s">
        <v>1162</v>
      </c>
      <c r="T4" s="4" t="s">
        <v>383</v>
      </c>
      <c r="U4" s="4" t="s">
        <v>653</v>
      </c>
      <c r="V4" s="4" t="s">
        <v>382</v>
      </c>
      <c r="W4" s="4" t="s">
        <v>1161</v>
      </c>
      <c r="X4" s="4" t="s">
        <v>1162</v>
      </c>
      <c r="Y4" s="4" t="s">
        <v>383</v>
      </c>
      <c r="Z4" s="4" t="s">
        <v>653</v>
      </c>
      <c r="AA4" s="4" t="s">
        <v>382</v>
      </c>
      <c r="AB4" s="4" t="s">
        <v>1161</v>
      </c>
      <c r="AC4" s="4" t="s">
        <v>1162</v>
      </c>
      <c r="AD4" s="4" t="s">
        <v>383</v>
      </c>
      <c r="AE4" s="4" t="s">
        <v>653</v>
      </c>
      <c r="AF4" s="4" t="s">
        <v>382</v>
      </c>
      <c r="AG4" s="4" t="s">
        <v>1161</v>
      </c>
      <c r="AH4" s="4" t="s">
        <v>1162</v>
      </c>
      <c r="AI4" s="4" t="s">
        <v>383</v>
      </c>
      <c r="AJ4" s="4" t="s">
        <v>653</v>
      </c>
      <c r="AK4" s="4" t="s">
        <v>382</v>
      </c>
      <c r="AL4" s="4" t="s">
        <v>1161</v>
      </c>
      <c r="AM4" s="4" t="s">
        <v>1162</v>
      </c>
      <c r="AN4" s="4" t="s">
        <v>383</v>
      </c>
      <c r="AO4" s="4" t="s">
        <v>653</v>
      </c>
      <c r="AP4" s="4" t="s">
        <v>382</v>
      </c>
      <c r="AQ4" s="4" t="s">
        <v>1161</v>
      </c>
      <c r="AR4" s="4" t="s">
        <v>1162</v>
      </c>
      <c r="AS4" s="4" t="s">
        <v>383</v>
      </c>
      <c r="AT4" s="4" t="s">
        <v>653</v>
      </c>
      <c r="AU4" s="4" t="s">
        <v>382</v>
      </c>
      <c r="AV4" s="4" t="s">
        <v>1161</v>
      </c>
      <c r="AW4" s="4" t="s">
        <v>1162</v>
      </c>
      <c r="AX4" s="4" t="s">
        <v>383</v>
      </c>
      <c r="AY4" s="4" t="s">
        <v>653</v>
      </c>
      <c r="AZ4" s="4" t="s">
        <v>382</v>
      </c>
      <c r="BA4" s="4" t="s">
        <v>1161</v>
      </c>
      <c r="BB4" s="4" t="s">
        <v>1162</v>
      </c>
      <c r="BC4" s="4" t="s">
        <v>383</v>
      </c>
      <c r="BD4" s="4" t="s">
        <v>653</v>
      </c>
    </row>
    <row r="5" spans="1:56" s="4" customFormat="1" hidden="1"/>
    <row r="6" spans="1:56" s="4" customFormat="1" ht="30" customHeight="1">
      <c r="B6" s="4" t="s">
        <v>105</v>
      </c>
      <c r="C6" s="4" t="s">
        <v>106</v>
      </c>
      <c r="D6" s="4" t="s">
        <v>107</v>
      </c>
      <c r="E6" s="4" t="s">
        <v>381</v>
      </c>
      <c r="F6" s="4" t="s">
        <v>388</v>
      </c>
      <c r="G6" s="4" t="s">
        <v>111</v>
      </c>
      <c r="H6" s="4" t="s">
        <v>112</v>
      </c>
      <c r="I6" s="4" t="s">
        <v>138</v>
      </c>
      <c r="J6" s="4" t="s">
        <v>385</v>
      </c>
      <c r="K6" s="4" t="s">
        <v>388</v>
      </c>
      <c r="L6" s="4" t="s">
        <v>116</v>
      </c>
      <c r="M6" s="4" t="s">
        <v>139</v>
      </c>
      <c r="N6" s="4" t="s">
        <v>170</v>
      </c>
      <c r="O6" s="4" t="s">
        <v>386</v>
      </c>
      <c r="P6" s="4" t="s">
        <v>388</v>
      </c>
      <c r="Q6" s="4" t="s">
        <v>105</v>
      </c>
      <c r="R6" s="4" t="s">
        <v>106</v>
      </c>
      <c r="S6" s="4" t="s">
        <v>107</v>
      </c>
      <c r="T6" s="4" t="s">
        <v>381</v>
      </c>
      <c r="U6" s="4" t="s">
        <v>388</v>
      </c>
      <c r="V6" s="4" t="s">
        <v>111</v>
      </c>
      <c r="W6" s="4" t="s">
        <v>112</v>
      </c>
      <c r="X6" s="4" t="s">
        <v>138</v>
      </c>
      <c r="Y6" s="4" t="s">
        <v>387</v>
      </c>
      <c r="Z6" s="4" t="s">
        <v>388</v>
      </c>
      <c r="AA6" s="4" t="s">
        <v>116</v>
      </c>
      <c r="AB6" s="4" t="s">
        <v>139</v>
      </c>
      <c r="AC6" s="4" t="s">
        <v>170</v>
      </c>
      <c r="AD6" s="4" t="s">
        <v>386</v>
      </c>
      <c r="AE6" s="4" t="s">
        <v>388</v>
      </c>
      <c r="AF6" s="4" t="s">
        <v>105</v>
      </c>
      <c r="AG6" s="4" t="s">
        <v>106</v>
      </c>
      <c r="AH6" s="4" t="s">
        <v>107</v>
      </c>
      <c r="AI6" s="4" t="s">
        <v>381</v>
      </c>
      <c r="AJ6" s="4" t="s">
        <v>388</v>
      </c>
      <c r="AK6" s="4" t="s">
        <v>111</v>
      </c>
      <c r="AL6" s="4" t="s">
        <v>112</v>
      </c>
      <c r="AM6" s="4" t="s">
        <v>138</v>
      </c>
      <c r="AN6" s="4" t="s">
        <v>387</v>
      </c>
      <c r="AO6" s="4" t="s">
        <v>388</v>
      </c>
      <c r="AP6" s="4" t="s">
        <v>116</v>
      </c>
      <c r="AQ6" s="4" t="s">
        <v>139</v>
      </c>
      <c r="AR6" s="4" t="s">
        <v>170</v>
      </c>
      <c r="AS6" s="4" t="s">
        <v>386</v>
      </c>
      <c r="AT6" s="4" t="s">
        <v>388</v>
      </c>
      <c r="AU6" s="4" t="s">
        <v>105</v>
      </c>
      <c r="AV6" s="4" t="s">
        <v>106</v>
      </c>
      <c r="AW6" s="4" t="s">
        <v>107</v>
      </c>
      <c r="AX6" s="4" t="s">
        <v>381</v>
      </c>
      <c r="AY6" s="4" t="s">
        <v>388</v>
      </c>
      <c r="AZ6" s="4" t="s">
        <v>111</v>
      </c>
      <c r="BA6" s="4" t="s">
        <v>112</v>
      </c>
      <c r="BB6" s="4" t="s">
        <v>138</v>
      </c>
      <c r="BC6" s="4" t="s">
        <v>387</v>
      </c>
      <c r="BD6" s="4" t="s">
        <v>388</v>
      </c>
    </row>
    <row r="7" spans="1:56" s="4" customFormat="1" ht="11.25" hidden="1" customHeight="1"/>
    <row r="8" spans="1:56" hidden="1">
      <c r="A8" s="1">
        <v>1971</v>
      </c>
      <c r="B8" s="9">
        <f>'a27'!E8</f>
        <v>0.59732204139460865</v>
      </c>
      <c r="C8" s="6">
        <f>'a27'!F8</f>
        <v>52.2</v>
      </c>
      <c r="D8" s="9">
        <f>'a27'!G8</f>
        <v>0.34799999999999998</v>
      </c>
      <c r="E8" s="9">
        <f>B8*C8*D8</f>
        <v>10.850713275157903</v>
      </c>
      <c r="F8" s="9">
        <f t="shared" ref="F8:F17" si="0">(G$58-E8)/G$60</f>
        <v>0.66921830652631542</v>
      </c>
      <c r="G8" s="9">
        <f>'a27'!L8</f>
        <v>0.14204276434158444</v>
      </c>
      <c r="H8" s="6">
        <f>'a27'!M8</f>
        <v>59.1</v>
      </c>
      <c r="I8" s="9">
        <f>'a27'!N8</f>
        <v>0.34770000000000001</v>
      </c>
      <c r="J8" s="9">
        <f>G8*H8*I8</f>
        <v>2.9188467074487225</v>
      </c>
      <c r="K8" s="9">
        <f t="shared" ref="K8:K17" si="1">(G$58-J8)/G$60</f>
        <v>0.9369141324548399</v>
      </c>
      <c r="L8" s="9">
        <f>'a27'!S8</f>
        <v>0.26282341282664429</v>
      </c>
      <c r="M8" s="6">
        <f>'a27'!T8</f>
        <v>46.2</v>
      </c>
      <c r="N8" s="9">
        <f>'a27'!U8</f>
        <v>0.376</v>
      </c>
      <c r="O8" s="9">
        <f>L8*M8*N8</f>
        <v>4.5655580688942035</v>
      </c>
      <c r="P8" s="9">
        <f t="shared" ref="P8:P17" si="2">(G$58-O8)/G$60</f>
        <v>0.8813385936828424</v>
      </c>
      <c r="Q8" s="9">
        <f>'a27'!Z8</f>
        <v>0.4141452725116101</v>
      </c>
      <c r="R8" s="6">
        <f>'a27'!AA8</f>
        <v>65.599999999999994</v>
      </c>
      <c r="S8" s="9">
        <f>'a27'!AC8</f>
        <v>0.19568479999999996</v>
      </c>
      <c r="T8" s="9">
        <f>Q8*R8*S8</f>
        <v>5.3163509243481206</v>
      </c>
      <c r="U8" s="9">
        <f t="shared" ref="U8:U17" si="3">(G$58-T8)/G$60</f>
        <v>0.85599977692057061</v>
      </c>
      <c r="V8" s="9">
        <f>'a27'!AG8</f>
        <v>0.35443037974683544</v>
      </c>
      <c r="W8" s="6">
        <f>'a27'!AH8</f>
        <v>59.9</v>
      </c>
      <c r="X8" s="9">
        <f>'a27'!AI8</f>
        <v>0.39710000000000001</v>
      </c>
      <c r="Y8" s="9">
        <f>V8*W8*X8</f>
        <v>8.4305837974683548</v>
      </c>
      <c r="Z8" s="9">
        <f t="shared" ref="Z8:Z17" si="4">(G$58-Y8)/G$60</f>
        <v>0.750896251289219</v>
      </c>
      <c r="AA8" s="9">
        <f>'a27'!AN8</f>
        <v>0.39495148313656608</v>
      </c>
      <c r="AB8" s="6">
        <f>'a27'!AO8</f>
        <v>55.1</v>
      </c>
      <c r="AC8" s="9">
        <f>'a27'!AP8</f>
        <v>0.33759999999999996</v>
      </c>
      <c r="AD8" s="9">
        <f>AA8*AB8*AC8</f>
        <v>7.3467927009504495</v>
      </c>
      <c r="AE8" s="9">
        <f t="shared" ref="AE8:AE17" si="5">(G$58-AD8)/G$60</f>
        <v>0.78747356259920165</v>
      </c>
      <c r="AF8" s="9">
        <f>'a27'!AU8</f>
        <v>0.65822419080362005</v>
      </c>
      <c r="AG8" s="6">
        <f>'a27'!AV8</f>
        <v>47.6</v>
      </c>
      <c r="AH8" s="9">
        <f>'a27'!AW8</f>
        <v>0.39280000000000004</v>
      </c>
      <c r="AI8" s="9">
        <f>AF8*AG8*AH8</f>
        <v>12.30700199822871</v>
      </c>
      <c r="AJ8" s="9">
        <f t="shared" ref="AJ8:AJ17" si="6">(G$58-AI8)/G$60</f>
        <v>0.62006941966784346</v>
      </c>
      <c r="AK8" s="9">
        <f>'a27'!BB8</f>
        <v>0.60641910395443099</v>
      </c>
      <c r="AL8" s="6">
        <f>'a27'!BC8</f>
        <v>78</v>
      </c>
      <c r="AM8" s="9">
        <f>'a27'!BD8</f>
        <v>0.30280000000000001</v>
      </c>
      <c r="AN8" s="9">
        <f>AK8*AL8*AM8</f>
        <v>14.322648964837333</v>
      </c>
      <c r="AO8" s="9">
        <f t="shared" ref="AO8:AO17" si="7">(G$58-AN8)/G$60</f>
        <v>0.55204252147174115</v>
      </c>
      <c r="AP8" s="9">
        <f>'a27'!BI8</f>
        <v>0.38848725633255654</v>
      </c>
      <c r="AQ8" s="6">
        <f>'a27'!BJ8</f>
        <v>48.7</v>
      </c>
      <c r="AR8" s="9">
        <f>'a27'!BK8</f>
        <v>0.21190000000000001</v>
      </c>
      <c r="AS8" s="9">
        <f>AP8*AQ8*AR8</f>
        <v>4.0090058963415069</v>
      </c>
      <c r="AT8" s="9">
        <f t="shared" ref="AT8:AT17" si="8">(G$58-AS8)/G$60</f>
        <v>0.90012190177709817</v>
      </c>
      <c r="AU8" s="9">
        <f>'a27'!BP8</f>
        <v>0.9707977349823087</v>
      </c>
      <c r="AV8" s="6">
        <f>'a27'!BQ8</f>
        <v>38.6</v>
      </c>
      <c r="AW8" s="9">
        <f>'a27'!BR8</f>
        <v>0.36340000000000006</v>
      </c>
      <c r="AX8" s="9">
        <f>AU8*AV8*AW8</f>
        <v>13.617612820053242</v>
      </c>
      <c r="AY8" s="9">
        <f t="shared" ref="AY8:AY17" si="9">(G$58-AX8)/G$60</f>
        <v>0.57583707619304536</v>
      </c>
      <c r="AZ8" s="9">
        <f>'a27'!BW8</f>
        <v>0.92571111914679793</v>
      </c>
      <c r="BA8" s="6">
        <f>'a27'!BX8</f>
        <v>56</v>
      </c>
      <c r="BB8" s="9">
        <f>'a27'!BY8</f>
        <v>0.27250000000000002</v>
      </c>
      <c r="BC8" s="9">
        <f>AZ8*BA8*BB8</f>
        <v>14.126351678180137</v>
      </c>
      <c r="BD8" s="9">
        <f t="shared" ref="BD8:BD17" si="10">(G$58-BC8)/G$60</f>
        <v>0.55866743930547647</v>
      </c>
    </row>
    <row r="9" spans="1:56" hidden="1">
      <c r="A9" s="1">
        <v>1972</v>
      </c>
      <c r="B9" s="9">
        <f>'a27'!E9</f>
        <v>0.63843094492865382</v>
      </c>
      <c r="C9" s="6">
        <f>'a27'!F9</f>
        <v>52.2</v>
      </c>
      <c r="D9" s="9">
        <f>'a27'!G9</f>
        <v>0.34799999999999998</v>
      </c>
      <c r="E9" s="9">
        <f t="shared" ref="E9:E39" si="11">B9*C9*D9</f>
        <v>11.597481173195954</v>
      </c>
      <c r="F9" s="9">
        <f t="shared" si="0"/>
        <v>0.64401532970670672</v>
      </c>
      <c r="G9" s="9">
        <f>'a27'!L9</f>
        <v>0.16275263438586168</v>
      </c>
      <c r="H9" s="6">
        <f>'a27'!M9</f>
        <v>59.1</v>
      </c>
      <c r="I9" s="9">
        <f>'a27'!N9</f>
        <v>0.34770000000000001</v>
      </c>
      <c r="J9" s="9">
        <f t="shared" ref="J9:J39" si="12">G9*H9*I9</f>
        <v>3.344415276679479</v>
      </c>
      <c r="K9" s="9">
        <f t="shared" si="1"/>
        <v>0.92255144384214549</v>
      </c>
      <c r="L9" s="9">
        <f>'a27'!S9</f>
        <v>0.27452802297588375</v>
      </c>
      <c r="M9" s="6">
        <f>'a27'!T9</f>
        <v>46.2</v>
      </c>
      <c r="N9" s="9">
        <f>'a27'!U9</f>
        <v>0.376</v>
      </c>
      <c r="O9" s="9">
        <f t="shared" ref="O9:O39" si="13">L9*M9*N9</f>
        <v>4.7688811927186725</v>
      </c>
      <c r="P9" s="9">
        <f t="shared" si="2"/>
        <v>0.8744765579819217</v>
      </c>
      <c r="Q9" s="9">
        <f>'a27'!Z9</f>
        <v>0.5244888779502499</v>
      </c>
      <c r="R9" s="6">
        <f>'a27'!AA9</f>
        <v>65.599999999999994</v>
      </c>
      <c r="S9" s="9">
        <f>'a27'!AC9</f>
        <v>0.19568479999999996</v>
      </c>
      <c r="T9" s="9">
        <f t="shared" ref="T9:T39" si="14">Q9*R9*S9</f>
        <v>6.732823277665088</v>
      </c>
      <c r="U9" s="9">
        <f t="shared" si="3"/>
        <v>0.80819466909516013</v>
      </c>
      <c r="V9" s="9">
        <f>'a27'!AG9</f>
        <v>0.33420230714339505</v>
      </c>
      <c r="W9" s="6">
        <f>'a27'!AH9</f>
        <v>59.9</v>
      </c>
      <c r="X9" s="9">
        <f>'a27'!AI9</f>
        <v>0.39710000000000001</v>
      </c>
      <c r="Y9" s="9">
        <f t="shared" ref="Y9:Y39" si="15">V9*W9*X9</f>
        <v>7.9494329963818666</v>
      </c>
      <c r="Z9" s="9">
        <f t="shared" si="4"/>
        <v>0.76713480749708252</v>
      </c>
      <c r="AA9" s="9">
        <f>'a27'!AN9</f>
        <v>0.47758114736157975</v>
      </c>
      <c r="AB9" s="6">
        <f>'a27'!AO9</f>
        <v>55.1</v>
      </c>
      <c r="AC9" s="9">
        <f>'a27'!AP9</f>
        <v>0.33759999999999996</v>
      </c>
      <c r="AD9" s="9">
        <f t="shared" ref="AD9:AD39" si="16">AA9*AB9*AC9</f>
        <v>8.8838498837447393</v>
      </c>
      <c r="AE9" s="9">
        <f t="shared" si="5"/>
        <v>0.73559878778609933</v>
      </c>
      <c r="AF9" s="9">
        <f>'a27'!AU9</f>
        <v>0.69657687127137957</v>
      </c>
      <c r="AG9" s="6">
        <f>'a27'!AV9</f>
        <v>47.6</v>
      </c>
      <c r="AH9" s="9">
        <f>'a27'!AW9</f>
        <v>0.39280000000000004</v>
      </c>
      <c r="AI9" s="9">
        <f t="shared" ref="AI9:AI39" si="17">AF9*AG9*AH9</f>
        <v>13.024092803684942</v>
      </c>
      <c r="AJ9" s="9">
        <f t="shared" si="6"/>
        <v>0.59586802724732046</v>
      </c>
      <c r="AK9" s="9">
        <f>'a27'!BB9</f>
        <v>0.61437996470028899</v>
      </c>
      <c r="AL9" s="6">
        <f>'a27'!BC9</f>
        <v>78</v>
      </c>
      <c r="AM9" s="9">
        <f>'a27'!BD9</f>
        <v>0.30280000000000001</v>
      </c>
      <c r="AN9" s="9">
        <f t="shared" ref="AN9:AN39" si="18">AK9*AL9*AM9</f>
        <v>14.510671758277304</v>
      </c>
      <c r="AO9" s="9">
        <f t="shared" si="7"/>
        <v>0.54569686291159736</v>
      </c>
      <c r="AP9" s="9">
        <f>'a27'!BI9</f>
        <v>0.39530037092271808</v>
      </c>
      <c r="AQ9" s="6">
        <f>'a27'!BJ9</f>
        <v>48.7</v>
      </c>
      <c r="AR9" s="9">
        <f>'a27'!BK9</f>
        <v>0.21190000000000001</v>
      </c>
      <c r="AS9" s="9">
        <f t="shared" ref="AS9:AS39" si="19">AP9*AQ9*AR9</f>
        <v>4.0793140367481167</v>
      </c>
      <c r="AT9" s="9">
        <f t="shared" si="8"/>
        <v>0.89774904343978468</v>
      </c>
      <c r="AU9" s="9">
        <f>'a27'!BP9</f>
        <v>0.97973898735196452</v>
      </c>
      <c r="AV9" s="6">
        <f>'a27'!BQ9</f>
        <v>38.6</v>
      </c>
      <c r="AW9" s="9">
        <f>'a27'!BR9</f>
        <v>0.36340000000000006</v>
      </c>
      <c r="AX9" s="9">
        <f t="shared" ref="AX9:AX39" si="20">AU9*AV9*AW9</f>
        <v>13.743033912942973</v>
      </c>
      <c r="AY9" s="9">
        <f t="shared" si="9"/>
        <v>0.57160418816305014</v>
      </c>
      <c r="AZ9" s="9">
        <f>'a27'!BW9</f>
        <v>0.91730681920539503</v>
      </c>
      <c r="BA9" s="6">
        <f>'a27'!BX9</f>
        <v>56</v>
      </c>
      <c r="BB9" s="9">
        <f>'a27'!BY9</f>
        <v>0.27250000000000002</v>
      </c>
      <c r="BC9" s="9">
        <f t="shared" ref="BC9:BC39" si="21">AZ9*BA9*BB9</f>
        <v>13.998102061074329</v>
      </c>
      <c r="BD9" s="9">
        <f t="shared" si="10"/>
        <v>0.56299578836216913</v>
      </c>
    </row>
    <row r="10" spans="1:56" hidden="1">
      <c r="A10" s="1">
        <v>1973</v>
      </c>
      <c r="B10" s="9">
        <f>'a27'!E10</f>
        <v>0.70778589553794446</v>
      </c>
      <c r="C10" s="6">
        <f>'a27'!F10</f>
        <v>52.2</v>
      </c>
      <c r="D10" s="9">
        <f>'a27'!G10</f>
        <v>0.34799999999999998</v>
      </c>
      <c r="E10" s="9">
        <f t="shared" si="11"/>
        <v>12.857355463984083</v>
      </c>
      <c r="F10" s="9">
        <f t="shared" si="0"/>
        <v>0.60149531427784819</v>
      </c>
      <c r="G10" s="9">
        <f>'a27'!L10</f>
        <v>0.20078341385584828</v>
      </c>
      <c r="H10" s="6">
        <f>'a27'!M10</f>
        <v>59.1</v>
      </c>
      <c r="I10" s="9">
        <f>'a27'!N10</f>
        <v>0.34770000000000001</v>
      </c>
      <c r="J10" s="9">
        <f t="shared" si="12"/>
        <v>4.1259124261627962</v>
      </c>
      <c r="K10" s="9">
        <f t="shared" si="1"/>
        <v>0.8961763752368066</v>
      </c>
      <c r="L10" s="9">
        <f>'a27'!S10</f>
        <v>0.22229998147500155</v>
      </c>
      <c r="M10" s="6">
        <f>'a27'!T10</f>
        <v>46.2</v>
      </c>
      <c r="N10" s="9">
        <f>'a27'!U10</f>
        <v>0.376</v>
      </c>
      <c r="O10" s="9">
        <f t="shared" si="13"/>
        <v>3.8616174381985471</v>
      </c>
      <c r="P10" s="9">
        <f t="shared" si="2"/>
        <v>0.90509617544876253</v>
      </c>
      <c r="Q10" s="9">
        <f>'a27'!Z10</f>
        <v>0.6909160307454868</v>
      </c>
      <c r="R10" s="6">
        <f>'a27'!AA10</f>
        <v>65.599999999999994</v>
      </c>
      <c r="S10" s="9">
        <f>'a27'!AC10</f>
        <v>0.19568479999999996</v>
      </c>
      <c r="T10" s="9">
        <f t="shared" si="14"/>
        <v>8.8692358032355205</v>
      </c>
      <c r="U10" s="9">
        <f t="shared" si="3"/>
        <v>0.73609200439768829</v>
      </c>
      <c r="V10" s="9">
        <f>'a27'!AG10</f>
        <v>0.40099760379480659</v>
      </c>
      <c r="W10" s="6">
        <f>'a27'!AH10</f>
        <v>59.9</v>
      </c>
      <c r="X10" s="9">
        <f>'a27'!AI10</f>
        <v>0.39710000000000001</v>
      </c>
      <c r="Y10" s="9">
        <f t="shared" si="15"/>
        <v>9.5382452931683694</v>
      </c>
      <c r="Z10" s="9">
        <f t="shared" si="4"/>
        <v>0.71351332806308143</v>
      </c>
      <c r="AA10" s="9">
        <f>'a27'!AN10</f>
        <v>0.58829132308470855</v>
      </c>
      <c r="AB10" s="6">
        <f>'a27'!AO10</f>
        <v>55.1</v>
      </c>
      <c r="AC10" s="9">
        <f>'a27'!AP10</f>
        <v>0.33759999999999996</v>
      </c>
      <c r="AD10" s="9">
        <f t="shared" si="16"/>
        <v>10.943254002104208</v>
      </c>
      <c r="AE10" s="9">
        <f t="shared" si="5"/>
        <v>0.66609511148509182</v>
      </c>
      <c r="AF10" s="9">
        <f>'a27'!AU10</f>
        <v>0.71288495192514112</v>
      </c>
      <c r="AG10" s="6">
        <f>'a27'!AV10</f>
        <v>47.6</v>
      </c>
      <c r="AH10" s="9">
        <f>'a27'!AW10</f>
        <v>0.39280000000000004</v>
      </c>
      <c r="AI10" s="9">
        <f t="shared" si="17"/>
        <v>13.329009553930904</v>
      </c>
      <c r="AJ10" s="9">
        <f t="shared" si="6"/>
        <v>0.58557726647874775</v>
      </c>
      <c r="AK10" s="9">
        <f>'a27'!BB10</f>
        <v>0.69458587461009935</v>
      </c>
      <c r="AL10" s="6">
        <f>'a27'!BC10</f>
        <v>78</v>
      </c>
      <c r="AM10" s="9">
        <f>'a27'!BD10</f>
        <v>0.30280000000000001</v>
      </c>
      <c r="AN10" s="9">
        <f t="shared" si="18"/>
        <v>16.405007020891169</v>
      </c>
      <c r="AO10" s="9">
        <f t="shared" si="7"/>
        <v>0.48176416329012539</v>
      </c>
      <c r="AP10" s="9">
        <f>'a27'!BI10</f>
        <v>0.42439176096265641</v>
      </c>
      <c r="AQ10" s="6">
        <f>'a27'!BJ10</f>
        <v>48.7</v>
      </c>
      <c r="AR10" s="9">
        <f>'a27'!BK10</f>
        <v>0.21190000000000001</v>
      </c>
      <c r="AS10" s="9">
        <f t="shared" si="19"/>
        <v>4.3795235090069617</v>
      </c>
      <c r="AT10" s="9">
        <f t="shared" si="8"/>
        <v>0.88761715053136581</v>
      </c>
      <c r="AU10" s="9">
        <f>'a27'!BP10</f>
        <v>1.1237948029241469</v>
      </c>
      <c r="AV10" s="6">
        <f>'a27'!BQ10</f>
        <v>38.6</v>
      </c>
      <c r="AW10" s="9">
        <f>'a27'!BR10</f>
        <v>0.36340000000000006</v>
      </c>
      <c r="AX10" s="9">
        <f t="shared" si="20"/>
        <v>15.763739411369714</v>
      </c>
      <c r="AY10" s="9">
        <f t="shared" si="9"/>
        <v>0.50340656749683599</v>
      </c>
      <c r="AZ10" s="9">
        <f>'a27'!BW10</f>
        <v>1.0003905164315945</v>
      </c>
      <c r="BA10" s="6">
        <f>'a27'!BX10</f>
        <v>56</v>
      </c>
      <c r="BB10" s="9">
        <f>'a27'!BY10</f>
        <v>0.27250000000000002</v>
      </c>
      <c r="BC10" s="9">
        <f t="shared" si="21"/>
        <v>15.265959280746133</v>
      </c>
      <c r="BD10" s="9">
        <f t="shared" si="10"/>
        <v>0.52020635378428659</v>
      </c>
    </row>
    <row r="11" spans="1:56" hidden="1">
      <c r="A11" s="1">
        <v>1974</v>
      </c>
      <c r="B11" s="9">
        <f>'a27'!E11</f>
        <v>0.84733440874290855</v>
      </c>
      <c r="C11" s="6">
        <f>'a27'!F11</f>
        <v>52.2</v>
      </c>
      <c r="D11" s="9">
        <f>'a27'!G11</f>
        <v>0.34799999999999998</v>
      </c>
      <c r="E11" s="9">
        <f t="shared" si="11"/>
        <v>15.392337935460178</v>
      </c>
      <c r="F11" s="9">
        <f t="shared" si="0"/>
        <v>0.51594114860658746</v>
      </c>
      <c r="G11" s="9">
        <f>'a27'!L11</f>
        <v>0.26404087808943177</v>
      </c>
      <c r="H11" s="6">
        <f>'a27'!M11</f>
        <v>59.1</v>
      </c>
      <c r="I11" s="9">
        <f>'a27'!N11</f>
        <v>0.34770000000000001</v>
      </c>
      <c r="J11" s="9">
        <f t="shared" si="12"/>
        <v>5.4257944867212</v>
      </c>
      <c r="K11" s="9">
        <f t="shared" si="1"/>
        <v>0.85230612113703896</v>
      </c>
      <c r="L11" s="9">
        <f>'a27'!S11</f>
        <v>0.38497784372305655</v>
      </c>
      <c r="M11" s="6">
        <f>'a27'!T11</f>
        <v>46.2</v>
      </c>
      <c r="N11" s="9">
        <f>'a27'!U11</f>
        <v>0.376</v>
      </c>
      <c r="O11" s="9">
        <f t="shared" si="13"/>
        <v>6.6875271188819596</v>
      </c>
      <c r="P11" s="9">
        <f t="shared" si="2"/>
        <v>0.80972338778115049</v>
      </c>
      <c r="Q11" s="9">
        <f>'a27'!Z11</f>
        <v>0.86392267593397043</v>
      </c>
      <c r="R11" s="6">
        <f>'a27'!AA11</f>
        <v>65.599999999999994</v>
      </c>
      <c r="S11" s="9">
        <f>'a27'!AC11</f>
        <v>0.19568479999999996</v>
      </c>
      <c r="T11" s="9">
        <f t="shared" si="14"/>
        <v>11.090108765247608</v>
      </c>
      <c r="U11" s="9">
        <f t="shared" si="3"/>
        <v>0.66113884970539261</v>
      </c>
      <c r="V11" s="9">
        <f>'a27'!AG11</f>
        <v>0.51347445379580037</v>
      </c>
      <c r="W11" s="6">
        <f>'a27'!AH11</f>
        <v>59.9</v>
      </c>
      <c r="X11" s="9">
        <f>'a27'!AI11</f>
        <v>0.39710000000000001</v>
      </c>
      <c r="Y11" s="9">
        <f t="shared" si="15"/>
        <v>12.213652265578508</v>
      </c>
      <c r="Z11" s="9">
        <f t="shared" si="4"/>
        <v>0.62321991817518529</v>
      </c>
      <c r="AA11" s="9">
        <f>'a27'!AN11</f>
        <v>0.87078876915227954</v>
      </c>
      <c r="AB11" s="6">
        <f>'a27'!AO11</f>
        <v>55.1</v>
      </c>
      <c r="AC11" s="9">
        <f>'a27'!AP11</f>
        <v>0.33759999999999996</v>
      </c>
      <c r="AD11" s="9">
        <f t="shared" si="16"/>
        <v>16.198203694466105</v>
      </c>
      <c r="AE11" s="9">
        <f t="shared" si="5"/>
        <v>0.48874365377947593</v>
      </c>
      <c r="AF11" s="9">
        <f>'a27'!AU11</f>
        <v>0.7721994060782208</v>
      </c>
      <c r="AG11" s="6">
        <f>'a27'!AV11</f>
        <v>47.6</v>
      </c>
      <c r="AH11" s="9">
        <f>'a27'!AW11</f>
        <v>0.39280000000000004</v>
      </c>
      <c r="AI11" s="9">
        <f t="shared" si="17"/>
        <v>14.438028511278196</v>
      </c>
      <c r="AJ11" s="9">
        <f t="shared" si="6"/>
        <v>0.54814852972136474</v>
      </c>
      <c r="AK11" s="9">
        <f>'a27'!BB11</f>
        <v>0.7561325252763399</v>
      </c>
      <c r="AL11" s="6">
        <f>'a27'!BC11</f>
        <v>78</v>
      </c>
      <c r="AM11" s="9">
        <f>'a27'!BD11</f>
        <v>0.30280000000000001</v>
      </c>
      <c r="AN11" s="9">
        <f t="shared" si="18"/>
        <v>17.858640434986707</v>
      </c>
      <c r="AO11" s="9">
        <f t="shared" si="7"/>
        <v>0.43270489154597253</v>
      </c>
      <c r="AP11" s="9">
        <f>'a27'!BI11</f>
        <v>0.49447110865752758</v>
      </c>
      <c r="AQ11" s="6">
        <f>'a27'!BJ11</f>
        <v>48.7</v>
      </c>
      <c r="AR11" s="9">
        <f>'a27'!BK11</f>
        <v>0.21190000000000001</v>
      </c>
      <c r="AS11" s="9">
        <f t="shared" si="19"/>
        <v>5.1027094399246158</v>
      </c>
      <c r="AT11" s="9">
        <f t="shared" si="8"/>
        <v>0.86321005121567429</v>
      </c>
      <c r="AU11" s="9">
        <f>'a27'!BP11</f>
        <v>1.2227510291549621</v>
      </c>
      <c r="AV11" s="6">
        <f>'a27'!BQ11</f>
        <v>38.6</v>
      </c>
      <c r="AW11" s="9">
        <f>'a27'!BR11</f>
        <v>0.36340000000000006</v>
      </c>
      <c r="AX11" s="9">
        <f t="shared" si="20"/>
        <v>17.151822146203653</v>
      </c>
      <c r="AY11" s="9">
        <f t="shared" si="9"/>
        <v>0.45655959257781464</v>
      </c>
      <c r="AZ11" s="9">
        <f>'a27'!BW11</f>
        <v>1.1578923312486193</v>
      </c>
      <c r="BA11" s="6">
        <f>'a27'!BX11</f>
        <v>56</v>
      </c>
      <c r="BB11" s="9">
        <f>'a27'!BY11</f>
        <v>0.27250000000000002</v>
      </c>
      <c r="BC11" s="9">
        <f t="shared" si="21"/>
        <v>17.66943697485393</v>
      </c>
      <c r="BD11" s="9">
        <f t="shared" si="10"/>
        <v>0.43909039691175511</v>
      </c>
    </row>
    <row r="12" spans="1:56" hidden="1">
      <c r="A12" s="1">
        <v>1975</v>
      </c>
      <c r="B12" s="9">
        <f>'a27'!E12</f>
        <v>0.92962786323076674</v>
      </c>
      <c r="C12" s="6">
        <f>'a27'!F12</f>
        <v>52.2</v>
      </c>
      <c r="D12" s="9">
        <f>'a27'!G12</f>
        <v>0.34799999999999998</v>
      </c>
      <c r="E12" s="9">
        <f t="shared" si="11"/>
        <v>16.887247912304815</v>
      </c>
      <c r="F12" s="9">
        <f t="shared" si="0"/>
        <v>0.46548881717562718</v>
      </c>
      <c r="G12" s="9">
        <f>'a27'!L12</f>
        <v>0.32391424796488089</v>
      </c>
      <c r="H12" s="6">
        <f>'a27'!M12</f>
        <v>59.1</v>
      </c>
      <c r="I12" s="9">
        <f>'a27'!N12</f>
        <v>0.34770000000000001</v>
      </c>
      <c r="J12" s="9">
        <f t="shared" si="12"/>
        <v>6.656136555427695</v>
      </c>
      <c r="K12" s="9">
        <f t="shared" si="1"/>
        <v>0.81078280081319265</v>
      </c>
      <c r="L12" s="9">
        <f>'a27'!S12</f>
        <v>0.29182311628178442</v>
      </c>
      <c r="M12" s="6">
        <f>'a27'!T12</f>
        <v>46.2</v>
      </c>
      <c r="N12" s="9">
        <f>'a27'!U12</f>
        <v>0.376</v>
      </c>
      <c r="O12" s="9">
        <f t="shared" si="13"/>
        <v>5.0693177175541342</v>
      </c>
      <c r="P12" s="9">
        <f t="shared" si="2"/>
        <v>0.86433700218274334</v>
      </c>
      <c r="Q12" s="9">
        <f>'a27'!Z12</f>
        <v>0.85077819301530822</v>
      </c>
      <c r="R12" s="6">
        <f>'a27'!AA12</f>
        <v>65.599999999999994</v>
      </c>
      <c r="S12" s="9">
        <f>'a27'!AC12</f>
        <v>0.19568479999999996</v>
      </c>
      <c r="T12" s="9">
        <f t="shared" si="14"/>
        <v>10.921374051723264</v>
      </c>
      <c r="U12" s="9">
        <f t="shared" si="3"/>
        <v>0.66683354692629626</v>
      </c>
      <c r="V12" s="9">
        <f>'a27'!AG12</f>
        <v>0.4990979364473182</v>
      </c>
      <c r="W12" s="6">
        <f>'a27'!AH12</f>
        <v>59.9</v>
      </c>
      <c r="X12" s="9">
        <f>'a27'!AI12</f>
        <v>0.39710000000000001</v>
      </c>
      <c r="Y12" s="9">
        <f t="shared" si="15"/>
        <v>11.871688254737482</v>
      </c>
      <c r="Z12" s="9">
        <f t="shared" si="4"/>
        <v>0.63476100217331888</v>
      </c>
      <c r="AA12" s="9">
        <f>'a27'!AN12</f>
        <v>0.97563542124944058</v>
      </c>
      <c r="AB12" s="6">
        <f>'a27'!AO12</f>
        <v>55.1</v>
      </c>
      <c r="AC12" s="9">
        <f>'a27'!AP12</f>
        <v>0.33759999999999996</v>
      </c>
      <c r="AD12" s="9">
        <f t="shared" si="16"/>
        <v>18.148535953580993</v>
      </c>
      <c r="AE12" s="9">
        <f t="shared" si="5"/>
        <v>0.4229210885002932</v>
      </c>
      <c r="AF12" s="9">
        <f>'a27'!AU12</f>
        <v>0.86587954246301002</v>
      </c>
      <c r="AG12" s="6">
        <f>'a27'!AV12</f>
        <v>47.6</v>
      </c>
      <c r="AH12" s="9">
        <f>'a27'!AW12</f>
        <v>0.39280000000000004</v>
      </c>
      <c r="AI12" s="9">
        <f t="shared" si="17"/>
        <v>16.189592251702791</v>
      </c>
      <c r="AJ12" s="9">
        <f t="shared" si="6"/>
        <v>0.4890342849018332</v>
      </c>
      <c r="AK12" s="9">
        <f>'a27'!BB12</f>
        <v>0.82351671523090841</v>
      </c>
      <c r="AL12" s="6">
        <f>'a27'!BC12</f>
        <v>78</v>
      </c>
      <c r="AM12" s="9">
        <f>'a27'!BD12</f>
        <v>0.30280000000000001</v>
      </c>
      <c r="AN12" s="9">
        <f t="shared" si="18"/>
        <v>19.450147187009691</v>
      </c>
      <c r="AO12" s="9">
        <f t="shared" si="7"/>
        <v>0.37899247583438789</v>
      </c>
      <c r="AP12" s="9">
        <f>'a27'!BI12</f>
        <v>0.52752357764531388</v>
      </c>
      <c r="AQ12" s="6">
        <f>'a27'!BJ12</f>
        <v>48.7</v>
      </c>
      <c r="AR12" s="9">
        <f>'a27'!BK12</f>
        <v>0.21190000000000001</v>
      </c>
      <c r="AS12" s="9">
        <f t="shared" si="19"/>
        <v>5.4437953852181469</v>
      </c>
      <c r="AT12" s="9">
        <f t="shared" si="8"/>
        <v>0.85169860141271403</v>
      </c>
      <c r="AU12" s="9">
        <f>'a27'!BP12</f>
        <v>1.3009633068942739</v>
      </c>
      <c r="AV12" s="6">
        <f>'a27'!BQ12</f>
        <v>38.6</v>
      </c>
      <c r="AW12" s="9">
        <f>'a27'!BR12</f>
        <v>0.36340000000000006</v>
      </c>
      <c r="AX12" s="9">
        <f t="shared" si="20"/>
        <v>18.248924536999638</v>
      </c>
      <c r="AY12" s="9">
        <f t="shared" si="9"/>
        <v>0.41953303292438981</v>
      </c>
      <c r="AZ12" s="9">
        <f>'a27'!BW12</f>
        <v>1.2375967231776701</v>
      </c>
      <c r="BA12" s="6">
        <f>'a27'!BX12</f>
        <v>56</v>
      </c>
      <c r="BB12" s="9">
        <f>'a27'!BY12</f>
        <v>0.27250000000000002</v>
      </c>
      <c r="BC12" s="9">
        <f t="shared" si="21"/>
        <v>18.885725995691246</v>
      </c>
      <c r="BD12" s="9">
        <f t="shared" si="10"/>
        <v>0.39804135867826435</v>
      </c>
    </row>
    <row r="13" spans="1:56" hidden="1">
      <c r="A13" s="1">
        <v>1976</v>
      </c>
      <c r="B13" s="9">
        <f>'a27'!E13</f>
        <v>0.97290093889867302</v>
      </c>
      <c r="C13" s="6">
        <f>'a27'!F13</f>
        <v>52.2</v>
      </c>
      <c r="D13" s="9">
        <f>'a27'!G13</f>
        <v>0.34799999999999998</v>
      </c>
      <c r="E13" s="9">
        <f t="shared" si="11"/>
        <v>17.673329295657734</v>
      </c>
      <c r="F13" s="9">
        <f t="shared" si="0"/>
        <v>0.43895903337664538</v>
      </c>
      <c r="G13" s="9">
        <f>'a27'!L13</f>
        <v>0.35199136624950711</v>
      </c>
      <c r="H13" s="6">
        <f>'a27'!M13</f>
        <v>59.1</v>
      </c>
      <c r="I13" s="9">
        <f>'a27'!N13</f>
        <v>0.34770000000000001</v>
      </c>
      <c r="J13" s="9">
        <f t="shared" si="12"/>
        <v>7.2330952244567586</v>
      </c>
      <c r="K13" s="9">
        <f t="shared" si="1"/>
        <v>0.79131078547935885</v>
      </c>
      <c r="L13" s="9">
        <f>'a27'!S13</f>
        <v>0.44164398164893115</v>
      </c>
      <c r="M13" s="6">
        <f>'a27'!T13</f>
        <v>46.2</v>
      </c>
      <c r="N13" s="9">
        <f>'a27'!U13</f>
        <v>0.376</v>
      </c>
      <c r="O13" s="9">
        <f t="shared" si="13"/>
        <v>7.6718859340199135</v>
      </c>
      <c r="P13" s="9">
        <f t="shared" si="2"/>
        <v>0.77650185741639</v>
      </c>
      <c r="Q13" s="9">
        <f>'a27'!Z13</f>
        <v>0.91496752204560228</v>
      </c>
      <c r="R13" s="6">
        <f>'a27'!AA13</f>
        <v>65.599999999999994</v>
      </c>
      <c r="S13" s="9">
        <f>'a27'!AC13</f>
        <v>0.19568479999999996</v>
      </c>
      <c r="T13" s="9">
        <f t="shared" si="14"/>
        <v>11.745367518204093</v>
      </c>
      <c r="U13" s="9">
        <f t="shared" si="3"/>
        <v>0.6390242526465264</v>
      </c>
      <c r="V13" s="9">
        <f>'a27'!AG13</f>
        <v>0.59776824690760089</v>
      </c>
      <c r="W13" s="6">
        <f>'a27'!AH13</f>
        <v>59.9</v>
      </c>
      <c r="X13" s="9">
        <f>'a27'!AI13</f>
        <v>0.39710000000000001</v>
      </c>
      <c r="Y13" s="9">
        <f t="shared" si="15"/>
        <v>14.218688873735797</v>
      </c>
      <c r="Z13" s="9">
        <f t="shared" si="4"/>
        <v>0.55555111332883633</v>
      </c>
      <c r="AA13" s="9">
        <f>'a27'!AN13</f>
        <v>1.0257896320673754</v>
      </c>
      <c r="AB13" s="6">
        <f>'a27'!AO13</f>
        <v>55.1</v>
      </c>
      <c r="AC13" s="9">
        <f>'a27'!AP13</f>
        <v>0.33759999999999996</v>
      </c>
      <c r="AD13" s="9">
        <f t="shared" si="16"/>
        <v>19.08149254620562</v>
      </c>
      <c r="AE13" s="9">
        <f t="shared" si="5"/>
        <v>0.39143435287682166</v>
      </c>
      <c r="AF13" s="9">
        <f>'a27'!AU13</f>
        <v>0.90380388685750312</v>
      </c>
      <c r="AG13" s="6">
        <f>'a27'!AV13</f>
        <v>47.6</v>
      </c>
      <c r="AH13" s="9">
        <f>'a27'!AW13</f>
        <v>0.39280000000000004</v>
      </c>
      <c r="AI13" s="9">
        <f t="shared" si="17"/>
        <v>16.898674337663056</v>
      </c>
      <c r="AJ13" s="9">
        <f t="shared" si="6"/>
        <v>0.46510318204831208</v>
      </c>
      <c r="AK13" s="9">
        <f>'a27'!BB13</f>
        <v>0.79394133996519101</v>
      </c>
      <c r="AL13" s="6">
        <f>'a27'!BC13</f>
        <v>78</v>
      </c>
      <c r="AM13" s="9">
        <f>'a27'!BD13</f>
        <v>0.30280000000000001</v>
      </c>
      <c r="AN13" s="9">
        <f t="shared" si="18"/>
        <v>18.751624143833869</v>
      </c>
      <c r="AO13" s="9">
        <f t="shared" si="7"/>
        <v>0.40256721721169564</v>
      </c>
      <c r="AP13" s="9">
        <f>'a27'!BI13</f>
        <v>0.54868250284683029</v>
      </c>
      <c r="AQ13" s="6">
        <f>'a27'!BJ13</f>
        <v>48.7</v>
      </c>
      <c r="AR13" s="9">
        <f>'a27'!BK13</f>
        <v>0.21190000000000001</v>
      </c>
      <c r="AS13" s="9">
        <f t="shared" si="19"/>
        <v>5.6621455486029513</v>
      </c>
      <c r="AT13" s="9">
        <f t="shared" si="8"/>
        <v>0.84432941197540301</v>
      </c>
      <c r="AU13" s="9">
        <f>'a27'!BP13</f>
        <v>1.2966941923031401</v>
      </c>
      <c r="AV13" s="6">
        <f>'a27'!BQ13</f>
        <v>38.6</v>
      </c>
      <c r="AW13" s="9">
        <f>'a27'!BR13</f>
        <v>0.36340000000000006</v>
      </c>
      <c r="AX13" s="9">
        <f t="shared" si="20"/>
        <v>18.189040642042304</v>
      </c>
      <c r="AY13" s="9">
        <f t="shared" si="9"/>
        <v>0.42155407911617543</v>
      </c>
      <c r="AZ13" s="9">
        <f>'a27'!BW13</f>
        <v>1.3231810681098251</v>
      </c>
      <c r="BA13" s="6">
        <f>'a27'!BX13</f>
        <v>56</v>
      </c>
      <c r="BB13" s="9">
        <f>'a27'!BY13</f>
        <v>0.27250000000000002</v>
      </c>
      <c r="BC13" s="9">
        <f t="shared" si="21"/>
        <v>20.191743099355932</v>
      </c>
      <c r="BD13" s="9">
        <f t="shared" si="10"/>
        <v>0.35396405048631996</v>
      </c>
    </row>
    <row r="14" spans="1:56" hidden="1">
      <c r="A14" s="1">
        <v>1977</v>
      </c>
      <c r="B14" s="9">
        <f>'a27'!E14</f>
        <v>0.97652383440363832</v>
      </c>
      <c r="C14" s="6">
        <f>'a27'!F14</f>
        <v>48.2</v>
      </c>
      <c r="D14" s="9">
        <f>'a27'!G14</f>
        <v>0.40369999999999995</v>
      </c>
      <c r="E14" s="9">
        <f t="shared" si="11"/>
        <v>19.00153278792969</v>
      </c>
      <c r="F14" s="9">
        <f t="shared" si="0"/>
        <v>0.39413294763380613</v>
      </c>
      <c r="G14" s="9">
        <f>'a27'!L14</f>
        <v>0.37347813801491458</v>
      </c>
      <c r="H14" s="6">
        <f>'a27'!M14</f>
        <v>53.1</v>
      </c>
      <c r="I14" s="9">
        <f>'a27'!N14</f>
        <v>0.43459999999999999</v>
      </c>
      <c r="J14" s="9">
        <f t="shared" si="12"/>
        <v>8.6188520952860674</v>
      </c>
      <c r="K14" s="9">
        <f t="shared" si="1"/>
        <v>0.74454230710089342</v>
      </c>
      <c r="L14" s="9">
        <f>'a27'!S14</f>
        <v>0.50753843857292125</v>
      </c>
      <c r="M14" s="6">
        <f>'a27'!T14</f>
        <v>46.2</v>
      </c>
      <c r="N14" s="9">
        <f>'a27'!U14</f>
        <v>0.376</v>
      </c>
      <c r="O14" s="9">
        <f t="shared" si="13"/>
        <v>8.8165517241379305</v>
      </c>
      <c r="P14" s="9">
        <f t="shared" si="2"/>
        <v>0.73787006104386643</v>
      </c>
      <c r="Q14" s="9">
        <f>'a27'!Z14</f>
        <v>0.92879895265290136</v>
      </c>
      <c r="R14" s="6">
        <f>'a27'!AA14</f>
        <v>42.8</v>
      </c>
      <c r="S14" s="9">
        <f>'a27'!AC14</f>
        <v>0.15844559999999999</v>
      </c>
      <c r="T14" s="9">
        <f t="shared" si="14"/>
        <v>6.2986237938293099</v>
      </c>
      <c r="U14" s="9">
        <f t="shared" si="3"/>
        <v>0.82284864599340324</v>
      </c>
      <c r="V14" s="9">
        <f>'a27'!AG14</f>
        <v>0.60261173556569314</v>
      </c>
      <c r="W14" s="6">
        <f>'a27'!AH14</f>
        <v>53.5</v>
      </c>
      <c r="X14" s="9">
        <f>'a27'!AI14</f>
        <v>0.39990000000000003</v>
      </c>
      <c r="Y14" s="9">
        <f t="shared" si="15"/>
        <v>12.892667168320557</v>
      </c>
      <c r="Z14" s="9">
        <f t="shared" si="4"/>
        <v>0.60030356505002092</v>
      </c>
      <c r="AA14" s="9">
        <f>'a27'!AN14</f>
        <v>0.96682228098318379</v>
      </c>
      <c r="AB14" s="6">
        <f>'a27'!AO14</f>
        <v>53.2</v>
      </c>
      <c r="AC14" s="9">
        <f>'a27'!AP14</f>
        <v>0.35369999999999996</v>
      </c>
      <c r="AD14" s="9">
        <f t="shared" si="16"/>
        <v>18.192540169695611</v>
      </c>
      <c r="AE14" s="9">
        <f t="shared" si="5"/>
        <v>0.42143597211859612</v>
      </c>
      <c r="AF14" s="9">
        <f>'a27'!AU14</f>
        <v>0.94501302714943181</v>
      </c>
      <c r="AG14" s="6">
        <f>'a27'!AV14</f>
        <v>50.9</v>
      </c>
      <c r="AH14" s="9">
        <f>'a27'!AW14</f>
        <v>0.41159999999999997</v>
      </c>
      <c r="AI14" s="9">
        <f t="shared" si="17"/>
        <v>19.79843872451254</v>
      </c>
      <c r="AJ14" s="9">
        <f t="shared" si="6"/>
        <v>0.36723784153742334</v>
      </c>
      <c r="AK14" s="9">
        <f>'a27'!BB14</f>
        <v>0.84354385517747799</v>
      </c>
      <c r="AL14" s="6">
        <f>'a27'!BC14</f>
        <v>45.3</v>
      </c>
      <c r="AM14" s="9">
        <f>'a27'!BD14</f>
        <v>0.43560000000000004</v>
      </c>
      <c r="AN14" s="9">
        <f t="shared" si="18"/>
        <v>16.645380960183516</v>
      </c>
      <c r="AO14" s="9">
        <f t="shared" si="7"/>
        <v>0.47365168438477967</v>
      </c>
      <c r="AP14" s="9">
        <f>'a27'!BI14</f>
        <v>0.65714827075043747</v>
      </c>
      <c r="AQ14" s="6">
        <f>'a27'!BJ14</f>
        <v>45.6</v>
      </c>
      <c r="AR14" s="9">
        <f>'a27'!BK14</f>
        <v>0.39710000000000001</v>
      </c>
      <c r="AS14" s="9">
        <f t="shared" si="19"/>
        <v>11.899483171163942</v>
      </c>
      <c r="AT14" s="9">
        <f t="shared" si="8"/>
        <v>0.63382294011114482</v>
      </c>
      <c r="AU14" s="9">
        <f>'a27'!BP14</f>
        <v>1.2708735488431526</v>
      </c>
      <c r="AV14" s="6">
        <f>'a27'!BQ14</f>
        <v>38.5</v>
      </c>
      <c r="AW14" s="9">
        <f>'a27'!BR14</f>
        <v>0.51270000000000004</v>
      </c>
      <c r="AX14" s="9">
        <f t="shared" si="20"/>
        <v>25.085709436937549</v>
      </c>
      <c r="AY14" s="9">
        <f t="shared" si="9"/>
        <v>0.18879556843712211</v>
      </c>
      <c r="AZ14" s="9">
        <f>'a27'!BW14</f>
        <v>1.3000784679526167</v>
      </c>
      <c r="BA14" s="6">
        <f>'a27'!BX14</f>
        <v>32.700000000000003</v>
      </c>
      <c r="BB14" s="9">
        <f>'a27'!BY14</f>
        <v>0.4869</v>
      </c>
      <c r="BC14" s="9">
        <f t="shared" si="21"/>
        <v>20.699368337708421</v>
      </c>
      <c r="BD14" s="9">
        <f t="shared" si="10"/>
        <v>0.33683199761037502</v>
      </c>
    </row>
    <row r="15" spans="1:56" hidden="1">
      <c r="A15" s="1">
        <v>1978</v>
      </c>
      <c r="B15" s="9">
        <f>'a27'!E15</f>
        <v>0.99216974877821029</v>
      </c>
      <c r="C15" s="6">
        <f>'a27'!F15</f>
        <v>44.7</v>
      </c>
      <c r="D15" s="9">
        <f>'a27'!G15</f>
        <v>0.3906</v>
      </c>
      <c r="E15" s="9">
        <f t="shared" si="11"/>
        <v>17.323105223112773</v>
      </c>
      <c r="F15" s="9">
        <f t="shared" si="0"/>
        <v>0.45077888959329526</v>
      </c>
      <c r="G15" s="9">
        <f>'a27'!L15</f>
        <v>0.34532537009255854</v>
      </c>
      <c r="H15" s="6">
        <f>'a27'!M15</f>
        <v>62.2</v>
      </c>
      <c r="I15" s="9">
        <f>'a27'!N15</f>
        <v>0.37390000000000001</v>
      </c>
      <c r="J15" s="9">
        <f t="shared" si="12"/>
        <v>8.0310870955871945</v>
      </c>
      <c r="K15" s="9">
        <f t="shared" si="1"/>
        <v>0.76437902973145477</v>
      </c>
      <c r="L15" s="9">
        <f>'a27'!S15</f>
        <v>0.49312366445674205</v>
      </c>
      <c r="M15" s="6">
        <f>'a27'!T15</f>
        <v>0</v>
      </c>
      <c r="N15" s="9">
        <f>'a27'!U15</f>
        <v>0</v>
      </c>
      <c r="O15" s="9">
        <f t="shared" si="13"/>
        <v>0</v>
      </c>
      <c r="P15" s="9">
        <f t="shared" si="2"/>
        <v>1.0354234900492032</v>
      </c>
      <c r="Q15" s="9">
        <f>'a27'!Z15</f>
        <v>0.99778552701911571</v>
      </c>
      <c r="R15" s="6">
        <f>'a27'!AA15</f>
        <v>43</v>
      </c>
      <c r="S15" s="9">
        <f>'a27'!AC15</f>
        <v>0.17290300000000003</v>
      </c>
      <c r="T15" s="9">
        <f t="shared" si="14"/>
        <v>7.4183647720620058</v>
      </c>
      <c r="U15" s="9">
        <f t="shared" si="3"/>
        <v>0.78505804734487017</v>
      </c>
      <c r="V15" s="9">
        <f>'a27'!AG15</f>
        <v>0.71359828686898696</v>
      </c>
      <c r="W15" s="6">
        <f>'a27'!AH15</f>
        <v>76.400000000000006</v>
      </c>
      <c r="X15" s="9">
        <f>'a27'!AI15</f>
        <v>0.42420000000000002</v>
      </c>
      <c r="Y15" s="9">
        <f t="shared" si="15"/>
        <v>23.12692124734258</v>
      </c>
      <c r="Z15" s="9">
        <f t="shared" si="4"/>
        <v>0.25490351639067749</v>
      </c>
      <c r="AA15" s="9">
        <f>'a27'!AN15</f>
        <v>0.98281576551529892</v>
      </c>
      <c r="AB15" s="6">
        <f>'a27'!AO15</f>
        <v>40.1</v>
      </c>
      <c r="AC15" s="9">
        <f>'a27'!AP15</f>
        <v>0.35780000000000001</v>
      </c>
      <c r="AD15" s="9">
        <f t="shared" si="16"/>
        <v>14.101224384145096</v>
      </c>
      <c r="AE15" s="9">
        <f t="shared" si="5"/>
        <v>0.55951547068278729</v>
      </c>
      <c r="AF15" s="9">
        <f>'a27'!AU15</f>
        <v>0.96882185572273216</v>
      </c>
      <c r="AG15" s="6">
        <f>'a27'!AV15</f>
        <v>48.4</v>
      </c>
      <c r="AH15" s="9">
        <f>'a27'!AW15</f>
        <v>0.39799999999999996</v>
      </c>
      <c r="AI15" s="9">
        <f t="shared" si="17"/>
        <v>18.662609171158131</v>
      </c>
      <c r="AJ15" s="9">
        <f t="shared" si="6"/>
        <v>0.40557142012245123</v>
      </c>
      <c r="AK15" s="9">
        <f>'a27'!BB15</f>
        <v>0.87781441470008004</v>
      </c>
      <c r="AL15" s="6">
        <f>'a27'!BC15</f>
        <v>67.5</v>
      </c>
      <c r="AM15" s="9">
        <f>'a27'!BD15</f>
        <v>0.48780000000000001</v>
      </c>
      <c r="AN15" s="9">
        <f t="shared" si="18"/>
        <v>28.903356325622187</v>
      </c>
      <c r="AO15" s="9">
        <f t="shared" si="7"/>
        <v>5.9952233990429239E-2</v>
      </c>
      <c r="AP15" s="9">
        <f>'a27'!BI15</f>
        <v>0.62807329281058399</v>
      </c>
      <c r="AQ15" s="6">
        <f>'a27'!BJ15</f>
        <v>30.3</v>
      </c>
      <c r="AR15" s="9">
        <f>'a27'!BK15</f>
        <v>0</v>
      </c>
      <c r="AS15" s="9">
        <f t="shared" si="19"/>
        <v>0</v>
      </c>
      <c r="AT15" s="9">
        <f t="shared" si="8"/>
        <v>1.0354234900492032</v>
      </c>
      <c r="AU15" s="9">
        <f>'a27'!BP15</f>
        <v>1.2629376066300577</v>
      </c>
      <c r="AV15" s="6">
        <f>'a27'!BQ15</f>
        <v>50.4</v>
      </c>
      <c r="AW15" s="9">
        <f>'a27'!BR15</f>
        <v>0.3206</v>
      </c>
      <c r="AX15" s="9">
        <f t="shared" si="20"/>
        <v>20.406848952954061</v>
      </c>
      <c r="AY15" s="9">
        <f t="shared" si="9"/>
        <v>0.34670435459387611</v>
      </c>
      <c r="AZ15" s="9">
        <f>'a27'!BW15</f>
        <v>1.2730151591230443</v>
      </c>
      <c r="BA15" s="6">
        <f>'a27'!BX15</f>
        <v>26.2</v>
      </c>
      <c r="BB15" s="9">
        <f>'a27'!BY15</f>
        <v>0.4844</v>
      </c>
      <c r="BC15" s="9">
        <f t="shared" si="21"/>
        <v>16.156191828675109</v>
      </c>
      <c r="BD15" s="9">
        <f t="shared" si="10"/>
        <v>0.49016152951095932</v>
      </c>
    </row>
    <row r="16" spans="1:56" hidden="1">
      <c r="A16" s="1">
        <v>1979</v>
      </c>
      <c r="B16" s="9">
        <f>'a27'!E16</f>
        <v>1.0163121049121724</v>
      </c>
      <c r="C16" s="6">
        <f>'a27'!F16</f>
        <v>47.4</v>
      </c>
      <c r="D16" s="9">
        <f>'a27'!G16</f>
        <v>0.42149999999999999</v>
      </c>
      <c r="E16" s="9">
        <f t="shared" si="11"/>
        <v>20.30500117525078</v>
      </c>
      <c r="F16" s="9">
        <f t="shared" si="0"/>
        <v>0.35014165711762979</v>
      </c>
      <c r="G16" s="9">
        <f>'a27'!L16</f>
        <v>0.38546563130970529</v>
      </c>
      <c r="H16" s="6">
        <f>'a27'!M16</f>
        <v>67.7</v>
      </c>
      <c r="I16" s="9">
        <f>'a27'!N16</f>
        <v>0.49609999999999999</v>
      </c>
      <c r="J16" s="9">
        <f t="shared" si="12"/>
        <v>12.946237129198822</v>
      </c>
      <c r="K16" s="9">
        <f t="shared" si="1"/>
        <v>0.59849561041540222</v>
      </c>
      <c r="L16" s="9">
        <f>'a27'!S16</f>
        <v>0.51709278942832526</v>
      </c>
      <c r="M16" s="6">
        <f>'a27'!T16</f>
        <v>47.1</v>
      </c>
      <c r="N16" s="9">
        <f>'a27'!U16</f>
        <v>0.45549999999999996</v>
      </c>
      <c r="O16" s="9">
        <f t="shared" si="13"/>
        <v>11.093734559034761</v>
      </c>
      <c r="P16" s="9">
        <f t="shared" si="2"/>
        <v>0.66101648130014867</v>
      </c>
      <c r="Q16" s="9">
        <f>'a27'!Z16</f>
        <v>1.1444266422522316</v>
      </c>
      <c r="R16" s="6">
        <f>'a27'!AA16</f>
        <v>54.2</v>
      </c>
      <c r="S16" s="9">
        <f>'a27'!AC16</f>
        <v>0.229266</v>
      </c>
      <c r="T16" s="9">
        <f t="shared" si="14"/>
        <v>14.220894026092926</v>
      </c>
      <c r="U16" s="9">
        <f t="shared" si="3"/>
        <v>0.5554766907353017</v>
      </c>
      <c r="V16" s="9">
        <f>'a27'!AG16</f>
        <v>0.74698427240800125</v>
      </c>
      <c r="W16" s="6">
        <f>'a27'!AH16</f>
        <v>60.9</v>
      </c>
      <c r="X16" s="9">
        <f>'a27'!AI16</f>
        <v>0.41759999999999997</v>
      </c>
      <c r="Y16" s="9">
        <f t="shared" si="15"/>
        <v>18.997184498396702</v>
      </c>
      <c r="Z16" s="9">
        <f t="shared" si="4"/>
        <v>0.39427969984502564</v>
      </c>
      <c r="AA16" s="9">
        <f>'a27'!AN16</f>
        <v>0.94059820449686926</v>
      </c>
      <c r="AB16" s="6">
        <f>'a27'!AO16</f>
        <v>51.7</v>
      </c>
      <c r="AC16" s="9">
        <f>'a27'!AP16</f>
        <v>0.38329999999999997</v>
      </c>
      <c r="AD16" s="9">
        <f t="shared" si="16"/>
        <v>18.639467785214702</v>
      </c>
      <c r="AE16" s="9">
        <f t="shared" si="5"/>
        <v>0.40635242827108503</v>
      </c>
      <c r="AF16" s="9">
        <f>'a27'!AU16</f>
        <v>1.0147469604852606</v>
      </c>
      <c r="AG16" s="6">
        <f>'a27'!AV16</f>
        <v>47.4</v>
      </c>
      <c r="AH16" s="9">
        <f>'a27'!AW16</f>
        <v>0.433</v>
      </c>
      <c r="AI16" s="9">
        <f t="shared" si="17"/>
        <v>20.826869566391583</v>
      </c>
      <c r="AJ16" s="9">
        <f t="shared" si="6"/>
        <v>0.33252890622225323</v>
      </c>
      <c r="AK16" s="9">
        <f>'a27'!BB16</f>
        <v>0.86240234355432399</v>
      </c>
      <c r="AL16" s="6">
        <f>'a27'!BC16</f>
        <v>53.3</v>
      </c>
      <c r="AM16" s="9">
        <f>'a27'!BD16</f>
        <v>0.44969999999999999</v>
      </c>
      <c r="AN16" s="9">
        <f t="shared" si="18"/>
        <v>20.670930396677026</v>
      </c>
      <c r="AO16" s="9">
        <f t="shared" si="7"/>
        <v>0.33779176137431649</v>
      </c>
      <c r="AP16" s="9">
        <f>'a27'!BI16</f>
        <v>0.6630347290474734</v>
      </c>
      <c r="AQ16" s="6">
        <f>'a27'!BJ16</f>
        <v>43.4</v>
      </c>
      <c r="AR16" s="9">
        <f>'a27'!BK16</f>
        <v>0.43119999999999997</v>
      </c>
      <c r="AS16" s="9">
        <f t="shared" si="19"/>
        <v>12.40808496217274</v>
      </c>
      <c r="AT16" s="9">
        <f t="shared" si="8"/>
        <v>0.61665792915809881</v>
      </c>
      <c r="AU16" s="9">
        <f>'a27'!BP16</f>
        <v>1.3053567395462531</v>
      </c>
      <c r="AV16" s="6">
        <f>'a27'!BQ16</f>
        <v>43.7</v>
      </c>
      <c r="AW16" s="9">
        <f>'a27'!BR16</f>
        <v>0.4017</v>
      </c>
      <c r="AX16" s="9">
        <f t="shared" si="20"/>
        <v>22.914610759449396</v>
      </c>
      <c r="AY16" s="9">
        <f t="shared" si="9"/>
        <v>0.26206887033664888</v>
      </c>
      <c r="AZ16" s="9">
        <f>'a27'!BW16</f>
        <v>1.3266255521969887</v>
      </c>
      <c r="BA16" s="6">
        <f>'a27'!BX16</f>
        <v>32.9</v>
      </c>
      <c r="BB16" s="9">
        <f>'a27'!BY16</f>
        <v>0.49570000000000003</v>
      </c>
      <c r="BC16" s="9">
        <f t="shared" si="21"/>
        <v>21.635312616771159</v>
      </c>
      <c r="BD16" s="9">
        <f t="shared" si="10"/>
        <v>0.30524442932893603</v>
      </c>
    </row>
    <row r="17" spans="1:56" hidden="1">
      <c r="A17" s="1">
        <v>1980</v>
      </c>
      <c r="B17" s="9">
        <f>'a27'!E17</f>
        <v>1.0407267685718269</v>
      </c>
      <c r="C17" s="6">
        <f>'a27'!F17</f>
        <v>47</v>
      </c>
      <c r="D17" s="9">
        <f>'a27'!G17</f>
        <v>0.38159999999999994</v>
      </c>
      <c r="E17" s="9">
        <f t="shared" si="11"/>
        <v>18.665642739689424</v>
      </c>
      <c r="F17" s="9">
        <f t="shared" si="0"/>
        <v>0.40546903897085679</v>
      </c>
      <c r="G17" s="9">
        <f>'a27'!L17</f>
        <v>0.43662110335332871</v>
      </c>
      <c r="H17" s="6">
        <f>'a27'!M17</f>
        <v>46.7</v>
      </c>
      <c r="I17" s="9">
        <f>'a27'!N17</f>
        <v>0</v>
      </c>
      <c r="J17" s="9">
        <f t="shared" si="12"/>
        <v>0</v>
      </c>
      <c r="K17" s="9">
        <f t="shared" si="1"/>
        <v>1.0354234900492032</v>
      </c>
      <c r="L17" s="9">
        <f>'a27'!S17</f>
        <v>0.57734880014168066</v>
      </c>
      <c r="M17" s="6">
        <f>'a27'!T17</f>
        <v>40.9</v>
      </c>
      <c r="N17" s="9">
        <f>'a27'!U17</f>
        <v>0</v>
      </c>
      <c r="O17" s="9">
        <f t="shared" si="13"/>
        <v>0</v>
      </c>
      <c r="P17" s="9">
        <f t="shared" si="2"/>
        <v>1.0354234900492032</v>
      </c>
      <c r="Q17" s="9">
        <f>'a27'!Z17</f>
        <v>1.1515245009977557</v>
      </c>
      <c r="R17" s="6">
        <f>'a27'!AA17</f>
        <v>43.9</v>
      </c>
      <c r="S17" s="9">
        <f>'a27'!AC17</f>
        <v>0.1544402</v>
      </c>
      <c r="T17" s="9">
        <f t="shared" si="14"/>
        <v>7.8072494990918182</v>
      </c>
      <c r="U17" s="9">
        <f t="shared" si="3"/>
        <v>0.77193341680493655</v>
      </c>
      <c r="V17" s="9">
        <f>'a27'!AG17</f>
        <v>0.80052643970997517</v>
      </c>
      <c r="W17" s="6">
        <f>'a27'!AH17</f>
        <v>36.299999999999997</v>
      </c>
      <c r="X17" s="9">
        <f>'a27'!AI17</f>
        <v>0.40289999999999998</v>
      </c>
      <c r="Y17" s="9">
        <f t="shared" si="15"/>
        <v>11.707915322897108</v>
      </c>
      <c r="Z17" s="9">
        <f t="shared" si="4"/>
        <v>0.64028824218416625</v>
      </c>
      <c r="AA17" s="9">
        <f>'a27'!AN17</f>
        <v>0.89833653590728502</v>
      </c>
      <c r="AB17" s="6">
        <f>'a27'!AO17</f>
        <v>55.9</v>
      </c>
      <c r="AC17" s="9">
        <f>'a27'!AP17</f>
        <v>0.33409999999999995</v>
      </c>
      <c r="AD17" s="9">
        <f t="shared" si="16"/>
        <v>16.777503828546273</v>
      </c>
      <c r="AE17" s="9">
        <f t="shared" si="5"/>
        <v>0.4691926153789544</v>
      </c>
      <c r="AF17" s="9">
        <f>'a27'!AU17</f>
        <v>1.0304038464982017</v>
      </c>
      <c r="AG17" s="6">
        <f>'a27'!AV17</f>
        <v>44.4</v>
      </c>
      <c r="AH17" s="9">
        <f>'a27'!AW17</f>
        <v>0.42119999999999996</v>
      </c>
      <c r="AI17" s="9">
        <f t="shared" si="17"/>
        <v>19.269870846439886</v>
      </c>
      <c r="AJ17" s="9">
        <f t="shared" si="6"/>
        <v>0.38507669617171303</v>
      </c>
      <c r="AK17" s="9">
        <f>'a27'!BB17</f>
        <v>0.91313786100857308</v>
      </c>
      <c r="AL17" s="6">
        <f>'a27'!BC17</f>
        <v>38.299999999999997</v>
      </c>
      <c r="AM17" s="9">
        <f>'a27'!BD17</f>
        <v>0.37209999999999999</v>
      </c>
      <c r="AN17" s="9">
        <f t="shared" si="18"/>
        <v>13.013520306513406</v>
      </c>
      <c r="AO17" s="9">
        <f t="shared" si="7"/>
        <v>0.59622484280117538</v>
      </c>
      <c r="AP17" s="9">
        <f>'a27'!BI17</f>
        <v>0.78612885062909577</v>
      </c>
      <c r="AQ17" s="6">
        <f>'a27'!BJ17</f>
        <v>48.5</v>
      </c>
      <c r="AR17" s="9">
        <f>'a27'!BK17</f>
        <v>0.45779999999999998</v>
      </c>
      <c r="AS17" s="9">
        <f t="shared" si="19"/>
        <v>17.454654709173003</v>
      </c>
      <c r="AT17" s="9">
        <f t="shared" si="8"/>
        <v>0.4463391719025403</v>
      </c>
      <c r="AU17" s="9">
        <f>'a27'!BP17</f>
        <v>1.4427501329975798</v>
      </c>
      <c r="AV17" s="6">
        <f>'a27'!BQ17</f>
        <v>35.799999999999997</v>
      </c>
      <c r="AW17" s="9">
        <f>'a27'!BR17</f>
        <v>0.32630000000000003</v>
      </c>
      <c r="AX17" s="9">
        <f t="shared" si="20"/>
        <v>16.853543388616551</v>
      </c>
      <c r="AY17" s="9">
        <f t="shared" si="9"/>
        <v>0.46662632500297624</v>
      </c>
      <c r="AZ17" s="9">
        <f>'a27'!BW17</f>
        <v>1.3743658406772499</v>
      </c>
      <c r="BA17" s="6">
        <f>'a27'!BX17</f>
        <v>48.1</v>
      </c>
      <c r="BB17" s="9">
        <f>'a27'!BY17</f>
        <v>0.46829999999999999</v>
      </c>
      <c r="BC17" s="9">
        <f t="shared" si="21"/>
        <v>30.957906665398411</v>
      </c>
      <c r="BD17" s="9">
        <f t="shared" si="10"/>
        <v>-9.3876301415731448E-3</v>
      </c>
    </row>
    <row r="18" spans="1:56" hidden="1">
      <c r="B18" s="9"/>
      <c r="C18" s="6"/>
      <c r="D18" s="9"/>
      <c r="E18" s="9"/>
      <c r="F18" s="9"/>
      <c r="G18" s="9"/>
      <c r="H18" s="6"/>
      <c r="I18" s="9"/>
      <c r="J18" s="9"/>
      <c r="K18" s="9"/>
      <c r="L18" s="9"/>
      <c r="M18" s="6"/>
      <c r="N18" s="9"/>
      <c r="O18" s="9"/>
      <c r="P18" s="9"/>
      <c r="Q18" s="9"/>
      <c r="R18" s="6"/>
      <c r="S18" s="9"/>
      <c r="T18" s="9"/>
      <c r="U18" s="9"/>
      <c r="V18" s="9"/>
      <c r="W18" s="6"/>
      <c r="X18" s="9"/>
      <c r="Y18" s="9"/>
      <c r="Z18" s="9"/>
      <c r="AA18" s="9"/>
      <c r="AB18" s="6"/>
      <c r="AC18" s="9"/>
      <c r="AD18" s="9"/>
      <c r="AE18" s="9"/>
      <c r="AF18" s="9"/>
      <c r="AG18" s="6"/>
      <c r="AH18" s="9"/>
      <c r="AI18" s="9"/>
      <c r="AJ18" s="9"/>
      <c r="AK18" s="9"/>
      <c r="AL18" s="6"/>
      <c r="AM18" s="9"/>
      <c r="AN18" s="9"/>
      <c r="AO18" s="9"/>
      <c r="AP18" s="9"/>
      <c r="AQ18" s="6"/>
      <c r="AR18" s="9"/>
      <c r="AS18" s="9"/>
      <c r="AT18" s="9"/>
      <c r="AU18" s="9"/>
      <c r="AV18" s="6"/>
      <c r="AW18" s="9"/>
      <c r="AX18" s="9"/>
      <c r="AY18" s="9"/>
      <c r="AZ18" s="9"/>
      <c r="BA18" s="6"/>
      <c r="BB18" s="9"/>
      <c r="BC18" s="9"/>
      <c r="BD18" s="9"/>
    </row>
    <row r="19" spans="1:56">
      <c r="A19" s="1">
        <v>1981</v>
      </c>
      <c r="B19" s="9">
        <f>'a27'!E18</f>
        <v>1.1155668651039621</v>
      </c>
      <c r="C19" s="6">
        <f>'a27'!F18</f>
        <v>45.1</v>
      </c>
      <c r="D19" s="9">
        <f>'a27'!G18</f>
        <v>0.3821</v>
      </c>
      <c r="E19" s="9">
        <f t="shared" si="11"/>
        <v>19.2242402719457</v>
      </c>
      <c r="F19" s="9">
        <f t="shared" ref="F19:F46" si="22">(G$58-E19)/G$60</f>
        <v>0.3866167011910287</v>
      </c>
      <c r="G19" s="9">
        <f>'a27'!L18</f>
        <v>0.44217700291028628</v>
      </c>
      <c r="H19" s="6">
        <f>'a27'!M18</f>
        <v>52.8</v>
      </c>
      <c r="I19" s="9">
        <f>'a27'!N18</f>
        <v>0.46869999999999995</v>
      </c>
      <c r="J19" s="9">
        <f t="shared" si="12"/>
        <v>10.9427134747419</v>
      </c>
      <c r="K19" s="9">
        <f t="shared" ref="K19:K46" si="23">(G$58-J19)/G$60</f>
        <v>0.6661133539652766</v>
      </c>
      <c r="L19" s="9">
        <f>'a27'!S18</f>
        <v>0.65672794956891256</v>
      </c>
      <c r="M19" s="6">
        <f>'a27'!T18</f>
        <v>52.1</v>
      </c>
      <c r="N19" s="9">
        <f>'a27'!U18</f>
        <v>0.31709999999999999</v>
      </c>
      <c r="O19" s="9">
        <f t="shared" si="13"/>
        <v>10.849743349312543</v>
      </c>
      <c r="P19" s="9">
        <f t="shared" ref="P19:P46" si="24">(G$58-O19)/G$60</f>
        <v>0.66925104095244914</v>
      </c>
      <c r="Q19" s="9">
        <f>'a27'!Z18</f>
        <v>1.1271649212464421</v>
      </c>
      <c r="R19" s="6">
        <f>'a27'!AA18</f>
        <v>62</v>
      </c>
      <c r="S19" s="9">
        <f>'a27'!AC18</f>
        <v>0.25246400000000002</v>
      </c>
      <c r="T19" s="9">
        <f t="shared" si="14"/>
        <v>17.643251010008832</v>
      </c>
      <c r="U19" s="9">
        <f t="shared" ref="U19:U46" si="25">(G$58-T19)/G$60</f>
        <v>0.43997415780549998</v>
      </c>
      <c r="V19" s="9">
        <f>'a27'!AG18</f>
        <v>0.79920917832429683</v>
      </c>
      <c r="W19" s="6">
        <f>'a27'!AH18</f>
        <v>64.599999999999994</v>
      </c>
      <c r="X19" s="9">
        <f>'a27'!AI18</f>
        <v>0.40279999999999999</v>
      </c>
      <c r="Y19" s="9">
        <f t="shared" si="15"/>
        <v>20.796126124075126</v>
      </c>
      <c r="Z19" s="9">
        <f t="shared" ref="Z19:Z46" si="26">(G$58-Y19)/G$60</f>
        <v>0.33356647929695593</v>
      </c>
      <c r="AA19" s="9">
        <f>'a27'!AN18</f>
        <v>1.2255675106158808</v>
      </c>
      <c r="AB19" s="6">
        <f>'a27'!AO18</f>
        <v>49.2</v>
      </c>
      <c r="AC19" s="9">
        <f>'a27'!AP18</f>
        <v>0.42270000000000002</v>
      </c>
      <c r="AD19" s="9">
        <f t="shared" si="16"/>
        <v>25.487931427476777</v>
      </c>
      <c r="AE19" s="9">
        <f t="shared" ref="AE19:AE46" si="27">(G$58-AD19)/G$60</f>
        <v>0.17522081310748081</v>
      </c>
      <c r="AF19" s="9">
        <f>'a27'!AU18</f>
        <v>0.98321616447283533</v>
      </c>
      <c r="AG19" s="6">
        <f>'a27'!AV18</f>
        <v>39.700000000000003</v>
      </c>
      <c r="AH19" s="9">
        <f>'a27'!AW18</f>
        <v>0.35439999999999999</v>
      </c>
      <c r="AI19" s="9">
        <f t="shared" si="17"/>
        <v>13.833536804960161</v>
      </c>
      <c r="AJ19" s="9">
        <f t="shared" ref="AJ19:AJ46" si="28">(G$58-AI19)/G$60</f>
        <v>0.56854976885069175</v>
      </c>
      <c r="AK19" s="9">
        <f>'a27'!BB18</f>
        <v>0.95434157790573948</v>
      </c>
      <c r="AL19" s="6">
        <f>'a27'!BC18</f>
        <v>49.4</v>
      </c>
      <c r="AM19" s="9">
        <f>'a27'!BD18</f>
        <v>0.41049999999999998</v>
      </c>
      <c r="AN19" s="9">
        <f t="shared" si="18"/>
        <v>19.352806555877116</v>
      </c>
      <c r="AO19" s="9">
        <f t="shared" ref="AO19:AO46" si="29">(G$58-AN19)/G$60</f>
        <v>0.38227766481544306</v>
      </c>
      <c r="AP19" s="9">
        <f>'a27'!BI18</f>
        <v>0.81584048038309043</v>
      </c>
      <c r="AQ19" s="6">
        <f>'a27'!BJ18</f>
        <v>56.8</v>
      </c>
      <c r="AR19" s="9">
        <f>'a27'!BK18</f>
        <v>0.30640000000000001</v>
      </c>
      <c r="AS19" s="9">
        <f t="shared" si="19"/>
        <v>14.198496117156722</v>
      </c>
      <c r="AT19" s="9">
        <f t="shared" ref="AT19:AT46" si="30">(G$58-AS19)/G$60</f>
        <v>0.5562326069727429</v>
      </c>
      <c r="AU19" s="9">
        <f>'a27'!BP18</f>
        <v>1.5228109592460837</v>
      </c>
      <c r="AV19" s="6">
        <f>'a27'!BQ18</f>
        <v>28.4</v>
      </c>
      <c r="AW19" s="9">
        <f>'a27'!BR18</f>
        <v>0.40130000000000005</v>
      </c>
      <c r="AX19" s="9">
        <f t="shared" si="20"/>
        <v>17.355354677650876</v>
      </c>
      <c r="AY19" s="9">
        <f t="shared" ref="AY19:AY46" si="31">(G$58-AX19)/G$60</f>
        <v>0.44969048949293716</v>
      </c>
      <c r="AZ19" s="9">
        <f>'a27'!BW18</f>
        <v>1.3384270218208674</v>
      </c>
      <c r="BA19" s="6">
        <f>'a27'!BX18</f>
        <v>48.3</v>
      </c>
      <c r="BB19" s="9">
        <f>'a27'!BY18</f>
        <v>0.34250000000000003</v>
      </c>
      <c r="BC19" s="9">
        <f t="shared" si="21"/>
        <v>22.141263615227153</v>
      </c>
      <c r="BD19" s="9">
        <f t="shared" ref="BD19:BD46" si="32">(G$58-BC19)/G$60</f>
        <v>0.28816888106361066</v>
      </c>
    </row>
    <row r="20" spans="1:56">
      <c r="A20" s="1">
        <v>1982</v>
      </c>
      <c r="B20" s="9">
        <f>'a27'!E19</f>
        <v>1.1456009045621545</v>
      </c>
      <c r="C20" s="6">
        <f>'a27'!F19</f>
        <v>48.1</v>
      </c>
      <c r="D20" s="9">
        <f>'a27'!G19</f>
        <v>0.35229999999999995</v>
      </c>
      <c r="E20" s="9">
        <f t="shared" si="11"/>
        <v>19.412929056375578</v>
      </c>
      <c r="F20" s="9">
        <f t="shared" si="22"/>
        <v>0.38024856582714878</v>
      </c>
      <c r="G20" s="9">
        <f>'a27'!L19</f>
        <v>0.48235171543564082</v>
      </c>
      <c r="H20" s="6">
        <f>'a27'!M19</f>
        <v>62.1</v>
      </c>
      <c r="I20" s="9">
        <f>'a27'!N19</f>
        <v>0.379</v>
      </c>
      <c r="J20" s="9">
        <f t="shared" si="12"/>
        <v>11.352581739321698</v>
      </c>
      <c r="K20" s="9">
        <f t="shared" si="23"/>
        <v>0.65228054138932479</v>
      </c>
      <c r="L20" s="9">
        <f>'a27'!S19</f>
        <v>0.71942446043165476</v>
      </c>
      <c r="M20" s="6">
        <f>'a27'!T19</f>
        <v>46.7</v>
      </c>
      <c r="N20" s="9">
        <f>'a27'!U19</f>
        <v>0.252</v>
      </c>
      <c r="O20" s="9">
        <f t="shared" si="13"/>
        <v>8.4664748201438851</v>
      </c>
      <c r="P20" s="9">
        <f t="shared" si="24"/>
        <v>0.74968495040858407</v>
      </c>
      <c r="Q20" s="9">
        <f>'a27'!Z19</f>
        <v>1.1147928762731414</v>
      </c>
      <c r="R20" s="6">
        <f>'a27'!AA19</f>
        <v>52.5</v>
      </c>
      <c r="S20" s="9">
        <f>'a27'!AC19</f>
        <v>0.18238500000000002</v>
      </c>
      <c r="T20" s="9">
        <f t="shared" si="14"/>
        <v>10.674378683801539</v>
      </c>
      <c r="U20" s="9">
        <f t="shared" si="25"/>
        <v>0.67516949514881197</v>
      </c>
      <c r="V20" s="9">
        <f>'a27'!AG19</f>
        <v>0.98865396219572732</v>
      </c>
      <c r="W20" s="6">
        <f>'a27'!AH19</f>
        <v>64.2</v>
      </c>
      <c r="X20" s="9">
        <f>'a27'!AI19</f>
        <v>0.34619999999999995</v>
      </c>
      <c r="Y20" s="9">
        <f t="shared" si="15"/>
        <v>21.973862509920721</v>
      </c>
      <c r="Z20" s="9">
        <f t="shared" si="26"/>
        <v>0.29381856979246374</v>
      </c>
      <c r="AA20" s="9">
        <f>'a27'!AN19</f>
        <v>1.1781084507832655</v>
      </c>
      <c r="AB20" s="6">
        <f>'a27'!AO19</f>
        <v>57.6</v>
      </c>
      <c r="AC20" s="9">
        <f>'a27'!AP19</f>
        <v>0.3397</v>
      </c>
      <c r="AD20" s="9">
        <f t="shared" si="16"/>
        <v>23.051718186109937</v>
      </c>
      <c r="AE20" s="9">
        <f t="shared" si="27"/>
        <v>0.25744157542346319</v>
      </c>
      <c r="AF20" s="9">
        <f>'a27'!AU19</f>
        <v>1.0578130819588154</v>
      </c>
      <c r="AG20" s="6">
        <f>'a27'!AV19</f>
        <v>42.3</v>
      </c>
      <c r="AH20" s="9">
        <f>'a27'!AW19</f>
        <v>0.3614</v>
      </c>
      <c r="AI20" s="9">
        <f t="shared" si="17"/>
        <v>16.171021302782439</v>
      </c>
      <c r="AJ20" s="9">
        <f t="shared" si="28"/>
        <v>0.48966104349227002</v>
      </c>
      <c r="AK20" s="9">
        <f>'a27'!BB19</f>
        <v>0.94176379918225606</v>
      </c>
      <c r="AL20" s="6">
        <f>'a27'!BC19</f>
        <v>48.9</v>
      </c>
      <c r="AM20" s="9">
        <f>'a27'!BD19</f>
        <v>0.34860000000000002</v>
      </c>
      <c r="AN20" s="9">
        <f t="shared" si="18"/>
        <v>16.053814273312295</v>
      </c>
      <c r="AO20" s="9">
        <f t="shared" si="29"/>
        <v>0.4936167117187592</v>
      </c>
      <c r="AP20" s="9">
        <f>'a27'!BI19</f>
        <v>0.75766905099342308</v>
      </c>
      <c r="AQ20" s="6">
        <f>'a27'!BJ19</f>
        <v>41.5</v>
      </c>
      <c r="AR20" s="9">
        <f>'a27'!BK19</f>
        <v>0.35350000000000004</v>
      </c>
      <c r="AS20" s="9">
        <f t="shared" si="19"/>
        <v>11.115194395336266</v>
      </c>
      <c r="AT20" s="9">
        <f t="shared" si="30"/>
        <v>0.66029222446173841</v>
      </c>
      <c r="AU20" s="9">
        <f>'a27'!BP19</f>
        <v>1.553391945517602</v>
      </c>
      <c r="AV20" s="6">
        <f>'a27'!BQ19</f>
        <v>35.6</v>
      </c>
      <c r="AW20" s="9">
        <f>'a27'!BR19</f>
        <v>0.34090000000000004</v>
      </c>
      <c r="AX20" s="9">
        <f t="shared" si="20"/>
        <v>18.852026786479442</v>
      </c>
      <c r="AY20" s="9">
        <f t="shared" si="31"/>
        <v>0.3991786871451623</v>
      </c>
      <c r="AZ20" s="9">
        <f>'a27'!BW19</f>
        <v>1.4032670652598564</v>
      </c>
      <c r="BA20" s="6">
        <f>'a27'!BX19</f>
        <v>47.1</v>
      </c>
      <c r="BB20" s="9">
        <f>'a27'!BY19</f>
        <v>0.37009999999999998</v>
      </c>
      <c r="BC20" s="9">
        <f t="shared" si="21"/>
        <v>24.46134453416089</v>
      </c>
      <c r="BD20" s="9">
        <f t="shared" si="32"/>
        <v>0.20986751624446559</v>
      </c>
    </row>
    <row r="21" spans="1:56">
      <c r="A21" s="1">
        <v>1983</v>
      </c>
      <c r="B21" s="9">
        <f>'a27'!E20</f>
        <v>1.1027519666094547</v>
      </c>
      <c r="C21" s="6">
        <f>'a27'!F20</f>
        <v>51.7</v>
      </c>
      <c r="D21" s="9">
        <f>'a27'!G20</f>
        <v>0.34520000000000001</v>
      </c>
      <c r="E21" s="9">
        <f t="shared" si="11"/>
        <v>19.680637907764282</v>
      </c>
      <c r="F21" s="9">
        <f t="shared" si="22"/>
        <v>0.37121354973489329</v>
      </c>
      <c r="G21" s="9">
        <f>'a27'!L20</f>
        <v>0.54079133516893074</v>
      </c>
      <c r="H21" s="6">
        <f>'a27'!M20</f>
        <v>61.3</v>
      </c>
      <c r="I21" s="9">
        <f>'a27'!N20</f>
        <v>0.49020000000000002</v>
      </c>
      <c r="J21" s="9">
        <f t="shared" si="12"/>
        <v>16.250379436238344</v>
      </c>
      <c r="K21" s="9">
        <f t="shared" si="23"/>
        <v>0.48698275321869072</v>
      </c>
      <c r="L21" s="9">
        <f>'a27'!S20</f>
        <v>0.73889509408024745</v>
      </c>
      <c r="M21" s="6">
        <f>'a27'!T20</f>
        <v>40.200000000000003</v>
      </c>
      <c r="N21" s="9">
        <f>'a27'!U20</f>
        <v>0.30930000000000002</v>
      </c>
      <c r="O21" s="9">
        <f t="shared" si="13"/>
        <v>9.1873181544806268</v>
      </c>
      <c r="P21" s="9">
        <f t="shared" si="24"/>
        <v>0.72535691234804511</v>
      </c>
      <c r="Q21" s="9">
        <f>'a27'!Z20</f>
        <v>1.1285783529990523</v>
      </c>
      <c r="R21" s="6">
        <f>'a27'!AA20</f>
        <v>50.3</v>
      </c>
      <c r="S21" s="9">
        <f>'a27'!AC20</f>
        <v>0.17871589999999998</v>
      </c>
      <c r="T21" s="9">
        <f t="shared" si="14"/>
        <v>10.145253272660188</v>
      </c>
      <c r="U21" s="9">
        <f t="shared" si="25"/>
        <v>0.69302716619586313</v>
      </c>
      <c r="V21" s="9">
        <f>'a27'!AG20</f>
        <v>1.1386823650819711</v>
      </c>
      <c r="W21" s="6">
        <f>'a27'!AH20</f>
        <v>60.5</v>
      </c>
      <c r="X21" s="9">
        <f>'a27'!AI20</f>
        <v>0.40950000000000003</v>
      </c>
      <c r="Y21" s="9">
        <f t="shared" si="15"/>
        <v>28.210570924314567</v>
      </c>
      <c r="Z21" s="9">
        <f t="shared" si="26"/>
        <v>8.3333333333333287E-2</v>
      </c>
      <c r="AA21" s="9">
        <f>'a27'!AN20</f>
        <v>1.0949235334787135</v>
      </c>
      <c r="AB21" s="6">
        <f>'a27'!AO20</f>
        <v>53.4</v>
      </c>
      <c r="AC21" s="9">
        <f>'a27'!AP20</f>
        <v>0.33329999999999999</v>
      </c>
      <c r="AD21" s="9">
        <f t="shared" si="16"/>
        <v>19.487689932031508</v>
      </c>
      <c r="AE21" s="9">
        <f t="shared" si="27"/>
        <v>0.37772543029719324</v>
      </c>
      <c r="AF21" s="9">
        <f>'a27'!AU20</f>
        <v>1.017856043931078</v>
      </c>
      <c r="AG21" s="6">
        <f>'a27'!AV20</f>
        <v>51.1</v>
      </c>
      <c r="AH21" s="9">
        <f>'a27'!AW20</f>
        <v>0.36080000000000001</v>
      </c>
      <c r="AI21" s="9">
        <f t="shared" si="17"/>
        <v>18.766089739232015</v>
      </c>
      <c r="AJ21" s="9">
        <f t="shared" si="28"/>
        <v>0.40207901188516898</v>
      </c>
      <c r="AK21" s="9">
        <f>'a27'!BB20</f>
        <v>1.0265376695030501</v>
      </c>
      <c r="AL21" s="6">
        <f>'a27'!BC20</f>
        <v>86.1</v>
      </c>
      <c r="AM21" s="9">
        <f>'a27'!BD20</f>
        <v>0.31879999999999997</v>
      </c>
      <c r="AN21" s="9">
        <f t="shared" si="18"/>
        <v>28.177103998134978</v>
      </c>
      <c r="AO21" s="9">
        <f t="shared" si="29"/>
        <v>8.4462822384675396E-2</v>
      </c>
      <c r="AP21" s="9">
        <f>'a27'!BI20</f>
        <v>0.8236587746428411</v>
      </c>
      <c r="AQ21" s="6">
        <f>'a27'!BJ20</f>
        <v>39.5</v>
      </c>
      <c r="AR21" s="9">
        <f>'a27'!BK20</f>
        <v>0.19579999999999997</v>
      </c>
      <c r="AS21" s="9">
        <f t="shared" si="19"/>
        <v>6.3702593289651963</v>
      </c>
      <c r="AT21" s="9">
        <f t="shared" si="30"/>
        <v>0.82043098886562182</v>
      </c>
      <c r="AU21" s="9">
        <f>'a27'!BP20</f>
        <v>1.5142215452390544</v>
      </c>
      <c r="AV21" s="6">
        <f>'a27'!BQ20</f>
        <v>51</v>
      </c>
      <c r="AW21" s="9">
        <f>'a27'!BR20</f>
        <v>0.35479999999999995</v>
      </c>
      <c r="AX21" s="9">
        <f t="shared" si="20"/>
        <v>27.39953601679164</v>
      </c>
      <c r="AY21" s="9">
        <f t="shared" si="31"/>
        <v>0.11070528387900651</v>
      </c>
      <c r="AZ21" s="9">
        <f>'a27'!BW20</f>
        <v>1.2761426309179271</v>
      </c>
      <c r="BA21" s="6">
        <f>'a27'!BX20</f>
        <v>37.6</v>
      </c>
      <c r="BB21" s="9">
        <f>'a27'!BY20</f>
        <v>0.32650000000000001</v>
      </c>
      <c r="BC21" s="9">
        <f t="shared" si="21"/>
        <v>15.666437394200841</v>
      </c>
      <c r="BD21" s="9">
        <f t="shared" si="32"/>
        <v>0.50669045327935436</v>
      </c>
    </row>
    <row r="22" spans="1:56">
      <c r="A22" s="1">
        <v>1984</v>
      </c>
      <c r="B22" s="9">
        <f>'a27'!E21</f>
        <v>1.0372187285046714</v>
      </c>
      <c r="C22" s="6">
        <f>'a27'!F21</f>
        <v>50.9</v>
      </c>
      <c r="D22" s="9">
        <f>'a27'!G21</f>
        <v>0.33460000000000001</v>
      </c>
      <c r="E22" s="9">
        <f t="shared" si="11"/>
        <v>17.665017375785048</v>
      </c>
      <c r="F22" s="9">
        <f t="shared" si="22"/>
        <v>0.43923955577781998</v>
      </c>
      <c r="G22" s="9">
        <f>'a27'!L21</f>
        <v>0.44548474781032921</v>
      </c>
      <c r="H22" s="6">
        <f>'a27'!M21</f>
        <v>52.1</v>
      </c>
      <c r="I22" s="9">
        <f>'a27'!N21</f>
        <v>0.40490000000000004</v>
      </c>
      <c r="J22" s="9">
        <f t="shared" si="12"/>
        <v>9.3976299456357602</v>
      </c>
      <c r="K22" s="9">
        <f t="shared" si="23"/>
        <v>0.71825901324003716</v>
      </c>
      <c r="L22" s="9">
        <f>'a27'!S21</f>
        <v>0.66080414781680474</v>
      </c>
      <c r="M22" s="6">
        <f>'a27'!T21</f>
        <v>28.4</v>
      </c>
      <c r="N22" s="9">
        <f>'a27'!U21</f>
        <v>0.1875</v>
      </c>
      <c r="O22" s="9">
        <f t="shared" si="13"/>
        <v>3.5187820871244853</v>
      </c>
      <c r="P22" s="9">
        <f t="shared" si="24"/>
        <v>0.91666666666666674</v>
      </c>
      <c r="Q22" s="9">
        <f>'a27'!Z21</f>
        <v>1.0791692684624221</v>
      </c>
      <c r="R22" s="6">
        <f>'a27'!AA21</f>
        <v>60.4</v>
      </c>
      <c r="S22" s="9">
        <f>'a27'!AC21</f>
        <v>0.234654</v>
      </c>
      <c r="T22" s="9">
        <f t="shared" si="14"/>
        <v>15.295175685515586</v>
      </c>
      <c r="U22" s="9">
        <f t="shared" si="25"/>
        <v>0.51922031732758911</v>
      </c>
      <c r="V22" s="9">
        <f>'a27'!AG21</f>
        <v>0.82618072341472604</v>
      </c>
      <c r="W22" s="6">
        <f>'a27'!AH21</f>
        <v>67</v>
      </c>
      <c r="X22" s="9">
        <f>'a27'!AI21</f>
        <v>0.36430000000000001</v>
      </c>
      <c r="Y22" s="9">
        <f t="shared" si="15"/>
        <v>20.165501715178973</v>
      </c>
      <c r="Z22" s="9">
        <f t="shared" si="26"/>
        <v>0.35484968174988113</v>
      </c>
      <c r="AA22" s="9">
        <f>'a27'!AN21</f>
        <v>1.0556832987705944</v>
      </c>
      <c r="AB22" s="6">
        <f>'a27'!AO21</f>
        <v>54.7</v>
      </c>
      <c r="AC22" s="9">
        <f>'a27'!AP21</f>
        <v>0.29530000000000001</v>
      </c>
      <c r="AD22" s="9">
        <f t="shared" si="16"/>
        <v>17.052357313544523</v>
      </c>
      <c r="AE22" s="9">
        <f t="shared" si="27"/>
        <v>0.45991647210954112</v>
      </c>
      <c r="AF22" s="9">
        <f>'a27'!AU21</f>
        <v>0.94028581020663815</v>
      </c>
      <c r="AG22" s="6">
        <f>'a27'!AV21</f>
        <v>46</v>
      </c>
      <c r="AH22" s="9">
        <f>'a27'!AW21</f>
        <v>0.37729999999999997</v>
      </c>
      <c r="AI22" s="9">
        <f t="shared" si="17"/>
        <v>16.319412464784371</v>
      </c>
      <c r="AJ22" s="9">
        <f t="shared" si="28"/>
        <v>0.48465292915581398</v>
      </c>
      <c r="AK22" s="9">
        <f>'a27'!BB21</f>
        <v>1.0043138182580482</v>
      </c>
      <c r="AL22" s="6">
        <f>'a27'!BC21</f>
        <v>40.4</v>
      </c>
      <c r="AM22" s="9">
        <f>'a27'!BD21</f>
        <v>0.34909999999999997</v>
      </c>
      <c r="AN22" s="9">
        <f t="shared" si="18"/>
        <v>14.164480539736937</v>
      </c>
      <c r="AO22" s="9">
        <f t="shared" si="29"/>
        <v>0.55738061268036465</v>
      </c>
      <c r="AP22" s="9">
        <f>'a27'!BI21</f>
        <v>0.80855736771464592</v>
      </c>
      <c r="AQ22" s="6">
        <f>'a27'!BJ21</f>
        <v>51.5</v>
      </c>
      <c r="AR22" s="9">
        <f>'a27'!BK21</f>
        <v>0.34710000000000002</v>
      </c>
      <c r="AS22" s="9">
        <f t="shared" si="19"/>
        <v>14.453488510188311</v>
      </c>
      <c r="AT22" s="9">
        <f t="shared" si="30"/>
        <v>0.54762676386187015</v>
      </c>
      <c r="AU22" s="9">
        <f>'a27'!BP21</f>
        <v>1.4601767618758108</v>
      </c>
      <c r="AV22" s="6">
        <f>'a27'!BQ21</f>
        <v>48.8</v>
      </c>
      <c r="AW22" s="9">
        <f>'a27'!BR21</f>
        <v>0.32679999999999998</v>
      </c>
      <c r="AX22" s="9">
        <f t="shared" si="20"/>
        <v>23.286665370113528</v>
      </c>
      <c r="AY22" s="9">
        <f t="shared" si="31"/>
        <v>0.24951224631353253</v>
      </c>
      <c r="AZ22" s="9">
        <f>'a27'!BW21</f>
        <v>1.2120272261122553</v>
      </c>
      <c r="BA22" s="6">
        <f>'a27'!BX21</f>
        <v>53.7</v>
      </c>
      <c r="BB22" s="9">
        <f>'a27'!BY21</f>
        <v>0.2868</v>
      </c>
      <c r="BC22" s="9">
        <f t="shared" si="21"/>
        <v>18.666625233711024</v>
      </c>
      <c r="BD22" s="9">
        <f t="shared" si="32"/>
        <v>0.40543588037617589</v>
      </c>
    </row>
    <row r="23" spans="1:56">
      <c r="A23" s="1">
        <v>1985</v>
      </c>
      <c r="B23" s="9">
        <f>'a27'!E22</f>
        <v>0.97664881780124335</v>
      </c>
      <c r="C23" s="6">
        <f>'a27'!F22</f>
        <v>51.2</v>
      </c>
      <c r="D23" s="9">
        <f>'a27'!G22</f>
        <v>0.35119999999999996</v>
      </c>
      <c r="E23" s="9">
        <f t="shared" si="11"/>
        <v>17.561552118363988</v>
      </c>
      <c r="F23" s="9">
        <f t="shared" si="22"/>
        <v>0.44273144728958519</v>
      </c>
      <c r="G23" s="9">
        <f>'a27'!L22</f>
        <v>0.42127870477449197</v>
      </c>
      <c r="H23" s="6">
        <f>'a27'!M22</f>
        <v>53.3</v>
      </c>
      <c r="I23" s="9">
        <f>'a27'!N22</f>
        <v>0.44750000000000001</v>
      </c>
      <c r="J23" s="9">
        <f t="shared" si="12"/>
        <v>10.048234346604987</v>
      </c>
      <c r="K23" s="9">
        <f t="shared" si="23"/>
        <v>0.69630149781999506</v>
      </c>
      <c r="L23" s="9">
        <f>'a27'!S22</f>
        <v>0.71378305016587917</v>
      </c>
      <c r="M23" s="6">
        <f>'a27'!T22</f>
        <v>49.7</v>
      </c>
      <c r="N23" s="9">
        <f>'a27'!U22</f>
        <v>0.20499999999999999</v>
      </c>
      <c r="O23" s="9">
        <f t="shared" si="13"/>
        <v>7.2723786066150602</v>
      </c>
      <c r="P23" s="9">
        <f t="shared" si="24"/>
        <v>0.78998499446379344</v>
      </c>
      <c r="Q23" s="9">
        <f>'a27'!Z22</f>
        <v>1.1010004169385403</v>
      </c>
      <c r="R23" s="6">
        <f>'a27'!AA22</f>
        <v>58.1</v>
      </c>
      <c r="S23" s="9">
        <f>'a27'!AC22</f>
        <v>0.23559549999999999</v>
      </c>
      <c r="T23" s="9">
        <f t="shared" si="14"/>
        <v>15.070602210645829</v>
      </c>
      <c r="U23" s="9">
        <f t="shared" si="25"/>
        <v>0.52679953986287964</v>
      </c>
      <c r="V23" s="9">
        <f>'a27'!AG22</f>
        <v>0.78082164253870379</v>
      </c>
      <c r="W23" s="6">
        <f>'a27'!AH22</f>
        <v>62.3</v>
      </c>
      <c r="X23" s="9">
        <f>'a27'!AI22</f>
        <v>0.39640000000000003</v>
      </c>
      <c r="Y23" s="9">
        <f t="shared" si="15"/>
        <v>19.28295265407592</v>
      </c>
      <c r="Z23" s="9">
        <f t="shared" si="26"/>
        <v>0.38463519286730513</v>
      </c>
      <c r="AA23" s="9">
        <f>'a27'!AN22</f>
        <v>0.98463492577412981</v>
      </c>
      <c r="AB23" s="6">
        <f>'a27'!AO22</f>
        <v>52.9</v>
      </c>
      <c r="AC23" s="9">
        <f>'a27'!AP22</f>
        <v>0.3579</v>
      </c>
      <c r="AD23" s="9">
        <f t="shared" si="16"/>
        <v>18.642004432538279</v>
      </c>
      <c r="AE23" s="9">
        <f t="shared" si="27"/>
        <v>0.40626681791763575</v>
      </c>
      <c r="AF23" s="9">
        <f>'a27'!AU22</f>
        <v>0.89362322194650523</v>
      </c>
      <c r="AG23" s="6">
        <f>'a27'!AV22</f>
        <v>48.8</v>
      </c>
      <c r="AH23" s="9">
        <f>'a27'!AW22</f>
        <v>0.33479999999999999</v>
      </c>
      <c r="AI23" s="9">
        <f t="shared" si="17"/>
        <v>14.60023066973527</v>
      </c>
      <c r="AJ23" s="9">
        <f t="shared" si="28"/>
        <v>0.54267430238724346</v>
      </c>
      <c r="AK23" s="9">
        <f>'a27'!BB22</f>
        <v>0.88106062481787417</v>
      </c>
      <c r="AL23" s="6">
        <f>'a27'!BC22</f>
        <v>51.1</v>
      </c>
      <c r="AM23" s="9">
        <f>'a27'!BD22</f>
        <v>0.37920000000000004</v>
      </c>
      <c r="AN23" s="9">
        <f t="shared" si="18"/>
        <v>17.072417454370928</v>
      </c>
      <c r="AO23" s="9">
        <f t="shared" si="29"/>
        <v>0.45923945416919543</v>
      </c>
      <c r="AP23" s="9">
        <f>'a27'!BI22</f>
        <v>0.77688925800423725</v>
      </c>
      <c r="AQ23" s="6">
        <f>'a27'!BJ22</f>
        <v>49.8</v>
      </c>
      <c r="AR23" s="9">
        <f>'a27'!BK22</f>
        <v>0.33529999999999999</v>
      </c>
      <c r="AS23" s="9">
        <f t="shared" si="19"/>
        <v>12.972450216799272</v>
      </c>
      <c r="AT23" s="9">
        <f t="shared" si="30"/>
        <v>0.59761093414463573</v>
      </c>
      <c r="AU23" s="9">
        <f>'a27'!BP22</f>
        <v>1.3914722091982805</v>
      </c>
      <c r="AV23" s="6">
        <f>'a27'!BQ22</f>
        <v>43.1</v>
      </c>
      <c r="AW23" s="9">
        <f>'a27'!BR22</f>
        <v>0.34490000000000004</v>
      </c>
      <c r="AX23" s="9">
        <f t="shared" si="20"/>
        <v>20.68449876945219</v>
      </c>
      <c r="AY23" s="9">
        <f t="shared" si="31"/>
        <v>0.33733383678298001</v>
      </c>
      <c r="AZ23" s="9">
        <f>'a27'!BW22</f>
        <v>1.1138440925814372</v>
      </c>
      <c r="BA23" s="6">
        <f>'a27'!BX22</f>
        <v>55.4</v>
      </c>
      <c r="BB23" s="9">
        <f>'a27'!BY22</f>
        <v>0.33829999999999999</v>
      </c>
      <c r="BC23" s="9">
        <f t="shared" si="21"/>
        <v>20.875465491224631</v>
      </c>
      <c r="BD23" s="9">
        <f t="shared" si="32"/>
        <v>0.33088882237516698</v>
      </c>
    </row>
    <row r="24" spans="1:56">
      <c r="A24" s="1">
        <v>1986</v>
      </c>
      <c r="B24" s="9">
        <f>'a27'!E23</f>
        <v>1.221016281178668</v>
      </c>
      <c r="C24" s="6">
        <f>'a27'!F23</f>
        <v>49.1</v>
      </c>
      <c r="D24" s="9">
        <f>'a27'!G23</f>
        <v>0.32950000000000002</v>
      </c>
      <c r="E24" s="9">
        <f t="shared" si="11"/>
        <v>19.754150854235025</v>
      </c>
      <c r="F24" s="9">
        <f t="shared" si="22"/>
        <v>0.36873253108008652</v>
      </c>
      <c r="G24" s="9">
        <f>'a27'!L23</f>
        <v>0.51471276854782821</v>
      </c>
      <c r="H24" s="6">
        <f>'a27'!M23</f>
        <v>54.6</v>
      </c>
      <c r="I24" s="9">
        <f>'a27'!N23</f>
        <v>0.4279</v>
      </c>
      <c r="J24" s="9">
        <f t="shared" si="12"/>
        <v>12.025409413924217</v>
      </c>
      <c r="K24" s="9">
        <f t="shared" si="23"/>
        <v>0.62957300357047952</v>
      </c>
      <c r="L24" s="9">
        <f>'a27'!S23</f>
        <v>0.66038361983141969</v>
      </c>
      <c r="M24" s="6">
        <f>'a27'!T23</f>
        <v>42.1</v>
      </c>
      <c r="N24" s="9">
        <f>'a27'!U23</f>
        <v>0.36859999999999998</v>
      </c>
      <c r="O24" s="9">
        <f t="shared" si="13"/>
        <v>10.24787263556116</v>
      </c>
      <c r="P24" s="9">
        <f t="shared" si="24"/>
        <v>0.68956382312604025</v>
      </c>
      <c r="Q24" s="9">
        <f>'a27'!Z23</f>
        <v>1.2198571612254678</v>
      </c>
      <c r="R24" s="6">
        <f>'a27'!AA23</f>
        <v>62.5</v>
      </c>
      <c r="S24" s="9">
        <f>'a27'!AC23</f>
        <v>0.21637499999999996</v>
      </c>
      <c r="T24" s="9">
        <f t="shared" si="14"/>
        <v>16.496662078760032</v>
      </c>
      <c r="U24" s="9">
        <f t="shared" si="25"/>
        <v>0.47867085905873336</v>
      </c>
      <c r="V24" s="9">
        <f>'a27'!AG23</f>
        <v>0.98640484245477311</v>
      </c>
      <c r="W24" s="6">
        <f>'a27'!AH23</f>
        <v>59.8</v>
      </c>
      <c r="X24" s="9">
        <f>'a27'!AI23</f>
        <v>0.3508</v>
      </c>
      <c r="Y24" s="9">
        <f t="shared" si="15"/>
        <v>20.692642960241436</v>
      </c>
      <c r="Z24" s="9">
        <f t="shared" si="26"/>
        <v>0.33705897513960315</v>
      </c>
      <c r="AA24" s="9">
        <f>'a27'!AN23</f>
        <v>1.175854380947525</v>
      </c>
      <c r="AB24" s="6">
        <f>'a27'!AO23</f>
        <v>53.6</v>
      </c>
      <c r="AC24" s="9">
        <f>'a27'!AP23</f>
        <v>0.32619999999999999</v>
      </c>
      <c r="AD24" s="9">
        <f t="shared" si="16"/>
        <v>20.559014269888433</v>
      </c>
      <c r="AE24" s="9">
        <f t="shared" si="27"/>
        <v>0.3415688647508861</v>
      </c>
      <c r="AF24" s="9">
        <f>'a27'!AU23</f>
        <v>1.1629202811372128</v>
      </c>
      <c r="AG24" s="6">
        <f>'a27'!AV23</f>
        <v>43.4</v>
      </c>
      <c r="AH24" s="9">
        <f>'a27'!AW23</f>
        <v>0.31590000000000001</v>
      </c>
      <c r="AI24" s="9">
        <f t="shared" si="17"/>
        <v>15.943706829608056</v>
      </c>
      <c r="AJ24" s="9">
        <f t="shared" si="28"/>
        <v>0.49733277310628676</v>
      </c>
      <c r="AK24" s="9">
        <f>'a27'!BB23</f>
        <v>1.1258544431041415</v>
      </c>
      <c r="AL24" s="6">
        <f>'a27'!BC23</f>
        <v>55.2</v>
      </c>
      <c r="AM24" s="9">
        <f>'a27'!BD23</f>
        <v>0.37530000000000002</v>
      </c>
      <c r="AN24" s="9">
        <f t="shared" si="18"/>
        <v>23.323831121833535</v>
      </c>
      <c r="AO24" s="9">
        <f t="shared" si="29"/>
        <v>0.24825792407827901</v>
      </c>
      <c r="AP24" s="9">
        <f>'a27'!BI23</f>
        <v>0.99653083456944969</v>
      </c>
      <c r="AQ24" s="6">
        <f>'a27'!BJ23</f>
        <v>53</v>
      </c>
      <c r="AR24" s="9">
        <f>'a27'!BK23</f>
        <v>0.30969999999999998</v>
      </c>
      <c r="AS24" s="9">
        <f t="shared" si="19"/>
        <v>16.357156771706403</v>
      </c>
      <c r="AT24" s="9">
        <f t="shared" si="30"/>
        <v>0.48337908102317811</v>
      </c>
      <c r="AU24" s="9">
        <f>'a27'!BP23</f>
        <v>1.6235754849616237</v>
      </c>
      <c r="AV24" s="6">
        <f>'a27'!BQ23</f>
        <v>35.9</v>
      </c>
      <c r="AW24" s="9">
        <f>'a27'!BR23</f>
        <v>0.3417</v>
      </c>
      <c r="AX24" s="9">
        <f t="shared" si="20"/>
        <v>19.916449181288787</v>
      </c>
      <c r="AY24" s="9">
        <f t="shared" si="31"/>
        <v>0.36325505811245656</v>
      </c>
      <c r="AZ24" s="9">
        <f>'a27'!BW23</f>
        <v>1.4971680481362251</v>
      </c>
      <c r="BA24" s="6">
        <f>'a27'!BX23</f>
        <v>55.5</v>
      </c>
      <c r="BB24" s="9">
        <f>'a27'!BY23</f>
        <v>0.31690000000000002</v>
      </c>
      <c r="BC24" s="9">
        <f t="shared" si="21"/>
        <v>26.332116772217521</v>
      </c>
      <c r="BD24" s="9">
        <f t="shared" si="32"/>
        <v>0.14673005482655871</v>
      </c>
    </row>
    <row r="25" spans="1:56">
      <c r="A25" s="1">
        <v>1987</v>
      </c>
      <c r="B25" s="9">
        <f>'a27'!E24</f>
        <v>1.4748162477838471</v>
      </c>
      <c r="C25" s="6">
        <f>'a27'!F24</f>
        <v>48.5</v>
      </c>
      <c r="D25" s="9">
        <f>'a27'!G24</f>
        <v>0.32319999999999999</v>
      </c>
      <c r="E25" s="9">
        <f t="shared" si="11"/>
        <v>23.118039647261359</v>
      </c>
      <c r="F25" s="9">
        <f t="shared" si="22"/>
        <v>0.25520326516343023</v>
      </c>
      <c r="G25" s="9">
        <f>'a27'!L24</f>
        <v>0.82968751160596899</v>
      </c>
      <c r="H25" s="6">
        <f>'a27'!M24</f>
        <v>64.900000000000006</v>
      </c>
      <c r="I25" s="9">
        <f>'a27'!N24</f>
        <v>0.4022</v>
      </c>
      <c r="J25" s="9">
        <f t="shared" si="12"/>
        <v>21.657150584198057</v>
      </c>
      <c r="K25" s="9">
        <f t="shared" si="23"/>
        <v>0.3045074107877086</v>
      </c>
      <c r="L25" s="9">
        <f>'a27'!S24</f>
        <v>0.90334236675700086</v>
      </c>
      <c r="M25" s="6">
        <f>'a27'!T24</f>
        <v>52</v>
      </c>
      <c r="N25" s="9">
        <f>'a27'!U24</f>
        <v>0.33850000000000002</v>
      </c>
      <c r="O25" s="9">
        <f t="shared" si="13"/>
        <v>15.900632339656731</v>
      </c>
      <c r="P25" s="9">
        <f t="shared" si="24"/>
        <v>0.49878651177744798</v>
      </c>
      <c r="Q25" s="9">
        <f>'a27'!Z24</f>
        <v>1.2739294652174316</v>
      </c>
      <c r="R25" s="6">
        <f>'a27'!AA24</f>
        <v>56.8</v>
      </c>
      <c r="S25" s="9">
        <f>'a27'!AC24</f>
        <v>0.21277279999999998</v>
      </c>
      <c r="T25" s="9">
        <f t="shared" si="14"/>
        <v>15.39606823319512</v>
      </c>
      <c r="U25" s="9">
        <f t="shared" si="25"/>
        <v>0.51581525325464339</v>
      </c>
      <c r="V25" s="9">
        <f>'a27'!AG24</f>
        <v>1.124273026464091</v>
      </c>
      <c r="W25" s="6">
        <f>'a27'!AH24</f>
        <v>66.099999999999994</v>
      </c>
      <c r="X25" s="9">
        <f>'a27'!AI24</f>
        <v>0.3528</v>
      </c>
      <c r="Y25" s="9">
        <f t="shared" si="15"/>
        <v>26.218136918984719</v>
      </c>
      <c r="Z25" s="9">
        <f t="shared" si="26"/>
        <v>0.15057680775538151</v>
      </c>
      <c r="AA25" s="9">
        <f>'a27'!AN24</f>
        <v>1.3416010148521389</v>
      </c>
      <c r="AB25" s="6">
        <f>'a27'!AO24</f>
        <v>54.9</v>
      </c>
      <c r="AC25" s="9">
        <f>'a27'!AP24</f>
        <v>0.32069999999999999</v>
      </c>
      <c r="AD25" s="9">
        <f t="shared" si="16"/>
        <v>23.620804355923141</v>
      </c>
      <c r="AE25" s="9">
        <f t="shared" si="27"/>
        <v>0.23823525230239181</v>
      </c>
      <c r="AF25" s="9">
        <f>'a27'!AU24</f>
        <v>1.6139799271180415</v>
      </c>
      <c r="AG25" s="6">
        <f>'a27'!AV24</f>
        <v>37.6</v>
      </c>
      <c r="AH25" s="9">
        <f>'a27'!AW24</f>
        <v>0.2959</v>
      </c>
      <c r="AI25" s="9">
        <f t="shared" si="17"/>
        <v>17.956882432326992</v>
      </c>
      <c r="AJ25" s="9">
        <f t="shared" si="28"/>
        <v>0.42938928198618254</v>
      </c>
      <c r="AK25" s="9">
        <f>'a27'!BB24</f>
        <v>1.4708721938416836</v>
      </c>
      <c r="AL25" s="6">
        <f>'a27'!BC24</f>
        <v>46.7</v>
      </c>
      <c r="AM25" s="9">
        <f>'a27'!BD24</f>
        <v>0.33860000000000001</v>
      </c>
      <c r="AN25" s="9">
        <f t="shared" si="18"/>
        <v>23.258343069784882</v>
      </c>
      <c r="AO25" s="9">
        <f t="shared" si="29"/>
        <v>0.25046810727185204</v>
      </c>
      <c r="AP25" s="9">
        <f>'a27'!BI24</f>
        <v>1.1870433102830427</v>
      </c>
      <c r="AQ25" s="6">
        <f>'a27'!BJ24</f>
        <v>53.9</v>
      </c>
      <c r="AR25" s="9">
        <f>'a27'!BK24</f>
        <v>0.34970000000000001</v>
      </c>
      <c r="AS25" s="9">
        <f t="shared" si="19"/>
        <v>22.374377558162323</v>
      </c>
      <c r="AT25" s="9">
        <f t="shared" si="30"/>
        <v>0.28030142276022318</v>
      </c>
      <c r="AU25" s="9">
        <f>'a27'!BP24</f>
        <v>1.6115265982169267</v>
      </c>
      <c r="AV25" s="6">
        <f>'a27'!BQ24</f>
        <v>44.2</v>
      </c>
      <c r="AW25" s="9">
        <f>'a27'!BR24</f>
        <v>0.31319999999999998</v>
      </c>
      <c r="AX25" s="9">
        <f t="shared" si="20"/>
        <v>22.309071770820129</v>
      </c>
      <c r="AY25" s="9">
        <f t="shared" si="31"/>
        <v>0.28250545462728094</v>
      </c>
      <c r="AZ25" s="9">
        <f>'a27'!BW24</f>
        <v>1.5840760314891018</v>
      </c>
      <c r="BA25" s="6">
        <f>'a27'!BX24</f>
        <v>52.1</v>
      </c>
      <c r="BB25" s="9">
        <f>'a27'!BY24</f>
        <v>0.32909999999999995</v>
      </c>
      <c r="BC25" s="9">
        <f t="shared" si="21"/>
        <v>27.160741884275602</v>
      </c>
      <c r="BD25" s="9">
        <f t="shared" si="32"/>
        <v>0.11876444523593138</v>
      </c>
    </row>
    <row r="26" spans="1:56">
      <c r="A26" s="1">
        <v>1988</v>
      </c>
      <c r="B26" s="9">
        <f>'a27'!E25</f>
        <v>1.2600833109316343</v>
      </c>
      <c r="C26" s="6">
        <f>'a27'!F25</f>
        <v>46.5</v>
      </c>
      <c r="D26" s="9">
        <f>'a27'!G25</f>
        <v>0.32229999999999998</v>
      </c>
      <c r="E26" s="9">
        <f t="shared" si="11"/>
        <v>18.884805576766855</v>
      </c>
      <c r="F26" s="9">
        <f t="shared" si="22"/>
        <v>0.39807242227496781</v>
      </c>
      <c r="G26" s="9">
        <f>'a27'!L25</f>
        <v>0.66638961726728763</v>
      </c>
      <c r="H26" s="6">
        <f>'a27'!M25</f>
        <v>63</v>
      </c>
      <c r="I26" s="9">
        <f>'a27'!N25</f>
        <v>0.40189999999999998</v>
      </c>
      <c r="J26" s="9">
        <f t="shared" si="12"/>
        <v>16.872785192322542</v>
      </c>
      <c r="K26" s="9">
        <f t="shared" si="23"/>
        <v>0.4659769254585614</v>
      </c>
      <c r="L26" s="9">
        <f>'a27'!S25</f>
        <v>0.87258336577137663</v>
      </c>
      <c r="M26" s="6">
        <f>'a27'!T25</f>
        <v>55</v>
      </c>
      <c r="N26" s="9">
        <f>'a27'!U25</f>
        <v>0.26119999999999999</v>
      </c>
      <c r="O26" s="9">
        <f t="shared" si="13"/>
        <v>12.535532632671597</v>
      </c>
      <c r="P26" s="9">
        <f t="shared" si="24"/>
        <v>0.61235664532715917</v>
      </c>
      <c r="Q26" s="9">
        <f>'a27'!Z25</f>
        <v>1.1384359059215556</v>
      </c>
      <c r="R26" s="6">
        <f>'a27'!AA25</f>
        <v>53.1</v>
      </c>
      <c r="S26" s="9">
        <f>'a27'!AC25</f>
        <v>0.16498169999999998</v>
      </c>
      <c r="T26" s="9">
        <f t="shared" si="14"/>
        <v>9.9732999374088482</v>
      </c>
      <c r="U26" s="9">
        <f t="shared" si="25"/>
        <v>0.6988304900047464</v>
      </c>
      <c r="V26" s="9">
        <f>'a27'!AG25</f>
        <v>0.9323684555174423</v>
      </c>
      <c r="W26" s="6">
        <f>'a27'!AH25</f>
        <v>62.1</v>
      </c>
      <c r="X26" s="9">
        <f>'a27'!AI25</f>
        <v>0.36649999999999999</v>
      </c>
      <c r="Y26" s="9">
        <f t="shared" si="15"/>
        <v>21.220379718617554</v>
      </c>
      <c r="Z26" s="9">
        <f t="shared" si="26"/>
        <v>0.31924817030566122</v>
      </c>
      <c r="AA26" s="9">
        <f>'a27'!AN25</f>
        <v>1.2178287980586586</v>
      </c>
      <c r="AB26" s="6">
        <f>'a27'!AO25</f>
        <v>48.9</v>
      </c>
      <c r="AC26" s="9">
        <f>'a27'!AP25</f>
        <v>0.32240000000000002</v>
      </c>
      <c r="AD26" s="9">
        <f t="shared" si="16"/>
        <v>19.199509419762055</v>
      </c>
      <c r="AE26" s="9">
        <f t="shared" si="27"/>
        <v>0.38745135288930216</v>
      </c>
      <c r="AF26" s="9">
        <f>'a27'!AU25</f>
        <v>1.3158794411032284</v>
      </c>
      <c r="AG26" s="6">
        <f>'a27'!AV25</f>
        <v>39.4</v>
      </c>
      <c r="AH26" s="9">
        <f>'a27'!AW25</f>
        <v>0.312</v>
      </c>
      <c r="AI26" s="9">
        <f t="shared" si="17"/>
        <v>16.175842793593766</v>
      </c>
      <c r="AJ26" s="9">
        <f t="shared" si="28"/>
        <v>0.48949832101655422</v>
      </c>
      <c r="AK26" s="9">
        <f>'a27'!BB25</f>
        <v>1.1580633238881362</v>
      </c>
      <c r="AL26" s="6">
        <f>'a27'!BC25</f>
        <v>54.8</v>
      </c>
      <c r="AM26" s="9">
        <f>'a27'!BD25</f>
        <v>0.31950000000000001</v>
      </c>
      <c r="AN26" s="9">
        <f t="shared" si="18"/>
        <v>20.276067512627822</v>
      </c>
      <c r="AO26" s="9">
        <f t="shared" si="29"/>
        <v>0.35111815119337758</v>
      </c>
      <c r="AP26" s="9">
        <f>'a27'!BI25</f>
        <v>1.0025956845491628</v>
      </c>
      <c r="AQ26" s="6">
        <f>'a27'!BJ25</f>
        <v>58.8</v>
      </c>
      <c r="AR26" s="9">
        <f>'a27'!BK25</f>
        <v>0.36049999999999999</v>
      </c>
      <c r="AS26" s="9">
        <f t="shared" si="19"/>
        <v>21.252421763662422</v>
      </c>
      <c r="AT26" s="9">
        <f t="shared" si="30"/>
        <v>0.31816677015356531</v>
      </c>
      <c r="AU26" s="9">
        <f>'a27'!BP25</f>
        <v>1.4626439497408508</v>
      </c>
      <c r="AV26" s="6">
        <f>'a27'!BQ25</f>
        <v>47.6</v>
      </c>
      <c r="AW26" s="9">
        <f>'a27'!BR25</f>
        <v>0.28989999999999999</v>
      </c>
      <c r="AX26" s="9">
        <f t="shared" si="20"/>
        <v>20.183374897021938</v>
      </c>
      <c r="AY26" s="9">
        <f t="shared" si="31"/>
        <v>0.35424647238742141</v>
      </c>
      <c r="AZ26" s="9">
        <f>'a27'!BW25</f>
        <v>1.3660543120850102</v>
      </c>
      <c r="BA26" s="6">
        <f>'a27'!BX25</f>
        <v>45.9</v>
      </c>
      <c r="BB26" s="9">
        <f>'a27'!BY25</f>
        <v>0.33210000000000001</v>
      </c>
      <c r="BC26" s="9">
        <f t="shared" si="21"/>
        <v>20.823298640293523</v>
      </c>
      <c r="BD26" s="9">
        <f t="shared" si="32"/>
        <v>0.33264942287529953</v>
      </c>
    </row>
    <row r="27" spans="1:56">
      <c r="A27" s="1">
        <v>1989</v>
      </c>
      <c r="B27" s="9">
        <f>'a27'!E26</f>
        <v>1.1986588599984418</v>
      </c>
      <c r="C27" s="6">
        <f>'a27'!F26</f>
        <v>45.6</v>
      </c>
      <c r="D27" s="9">
        <f>'a27'!G26</f>
        <v>0.31950000000000001</v>
      </c>
      <c r="E27" s="9">
        <f t="shared" si="11"/>
        <v>17.463500663089299</v>
      </c>
      <c r="F27" s="9">
        <f t="shared" si="22"/>
        <v>0.4460406261668633</v>
      </c>
      <c r="G27" s="9">
        <f>'a27'!L26</f>
        <v>0.73048939154958237</v>
      </c>
      <c r="H27" s="6">
        <f>'a27'!M26</f>
        <v>54.6</v>
      </c>
      <c r="I27" s="9">
        <f>'a27'!N26</f>
        <v>0.44990000000000002</v>
      </c>
      <c r="J27" s="9">
        <f t="shared" si="12"/>
        <v>17.944135878295377</v>
      </c>
      <c r="K27" s="9">
        <f t="shared" si="23"/>
        <v>0.42981947067885756</v>
      </c>
      <c r="L27" s="9">
        <f>'a27'!S26</f>
        <v>0.79520312950909033</v>
      </c>
      <c r="M27" s="6">
        <f>'a27'!T26</f>
        <v>56.9</v>
      </c>
      <c r="N27" s="9">
        <f>'a27'!U26</f>
        <v>0.27390000000000003</v>
      </c>
      <c r="O27" s="9">
        <f t="shared" si="13"/>
        <v>12.393169205117518</v>
      </c>
      <c r="P27" s="9">
        <f t="shared" si="24"/>
        <v>0.61716132717547112</v>
      </c>
      <c r="Q27" s="9">
        <f>'a27'!Z26</f>
        <v>1.1387294177023533</v>
      </c>
      <c r="R27" s="6">
        <f>'a27'!AA26</f>
        <v>57</v>
      </c>
      <c r="S27" s="9">
        <f>'a27'!AC26</f>
        <v>0.18148800000000001</v>
      </c>
      <c r="T27" s="9">
        <f t="shared" si="14"/>
        <v>11.779946299917988</v>
      </c>
      <c r="U27" s="9">
        <f t="shared" si="25"/>
        <v>0.63785723912562486</v>
      </c>
      <c r="V27" s="9">
        <f>'a27'!AG26</f>
        <v>0.90737260879254511</v>
      </c>
      <c r="W27" s="6">
        <f>'a27'!AH26</f>
        <v>62.1</v>
      </c>
      <c r="X27" s="9">
        <f>'a27'!AI26</f>
        <v>0.36130000000000001</v>
      </c>
      <c r="Y27" s="9">
        <f t="shared" si="15"/>
        <v>20.358474232873963</v>
      </c>
      <c r="Z27" s="9">
        <f t="shared" si="26"/>
        <v>0.34833697291080812</v>
      </c>
      <c r="AA27" s="9">
        <f>'a27'!AN26</f>
        <v>1.1676494731474185</v>
      </c>
      <c r="AB27" s="6">
        <f>'a27'!AO26</f>
        <v>46.6</v>
      </c>
      <c r="AC27" s="9">
        <f>'a27'!AP26</f>
        <v>0.34889999999999999</v>
      </c>
      <c r="AD27" s="9">
        <f t="shared" si="16"/>
        <v>18.984509195040861</v>
      </c>
      <c r="AE27" s="9">
        <f t="shared" si="27"/>
        <v>0.39470748386934978</v>
      </c>
      <c r="AF27" s="9">
        <f>'a27'!AU26</f>
        <v>1.234224430648027</v>
      </c>
      <c r="AG27" s="6">
        <f>'a27'!AV26</f>
        <v>36.299999999999997</v>
      </c>
      <c r="AH27" s="9">
        <f>'a27'!AW26</f>
        <v>0.2777</v>
      </c>
      <c r="AI27" s="9">
        <f t="shared" si="17"/>
        <v>12.441611715391742</v>
      </c>
      <c r="AJ27" s="9">
        <f t="shared" si="28"/>
        <v>0.61552642097940613</v>
      </c>
      <c r="AK27" s="9">
        <f>'a27'!BB26</f>
        <v>1.0861902399540457</v>
      </c>
      <c r="AL27" s="6">
        <f>'a27'!BC26</f>
        <v>60.3</v>
      </c>
      <c r="AM27" s="9">
        <f>'a27'!BD26</f>
        <v>0.315</v>
      </c>
      <c r="AN27" s="9">
        <f t="shared" si="18"/>
        <v>20.63164051280712</v>
      </c>
      <c r="AO27" s="9">
        <f t="shared" si="29"/>
        <v>0.33911777181881997</v>
      </c>
      <c r="AP27" s="9">
        <f>'a27'!BI26</f>
        <v>0.99413018660146901</v>
      </c>
      <c r="AQ27" s="6">
        <f>'a27'!BJ26</f>
        <v>59.4</v>
      </c>
      <c r="AR27" s="9">
        <f>'a27'!BK26</f>
        <v>0.3765</v>
      </c>
      <c r="AS27" s="9">
        <f t="shared" si="19"/>
        <v>22.232826906173912</v>
      </c>
      <c r="AT27" s="9">
        <f t="shared" si="30"/>
        <v>0.28507867391180203</v>
      </c>
      <c r="AU27" s="9">
        <f>'a27'!BP26</f>
        <v>1.3546449669109424</v>
      </c>
      <c r="AV27" s="6">
        <f>'a27'!BQ26</f>
        <v>46.7</v>
      </c>
      <c r="AW27" s="9">
        <f>'a27'!BR26</f>
        <v>0.3004</v>
      </c>
      <c r="AX27" s="9">
        <f t="shared" si="20"/>
        <v>19.0038807544042</v>
      </c>
      <c r="AY27" s="9">
        <f t="shared" si="31"/>
        <v>0.39405370514790689</v>
      </c>
      <c r="AZ27" s="9">
        <f>'a27'!BW26</f>
        <v>1.3162192719052392</v>
      </c>
      <c r="BA27" s="6">
        <f>'a27'!BX26</f>
        <v>52.5</v>
      </c>
      <c r="BB27" s="9">
        <f>'a27'!BY26</f>
        <v>0.31230000000000002</v>
      </c>
      <c r="BC27" s="9">
        <f t="shared" si="21"/>
        <v>21.580402127340328</v>
      </c>
      <c r="BD27" s="9">
        <f t="shared" si="32"/>
        <v>0.3070976260128247</v>
      </c>
    </row>
    <row r="28" spans="1:56">
      <c r="A28" s="1">
        <v>1990</v>
      </c>
      <c r="B28" s="9">
        <f>'a27'!E27</f>
        <v>1.1438592987314304</v>
      </c>
      <c r="C28" s="6">
        <f>'a27'!F27</f>
        <v>52.1</v>
      </c>
      <c r="D28" s="9">
        <f>'a27'!G27</f>
        <v>0.3075</v>
      </c>
      <c r="E28" s="9">
        <f t="shared" si="11"/>
        <v>18.325483860151564</v>
      </c>
      <c r="F28" s="9">
        <f t="shared" si="22"/>
        <v>0.41694920085047193</v>
      </c>
      <c r="G28" s="9">
        <f>'a27'!L27</f>
        <v>0.73006600055329807</v>
      </c>
      <c r="H28" s="6">
        <f>'a27'!M27</f>
        <v>70.900000000000006</v>
      </c>
      <c r="I28" s="9">
        <f>'a27'!N27</f>
        <v>0.4017</v>
      </c>
      <c r="J28" s="9">
        <f t="shared" si="12"/>
        <v>20.792666630738225</v>
      </c>
      <c r="K28" s="9">
        <f t="shared" si="23"/>
        <v>0.33368323515993104</v>
      </c>
      <c r="L28" s="9">
        <f>'a27'!S27</f>
        <v>0.89362378756559069</v>
      </c>
      <c r="M28" s="6">
        <f>'a27'!T27</f>
        <v>45.3</v>
      </c>
      <c r="N28" s="9">
        <f>'a27'!U27</f>
        <v>0.23079999999999998</v>
      </c>
      <c r="O28" s="9">
        <f t="shared" si="13"/>
        <v>9.3430511687072659</v>
      </c>
      <c r="P28" s="9">
        <f t="shared" si="24"/>
        <v>0.72010101482230304</v>
      </c>
      <c r="Q28" s="9">
        <f>'a27'!Z27</f>
        <v>1.0787236367122788</v>
      </c>
      <c r="R28" s="6">
        <f>'a27'!AA27</f>
        <v>62</v>
      </c>
      <c r="S28" s="9">
        <f>'a27'!AC27</f>
        <v>0.19653999999999999</v>
      </c>
      <c r="T28" s="9">
        <f t="shared" si="14"/>
        <v>13.144765300684739</v>
      </c>
      <c r="U28" s="9">
        <f t="shared" si="25"/>
        <v>0.59179540153236865</v>
      </c>
      <c r="V28" s="9">
        <f>'a27'!AG27</f>
        <v>0.92446988535267516</v>
      </c>
      <c r="W28" s="6">
        <f>'a27'!AH27</f>
        <v>61.4</v>
      </c>
      <c r="X28" s="9">
        <f>'a27'!AI27</f>
        <v>0.34380000000000005</v>
      </c>
      <c r="Y28" s="9">
        <f t="shared" si="15"/>
        <v>19.514930640272937</v>
      </c>
      <c r="Z28" s="9">
        <f t="shared" si="26"/>
        <v>0.37680607243491476</v>
      </c>
      <c r="AA28" s="9">
        <f>'a27'!AN27</f>
        <v>1.1911951398028133</v>
      </c>
      <c r="AB28" s="6">
        <f>'a27'!AO27</f>
        <v>55.3</v>
      </c>
      <c r="AC28" s="9">
        <f>'a27'!AP27</f>
        <v>0.31780000000000003</v>
      </c>
      <c r="AD28" s="9">
        <f t="shared" si="16"/>
        <v>20.934468393242174</v>
      </c>
      <c r="AE28" s="9">
        <f t="shared" si="27"/>
        <v>0.32889750917632082</v>
      </c>
      <c r="AF28" s="9">
        <f>'a27'!AU27</f>
        <v>1.1241532335262787</v>
      </c>
      <c r="AG28" s="6">
        <f>'a27'!AV27</f>
        <v>45.7</v>
      </c>
      <c r="AH28" s="9">
        <f>'a27'!AW27</f>
        <v>0.29039999999999999</v>
      </c>
      <c r="AI28" s="9">
        <f t="shared" si="17"/>
        <v>14.918952325032633</v>
      </c>
      <c r="AJ28" s="9">
        <f t="shared" si="28"/>
        <v>0.53191763420229499</v>
      </c>
      <c r="AK28" s="9">
        <f>'a27'!BB27</f>
        <v>1.0437319198064732</v>
      </c>
      <c r="AL28" s="6">
        <f>'a27'!BC27</f>
        <v>60.8</v>
      </c>
      <c r="AM28" s="9">
        <f>'a27'!BD27</f>
        <v>0.35509999999999997</v>
      </c>
      <c r="AN28" s="9">
        <f t="shared" si="18"/>
        <v>22.534255647175339</v>
      </c>
      <c r="AO28" s="9">
        <f t="shared" si="29"/>
        <v>0.27490563140129537</v>
      </c>
      <c r="AP28" s="9">
        <f>'a27'!BI27</f>
        <v>0.96699772567370779</v>
      </c>
      <c r="AQ28" s="6">
        <f>'a27'!BJ27</f>
        <v>55</v>
      </c>
      <c r="AR28" s="9">
        <f>'a27'!BK27</f>
        <v>0.39520000000000005</v>
      </c>
      <c r="AS28" s="9">
        <f t="shared" si="19"/>
        <v>21.018662565243716</v>
      </c>
      <c r="AT28" s="9">
        <f t="shared" si="30"/>
        <v>0.32605600544955926</v>
      </c>
      <c r="AU28" s="9">
        <f>'a27'!BP27</f>
        <v>1.36867587984867</v>
      </c>
      <c r="AV28" s="6">
        <f>'a27'!BQ27</f>
        <v>53.3</v>
      </c>
      <c r="AW28" s="9">
        <f>'a27'!BR27</f>
        <v>0.27050000000000002</v>
      </c>
      <c r="AX28" s="9">
        <f t="shared" si="20"/>
        <v>19.733089799100178</v>
      </c>
      <c r="AY28" s="9">
        <f t="shared" si="31"/>
        <v>0.36944332928894713</v>
      </c>
      <c r="AZ28" s="9">
        <f>'a27'!BW27</f>
        <v>1.1725557407899543</v>
      </c>
      <c r="BA28" s="6">
        <f>'a27'!BX27</f>
        <v>52.4</v>
      </c>
      <c r="BB28" s="9">
        <f>'a27'!BY27</f>
        <v>0.28820000000000001</v>
      </c>
      <c r="BC28" s="9">
        <f t="shared" si="21"/>
        <v>17.707561579572836</v>
      </c>
      <c r="BD28" s="9">
        <f t="shared" si="32"/>
        <v>0.43780371395241563</v>
      </c>
    </row>
    <row r="29" spans="1:56">
      <c r="A29" s="1">
        <v>1991</v>
      </c>
      <c r="B29" s="9">
        <f>'a27'!E28</f>
        <v>1.1095797124687401</v>
      </c>
      <c r="C29" s="6">
        <f>'a27'!F28</f>
        <v>49.6</v>
      </c>
      <c r="D29" s="9">
        <f>'a27'!G28</f>
        <v>0.30670000000000003</v>
      </c>
      <c r="E29" s="9">
        <f t="shared" si="11"/>
        <v>16.879281651582467</v>
      </c>
      <c r="F29" s="9">
        <f t="shared" si="22"/>
        <v>0.46575767378402155</v>
      </c>
      <c r="G29" s="9">
        <f>'a27'!L28</f>
        <v>0.64848952426324979</v>
      </c>
      <c r="H29" s="6">
        <f>'a27'!M28</f>
        <v>62.5</v>
      </c>
      <c r="I29" s="9">
        <f>'a27'!N28</f>
        <v>0.45689999999999997</v>
      </c>
      <c r="J29" s="9">
        <f t="shared" si="12"/>
        <v>18.518428977242426</v>
      </c>
      <c r="K29" s="9">
        <f t="shared" si="23"/>
        <v>0.41043741676565326</v>
      </c>
      <c r="L29" s="9">
        <f>'a27'!S28</f>
        <v>0.8534263959390862</v>
      </c>
      <c r="M29" s="6">
        <f>'a27'!T28</f>
        <v>44.1</v>
      </c>
      <c r="N29" s="9">
        <f>'a27'!U28</f>
        <v>0.31209999999999999</v>
      </c>
      <c r="O29" s="9">
        <f t="shared" si="13"/>
        <v>11.746228077411166</v>
      </c>
      <c r="P29" s="9">
        <f t="shared" si="24"/>
        <v>0.63899520928003373</v>
      </c>
      <c r="Q29" s="9">
        <f>'a27'!Z28</f>
        <v>1.0071049487281987</v>
      </c>
      <c r="R29" s="6">
        <f>'a27'!AA28</f>
        <v>62.7</v>
      </c>
      <c r="S29" s="9">
        <f>'a27'!AC28</f>
        <v>0.1842753</v>
      </c>
      <c r="T29" s="9">
        <f t="shared" si="14"/>
        <v>11.636152323210014</v>
      </c>
      <c r="U29" s="9">
        <f t="shared" si="25"/>
        <v>0.64271020116549249</v>
      </c>
      <c r="V29" s="9">
        <f>'a27'!AG28</f>
        <v>0.88890323760943135</v>
      </c>
      <c r="W29" s="6">
        <f>'a27'!AH28</f>
        <v>61.4</v>
      </c>
      <c r="X29" s="9">
        <f>'a27'!AI28</f>
        <v>0.32069999999999999</v>
      </c>
      <c r="Y29" s="9">
        <f t="shared" si="15"/>
        <v>17.503375873702559</v>
      </c>
      <c r="Z29" s="9">
        <f t="shared" si="26"/>
        <v>0.44469486128944513</v>
      </c>
      <c r="AA29" s="9">
        <f>'a27'!AN28</f>
        <v>1.1691003221167209</v>
      </c>
      <c r="AB29" s="6">
        <f>'a27'!AO28</f>
        <v>49.3</v>
      </c>
      <c r="AC29" s="9">
        <f>'a27'!AP28</f>
        <v>0.29160000000000003</v>
      </c>
      <c r="AD29" s="9">
        <f t="shared" si="16"/>
        <v>16.806845938711326</v>
      </c>
      <c r="AE29" s="9">
        <f t="shared" si="27"/>
        <v>0.46820233643917786</v>
      </c>
      <c r="AF29" s="9">
        <f>'a27'!AU28</f>
        <v>1.0626123634683737</v>
      </c>
      <c r="AG29" s="6">
        <f>'a27'!AV28</f>
        <v>47.6</v>
      </c>
      <c r="AH29" s="9">
        <f>'a27'!AW28</f>
        <v>0.30030000000000001</v>
      </c>
      <c r="AI29" s="9">
        <f t="shared" si="17"/>
        <v>15.189278654878706</v>
      </c>
      <c r="AJ29" s="9">
        <f t="shared" si="28"/>
        <v>0.52279427975342274</v>
      </c>
      <c r="AK29" s="9">
        <f>'a27'!BB28</f>
        <v>1.0394719929360612</v>
      </c>
      <c r="AL29" s="6">
        <f>'a27'!BC28</f>
        <v>50.7</v>
      </c>
      <c r="AM29" s="9">
        <f>'a27'!BD28</f>
        <v>0.34619999999999995</v>
      </c>
      <c r="AN29" s="9">
        <f t="shared" si="18"/>
        <v>18.245165840491342</v>
      </c>
      <c r="AO29" s="9">
        <f t="shared" si="29"/>
        <v>0.41965988671821169</v>
      </c>
      <c r="AP29" s="9">
        <f>'a27'!BI28</f>
        <v>0.92153196461152698</v>
      </c>
      <c r="AQ29" s="6">
        <f>'a27'!BJ28</f>
        <v>63.6</v>
      </c>
      <c r="AR29" s="9">
        <f>'a27'!BK28</f>
        <v>0.38450000000000001</v>
      </c>
      <c r="AS29" s="9">
        <f t="shared" si="19"/>
        <v>22.535326969003204</v>
      </c>
      <c r="AT29" s="9">
        <f t="shared" si="30"/>
        <v>0.27486947492045982</v>
      </c>
      <c r="AU29" s="9">
        <f>'a27'!BP28</f>
        <v>1.329080529160388</v>
      </c>
      <c r="AV29" s="6">
        <f>'a27'!BQ28</f>
        <v>47.3</v>
      </c>
      <c r="AW29" s="9">
        <f>'a27'!BR28</f>
        <v>0.32289999999999996</v>
      </c>
      <c r="AX29" s="9">
        <f t="shared" si="20"/>
        <v>20.29927286555656</v>
      </c>
      <c r="AY29" s="9">
        <f t="shared" si="31"/>
        <v>0.35033498419665698</v>
      </c>
      <c r="AZ29" s="9">
        <f>'a27'!BW28</f>
        <v>1.2124663715411876</v>
      </c>
      <c r="BA29" s="6">
        <f>'a27'!BX28</f>
        <v>45.6</v>
      </c>
      <c r="BB29" s="9">
        <f>'a27'!BY28</f>
        <v>0.27479999999999999</v>
      </c>
      <c r="BC29" s="9">
        <f t="shared" si="21"/>
        <v>15.193270605818038</v>
      </c>
      <c r="BD29" s="9">
        <f t="shared" si="32"/>
        <v>0.52265955375990669</v>
      </c>
    </row>
    <row r="30" spans="1:56">
      <c r="A30" s="1">
        <v>1992</v>
      </c>
      <c r="B30" s="9">
        <f>'a27'!E29</f>
        <v>1.1294730309624723</v>
      </c>
      <c r="C30" s="6">
        <f>'a27'!F29</f>
        <v>46.5</v>
      </c>
      <c r="D30" s="9">
        <f>'a27'!G29</f>
        <v>0.28809999999999997</v>
      </c>
      <c r="E30" s="9">
        <f t="shared" si="11"/>
        <v>15.131154880243404</v>
      </c>
      <c r="F30" s="9">
        <f t="shared" si="22"/>
        <v>0.5247559229207982</v>
      </c>
      <c r="G30" s="9">
        <f>'a27'!L29</f>
        <v>0.61220815077126223</v>
      </c>
      <c r="H30" s="6">
        <f>'a27'!M29</f>
        <v>67.099999999999994</v>
      </c>
      <c r="I30" s="9">
        <f>'a27'!N29</f>
        <v>0.41009999999999996</v>
      </c>
      <c r="J30" s="9">
        <f t="shared" si="12"/>
        <v>16.846566352559865</v>
      </c>
      <c r="K30" s="9">
        <f t="shared" si="23"/>
        <v>0.46686179586141596</v>
      </c>
      <c r="L30" s="9">
        <f>'a27'!S29</f>
        <v>0.71726491405460058</v>
      </c>
      <c r="M30" s="6">
        <f>'a27'!T29</f>
        <v>40.4</v>
      </c>
      <c r="N30" s="9">
        <f>'a27'!U29</f>
        <v>0.2964</v>
      </c>
      <c r="O30" s="9">
        <f t="shared" si="13"/>
        <v>8.5889317492416577</v>
      </c>
      <c r="P30" s="9">
        <f t="shared" si="24"/>
        <v>0.74555210116110027</v>
      </c>
      <c r="Q30" s="9">
        <f>'a27'!Z29</f>
        <v>1.0141983365210443</v>
      </c>
      <c r="R30" s="6">
        <f>'a27'!AA29</f>
        <v>61.1</v>
      </c>
      <c r="S30" s="9">
        <f>'a27'!AC29</f>
        <v>0.18317780000000003</v>
      </c>
      <c r="T30" s="9">
        <f t="shared" si="14"/>
        <v>11.351073684907417</v>
      </c>
      <c r="U30" s="9">
        <f t="shared" si="25"/>
        <v>0.65233143733777899</v>
      </c>
      <c r="V30" s="9">
        <f>'a27'!AG29</f>
        <v>0.87333909141715704</v>
      </c>
      <c r="W30" s="6">
        <f>'a27'!AH29</f>
        <v>69.3</v>
      </c>
      <c r="X30" s="9">
        <f>'a27'!AI29</f>
        <v>0.3715</v>
      </c>
      <c r="Y30" s="9">
        <f t="shared" si="15"/>
        <v>22.484071241580136</v>
      </c>
      <c r="Z30" s="9">
        <f t="shared" si="26"/>
        <v>0.27659932553871702</v>
      </c>
      <c r="AA30" s="9">
        <f>'a27'!AN29</f>
        <v>1.1349419793687774</v>
      </c>
      <c r="AB30" s="6">
        <f>'a27'!AO29</f>
        <v>52.6</v>
      </c>
      <c r="AC30" s="9">
        <f>'a27'!AP29</f>
        <v>0.26979999999999998</v>
      </c>
      <c r="AD30" s="9">
        <f t="shared" si="16"/>
        <v>16.106506401372418</v>
      </c>
      <c r="AE30" s="9">
        <f t="shared" si="27"/>
        <v>0.49183838342483532</v>
      </c>
      <c r="AF30" s="9">
        <f>'a27'!AU29</f>
        <v>1.1577877789405613</v>
      </c>
      <c r="AG30" s="6">
        <f>'a27'!AV29</f>
        <v>35.200000000000003</v>
      </c>
      <c r="AH30" s="9">
        <f>'a27'!AW29</f>
        <v>0.27050000000000002</v>
      </c>
      <c r="AI30" s="9">
        <f t="shared" si="17"/>
        <v>11.02399211596045</v>
      </c>
      <c r="AJ30" s="9">
        <f t="shared" si="28"/>
        <v>0.66337024768561159</v>
      </c>
      <c r="AK30" s="9">
        <f>'a27'!BB29</f>
        <v>0.99056964278724013</v>
      </c>
      <c r="AL30" s="6">
        <f>'a27'!BC29</f>
        <v>55.8</v>
      </c>
      <c r="AM30" s="9">
        <f>'a27'!BD29</f>
        <v>0.36479999999999996</v>
      </c>
      <c r="AN30" s="9">
        <f t="shared" si="18"/>
        <v>20.163877157434211</v>
      </c>
      <c r="AO30" s="9">
        <f t="shared" si="29"/>
        <v>0.35490450961713538</v>
      </c>
      <c r="AP30" s="9">
        <f>'a27'!BI29</f>
        <v>0.95962952109327604</v>
      </c>
      <c r="AQ30" s="6">
        <f>'a27'!BJ29</f>
        <v>55.7</v>
      </c>
      <c r="AR30" s="9">
        <f>'a27'!BK29</f>
        <v>0.38740000000000002</v>
      </c>
      <c r="AS30" s="9">
        <f t="shared" si="19"/>
        <v>20.707058539464509</v>
      </c>
      <c r="AT30" s="9">
        <f t="shared" si="30"/>
        <v>0.33657245782953282</v>
      </c>
      <c r="AU30" s="9">
        <f>'a27'!BP29</f>
        <v>1.2846368872296117</v>
      </c>
      <c r="AV30" s="6">
        <f>'a27'!BQ29</f>
        <v>52.6</v>
      </c>
      <c r="AW30" s="9">
        <f>'a27'!BR29</f>
        <v>0.27050000000000002</v>
      </c>
      <c r="AX30" s="9">
        <f t="shared" si="20"/>
        <v>18.278199022569083</v>
      </c>
      <c r="AY30" s="9">
        <f t="shared" si="31"/>
        <v>0.41854503627489387</v>
      </c>
      <c r="AZ30" s="9">
        <f>'a27'!BW29</f>
        <v>1.1936332693090006</v>
      </c>
      <c r="BA30" s="6">
        <f>'a27'!BX29</f>
        <v>45.9</v>
      </c>
      <c r="BB30" s="9">
        <f>'a27'!BY29</f>
        <v>0.27649999999999997</v>
      </c>
      <c r="BC30" s="9">
        <f t="shared" si="21"/>
        <v>15.148817592444782</v>
      </c>
      <c r="BD30" s="9">
        <f t="shared" si="32"/>
        <v>0.52415981678480561</v>
      </c>
    </row>
    <row r="31" spans="1:56">
      <c r="A31" s="1">
        <v>1993</v>
      </c>
      <c r="B31" s="9">
        <f>'a27'!E30</f>
        <v>1.1088265504893056</v>
      </c>
      <c r="C31" s="6">
        <f>'a27'!F30</f>
        <v>45.2</v>
      </c>
      <c r="D31" s="9">
        <f>'a27'!G30</f>
        <v>0.2702</v>
      </c>
      <c r="E31" s="9">
        <f t="shared" si="11"/>
        <v>13.542143014187909</v>
      </c>
      <c r="F31" s="9">
        <f t="shared" si="22"/>
        <v>0.57838413770010999</v>
      </c>
      <c r="G31" s="9">
        <f>'a27'!L30</f>
        <v>0.65239122428578944</v>
      </c>
      <c r="H31" s="6">
        <f>'a27'!M30</f>
        <v>63.6</v>
      </c>
      <c r="I31" s="9">
        <f>'a27'!N30</f>
        <v>0.36630000000000001</v>
      </c>
      <c r="J31" s="9">
        <f t="shared" si="12"/>
        <v>15.198549586994265</v>
      </c>
      <c r="K31" s="9">
        <f t="shared" si="23"/>
        <v>0.5224813912537718</v>
      </c>
      <c r="L31" s="9">
        <f>'a27'!S30</f>
        <v>0.71014062035632164</v>
      </c>
      <c r="M31" s="6">
        <f>'a27'!T30</f>
        <v>34.299999999999997</v>
      </c>
      <c r="N31" s="9">
        <f>'a27'!U30</f>
        <v>0.28360000000000002</v>
      </c>
      <c r="O31" s="9">
        <f t="shared" si="13"/>
        <v>6.9078786817037114</v>
      </c>
      <c r="P31" s="9">
        <f t="shared" si="24"/>
        <v>0.80228665229137963</v>
      </c>
      <c r="Q31" s="9">
        <f>'a27'!Z30</f>
        <v>1.0425945509515431</v>
      </c>
      <c r="R31" s="6">
        <f>'a27'!AA30</f>
        <v>68.2</v>
      </c>
      <c r="S31" s="9">
        <f>'a27'!AC30</f>
        <v>0.19518840000000001</v>
      </c>
      <c r="T31" s="9">
        <f t="shared" si="14"/>
        <v>13.878861105378403</v>
      </c>
      <c r="U31" s="9">
        <f t="shared" si="25"/>
        <v>0.56702010040108775</v>
      </c>
      <c r="V31" s="9">
        <f>'a27'!AG30</f>
        <v>0.85583953275211555</v>
      </c>
      <c r="W31" s="6">
        <f>'a27'!AH30</f>
        <v>67.900000000000006</v>
      </c>
      <c r="X31" s="9">
        <f>'a27'!AI30</f>
        <v>0.3362</v>
      </c>
      <c r="Y31" s="9">
        <f t="shared" si="15"/>
        <v>19.537087736874643</v>
      </c>
      <c r="Z31" s="9">
        <f t="shared" si="26"/>
        <v>0.37605828347195885</v>
      </c>
      <c r="AA31" s="9">
        <f>'a27'!AN30</f>
        <v>1.1311070547783262</v>
      </c>
      <c r="AB31" s="6">
        <f>'a27'!AO30</f>
        <v>52.4</v>
      </c>
      <c r="AC31" s="9">
        <f>'a27'!AP30</f>
        <v>0.28570000000000001</v>
      </c>
      <c r="AD31" s="9">
        <f t="shared" si="16"/>
        <v>16.933441762828792</v>
      </c>
      <c r="AE31" s="9">
        <f t="shared" si="27"/>
        <v>0.4639298019219949</v>
      </c>
      <c r="AF31" s="9">
        <f>'a27'!AU30</f>
        <v>1.088926689686222</v>
      </c>
      <c r="AG31" s="6">
        <f>'a27'!AV30</f>
        <v>37.4</v>
      </c>
      <c r="AH31" s="9">
        <f>'a27'!AW30</f>
        <v>0.23670000000000002</v>
      </c>
      <c r="AI31" s="9">
        <f t="shared" si="17"/>
        <v>9.6398106345824566</v>
      </c>
      <c r="AJ31" s="9">
        <f t="shared" si="28"/>
        <v>0.71008555759777348</v>
      </c>
      <c r="AK31" s="9">
        <f>'a27'!BB30</f>
        <v>0.9627412437455326</v>
      </c>
      <c r="AL31" s="6">
        <f>'a27'!BC30</f>
        <v>51.3</v>
      </c>
      <c r="AM31" s="9">
        <f>'a27'!BD30</f>
        <v>0.2797</v>
      </c>
      <c r="AN31" s="9">
        <f t="shared" si="18"/>
        <v>13.813998637419585</v>
      </c>
      <c r="AO31" s="9">
        <f t="shared" si="29"/>
        <v>0.56920917050000808</v>
      </c>
      <c r="AP31" s="9">
        <f>'a27'!BI30</f>
        <v>0.92589912289770449</v>
      </c>
      <c r="AQ31" s="6">
        <f>'a27'!BJ30</f>
        <v>58.4</v>
      </c>
      <c r="AR31" s="9">
        <f>'a27'!BK30</f>
        <v>0.33189999999999997</v>
      </c>
      <c r="AS31" s="9">
        <f t="shared" si="19"/>
        <v>17.946665663161287</v>
      </c>
      <c r="AT31" s="9">
        <f t="shared" si="30"/>
        <v>0.4297340919293135</v>
      </c>
      <c r="AU31" s="9">
        <f>'a27'!BP30</f>
        <v>1.3296925819304166</v>
      </c>
      <c r="AV31" s="6">
        <f>'a27'!BQ30</f>
        <v>40</v>
      </c>
      <c r="AW31" s="9">
        <f>'a27'!BR30</f>
        <v>0.2525</v>
      </c>
      <c r="AX31" s="9">
        <f t="shared" si="20"/>
        <v>13.429895077497207</v>
      </c>
      <c r="AY31" s="9">
        <f t="shared" si="31"/>
        <v>0.58217243946548736</v>
      </c>
      <c r="AZ31" s="9">
        <f>'a27'!BW30</f>
        <v>1.217654139929025</v>
      </c>
      <c r="BA31" s="6">
        <f>'a27'!BX30</f>
        <v>42.2</v>
      </c>
      <c r="BB31" s="9">
        <f>'a27'!BY30</f>
        <v>0.26739999999999997</v>
      </c>
      <c r="BC31" s="9">
        <f t="shared" si="21"/>
        <v>13.740350258118298</v>
      </c>
      <c r="BD31" s="9">
        <f t="shared" si="32"/>
        <v>0.57169475993309526</v>
      </c>
    </row>
    <row r="32" spans="1:56">
      <c r="A32" s="1">
        <v>1994</v>
      </c>
      <c r="B32" s="9">
        <f>'a27'!E31</f>
        <v>1.1092924477688215</v>
      </c>
      <c r="C32" s="6">
        <f>'a27'!F31</f>
        <v>42.8</v>
      </c>
      <c r="D32" s="9">
        <f>'a27'!G31</f>
        <v>0.27550000000000002</v>
      </c>
      <c r="E32" s="9">
        <f t="shared" si="11"/>
        <v>13.080110968621282</v>
      </c>
      <c r="F32" s="9">
        <f t="shared" si="22"/>
        <v>0.59397744716738288</v>
      </c>
      <c r="G32" s="9">
        <f>'a27'!L31</f>
        <v>0.65576996742236016</v>
      </c>
      <c r="H32" s="6">
        <f>'a27'!M31</f>
        <v>65.400000000000006</v>
      </c>
      <c r="I32" s="9">
        <f>'a27'!N31</f>
        <v>0.31159999999999999</v>
      </c>
      <c r="J32" s="9">
        <f t="shared" si="12"/>
        <v>13.363700088912006</v>
      </c>
      <c r="K32" s="9">
        <f t="shared" si="23"/>
        <v>0.58440648135088458</v>
      </c>
      <c r="L32" s="9">
        <f>'a27'!S31</f>
        <v>0.77203317572281216</v>
      </c>
      <c r="M32" s="6">
        <f>'a27'!T31</f>
        <v>41.5</v>
      </c>
      <c r="N32" s="9">
        <f>'a27'!U31</f>
        <v>0.24239999999999998</v>
      </c>
      <c r="O32" s="9">
        <f t="shared" si="13"/>
        <v>7.7663449345012001</v>
      </c>
      <c r="P32" s="9">
        <f t="shared" si="24"/>
        <v>0.77331392177294866</v>
      </c>
      <c r="Q32" s="9">
        <f>'a27'!Z31</f>
        <v>1.0012000385413837</v>
      </c>
      <c r="R32" s="6">
        <f>'a27'!AA31</f>
        <v>64.599999999999994</v>
      </c>
      <c r="S32" s="9">
        <f>'a27'!AC31</f>
        <v>0.18953639999999997</v>
      </c>
      <c r="T32" s="9">
        <f t="shared" si="14"/>
        <v>12.258744773630681</v>
      </c>
      <c r="U32" s="9">
        <f t="shared" si="25"/>
        <v>0.62169807258144361</v>
      </c>
      <c r="V32" s="9">
        <f>'a27'!AG31</f>
        <v>0.83313654683474447</v>
      </c>
      <c r="W32" s="6">
        <f>'a27'!AH31</f>
        <v>61.2</v>
      </c>
      <c r="X32" s="9">
        <f>'a27'!AI31</f>
        <v>0.37159999999999999</v>
      </c>
      <c r="Y32" s="9">
        <f t="shared" si="15"/>
        <v>18.947124697192013</v>
      </c>
      <c r="Z32" s="9">
        <f t="shared" si="26"/>
        <v>0.39596918865764158</v>
      </c>
      <c r="AA32" s="9">
        <f>'a27'!AN31</f>
        <v>1.0482865255145946</v>
      </c>
      <c r="AB32" s="6">
        <f>'a27'!AO31</f>
        <v>53.3</v>
      </c>
      <c r="AC32" s="9">
        <f>'a27'!AP31</f>
        <v>0.26619999999999999</v>
      </c>
      <c r="AD32" s="9">
        <f t="shared" si="16"/>
        <v>14.873571435802802</v>
      </c>
      <c r="AE32" s="9">
        <f t="shared" si="27"/>
        <v>0.53344921249096744</v>
      </c>
      <c r="AF32" s="9">
        <f>'a27'!AU31</f>
        <v>1.1469453218330141</v>
      </c>
      <c r="AG32" s="6">
        <f>'a27'!AV31</f>
        <v>30.1</v>
      </c>
      <c r="AH32" s="9">
        <f>'a27'!AW31</f>
        <v>0.2455</v>
      </c>
      <c r="AI32" s="9">
        <f t="shared" si="17"/>
        <v>8.47540980295115</v>
      </c>
      <c r="AJ32" s="9">
        <f t="shared" si="28"/>
        <v>0.74938340000026205</v>
      </c>
      <c r="AK32" s="9">
        <f>'a27'!BB31</f>
        <v>1.0207893831956358</v>
      </c>
      <c r="AL32" s="6">
        <f>'a27'!BC31</f>
        <v>57.8</v>
      </c>
      <c r="AM32" s="9">
        <f>'a27'!BD31</f>
        <v>0.31079999999999997</v>
      </c>
      <c r="AN32" s="9">
        <f t="shared" si="18"/>
        <v>18.337705469178363</v>
      </c>
      <c r="AO32" s="9">
        <f t="shared" si="29"/>
        <v>0.41653672874259212</v>
      </c>
      <c r="AP32" s="9">
        <f>'a27'!BI31</f>
        <v>0.97555315189868164</v>
      </c>
      <c r="AQ32" s="6">
        <f>'a27'!BJ31</f>
        <v>59.8</v>
      </c>
      <c r="AR32" s="9">
        <f>'a27'!BK31</f>
        <v>0.34460000000000002</v>
      </c>
      <c r="AS32" s="9">
        <f t="shared" si="19"/>
        <v>20.103301845428284</v>
      </c>
      <c r="AT32" s="9">
        <f t="shared" si="30"/>
        <v>0.35694889072716557</v>
      </c>
      <c r="AU32" s="9">
        <f>'a27'!BP31</f>
        <v>1.2471078433990175</v>
      </c>
      <c r="AV32" s="6">
        <f>'a27'!BQ31</f>
        <v>44.4</v>
      </c>
      <c r="AW32" s="9">
        <f>'a27'!BR31</f>
        <v>0.28949999999999998</v>
      </c>
      <c r="AX32" s="9">
        <f t="shared" si="20"/>
        <v>16.030074797482289</v>
      </c>
      <c r="AY32" s="9">
        <f t="shared" si="31"/>
        <v>0.49441790504887584</v>
      </c>
      <c r="AZ32" s="9">
        <f>'a27'!BW31</f>
        <v>1.2472504762932985</v>
      </c>
      <c r="BA32" s="6">
        <f>'a27'!BX31</f>
        <v>39.299999999999997</v>
      </c>
      <c r="BB32" s="9">
        <f>'a27'!BY31</f>
        <v>0.26819999999999999</v>
      </c>
      <c r="BC32" s="9">
        <f t="shared" si="21"/>
        <v>13.146344305255202</v>
      </c>
      <c r="BD32" s="9">
        <f t="shared" si="32"/>
        <v>0.59174211105792274</v>
      </c>
    </row>
    <row r="33" spans="1:56">
      <c r="A33" s="1">
        <v>1995</v>
      </c>
      <c r="B33" s="9">
        <f>'a27'!E32</f>
        <v>1.0838485334378707</v>
      </c>
      <c r="C33" s="6">
        <f>'a27'!F32</f>
        <v>45.3</v>
      </c>
      <c r="D33" s="9">
        <f>'a27'!G32</f>
        <v>0.28059999999999996</v>
      </c>
      <c r="E33" s="9">
        <f t="shared" si="11"/>
        <v>13.776993801264791</v>
      </c>
      <c r="F33" s="9">
        <f t="shared" si="22"/>
        <v>0.57045806192969184</v>
      </c>
      <c r="G33" s="9">
        <f>'a27'!L32</f>
        <v>0.69320419875618555</v>
      </c>
      <c r="H33" s="6">
        <f>'a27'!M32</f>
        <v>72.3</v>
      </c>
      <c r="I33" s="9">
        <f>'a27'!N32</f>
        <v>0.3453</v>
      </c>
      <c r="J33" s="9">
        <f t="shared" si="12"/>
        <v>17.305974530745935</v>
      </c>
      <c r="K33" s="9">
        <f t="shared" si="23"/>
        <v>0.45135704037315544</v>
      </c>
      <c r="L33" s="9">
        <f>'a27'!S32</f>
        <v>0.80001230788165967</v>
      </c>
      <c r="M33" s="6">
        <f>'a27'!T32</f>
        <v>40.9</v>
      </c>
      <c r="N33" s="9">
        <f>'a27'!U32</f>
        <v>0.24160000000000001</v>
      </c>
      <c r="O33" s="9">
        <f t="shared" si="13"/>
        <v>7.9052736195941478</v>
      </c>
      <c r="P33" s="9">
        <f t="shared" si="24"/>
        <v>0.7686251604601293</v>
      </c>
      <c r="Q33" s="9">
        <f>'a27'!Z32</f>
        <v>1.0049965061695132</v>
      </c>
      <c r="R33" s="6">
        <f>'a27'!AA32</f>
        <v>62.4</v>
      </c>
      <c r="S33" s="9">
        <f>'a27'!AC32</f>
        <v>0.19081919999999997</v>
      </c>
      <c r="T33" s="9">
        <f t="shared" si="14"/>
        <v>11.966612068947839</v>
      </c>
      <c r="U33" s="9">
        <f t="shared" si="25"/>
        <v>0.63155737934023004</v>
      </c>
      <c r="V33" s="9">
        <f>'a27'!AG32</f>
        <v>0.77012995943065388</v>
      </c>
      <c r="W33" s="6">
        <f>'a27'!AH32</f>
        <v>64.400000000000006</v>
      </c>
      <c r="X33" s="9">
        <f>'a27'!AI32</f>
        <v>0.31739999999999996</v>
      </c>
      <c r="Y33" s="9">
        <f t="shared" si="15"/>
        <v>15.741887643539846</v>
      </c>
      <c r="Z33" s="9">
        <f t="shared" si="26"/>
        <v>0.50414405179353727</v>
      </c>
      <c r="AA33" s="9">
        <f>'a27'!AN32</f>
        <v>1.1592575638489908</v>
      </c>
      <c r="AB33" s="6">
        <f>'a27'!AO32</f>
        <v>50.1</v>
      </c>
      <c r="AC33" s="9">
        <f>'a27'!AP32</f>
        <v>0.28649999999999998</v>
      </c>
      <c r="AD33" s="9">
        <f t="shared" si="16"/>
        <v>16.639577331341066</v>
      </c>
      <c r="AE33" s="9">
        <f t="shared" si="27"/>
        <v>0.47384755344070745</v>
      </c>
      <c r="AF33" s="9">
        <f>'a27'!AU32</f>
        <v>1.0862849310718681</v>
      </c>
      <c r="AG33" s="6">
        <f>'a27'!AV32</f>
        <v>41.3</v>
      </c>
      <c r="AH33" s="9">
        <f>'a27'!AW32</f>
        <v>0.23550000000000001</v>
      </c>
      <c r="AI33" s="9">
        <f t="shared" si="17"/>
        <v>10.565370182344649</v>
      </c>
      <c r="AJ33" s="9">
        <f t="shared" si="28"/>
        <v>0.67884846788261088</v>
      </c>
      <c r="AK33" s="9">
        <f>'a27'!BB32</f>
        <v>0.99353109934197592</v>
      </c>
      <c r="AL33" s="6">
        <f>'a27'!BC32</f>
        <v>51</v>
      </c>
      <c r="AM33" s="9">
        <f>'a27'!BD32</f>
        <v>0.26860000000000001</v>
      </c>
      <c r="AN33" s="9">
        <f t="shared" si="18"/>
        <v>13.609985117445992</v>
      </c>
      <c r="AO33" s="9">
        <f t="shared" si="29"/>
        <v>0.57609450666441731</v>
      </c>
      <c r="AP33" s="9">
        <f>'a27'!BI32</f>
        <v>0.96137708980380854</v>
      </c>
      <c r="AQ33" s="6">
        <f>'a27'!BJ32</f>
        <v>60</v>
      </c>
      <c r="AR33" s="9">
        <f>'a27'!BK32</f>
        <v>0.36299999999999999</v>
      </c>
      <c r="AS33" s="9">
        <f t="shared" si="19"/>
        <v>20.938793015926951</v>
      </c>
      <c r="AT33" s="9">
        <f t="shared" si="30"/>
        <v>0.32875155570729203</v>
      </c>
      <c r="AU33" s="9">
        <f>'a27'!BP32</f>
        <v>1.1460388965511001</v>
      </c>
      <c r="AV33" s="6">
        <f>'a27'!BQ32</f>
        <v>43.7</v>
      </c>
      <c r="AW33" s="9">
        <f>'a27'!BR32</f>
        <v>0.33909999999999996</v>
      </c>
      <c r="AX33" s="9">
        <f t="shared" si="20"/>
        <v>16.982772215154888</v>
      </c>
      <c r="AY33" s="9">
        <f t="shared" si="31"/>
        <v>0.46226492820454962</v>
      </c>
      <c r="AZ33" s="9">
        <f>'a27'!BW32</f>
        <v>1.1037859313919831</v>
      </c>
      <c r="BA33" s="6">
        <f>'a27'!BX32</f>
        <v>33.299999999999997</v>
      </c>
      <c r="BB33" s="9">
        <f>'a27'!BY32</f>
        <v>0.30109999999999998</v>
      </c>
      <c r="BC33" s="9">
        <f t="shared" si="21"/>
        <v>11.067253133272798</v>
      </c>
      <c r="BD33" s="9">
        <f t="shared" si="32"/>
        <v>0.6619102138258538</v>
      </c>
    </row>
    <row r="34" spans="1:56">
      <c r="A34" s="1">
        <v>1996</v>
      </c>
      <c r="B34" s="9">
        <f>'a27'!E33</f>
        <v>0.99169747293084476</v>
      </c>
      <c r="C34" s="6">
        <f>'a27'!F33</f>
        <v>52.3</v>
      </c>
      <c r="D34" s="9">
        <f>'a27'!G33</f>
        <v>0.27850000000000003</v>
      </c>
      <c r="E34" s="9">
        <f t="shared" si="11"/>
        <v>14.444619126847867</v>
      </c>
      <c r="F34" s="9">
        <f t="shared" si="22"/>
        <v>0.54792610032681566</v>
      </c>
      <c r="G34" s="9">
        <f>'a27'!L33</f>
        <v>0.7522211814130404</v>
      </c>
      <c r="H34" s="6">
        <f>'a27'!M33</f>
        <v>68.599999999999994</v>
      </c>
      <c r="I34" s="9">
        <f>'a27'!N33</f>
        <v>0.34039999999999998</v>
      </c>
      <c r="J34" s="9">
        <f t="shared" si="12"/>
        <v>17.565447784495724</v>
      </c>
      <c r="K34" s="9">
        <f t="shared" si="23"/>
        <v>0.44259997085162767</v>
      </c>
      <c r="L34" s="9">
        <f>'a27'!S33</f>
        <v>0.72273725298853375</v>
      </c>
      <c r="M34" s="6">
        <f>'a27'!T33</f>
        <v>42.4</v>
      </c>
      <c r="N34" s="9">
        <f>'a27'!U33</f>
        <v>0.30020000000000002</v>
      </c>
      <c r="O34" s="9">
        <f t="shared" si="13"/>
        <v>9.1993466699194926</v>
      </c>
      <c r="P34" s="9">
        <f t="shared" si="24"/>
        <v>0.72495095703505363</v>
      </c>
      <c r="Q34" s="9">
        <f>'a27'!Z33</f>
        <v>0.97531080371213441</v>
      </c>
      <c r="R34" s="6">
        <f>'a27'!AA33</f>
        <v>65</v>
      </c>
      <c r="S34" s="9">
        <f>'a27'!AC33</f>
        <v>0.19259499999999999</v>
      </c>
      <c r="T34" s="9">
        <f t="shared" si="14"/>
        <v>12.209598975661004</v>
      </c>
      <c r="U34" s="9">
        <f t="shared" si="25"/>
        <v>0.62335671432309459</v>
      </c>
      <c r="V34" s="9">
        <f>'a27'!AG33</f>
        <v>0.76382523678582337</v>
      </c>
      <c r="W34" s="6">
        <f>'a27'!AH33</f>
        <v>64.8</v>
      </c>
      <c r="X34" s="9">
        <f>'a27'!AI33</f>
        <v>0.31219999999999998</v>
      </c>
      <c r="Y34" s="9">
        <f t="shared" si="15"/>
        <v>15.452612282309804</v>
      </c>
      <c r="Z34" s="9">
        <f t="shared" si="26"/>
        <v>0.5139069248933571</v>
      </c>
      <c r="AA34" s="9">
        <f>'a27'!AN33</f>
        <v>1.042275340456144</v>
      </c>
      <c r="AB34" s="6">
        <f>'a27'!AO33</f>
        <v>52.3</v>
      </c>
      <c r="AC34" s="9">
        <f>'a27'!AP33</f>
        <v>0.26929999999999998</v>
      </c>
      <c r="AD34" s="9">
        <f t="shared" si="16"/>
        <v>14.679812382367109</v>
      </c>
      <c r="AE34" s="9">
        <f t="shared" si="27"/>
        <v>0.53998846644813248</v>
      </c>
      <c r="AF34" s="9">
        <f>'a27'!AU33</f>
        <v>0.9186803662024704</v>
      </c>
      <c r="AG34" s="6">
        <f>'a27'!AV33</f>
        <v>50.4</v>
      </c>
      <c r="AH34" s="9">
        <f>'a27'!AW33</f>
        <v>0.26519999999999999</v>
      </c>
      <c r="AI34" s="9">
        <f t="shared" si="17"/>
        <v>12.279155269091515</v>
      </c>
      <c r="AJ34" s="9">
        <f t="shared" si="28"/>
        <v>0.62100923037849465</v>
      </c>
      <c r="AK34" s="9">
        <f>'a27'!BB33</f>
        <v>0.96515361626708396</v>
      </c>
      <c r="AL34" s="6">
        <f>'a27'!BC33</f>
        <v>57.4</v>
      </c>
      <c r="AM34" s="9">
        <f>'a27'!BD33</f>
        <v>0.30909999999999999</v>
      </c>
      <c r="AN34" s="9">
        <f t="shared" si="18"/>
        <v>17.124083612040131</v>
      </c>
      <c r="AO34" s="9">
        <f t="shared" si="29"/>
        <v>0.45749575177181567</v>
      </c>
      <c r="AP34" s="9">
        <f>'a27'!BI33</f>
        <v>0.9184521428823067</v>
      </c>
      <c r="AQ34" s="6">
        <f>'a27'!BJ33</f>
        <v>66.3</v>
      </c>
      <c r="AR34" s="9">
        <f>'a27'!BK33</f>
        <v>0.34090000000000004</v>
      </c>
      <c r="AS34" s="9">
        <f t="shared" si="19"/>
        <v>20.758552244218745</v>
      </c>
      <c r="AT34" s="9">
        <f t="shared" si="30"/>
        <v>0.33483457561648322</v>
      </c>
      <c r="AU34" s="9">
        <f>'a27'!BP33</f>
        <v>1.1175736937827243</v>
      </c>
      <c r="AV34" s="6">
        <f>'a27'!BQ33</f>
        <v>49.3</v>
      </c>
      <c r="AW34" s="9">
        <f>'a27'!BR33</f>
        <v>0.30879999999999996</v>
      </c>
      <c r="AX34" s="9">
        <f t="shared" si="20"/>
        <v>17.013763102357188</v>
      </c>
      <c r="AY34" s="9">
        <f t="shared" si="31"/>
        <v>0.46121900401065918</v>
      </c>
      <c r="AZ34" s="9">
        <f>'a27'!BW33</f>
        <v>1.1385855441008617</v>
      </c>
      <c r="BA34" s="6">
        <f>'a27'!BX33</f>
        <v>46.9</v>
      </c>
      <c r="BB34" s="9">
        <f>'a27'!BY33</f>
        <v>0.25290000000000001</v>
      </c>
      <c r="BC34" s="9">
        <f t="shared" si="21"/>
        <v>13.504774524435762</v>
      </c>
      <c r="BD34" s="9">
        <f t="shared" si="32"/>
        <v>0.57964530222456467</v>
      </c>
    </row>
    <row r="35" spans="1:56">
      <c r="A35" s="1">
        <v>1997</v>
      </c>
      <c r="B35" s="9">
        <f>'a27'!E34</f>
        <v>0.92372853716579451</v>
      </c>
      <c r="C35" s="6">
        <f>'a27'!F34</f>
        <v>47.6</v>
      </c>
      <c r="D35" s="9">
        <f>'a27'!G34</f>
        <v>0.29580000000000001</v>
      </c>
      <c r="E35" s="9">
        <f t="shared" si="11"/>
        <v>13.00617170157736</v>
      </c>
      <c r="F35" s="9">
        <f t="shared" si="22"/>
        <v>0.59647285389049265</v>
      </c>
      <c r="G35" s="9">
        <f>'a27'!L34</f>
        <v>0.58685152727753009</v>
      </c>
      <c r="H35" s="6">
        <f>'a27'!M34</f>
        <v>64.7</v>
      </c>
      <c r="I35" s="9">
        <f>'a27'!N34</f>
        <v>0.34649999999999997</v>
      </c>
      <c r="J35" s="9">
        <f t="shared" si="12"/>
        <v>13.156360306847672</v>
      </c>
      <c r="K35" s="9">
        <f t="shared" si="23"/>
        <v>0.59140407690216523</v>
      </c>
      <c r="L35" s="9">
        <f>'a27'!S34</f>
        <v>0.73481606918761999</v>
      </c>
      <c r="M35" s="6">
        <f>'a27'!T34</f>
        <v>53</v>
      </c>
      <c r="N35" s="9">
        <f>'a27'!U34</f>
        <v>0.28899999999999998</v>
      </c>
      <c r="O35" s="9">
        <f t="shared" si="13"/>
        <v>11.255177731746775</v>
      </c>
      <c r="P35" s="9">
        <f t="shared" si="24"/>
        <v>0.6555678692879896</v>
      </c>
      <c r="Q35" s="9">
        <f>'a27'!Z34</f>
        <v>0.8628904873177291</v>
      </c>
      <c r="R35" s="6">
        <f>'a27'!AA34</f>
        <v>72.2</v>
      </c>
      <c r="S35" s="9">
        <f>'a27'!AC34</f>
        <v>0.23024580000000003</v>
      </c>
      <c r="T35" s="9">
        <f t="shared" si="14"/>
        <v>14.344472942782922</v>
      </c>
      <c r="U35" s="9">
        <f t="shared" si="25"/>
        <v>0.55130597506726997</v>
      </c>
      <c r="V35" s="9">
        <f>'a27'!AG34</f>
        <v>0.7199733615100038</v>
      </c>
      <c r="W35" s="6">
        <f>'a27'!AH34</f>
        <v>59.5</v>
      </c>
      <c r="X35" s="9">
        <f>'a27'!AI34</f>
        <v>0.31679999999999997</v>
      </c>
      <c r="Y35" s="9">
        <f t="shared" si="15"/>
        <v>13.571209875118967</v>
      </c>
      <c r="Z35" s="9">
        <f t="shared" si="26"/>
        <v>0.57740314825989858</v>
      </c>
      <c r="AA35" s="9">
        <f>'a27'!AN34</f>
        <v>1.00270554947438</v>
      </c>
      <c r="AB35" s="6">
        <f>'a27'!AO34</f>
        <v>53.3</v>
      </c>
      <c r="AC35" s="9">
        <f>'a27'!AP34</f>
        <v>0.29010000000000002</v>
      </c>
      <c r="AD35" s="9">
        <f t="shared" si="16"/>
        <v>15.504164098804189</v>
      </c>
      <c r="AE35" s="9">
        <f t="shared" si="27"/>
        <v>0.51216708144329692</v>
      </c>
      <c r="AF35" s="9">
        <f>'a27'!AU34</f>
        <v>0.85353567644752304</v>
      </c>
      <c r="AG35" s="6">
        <f>'a27'!AV34</f>
        <v>43.3</v>
      </c>
      <c r="AH35" s="9">
        <f>'a27'!AW34</f>
        <v>0.28649999999999998</v>
      </c>
      <c r="AI35" s="9">
        <f t="shared" si="17"/>
        <v>10.588494157385924</v>
      </c>
      <c r="AJ35" s="9">
        <f t="shared" si="28"/>
        <v>0.67806804734167214</v>
      </c>
      <c r="AK35" s="9">
        <f>'a27'!BB34</f>
        <v>0.97228344006844869</v>
      </c>
      <c r="AL35" s="6">
        <f>'a27'!BC34</f>
        <v>54.8</v>
      </c>
      <c r="AM35" s="9">
        <f>'a27'!BD34</f>
        <v>0.28360000000000002</v>
      </c>
      <c r="AN35" s="9">
        <f t="shared" si="18"/>
        <v>15.11052918146698</v>
      </c>
      <c r="AO35" s="9">
        <f t="shared" si="29"/>
        <v>0.52545202810892444</v>
      </c>
      <c r="AP35" s="9">
        <f>'a27'!BI34</f>
        <v>0.91172109132765744</v>
      </c>
      <c r="AQ35" s="6">
        <f>'a27'!BJ34</f>
        <v>52.9</v>
      </c>
      <c r="AR35" s="9">
        <f>'a27'!BK34</f>
        <v>0.31340000000000001</v>
      </c>
      <c r="AS35" s="9">
        <f t="shared" si="19"/>
        <v>15.115296332168446</v>
      </c>
      <c r="AT35" s="9">
        <f t="shared" si="30"/>
        <v>0.52529113957991791</v>
      </c>
      <c r="AU35" s="9">
        <f>'a27'!BP34</f>
        <v>1.0476731376461692</v>
      </c>
      <c r="AV35" s="6">
        <f>'a27'!BQ34</f>
        <v>39.200000000000003</v>
      </c>
      <c r="AW35" s="9">
        <f>'a27'!BR34</f>
        <v>0.36719999999999997</v>
      </c>
      <c r="AX35" s="9">
        <f t="shared" si="20"/>
        <v>15.080458584831995</v>
      </c>
      <c r="AY35" s="9">
        <f t="shared" si="31"/>
        <v>0.52646689303808714</v>
      </c>
      <c r="AZ35" s="9">
        <f>'a27'!BW34</f>
        <v>0.99481652553246092</v>
      </c>
      <c r="BA35" s="6">
        <f>'a27'!BX34</f>
        <v>39.700000000000003</v>
      </c>
      <c r="BB35" s="9">
        <f>'a27'!BY34</f>
        <v>0.2666</v>
      </c>
      <c r="BC35" s="9">
        <f t="shared" si="21"/>
        <v>10.529158002566078</v>
      </c>
      <c r="BD35" s="9">
        <f t="shared" si="32"/>
        <v>0.68007060762635796</v>
      </c>
    </row>
    <row r="36" spans="1:56">
      <c r="A36" s="1">
        <v>1998</v>
      </c>
      <c r="B36" s="9">
        <f>'a27'!E35</f>
        <v>0.93760116841868613</v>
      </c>
      <c r="C36" s="6">
        <f>'a27'!F35</f>
        <v>47.2</v>
      </c>
      <c r="D36" s="9">
        <f>'a27'!G35</f>
        <v>0.30030000000000001</v>
      </c>
      <c r="E36" s="9">
        <f t="shared" si="11"/>
        <v>13.289708977353406</v>
      </c>
      <c r="F36" s="9">
        <f t="shared" si="22"/>
        <v>0.58690363779583599</v>
      </c>
      <c r="G36" s="9">
        <f>'a27'!L35</f>
        <v>0.68102297731125783</v>
      </c>
      <c r="H36" s="6">
        <f>'a27'!M35</f>
        <v>66.599999999999994</v>
      </c>
      <c r="I36" s="9">
        <f>'a27'!N35</f>
        <v>0.29389999999999999</v>
      </c>
      <c r="J36" s="9">
        <f t="shared" si="12"/>
        <v>13.330166691916459</v>
      </c>
      <c r="K36" s="9">
        <f t="shared" si="23"/>
        <v>0.58553821375312365</v>
      </c>
      <c r="L36" s="9">
        <f>'a27'!S35</f>
        <v>0.84018429849128196</v>
      </c>
      <c r="M36" s="6">
        <f>'a27'!T35</f>
        <v>47.2</v>
      </c>
      <c r="N36" s="9">
        <f>'a27'!U35</f>
        <v>0.23749999999999999</v>
      </c>
      <c r="O36" s="9">
        <f t="shared" si="13"/>
        <v>9.4184659860872717</v>
      </c>
      <c r="P36" s="9">
        <f t="shared" si="24"/>
        <v>0.71755580914423767</v>
      </c>
      <c r="Q36" s="9">
        <f>'a27'!Z35</f>
        <v>0.83765050516868933</v>
      </c>
      <c r="R36" s="6">
        <f>'a27'!AA35</f>
        <v>70.8</v>
      </c>
      <c r="S36" s="9">
        <f>'a27'!AC35</f>
        <v>0.23668439999999996</v>
      </c>
      <c r="T36" s="9">
        <f t="shared" si="14"/>
        <v>14.036723551568805</v>
      </c>
      <c r="U36" s="9">
        <f t="shared" si="25"/>
        <v>0.5616923358004986</v>
      </c>
      <c r="V36" s="9">
        <f>'a27'!AG35</f>
        <v>0.77104876765678121</v>
      </c>
      <c r="W36" s="6">
        <f>'a27'!AH35</f>
        <v>56.6</v>
      </c>
      <c r="X36" s="9">
        <f>'a27'!AI35</f>
        <v>0.3206</v>
      </c>
      <c r="Y36" s="9">
        <f t="shared" si="15"/>
        <v>13.991420095949247</v>
      </c>
      <c r="Z36" s="9">
        <f t="shared" si="26"/>
        <v>0.56322130075042165</v>
      </c>
      <c r="AA36" s="9">
        <f>'a27'!AN35</f>
        <v>0.96664320916859603</v>
      </c>
      <c r="AB36" s="6">
        <f>'a27'!AO35</f>
        <v>46.9</v>
      </c>
      <c r="AC36" s="9">
        <f>'a27'!AP35</f>
        <v>0.28460000000000002</v>
      </c>
      <c r="AD36" s="9">
        <f t="shared" si="16"/>
        <v>12.902502228748038</v>
      </c>
      <c r="AE36" s="9">
        <f t="shared" si="27"/>
        <v>0.5999716375520332</v>
      </c>
      <c r="AF36" s="9">
        <f>'a27'!AU35</f>
        <v>0.89578059875786087</v>
      </c>
      <c r="AG36" s="6">
        <f>'a27'!AV35</f>
        <v>46</v>
      </c>
      <c r="AH36" s="9">
        <f>'a27'!AW35</f>
        <v>0.29189999999999999</v>
      </c>
      <c r="AI36" s="9">
        <f t="shared" si="17"/>
        <v>12.028004411761302</v>
      </c>
      <c r="AJ36" s="9">
        <f t="shared" si="28"/>
        <v>0.62948542392155948</v>
      </c>
      <c r="AK36" s="9">
        <f>'a27'!BB35</f>
        <v>0.90444466246221455</v>
      </c>
      <c r="AL36" s="6">
        <f>'a27'!BC35</f>
        <v>56.9</v>
      </c>
      <c r="AM36" s="9">
        <f>'a27'!BD35</f>
        <v>0.24579999999999999</v>
      </c>
      <c r="AN36" s="9">
        <f t="shared" si="18"/>
        <v>12.649581138089781</v>
      </c>
      <c r="AO36" s="9">
        <f t="shared" si="29"/>
        <v>0.608507575427506</v>
      </c>
      <c r="AP36" s="9">
        <f>'a27'!BI35</f>
        <v>0.93177622435644791</v>
      </c>
      <c r="AQ36" s="6">
        <f>'a27'!BJ35</f>
        <v>45.9</v>
      </c>
      <c r="AR36" s="9">
        <f>'a27'!BK35</f>
        <v>0.23</v>
      </c>
      <c r="AS36" s="9">
        <f t="shared" si="19"/>
        <v>9.8367616005310214</v>
      </c>
      <c r="AT36" s="9">
        <f t="shared" si="30"/>
        <v>0.70343857847287772</v>
      </c>
      <c r="AU36" s="9">
        <f>'a27'!BP35</f>
        <v>1.0915403487719104</v>
      </c>
      <c r="AV36" s="6">
        <f>'a27'!BQ35</f>
        <v>36.799999999999997</v>
      </c>
      <c r="AW36" s="9">
        <f>'a27'!BR35</f>
        <v>0.31840000000000002</v>
      </c>
      <c r="AX36" s="9">
        <f t="shared" si="20"/>
        <v>12.789709251402327</v>
      </c>
      <c r="AY36" s="9">
        <f t="shared" si="31"/>
        <v>0.60377833411856641</v>
      </c>
      <c r="AZ36" s="9">
        <f>'a27'!BW35</f>
        <v>0.99977363423871157</v>
      </c>
      <c r="BA36" s="6">
        <f>'a27'!BX35</f>
        <v>46.1</v>
      </c>
      <c r="BB36" s="9">
        <f>'a27'!BY35</f>
        <v>0.35930000000000001</v>
      </c>
      <c r="BC36" s="9">
        <f t="shared" si="21"/>
        <v>16.559980538648773</v>
      </c>
      <c r="BD36" s="9">
        <f t="shared" si="32"/>
        <v>0.47653389832297882</v>
      </c>
    </row>
    <row r="37" spans="1:56">
      <c r="A37" s="1">
        <v>1999</v>
      </c>
      <c r="B37" s="9">
        <f>'a27'!E36</f>
        <v>0.9532809649445747</v>
      </c>
      <c r="C37" s="6">
        <f>'a27'!F36</f>
        <v>42.7</v>
      </c>
      <c r="D37" s="9">
        <f>'a27'!G36</f>
        <v>0.29559999999999997</v>
      </c>
      <c r="E37" s="9">
        <f t="shared" si="11"/>
        <v>12.032426733246215</v>
      </c>
      <c r="F37" s="9">
        <f t="shared" si="22"/>
        <v>0.62933617317555668</v>
      </c>
      <c r="G37" s="9">
        <f>'a27'!L36</f>
        <v>0.64652673083613588</v>
      </c>
      <c r="H37" s="6">
        <f>'a27'!M36</f>
        <v>70.2</v>
      </c>
      <c r="I37" s="9">
        <f>'a27'!N36</f>
        <v>0.29870000000000002</v>
      </c>
      <c r="J37" s="9">
        <f t="shared" si="12"/>
        <v>13.556850921952918</v>
      </c>
      <c r="K37" s="9">
        <f t="shared" si="23"/>
        <v>0.57788775447388896</v>
      </c>
      <c r="L37" s="9">
        <f>'a27'!S36</f>
        <v>0.86939635212046062</v>
      </c>
      <c r="M37" s="6">
        <f>'a27'!T36</f>
        <v>48.3</v>
      </c>
      <c r="N37" s="9">
        <f>'a27'!U36</f>
        <v>0.23269999999999999</v>
      </c>
      <c r="O37" s="9">
        <f t="shared" si="13"/>
        <v>9.771502053986227</v>
      </c>
      <c r="P37" s="9">
        <f t="shared" si="24"/>
        <v>0.70564104974025244</v>
      </c>
      <c r="Q37" s="9">
        <f>'a27'!Z36</f>
        <v>0.84151412249327628</v>
      </c>
      <c r="R37" s="6">
        <f>'a27'!AA36</f>
        <v>47.5</v>
      </c>
      <c r="S37" s="9">
        <f>'a27'!AC36</f>
        <v>0.12383249999999998</v>
      </c>
      <c r="T37" s="9">
        <f t="shared" si="14"/>
        <v>4.9498228847483094</v>
      </c>
      <c r="U37" s="9">
        <f t="shared" si="25"/>
        <v>0.86836988242462376</v>
      </c>
      <c r="V37" s="9">
        <f>'a27'!AG36</f>
        <v>0.8717381551078327</v>
      </c>
      <c r="W37" s="6">
        <f>'a27'!AH36</f>
        <v>65.400000000000006</v>
      </c>
      <c r="X37" s="9">
        <f>'a27'!AI36</f>
        <v>0.29039999999999999</v>
      </c>
      <c r="Y37" s="9">
        <f t="shared" si="15"/>
        <v>16.556190519912779</v>
      </c>
      <c r="Z37" s="9">
        <f t="shared" si="26"/>
        <v>0.47666180922354123</v>
      </c>
      <c r="AA37" s="9">
        <f>'a27'!AN36</f>
        <v>0.97465659756500711</v>
      </c>
      <c r="AB37" s="6">
        <f>'a27'!AO36</f>
        <v>46.7</v>
      </c>
      <c r="AC37" s="9">
        <f>'a27'!AP36</f>
        <v>0.28399999999999997</v>
      </c>
      <c r="AD37" s="9">
        <f t="shared" si="16"/>
        <v>12.926675522185176</v>
      </c>
      <c r="AE37" s="9">
        <f t="shared" si="27"/>
        <v>0.59915580313313233</v>
      </c>
      <c r="AF37" s="9">
        <f>'a27'!AU36</f>
        <v>0.9166108307505928</v>
      </c>
      <c r="AG37" s="6">
        <f>'a27'!AV36</f>
        <v>37.4</v>
      </c>
      <c r="AH37" s="9">
        <f>'a27'!AW36</f>
        <v>0.29909999999999998</v>
      </c>
      <c r="AI37" s="9">
        <f t="shared" si="17"/>
        <v>10.253520400458584</v>
      </c>
      <c r="AJ37" s="9">
        <f t="shared" si="28"/>
        <v>0.6893732143864757</v>
      </c>
      <c r="AK37" s="9">
        <f>'a27'!BB36</f>
        <v>0.94997488402328401</v>
      </c>
      <c r="AL37" s="6">
        <f>'a27'!BC36</f>
        <v>57.8</v>
      </c>
      <c r="AM37" s="9">
        <f>'a27'!BD36</f>
        <v>0.30990000000000001</v>
      </c>
      <c r="AN37" s="9">
        <f t="shared" si="18"/>
        <v>17.016159117099548</v>
      </c>
      <c r="AO37" s="9">
        <f t="shared" si="29"/>
        <v>0.46113813992401353</v>
      </c>
      <c r="AP37" s="9">
        <f>'a27'!BI36</f>
        <v>0.92979371630692764</v>
      </c>
      <c r="AQ37" s="6">
        <f>'a27'!BJ36</f>
        <v>41.1</v>
      </c>
      <c r="AR37" s="9">
        <f>'a27'!BK36</f>
        <v>0.33979999999999999</v>
      </c>
      <c r="AS37" s="9">
        <f t="shared" si="19"/>
        <v>12.985294487324964</v>
      </c>
      <c r="AT37" s="9">
        <f t="shared" si="30"/>
        <v>0.59717744757782654</v>
      </c>
      <c r="AU37" s="9">
        <f>'a27'!BP36</f>
        <v>1.1070831826931533</v>
      </c>
      <c r="AV37" s="6">
        <f>'a27'!BQ36</f>
        <v>30.5</v>
      </c>
      <c r="AW37" s="9">
        <f>'a27'!BR36</f>
        <v>0.30809999999999998</v>
      </c>
      <c r="AX37" s="9">
        <f t="shared" si="20"/>
        <v>10.403316021926695</v>
      </c>
      <c r="AY37" s="9">
        <f t="shared" si="31"/>
        <v>0.68431770037006134</v>
      </c>
      <c r="AZ37" s="9">
        <f>'a27'!BW36</f>
        <v>1.0040262107939639</v>
      </c>
      <c r="BA37" s="6">
        <f>'a27'!BX36</f>
        <v>46.5</v>
      </c>
      <c r="BB37" s="9">
        <f>'a27'!BY36</f>
        <v>0.29659999999999997</v>
      </c>
      <c r="BC37" s="9">
        <f t="shared" si="21"/>
        <v>13.84742909664927</v>
      </c>
      <c r="BD37" s="9">
        <f t="shared" si="32"/>
        <v>0.5680809121867515</v>
      </c>
    </row>
    <row r="38" spans="1:56">
      <c r="A38" s="1">
        <v>2000</v>
      </c>
      <c r="B38" s="9">
        <f>'a27'!E37</f>
        <v>0.94670738938491172</v>
      </c>
      <c r="C38" s="6">
        <f>'a27'!F37</f>
        <v>40.1</v>
      </c>
      <c r="D38" s="9">
        <f>'a27'!G37</f>
        <v>0.2898</v>
      </c>
      <c r="E38" s="9">
        <f t="shared" si="11"/>
        <v>11.001667637894272</v>
      </c>
      <c r="F38" s="9">
        <f t="shared" si="22"/>
        <v>0.66412368567442981</v>
      </c>
      <c r="G38" s="9">
        <f>'a27'!L37</f>
        <v>0.66417872445676285</v>
      </c>
      <c r="H38" s="6">
        <f>'a27'!M37</f>
        <v>65.3</v>
      </c>
      <c r="I38" s="9">
        <f>'a27'!N37</f>
        <v>0.29089999999999999</v>
      </c>
      <c r="J38" s="9">
        <f t="shared" si="12"/>
        <v>12.616586288674041</v>
      </c>
      <c r="K38" s="9">
        <f t="shared" si="23"/>
        <v>0.60962113216605385</v>
      </c>
      <c r="L38" s="9">
        <f>'a27'!S37</f>
        <v>0.80877761589010133</v>
      </c>
      <c r="M38" s="6">
        <f>'a27'!T37</f>
        <v>44.3</v>
      </c>
      <c r="N38" s="9">
        <f>'a27'!U37</f>
        <v>0.24969999999999998</v>
      </c>
      <c r="O38" s="9">
        <f t="shared" si="13"/>
        <v>8.9464634414676922</v>
      </c>
      <c r="P38" s="9">
        <f t="shared" si="24"/>
        <v>0.73348561708335391</v>
      </c>
      <c r="Q38" s="9">
        <f>'a27'!Z37</f>
        <v>0.88214136165004242</v>
      </c>
      <c r="R38" s="6">
        <f>'a27'!AA37</f>
        <v>44.5</v>
      </c>
      <c r="S38" s="9">
        <f>'a27'!AC37</f>
        <v>0.131275</v>
      </c>
      <c r="T38" s="9">
        <f t="shared" si="14"/>
        <v>5.1532382726521142</v>
      </c>
      <c r="U38" s="9">
        <f t="shared" si="25"/>
        <v>0.86150473286535589</v>
      </c>
      <c r="V38" s="9">
        <f>'a27'!AG37</f>
        <v>0.89343788863507456</v>
      </c>
      <c r="W38" s="6">
        <f>'a27'!AH37</f>
        <v>54</v>
      </c>
      <c r="X38" s="9">
        <f>'a27'!AI37</f>
        <v>0.27050000000000002</v>
      </c>
      <c r="Y38" s="9">
        <f t="shared" si="15"/>
        <v>13.050447239292536</v>
      </c>
      <c r="Z38" s="9">
        <f t="shared" si="26"/>
        <v>0.59497858056454644</v>
      </c>
      <c r="AA38" s="9">
        <f>'a27'!AN37</f>
        <v>0.96391807205081281</v>
      </c>
      <c r="AB38" s="6">
        <f>'a27'!AO37</f>
        <v>44.4</v>
      </c>
      <c r="AC38" s="9">
        <f>'a27'!AP37</f>
        <v>0.30780000000000002</v>
      </c>
      <c r="AD38" s="9">
        <f t="shared" si="16"/>
        <v>13.173212826429465</v>
      </c>
      <c r="AE38" s="9">
        <f t="shared" si="27"/>
        <v>0.59083531428999625</v>
      </c>
      <c r="AF38" s="9">
        <f>'a27'!AU37</f>
        <v>0.90406059709212516</v>
      </c>
      <c r="AG38" s="6">
        <f>'a27'!AV37</f>
        <v>35.299999999999997</v>
      </c>
      <c r="AH38" s="9">
        <f>'a27'!AW37</f>
        <v>0.28120000000000001</v>
      </c>
      <c r="AI38" s="9">
        <f t="shared" si="17"/>
        <v>8.9740309485513876</v>
      </c>
      <c r="AJ38" s="9">
        <f t="shared" si="28"/>
        <v>0.7325552299525866</v>
      </c>
      <c r="AK38" s="9">
        <f>'a27'!BB37</f>
        <v>0.8955933490215735</v>
      </c>
      <c r="AL38" s="6">
        <f>'a27'!BC37</f>
        <v>50.5</v>
      </c>
      <c r="AM38" s="9">
        <f>'a27'!BD37</f>
        <v>0.31120000000000003</v>
      </c>
      <c r="AN38" s="9">
        <f t="shared" si="18"/>
        <v>14.074786835883442</v>
      </c>
      <c r="AO38" s="9">
        <f t="shared" si="29"/>
        <v>0.56040772236869441</v>
      </c>
      <c r="AP38" s="9">
        <f>'a27'!BI37</f>
        <v>0.9169921487249254</v>
      </c>
      <c r="AQ38" s="6">
        <f>'a27'!BJ37</f>
        <v>50.5</v>
      </c>
      <c r="AR38" s="9">
        <f>'a27'!BK37</f>
        <v>0.35369999999999996</v>
      </c>
      <c r="AS38" s="9">
        <f t="shared" si="19"/>
        <v>16.379176211702305</v>
      </c>
      <c r="AT38" s="9">
        <f t="shared" si="30"/>
        <v>0.48263593788960812</v>
      </c>
      <c r="AU38" s="9">
        <f>'a27'!BP37</f>
        <v>1.1199125547731206</v>
      </c>
      <c r="AV38" s="6">
        <f>'a27'!BQ37</f>
        <v>31.9</v>
      </c>
      <c r="AW38" s="9">
        <f>'a27'!BR37</f>
        <v>0.30769999999999997</v>
      </c>
      <c r="AX38" s="9">
        <f t="shared" si="20"/>
        <v>10.992647270007684</v>
      </c>
      <c r="AY38" s="9">
        <f t="shared" si="31"/>
        <v>0.66442811777889932</v>
      </c>
      <c r="AZ38" s="9">
        <f>'a27'!BW37</f>
        <v>1.0059556955701094</v>
      </c>
      <c r="BA38" s="6">
        <f>'a27'!BX37</f>
        <v>37.299999999999997</v>
      </c>
      <c r="BB38" s="9">
        <f>'a27'!BY37</f>
        <v>0.2298</v>
      </c>
      <c r="BC38" s="9">
        <f t="shared" si="21"/>
        <v>8.6225894828070153</v>
      </c>
      <c r="BD38" s="9">
        <f t="shared" si="32"/>
        <v>0.74441617247284664</v>
      </c>
    </row>
    <row r="39" spans="1:56">
      <c r="A39" s="1">
        <v>2001</v>
      </c>
      <c r="B39" s="9">
        <f>'a27'!E38</f>
        <v>0.9354428044341121</v>
      </c>
      <c r="C39" s="6">
        <f>'a27'!F38</f>
        <v>42</v>
      </c>
      <c r="D39" s="9">
        <f>'a27'!G38</f>
        <v>0.2969</v>
      </c>
      <c r="E39" s="9">
        <f t="shared" si="11"/>
        <v>11.66478468273249</v>
      </c>
      <c r="F39" s="9">
        <f t="shared" si="22"/>
        <v>0.64174387589196169</v>
      </c>
      <c r="G39" s="9">
        <f>'a27'!L38</f>
        <v>0.55255694812917389</v>
      </c>
      <c r="H39" s="6">
        <f>'a27'!M38</f>
        <v>51.4</v>
      </c>
      <c r="I39" s="9">
        <f>'a27'!N38</f>
        <v>0.33779999999999999</v>
      </c>
      <c r="J39" s="9">
        <f t="shared" si="12"/>
        <v>9.5940020858109953</v>
      </c>
      <c r="K39" s="9">
        <f t="shared" si="23"/>
        <v>0.71163156914414594</v>
      </c>
      <c r="L39" s="9">
        <f>'a27'!S38</f>
        <v>0.72754158964879845</v>
      </c>
      <c r="M39" s="6">
        <f>'a27'!T38</f>
        <v>52.4</v>
      </c>
      <c r="N39" s="9">
        <f>'a27'!U38</f>
        <v>0.2351</v>
      </c>
      <c r="O39" s="9">
        <f t="shared" si="13"/>
        <v>8.9627594528650647</v>
      </c>
      <c r="P39" s="9">
        <f t="shared" si="24"/>
        <v>0.73293563629470582</v>
      </c>
      <c r="Q39" s="9">
        <f>'a27'!Z38</f>
        <v>0.83366372705549541</v>
      </c>
      <c r="R39" s="6">
        <f>'a27'!AA38</f>
        <v>59.8</v>
      </c>
      <c r="S39" s="9">
        <f>'a27'!AC38</f>
        <v>0.15135379999999998</v>
      </c>
      <c r="T39" s="9">
        <f t="shared" si="14"/>
        <v>7.5454547461183195</v>
      </c>
      <c r="U39" s="9">
        <f t="shared" si="25"/>
        <v>0.78076883555823451</v>
      </c>
      <c r="V39" s="9">
        <f>'a27'!AG38</f>
        <v>0.81536204411783808</v>
      </c>
      <c r="W39" s="6">
        <f>'a27'!AH38</f>
        <v>59.1</v>
      </c>
      <c r="X39" s="9">
        <f>'a27'!AI38</f>
        <v>0.30320000000000003</v>
      </c>
      <c r="Y39" s="9">
        <f t="shared" si="15"/>
        <v>14.610570311992836</v>
      </c>
      <c r="Z39" s="9">
        <f t="shared" si="26"/>
        <v>0.54232534554961687</v>
      </c>
      <c r="AA39" s="9">
        <f>'a27'!AN38</f>
        <v>0.95959043104101582</v>
      </c>
      <c r="AB39" s="6">
        <f>'a27'!AO38</f>
        <v>39</v>
      </c>
      <c r="AC39" s="9">
        <f>'a27'!AP38</f>
        <v>0.29830000000000001</v>
      </c>
      <c r="AD39" s="9">
        <f t="shared" si="16"/>
        <v>11.163587197601865</v>
      </c>
      <c r="AE39" s="9">
        <f t="shared" si="27"/>
        <v>0.6586589958816933</v>
      </c>
      <c r="AF39" s="9">
        <f>'a27'!AU38</f>
        <v>0.90017269492001284</v>
      </c>
      <c r="AG39" s="6">
        <f>'a27'!AV38</f>
        <v>36.5</v>
      </c>
      <c r="AH39" s="9">
        <f>'a27'!AW38</f>
        <v>0.31</v>
      </c>
      <c r="AI39" s="9">
        <f t="shared" si="17"/>
        <v>10.185454043019945</v>
      </c>
      <c r="AJ39" s="9">
        <f t="shared" si="28"/>
        <v>0.69167041386870876</v>
      </c>
      <c r="AK39" s="9">
        <f>'a27'!BB38</f>
        <v>0.91251618980336746</v>
      </c>
      <c r="AL39" s="6">
        <f>'a27'!BC38</f>
        <v>53.4</v>
      </c>
      <c r="AM39" s="9">
        <f>'a27'!BD38</f>
        <v>0.30760000000000004</v>
      </c>
      <c r="AN39" s="9">
        <f t="shared" si="18"/>
        <v>14.988844931119747</v>
      </c>
      <c r="AO39" s="9">
        <f t="shared" si="29"/>
        <v>0.52955879990357446</v>
      </c>
      <c r="AP39" s="9">
        <f>'a27'!BI38</f>
        <v>0.82215573017311527</v>
      </c>
      <c r="AQ39" s="6">
        <f>'a27'!BJ38</f>
        <v>50</v>
      </c>
      <c r="AR39" s="9">
        <f>'a27'!BK38</f>
        <v>0.29249999999999998</v>
      </c>
      <c r="AS39" s="9">
        <f t="shared" si="19"/>
        <v>12.02402755378181</v>
      </c>
      <c r="AT39" s="9">
        <f t="shared" si="30"/>
        <v>0.62961964053656838</v>
      </c>
      <c r="AU39" s="9">
        <f>'a27'!BP38</f>
        <v>1.1096394209758427</v>
      </c>
      <c r="AV39" s="6">
        <f>'a27'!BQ38</f>
        <v>41.4</v>
      </c>
      <c r="AW39" s="9">
        <f>'a27'!BR38</f>
        <v>0.25209999999999999</v>
      </c>
      <c r="AX39" s="9">
        <f t="shared" si="20"/>
        <v>11.58124005835961</v>
      </c>
      <c r="AY39" s="9">
        <f t="shared" si="31"/>
        <v>0.64456345776874635</v>
      </c>
      <c r="AZ39" s="9">
        <f>'a27'!BW38</f>
        <v>1.0072534195830378</v>
      </c>
      <c r="BA39" s="6">
        <f>'a27'!BX38</f>
        <v>49.3</v>
      </c>
      <c r="BB39" s="9">
        <f>'a27'!BY38</f>
        <v>0.29210000000000003</v>
      </c>
      <c r="BC39" s="9">
        <f t="shared" si="21"/>
        <v>14.504983086308124</v>
      </c>
      <c r="BD39" s="9">
        <f t="shared" si="32"/>
        <v>0.54588885224074535</v>
      </c>
    </row>
    <row r="40" spans="1:56">
      <c r="A40" s="1">
        <v>2002</v>
      </c>
      <c r="B40" s="9">
        <f>'a27'!E39</f>
        <v>0.91464505728900936</v>
      </c>
      <c r="C40" s="6">
        <f>'a27'!F39</f>
        <v>49.1</v>
      </c>
      <c r="D40" s="9">
        <f>'a27'!G39</f>
        <v>0.30380000000000001</v>
      </c>
      <c r="E40" s="9">
        <f t="shared" ref="E40:E45" si="33">B40*C40*D40</f>
        <v>13.643376168656092</v>
      </c>
      <c r="F40" s="9">
        <f t="shared" si="22"/>
        <v>0.57496757834861589</v>
      </c>
      <c r="G40" s="9">
        <f>'a27'!L39</f>
        <v>0.61488803122638036</v>
      </c>
      <c r="H40" s="6">
        <f>'a27'!M39</f>
        <v>55.5</v>
      </c>
      <c r="I40" s="9">
        <f>'a27'!N39</f>
        <v>0.33500000000000002</v>
      </c>
      <c r="J40" s="9">
        <f t="shared" ref="J40:J45" si="34">G40*H40*I40</f>
        <v>11.432305720576476</v>
      </c>
      <c r="K40" s="9">
        <f t="shared" si="23"/>
        <v>0.64958990396796534</v>
      </c>
      <c r="L40" s="9">
        <f>'a27'!S39</f>
        <v>0.74948799511961306</v>
      </c>
      <c r="M40" s="6">
        <f>'a27'!T39</f>
        <v>47.6</v>
      </c>
      <c r="N40" s="9">
        <f>'a27'!U39</f>
        <v>0.19469999999999998</v>
      </c>
      <c r="O40" s="9">
        <f t="shared" ref="O40:O45" si="35">L40*M40*N40</f>
        <v>6.9460448821299403</v>
      </c>
      <c r="P40" s="9">
        <f t="shared" si="24"/>
        <v>0.80099856550141191</v>
      </c>
      <c r="Q40" s="9">
        <f>'a27'!Z39</f>
        <v>0.84640871758446012</v>
      </c>
      <c r="R40" s="6">
        <f>'a27'!AA39</f>
        <v>58.5</v>
      </c>
      <c r="S40" s="9">
        <f>'a27'!AC39</f>
        <v>0.19995299999999999</v>
      </c>
      <c r="T40" s="9">
        <f t="shared" ref="T40:T45" si="36">Q40*R40*S40</f>
        <v>9.900654794969185</v>
      </c>
      <c r="U40" s="9">
        <f t="shared" si="25"/>
        <v>0.70128222078451641</v>
      </c>
      <c r="V40" s="9">
        <f>'a27'!AG39</f>
        <v>0.76610069950604598</v>
      </c>
      <c r="W40" s="6">
        <f>'a27'!AH39</f>
        <v>59.6</v>
      </c>
      <c r="X40" s="9">
        <f>'a27'!AI39</f>
        <v>0.2772</v>
      </c>
      <c r="Y40" s="9">
        <f t="shared" ref="Y40:Y45" si="37">V40*W40*X40</f>
        <v>12.656841588623328</v>
      </c>
      <c r="Z40" s="9">
        <f t="shared" si="26"/>
        <v>0.60826253949736286</v>
      </c>
      <c r="AA40" s="9">
        <f>'a27'!AN39</f>
        <v>0.92496534673586572</v>
      </c>
      <c r="AB40" s="6">
        <f>'a27'!AO39</f>
        <v>47</v>
      </c>
      <c r="AC40" s="9">
        <f>'a27'!AP39</f>
        <v>0.27929999999999999</v>
      </c>
      <c r="AD40" s="9">
        <f t="shared" ref="AD40:AD45" si="38">AA40*AB40*AC40</f>
        <v>12.142112603136383</v>
      </c>
      <c r="AE40" s="9">
        <f t="shared" si="27"/>
        <v>0.62563433965600745</v>
      </c>
      <c r="AF40" s="9">
        <f>'a27'!AU39</f>
        <v>0.87444804017716182</v>
      </c>
      <c r="AG40" s="6">
        <f>'a27'!AV39</f>
        <v>46.5</v>
      </c>
      <c r="AH40" s="9">
        <f>'a27'!AW39</f>
        <v>0.29949999999999999</v>
      </c>
      <c r="AI40" s="9">
        <f t="shared" ref="AI40:AI45" si="39">AF40*AG40*AH40</f>
        <v>12.178219243537288</v>
      </c>
      <c r="AJ40" s="9">
        <f t="shared" si="28"/>
        <v>0.62441576180410896</v>
      </c>
      <c r="AK40" s="9">
        <f>'a27'!BB39</f>
        <v>0.88207412588699807</v>
      </c>
      <c r="AL40" s="6">
        <f>'a27'!BC39</f>
        <v>42</v>
      </c>
      <c r="AM40" s="9">
        <f>'a27'!BD39</f>
        <v>0.34749999999999998</v>
      </c>
      <c r="AN40" s="9">
        <f t="shared" ref="AN40:AN45" si="40">AK40*AL40*AM40</f>
        <v>12.873871867320737</v>
      </c>
      <c r="AO40" s="9">
        <f t="shared" si="29"/>
        <v>0.60093789539102849</v>
      </c>
      <c r="AP40" s="9">
        <f>'a27'!BI39</f>
        <v>0.82931868020218613</v>
      </c>
      <c r="AQ40" s="6">
        <f>'a27'!BJ39</f>
        <v>71.3</v>
      </c>
      <c r="AR40" s="9">
        <f>'a27'!BK39</f>
        <v>0.27989999999999998</v>
      </c>
      <c r="AS40" s="9">
        <f t="shared" ref="AS40:AS45" si="41">AP40*AQ40*AR40</f>
        <v>16.550605089366602</v>
      </c>
      <c r="AT40" s="9">
        <f t="shared" si="30"/>
        <v>0.47685031421545726</v>
      </c>
      <c r="AU40" s="9">
        <f>'a27'!BP39</f>
        <v>1.0969862317709229</v>
      </c>
      <c r="AV40" s="6">
        <f>'a27'!BQ39</f>
        <v>36.6</v>
      </c>
      <c r="AW40" s="9">
        <f>'a27'!BR39</f>
        <v>0.35460000000000003</v>
      </c>
      <c r="AX40" s="9">
        <f t="shared" ref="AX40:AX45" si="42">AU40*AV40*AW40</f>
        <v>14.237082230966477</v>
      </c>
      <c r="AY40" s="9">
        <f t="shared" si="31"/>
        <v>0.55493034835334998</v>
      </c>
      <c r="AZ40" s="9">
        <f>'a27'!BW39</f>
        <v>1.0008293291922887</v>
      </c>
      <c r="BA40" s="6">
        <f>'a27'!BX39</f>
        <v>57.8</v>
      </c>
      <c r="BB40" s="9">
        <f>'a27'!BY39</f>
        <v>0.32159999999999994</v>
      </c>
      <c r="BC40" s="9">
        <f t="shared" ref="BC40:BC45" si="43">AZ40*BA40*BB40</f>
        <v>18.603895969104272</v>
      </c>
      <c r="BD40" s="9">
        <f t="shared" si="32"/>
        <v>0.40755295611811476</v>
      </c>
    </row>
    <row r="41" spans="1:56">
      <c r="A41" s="1">
        <v>2003</v>
      </c>
      <c r="B41" s="9">
        <f>'a27'!E40</f>
        <v>0.9175222288116075</v>
      </c>
      <c r="C41" s="6">
        <f>'a27'!F40</f>
        <v>48.2</v>
      </c>
      <c r="D41" s="9">
        <f>'a27'!G40</f>
        <v>0.3054</v>
      </c>
      <c r="E41" s="9">
        <f t="shared" si="33"/>
        <v>13.506184114330932</v>
      </c>
      <c r="F41" s="9">
        <f t="shared" si="22"/>
        <v>0.57959772939564902</v>
      </c>
      <c r="G41" s="9">
        <f>'a27'!L40</f>
        <v>0.48234029763747971</v>
      </c>
      <c r="H41" s="6">
        <f>'a27'!M40</f>
        <v>64.2</v>
      </c>
      <c r="I41" s="9">
        <f>'a27'!N40</f>
        <v>0.32719999999999999</v>
      </c>
      <c r="J41" s="9">
        <f t="shared" si="34"/>
        <v>10.132156053844332</v>
      </c>
      <c r="K41" s="9">
        <f t="shared" si="23"/>
        <v>0.69346918961851511</v>
      </c>
      <c r="L41" s="9">
        <f>'a27'!S40</f>
        <v>0.81076792128914987</v>
      </c>
      <c r="M41" s="6">
        <f>'a27'!T40</f>
        <v>45.1</v>
      </c>
      <c r="N41" s="9">
        <f>'a27'!U40</f>
        <v>0.1273</v>
      </c>
      <c r="O41" s="9">
        <f t="shared" si="35"/>
        <v>4.6548051127429062</v>
      </c>
      <c r="P41" s="9">
        <f t="shared" si="24"/>
        <v>0.87832655850665575</v>
      </c>
      <c r="Q41" s="9">
        <f>'a27'!Z40</f>
        <v>0.81059598145023137</v>
      </c>
      <c r="R41" s="6">
        <f>'a27'!AA40</f>
        <v>52.5</v>
      </c>
      <c r="S41" s="9">
        <f>'a27'!AC40</f>
        <v>0.16589999999999999</v>
      </c>
      <c r="T41" s="9">
        <f t="shared" si="36"/>
        <v>7.0600883494361515</v>
      </c>
      <c r="U41" s="9">
        <f t="shared" si="25"/>
        <v>0.79714966563507095</v>
      </c>
      <c r="V41" s="9">
        <f>'a27'!AG40</f>
        <v>0.76021904794360751</v>
      </c>
      <c r="W41" s="6">
        <f>'a27'!AH40</f>
        <v>63.8</v>
      </c>
      <c r="X41" s="9">
        <f>'a27'!AI40</f>
        <v>0.29330000000000001</v>
      </c>
      <c r="Y41" s="9">
        <f t="shared" si="37"/>
        <v>14.225629343406672</v>
      </c>
      <c r="Z41" s="9">
        <f t="shared" si="26"/>
        <v>0.55531687656438544</v>
      </c>
      <c r="AA41" s="9">
        <f>'a27'!AN40</f>
        <v>0.93729298273416506</v>
      </c>
      <c r="AB41" s="6">
        <f>'a27'!AO40</f>
        <v>42.3</v>
      </c>
      <c r="AC41" s="9">
        <f>'a27'!AP40</f>
        <v>0.2828</v>
      </c>
      <c r="AD41" s="9">
        <f t="shared" si="38"/>
        <v>11.212311068378485</v>
      </c>
      <c r="AE41" s="9">
        <f t="shared" si="27"/>
        <v>0.65701459393435335</v>
      </c>
      <c r="AF41" s="9">
        <f>'a27'!AU40</f>
        <v>0.90997911013680943</v>
      </c>
      <c r="AG41" s="6">
        <f>'a27'!AV40</f>
        <v>46.4</v>
      </c>
      <c r="AH41" s="9">
        <f>'a27'!AW40</f>
        <v>0.29010000000000002</v>
      </c>
      <c r="AI41" s="9">
        <f t="shared" si="39"/>
        <v>12.248901209071944</v>
      </c>
      <c r="AJ41" s="9">
        <f t="shared" si="28"/>
        <v>0.62203028708885344</v>
      </c>
      <c r="AK41" s="9">
        <f>'a27'!BB40</f>
        <v>0.86471700922622163</v>
      </c>
      <c r="AL41" s="6">
        <f>'a27'!BC40</f>
        <v>44.6</v>
      </c>
      <c r="AM41" s="9">
        <f>'a27'!BD40</f>
        <v>0.29510000000000003</v>
      </c>
      <c r="AN41" s="9">
        <f t="shared" si="40"/>
        <v>11.380938328250547</v>
      </c>
      <c r="AO41" s="9">
        <f t="shared" si="29"/>
        <v>0.65132352321093945</v>
      </c>
      <c r="AP41" s="9">
        <f>'a27'!BI40</f>
        <v>0.84634324061937716</v>
      </c>
      <c r="AQ41" s="6">
        <f>'a27'!BJ40</f>
        <v>54.6</v>
      </c>
      <c r="AR41" s="9">
        <f>'a27'!BK40</f>
        <v>0.31929999999999997</v>
      </c>
      <c r="AS41" s="9">
        <f t="shared" si="41"/>
        <v>14.754961861445285</v>
      </c>
      <c r="AT41" s="9">
        <f t="shared" si="30"/>
        <v>0.53745221578150781</v>
      </c>
      <c r="AU41" s="9">
        <f>'a27'!BP40</f>
        <v>1.0411856959920891</v>
      </c>
      <c r="AV41" s="6">
        <f>'a27'!BQ40</f>
        <v>44.7</v>
      </c>
      <c r="AW41" s="9">
        <f>'a27'!BR40</f>
        <v>0.36060000000000003</v>
      </c>
      <c r="AX41" s="9">
        <f t="shared" si="42"/>
        <v>16.782684820271211</v>
      </c>
      <c r="AY41" s="9">
        <f t="shared" si="31"/>
        <v>0.46901775995909867</v>
      </c>
      <c r="AZ41" s="9">
        <f>'a27'!BW40</f>
        <v>0.96373481590162446</v>
      </c>
      <c r="BA41" s="6">
        <f>'a27'!BX40</f>
        <v>60.2</v>
      </c>
      <c r="BB41" s="9">
        <f>'a27'!BY40</f>
        <v>0.34450000000000003</v>
      </c>
      <c r="BC41" s="9">
        <f t="shared" si="43"/>
        <v>19.986799973502201</v>
      </c>
      <c r="BD41" s="9">
        <f t="shared" si="32"/>
        <v>0.36088076030177935</v>
      </c>
    </row>
    <row r="42" spans="1:56">
      <c r="A42" s="1">
        <v>2004</v>
      </c>
      <c r="B42" s="9">
        <f>'a27'!E41</f>
        <v>0.89527906253571299</v>
      </c>
      <c r="C42" s="6">
        <f>'a27'!F41</f>
        <v>46.2</v>
      </c>
      <c r="D42" s="9">
        <f>'a27'!G41</f>
        <v>0.30430000000000001</v>
      </c>
      <c r="E42" s="9">
        <f t="shared" si="33"/>
        <v>12.586423945308328</v>
      </c>
      <c r="F42" s="9">
        <f t="shared" si="22"/>
        <v>0.61063909349335277</v>
      </c>
      <c r="G42" s="9">
        <f>'a27'!L41</f>
        <v>0.60857015097920175</v>
      </c>
      <c r="H42" s="6">
        <f>'a27'!M41</f>
        <v>60.7</v>
      </c>
      <c r="I42" s="9">
        <f>'a27'!N41</f>
        <v>0.31640000000000001</v>
      </c>
      <c r="J42" s="9">
        <f t="shared" si="34"/>
        <v>11.687881863228041</v>
      </c>
      <c r="K42" s="9">
        <f t="shared" si="23"/>
        <v>0.64096435965116316</v>
      </c>
      <c r="L42" s="9">
        <f>'a27'!S41</f>
        <v>0.84062544828575525</v>
      </c>
      <c r="M42" s="6">
        <f>'a27'!T41</f>
        <v>38.200000000000003</v>
      </c>
      <c r="N42" s="9">
        <f>'a27'!U41</f>
        <v>0.23749999999999999</v>
      </c>
      <c r="O42" s="9">
        <f t="shared" si="35"/>
        <v>7.6265743795725154</v>
      </c>
      <c r="P42" s="9">
        <f t="shared" si="24"/>
        <v>0.77803109569698381</v>
      </c>
      <c r="Q42" s="9">
        <f>'a27'!Z41</f>
        <v>0.84949858346111218</v>
      </c>
      <c r="R42" s="6">
        <f>'a27'!AA41</f>
        <v>47.6</v>
      </c>
      <c r="S42" s="9">
        <f>'a27'!AC41</f>
        <v>0.13566</v>
      </c>
      <c r="T42" s="9">
        <f t="shared" si="36"/>
        <v>5.4855657448191213</v>
      </c>
      <c r="U42" s="9">
        <f t="shared" si="25"/>
        <v>0.85028887637293138</v>
      </c>
      <c r="V42" s="9">
        <f>'a27'!AG41</f>
        <v>0.74188449146832836</v>
      </c>
      <c r="W42" s="6">
        <f>'a27'!AH41</f>
        <v>65.2</v>
      </c>
      <c r="X42" s="9">
        <f>'a27'!AI41</f>
        <v>0.28170000000000001</v>
      </c>
      <c r="Y42" s="9">
        <f t="shared" si="37"/>
        <v>13.626073753280153</v>
      </c>
      <c r="Z42" s="9">
        <f t="shared" si="26"/>
        <v>0.57555152467891313</v>
      </c>
      <c r="AA42" s="9">
        <f>'a27'!AN41</f>
        <v>0.8943417331246033</v>
      </c>
      <c r="AB42" s="6">
        <f>'a27'!AO41</f>
        <v>33.9</v>
      </c>
      <c r="AC42" s="9">
        <f>'a27'!AP41</f>
        <v>0.2898</v>
      </c>
      <c r="AD42" s="9">
        <f t="shared" si="38"/>
        <v>8.7862099413973898</v>
      </c>
      <c r="AE42" s="9">
        <f t="shared" si="27"/>
        <v>0.73889407834440179</v>
      </c>
      <c r="AF42" s="9">
        <f>'a27'!AU41</f>
        <v>0.86242908806478769</v>
      </c>
      <c r="AG42" s="6">
        <f>'a27'!AV41</f>
        <v>48.3</v>
      </c>
      <c r="AH42" s="9">
        <f>'a27'!AW41</f>
        <v>0.29580000000000001</v>
      </c>
      <c r="AI42" s="9">
        <f t="shared" si="39"/>
        <v>12.321645121253951</v>
      </c>
      <c r="AJ42" s="9">
        <f t="shared" si="28"/>
        <v>0.61957522288844058</v>
      </c>
      <c r="AK42" s="9">
        <f>'a27'!BB41</f>
        <v>0.85547653489834574</v>
      </c>
      <c r="AL42" s="6">
        <f>'a27'!BC41</f>
        <v>40.5</v>
      </c>
      <c r="AM42" s="9">
        <f>'a27'!BD41</f>
        <v>0.31209999999999999</v>
      </c>
      <c r="AN42" s="9">
        <f t="shared" si="40"/>
        <v>10.813266174941834</v>
      </c>
      <c r="AO42" s="9">
        <f t="shared" si="29"/>
        <v>0.67048212410763719</v>
      </c>
      <c r="AP42" s="9">
        <f>'a27'!BI41</f>
        <v>0.79891432868826795</v>
      </c>
      <c r="AQ42" s="6">
        <f>'a27'!BJ41</f>
        <v>59.4</v>
      </c>
      <c r="AR42" s="9">
        <f>'a27'!BK41</f>
        <v>0.30609999999999998</v>
      </c>
      <c r="AS42" s="9">
        <f t="shared" si="41"/>
        <v>14.526131955081841</v>
      </c>
      <c r="AT42" s="9">
        <f t="shared" si="30"/>
        <v>0.5451750903732826</v>
      </c>
      <c r="AU42" s="9">
        <f>'a27'!BP41</f>
        <v>1.0749116626041373</v>
      </c>
      <c r="AV42" s="6">
        <f>'a27'!BQ41</f>
        <v>47.3</v>
      </c>
      <c r="AW42" s="9">
        <f>'a27'!BR41</f>
        <v>0.32400000000000001</v>
      </c>
      <c r="AX42" s="9">
        <f t="shared" si="42"/>
        <v>16.473236211740925</v>
      </c>
      <c r="AY42" s="9">
        <f t="shared" si="31"/>
        <v>0.47946146827615277</v>
      </c>
      <c r="AZ42" s="9">
        <f>'a27'!BW41</f>
        <v>0.97514775443821289</v>
      </c>
      <c r="BA42" s="6">
        <f>'a27'!BX41</f>
        <v>54</v>
      </c>
      <c r="BB42" s="9">
        <f>'a27'!BY41</f>
        <v>0.33799999999999997</v>
      </c>
      <c r="BC42" s="9">
        <f t="shared" si="43"/>
        <v>17.79839681400626</v>
      </c>
      <c r="BD42" s="9">
        <f t="shared" si="32"/>
        <v>0.43473807827921124</v>
      </c>
    </row>
    <row r="43" spans="1:56">
      <c r="A43" s="1">
        <v>2005</v>
      </c>
      <c r="B43" s="9">
        <f>'a27'!E42</f>
        <v>0.90932817032171231</v>
      </c>
      <c r="C43" s="6">
        <f>'a27'!F42</f>
        <v>40.799999999999997</v>
      </c>
      <c r="D43" s="9">
        <f>'a27'!G42</f>
        <v>0.30690000000000001</v>
      </c>
      <c r="E43" s="9">
        <f t="shared" si="33"/>
        <v>11.386170871246728</v>
      </c>
      <c r="F43" s="9">
        <f t="shared" si="22"/>
        <v>0.65114692796603557</v>
      </c>
      <c r="G43" s="9">
        <f>'a27'!L42</f>
        <v>0.57431522554064973</v>
      </c>
      <c r="H43" s="6">
        <f>'a27'!M42</f>
        <v>56</v>
      </c>
      <c r="I43" s="9">
        <f>'a27'!N42</f>
        <v>0.32700000000000001</v>
      </c>
      <c r="J43" s="9">
        <f t="shared" si="34"/>
        <v>10.516860410100378</v>
      </c>
      <c r="K43" s="9">
        <f t="shared" si="23"/>
        <v>0.68048564413055734</v>
      </c>
      <c r="L43" s="9">
        <f>'a27'!S42</f>
        <v>0.80807503961852001</v>
      </c>
      <c r="M43" s="6">
        <f>'a27'!T42</f>
        <v>33.6</v>
      </c>
      <c r="N43" s="9">
        <f>'a27'!U42</f>
        <v>0.26890000000000003</v>
      </c>
      <c r="O43" s="9">
        <f t="shared" si="35"/>
        <v>7.3009903059549144</v>
      </c>
      <c r="P43" s="9">
        <f t="shared" si="24"/>
        <v>0.78901936645926019</v>
      </c>
      <c r="Q43" s="9">
        <f>'a27'!Z42</f>
        <v>0.83509529497686563</v>
      </c>
      <c r="R43" s="6">
        <f>'a27'!AA42</f>
        <v>47.2</v>
      </c>
      <c r="S43" s="9">
        <f>'a27'!AC42</f>
        <v>0.12187039999999999</v>
      </c>
      <c r="T43" s="9">
        <f t="shared" si="36"/>
        <v>4.8037043684639738</v>
      </c>
      <c r="U43" s="9">
        <f t="shared" si="25"/>
        <v>0.87330129630637332</v>
      </c>
      <c r="V43" s="9">
        <f>'a27'!AG42</f>
        <v>0.7580191762053371</v>
      </c>
      <c r="W43" s="6">
        <f>'a27'!AH42</f>
        <v>57.7</v>
      </c>
      <c r="X43" s="9">
        <f>'a27'!AI42</f>
        <v>0.30199999999999999</v>
      </c>
      <c r="Y43" s="9">
        <f t="shared" si="37"/>
        <v>13.20878735304848</v>
      </c>
      <c r="Z43" s="9">
        <f t="shared" si="26"/>
        <v>0.58963469496489784</v>
      </c>
      <c r="AA43" s="9">
        <f>'a27'!AN42</f>
        <v>0.86148559484706155</v>
      </c>
      <c r="AB43" s="6">
        <f>'a27'!AO42</f>
        <v>34.200000000000003</v>
      </c>
      <c r="AC43" s="9">
        <f>'a27'!AP42</f>
        <v>0.28610000000000002</v>
      </c>
      <c r="AD43" s="9">
        <f t="shared" si="38"/>
        <v>8.4293091810524565</v>
      </c>
      <c r="AE43" s="9">
        <f t="shared" si="27"/>
        <v>0.75093926884268936</v>
      </c>
      <c r="AF43" s="9">
        <f>'a27'!AU42</f>
        <v>0.93207456078756978</v>
      </c>
      <c r="AG43" s="6">
        <f>'a27'!AV42</f>
        <v>42.9</v>
      </c>
      <c r="AH43" s="9">
        <f>'a27'!AW42</f>
        <v>0.29809999999999998</v>
      </c>
      <c r="AI43" s="9">
        <f t="shared" si="39"/>
        <v>11.919826199886227</v>
      </c>
      <c r="AJ43" s="9">
        <f t="shared" si="28"/>
        <v>0.63313637487089347</v>
      </c>
      <c r="AK43" s="9">
        <f>'a27'!BB42</f>
        <v>0.89168864684687665</v>
      </c>
      <c r="AL43" s="6">
        <f>'a27'!BC42</f>
        <v>41</v>
      </c>
      <c r="AM43" s="9">
        <f>'a27'!BD42</f>
        <v>0.31629999999999997</v>
      </c>
      <c r="AN43" s="9">
        <f t="shared" si="40"/>
        <v>11.56368587890435</v>
      </c>
      <c r="AO43" s="9">
        <f t="shared" si="29"/>
        <v>0.64515590098846765</v>
      </c>
      <c r="AP43" s="9">
        <f>'a27'!BI42</f>
        <v>0.82411456993396803</v>
      </c>
      <c r="AQ43" s="6">
        <f>'a27'!BJ42</f>
        <v>54</v>
      </c>
      <c r="AR43" s="9">
        <f>'a27'!BK42</f>
        <v>0.32079999999999997</v>
      </c>
      <c r="AS43" s="9">
        <f t="shared" si="41"/>
        <v>14.276301517880114</v>
      </c>
      <c r="AT43" s="9">
        <f t="shared" si="30"/>
        <v>0.55360672051454907</v>
      </c>
      <c r="AU43" s="9">
        <f>'a27'!BP42</f>
        <v>1.0244985190762894</v>
      </c>
      <c r="AV43" s="6">
        <f>'a27'!BQ42</f>
        <v>35.6</v>
      </c>
      <c r="AW43" s="9">
        <f>'a27'!BR42</f>
        <v>0.35070000000000001</v>
      </c>
      <c r="AX43" s="9">
        <f t="shared" si="42"/>
        <v>12.790782050785948</v>
      </c>
      <c r="AY43" s="9">
        <f t="shared" si="31"/>
        <v>0.60374212777109415</v>
      </c>
      <c r="AZ43" s="9">
        <f>'a27'!BW42</f>
        <v>0.95394397951042564</v>
      </c>
      <c r="BA43" s="6">
        <f>'a27'!BX42</f>
        <v>38.1</v>
      </c>
      <c r="BB43" s="9">
        <f>'a27'!BY42</f>
        <v>0.34810000000000002</v>
      </c>
      <c r="BC43" s="9">
        <f t="shared" si="43"/>
        <v>12.651786962094766</v>
      </c>
      <c r="BD43" s="9">
        <f t="shared" si="32"/>
        <v>0.60843313016625178</v>
      </c>
    </row>
    <row r="44" spans="1:56">
      <c r="A44" s="1">
        <v>2006</v>
      </c>
      <c r="B44" s="9">
        <f>'a27'!E43</f>
        <v>0.90232467859311449</v>
      </c>
      <c r="C44" s="6">
        <f>'a27'!F43</f>
        <v>39.700000000000003</v>
      </c>
      <c r="D44" s="9">
        <f>'a27'!G43</f>
        <v>0.30299999999999999</v>
      </c>
      <c r="E44" s="9">
        <f t="shared" si="33"/>
        <v>10.854153791264435</v>
      </c>
      <c r="F44" s="9">
        <f t="shared" si="22"/>
        <v>0.66910219113369052</v>
      </c>
      <c r="G44" s="9">
        <f>'a27'!L43</f>
        <v>0.55967118016530915</v>
      </c>
      <c r="H44" s="6">
        <f>'a27'!M43</f>
        <v>61.7</v>
      </c>
      <c r="I44" s="9">
        <f>'a27'!N43</f>
        <v>0.27390000000000003</v>
      </c>
      <c r="J44" s="9">
        <f t="shared" si="34"/>
        <v>9.4582358664570645</v>
      </c>
      <c r="K44" s="9">
        <f t="shared" si="23"/>
        <v>0.7162135991005123</v>
      </c>
      <c r="L44" s="9">
        <f>'a27'!S43</f>
        <v>0.81191118706161935</v>
      </c>
      <c r="M44" s="6">
        <f>'a27'!T43</f>
        <v>47.8</v>
      </c>
      <c r="N44" s="9">
        <f>'a27'!U43</f>
        <v>0.20949999999999999</v>
      </c>
      <c r="O44" s="9">
        <f t="shared" si="35"/>
        <v>8.1305598183537615</v>
      </c>
      <c r="P44" s="9">
        <f t="shared" si="24"/>
        <v>0.76102188391324832</v>
      </c>
      <c r="Q44" s="9">
        <f>'a27'!Z43</f>
        <v>0.82805699298468138</v>
      </c>
      <c r="R44" s="6">
        <f>'a27'!AA43</f>
        <v>46.4</v>
      </c>
      <c r="S44" s="9">
        <f>'a27'!AC43</f>
        <v>0.13010559999999999</v>
      </c>
      <c r="T44" s="9">
        <f t="shared" si="36"/>
        <v>4.9988971284601034</v>
      </c>
      <c r="U44" s="9">
        <f t="shared" si="25"/>
        <v>0.86671365559704105</v>
      </c>
      <c r="V44" s="9">
        <f>'a27'!AG43</f>
        <v>0.73420921756192248</v>
      </c>
      <c r="W44" s="6">
        <f>'a27'!AH43</f>
        <v>54.5</v>
      </c>
      <c r="X44" s="9">
        <f>'a27'!AI43</f>
        <v>0.29460000000000003</v>
      </c>
      <c r="Y44" s="9">
        <f t="shared" si="37"/>
        <v>11.788242934408959</v>
      </c>
      <c r="Z44" s="9">
        <f t="shared" si="26"/>
        <v>0.63757723259708221</v>
      </c>
      <c r="AA44" s="9">
        <f>'a27'!AN43</f>
        <v>0.84339079091457159</v>
      </c>
      <c r="AB44" s="6">
        <f>'a27'!AO43</f>
        <v>33.5</v>
      </c>
      <c r="AC44" s="9">
        <f>'a27'!AP43</f>
        <v>0.27250000000000002</v>
      </c>
      <c r="AD44" s="9">
        <f t="shared" si="38"/>
        <v>7.6991036825613959</v>
      </c>
      <c r="AE44" s="9">
        <f t="shared" si="27"/>
        <v>0.77558327443046482</v>
      </c>
      <c r="AF44" s="9">
        <f>'a27'!AU43</f>
        <v>0.9405893028276</v>
      </c>
      <c r="AG44" s="6">
        <f>'a27'!AV43</f>
        <v>40.1</v>
      </c>
      <c r="AH44" s="9">
        <f>'a27'!AW43</f>
        <v>0.30879999999999996</v>
      </c>
      <c r="AI44" s="9">
        <f t="shared" si="39"/>
        <v>11.647204466197831</v>
      </c>
      <c r="AJ44" s="9">
        <f t="shared" si="28"/>
        <v>0.64233719784778065</v>
      </c>
      <c r="AK44" s="9">
        <f>'a27'!BB43</f>
        <v>0.89198198605842483</v>
      </c>
      <c r="AL44" s="6">
        <f>'a27'!BC43</f>
        <v>37.9</v>
      </c>
      <c r="AM44" s="9">
        <f>'a27'!BD43</f>
        <v>0.27</v>
      </c>
      <c r="AN44" s="9">
        <f t="shared" si="40"/>
        <v>9.1276516633358611</v>
      </c>
      <c r="AO44" s="9">
        <f t="shared" si="29"/>
        <v>0.72737062128917618</v>
      </c>
      <c r="AP44" s="9">
        <f>'a27'!BI43</f>
        <v>0.80607741301951719</v>
      </c>
      <c r="AQ44" s="6">
        <f>'a27'!BJ43</f>
        <v>50.7</v>
      </c>
      <c r="AR44" s="162">
        <f>'a27'!BK43</f>
        <v>0.33439999999999998</v>
      </c>
      <c r="AS44" s="9">
        <f t="shared" si="41"/>
        <v>13.666300946525935</v>
      </c>
      <c r="AT44" s="9">
        <f t="shared" si="30"/>
        <v>0.57419388059491472</v>
      </c>
      <c r="AU44" s="9">
        <f>'a27'!BP43</f>
        <v>0.99860408012020563</v>
      </c>
      <c r="AV44" s="6">
        <f>'a27'!BQ43</f>
        <v>29.4</v>
      </c>
      <c r="AW44" s="9">
        <f>'a27'!BR43</f>
        <v>0.27860000000000001</v>
      </c>
      <c r="AX44" s="9">
        <f t="shared" si="42"/>
        <v>8.1794062436117851</v>
      </c>
      <c r="AY44" s="9">
        <f t="shared" si="31"/>
        <v>0.75937334582432803</v>
      </c>
      <c r="AZ44" s="9">
        <f>'a27'!BW43</f>
        <v>0.94066557321291089</v>
      </c>
      <c r="BA44" s="6">
        <f>'a27'!BX43</f>
        <v>45.3</v>
      </c>
      <c r="BB44" s="9">
        <f>'a27'!BY43</f>
        <v>0.35460000000000003</v>
      </c>
      <c r="BC44" s="9">
        <f t="shared" si="43"/>
        <v>15.110268555436809</v>
      </c>
      <c r="BD44" s="9">
        <f t="shared" si="32"/>
        <v>0.52546082408397132</v>
      </c>
    </row>
    <row r="45" spans="1:56">
      <c r="A45" s="1">
        <v>2007</v>
      </c>
      <c r="B45" s="9">
        <f>'a27'!E44</f>
        <v>0.8961448611522862</v>
      </c>
      <c r="C45" s="6">
        <f>'a27'!F44</f>
        <v>38.700000000000003</v>
      </c>
      <c r="D45" s="9">
        <f>'a27'!G44</f>
        <v>0.30329999999999996</v>
      </c>
      <c r="E45" s="9">
        <f t="shared" si="33"/>
        <v>10.518688498195802</v>
      </c>
      <c r="F45" s="9">
        <f t="shared" si="22"/>
        <v>0.68042394723381838</v>
      </c>
      <c r="G45" s="9">
        <f>'a27'!L44</f>
        <v>0.54488962326754464</v>
      </c>
      <c r="H45" s="6">
        <f>'a27'!M44</f>
        <v>55.8</v>
      </c>
      <c r="I45" s="9">
        <f>'a27'!N44</f>
        <v>0.30010000000000003</v>
      </c>
      <c r="J45" s="9">
        <f t="shared" si="34"/>
        <v>9.1244927775965312</v>
      </c>
      <c r="K45" s="9">
        <f t="shared" si="23"/>
        <v>0.72747723182274793</v>
      </c>
      <c r="L45" s="9">
        <f>'a27'!S44</f>
        <v>0.81138832634891755</v>
      </c>
      <c r="M45" s="6">
        <f>'a27'!T44</f>
        <v>34.9</v>
      </c>
      <c r="N45" s="9">
        <f>'a27'!U44</f>
        <v>0.2296</v>
      </c>
      <c r="O45" s="9">
        <f t="shared" si="35"/>
        <v>6.5016871145669297</v>
      </c>
      <c r="P45" s="9">
        <f t="shared" si="24"/>
        <v>0.81599537849367709</v>
      </c>
      <c r="Q45" s="9">
        <f>'a27'!Z44</f>
        <v>0.82125018441317355</v>
      </c>
      <c r="R45" s="6">
        <f>'a27'!AA44</f>
        <v>44.1</v>
      </c>
      <c r="S45" s="9">
        <f>'a27'!AC44</f>
        <v>0.12780179999999999</v>
      </c>
      <c r="T45" s="9">
        <f t="shared" si="36"/>
        <v>4.6286148051885956</v>
      </c>
      <c r="U45" s="9">
        <f t="shared" si="25"/>
        <v>0.87921046596427943</v>
      </c>
      <c r="V45" s="9">
        <f>'a27'!AG44</f>
        <v>0.70911820846371143</v>
      </c>
      <c r="W45" s="6">
        <f>'a27'!AH44</f>
        <v>52.4</v>
      </c>
      <c r="X45" s="9">
        <f>'a27'!AI44</f>
        <v>0.2969</v>
      </c>
      <c r="Y45" s="9">
        <f t="shared" si="37"/>
        <v>11.032149075266698</v>
      </c>
      <c r="Z45" s="9">
        <f t="shared" si="26"/>
        <v>0.66309495511230476</v>
      </c>
      <c r="AA45" s="9">
        <f>'a27'!AN44</f>
        <v>0.82710399929535028</v>
      </c>
      <c r="AB45" s="6">
        <f>'a27'!AO44</f>
        <v>37.299999999999997</v>
      </c>
      <c r="AC45" s="9">
        <f>'a27'!AP44</f>
        <v>0.25480000000000003</v>
      </c>
      <c r="AD45" s="9">
        <f t="shared" si="38"/>
        <v>7.8608294934629814</v>
      </c>
      <c r="AE45" s="9">
        <f t="shared" si="27"/>
        <v>0.77012512354584095</v>
      </c>
      <c r="AF45" s="9">
        <f>'a27'!AU44</f>
        <v>0.95212506539467057</v>
      </c>
      <c r="AG45" s="6">
        <f>'a27'!AV44</f>
        <v>38.799999999999997</v>
      </c>
      <c r="AH45" s="9">
        <f>'a27'!AW44</f>
        <v>0.29260000000000003</v>
      </c>
      <c r="AI45" s="9">
        <f t="shared" si="39"/>
        <v>10.809361612417847</v>
      </c>
      <c r="AJ45" s="9">
        <f t="shared" si="28"/>
        <v>0.6706139007935944</v>
      </c>
      <c r="AK45" s="9">
        <f>'a27'!BB44</f>
        <v>0.88952379940694359</v>
      </c>
      <c r="AL45" s="6">
        <f>'a27'!BC44</f>
        <v>41.2</v>
      </c>
      <c r="AM45" s="9">
        <f>'a27'!BD44</f>
        <v>0.28520000000000001</v>
      </c>
      <c r="AN45" s="9">
        <f t="shared" si="40"/>
        <v>10.452118128743445</v>
      </c>
      <c r="AO45" s="9">
        <f t="shared" si="29"/>
        <v>0.68267065800243665</v>
      </c>
      <c r="AP45" s="9">
        <f>'a27'!BI44</f>
        <v>0.78043794773673769</v>
      </c>
      <c r="AQ45" s="6">
        <f>'a27'!BJ44</f>
        <v>39.299999999999997</v>
      </c>
      <c r="AR45" s="162">
        <f>'a27'!BK44</f>
        <v>0.34039999999999998</v>
      </c>
      <c r="AS45" s="9">
        <f t="shared" si="41"/>
        <v>10.440480342196709</v>
      </c>
      <c r="AT45" s="9">
        <f t="shared" si="30"/>
        <v>0.68306342644540208</v>
      </c>
      <c r="AU45" s="9">
        <f>'a27'!BP44</f>
        <v>0.97039289582565491</v>
      </c>
      <c r="AV45" s="6">
        <f>'a27'!BQ44</f>
        <v>27.7</v>
      </c>
      <c r="AW45" s="9">
        <f>'a27'!BR44</f>
        <v>0.3957</v>
      </c>
      <c r="AX45" s="9">
        <f t="shared" si="42"/>
        <v>10.636369787926462</v>
      </c>
      <c r="AY45" s="9">
        <f t="shared" si="31"/>
        <v>0.67645227300280808</v>
      </c>
      <c r="AZ45" s="9">
        <f>'a27'!BW44</f>
        <v>0.92853178473467479</v>
      </c>
      <c r="BA45" s="6">
        <f>'a27'!BX44</f>
        <v>40.5</v>
      </c>
      <c r="BB45" s="9">
        <f>'a27'!BY44</f>
        <v>0.36229999999999996</v>
      </c>
      <c r="BC45" s="9">
        <f t="shared" si="43"/>
        <v>13.624486157179593</v>
      </c>
      <c r="BD45" s="9">
        <f t="shared" si="32"/>
        <v>0.57560510511244067</v>
      </c>
    </row>
    <row r="46" spans="1:56">
      <c r="A46" s="1">
        <v>2008</v>
      </c>
      <c r="B46" s="9">
        <f>'a27'!E45</f>
        <v>0.889869707871358</v>
      </c>
      <c r="C46" s="6">
        <f>'a27'!F45</f>
        <v>36.9</v>
      </c>
      <c r="D46" s="9">
        <f>'a27'!G45</f>
        <v>0.30099999999999999</v>
      </c>
      <c r="E46" s="9">
        <f t="shared" ref="E46" si="44">B46*C46*D46</f>
        <v>9.8836938583563843</v>
      </c>
      <c r="F46" s="9">
        <f t="shared" si="22"/>
        <v>0.70185464240763962</v>
      </c>
      <c r="G46" s="9">
        <f>'a27'!L45</f>
        <v>0.52948151361175455</v>
      </c>
      <c r="H46" s="6">
        <f>'a27'!M45</f>
        <v>58.4</v>
      </c>
      <c r="I46" s="9">
        <f>'a27'!N45</f>
        <v>0.2707</v>
      </c>
      <c r="J46" s="9">
        <f t="shared" ref="J46" si="45">G46*H46*I46</f>
        <v>8.3705097109065942</v>
      </c>
      <c r="K46" s="9">
        <f t="shared" si="23"/>
        <v>0.75292371633565858</v>
      </c>
      <c r="L46" s="9">
        <f>'a27'!S45</f>
        <v>0.81311940917442294</v>
      </c>
      <c r="M46" s="6">
        <f>'a27'!T45</f>
        <v>49.7</v>
      </c>
      <c r="N46" s="9">
        <f>'a27'!U45</f>
        <v>0.26440000000000002</v>
      </c>
      <c r="O46" s="9">
        <f t="shared" ref="O46" si="46">L46*M46*N46</f>
        <v>10.684941957750159</v>
      </c>
      <c r="P46" s="9">
        <f t="shared" si="24"/>
        <v>0.67481299087329916</v>
      </c>
      <c r="Q46" s="9">
        <f>'a27'!Z45</f>
        <v>0.814169643615831</v>
      </c>
      <c r="R46" s="6">
        <f>'a27'!AA45</f>
        <v>53.9</v>
      </c>
      <c r="S46" s="9">
        <f>'a27'!AC45</f>
        <v>0.16638930000000002</v>
      </c>
      <c r="T46" s="9">
        <f t="shared" ref="T46" si="47">Q46*R46*S46</f>
        <v>7.3017854107460822</v>
      </c>
      <c r="U46" s="9">
        <f t="shared" si="25"/>
        <v>0.78899253214076104</v>
      </c>
      <c r="V46" s="9">
        <f>'a27'!AG45</f>
        <v>0.68548416230118803</v>
      </c>
      <c r="W46" s="6">
        <f>'a27'!AH45</f>
        <v>51.9</v>
      </c>
      <c r="X46" s="9">
        <f>'a27'!AI45</f>
        <v>0.28800000000000003</v>
      </c>
      <c r="Y46" s="9">
        <f t="shared" ref="Y46" si="48">V46*W46*X46</f>
        <v>10.246068870748319</v>
      </c>
      <c r="Z46" s="9">
        <f t="shared" si="26"/>
        <v>0.68962469912631497</v>
      </c>
      <c r="AA46" s="9">
        <f>'a27'!AN45</f>
        <v>0.80996437439451352</v>
      </c>
      <c r="AB46" s="6">
        <f>'a27'!AO45</f>
        <v>28.4</v>
      </c>
      <c r="AC46" s="9">
        <f>'a27'!AP45</f>
        <v>0.28820000000000001</v>
      </c>
      <c r="AD46" s="9">
        <f t="shared" ref="AD46" si="49">AA46*AB46*AC46</f>
        <v>6.6294612086941651</v>
      </c>
      <c r="AE46" s="9">
        <f t="shared" si="27"/>
        <v>0.81168307805749651</v>
      </c>
      <c r="AF46" s="9">
        <f>'a27'!AU45</f>
        <v>0.96116222340522661</v>
      </c>
      <c r="AG46" s="6">
        <f>'a27'!AV45</f>
        <v>39.1</v>
      </c>
      <c r="AH46" s="9">
        <f>'a27'!AW45</f>
        <v>0.31900000000000001</v>
      </c>
      <c r="AI46" s="9">
        <f t="shared" ref="AI46" si="50">AF46*AG46*AH46</f>
        <v>11.988480296311051</v>
      </c>
      <c r="AJ46" s="9">
        <f t="shared" si="28"/>
        <v>0.63081933954397085</v>
      </c>
      <c r="AK46" s="9">
        <f>'a27'!BB45</f>
        <v>0.8885430592718695</v>
      </c>
      <c r="AL46" s="6">
        <f>'a27'!BC45</f>
        <v>43.6</v>
      </c>
      <c r="AM46" s="9">
        <f>'a27'!BD45</f>
        <v>0.21890000000000001</v>
      </c>
      <c r="AN46" s="9">
        <f t="shared" ref="AN46" si="51">AK46*AL46*AM46</f>
        <v>8.4802904994130941</v>
      </c>
      <c r="AO46" s="9">
        <f t="shared" si="29"/>
        <v>0.74921867936870157</v>
      </c>
      <c r="AP46" s="9">
        <f>'a27'!BI45</f>
        <v>0.76176319564797201</v>
      </c>
      <c r="AQ46" s="6">
        <f>'a27'!BJ45</f>
        <v>44</v>
      </c>
      <c r="AR46" s="162">
        <f>'a27'!BK45</f>
        <v>0.2482</v>
      </c>
      <c r="AS46" s="9">
        <f t="shared" ref="AS46" si="52">AP46*AQ46*AR46</f>
        <v>8.3190635070323733</v>
      </c>
      <c r="AT46" s="9">
        <f t="shared" si="30"/>
        <v>0.75465999542197892</v>
      </c>
      <c r="AU46" s="9">
        <f>'a27'!BP45</f>
        <v>0.95047778189664733</v>
      </c>
      <c r="AV46" s="6">
        <f>'a27'!BQ45</f>
        <v>36.1</v>
      </c>
      <c r="AW46" s="9">
        <f>'a27'!BR45</f>
        <v>0.27750000000000002</v>
      </c>
      <c r="AX46" s="9">
        <f t="shared" ref="AX46" si="53">AU46*AV46*AW46</f>
        <v>9.5216487995951393</v>
      </c>
      <c r="AY46" s="9">
        <f t="shared" si="31"/>
        <v>0.71407344994822386</v>
      </c>
      <c r="AZ46" s="9">
        <f>'a27'!BW45</f>
        <v>0.91713823544273421</v>
      </c>
      <c r="BA46" s="6">
        <f>'a27'!BX45</f>
        <v>30.8</v>
      </c>
      <c r="BB46" s="9">
        <f>'a27'!BY45</f>
        <v>0.35270000000000001</v>
      </c>
      <c r="BC46" s="9">
        <f t="shared" ref="BC46" si="54">AZ46*BA46*BB46</f>
        <v>9.9630193937320932</v>
      </c>
      <c r="BD46" s="9">
        <f t="shared" si="32"/>
        <v>0.69917745230007133</v>
      </c>
    </row>
    <row r="47" spans="1:56">
      <c r="A47" s="1">
        <v>2009</v>
      </c>
      <c r="B47" s="9">
        <f>'a27'!E46</f>
        <v>0.88346681775528202</v>
      </c>
      <c r="C47" s="6">
        <f>'a27'!F46</f>
        <v>33.9</v>
      </c>
      <c r="D47" s="9">
        <f>'a27'!G46</f>
        <v>0.29530000000000001</v>
      </c>
      <c r="E47" s="9">
        <f t="shared" ref="E47" si="55">B47*C47*D47</f>
        <v>8.8440947684982696</v>
      </c>
      <c r="F47" s="9">
        <f t="shared" ref="F47" si="56">(G$58-E47)/G$60</f>
        <v>0.73694049951560725</v>
      </c>
      <c r="G47" s="9">
        <f>'a27'!L46</f>
        <v>0.51479574417101426</v>
      </c>
      <c r="H47" s="6">
        <f>'a27'!M46</f>
        <v>51.2</v>
      </c>
      <c r="I47" s="9">
        <f>'a27'!N46</f>
        <v>0.31</v>
      </c>
      <c r="J47" s="9">
        <f t="shared" ref="J47" si="57">G47*H47*I47</f>
        <v>8.1708380514823382</v>
      </c>
      <c r="K47" s="9">
        <f t="shared" ref="K47" si="58">(G$58-J47)/G$60</f>
        <v>0.75966251726326073</v>
      </c>
      <c r="L47" s="9">
        <f>'a27'!S46</f>
        <v>0.81501811432564408</v>
      </c>
      <c r="M47" s="6">
        <f>'a27'!T46</f>
        <v>45.5</v>
      </c>
      <c r="N47" s="9">
        <f>'a27'!U46</f>
        <v>0.2354</v>
      </c>
      <c r="O47" s="9">
        <f t="shared" ref="O47" si="59">L47*M47*N47</f>
        <v>8.729414517107676</v>
      </c>
      <c r="P47" s="9">
        <f t="shared" ref="P47" si="60">(G$58-O47)/G$60</f>
        <v>0.74081089046982163</v>
      </c>
      <c r="Q47" s="9">
        <f>'a27'!Z46</f>
        <v>0.8073498886571786</v>
      </c>
      <c r="R47" s="6">
        <f>'a27'!AA46</f>
        <v>45</v>
      </c>
      <c r="S47" s="9">
        <f>'a27'!AC46</f>
        <v>0.12523500000000001</v>
      </c>
      <c r="T47" s="9">
        <f t="shared" ref="T47" si="61">Q47*R47*S47</f>
        <v>4.5498808487691793</v>
      </c>
      <c r="U47" s="9">
        <f t="shared" ref="U47" si="62">(G$58-T47)/G$60</f>
        <v>0.88186769063042791</v>
      </c>
      <c r="V47" s="9">
        <f>'a27'!AG46</f>
        <v>0.66275509392080079</v>
      </c>
      <c r="W47" s="6">
        <f>'a27'!AH46</f>
        <v>47.9</v>
      </c>
      <c r="X47" s="9">
        <f>'a27'!AI46</f>
        <v>0.31719999999999998</v>
      </c>
      <c r="Y47" s="9">
        <f t="shared" ref="Y47" si="63">V47*W47*X47</f>
        <v>10.069821366421376</v>
      </c>
      <c r="Z47" s="9">
        <f t="shared" ref="Z47" si="64">(G$58-Y47)/G$60</f>
        <v>0.69557294861285024</v>
      </c>
      <c r="AA47" s="9">
        <f>'a27'!AN46</f>
        <v>0.79322862218455703</v>
      </c>
      <c r="AB47" s="6">
        <f>'a27'!AO46</f>
        <v>32</v>
      </c>
      <c r="AC47" s="9">
        <f>'a27'!AP46</f>
        <v>0.27329999999999999</v>
      </c>
      <c r="AD47" s="9">
        <f t="shared" ref="AD47" si="65">AA47*AB47*AC47</f>
        <v>6.9372602381772612</v>
      </c>
      <c r="AE47" s="9">
        <f t="shared" ref="AE47" si="66">(G$58-AD47)/G$60</f>
        <v>0.80129504206191948</v>
      </c>
      <c r="AF47" s="9">
        <f>'a27'!AU46</f>
        <v>0.97034486850654122</v>
      </c>
      <c r="AG47" s="6">
        <f>'a27'!AV46</f>
        <v>32</v>
      </c>
      <c r="AH47" s="9">
        <f>'a27'!AW46</f>
        <v>0.27779999999999999</v>
      </c>
      <c r="AI47" s="9">
        <f t="shared" ref="AI47" si="67">AF47*AG47*AH47</f>
        <v>8.6259777430757492</v>
      </c>
      <c r="AJ47" s="9">
        <f t="shared" ref="AJ47" si="68">(G$58-AI47)/G$60</f>
        <v>0.74430182068397621</v>
      </c>
      <c r="AK47" s="9">
        <f>'a27'!BB46</f>
        <v>0.88761990752435038</v>
      </c>
      <c r="AL47" s="6">
        <f>'a27'!BC46</f>
        <v>53.9</v>
      </c>
      <c r="AM47" s="9">
        <f>'a27'!BD46</f>
        <v>0.2167</v>
      </c>
      <c r="AN47" s="9">
        <f t="shared" ref="AN47" si="69">AK47*AL47*AM47</f>
        <v>10.36751591047239</v>
      </c>
      <c r="AO47" s="9">
        <f t="shared" ref="AO47" si="70">(G$58-AN47)/G$60</f>
        <v>0.68552593305051368</v>
      </c>
      <c r="AP47" s="9">
        <f>'a27'!BI46</f>
        <v>0.74333264845619385</v>
      </c>
      <c r="AQ47" s="6">
        <f>'a27'!BJ46</f>
        <v>47.8</v>
      </c>
      <c r="AR47" s="162">
        <f>'a27'!BK46</f>
        <v>0.38350000000000001</v>
      </c>
      <c r="AS47" s="9">
        <f t="shared" ref="AS47" si="71">AP47*AQ47*AR47</f>
        <v>13.626253778645026</v>
      </c>
      <c r="AT47" s="9">
        <f t="shared" ref="AT47" si="72">(G$58-AS47)/G$60</f>
        <v>0.57554544892885773</v>
      </c>
      <c r="AU47" s="9">
        <f>'a27'!BP46</f>
        <v>0.92970884735706172</v>
      </c>
      <c r="AV47" s="6">
        <f>'a27'!BQ46</f>
        <v>27.4</v>
      </c>
      <c r="AW47" s="9">
        <f>'a27'!BR46</f>
        <v>0.39560000000000001</v>
      </c>
      <c r="AX47" s="9">
        <f t="shared" ref="AX47" si="73">AU47*AV47*AW47</f>
        <v>10.07752326839603</v>
      </c>
      <c r="AY47" s="9">
        <f t="shared" ref="AY47" si="74">(G$58-AX47)/G$60</f>
        <v>0.69531301395652112</v>
      </c>
      <c r="AZ47" s="9">
        <f>'a27'!BW46</f>
        <v>0.90517763933824646</v>
      </c>
      <c r="BA47" s="6">
        <f>'a27'!BX46</f>
        <v>28.5</v>
      </c>
      <c r="BB47" s="9">
        <f>'a27'!BY46</f>
        <v>0.36310000000000003</v>
      </c>
      <c r="BC47" s="9">
        <f t="shared" ref="BC47" si="75">AZ47*BA47*BB47</f>
        <v>9.3670950240459447</v>
      </c>
      <c r="BD47" s="9">
        <f t="shared" ref="BD47" si="76">(G$58-BC47)/G$60</f>
        <v>0.71928954886300456</v>
      </c>
    </row>
    <row r="48" spans="1:56">
      <c r="A48" s="1">
        <v>2010</v>
      </c>
      <c r="B48" s="9">
        <f>'a27'!E47</f>
        <v>0.87712948275730729</v>
      </c>
      <c r="C48" s="6">
        <f>'a27'!F47</f>
        <v>33.9</v>
      </c>
      <c r="D48" s="9">
        <f>'a27'!G47</f>
        <v>0.29530000000000001</v>
      </c>
      <c r="E48" s="9">
        <f t="shared" ref="E48" si="77">B48*C48*D48</f>
        <v>8.7806537991540932</v>
      </c>
      <c r="F48" s="9">
        <f t="shared" ref="F48" si="78">(G$58-E48)/G$60</f>
        <v>0.73908159487334235</v>
      </c>
      <c r="G48" s="9">
        <f>'a27'!L47</f>
        <v>0.50083393538563947</v>
      </c>
      <c r="H48" s="6">
        <f>'a27'!M47</f>
        <v>51.2</v>
      </c>
      <c r="I48" s="9">
        <f>'a27'!N47</f>
        <v>0.31</v>
      </c>
      <c r="J48" s="9">
        <f t="shared" ref="J48" si="79">G48*H48*I48</f>
        <v>7.9492362224408692</v>
      </c>
      <c r="K48" s="9">
        <f t="shared" ref="K48" si="80">(G$58-J48)/G$60</f>
        <v>0.7671414485017195</v>
      </c>
      <c r="L48" s="9">
        <f>'a27'!S47</f>
        <v>0.81693056485247473</v>
      </c>
      <c r="M48" s="6">
        <f>'a27'!T47</f>
        <v>45.5</v>
      </c>
      <c r="N48" s="9">
        <f>'a27'!U47</f>
        <v>0.2354</v>
      </c>
      <c r="O48" s="9">
        <f t="shared" ref="O48" si="81">L48*M48*N48</f>
        <v>8.7498982009654007</v>
      </c>
      <c r="P48" s="9">
        <f t="shared" ref="P48" si="82">(G$58-O48)/G$60</f>
        <v>0.74011957820157492</v>
      </c>
      <c r="Q48" s="9">
        <f>'a27'!Z47</f>
        <v>0.80084262857796007</v>
      </c>
      <c r="R48" s="6">
        <f>'a27'!AA47</f>
        <v>45</v>
      </c>
      <c r="S48" s="9">
        <f>'a27'!AC47</f>
        <v>0.12523500000000001</v>
      </c>
      <c r="T48" s="9">
        <f t="shared" ref="T48" si="83">Q48*R48*S48</f>
        <v>4.5132086965482374</v>
      </c>
      <c r="U48" s="9">
        <f t="shared" ref="U48" si="84">(G$58-T48)/G$60</f>
        <v>0.88310535417324743</v>
      </c>
      <c r="V48" s="9">
        <f>'a27'!AG47</f>
        <v>0.64089392656154065</v>
      </c>
      <c r="W48" s="6">
        <f>'a27'!AH47</f>
        <v>47.9</v>
      </c>
      <c r="X48" s="9">
        <f>'a27'!AI47</f>
        <v>0.31719999999999998</v>
      </c>
      <c r="Y48" s="9">
        <f t="shared" ref="Y48" si="85">V48*W48*X48</f>
        <v>9.7376654129048603</v>
      </c>
      <c r="Z48" s="9">
        <f t="shared" ref="Z48" si="86">(G$58-Y48)/G$60</f>
        <v>0.70678301645182051</v>
      </c>
      <c r="AA48" s="9">
        <f>'a27'!AN47</f>
        <v>0.77699075681616969</v>
      </c>
      <c r="AB48" s="6">
        <f>'a27'!AO47</f>
        <v>32</v>
      </c>
      <c r="AC48" s="9">
        <f>'a27'!AP47</f>
        <v>0.27329999999999999</v>
      </c>
      <c r="AD48" s="9">
        <f t="shared" ref="AD48" si="87">AA48*AB48*AC48</f>
        <v>6.7952503628114931</v>
      </c>
      <c r="AE48" s="9">
        <f t="shared" ref="AE48" si="88">(G$58-AD48)/G$60</f>
        <v>0.80608779173206757</v>
      </c>
      <c r="AF48" s="9">
        <f>'a27'!AU47</f>
        <v>0.97991737354720321</v>
      </c>
      <c r="AG48" s="6">
        <f>'a27'!AV47</f>
        <v>32</v>
      </c>
      <c r="AH48" s="9">
        <f>'a27'!AW47</f>
        <v>0.27779999999999999</v>
      </c>
      <c r="AI48" s="9">
        <f t="shared" ref="AI48" si="89">AF48*AG48*AH48</f>
        <v>8.7110734838852171</v>
      </c>
      <c r="AJ48" s="9">
        <f t="shared" ref="AJ48" si="90">(G$58-AI48)/G$60</f>
        <v>0.74142988954084177</v>
      </c>
      <c r="AK48" s="9">
        <f>'a27'!BB47</f>
        <v>0.88699488403483817</v>
      </c>
      <c r="AL48" s="6">
        <f>'a27'!BC47</f>
        <v>53.9</v>
      </c>
      <c r="AM48" s="9">
        <f>'a27'!BD47</f>
        <v>0.2167</v>
      </c>
      <c r="AN48" s="9">
        <f t="shared" ref="AN48" si="91">AK48*AL48*AM48</f>
        <v>10.360215554861833</v>
      </c>
      <c r="AO48" s="9">
        <f t="shared" ref="AO48" si="92">(G$58-AN48)/G$60</f>
        <v>0.68577231575350761</v>
      </c>
      <c r="AP48" s="9">
        <f>'a27'!BI47</f>
        <v>0.72522047325332184</v>
      </c>
      <c r="AQ48" s="6">
        <f>'a27'!BJ47</f>
        <v>47.8</v>
      </c>
      <c r="AR48" s="162">
        <f>'a27'!BK47</f>
        <v>0.38350000000000001</v>
      </c>
      <c r="AS48" s="9">
        <f t="shared" ref="AS48" si="93">AP48*AQ48*AR48</f>
        <v>13.294234061348618</v>
      </c>
      <c r="AT48" s="9">
        <f t="shared" ref="AT48" si="94">(G$58-AS48)/G$60</f>
        <v>0.58675091887562303</v>
      </c>
      <c r="AU48" s="9">
        <f>'a27'!BP47</f>
        <v>0.90801014671665969</v>
      </c>
      <c r="AV48" s="6">
        <f>'a27'!BQ47</f>
        <v>27.4</v>
      </c>
      <c r="AW48" s="9">
        <f>'a27'!BR47</f>
        <v>0.39560000000000001</v>
      </c>
      <c r="AX48" s="9">
        <f t="shared" ref="AX48" si="95">AU48*AV48*AW48</f>
        <v>9.8423215047264296</v>
      </c>
      <c r="AY48" s="9">
        <f t="shared" ref="AY48" si="96">(G$58-AX48)/G$60</f>
        <v>0.70325093498026869</v>
      </c>
      <c r="AZ48" s="9">
        <f>'a27'!BW47</f>
        <v>0.89326832820297597</v>
      </c>
      <c r="BA48" s="6">
        <f>'a27'!BX47</f>
        <v>28.5</v>
      </c>
      <c r="BB48" s="9">
        <f>'a27'!BY47</f>
        <v>0.36310000000000003</v>
      </c>
      <c r="BC48" s="9">
        <f t="shared" ref="BC48" si="97">AZ48*BA48*BB48</f>
        <v>9.2438533041592681</v>
      </c>
      <c r="BD48" s="9">
        <f t="shared" ref="BD48" si="98">(G$58-BC48)/G$60</f>
        <v>0.72344888433748467</v>
      </c>
    </row>
    <row r="49" spans="1:138">
      <c r="B49" s="257" t="s">
        <v>967</v>
      </c>
      <c r="C49" s="6"/>
      <c r="D49" s="9"/>
      <c r="E49" s="9"/>
      <c r="F49" s="9"/>
      <c r="G49" s="9"/>
      <c r="H49" s="6"/>
      <c r="I49" s="9"/>
      <c r="J49" s="9"/>
      <c r="K49" s="9"/>
      <c r="L49" s="9"/>
      <c r="M49" s="6"/>
      <c r="N49" s="9"/>
      <c r="O49" s="9"/>
      <c r="P49" s="9"/>
      <c r="Q49" s="9"/>
      <c r="R49" s="6"/>
      <c r="S49" s="9"/>
      <c r="T49" s="9"/>
      <c r="U49" s="9"/>
      <c r="V49" s="9"/>
      <c r="W49" s="6"/>
      <c r="X49" s="9"/>
      <c r="Y49" s="9"/>
      <c r="Z49" s="9"/>
      <c r="AA49" s="9"/>
      <c r="AB49" s="6"/>
      <c r="AC49" s="9"/>
      <c r="AD49" s="9"/>
      <c r="AE49" s="9"/>
      <c r="AF49" s="9"/>
      <c r="AG49" s="6"/>
      <c r="AH49" s="9"/>
      <c r="AI49" s="9"/>
      <c r="AJ49" s="9"/>
      <c r="AK49" s="9"/>
      <c r="AL49" s="6"/>
      <c r="AM49" s="9"/>
      <c r="AN49" s="9"/>
      <c r="AO49" s="9"/>
      <c r="AP49" s="9"/>
      <c r="AQ49" s="6"/>
      <c r="AR49" s="162"/>
      <c r="AS49" s="9"/>
      <c r="AT49" s="9"/>
      <c r="AU49" s="9"/>
      <c r="AV49" s="6"/>
      <c r="AW49" s="9"/>
      <c r="AX49" s="9"/>
      <c r="AY49" s="9"/>
      <c r="AZ49" s="9"/>
      <c r="BA49" s="6"/>
      <c r="BB49" s="9"/>
      <c r="BC49" s="9"/>
      <c r="BD49" s="9"/>
    </row>
    <row r="50" spans="1:138">
      <c r="A50" s="1" t="s">
        <v>988</v>
      </c>
      <c r="B50" s="13">
        <f>(POWER(B48/B19, 1/29)-1)*100</f>
        <v>-0.82575564755097419</v>
      </c>
      <c r="C50" s="13">
        <f>(POWER(C48/C19, 1/29)-1)*100</f>
        <v>-0.97954070501959922</v>
      </c>
      <c r="D50" s="13">
        <f>(POWER(D48/D19, 1/29)-1)*100</f>
        <v>-0.88465188075232959</v>
      </c>
      <c r="E50" s="13">
        <f>(POWER(E48/E19, 1/29)-1)*100</f>
        <v>-2.6659605885592796</v>
      </c>
      <c r="G50" s="13">
        <f>(POWER(G48/G19, 1/29)-1)*100</f>
        <v>0.43045594546273769</v>
      </c>
      <c r="H50" s="13">
        <f>(POWER(H48/H19, 1/29)-1)*100</f>
        <v>-0.10605289194529632</v>
      </c>
      <c r="I50" s="13">
        <f>(POWER(I48/I19, 1/29)-1)*100</f>
        <v>-1.4153729229731904</v>
      </c>
      <c r="J50" s="13">
        <f>(POWER(J48/J19, 1/29)-1)*100</f>
        <v>-1.0960114320824665</v>
      </c>
      <c r="L50" s="13">
        <f>(POWER(L48/L19, 1/29)-1)*100</f>
        <v>0.75554425154273908</v>
      </c>
      <c r="M50" s="13">
        <f>(POWER(M48/M19, 1/29)-1)*100</f>
        <v>-0.46598889665686594</v>
      </c>
      <c r="N50" s="13">
        <f>(POWER(N48/N19, 1/29)-1)*100</f>
        <v>-1.0220890336288813</v>
      </c>
      <c r="O50" s="13">
        <f>(POWER(O48/O19, 1/29)-1)*100</f>
        <v>-0.73897795936972432</v>
      </c>
      <c r="Q50" s="13">
        <f>(POWER(Q48/Q19, 1/29)-1)*100</f>
        <v>-1.1716898298624434</v>
      </c>
      <c r="R50" s="13">
        <f>(POWER(R48/R19, 1/29)-1)*100</f>
        <v>-1.0989919714528562</v>
      </c>
      <c r="S50" s="13">
        <f>(POWER(S48/S19, 1/29)-1)*100</f>
        <v>-2.3885182243349012</v>
      </c>
      <c r="T50" s="13">
        <f>(POWER(T48/T19, 1/29)-1)*100</f>
        <v>-4.5923951640178036</v>
      </c>
      <c r="V50" s="13">
        <f>(POWER(V48/V19, 1/29)-1)*100</f>
        <v>-0.75834699635065617</v>
      </c>
      <c r="W50" s="13">
        <f>(POWER(W48/W19, 1/29)-1)*100</f>
        <v>-1.0260750998277834</v>
      </c>
      <c r="X50" s="13">
        <f>(POWER(X48/X19, 1/29)-1)*100</f>
        <v>-0.82043546148019564</v>
      </c>
      <c r="Y50" s="13">
        <f>(POWER(Y48/Y19, 1/29)-1)*100</f>
        <v>-2.5825001561029626</v>
      </c>
      <c r="AA50" s="13">
        <f>(POWER(AA48/AA19, 1/29)-1)*100</f>
        <v>-1.5592022317889254</v>
      </c>
      <c r="AB50" s="13">
        <f>(POWER(AB48/AB19, 1/29)-1)*100</f>
        <v>-1.4723557451134406</v>
      </c>
      <c r="AC50" s="13">
        <f>(POWER(AC48/AC19, 1/29)-1)*100</f>
        <v>-1.4925175136585866</v>
      </c>
      <c r="AD50" s="13">
        <f>(POWER(AD48/AD19, 1/29)-1)*100</f>
        <v>-4.4562145904812001</v>
      </c>
      <c r="AF50" s="13">
        <f>(POWER(AF48/AF19, 1/29)-1)*100</f>
        <v>-1.1588098837289618E-2</v>
      </c>
      <c r="AG50" s="13">
        <f>(POWER(AG48/AG19, 1/29)-1)*100</f>
        <v>-0.74074385116783548</v>
      </c>
      <c r="AH50" s="13">
        <f>(POWER(AH48/AH19, 1/29)-1)*100</f>
        <v>-0.83622467646694565</v>
      </c>
      <c r="AI50" s="13">
        <f>(POWER(AI48/AI19, 1/29)-1)*100</f>
        <v>-1.5821803207272001</v>
      </c>
      <c r="AK50" s="13">
        <f>(POWER(AK48/AK19, 1/29)-1)*100</f>
        <v>-0.25203510138082086</v>
      </c>
      <c r="AL50" s="13">
        <f>(POWER(AL48/AL19, 1/29)-1)*100</f>
        <v>0.30107319259262688</v>
      </c>
      <c r="AM50" s="13">
        <f>(POWER(AM48/AM19, 1/29)-1)*100</f>
        <v>-2.1788842550761078</v>
      </c>
      <c r="AN50" s="13">
        <f>(POWER(AN48/AN19, 1/29)-1)*100</f>
        <v>-2.1316569236445315</v>
      </c>
      <c r="AP50" s="13">
        <f>(POWER(AP48/AP19, 1/29)-1)*100</f>
        <v>-0.40518770582497199</v>
      </c>
      <c r="AQ50" s="13">
        <f>(POWER(AQ48/AQ19, 1/29)-1)*100</f>
        <v>-0.59309861993055435</v>
      </c>
      <c r="AR50" s="13">
        <f>(POWER(AR48/AR19, 1/29)-1)*100</f>
        <v>0.77696205796908835</v>
      </c>
      <c r="AS50" s="13">
        <f>(POWER(AS48/AS19, 1/29)-1)*100</f>
        <v>-0.22665873941378756</v>
      </c>
      <c r="AU50" s="13">
        <f>(POWER(AU48/AU19, 1/29)-1)*100</f>
        <v>-1.7671568343801902</v>
      </c>
      <c r="AV50" s="13">
        <f>(POWER(AV48/AV19, 1/29)-1)*100</f>
        <v>-0.12353098852224687</v>
      </c>
      <c r="AW50" s="13">
        <f>(POWER(AW48/AW19, 1/29)-1)*100</f>
        <v>-4.9317757291811315E-2</v>
      </c>
      <c r="AX50" s="13">
        <f>(POWER(AX48/AX19, 1/29)-1)*100</f>
        <v>-1.9368912256562343</v>
      </c>
      <c r="AZ50" s="13">
        <f>(POWER(AZ48/AZ19, 1/29)-1)*100</f>
        <v>-1.3846801672854681</v>
      </c>
      <c r="BA50" s="13">
        <f>(POWER(BA48/BA19, 1/29)-1)*100</f>
        <v>-1.8026152180315669</v>
      </c>
      <c r="BB50" s="13">
        <f>(POWER(BB48/BB19, 1/29)-1)*100</f>
        <v>0.20160509074362842</v>
      </c>
      <c r="BC50" s="13">
        <f>(POWER(BC48/BC19, 1/29)-1)*100</f>
        <v>-2.9671052673618803</v>
      </c>
      <c r="BE50" s="13"/>
      <c r="BF50" s="13"/>
      <c r="BG50" s="13"/>
      <c r="BH50" s="13"/>
      <c r="BJ50" s="13"/>
      <c r="BK50" s="13"/>
      <c r="BL50" s="13"/>
      <c r="BM50" s="13"/>
      <c r="BN50" s="13"/>
      <c r="BO50" s="13"/>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row>
    <row r="51" spans="1:138">
      <c r="B51" s="267" t="s">
        <v>968</v>
      </c>
      <c r="C51" s="13"/>
      <c r="D51" s="13"/>
      <c r="E51" s="13"/>
      <c r="F51" s="13"/>
      <c r="G51" s="13"/>
      <c r="H51" s="13"/>
      <c r="I51" s="13"/>
      <c r="J51" s="13"/>
      <c r="K51" s="13"/>
      <c r="L51" s="13"/>
      <c r="M51" s="13"/>
      <c r="N51" s="13"/>
      <c r="O51" s="13"/>
      <c r="P51" s="13"/>
      <c r="Q51" s="267" t="s">
        <v>968</v>
      </c>
      <c r="R51" s="13"/>
      <c r="S51" s="13"/>
      <c r="T51" s="13"/>
      <c r="U51" s="13"/>
      <c r="V51" s="13"/>
      <c r="W51" s="13"/>
      <c r="X51" s="13"/>
      <c r="Y51" s="13"/>
      <c r="Z51" s="13"/>
      <c r="AA51" s="13"/>
      <c r="AB51" s="13"/>
      <c r="AC51" s="13"/>
      <c r="AD51" s="13"/>
      <c r="AE51" s="13"/>
      <c r="AF51" s="267" t="s">
        <v>968</v>
      </c>
      <c r="AG51" s="13"/>
      <c r="AH51" s="13"/>
      <c r="AI51" s="13"/>
      <c r="AJ51" s="13"/>
      <c r="AK51" s="13"/>
      <c r="AL51" s="13"/>
      <c r="AM51" s="13"/>
      <c r="AN51" s="13"/>
      <c r="AO51" s="13"/>
      <c r="AP51" s="13"/>
      <c r="AQ51" s="13"/>
      <c r="AR51" s="13"/>
      <c r="AS51" s="13"/>
      <c r="AT51" s="13"/>
      <c r="AU51" s="267" t="s">
        <v>968</v>
      </c>
      <c r="AV51" s="13"/>
      <c r="AW51" s="13"/>
      <c r="AX51" s="13"/>
      <c r="AY51" s="13"/>
      <c r="AZ51" s="13"/>
      <c r="BA51" s="13"/>
      <c r="BB51" s="13"/>
      <c r="BC51" s="13"/>
      <c r="BD51" s="13"/>
      <c r="BE51" s="13"/>
      <c r="BF51" s="13"/>
      <c r="BG51" s="13"/>
      <c r="BH51" s="13"/>
      <c r="BI51" s="13"/>
      <c r="BJ51" s="13"/>
      <c r="BK51" s="13"/>
      <c r="BL51" s="13"/>
      <c r="BM51" s="13"/>
      <c r="BN51" s="13"/>
      <c r="BO51" s="13"/>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row>
    <row r="52" spans="1:138" s="252" customFormat="1">
      <c r="A52" s="252" t="s">
        <v>988</v>
      </c>
      <c r="B52" s="271"/>
      <c r="C52" s="271"/>
      <c r="D52" s="271"/>
      <c r="E52" s="271"/>
      <c r="F52" s="271">
        <f>F48-F19</f>
        <v>0.35246489368231365</v>
      </c>
      <c r="G52" s="271"/>
      <c r="H52" s="271"/>
      <c r="I52" s="271"/>
      <c r="J52" s="271"/>
      <c r="K52" s="271">
        <f>K48-K19</f>
        <v>0.1010280945364429</v>
      </c>
      <c r="L52" s="271"/>
      <c r="M52" s="271"/>
      <c r="N52" s="271"/>
      <c r="O52" s="271"/>
      <c r="P52" s="271">
        <f>P48-P19</f>
        <v>7.0868537249125785E-2</v>
      </c>
      <c r="Q52" s="271"/>
      <c r="R52" s="271"/>
      <c r="S52" s="271"/>
      <c r="T52" s="271"/>
      <c r="U52" s="271">
        <f>U48-U19</f>
        <v>0.44313119636774745</v>
      </c>
      <c r="V52" s="271"/>
      <c r="W52" s="271"/>
      <c r="X52" s="271"/>
      <c r="Y52" s="271"/>
      <c r="Z52" s="271">
        <f>Z48-Z19</f>
        <v>0.37321653715486458</v>
      </c>
      <c r="AA52" s="271"/>
      <c r="AB52" s="271"/>
      <c r="AC52" s="271"/>
      <c r="AD52" s="271"/>
      <c r="AE52" s="271">
        <f>AE48-AE19</f>
        <v>0.63086697862458674</v>
      </c>
      <c r="AF52" s="271"/>
      <c r="AG52" s="271"/>
      <c r="AH52" s="271"/>
      <c r="AI52" s="271"/>
      <c r="AJ52" s="271">
        <f>AJ48-AJ19</f>
        <v>0.17288012069015002</v>
      </c>
      <c r="AK52" s="271"/>
      <c r="AL52" s="271"/>
      <c r="AM52" s="271"/>
      <c r="AN52" s="271"/>
      <c r="AO52" s="271">
        <f>AO48-AO19</f>
        <v>0.30349465093806455</v>
      </c>
      <c r="AP52" s="271"/>
      <c r="AQ52" s="271"/>
      <c r="AR52" s="271"/>
      <c r="AS52" s="271"/>
      <c r="AT52" s="271">
        <f>AT48-AT19</f>
        <v>3.0518311902880124E-2</v>
      </c>
      <c r="AU52" s="271"/>
      <c r="AV52" s="271"/>
      <c r="AW52" s="271"/>
      <c r="AX52" s="271"/>
      <c r="AY52" s="271">
        <f>AY48-AY19</f>
        <v>0.25356044548733153</v>
      </c>
      <c r="AZ52" s="271"/>
      <c r="BA52" s="271"/>
      <c r="BB52" s="271"/>
      <c r="BC52" s="271"/>
      <c r="BD52" s="271">
        <f>BD48-BD19</f>
        <v>0.43528000327387401</v>
      </c>
      <c r="BE52" s="271"/>
      <c r="BF52" s="271"/>
      <c r="BG52" s="271"/>
      <c r="BH52" s="271"/>
      <c r="BI52" s="271"/>
      <c r="BJ52" s="271"/>
      <c r="BK52" s="271"/>
      <c r="BL52" s="271"/>
      <c r="BM52" s="271"/>
      <c r="BN52" s="271"/>
      <c r="BO52" s="271"/>
      <c r="BP52" s="269"/>
      <c r="BQ52" s="269"/>
      <c r="BR52" s="269"/>
      <c r="BS52" s="269"/>
      <c r="BT52" s="269"/>
      <c r="BU52" s="269"/>
      <c r="BV52" s="269"/>
      <c r="BW52" s="269"/>
      <c r="BX52" s="269"/>
      <c r="BY52" s="269"/>
      <c r="BZ52" s="269"/>
      <c r="CA52" s="269"/>
      <c r="CB52" s="269"/>
      <c r="CC52" s="269"/>
      <c r="CD52" s="269"/>
      <c r="CE52" s="269"/>
      <c r="CF52" s="269"/>
      <c r="CG52" s="269"/>
      <c r="CH52" s="269"/>
      <c r="CI52" s="269"/>
      <c r="CJ52" s="269"/>
      <c r="CK52" s="269"/>
      <c r="CL52" s="269"/>
      <c r="CM52" s="269"/>
      <c r="CN52" s="269"/>
      <c r="CO52" s="269"/>
      <c r="CP52" s="269"/>
      <c r="CQ52" s="269"/>
      <c r="CR52" s="269"/>
      <c r="CS52" s="269"/>
      <c r="CT52" s="269"/>
      <c r="CU52" s="269"/>
      <c r="CV52" s="269"/>
      <c r="CW52" s="269"/>
      <c r="CX52" s="269"/>
      <c r="CY52" s="269"/>
      <c r="CZ52" s="269"/>
      <c r="DA52" s="269"/>
      <c r="DB52" s="269"/>
      <c r="DC52" s="269"/>
      <c r="DD52" s="269"/>
      <c r="DE52" s="269"/>
      <c r="DF52" s="269"/>
      <c r="DG52" s="269"/>
      <c r="DH52" s="269"/>
      <c r="DI52" s="269"/>
      <c r="DJ52" s="269"/>
      <c r="DK52" s="269"/>
      <c r="DL52" s="269"/>
      <c r="DM52" s="269"/>
      <c r="DN52" s="269"/>
      <c r="DO52" s="269"/>
      <c r="DP52" s="269"/>
      <c r="DQ52" s="269"/>
      <c r="DR52" s="269"/>
      <c r="DS52" s="269"/>
      <c r="DT52" s="269"/>
      <c r="DU52" s="269"/>
      <c r="DV52" s="269"/>
      <c r="DW52" s="269"/>
      <c r="DX52" s="269"/>
      <c r="DY52" s="269"/>
      <c r="DZ52" s="269"/>
      <c r="EA52" s="269"/>
      <c r="EB52" s="269"/>
      <c r="EC52" s="269"/>
      <c r="ED52" s="269"/>
      <c r="EE52" s="269"/>
      <c r="EF52" s="269"/>
      <c r="EG52" s="269"/>
      <c r="EH52" s="269"/>
    </row>
    <row r="53" spans="1:138">
      <c r="B53" s="1" t="s">
        <v>1147</v>
      </c>
      <c r="E53" s="1">
        <f>(E48-E19)/E19</f>
        <v>-0.54325093345988462</v>
      </c>
      <c r="F53" s="1">
        <f>(F48-F19)/F19</f>
        <v>0.91166494514203478</v>
      </c>
      <c r="G53" s="1">
        <f>(G48-G19)/G19</f>
        <v>0.13265486917973923</v>
      </c>
      <c r="K53" s="1">
        <f>(K48-K19)/K19</f>
        <v>0.15166802156875739</v>
      </c>
      <c r="L53" s="1">
        <f>(L48-L19)/L19</f>
        <v>0.24394060796212785</v>
      </c>
      <c r="P53" s="1">
        <f>(P48-P19)/P19</f>
        <v>0.10589230783753245</v>
      </c>
      <c r="Q53" s="1" t="s">
        <v>380</v>
      </c>
      <c r="S53" s="1">
        <f>(S48-S19)/S19</f>
        <v>-0.50394907788833254</v>
      </c>
      <c r="U53" s="1">
        <f>(U48-U19)/U19</f>
        <v>1.0071755090753378</v>
      </c>
      <c r="Z53" s="1">
        <f>(Z48-Z19)/Z19</f>
        <v>1.1188670334665445</v>
      </c>
      <c r="AE53" s="1">
        <f>(AE48-AE19)/AE19</f>
        <v>3.6004112036485738</v>
      </c>
      <c r="AF53" s="1" t="s">
        <v>380</v>
      </c>
      <c r="AJ53" s="1">
        <f>(AJ48-AJ19)/AJ19</f>
        <v>0.3040720973990062</v>
      </c>
      <c r="AL53" s="1">
        <f>(AL48-AL19)/AL19</f>
        <v>9.1093117408906882E-2</v>
      </c>
      <c r="AO53" s="1">
        <f>(AO48-AO19)/AO19</f>
        <v>0.79391154354933713</v>
      </c>
      <c r="AR53" s="1">
        <f>(AR48-AR19)/AR19</f>
        <v>0.25163185378590081</v>
      </c>
      <c r="AT53" s="1">
        <f>(AT48-AT19)/AT19</f>
        <v>5.4866096522053792E-2</v>
      </c>
      <c r="AU53" s="1" t="s">
        <v>380</v>
      </c>
      <c r="AY53" s="1">
        <f>(AY48-AY19)/AY19</f>
        <v>0.56385547707099981</v>
      </c>
      <c r="BA53" s="1">
        <f>(BA48-BA19)/BA19</f>
        <v>-0.40993788819875771</v>
      </c>
      <c r="BB53" s="1">
        <f>(BB48-BB19)/BB19</f>
        <v>6.0145985401459871E-2</v>
      </c>
      <c r="BD53" s="1">
        <f>(BD48-BD19)/BD19</f>
        <v>1.5105031524128725</v>
      </c>
    </row>
    <row r="54" spans="1:138">
      <c r="F54" s="1" t="s">
        <v>572</v>
      </c>
      <c r="G54" s="142">
        <f>MAX(E19:E46,J19:J46,O19:O46,T19:T46,Y19:Y46,AD19:AD46,AI19:AI46,AN19:AN46,AS19:AS46,AX19:AX46,BC19:BC46)</f>
        <v>28.210570924314567</v>
      </c>
    </row>
    <row r="55" spans="1:138">
      <c r="F55" s="1" t="s">
        <v>573</v>
      </c>
      <c r="G55" s="142">
        <f>MIN(E19:E46,J19:J46,O19:O46,T19:T46,Y19:Y46,AD19:AD46,AI19:AI46,AN19:AN46,AS19:AS46,AX19:AX46,BC19:BC46)</f>
        <v>3.5187820871244853</v>
      </c>
    </row>
    <row r="56" spans="1:138">
      <c r="F56" s="1" t="s">
        <v>430</v>
      </c>
      <c r="G56" s="142">
        <f>G54-G55</f>
        <v>24.691788837190082</v>
      </c>
    </row>
    <row r="57" spans="1:138">
      <c r="F57" s="1" t="s">
        <v>384</v>
      </c>
      <c r="G57" s="142">
        <f>G56/10</f>
        <v>2.4691788837190081</v>
      </c>
    </row>
    <row r="58" spans="1:138">
      <c r="F58" s="1" t="s">
        <v>576</v>
      </c>
      <c r="G58" s="142">
        <f>G54+G57</f>
        <v>30.679749808033574</v>
      </c>
    </row>
    <row r="59" spans="1:138">
      <c r="F59" s="1" t="s">
        <v>577</v>
      </c>
      <c r="G59" s="142">
        <f>G55-G57</f>
        <v>1.0496032034054772</v>
      </c>
    </row>
    <row r="60" spans="1:138">
      <c r="F60" s="1" t="s">
        <v>432</v>
      </c>
      <c r="G60" s="142">
        <f>G58-G59</f>
        <v>29.630146604628095</v>
      </c>
    </row>
  </sheetData>
  <phoneticPr fontId="0" type="noConversion"/>
  <pageMargins left="0.15748031496062992" right="0.15748031496062992" top="0.39370078740157483" bottom="0.39370078740157483" header="0.51181102362204722" footer="0.51181102362204722"/>
  <pageSetup scale="80" orientation="landscape" r:id="rId1"/>
  <headerFooter alignWithMargins="0"/>
  <colBreaks count="3" manualBreakCount="3">
    <brk id="16" max="44" man="1"/>
    <brk id="31" max="1048575" man="1"/>
    <brk id="46" max="1048575" man="1"/>
  </colBreaks>
</worksheet>
</file>

<file path=xl/worksheets/sheet70.xml><?xml version="1.0" encoding="utf-8"?>
<worksheet xmlns="http://schemas.openxmlformats.org/spreadsheetml/2006/main" xmlns:r="http://schemas.openxmlformats.org/officeDocument/2006/relationships">
  <dimension ref="A1:C25"/>
  <sheetViews>
    <sheetView workbookViewId="0">
      <selection activeCell="E9" sqref="E9"/>
    </sheetView>
  </sheetViews>
  <sheetFormatPr defaultRowHeight="12.75"/>
  <sheetData>
    <row r="1" spans="1:1" ht="15.75">
      <c r="A1" s="404" t="s">
        <v>1417</v>
      </c>
    </row>
    <row r="19" spans="1:3">
      <c r="A19" s="206" t="s">
        <v>1418</v>
      </c>
    </row>
    <row r="20" spans="1:3">
      <c r="B20">
        <v>1981</v>
      </c>
      <c r="C20" s="206">
        <v>2010</v>
      </c>
    </row>
    <row r="21" spans="1:3">
      <c r="A21" t="s">
        <v>1205</v>
      </c>
      <c r="B21" s="392">
        <f>'1'!H19</f>
        <v>26544.414111916678</v>
      </c>
      <c r="C21" s="392">
        <f>'1'!H48</f>
        <v>45116.553592349832</v>
      </c>
    </row>
    <row r="22" spans="1:3">
      <c r="A22" t="s">
        <v>1206</v>
      </c>
      <c r="B22" s="392">
        <f>'1'!B19</f>
        <v>14849.083890899707</v>
      </c>
      <c r="C22" s="392">
        <f>'1'!B48</f>
        <v>24951.77076289618</v>
      </c>
    </row>
    <row r="23" spans="1:3">
      <c r="A23" t="s">
        <v>1207</v>
      </c>
      <c r="B23" s="392">
        <f>'1'!E19</f>
        <v>7405.6692300550103</v>
      </c>
      <c r="C23" s="392">
        <f>'1'!E48</f>
        <v>12773.786626708114</v>
      </c>
    </row>
    <row r="24" spans="1:3">
      <c r="A24" t="s">
        <v>1208</v>
      </c>
      <c r="B24" s="392">
        <f>'1'!D19</f>
        <v>6046.2166026798013</v>
      </c>
      <c r="C24" s="392">
        <f>'1'!D48</f>
        <v>8978.2285228480359</v>
      </c>
    </row>
    <row r="25" spans="1:3">
      <c r="A25" t="s">
        <v>1209</v>
      </c>
      <c r="B25" s="392">
        <f>'1'!F19</f>
        <v>1756.5556117178382</v>
      </c>
      <c r="C25" s="392">
        <f>'1'!F48</f>
        <v>3234.7173666806088</v>
      </c>
    </row>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dimension ref="A1:L50"/>
  <sheetViews>
    <sheetView workbookViewId="0">
      <selection activeCell="E9" sqref="E9"/>
    </sheetView>
  </sheetViews>
  <sheetFormatPr defaultRowHeight="12.75"/>
  <sheetData>
    <row r="1" spans="1:1" ht="15.75">
      <c r="A1" s="404" t="s">
        <v>1416</v>
      </c>
    </row>
    <row r="19" spans="1:12" ht="15.75">
      <c r="A19" s="2" t="s">
        <v>1210</v>
      </c>
    </row>
    <row r="20" spans="1:12">
      <c r="A20" s="206" t="s">
        <v>1415</v>
      </c>
      <c r="B20" t="s">
        <v>1211</v>
      </c>
      <c r="C20" t="s">
        <v>1207</v>
      </c>
      <c r="D20" t="s">
        <v>1208</v>
      </c>
      <c r="E20" t="s">
        <v>1209</v>
      </c>
      <c r="F20" t="s">
        <v>1205</v>
      </c>
      <c r="G20" s="206" t="s">
        <v>1271</v>
      </c>
      <c r="H20" t="s">
        <v>1211</v>
      </c>
      <c r="I20" t="s">
        <v>1207</v>
      </c>
      <c r="J20" t="s">
        <v>1208</v>
      </c>
      <c r="K20" t="s">
        <v>1209</v>
      </c>
      <c r="L20" t="s">
        <v>1205</v>
      </c>
    </row>
    <row r="21" spans="1:12">
      <c r="A21" s="1">
        <v>1981</v>
      </c>
      <c r="B21" s="578">
        <f>'1'!B19</f>
        <v>14849.083890899707</v>
      </c>
      <c r="C21" s="578">
        <f>'1'!E19</f>
        <v>7405.6692300550103</v>
      </c>
      <c r="D21" s="578">
        <f>'1'!D19</f>
        <v>6046.2166026798013</v>
      </c>
      <c r="E21" s="578">
        <f>'1'!F19</f>
        <v>1756.5556117178382</v>
      </c>
      <c r="F21" s="578">
        <f>'1'!H19</f>
        <v>26544.414111916678</v>
      </c>
      <c r="G21" s="1">
        <v>1981</v>
      </c>
      <c r="H21">
        <f t="shared" ref="H21" si="0">100*B21/$B$21</f>
        <v>100</v>
      </c>
      <c r="I21">
        <f t="shared" ref="I21" si="1">100*C21/$C$21</f>
        <v>100</v>
      </c>
      <c r="J21">
        <f t="shared" ref="J21" si="2">100*D21/$D$21</f>
        <v>100.00000000000001</v>
      </c>
      <c r="K21">
        <f t="shared" ref="K21" si="3">100*E21/$E$21</f>
        <v>100</v>
      </c>
      <c r="L21">
        <f t="shared" ref="L21" si="4">100*F21/$F$21</f>
        <v>100</v>
      </c>
    </row>
    <row r="22" spans="1:12">
      <c r="A22" s="1">
        <v>1982</v>
      </c>
      <c r="B22" s="578">
        <f>'1'!B20</f>
        <v>14311.933355581265</v>
      </c>
      <c r="C22" s="578">
        <f>'1'!E20</f>
        <v>7110.781754250771</v>
      </c>
      <c r="D22" s="578">
        <f>'1'!D20</f>
        <v>6138.4499318862509</v>
      </c>
      <c r="E22" s="578">
        <f>'1'!F20</f>
        <v>1699.3679735880385</v>
      </c>
      <c r="F22" s="578">
        <f>'1'!H20</f>
        <v>25886.383054395639</v>
      </c>
      <c r="G22" s="1">
        <v>1982</v>
      </c>
      <c r="H22">
        <f t="shared" ref="H22:H50" si="5">100*B22/$B$21</f>
        <v>96.382601517608535</v>
      </c>
      <c r="I22">
        <f t="shared" ref="I22:I50" si="6">100*C22/$C$21</f>
        <v>96.018084704519694</v>
      </c>
      <c r="J22">
        <f t="shared" ref="J22:J50" si="7">100*D22/$D$21</f>
        <v>101.5254717994319</v>
      </c>
      <c r="K22">
        <f t="shared" ref="K22:K50" si="8">100*E22/$E$21</f>
        <v>96.744330908266974</v>
      </c>
      <c r="L22">
        <f t="shared" ref="L22:L50" si="9">100*F22/$F$21</f>
        <v>97.521018716982624</v>
      </c>
    </row>
    <row r="23" spans="1:12">
      <c r="A23" s="1">
        <v>1983</v>
      </c>
      <c r="B23" s="578">
        <f>'1'!B21</f>
        <v>14573.776993872734</v>
      </c>
      <c r="C23" s="578">
        <f>'1'!E21</f>
        <v>7169.8099742335135</v>
      </c>
      <c r="D23" s="578">
        <f>'1'!D21</f>
        <v>6160.4458929331195</v>
      </c>
      <c r="E23" s="578">
        <f>'1'!F21</f>
        <v>1760.7758431142558</v>
      </c>
      <c r="F23" s="578">
        <f>'1'!H21</f>
        <v>26202.045567967176</v>
      </c>
      <c r="G23" s="1">
        <v>1983</v>
      </c>
      <c r="H23">
        <f t="shared" si="5"/>
        <v>98.145967124640634</v>
      </c>
      <c r="I23">
        <f t="shared" si="6"/>
        <v>96.815152709436575</v>
      </c>
      <c r="J23">
        <f t="shared" si="7"/>
        <v>101.88926890582599</v>
      </c>
      <c r="K23">
        <f t="shared" si="8"/>
        <v>100.24025606523728</v>
      </c>
      <c r="L23">
        <f t="shared" si="9"/>
        <v>98.710204932359758</v>
      </c>
    </row>
    <row r="24" spans="1:12">
      <c r="A24" s="1">
        <v>1984</v>
      </c>
      <c r="B24" s="578">
        <f>'1'!B22</f>
        <v>15082.719592918404</v>
      </c>
      <c r="C24" s="578">
        <f>'1'!E22</f>
        <v>7338.3763223023716</v>
      </c>
      <c r="D24" s="578">
        <f>'1'!D22</f>
        <v>6189.0924042896713</v>
      </c>
      <c r="E24" s="578">
        <f>'1'!F22</f>
        <v>1869.2449169584877</v>
      </c>
      <c r="F24" s="578">
        <f>'1'!H22</f>
        <v>26837.785125344624</v>
      </c>
      <c r="G24" s="1">
        <v>1984</v>
      </c>
      <c r="H24">
        <f t="shared" si="5"/>
        <v>101.5734014551691</v>
      </c>
      <c r="I24">
        <f t="shared" si="6"/>
        <v>99.091332522933385</v>
      </c>
      <c r="J24">
        <f t="shared" si="7"/>
        <v>102.36306124968372</v>
      </c>
      <c r="K24">
        <f t="shared" si="8"/>
        <v>106.41535653576284</v>
      </c>
      <c r="L24">
        <f t="shared" si="9"/>
        <v>101.10520809459585</v>
      </c>
    </row>
    <row r="25" spans="1:12">
      <c r="A25" s="1">
        <v>1985</v>
      </c>
      <c r="B25" s="578">
        <f>'1'!B23</f>
        <v>15723.712408070609</v>
      </c>
      <c r="C25" s="578">
        <f>'1'!E23</f>
        <v>7537.8981386523492</v>
      </c>
      <c r="D25" s="578">
        <f>'1'!D23</f>
        <v>6442.3824862931715</v>
      </c>
      <c r="E25" s="578">
        <f>'1'!F23</f>
        <v>1952.5226600318153</v>
      </c>
      <c r="F25" s="578">
        <f>'1'!H23</f>
        <v>27777.234676905806</v>
      </c>
      <c r="G25" s="1">
        <v>1985</v>
      </c>
      <c r="H25">
        <f t="shared" si="5"/>
        <v>105.89011769074131</v>
      </c>
      <c r="I25">
        <f t="shared" si="6"/>
        <v>101.78550924284741</v>
      </c>
      <c r="J25">
        <f t="shared" si="7"/>
        <v>106.55229393266826</v>
      </c>
      <c r="K25">
        <f t="shared" si="8"/>
        <v>111.15632474182412</v>
      </c>
      <c r="L25">
        <f t="shared" si="9"/>
        <v>104.64436909321601</v>
      </c>
    </row>
    <row r="26" spans="1:12">
      <c r="A26" s="1">
        <v>1986</v>
      </c>
      <c r="B26" s="578">
        <f>'1'!B24</f>
        <v>16189.176222567437</v>
      </c>
      <c r="C26" s="578">
        <f>'1'!E24</f>
        <v>7724.2542369406674</v>
      </c>
      <c r="D26" s="578">
        <f>'1'!D24</f>
        <v>6500.5180471018202</v>
      </c>
      <c r="E26" s="578">
        <f>'1'!F24</f>
        <v>1944.8909747992425</v>
      </c>
      <c r="F26" s="578">
        <f>'1'!H24</f>
        <v>28512.782593892767</v>
      </c>
      <c r="G26" s="1">
        <v>1986</v>
      </c>
      <c r="H26">
        <f t="shared" si="5"/>
        <v>109.02474752997395</v>
      </c>
      <c r="I26">
        <f t="shared" si="6"/>
        <v>104.3019070524068</v>
      </c>
      <c r="J26">
        <f t="shared" si="7"/>
        <v>107.51381358419518</v>
      </c>
      <c r="K26">
        <f t="shared" si="8"/>
        <v>110.72185599049836</v>
      </c>
      <c r="L26">
        <f t="shared" si="9"/>
        <v>107.41537738854225</v>
      </c>
    </row>
    <row r="27" spans="1:12">
      <c r="A27" s="1">
        <v>1987</v>
      </c>
      <c r="B27" s="578">
        <f>'1'!B25</f>
        <v>16642.403309219208</v>
      </c>
      <c r="C27" s="578">
        <f>'1'!E25</f>
        <v>8031.4986192765709</v>
      </c>
      <c r="D27" s="578">
        <f>'1'!D25</f>
        <v>6516.0960606087938</v>
      </c>
      <c r="E27" s="578">
        <f>'1'!F25</f>
        <v>1930.9503391657672</v>
      </c>
      <c r="F27" s="578">
        <f>'1'!H25</f>
        <v>29363.938509091247</v>
      </c>
      <c r="G27" s="1">
        <v>1987</v>
      </c>
      <c r="H27">
        <f t="shared" si="5"/>
        <v>112.07697007772002</v>
      </c>
      <c r="I27">
        <f t="shared" si="6"/>
        <v>108.45067973980943</v>
      </c>
      <c r="J27">
        <f t="shared" si="7"/>
        <v>107.77146253279668</v>
      </c>
      <c r="K27">
        <f t="shared" si="8"/>
        <v>109.92822124643</v>
      </c>
      <c r="L27">
        <f t="shared" si="9"/>
        <v>110.62191233638413</v>
      </c>
    </row>
    <row r="28" spans="1:12">
      <c r="A28" s="1">
        <v>1988</v>
      </c>
      <c r="B28" s="578">
        <f>'1'!B26</f>
        <v>17147.444696308903</v>
      </c>
      <c r="C28" s="578">
        <f>'1'!E26</f>
        <v>8391.2411996110241</v>
      </c>
      <c r="D28" s="578">
        <f>'1'!D26</f>
        <v>6741.644304547538</v>
      </c>
      <c r="E28" s="578">
        <f>'1'!F26</f>
        <v>1980.0418572109122</v>
      </c>
      <c r="F28" s="578">
        <f>'1'!H26</f>
        <v>30355.812184958151</v>
      </c>
      <c r="G28" s="1">
        <v>1988</v>
      </c>
      <c r="H28">
        <f t="shared" si="5"/>
        <v>115.47813199989901</v>
      </c>
      <c r="I28">
        <f t="shared" si="6"/>
        <v>113.30834444449921</v>
      </c>
      <c r="J28">
        <f t="shared" si="7"/>
        <v>111.50186550643107</v>
      </c>
      <c r="K28">
        <f t="shared" si="8"/>
        <v>112.72298149869071</v>
      </c>
      <c r="L28">
        <f t="shared" si="9"/>
        <v>114.35856921524747</v>
      </c>
    </row>
    <row r="29" spans="1:12">
      <c r="A29" s="1">
        <v>1989</v>
      </c>
      <c r="B29" s="578">
        <f>'1'!B27</f>
        <v>17441.354241909998</v>
      </c>
      <c r="C29" s="578">
        <f>'1'!E27</f>
        <v>8631.0210353719995</v>
      </c>
      <c r="D29" s="578">
        <f>'1'!D27</f>
        <v>6856.4027480354835</v>
      </c>
      <c r="E29" s="578">
        <f>'1'!F27</f>
        <v>1972.7758788603426</v>
      </c>
      <c r="F29" s="578">
        <f>'1'!H27</f>
        <v>31123.047916649171</v>
      </c>
      <c r="G29" s="1">
        <v>1989</v>
      </c>
      <c r="H29">
        <f t="shared" si="5"/>
        <v>117.4574429645385</v>
      </c>
      <c r="I29">
        <f t="shared" si="6"/>
        <v>116.54613198688442</v>
      </c>
      <c r="J29">
        <f t="shared" si="7"/>
        <v>113.39988621969964</v>
      </c>
      <c r="K29">
        <f t="shared" si="8"/>
        <v>112.30933229213562</v>
      </c>
      <c r="L29">
        <f t="shared" si="9"/>
        <v>117.24895409417603</v>
      </c>
    </row>
    <row r="30" spans="1:12">
      <c r="A30" s="1">
        <v>1990</v>
      </c>
      <c r="B30" s="578">
        <f>'1'!B28</f>
        <v>17404.196245022504</v>
      </c>
      <c r="C30" s="578">
        <f>'1'!E28</f>
        <v>8923.8286049405087</v>
      </c>
      <c r="D30" s="578">
        <f>'1'!D28</f>
        <v>7040.9593085880215</v>
      </c>
      <c r="E30" s="578">
        <f>'1'!F28</f>
        <v>2036.8407764386661</v>
      </c>
      <c r="F30" s="578">
        <f>'1'!H28</f>
        <v>31570.439791866509</v>
      </c>
      <c r="G30" s="1">
        <v>1990</v>
      </c>
      <c r="H30">
        <f t="shared" si="5"/>
        <v>117.20720532590367</v>
      </c>
      <c r="I30">
        <f t="shared" si="6"/>
        <v>120.49996195785025</v>
      </c>
      <c r="J30">
        <f t="shared" si="7"/>
        <v>116.45231673419261</v>
      </c>
      <c r="K30">
        <f t="shared" si="8"/>
        <v>115.9565209806663</v>
      </c>
      <c r="L30">
        <f t="shared" si="9"/>
        <v>118.93440050610678</v>
      </c>
    </row>
    <row r="31" spans="1:12">
      <c r="A31" s="1">
        <v>1991</v>
      </c>
      <c r="B31" s="578">
        <f>'1'!B29</f>
        <v>16956.874063305397</v>
      </c>
      <c r="C31" s="578">
        <f>'1'!E29</f>
        <v>9181.0100839803472</v>
      </c>
      <c r="D31" s="578">
        <f>'1'!D29</f>
        <v>7219.5337472811489</v>
      </c>
      <c r="E31" s="578">
        <f>'1'!F29</f>
        <v>1973.6254567523881</v>
      </c>
      <c r="F31" s="578">
        <f>'1'!H29</f>
        <v>31698.250675790314</v>
      </c>
      <c r="G31" s="1">
        <v>1991</v>
      </c>
      <c r="H31">
        <f t="shared" si="5"/>
        <v>114.19474890095714</v>
      </c>
      <c r="I31">
        <f t="shared" si="6"/>
        <v>123.97272682285528</v>
      </c>
      <c r="J31">
        <f t="shared" si="7"/>
        <v>119.40580732885604</v>
      </c>
      <c r="K31">
        <f t="shared" si="8"/>
        <v>112.35769841765867</v>
      </c>
      <c r="L31">
        <f t="shared" si="9"/>
        <v>119.41589873539498</v>
      </c>
    </row>
    <row r="32" spans="1:12">
      <c r="A32" s="1">
        <v>1992</v>
      </c>
      <c r="B32" s="578">
        <f>'1'!B30</f>
        <v>17049.575232178588</v>
      </c>
      <c r="C32" s="578">
        <f>'1'!E30</f>
        <v>9839.0130977329063</v>
      </c>
      <c r="D32" s="578">
        <f>'1'!D30</f>
        <v>7213.8918331263549</v>
      </c>
      <c r="E32" s="578">
        <f>'1'!F30</f>
        <v>2025.6239621583991</v>
      </c>
      <c r="F32" s="578">
        <f>'1'!H30</f>
        <v>32443.704872693856</v>
      </c>
      <c r="G32" s="1">
        <v>1992</v>
      </c>
      <c r="H32">
        <f t="shared" si="5"/>
        <v>114.8190377093058</v>
      </c>
      <c r="I32">
        <f t="shared" si="6"/>
        <v>132.85785243827075</v>
      </c>
      <c r="J32">
        <f t="shared" si="7"/>
        <v>119.31249419561016</v>
      </c>
      <c r="K32">
        <f t="shared" si="8"/>
        <v>115.31795228375509</v>
      </c>
      <c r="L32">
        <f t="shared" si="9"/>
        <v>122.22422667121062</v>
      </c>
    </row>
    <row r="33" spans="1:12">
      <c r="A33" s="1">
        <v>1993</v>
      </c>
      <c r="B33" s="578">
        <f>'1'!B31</f>
        <v>17163.571574094178</v>
      </c>
      <c r="C33" s="578">
        <f>'1'!E31</f>
        <v>10173.498712547074</v>
      </c>
      <c r="D33" s="578">
        <f>'1'!D31</f>
        <v>7115.1534329655324</v>
      </c>
      <c r="E33" s="578">
        <f>'1'!F31</f>
        <v>2077.8856167889467</v>
      </c>
      <c r="F33" s="578">
        <f>'1'!H31</f>
        <v>32694.11792604368</v>
      </c>
      <c r="G33" s="1">
        <v>1993</v>
      </c>
      <c r="H33">
        <f t="shared" si="5"/>
        <v>115.58673720345071</v>
      </c>
      <c r="I33">
        <f t="shared" si="6"/>
        <v>137.37446807992941</v>
      </c>
      <c r="J33">
        <f t="shared" si="7"/>
        <v>117.6794332808381</v>
      </c>
      <c r="K33">
        <f t="shared" si="8"/>
        <v>118.29318712869336</v>
      </c>
      <c r="L33">
        <f t="shared" si="9"/>
        <v>123.16760049100573</v>
      </c>
    </row>
    <row r="34" spans="1:12">
      <c r="A34" s="1">
        <v>1994</v>
      </c>
      <c r="B34" s="578">
        <f>'1'!B32</f>
        <v>17511.496202690261</v>
      </c>
      <c r="C34" s="578">
        <f>'1'!E32</f>
        <v>10519.741809214423</v>
      </c>
      <c r="D34" s="578">
        <f>'1'!D32</f>
        <v>6978.9054036775033</v>
      </c>
      <c r="E34" s="578">
        <f>'1'!F32</f>
        <v>2128.8411536677208</v>
      </c>
      <c r="F34" s="578">
        <f>'1'!H32</f>
        <v>33236.965755950114</v>
      </c>
      <c r="G34" s="1">
        <v>1994</v>
      </c>
      <c r="H34">
        <f t="shared" si="5"/>
        <v>117.92980854140248</v>
      </c>
      <c r="I34">
        <f t="shared" si="6"/>
        <v>142.04984698103078</v>
      </c>
      <c r="J34">
        <f t="shared" si="7"/>
        <v>115.42599053736043</v>
      </c>
      <c r="K34">
        <f t="shared" si="8"/>
        <v>121.19406521868116</v>
      </c>
      <c r="L34">
        <f t="shared" si="9"/>
        <v>125.21265534743495</v>
      </c>
    </row>
    <row r="35" spans="1:12">
      <c r="A35" s="1">
        <v>1995</v>
      </c>
      <c r="B35" s="578">
        <f>'1'!B33</f>
        <v>17701.777856360884</v>
      </c>
      <c r="C35" s="578">
        <f>'1'!E33</f>
        <v>10884.35068663687</v>
      </c>
      <c r="D35" s="578">
        <f>'1'!D33</f>
        <v>6827.9315038937748</v>
      </c>
      <c r="E35" s="578">
        <f>'1'!F33</f>
        <v>2171.2186543076709</v>
      </c>
      <c r="F35" s="578">
        <f>'1'!H33</f>
        <v>33647.204015161107</v>
      </c>
      <c r="G35" s="1">
        <v>1995</v>
      </c>
      <c r="H35">
        <f t="shared" si="5"/>
        <v>119.21124553151361</v>
      </c>
      <c r="I35">
        <f t="shared" si="6"/>
        <v>146.97322211561993</v>
      </c>
      <c r="J35">
        <f t="shared" si="7"/>
        <v>112.92899266737322</v>
      </c>
      <c r="K35">
        <f t="shared" si="8"/>
        <v>123.60659917759789</v>
      </c>
      <c r="L35">
        <f t="shared" si="9"/>
        <v>126.7581340213335</v>
      </c>
    </row>
    <row r="36" spans="1:12">
      <c r="A36" s="1">
        <v>1996</v>
      </c>
      <c r="B36" s="578">
        <f>'1'!B34</f>
        <v>17958.091358868078</v>
      </c>
      <c r="C36" s="578">
        <f>'1'!E34</f>
        <v>11260.409552853433</v>
      </c>
      <c r="D36" s="578">
        <f>'1'!D34</f>
        <v>6643.2055323629611</v>
      </c>
      <c r="E36" s="578">
        <f>'1'!F34</f>
        <v>2216.0892802828207</v>
      </c>
      <c r="F36" s="578">
        <f>'1'!H34</f>
        <v>34124.396295185215</v>
      </c>
      <c r="G36" s="1">
        <v>1996</v>
      </c>
      <c r="H36">
        <f t="shared" si="5"/>
        <v>120.93736886942725</v>
      </c>
      <c r="I36">
        <f t="shared" si="6"/>
        <v>152.05120837904059</v>
      </c>
      <c r="J36">
        <f t="shared" si="7"/>
        <v>109.87376021921813</v>
      </c>
      <c r="K36">
        <f t="shared" si="8"/>
        <v>126.16106575274196</v>
      </c>
      <c r="L36">
        <f t="shared" si="9"/>
        <v>128.55584663240177</v>
      </c>
    </row>
    <row r="37" spans="1:12">
      <c r="A37" s="1">
        <v>1997</v>
      </c>
      <c r="B37" s="578">
        <f>'1'!B35</f>
        <v>18571.690153410284</v>
      </c>
      <c r="C37" s="578">
        <f>'1'!E35</f>
        <v>11655.465130952318</v>
      </c>
      <c r="D37" s="578">
        <f>'1'!D35</f>
        <v>6474.4653003098256</v>
      </c>
      <c r="E37" s="578">
        <f>'1'!F35</f>
        <v>2264.9696807186406</v>
      </c>
      <c r="F37" s="578">
        <f>'1'!H35</f>
        <v>34970.854058224337</v>
      </c>
      <c r="G37" s="1">
        <v>1997</v>
      </c>
      <c r="H37">
        <f t="shared" si="5"/>
        <v>125.06960220483356</v>
      </c>
      <c r="I37">
        <f t="shared" si="6"/>
        <v>157.38571044531702</v>
      </c>
      <c r="J37">
        <f t="shared" si="7"/>
        <v>107.08292020898186</v>
      </c>
      <c r="K37">
        <f t="shared" si="8"/>
        <v>128.94380716495473</v>
      </c>
      <c r="L37">
        <f t="shared" si="9"/>
        <v>131.74468236812484</v>
      </c>
    </row>
    <row r="38" spans="1:12">
      <c r="A38" s="1">
        <v>1998</v>
      </c>
      <c r="B38" s="578">
        <f>'1'!B36</f>
        <v>18931.909294634126</v>
      </c>
      <c r="C38" s="578">
        <f>'1'!E36</f>
        <v>12084.167900780154</v>
      </c>
      <c r="D38" s="578">
        <f>'1'!D36</f>
        <v>6611.7388380302154</v>
      </c>
      <c r="E38" s="578">
        <f>'1'!F36</f>
        <v>2320.6808269774415</v>
      </c>
      <c r="F38" s="578">
        <f>'1'!H36</f>
        <v>35937.864462803576</v>
      </c>
      <c r="G38" s="1">
        <v>1998</v>
      </c>
      <c r="H38">
        <f t="shared" si="5"/>
        <v>127.49546998139454</v>
      </c>
      <c r="I38">
        <f t="shared" si="6"/>
        <v>163.17455621347526</v>
      </c>
      <c r="J38">
        <f t="shared" si="7"/>
        <v>109.35332411180511</v>
      </c>
      <c r="K38">
        <f t="shared" si="8"/>
        <v>132.11542017208964</v>
      </c>
      <c r="L38">
        <f t="shared" si="9"/>
        <v>135.38767256750211</v>
      </c>
    </row>
    <row r="39" spans="1:12">
      <c r="A39" s="1">
        <v>1999</v>
      </c>
      <c r="B39" s="578">
        <f>'1'!B37</f>
        <v>19503.286801749109</v>
      </c>
      <c r="C39" s="578">
        <f>'1'!E37</f>
        <v>12138.382261164919</v>
      </c>
      <c r="D39" s="578">
        <f>'1'!D37</f>
        <v>6799.3353459303817</v>
      </c>
      <c r="E39" s="578">
        <f>'1'!F37</f>
        <v>2380.1653432560047</v>
      </c>
      <c r="F39" s="578">
        <f>'1'!H37</f>
        <v>36746.905813366851</v>
      </c>
      <c r="G39" s="1">
        <v>1999</v>
      </c>
      <c r="H39">
        <f t="shared" si="5"/>
        <v>131.34336734201995</v>
      </c>
      <c r="I39">
        <f t="shared" si="6"/>
        <v>163.90662186075997</v>
      </c>
      <c r="J39">
        <f t="shared" si="7"/>
        <v>112.45603313180648</v>
      </c>
      <c r="K39">
        <f t="shared" si="8"/>
        <v>135.50184960715831</v>
      </c>
      <c r="L39">
        <f t="shared" si="9"/>
        <v>138.43555053968936</v>
      </c>
    </row>
    <row r="40" spans="1:12">
      <c r="A40" s="1">
        <v>2000</v>
      </c>
      <c r="B40" s="578">
        <f>'1'!B38</f>
        <v>20114.756924472709</v>
      </c>
      <c r="C40" s="578">
        <f>'1'!E38</f>
        <v>12198.458775335355</v>
      </c>
      <c r="D40" s="578">
        <f>'1'!D38</f>
        <v>6984.5622702008413</v>
      </c>
      <c r="E40" s="578">
        <f>'1'!F38</f>
        <v>2440.3232111579568</v>
      </c>
      <c r="F40" s="578">
        <f>'1'!H38</f>
        <v>37689.924620363745</v>
      </c>
      <c r="G40" s="1">
        <v>2000</v>
      </c>
      <c r="H40">
        <f t="shared" si="5"/>
        <v>135.46126530270385</v>
      </c>
      <c r="I40">
        <f t="shared" si="6"/>
        <v>164.71784515880603</v>
      </c>
      <c r="J40">
        <f t="shared" si="7"/>
        <v>115.51955097184489</v>
      </c>
      <c r="K40">
        <f t="shared" si="8"/>
        <v>138.92661267760388</v>
      </c>
      <c r="L40">
        <f t="shared" si="9"/>
        <v>141.98815789060296</v>
      </c>
    </row>
    <row r="41" spans="1:12">
      <c r="A41" s="1">
        <v>2001</v>
      </c>
      <c r="B41" s="578">
        <f>'1'!B39</f>
        <v>20378.883665570349</v>
      </c>
      <c r="C41" s="578">
        <f>'1'!E39</f>
        <v>12259.141913915764</v>
      </c>
      <c r="D41" s="578">
        <f>'1'!D39</f>
        <v>7261.4579443103903</v>
      </c>
      <c r="E41" s="578">
        <f>'1'!F39</f>
        <v>2500.3542165488661</v>
      </c>
      <c r="F41" s="578">
        <f>'1'!H39</f>
        <v>38300.876792004761</v>
      </c>
      <c r="G41" s="1">
        <v>2001</v>
      </c>
      <c r="H41">
        <f t="shared" si="5"/>
        <v>137.24000628792726</v>
      </c>
      <c r="I41">
        <f t="shared" si="6"/>
        <v>165.53725980851971</v>
      </c>
      <c r="J41">
        <f t="shared" si="7"/>
        <v>120.09920288155026</v>
      </c>
      <c r="K41">
        <f t="shared" si="8"/>
        <v>142.34415351664407</v>
      </c>
      <c r="L41">
        <f t="shared" si="9"/>
        <v>144.28978025478517</v>
      </c>
    </row>
    <row r="42" spans="1:12">
      <c r="A42" s="1">
        <v>2002</v>
      </c>
      <c r="B42" s="578">
        <f>'1'!B40</f>
        <v>20913.733313907636</v>
      </c>
      <c r="C42" s="578">
        <f>'1'!E40</f>
        <v>12317.310836014585</v>
      </c>
      <c r="D42" s="578">
        <f>'1'!D40</f>
        <v>7372.0908336814055</v>
      </c>
      <c r="E42" s="578">
        <f>'1'!F40</f>
        <v>2564.1671712108046</v>
      </c>
      <c r="F42" s="578">
        <f>'1'!H40</f>
        <v>38936.912150573517</v>
      </c>
      <c r="G42" s="1">
        <v>2002</v>
      </c>
      <c r="H42">
        <f t="shared" si="5"/>
        <v>140.84190962598484</v>
      </c>
      <c r="I42">
        <f t="shared" si="6"/>
        <v>166.32272456925665</v>
      </c>
      <c r="J42">
        <f t="shared" si="7"/>
        <v>121.92898994743176</v>
      </c>
      <c r="K42">
        <f t="shared" si="8"/>
        <v>145.97699919692016</v>
      </c>
      <c r="L42">
        <f t="shared" si="9"/>
        <v>146.68589778025438</v>
      </c>
    </row>
    <row r="43" spans="1:12">
      <c r="A43" s="1">
        <v>2003</v>
      </c>
      <c r="B43" s="578">
        <f>'1'!B41</f>
        <v>21354.742321901587</v>
      </c>
      <c r="C43" s="578">
        <f>'1'!E41</f>
        <v>12376.843576140358</v>
      </c>
      <c r="D43" s="578">
        <f>'1'!D41</f>
        <v>7591.2102859958577</v>
      </c>
      <c r="E43" s="578">
        <f>'1'!F41</f>
        <v>2636.1157520263437</v>
      </c>
      <c r="F43" s="578">
        <f>'1'!H41</f>
        <v>39647.997195200187</v>
      </c>
      <c r="G43" s="1">
        <v>2003</v>
      </c>
      <c r="H43">
        <f t="shared" si="5"/>
        <v>143.81185047374461</v>
      </c>
      <c r="I43">
        <f t="shared" si="6"/>
        <v>167.12660519471271</v>
      </c>
      <c r="J43">
        <f t="shared" si="7"/>
        <v>125.55306541004973</v>
      </c>
      <c r="K43">
        <f t="shared" si="8"/>
        <v>150.07300278118336</v>
      </c>
      <c r="L43">
        <f t="shared" si="9"/>
        <v>149.36474780733951</v>
      </c>
    </row>
    <row r="44" spans="1:12">
      <c r="A44" s="1">
        <v>2004</v>
      </c>
      <c r="B44" s="578">
        <f>'1'!B42</f>
        <v>21868.416310287234</v>
      </c>
      <c r="C44" s="578">
        <f>'1'!E42</f>
        <v>12439.648194295429</v>
      </c>
      <c r="D44" s="578">
        <f>'1'!D42</f>
        <v>7708.82794003856</v>
      </c>
      <c r="E44" s="578">
        <f>'1'!F42</f>
        <v>2711.2456956861161</v>
      </c>
      <c r="F44" s="578">
        <f>'1'!H42</f>
        <v>40364.645199562066</v>
      </c>
      <c r="G44" s="1">
        <v>2004</v>
      </c>
      <c r="H44">
        <f t="shared" si="5"/>
        <v>147.27114797761593</v>
      </c>
      <c r="I44">
        <f t="shared" si="6"/>
        <v>167.97466654074455</v>
      </c>
      <c r="J44">
        <f t="shared" si="7"/>
        <v>127.49837537447561</v>
      </c>
      <c r="K44">
        <f t="shared" si="8"/>
        <v>154.35012006449548</v>
      </c>
      <c r="L44">
        <f t="shared" si="9"/>
        <v>152.06455501099578</v>
      </c>
    </row>
    <row r="45" spans="1:12">
      <c r="A45" s="1">
        <v>2005</v>
      </c>
      <c r="B45" s="578">
        <f>'1'!B43</f>
        <v>22493.791248182017</v>
      </c>
      <c r="C45" s="578">
        <f>'1'!E43</f>
        <v>12508.285765647737</v>
      </c>
      <c r="D45" s="578">
        <f>'1'!D43</f>
        <v>7845.9787873122978</v>
      </c>
      <c r="E45" s="578">
        <f>'1'!F43</f>
        <v>2790.7213209071069</v>
      </c>
      <c r="F45" s="578">
        <f>'1'!H43</f>
        <v>41138.49074852487</v>
      </c>
      <c r="G45" s="1">
        <v>2005</v>
      </c>
      <c r="H45">
        <f t="shared" si="5"/>
        <v>151.48268683408398</v>
      </c>
      <c r="I45">
        <f t="shared" si="6"/>
        <v>168.90149123706979</v>
      </c>
      <c r="J45">
        <f t="shared" si="7"/>
        <v>129.76675006705528</v>
      </c>
      <c r="K45">
        <f t="shared" si="8"/>
        <v>158.87463524015033</v>
      </c>
      <c r="L45">
        <f t="shared" si="9"/>
        <v>154.97984086247519</v>
      </c>
    </row>
    <row r="46" spans="1:12">
      <c r="A46" s="1">
        <v>2006</v>
      </c>
      <c r="B46" s="578">
        <f>'1'!B44</f>
        <v>23260.507082590739</v>
      </c>
      <c r="C46" s="578">
        <f>'1'!E44</f>
        <v>12574.275842635207</v>
      </c>
      <c r="D46" s="578">
        <f>'1'!D44</f>
        <v>8044.4555036858574</v>
      </c>
      <c r="E46" s="578">
        <f>'1'!F44</f>
        <v>2872.7708573006507</v>
      </c>
      <c r="F46" s="578">
        <f>'1'!H44</f>
        <v>42260.512942360619</v>
      </c>
      <c r="G46" s="1">
        <v>2006</v>
      </c>
      <c r="H46">
        <f t="shared" si="5"/>
        <v>156.64607495985658</v>
      </c>
      <c r="I46">
        <f t="shared" si="6"/>
        <v>169.79256637069386</v>
      </c>
      <c r="J46">
        <f t="shared" si="7"/>
        <v>133.04940977669239</v>
      </c>
      <c r="K46">
        <f t="shared" si="8"/>
        <v>163.5456821370546</v>
      </c>
      <c r="L46">
        <f t="shared" si="9"/>
        <v>159.20680247144148</v>
      </c>
    </row>
    <row r="47" spans="1:12">
      <c r="A47" s="1">
        <v>2007</v>
      </c>
      <c r="B47" s="578">
        <f>'1'!B45</f>
        <v>24127.738903926125</v>
      </c>
      <c r="C47" s="578">
        <f>'1'!E45</f>
        <v>12634.454226102946</v>
      </c>
      <c r="D47" s="578">
        <f>'1'!D45</f>
        <v>8215.981203294692</v>
      </c>
      <c r="E47" s="578">
        <f>'1'!F45</f>
        <v>2957.8487761096931</v>
      </c>
      <c r="F47" s="578">
        <f>'1'!H45</f>
        <v>43383.19422316127</v>
      </c>
      <c r="G47" s="1">
        <v>2007</v>
      </c>
      <c r="H47">
        <f t="shared" si="5"/>
        <v>162.48638017805843</v>
      </c>
      <c r="I47">
        <f t="shared" si="6"/>
        <v>170.60516522703369</v>
      </c>
      <c r="J47">
        <f t="shared" si="7"/>
        <v>135.88631938282211</v>
      </c>
      <c r="K47">
        <f t="shared" si="8"/>
        <v>168.38913361911952</v>
      </c>
      <c r="L47">
        <f t="shared" si="9"/>
        <v>163.43624703958</v>
      </c>
    </row>
    <row r="48" spans="1:12">
      <c r="A48" s="257">
        <v>2008</v>
      </c>
      <c r="B48" s="578">
        <f>'1'!B46</f>
        <v>24612.756354488909</v>
      </c>
      <c r="C48" s="578">
        <f>'1'!E46</f>
        <v>12687.810723656805</v>
      </c>
      <c r="D48" s="578">
        <f>'1'!D46</f>
        <v>8442.3055245689338</v>
      </c>
      <c r="E48" s="578">
        <f>'1'!F46</f>
        <v>3045.2238853542754</v>
      </c>
      <c r="F48" s="578">
        <f>'1'!H46</f>
        <v>44134.264464861059</v>
      </c>
      <c r="G48" s="257">
        <v>2008</v>
      </c>
      <c r="H48">
        <f t="shared" si="5"/>
        <v>165.752692457835</v>
      </c>
      <c r="I48">
        <f t="shared" si="6"/>
        <v>171.32564700790124</v>
      </c>
      <c r="J48">
        <f t="shared" si="7"/>
        <v>139.62955810791064</v>
      </c>
      <c r="K48">
        <f t="shared" si="8"/>
        <v>173.36336322287985</v>
      </c>
      <c r="L48">
        <f t="shared" si="9"/>
        <v>166.26573213777473</v>
      </c>
    </row>
    <row r="49" spans="1:12">
      <c r="A49" s="393">
        <v>2009</v>
      </c>
      <c r="B49" s="578">
        <f>'1'!B47</f>
        <v>24421.723202933888</v>
      </c>
      <c r="C49" s="578">
        <f>'1'!E47</f>
        <v>12735.214249839199</v>
      </c>
      <c r="D49" s="578">
        <f>'1'!D47</f>
        <v>8752.1765478485304</v>
      </c>
      <c r="E49" s="578">
        <f>'1'!F47</f>
        <v>3136.3829170689933</v>
      </c>
      <c r="F49" s="578">
        <f>'1'!H47</f>
        <v>44321.649678151734</v>
      </c>
      <c r="G49" s="393">
        <v>2009</v>
      </c>
      <c r="H49">
        <f t="shared" si="5"/>
        <v>164.46619456369825</v>
      </c>
      <c r="I49">
        <f t="shared" si="6"/>
        <v>171.96574481283713</v>
      </c>
      <c r="J49">
        <f t="shared" si="7"/>
        <v>144.75459817250666</v>
      </c>
      <c r="K49">
        <f t="shared" si="8"/>
        <v>178.55301000130257</v>
      </c>
      <c r="L49">
        <f t="shared" si="9"/>
        <v>166.97166300707411</v>
      </c>
    </row>
    <row r="50" spans="1:12">
      <c r="A50" s="393">
        <v>2010</v>
      </c>
      <c r="B50" s="578">
        <f>'1'!B48</f>
        <v>24951.77076289618</v>
      </c>
      <c r="C50" s="578">
        <f>'1'!E48</f>
        <v>12773.786626708114</v>
      </c>
      <c r="D50" s="578">
        <f>'1'!D48</f>
        <v>8978.2285228480359</v>
      </c>
      <c r="E50" s="578">
        <f>'1'!F48</f>
        <v>3234.7173666806088</v>
      </c>
      <c r="F50" s="578">
        <f>'1'!H48</f>
        <v>45116.553592349832</v>
      </c>
      <c r="G50" s="393">
        <v>2010</v>
      </c>
      <c r="H50">
        <f t="shared" si="5"/>
        <v>168.03575861126305</v>
      </c>
      <c r="I50">
        <f t="shared" si="6"/>
        <v>172.48659411991088</v>
      </c>
      <c r="J50">
        <f t="shared" si="7"/>
        <v>148.49333248942338</v>
      </c>
      <c r="K50">
        <f t="shared" si="8"/>
        <v>184.15115041630762</v>
      </c>
      <c r="L50">
        <f t="shared" si="9"/>
        <v>169.96628142602512</v>
      </c>
    </row>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dimension ref="A1:F24"/>
  <sheetViews>
    <sheetView workbookViewId="0">
      <selection activeCell="E9" sqref="E9"/>
    </sheetView>
  </sheetViews>
  <sheetFormatPr defaultRowHeight="12.75"/>
  <sheetData>
    <row r="1" spans="1:1" ht="15.75">
      <c r="A1" s="404" t="s">
        <v>1264</v>
      </c>
    </row>
    <row r="22" spans="6:6">
      <c r="F22" s="206"/>
    </row>
    <row r="23" spans="6:6">
      <c r="F23" s="206"/>
    </row>
    <row r="24" spans="6:6">
      <c r="F24" s="206"/>
    </row>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dimension ref="A1:A25"/>
  <sheetViews>
    <sheetView workbookViewId="0">
      <selection activeCell="E9" sqref="E9"/>
    </sheetView>
  </sheetViews>
  <sheetFormatPr defaultRowHeight="12.75"/>
  <sheetData>
    <row r="1" spans="1:1" ht="15.75">
      <c r="A1" s="404" t="s">
        <v>1265</v>
      </c>
    </row>
    <row r="24" spans="1:1" ht="15">
      <c r="A24" s="406"/>
    </row>
    <row r="25" spans="1:1" ht="15">
      <c r="A25" s="406"/>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dimension ref="A1:A24"/>
  <sheetViews>
    <sheetView workbookViewId="0">
      <selection activeCell="E9" sqref="E9"/>
    </sheetView>
  </sheetViews>
  <sheetFormatPr defaultRowHeight="12.75"/>
  <sheetData>
    <row r="1" spans="1:1" ht="15.75">
      <c r="A1" s="404" t="s">
        <v>1266</v>
      </c>
    </row>
    <row r="23" spans="1:1" ht="15">
      <c r="A23" s="406"/>
    </row>
    <row r="24" spans="1:1" ht="15">
      <c r="A24" s="406"/>
    </row>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dimension ref="A1:A25"/>
  <sheetViews>
    <sheetView workbookViewId="0">
      <selection activeCell="E9" sqref="E9"/>
    </sheetView>
  </sheetViews>
  <sheetFormatPr defaultRowHeight="12.75"/>
  <sheetData>
    <row r="1" spans="1:1" ht="15.75">
      <c r="A1" s="404" t="s">
        <v>1267</v>
      </c>
    </row>
    <row r="25" spans="1:1" ht="15">
      <c r="A25" s="407"/>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dimension ref="A1:A20"/>
  <sheetViews>
    <sheetView workbookViewId="0">
      <selection activeCell="E9" sqref="E9"/>
    </sheetView>
  </sheetViews>
  <sheetFormatPr defaultRowHeight="12.75"/>
  <sheetData>
    <row r="1" spans="1:1" ht="15.75">
      <c r="A1" s="404" t="s">
        <v>1268</v>
      </c>
    </row>
    <row r="20" spans="1:1">
      <c r="A20" s="206"/>
    </row>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dimension ref="A1:B22"/>
  <sheetViews>
    <sheetView workbookViewId="0">
      <selection activeCell="E9" sqref="E9"/>
    </sheetView>
  </sheetViews>
  <sheetFormatPr defaultRowHeight="12.75"/>
  <sheetData>
    <row r="1" spans="1:1" ht="15.75">
      <c r="A1" s="404" t="s">
        <v>1269</v>
      </c>
    </row>
    <row r="21" spans="1:2">
      <c r="A21" s="206"/>
      <c r="B21" s="206"/>
    </row>
    <row r="22" spans="1:2">
      <c r="A22" s="206"/>
      <c r="B22" s="206"/>
    </row>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dimension ref="A1:H23"/>
  <sheetViews>
    <sheetView workbookViewId="0">
      <selection activeCell="E9" sqref="E9"/>
    </sheetView>
  </sheetViews>
  <sheetFormatPr defaultRowHeight="12.75"/>
  <sheetData>
    <row r="1" spans="1:1" ht="15.75">
      <c r="A1" s="404" t="s">
        <v>1414</v>
      </c>
    </row>
    <row r="21" spans="1:8">
      <c r="B21" t="s">
        <v>1223</v>
      </c>
      <c r="C21" t="s">
        <v>1218</v>
      </c>
      <c r="D21" t="s">
        <v>1213</v>
      </c>
      <c r="E21" t="s">
        <v>1219</v>
      </c>
      <c r="F21" t="s">
        <v>1220</v>
      </c>
      <c r="G21" t="s">
        <v>1221</v>
      </c>
    </row>
    <row r="22" spans="1:8">
      <c r="A22">
        <v>1981</v>
      </c>
      <c r="B22" s="392">
        <f>'2'!H19</f>
        <v>147742.11551907114</v>
      </c>
      <c r="C22" s="392">
        <f>'2'!B19</f>
        <v>53260.19610462003</v>
      </c>
      <c r="D22" s="392">
        <f>'2'!C19</f>
        <v>1227.8557197272121</v>
      </c>
      <c r="E22" s="392">
        <f>'2'!D19</f>
        <v>26184.900383233871</v>
      </c>
      <c r="F22" s="392">
        <f>'2'!E19</f>
        <v>-9818.5184573276856</v>
      </c>
      <c r="G22" s="392">
        <f>'2'!F19</f>
        <v>77530.178961133061</v>
      </c>
      <c r="H22" s="392"/>
    </row>
    <row r="23" spans="1:8">
      <c r="A23">
        <v>2010</v>
      </c>
      <c r="B23" s="392">
        <f>'2'!H48</f>
        <v>213055.55743049577</v>
      </c>
      <c r="C23" s="392">
        <f>'2'!B48</f>
        <v>78748.460219242261</v>
      </c>
      <c r="D23" s="392">
        <f>'2'!C48</f>
        <v>3494.6573660945023</v>
      </c>
      <c r="E23" s="392">
        <f>'2'!D48</f>
        <v>28010.083236856801</v>
      </c>
      <c r="F23" s="392">
        <f>'2'!E48</f>
        <v>-3700.7225654546814</v>
      </c>
      <c r="G23" s="392">
        <f>'2'!F48</f>
        <v>107093.46362773265</v>
      </c>
      <c r="H23" s="392"/>
    </row>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dimension ref="A1:P51"/>
  <sheetViews>
    <sheetView topLeftCell="A19" workbookViewId="0">
      <selection activeCell="E9" sqref="E9"/>
    </sheetView>
  </sheetViews>
  <sheetFormatPr defaultRowHeight="12.75"/>
  <sheetData>
    <row r="1" spans="1:1" ht="15.75">
      <c r="A1" s="404" t="s">
        <v>1413</v>
      </c>
    </row>
    <row r="20" spans="1:16">
      <c r="A20" s="206" t="s">
        <v>1270</v>
      </c>
      <c r="I20" s="206" t="s">
        <v>1271</v>
      </c>
    </row>
    <row r="21" spans="1:16">
      <c r="B21" t="s">
        <v>1212</v>
      </c>
      <c r="C21" t="s">
        <v>1213</v>
      </c>
      <c r="D21" t="s">
        <v>1214</v>
      </c>
      <c r="E21" t="s">
        <v>1215</v>
      </c>
      <c r="F21" t="s">
        <v>1216</v>
      </c>
      <c r="G21" t="s">
        <v>1217</v>
      </c>
      <c r="J21" t="s">
        <v>1218</v>
      </c>
      <c r="K21" t="s">
        <v>1213</v>
      </c>
      <c r="L21" t="s">
        <v>1219</v>
      </c>
      <c r="M21" t="s">
        <v>1220</v>
      </c>
      <c r="N21" t="s">
        <v>1221</v>
      </c>
      <c r="O21" t="s">
        <v>1222</v>
      </c>
      <c r="P21" t="s">
        <v>1223</v>
      </c>
    </row>
    <row r="22" spans="1:16">
      <c r="A22" s="1">
        <v>1981</v>
      </c>
      <c r="B22" s="392">
        <f>'2'!B19</f>
        <v>53260.19610462003</v>
      </c>
      <c r="C22" s="392">
        <f>'2'!C19</f>
        <v>1227.8557197272121</v>
      </c>
      <c r="D22" s="392">
        <f>'2'!D19</f>
        <v>26184.900383233871</v>
      </c>
      <c r="E22" s="392">
        <f>'2'!E19</f>
        <v>-9818.5184573276856</v>
      </c>
      <c r="F22" s="392">
        <f>'2'!F19</f>
        <v>77530.178961133061</v>
      </c>
      <c r="G22" s="392">
        <f>'2'!H19</f>
        <v>147742.11551907114</v>
      </c>
      <c r="I22" s="1">
        <v>1981</v>
      </c>
      <c r="J22">
        <f t="shared" ref="J22:J50" si="0">100*B22/B$22</f>
        <v>100</v>
      </c>
      <c r="K22">
        <f t="shared" ref="K22:K50" si="1">100*C22/C$22</f>
        <v>100</v>
      </c>
      <c r="L22">
        <f t="shared" ref="L22:L50" si="2">100*D22/D$22</f>
        <v>100</v>
      </c>
      <c r="M22">
        <f t="shared" ref="M22:M50" si="3">100*E22/E$22</f>
        <v>100</v>
      </c>
      <c r="N22">
        <f t="shared" ref="N22:N50" si="4">100*F22/F$22</f>
        <v>100</v>
      </c>
      <c r="O22">
        <f>100*'2'!G19/'2'!G$19</f>
        <v>100</v>
      </c>
      <c r="P22">
        <f t="shared" ref="P22:P50" si="5">100*G22/G$22</f>
        <v>100</v>
      </c>
    </row>
    <row r="23" spans="1:16">
      <c r="A23" s="1">
        <v>1982</v>
      </c>
      <c r="B23" s="392">
        <f>'2'!B20</f>
        <v>53992.763470170852</v>
      </c>
      <c r="C23" s="392">
        <f>'2'!C20</f>
        <v>1313.3039818945813</v>
      </c>
      <c r="D23" s="392">
        <f>'2'!D20</f>
        <v>23371.951634971487</v>
      </c>
      <c r="E23" s="392">
        <f>'2'!E20</f>
        <v>-9004.3045855856999</v>
      </c>
      <c r="F23" s="392">
        <f>'2'!F20</f>
        <v>78481.282063478051</v>
      </c>
      <c r="G23" s="392">
        <f>'2'!H20</f>
        <v>147548.11982395261</v>
      </c>
      <c r="I23" s="1">
        <v>1982</v>
      </c>
      <c r="J23">
        <f t="shared" si="0"/>
        <v>101.37544999667637</v>
      </c>
      <c r="K23">
        <f t="shared" si="1"/>
        <v>106.95914518249366</v>
      </c>
      <c r="L23">
        <f t="shared" si="2"/>
        <v>89.257363186061568</v>
      </c>
      <c r="M23">
        <f t="shared" si="3"/>
        <v>91.70736526818537</v>
      </c>
      <c r="N23">
        <f t="shared" si="4"/>
        <v>101.22675210490846</v>
      </c>
      <c r="O23">
        <f>100*'2'!G20/'2'!G$19</f>
        <v>94.455936653925789</v>
      </c>
      <c r="P23">
        <f t="shared" si="5"/>
        <v>99.868693030124177</v>
      </c>
    </row>
    <row r="24" spans="1:16">
      <c r="A24" s="1">
        <v>1983</v>
      </c>
      <c r="B24" s="392">
        <f>'2'!B21</f>
        <v>54556.030542073073</v>
      </c>
      <c r="C24" s="392">
        <f>'2'!C21</f>
        <v>1381.7405703046745</v>
      </c>
      <c r="D24" s="392">
        <f>'2'!D21</f>
        <v>24840.638460009737</v>
      </c>
      <c r="E24" s="392">
        <f>'2'!E21</f>
        <v>-8931.3755338897863</v>
      </c>
      <c r="F24" s="392">
        <f>'2'!F21</f>
        <v>79639.371029764225</v>
      </c>
      <c r="G24" s="392">
        <f>'2'!H21</f>
        <v>150905.51888367665</v>
      </c>
      <c r="I24" s="1">
        <v>1983</v>
      </c>
      <c r="J24">
        <f t="shared" si="0"/>
        <v>102.43302603487905</v>
      </c>
      <c r="K24">
        <f t="shared" si="1"/>
        <v>112.53281212972242</v>
      </c>
      <c r="L24">
        <f t="shared" si="2"/>
        <v>94.866270623336561</v>
      </c>
      <c r="M24">
        <f t="shared" si="3"/>
        <v>90.96459483889025</v>
      </c>
      <c r="N24">
        <f t="shared" si="4"/>
        <v>102.72047878244746</v>
      </c>
      <c r="O24">
        <f>100*'2'!G21/'2'!G$19</f>
        <v>90.410696191833509</v>
      </c>
      <c r="P24">
        <f t="shared" si="5"/>
        <v>102.14116560703854</v>
      </c>
    </row>
    <row r="25" spans="1:16">
      <c r="A25" s="1">
        <v>1984</v>
      </c>
      <c r="B25" s="392">
        <f>'2'!B22</f>
        <v>55111.32024446546</v>
      </c>
      <c r="C25" s="392">
        <f>'2'!C22</f>
        <v>1467.3034896882666</v>
      </c>
      <c r="D25" s="392">
        <f>'2'!D22</f>
        <v>23854.9399357357</v>
      </c>
      <c r="E25" s="392">
        <f>'2'!E22</f>
        <v>-9163.805562133457</v>
      </c>
      <c r="F25" s="392">
        <f>'2'!F22</f>
        <v>80382.348905194347</v>
      </c>
      <c r="G25" s="392">
        <f>'2'!H22</f>
        <v>151055.311744993</v>
      </c>
      <c r="I25" s="1">
        <v>1984</v>
      </c>
      <c r="J25">
        <f t="shared" si="0"/>
        <v>103.47562396542669</v>
      </c>
      <c r="K25">
        <f t="shared" si="1"/>
        <v>119.50129531621613</v>
      </c>
      <c r="L25">
        <f t="shared" si="2"/>
        <v>91.10189302461491</v>
      </c>
      <c r="M25">
        <f t="shared" si="3"/>
        <v>93.331856552088993</v>
      </c>
      <c r="N25">
        <f t="shared" si="4"/>
        <v>103.67878674121353</v>
      </c>
      <c r="O25">
        <f>100*'2'!G22/'2'!G$19</f>
        <v>92.886828937984234</v>
      </c>
      <c r="P25">
        <f t="shared" si="5"/>
        <v>102.24255366472951</v>
      </c>
    </row>
    <row r="26" spans="1:16">
      <c r="A26" s="1">
        <v>1985</v>
      </c>
      <c r="B26" s="392">
        <f>'2'!B23</f>
        <v>55942.957233068686</v>
      </c>
      <c r="C26" s="392">
        <f>'2'!C23</f>
        <v>1561.8308680307687</v>
      </c>
      <c r="D26" s="392">
        <f>'2'!D23</f>
        <v>21600.683730050143</v>
      </c>
      <c r="E26" s="392">
        <f>'2'!E23</f>
        <v>-10149.732338945325</v>
      </c>
      <c r="F26" s="392">
        <f>'2'!F23</f>
        <v>81184.235378060272</v>
      </c>
      <c r="G26" s="392">
        <f>'2'!H23</f>
        <v>149521.37961166285</v>
      </c>
      <c r="I26" s="1">
        <v>1985</v>
      </c>
      <c r="J26">
        <f t="shared" si="0"/>
        <v>105.03708458598022</v>
      </c>
      <c r="K26">
        <f t="shared" si="1"/>
        <v>127.19986908378409</v>
      </c>
      <c r="L26">
        <f t="shared" si="2"/>
        <v>82.492900159669915</v>
      </c>
      <c r="M26">
        <f t="shared" si="3"/>
        <v>103.37335905673682</v>
      </c>
      <c r="N26">
        <f t="shared" si="4"/>
        <v>104.71307620579471</v>
      </c>
      <c r="O26">
        <f>100*'2'!G23/'2'!G$19</f>
        <v>96.279838418040782</v>
      </c>
      <c r="P26">
        <f t="shared" si="5"/>
        <v>101.20430392264285</v>
      </c>
    </row>
    <row r="27" spans="1:16">
      <c r="A27" s="1">
        <v>1986</v>
      </c>
      <c r="B27" s="392">
        <f>'2'!B24</f>
        <v>56801.088172317541</v>
      </c>
      <c r="C27" s="392">
        <f>'2'!C24</f>
        <v>1650.7193372690892</v>
      </c>
      <c r="D27" s="392">
        <f>'2'!D24</f>
        <v>14596.800219283585</v>
      </c>
      <c r="E27" s="392">
        <f>'2'!E24</f>
        <v>-10787.929317086766</v>
      </c>
      <c r="F27" s="392">
        <f>'2'!F24</f>
        <v>82004.239664548804</v>
      </c>
      <c r="G27" s="392">
        <f>'2'!H24</f>
        <v>143661.42783871357</v>
      </c>
      <c r="I27" s="1">
        <v>1986</v>
      </c>
      <c r="J27">
        <f t="shared" si="0"/>
        <v>106.64828957959912</v>
      </c>
      <c r="K27">
        <f t="shared" si="1"/>
        <v>134.4391943408321</v>
      </c>
      <c r="L27">
        <f t="shared" si="2"/>
        <v>55.745105024840498</v>
      </c>
      <c r="M27">
        <f t="shared" si="3"/>
        <v>109.87329059849753</v>
      </c>
      <c r="N27">
        <f t="shared" si="4"/>
        <v>105.77073439448482</v>
      </c>
      <c r="O27">
        <f>100*'2'!G24/'2'!G$19</f>
        <v>93.928852115897371</v>
      </c>
      <c r="P27">
        <f t="shared" si="5"/>
        <v>97.23796585285065</v>
      </c>
    </row>
    <row r="28" spans="1:16">
      <c r="A28" s="1">
        <v>1987</v>
      </c>
      <c r="B28" s="392">
        <f>'2'!B25</f>
        <v>57835.858982407604</v>
      </c>
      <c r="C28" s="392">
        <f>'2'!C25</f>
        <v>1714.5076555605472</v>
      </c>
      <c r="D28" s="392">
        <f>'2'!D25</f>
        <v>15551.058535608347</v>
      </c>
      <c r="E28" s="392">
        <f>'2'!E25</f>
        <v>-10995.597113997484</v>
      </c>
      <c r="F28" s="392">
        <f>'2'!F25</f>
        <v>82753.258353677069</v>
      </c>
      <c r="G28" s="392">
        <f>'2'!H25</f>
        <v>146238.38253003961</v>
      </c>
      <c r="I28" s="1">
        <v>1987</v>
      </c>
      <c r="J28">
        <f t="shared" si="0"/>
        <v>108.59114913658881</v>
      </c>
      <c r="K28">
        <f t="shared" si="1"/>
        <v>139.63429318401128</v>
      </c>
      <c r="L28">
        <f t="shared" si="2"/>
        <v>59.389412630974348</v>
      </c>
      <c r="M28">
        <f t="shared" si="3"/>
        <v>111.98835304720876</v>
      </c>
      <c r="N28">
        <f t="shared" si="4"/>
        <v>106.73683391748961</v>
      </c>
      <c r="O28">
        <f>100*'2'!G25/'2'!G$19</f>
        <v>96.608030453744561</v>
      </c>
      <c r="P28">
        <f t="shared" si="5"/>
        <v>98.98219070185344</v>
      </c>
    </row>
    <row r="29" spans="1:16">
      <c r="A29" s="1">
        <v>1988</v>
      </c>
      <c r="B29" s="392">
        <f>'2'!B26</f>
        <v>59264.178241157621</v>
      </c>
      <c r="C29" s="392">
        <f>'2'!C26</f>
        <v>1795.8263467494774</v>
      </c>
      <c r="D29" s="392">
        <f>'2'!D26</f>
        <v>15723.687311470239</v>
      </c>
      <c r="E29" s="392">
        <f>'2'!E26</f>
        <v>-10547.95596342661</v>
      </c>
      <c r="F29" s="392">
        <f>'2'!F26</f>
        <v>83637.697793676882</v>
      </c>
      <c r="G29" s="392">
        <f>'2'!H26</f>
        <v>149215.49930296544</v>
      </c>
      <c r="I29" s="1">
        <v>1988</v>
      </c>
      <c r="J29">
        <f t="shared" si="0"/>
        <v>111.27292532822045</v>
      </c>
      <c r="K29">
        <f t="shared" si="1"/>
        <v>146.25711456949105</v>
      </c>
      <c r="L29">
        <f t="shared" si="2"/>
        <v>60.048681038855804</v>
      </c>
      <c r="M29">
        <f t="shared" si="3"/>
        <v>107.42920135322998</v>
      </c>
      <c r="N29">
        <f t="shared" si="4"/>
        <v>107.87760187630369</v>
      </c>
      <c r="O29">
        <f>100*'2'!G26/'2'!G$19</f>
        <v>102.40269288822412</v>
      </c>
      <c r="P29">
        <f t="shared" si="5"/>
        <v>100.99726728476695</v>
      </c>
    </row>
    <row r="30" spans="1:16">
      <c r="A30" s="1">
        <v>1989</v>
      </c>
      <c r="B30" s="392">
        <f>'2'!B27</f>
        <v>60440.297500647161</v>
      </c>
      <c r="C30" s="392">
        <f>'2'!C27</f>
        <v>1848.3385291447801</v>
      </c>
      <c r="D30" s="392">
        <f>'2'!D27</f>
        <v>16087.626750355843</v>
      </c>
      <c r="E30" s="392">
        <f>'2'!E27</f>
        <v>-10661.201486545036</v>
      </c>
      <c r="F30" s="392">
        <f>'2'!F27</f>
        <v>83646.442214305891</v>
      </c>
      <c r="G30" s="392">
        <f>'2'!H27</f>
        <v>150688.04344861986</v>
      </c>
      <c r="I30" s="1">
        <v>1989</v>
      </c>
      <c r="J30">
        <f t="shared" si="0"/>
        <v>113.48117716638353</v>
      </c>
      <c r="K30">
        <f t="shared" si="1"/>
        <v>150.53385340383628</v>
      </c>
      <c r="L30">
        <f t="shared" si="2"/>
        <v>61.438563885683948</v>
      </c>
      <c r="M30">
        <f t="shared" si="3"/>
        <v>108.58258843103205</v>
      </c>
      <c r="N30">
        <f t="shared" si="4"/>
        <v>107.88888060769085</v>
      </c>
      <c r="O30">
        <f>100*'2'!G27/'2'!G$19</f>
        <v>104.81914432370358</v>
      </c>
      <c r="P30">
        <f t="shared" si="5"/>
        <v>101.99396625613394</v>
      </c>
    </row>
    <row r="31" spans="1:16">
      <c r="A31" s="1">
        <v>1990</v>
      </c>
      <c r="B31" s="392">
        <f>'2'!B28</f>
        <v>61372.297043191211</v>
      </c>
      <c r="C31" s="392">
        <f>'2'!C28</f>
        <v>1906.1996126470151</v>
      </c>
      <c r="D31" s="392">
        <f>'2'!D28</f>
        <v>16040.483694560169</v>
      </c>
      <c r="E31" s="392">
        <f>'2'!E28</f>
        <v>-11066.3317769154</v>
      </c>
      <c r="F31" s="392">
        <f>'2'!F28</f>
        <v>88418.232532402428</v>
      </c>
      <c r="G31" s="392">
        <f>'2'!H28</f>
        <v>156039.96179204548</v>
      </c>
      <c r="I31" s="1">
        <v>1990</v>
      </c>
      <c r="J31">
        <f t="shared" si="0"/>
        <v>115.23107598521872</v>
      </c>
      <c r="K31">
        <f t="shared" si="1"/>
        <v>155.24622168722786</v>
      </c>
      <c r="L31">
        <f t="shared" si="2"/>
        <v>61.258524797867295</v>
      </c>
      <c r="M31">
        <f t="shared" si="3"/>
        <v>112.70877398673581</v>
      </c>
      <c r="N31">
        <f t="shared" si="4"/>
        <v>114.04363270814542</v>
      </c>
      <c r="O31">
        <f>100*'2'!G28/'2'!G$19</f>
        <v>98.197987693352871</v>
      </c>
      <c r="P31">
        <f t="shared" si="5"/>
        <v>105.61643932322278</v>
      </c>
    </row>
    <row r="32" spans="1:16">
      <c r="A32" s="1">
        <v>1991</v>
      </c>
      <c r="B32" s="392">
        <f>'2'!B29</f>
        <v>61946.012878503097</v>
      </c>
      <c r="C32" s="392">
        <f>'2'!C29</f>
        <v>1958.9820741618948</v>
      </c>
      <c r="D32" s="392">
        <f>'2'!D29</f>
        <v>12200.730477946299</v>
      </c>
      <c r="E32" s="392">
        <f>'2'!E29</f>
        <v>-11247.098436357892</v>
      </c>
      <c r="F32" s="392">
        <f>'2'!F29</f>
        <v>89066.701726938409</v>
      </c>
      <c r="G32" s="392">
        <f>'2'!H29</f>
        <v>153309.59474021173</v>
      </c>
      <c r="I32" s="1">
        <v>1991</v>
      </c>
      <c r="J32">
        <f t="shared" si="0"/>
        <v>116.30827035788857</v>
      </c>
      <c r="K32">
        <f t="shared" si="1"/>
        <v>159.54497280813371</v>
      </c>
      <c r="L32">
        <f t="shared" si="2"/>
        <v>46.59452699601789</v>
      </c>
      <c r="M32">
        <f t="shared" si="3"/>
        <v>114.54985276280698</v>
      </c>
      <c r="N32">
        <f t="shared" si="4"/>
        <v>114.88004145016713</v>
      </c>
      <c r="O32">
        <f>100*'2'!G29/'2'!G$19</f>
        <v>95.834501433562323</v>
      </c>
      <c r="P32">
        <f t="shared" si="5"/>
        <v>103.76837654014906</v>
      </c>
    </row>
    <row r="33" spans="1:16">
      <c r="A33" s="1">
        <v>1992</v>
      </c>
      <c r="B33" s="392">
        <f>'2'!B30</f>
        <v>62161.468653634889</v>
      </c>
      <c r="C33" s="392">
        <f>'2'!C30</f>
        <v>2013.9712926824634</v>
      </c>
      <c r="D33" s="392">
        <f>'2'!D30</f>
        <v>10965.398364848052</v>
      </c>
      <c r="E33" s="392">
        <f>'2'!E30</f>
        <v>-12232.367578635545</v>
      </c>
      <c r="F33" s="392">
        <f>'2'!F30</f>
        <v>90031.161412721151</v>
      </c>
      <c r="G33" s="392">
        <f>'2'!H30</f>
        <v>152305.05049618718</v>
      </c>
      <c r="I33" s="1">
        <v>1992</v>
      </c>
      <c r="J33">
        <f t="shared" si="0"/>
        <v>116.7128046835012</v>
      </c>
      <c r="K33">
        <f t="shared" si="1"/>
        <v>164.02344838446487</v>
      </c>
      <c r="L33">
        <f t="shared" si="2"/>
        <v>41.876800004437555</v>
      </c>
      <c r="M33">
        <f t="shared" si="3"/>
        <v>124.58465736759271</v>
      </c>
      <c r="N33">
        <f t="shared" si="4"/>
        <v>116.12402114775847</v>
      </c>
      <c r="O33">
        <f>100*'2'!G30/'2'!G$19</f>
        <v>98.768003448702729</v>
      </c>
      <c r="P33">
        <f t="shared" si="5"/>
        <v>103.0884456751447</v>
      </c>
    </row>
    <row r="34" spans="1:16">
      <c r="A34" s="1">
        <v>1993</v>
      </c>
      <c r="B34" s="392">
        <f>'2'!B31</f>
        <v>62218.382730985693</v>
      </c>
      <c r="C34" s="392">
        <f>'2'!C31</f>
        <v>2080.672724053527</v>
      </c>
      <c r="D34" s="392">
        <f>'2'!D31</f>
        <v>9967.9231433028272</v>
      </c>
      <c r="E34" s="392">
        <f>'2'!E31</f>
        <v>-12942.770632553136</v>
      </c>
      <c r="F34" s="392">
        <f>'2'!F31</f>
        <v>91165.534575267317</v>
      </c>
      <c r="G34" s="392">
        <f>'2'!H31</f>
        <v>151868.29020516697</v>
      </c>
      <c r="I34" s="1">
        <v>1993</v>
      </c>
      <c r="J34">
        <f t="shared" si="0"/>
        <v>116.81966511871065</v>
      </c>
      <c r="K34">
        <f t="shared" si="1"/>
        <v>169.45579929503296</v>
      </c>
      <c r="L34">
        <f t="shared" si="2"/>
        <v>38.067447259357401</v>
      </c>
      <c r="M34">
        <f t="shared" si="3"/>
        <v>131.81999594749226</v>
      </c>
      <c r="N34">
        <f t="shared" si="4"/>
        <v>117.58715869980108</v>
      </c>
      <c r="O34">
        <f>100*'2'!G31/'2'!G$19</f>
        <v>96.724521651180936</v>
      </c>
      <c r="P34">
        <f t="shared" si="5"/>
        <v>102.79282225762037</v>
      </c>
    </row>
    <row r="35" spans="1:16">
      <c r="A35" s="1">
        <v>1994</v>
      </c>
      <c r="B35" s="392">
        <f>'2'!B32</f>
        <v>62563.979744187229</v>
      </c>
      <c r="C35" s="392">
        <f>'2'!C32</f>
        <v>2167.9757866468808</v>
      </c>
      <c r="D35" s="392">
        <f>'2'!D32</f>
        <v>10986.729819921422</v>
      </c>
      <c r="E35" s="392">
        <f>'2'!E32</f>
        <v>-13021.86978079974</v>
      </c>
      <c r="F35" s="392">
        <f>'2'!F32</f>
        <v>92010.018049406688</v>
      </c>
      <c r="G35" s="392">
        <f>'2'!H32</f>
        <v>154071.72929081865</v>
      </c>
      <c r="I35" s="1">
        <v>1994</v>
      </c>
      <c r="J35">
        <f t="shared" si="0"/>
        <v>117.46854934835689</v>
      </c>
      <c r="K35">
        <f t="shared" si="1"/>
        <v>176.56600460586131</v>
      </c>
      <c r="L35">
        <f t="shared" si="2"/>
        <v>41.958264721740932</v>
      </c>
      <c r="M35">
        <f t="shared" si="3"/>
        <v>132.62560779810269</v>
      </c>
      <c r="N35">
        <f t="shared" si="4"/>
        <v>118.67639064206541</v>
      </c>
      <c r="O35">
        <f>100*'2'!G32/'2'!G$19</f>
        <v>98.849354696034013</v>
      </c>
      <c r="P35">
        <f t="shared" si="5"/>
        <v>104.28423117505072</v>
      </c>
    </row>
    <row r="36" spans="1:16">
      <c r="A36" s="1">
        <v>1995</v>
      </c>
      <c r="B36" s="392">
        <f>'2'!B33</f>
        <v>62678.453334277969</v>
      </c>
      <c r="C36" s="392">
        <f>'2'!C33</f>
        <v>2236.9063372984369</v>
      </c>
      <c r="D36" s="392">
        <f>'2'!D33</f>
        <v>12634.784381843563</v>
      </c>
      <c r="E36" s="392">
        <f>'2'!E33</f>
        <v>-12265.63011374738</v>
      </c>
      <c r="F36" s="392">
        <f>'2'!F33</f>
        <v>92728.589184461685</v>
      </c>
      <c r="G36" s="392">
        <f>'2'!H33</f>
        <v>157366.34675359819</v>
      </c>
      <c r="I36" s="1">
        <v>1995</v>
      </c>
      <c r="J36">
        <f t="shared" si="0"/>
        <v>117.68348207197262</v>
      </c>
      <c r="K36">
        <f t="shared" si="1"/>
        <v>182.1799012179869</v>
      </c>
      <c r="L36">
        <f t="shared" si="2"/>
        <v>48.252176624409024</v>
      </c>
      <c r="M36">
        <f t="shared" si="3"/>
        <v>124.92343083180116</v>
      </c>
      <c r="N36">
        <f t="shared" si="4"/>
        <v>119.6032182912254</v>
      </c>
      <c r="O36">
        <f>100*'2'!G33/'2'!G$19</f>
        <v>100.66291001294296</v>
      </c>
      <c r="P36">
        <f t="shared" si="5"/>
        <v>106.5142097097457</v>
      </c>
    </row>
    <row r="37" spans="1:16">
      <c r="A37" s="1">
        <v>1996</v>
      </c>
      <c r="B37" s="392">
        <f>'2'!B34</f>
        <v>62803.841562395792</v>
      </c>
      <c r="C37" s="392">
        <f>'2'!C34</f>
        <v>2280.3371888070178</v>
      </c>
      <c r="D37" s="392">
        <f>'2'!D34</f>
        <v>14982.000661962569</v>
      </c>
      <c r="E37" s="392">
        <f>'2'!E34</f>
        <v>-11479.941849331412</v>
      </c>
      <c r="F37" s="392">
        <f>'2'!F34</f>
        <v>93454.214844169008</v>
      </c>
      <c r="G37" s="392">
        <f>'2'!H34</f>
        <v>161382.42057522765</v>
      </c>
      <c r="I37" s="1">
        <v>1996</v>
      </c>
      <c r="J37">
        <f t="shared" si="0"/>
        <v>117.91890784447919</v>
      </c>
      <c r="K37">
        <f t="shared" si="1"/>
        <v>185.71703109495888</v>
      </c>
      <c r="L37">
        <f t="shared" si="2"/>
        <v>57.21618353589578</v>
      </c>
      <c r="M37">
        <f t="shared" si="3"/>
        <v>116.92132473167358</v>
      </c>
      <c r="N37">
        <f t="shared" si="4"/>
        <v>120.53914500960829</v>
      </c>
      <c r="O37">
        <f>100*'2'!G34/'2'!G$19</f>
        <v>102.41785343901857</v>
      </c>
      <c r="P37">
        <f t="shared" si="5"/>
        <v>109.23250963899712</v>
      </c>
    </row>
    <row r="38" spans="1:16">
      <c r="A38" s="1">
        <v>1997</v>
      </c>
      <c r="B38" s="392">
        <f>'2'!B35</f>
        <v>63572.802731416508</v>
      </c>
      <c r="C38" s="392">
        <f>'2'!C35</f>
        <v>2334.1347191170203</v>
      </c>
      <c r="D38" s="392">
        <f>'2'!D35</f>
        <v>15937.188167521033</v>
      </c>
      <c r="E38" s="392">
        <f>'2'!E35</f>
        <v>-10468.778607237738</v>
      </c>
      <c r="F38" s="392">
        <f>'2'!F35</f>
        <v>94566.425529290194</v>
      </c>
      <c r="G38" s="392">
        <f>'2'!H35</f>
        <v>165277.37569584954</v>
      </c>
      <c r="I38" s="1">
        <v>1997</v>
      </c>
      <c r="J38">
        <f t="shared" si="0"/>
        <v>119.3626899280266</v>
      </c>
      <c r="K38">
        <f t="shared" si="1"/>
        <v>190.09845225427509</v>
      </c>
      <c r="L38">
        <f t="shared" si="2"/>
        <v>60.864039710938052</v>
      </c>
      <c r="M38">
        <f t="shared" si="3"/>
        <v>106.62279296755567</v>
      </c>
      <c r="N38">
        <f t="shared" si="4"/>
        <v>121.97369694799445</v>
      </c>
      <c r="O38">
        <f>100*'2'!G35/'2'!G$19</f>
        <v>103.40852103387515</v>
      </c>
      <c r="P38">
        <f t="shared" si="5"/>
        <v>111.86882976135189</v>
      </c>
    </row>
    <row r="39" spans="1:16">
      <c r="A39" s="1">
        <v>1998</v>
      </c>
      <c r="B39" s="392">
        <f>'2'!B36</f>
        <v>64315.850497690728</v>
      </c>
      <c r="C39" s="392">
        <f>'2'!C36</f>
        <v>2429.8891737256695</v>
      </c>
      <c r="D39" s="392">
        <f>'2'!D36</f>
        <v>15037.007203688374</v>
      </c>
      <c r="E39" s="392">
        <f>'2'!E36</f>
        <v>-10766.305502002879</v>
      </c>
      <c r="F39" s="392">
        <f>'2'!F36</f>
        <v>95285.729035807046</v>
      </c>
      <c r="G39" s="392">
        <f>'2'!H36</f>
        <v>165637.37278434742</v>
      </c>
      <c r="I39" s="1">
        <v>1998</v>
      </c>
      <c r="J39">
        <f t="shared" si="0"/>
        <v>120.7578176605919</v>
      </c>
      <c r="K39">
        <f t="shared" si="1"/>
        <v>197.896962540966</v>
      </c>
      <c r="L39">
        <f t="shared" si="2"/>
        <v>57.426253236069343</v>
      </c>
      <c r="M39">
        <f t="shared" si="3"/>
        <v>109.6530555887263</v>
      </c>
      <c r="N39">
        <f t="shared" si="4"/>
        <v>122.90146922474548</v>
      </c>
      <c r="O39">
        <f>100*'2'!G36/'2'!G$19</f>
        <v>103.47089956389956</v>
      </c>
      <c r="P39">
        <f t="shared" si="5"/>
        <v>112.11249561602919</v>
      </c>
    </row>
    <row r="40" spans="1:16">
      <c r="A40" s="1">
        <v>1999</v>
      </c>
      <c r="B40" s="392">
        <f>'2'!B37</f>
        <v>65202.936471174289</v>
      </c>
      <c r="C40" s="392">
        <f>'2'!C37</f>
        <v>2546.001847667022</v>
      </c>
      <c r="D40" s="392">
        <f>'2'!D37</f>
        <v>17574.749787728924</v>
      </c>
      <c r="E40" s="392">
        <f>'2'!E37</f>
        <v>-8536.0508189594657</v>
      </c>
      <c r="F40" s="392">
        <f>'2'!F37</f>
        <v>96208.631917573468</v>
      </c>
      <c r="G40" s="392">
        <f>'2'!H37</f>
        <v>172324.19109523352</v>
      </c>
      <c r="I40" s="1">
        <v>1999</v>
      </c>
      <c r="J40">
        <f t="shared" si="0"/>
        <v>122.42338789570901</v>
      </c>
      <c r="K40">
        <f t="shared" si="1"/>
        <v>207.3535030836243</v>
      </c>
      <c r="L40">
        <f t="shared" si="2"/>
        <v>67.117879123122407</v>
      </c>
      <c r="M40">
        <f t="shared" si="3"/>
        <v>86.938277460678421</v>
      </c>
      <c r="N40">
        <f t="shared" si="4"/>
        <v>124.09184811220955</v>
      </c>
      <c r="O40">
        <f>100*'2'!G37/'2'!G$19</f>
        <v>104.60405399263712</v>
      </c>
      <c r="P40">
        <f t="shared" si="5"/>
        <v>116.63850249456407</v>
      </c>
    </row>
    <row r="41" spans="1:16">
      <c r="A41" s="1">
        <v>2000</v>
      </c>
      <c r="B41" s="392">
        <f>'2'!B38</f>
        <v>66032.152404391221</v>
      </c>
      <c r="C41" s="392">
        <f>'2'!C38</f>
        <v>2702.8781511777079</v>
      </c>
      <c r="D41" s="392">
        <f>'2'!D38</f>
        <v>24117.379868524073</v>
      </c>
      <c r="E41" s="392">
        <f>'2'!E38</f>
        <v>-6958.7643776496725</v>
      </c>
      <c r="F41" s="392">
        <f>'2'!F38</f>
        <v>97264.259836112949</v>
      </c>
      <c r="G41" s="392">
        <f>'2'!H38</f>
        <v>182466.96772506181</v>
      </c>
      <c r="I41" s="1">
        <v>2000</v>
      </c>
      <c r="J41">
        <f t="shared" si="0"/>
        <v>123.980302803773</v>
      </c>
      <c r="K41">
        <f t="shared" si="1"/>
        <v>220.12994749726749</v>
      </c>
      <c r="L41">
        <f t="shared" si="2"/>
        <v>92.104149779261235</v>
      </c>
      <c r="M41">
        <f t="shared" si="3"/>
        <v>70.873873771212985</v>
      </c>
      <c r="N41">
        <f t="shared" si="4"/>
        <v>125.45341844866998</v>
      </c>
      <c r="O41">
        <f>100*'2'!G38/'2'!G$19</f>
        <v>107.53948278039258</v>
      </c>
      <c r="P41">
        <f t="shared" si="5"/>
        <v>123.50369228434951</v>
      </c>
    </row>
    <row r="42" spans="1:16">
      <c r="A42" s="1">
        <v>2001</v>
      </c>
      <c r="B42" s="392">
        <f>'2'!B39</f>
        <v>66758.50494309621</v>
      </c>
      <c r="C42" s="392">
        <f>'2'!C39</f>
        <v>2893.1321673421967</v>
      </c>
      <c r="D42" s="392">
        <f>'2'!D39</f>
        <v>21640.158900543287</v>
      </c>
      <c r="E42" s="392">
        <f>'2'!E39</f>
        <v>-6631.4379946768795</v>
      </c>
      <c r="F42" s="392">
        <f>'2'!F39</f>
        <v>98390.138911302696</v>
      </c>
      <c r="G42" s="392">
        <f>'2'!H39</f>
        <v>182373.66509364967</v>
      </c>
      <c r="I42" s="1">
        <v>2001</v>
      </c>
      <c r="J42">
        <f t="shared" si="0"/>
        <v>125.34408399841637</v>
      </c>
      <c r="K42">
        <f t="shared" si="1"/>
        <v>235.62476607471055</v>
      </c>
      <c r="L42">
        <f t="shared" si="2"/>
        <v>82.643655632921295</v>
      </c>
      <c r="M42">
        <f t="shared" si="3"/>
        <v>67.540108250524838</v>
      </c>
      <c r="N42">
        <f t="shared" si="4"/>
        <v>126.90560015426641</v>
      </c>
      <c r="O42">
        <f>100*'2'!G39/'2'!G$19</f>
        <v>105.34393644877333</v>
      </c>
      <c r="P42">
        <f t="shared" si="5"/>
        <v>123.44053992519699</v>
      </c>
    </row>
    <row r="43" spans="1:16">
      <c r="A43" s="1">
        <v>2002</v>
      </c>
      <c r="B43" s="392">
        <f>'2'!B40</f>
        <v>67412.294757587442</v>
      </c>
      <c r="C43" s="392">
        <f>'2'!C40</f>
        <v>3040.4651900609219</v>
      </c>
      <c r="D43" s="392">
        <f>'2'!D40</f>
        <v>20607.823215257577</v>
      </c>
      <c r="E43" s="392">
        <f>'2'!E40</f>
        <v>-6656.0658827155594</v>
      </c>
      <c r="F43" s="392">
        <f>'2'!F40</f>
        <v>99281.446990420402</v>
      </c>
      <c r="G43" s="392">
        <f>'2'!H40</f>
        <v>183010.68958822326</v>
      </c>
      <c r="I43" s="1">
        <v>2002</v>
      </c>
      <c r="J43">
        <f t="shared" si="0"/>
        <v>126.57162325344837</v>
      </c>
      <c r="K43">
        <f t="shared" si="1"/>
        <v>247.62397904017669</v>
      </c>
      <c r="L43">
        <f t="shared" si="2"/>
        <v>78.701170955963292</v>
      </c>
      <c r="M43">
        <f t="shared" si="3"/>
        <v>67.790939250595926</v>
      </c>
      <c r="N43">
        <f t="shared" si="4"/>
        <v>128.05522742336447</v>
      </c>
      <c r="O43">
        <f>100*'2'!G40/'2'!G$19</f>
        <v>105.10157716861696</v>
      </c>
      <c r="P43">
        <f t="shared" si="5"/>
        <v>123.87171318431507</v>
      </c>
    </row>
    <row r="44" spans="1:16">
      <c r="A44" s="1">
        <v>2003</v>
      </c>
      <c r="B44" s="392">
        <f>'2'!B41</f>
        <v>68470.287458750347</v>
      </c>
      <c r="C44" s="392">
        <f>'2'!C41</f>
        <v>3165.8353656659879</v>
      </c>
      <c r="D44" s="392">
        <f>'2'!D41</f>
        <v>22383.913975729967</v>
      </c>
      <c r="E44" s="392">
        <f>'2'!E41</f>
        <v>-6630.169640746908</v>
      </c>
      <c r="F44" s="392">
        <f>'2'!F41</f>
        <v>100568.48525941581</v>
      </c>
      <c r="G44" s="392">
        <f>'2'!H41</f>
        <v>187267.65627507374</v>
      </c>
      <c r="I44" s="1">
        <v>2003</v>
      </c>
      <c r="J44">
        <f t="shared" si="0"/>
        <v>128.55808364703134</v>
      </c>
      <c r="K44">
        <f t="shared" si="1"/>
        <v>257.8344763804439</v>
      </c>
      <c r="L44">
        <f t="shared" si="2"/>
        <v>85.484052442919861</v>
      </c>
      <c r="M44">
        <f t="shared" si="3"/>
        <v>67.527190273790524</v>
      </c>
      <c r="N44">
        <f t="shared" si="4"/>
        <v>129.71527553139296</v>
      </c>
      <c r="O44">
        <f>100*'2'!G41/'2'!G$19</f>
        <v>107.50181510559129</v>
      </c>
      <c r="P44">
        <f t="shared" si="5"/>
        <v>126.75306267081338</v>
      </c>
    </row>
    <row r="45" spans="1:16">
      <c r="A45" s="1">
        <v>2004</v>
      </c>
      <c r="B45" s="392">
        <f>'2'!B42</f>
        <v>69900.906292653293</v>
      </c>
      <c r="C45" s="392">
        <f>'2'!C42</f>
        <v>3292.3534084881362</v>
      </c>
      <c r="D45" s="392">
        <f>'2'!D42</f>
        <v>24926.240622138244</v>
      </c>
      <c r="E45" s="392">
        <f>'2'!E42</f>
        <v>-5592.7145821136455</v>
      </c>
      <c r="F45" s="392">
        <f>'2'!F42</f>
        <v>101171.69546788384</v>
      </c>
      <c r="G45" s="392">
        <f>'2'!H42</f>
        <v>193010.58579130122</v>
      </c>
      <c r="I45" s="1">
        <v>2004</v>
      </c>
      <c r="J45">
        <f t="shared" si="0"/>
        <v>131.24417746293233</v>
      </c>
      <c r="K45">
        <f t="shared" si="1"/>
        <v>268.13845923359673</v>
      </c>
      <c r="L45">
        <f t="shared" si="2"/>
        <v>95.193184840597894</v>
      </c>
      <c r="M45">
        <f t="shared" si="3"/>
        <v>56.960880670746526</v>
      </c>
      <c r="N45">
        <f t="shared" si="4"/>
        <v>130.49330831366015</v>
      </c>
      <c r="O45">
        <f>100*'2'!G42/'2'!G$19</f>
        <v>107.06590254032035</v>
      </c>
      <c r="P45">
        <f t="shared" si="5"/>
        <v>130.64019363279431</v>
      </c>
    </row>
    <row r="46" spans="1:16">
      <c r="A46" s="1">
        <v>2005</v>
      </c>
      <c r="B46" s="392">
        <f>'2'!B43</f>
        <v>71805.836333701547</v>
      </c>
      <c r="C46" s="392">
        <f>'2'!C43</f>
        <v>3398.3439485446179</v>
      </c>
      <c r="D46" s="392">
        <f>'2'!D43</f>
        <v>29908.519082106603</v>
      </c>
      <c r="E46" s="392">
        <f>'2'!E43</f>
        <v>-4645.5161858921583</v>
      </c>
      <c r="F46" s="392">
        <f>'2'!F43</f>
        <v>102397.8906899548</v>
      </c>
      <c r="G46" s="392">
        <f>'2'!H43</f>
        <v>202193.77673075831</v>
      </c>
      <c r="I46" s="1">
        <v>2005</v>
      </c>
      <c r="J46">
        <f t="shared" si="0"/>
        <v>134.82082603047866</v>
      </c>
      <c r="K46">
        <f t="shared" si="1"/>
        <v>276.77062491508485</v>
      </c>
      <c r="L46">
        <f t="shared" si="2"/>
        <v>114.22048067540847</v>
      </c>
      <c r="M46">
        <f t="shared" si="3"/>
        <v>47.313820369967836</v>
      </c>
      <c r="N46">
        <f t="shared" si="4"/>
        <v>132.07487982362102</v>
      </c>
      <c r="O46">
        <f>100*'2'!G43/'2'!G$19</f>
        <v>104.48250135349954</v>
      </c>
      <c r="P46">
        <f t="shared" si="5"/>
        <v>136.85588298257335</v>
      </c>
    </row>
    <row r="47" spans="1:16">
      <c r="A47" s="1">
        <v>2006</v>
      </c>
      <c r="B47" s="392">
        <f>'2'!B44</f>
        <v>73909.111945165641</v>
      </c>
      <c r="C47" s="392">
        <f>'2'!C44</f>
        <v>3481.0444614689127</v>
      </c>
      <c r="D47" s="392">
        <f>'2'!D44</f>
        <v>31823.119657849365</v>
      </c>
      <c r="E47" s="392">
        <f>'2'!E44</f>
        <v>-2468.938355925603</v>
      </c>
      <c r="F47" s="392">
        <f>'2'!F44</f>
        <v>103427.26558003515</v>
      </c>
      <c r="G47" s="392">
        <f>'2'!H44</f>
        <v>209518.0323058216</v>
      </c>
      <c r="I47" s="1">
        <v>2006</v>
      </c>
      <c r="J47">
        <f t="shared" si="0"/>
        <v>138.7698832350984</v>
      </c>
      <c r="K47">
        <f t="shared" si="1"/>
        <v>283.50598572300356</v>
      </c>
      <c r="L47">
        <f t="shared" si="2"/>
        <v>121.53233043508401</v>
      </c>
      <c r="M47">
        <f t="shared" si="3"/>
        <v>25.145732186132449</v>
      </c>
      <c r="N47">
        <f t="shared" si="4"/>
        <v>133.40258847059368</v>
      </c>
      <c r="O47">
        <f>100*'2'!G44/'2'!G$19</f>
        <v>101.72355468459138</v>
      </c>
      <c r="P47">
        <f t="shared" si="5"/>
        <v>141.8133425054254</v>
      </c>
    </row>
    <row r="48" spans="1:16">
      <c r="A48" s="1">
        <v>2007</v>
      </c>
      <c r="B48" s="392">
        <f>'2'!B45</f>
        <v>75851.893484833301</v>
      </c>
      <c r="C48" s="392">
        <f>'2'!C45</f>
        <v>3533.4796584277578</v>
      </c>
      <c r="D48" s="392">
        <f>'2'!D45</f>
        <v>30293.121031923012</v>
      </c>
      <c r="E48" s="392">
        <f>'2'!E45</f>
        <v>-3377.6055938748154</v>
      </c>
      <c r="F48" s="392">
        <f>'2'!F45</f>
        <v>104523.02425768241</v>
      </c>
      <c r="G48" s="392">
        <f>'2'!H45</f>
        <v>210151.28319565061</v>
      </c>
      <c r="I48" s="1">
        <v>2007</v>
      </c>
      <c r="J48">
        <f t="shared" si="0"/>
        <v>142.41760082113848</v>
      </c>
      <c r="K48">
        <f t="shared" si="1"/>
        <v>287.77645464833415</v>
      </c>
      <c r="L48">
        <f t="shared" si="2"/>
        <v>115.68927354529721</v>
      </c>
      <c r="M48">
        <f t="shared" si="3"/>
        <v>34.400358960002414</v>
      </c>
      <c r="N48">
        <f t="shared" si="4"/>
        <v>134.81592027548555</v>
      </c>
      <c r="O48">
        <f>100*'2'!G45/'2'!G$19</f>
        <v>104.68989614057878</v>
      </c>
      <c r="P48">
        <f t="shared" si="5"/>
        <v>142.24196158103845</v>
      </c>
    </row>
    <row r="49" spans="1:16">
      <c r="A49" s="1">
        <v>2008</v>
      </c>
      <c r="B49" s="392">
        <f>'2'!B46</f>
        <v>77549.095364938432</v>
      </c>
      <c r="C49" s="392">
        <f>'2'!C46</f>
        <v>3533.1282378743476</v>
      </c>
      <c r="D49" s="392">
        <f>'2'!D46</f>
        <v>43442.582706675261</v>
      </c>
      <c r="E49" s="392">
        <f>'2'!E46</f>
        <v>-761.19538119101901</v>
      </c>
      <c r="F49" s="392">
        <f>'2'!F46</f>
        <v>105378.31374007903</v>
      </c>
      <c r="G49" s="392">
        <f>'2'!H46</f>
        <v>228491.31403774826</v>
      </c>
      <c r="I49" s="1">
        <v>2008</v>
      </c>
      <c r="J49">
        <f t="shared" si="0"/>
        <v>145.60422423643962</v>
      </c>
      <c r="K49">
        <f t="shared" si="1"/>
        <v>287.74783397672235</v>
      </c>
      <c r="L49">
        <f t="shared" si="2"/>
        <v>165.90700010641032</v>
      </c>
      <c r="M49">
        <f t="shared" si="3"/>
        <v>7.7526501019400653</v>
      </c>
      <c r="N49">
        <f t="shared" si="4"/>
        <v>135.9190900267451</v>
      </c>
      <c r="O49">
        <f>100*'2'!G46/'2'!G$19</f>
        <v>101.26279747358694</v>
      </c>
      <c r="P49">
        <f t="shared" si="5"/>
        <v>154.65550444771702</v>
      </c>
    </row>
    <row r="50" spans="1:16">
      <c r="A50" s="1">
        <v>2009</v>
      </c>
      <c r="B50" s="392">
        <f>'2'!B47</f>
        <v>77787.550032348576</v>
      </c>
      <c r="C50" s="392">
        <f>'2'!C47</f>
        <v>3526.3780501547531</v>
      </c>
      <c r="D50" s="392">
        <f>'2'!D47</f>
        <v>27068.292730781399</v>
      </c>
      <c r="E50" s="392">
        <f>'2'!E47</f>
        <v>-3825.3772352613573</v>
      </c>
      <c r="F50" s="392">
        <f>'2'!F47</f>
        <v>106022.00193392082</v>
      </c>
      <c r="G50" s="392">
        <f>'2'!H47</f>
        <v>209972.9164685276</v>
      </c>
      <c r="I50" s="1">
        <v>2009</v>
      </c>
      <c r="J50">
        <f t="shared" si="0"/>
        <v>146.05194070173718</v>
      </c>
      <c r="K50">
        <f t="shared" si="1"/>
        <v>287.19807983125207</v>
      </c>
      <c r="L50">
        <f t="shared" si="2"/>
        <v>103.37367083555209</v>
      </c>
      <c r="M50">
        <f t="shared" si="3"/>
        <v>38.960839681534942</v>
      </c>
      <c r="N50">
        <f t="shared" si="4"/>
        <v>136.74933213693615</v>
      </c>
      <c r="O50">
        <f>100*'2'!G47/'2'!G$19</f>
        <v>94.308434443584375</v>
      </c>
      <c r="P50">
        <f t="shared" si="5"/>
        <v>142.12123315739544</v>
      </c>
    </row>
    <row r="51" spans="1:16">
      <c r="A51" s="1">
        <v>2010</v>
      </c>
      <c r="B51" s="392">
        <f>'2'!B48</f>
        <v>78748.460219242261</v>
      </c>
      <c r="C51" s="392">
        <f>'2'!C48</f>
        <v>3494.6573660945023</v>
      </c>
      <c r="D51" s="392">
        <f>'2'!D48</f>
        <v>28010.083236856801</v>
      </c>
      <c r="E51" s="392">
        <f>'2'!E48</f>
        <v>-3700.7225654546814</v>
      </c>
      <c r="F51" s="392">
        <f>'2'!F48</f>
        <v>107093.46362773265</v>
      </c>
      <c r="G51" s="392">
        <f>'2'!H48</f>
        <v>213055.55743049577</v>
      </c>
      <c r="I51" s="1">
        <v>2010</v>
      </c>
      <c r="J51">
        <f t="shared" ref="J51" si="6">100*B51/B$22</f>
        <v>147.8561214167427</v>
      </c>
      <c r="K51">
        <f t="shared" ref="K51" si="7">100*C51/C$22</f>
        <v>284.61465870525058</v>
      </c>
      <c r="L51">
        <f t="shared" ref="L51" si="8">100*D51/D$22</f>
        <v>106.9703639384154</v>
      </c>
      <c r="M51">
        <f t="shared" ref="M51" si="9">100*E51/E$22</f>
        <v>37.691252316104624</v>
      </c>
      <c r="N51">
        <f t="shared" ref="N51" si="10">100*F51/F$22</f>
        <v>138.13132519843668</v>
      </c>
      <c r="O51">
        <f>100*'2'!G48/'2'!G$19</f>
        <v>91.889032518288829</v>
      </c>
      <c r="P51">
        <f t="shared" ref="P51" si="11">100*G51/G$22</f>
        <v>144.20773432271159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A1:CL70"/>
  <sheetViews>
    <sheetView view="pageBreakPreview" zoomScaleSheetLayoutView="100" workbookViewId="0">
      <pane xSplit="1" ySplit="17" topLeftCell="B18" activePane="bottomRight" state="frozen"/>
      <selection activeCell="E9" sqref="E9"/>
      <selection pane="topRight" activeCell="E9" sqref="E9"/>
      <selection pane="bottomLeft" activeCell="E9" sqref="E9"/>
      <selection pane="bottomRight" activeCell="E9" sqref="E9"/>
    </sheetView>
  </sheetViews>
  <sheetFormatPr defaultColWidth="8.875" defaultRowHeight="12.75"/>
  <cols>
    <col min="1" max="1" width="8.875" style="1"/>
    <col min="2" max="45" width="12.25" style="1" customWidth="1"/>
    <col min="46" max="55" width="8.875" style="1"/>
    <col min="56" max="79" width="9" style="1" bestFit="1" customWidth="1"/>
    <col min="80" max="80" width="9.625" style="1" bestFit="1" customWidth="1"/>
    <col min="81" max="90" width="9" style="1" bestFit="1" customWidth="1"/>
    <col min="91" max="16384" width="8.875" style="1"/>
  </cols>
  <sheetData>
    <row r="1" spans="1:90" ht="15.75">
      <c r="B1" s="2" t="s">
        <v>503</v>
      </c>
      <c r="N1" s="2" t="s">
        <v>504</v>
      </c>
      <c r="Z1" s="2" t="s">
        <v>505</v>
      </c>
      <c r="AL1" s="2" t="s">
        <v>506</v>
      </c>
      <c r="AU1" s="2" t="s">
        <v>503</v>
      </c>
      <c r="BG1" s="2" t="s">
        <v>504</v>
      </c>
      <c r="BS1" s="2" t="s">
        <v>505</v>
      </c>
      <c r="CE1" s="2" t="s">
        <v>506</v>
      </c>
    </row>
    <row r="2" spans="1:90">
      <c r="AU2" s="1" t="s">
        <v>1163</v>
      </c>
      <c r="BG2" s="1" t="s">
        <v>1163</v>
      </c>
      <c r="BS2" s="1" t="s">
        <v>1163</v>
      </c>
      <c r="CE2" s="1" t="s">
        <v>1163</v>
      </c>
    </row>
    <row r="3" spans="1:90" s="3" customFormat="1" ht="15">
      <c r="B3" s="3" t="s">
        <v>321</v>
      </c>
      <c r="F3" s="3" t="s">
        <v>370</v>
      </c>
      <c r="J3" s="3" t="s">
        <v>371</v>
      </c>
      <c r="N3" s="3" t="s">
        <v>372</v>
      </c>
      <c r="R3" s="3" t="s">
        <v>373</v>
      </c>
      <c r="V3" s="3" t="s">
        <v>374</v>
      </c>
      <c r="Z3" s="3" t="s">
        <v>375</v>
      </c>
      <c r="AD3" s="3" t="s">
        <v>376</v>
      </c>
      <c r="AH3" s="3" t="s">
        <v>377</v>
      </c>
      <c r="AL3" s="3" t="s">
        <v>378</v>
      </c>
      <c r="AP3" s="3" t="s">
        <v>379</v>
      </c>
      <c r="AU3" s="3" t="s">
        <v>321</v>
      </c>
      <c r="AY3" s="3" t="s">
        <v>370</v>
      </c>
      <c r="BC3" s="3" t="s">
        <v>371</v>
      </c>
      <c r="BG3" s="3" t="s">
        <v>372</v>
      </c>
      <c r="BK3" s="3" t="s">
        <v>373</v>
      </c>
      <c r="BO3" s="3" t="s">
        <v>374</v>
      </c>
      <c r="BS3" s="3" t="s">
        <v>375</v>
      </c>
      <c r="BW3" s="3" t="s">
        <v>376</v>
      </c>
      <c r="CA3" s="3" t="s">
        <v>377</v>
      </c>
      <c r="CE3" s="3" t="s">
        <v>378</v>
      </c>
      <c r="CI3" s="3" t="s">
        <v>379</v>
      </c>
    </row>
    <row r="4" spans="1:90" s="4" customFormat="1" ht="67.5" customHeight="1">
      <c r="A4" s="4">
        <v>100</v>
      </c>
      <c r="B4" s="4" t="s">
        <v>1153</v>
      </c>
      <c r="C4" s="4" t="s">
        <v>1151</v>
      </c>
      <c r="D4" s="4" t="s">
        <v>1150</v>
      </c>
      <c r="E4" s="4" t="s">
        <v>656</v>
      </c>
      <c r="F4" s="4" t="s">
        <v>1153</v>
      </c>
      <c r="G4" s="4" t="s">
        <v>1151</v>
      </c>
      <c r="H4" s="4" t="s">
        <v>1150</v>
      </c>
      <c r="I4" s="4" t="s">
        <v>656</v>
      </c>
      <c r="J4" s="4" t="s">
        <v>1153</v>
      </c>
      <c r="K4" s="4" t="s">
        <v>1151</v>
      </c>
      <c r="L4" s="4" t="s">
        <v>1150</v>
      </c>
      <c r="M4" s="4" t="s">
        <v>656</v>
      </c>
      <c r="N4" s="4" t="s">
        <v>1153</v>
      </c>
      <c r="O4" s="4" t="s">
        <v>1151</v>
      </c>
      <c r="P4" s="4" t="s">
        <v>1150</v>
      </c>
      <c r="Q4" s="4" t="s">
        <v>656</v>
      </c>
      <c r="R4" s="4" t="s">
        <v>1153</v>
      </c>
      <c r="S4" s="4" t="s">
        <v>1151</v>
      </c>
      <c r="T4" s="4" t="s">
        <v>1150</v>
      </c>
      <c r="U4" s="4" t="s">
        <v>656</v>
      </c>
      <c r="V4" s="4" t="s">
        <v>1153</v>
      </c>
      <c r="W4" s="4" t="s">
        <v>1151</v>
      </c>
      <c r="X4" s="4" t="s">
        <v>1150</v>
      </c>
      <c r="Y4" s="4" t="s">
        <v>656</v>
      </c>
      <c r="Z4" s="4" t="s">
        <v>1153</v>
      </c>
      <c r="AA4" s="4" t="s">
        <v>1151</v>
      </c>
      <c r="AB4" s="4" t="s">
        <v>1150</v>
      </c>
      <c r="AC4" s="4" t="s">
        <v>656</v>
      </c>
      <c r="AD4" s="4" t="s">
        <v>1153</v>
      </c>
      <c r="AE4" s="4" t="s">
        <v>1151</v>
      </c>
      <c r="AF4" s="4" t="s">
        <v>1150</v>
      </c>
      <c r="AG4" s="4" t="s">
        <v>656</v>
      </c>
      <c r="AH4" s="4" t="s">
        <v>1153</v>
      </c>
      <c r="AI4" s="4" t="s">
        <v>1151</v>
      </c>
      <c r="AJ4" s="4" t="s">
        <v>1150</v>
      </c>
      <c r="AK4" s="4" t="s">
        <v>656</v>
      </c>
      <c r="AL4" s="4" t="s">
        <v>1153</v>
      </c>
      <c r="AM4" s="4" t="s">
        <v>1151</v>
      </c>
      <c r="AN4" s="4" t="s">
        <v>1150</v>
      </c>
      <c r="AO4" s="4" t="s">
        <v>656</v>
      </c>
      <c r="AP4" s="4" t="s">
        <v>1153</v>
      </c>
      <c r="AQ4" s="4" t="s">
        <v>1151</v>
      </c>
      <c r="AR4" s="4" t="s">
        <v>1150</v>
      </c>
      <c r="AS4" s="4" t="s">
        <v>656</v>
      </c>
      <c r="AU4" s="4" t="s">
        <v>1152</v>
      </c>
      <c r="AV4" s="4" t="s">
        <v>1151</v>
      </c>
      <c r="AW4" s="4" t="s">
        <v>1150</v>
      </c>
      <c r="AX4" s="4" t="s">
        <v>656</v>
      </c>
      <c r="AY4" s="4" t="s">
        <v>1152</v>
      </c>
      <c r="AZ4" s="4" t="s">
        <v>1151</v>
      </c>
      <c r="BA4" s="4" t="s">
        <v>1150</v>
      </c>
      <c r="BB4" s="4" t="s">
        <v>656</v>
      </c>
      <c r="BC4" s="4" t="s">
        <v>1152</v>
      </c>
      <c r="BD4" s="4" t="s">
        <v>1151</v>
      </c>
      <c r="BE4" s="4" t="s">
        <v>1150</v>
      </c>
      <c r="BF4" s="4" t="s">
        <v>656</v>
      </c>
      <c r="BG4" s="4" t="s">
        <v>1152</v>
      </c>
      <c r="BH4" s="4" t="s">
        <v>1151</v>
      </c>
      <c r="BI4" s="4" t="s">
        <v>1150</v>
      </c>
      <c r="BJ4" s="4" t="s">
        <v>656</v>
      </c>
      <c r="BK4" s="4" t="s">
        <v>1152</v>
      </c>
      <c r="BL4" s="4" t="s">
        <v>1151</v>
      </c>
      <c r="BM4" s="4" t="s">
        <v>1150</v>
      </c>
      <c r="BN4" s="4" t="s">
        <v>656</v>
      </c>
      <c r="BO4" s="4" t="s">
        <v>1152</v>
      </c>
      <c r="BP4" s="4" t="s">
        <v>1151</v>
      </c>
      <c r="BQ4" s="4" t="s">
        <v>1150</v>
      </c>
      <c r="BR4" s="4" t="s">
        <v>656</v>
      </c>
      <c r="BS4" s="4" t="s">
        <v>1152</v>
      </c>
      <c r="BT4" s="4" t="s">
        <v>1151</v>
      </c>
      <c r="BU4" s="4" t="s">
        <v>1150</v>
      </c>
      <c r="BV4" s="4" t="s">
        <v>656</v>
      </c>
      <c r="BW4" s="4" t="s">
        <v>1152</v>
      </c>
      <c r="BX4" s="4" t="s">
        <v>1151</v>
      </c>
      <c r="BY4" s="4" t="s">
        <v>1150</v>
      </c>
      <c r="BZ4" s="4" t="s">
        <v>656</v>
      </c>
      <c r="CA4" s="4" t="s">
        <v>1152</v>
      </c>
      <c r="CB4" s="4" t="s">
        <v>1151</v>
      </c>
      <c r="CC4" s="4" t="s">
        <v>1150</v>
      </c>
      <c r="CD4" s="4" t="s">
        <v>656</v>
      </c>
      <c r="CE4" s="4" t="s">
        <v>1152</v>
      </c>
      <c r="CF4" s="4" t="s">
        <v>1151</v>
      </c>
      <c r="CG4" s="4" t="s">
        <v>1150</v>
      </c>
      <c r="CH4" s="4" t="s">
        <v>656</v>
      </c>
      <c r="CI4" s="4" t="s">
        <v>1152</v>
      </c>
      <c r="CJ4" s="4" t="s">
        <v>1151</v>
      </c>
      <c r="CK4" s="4" t="s">
        <v>1150</v>
      </c>
      <c r="CL4" s="4" t="s">
        <v>656</v>
      </c>
    </row>
    <row r="5" spans="1:90" s="4" customFormat="1" hidden="1"/>
    <row r="6" spans="1:90" s="4" customFormat="1" ht="25.5">
      <c r="B6" s="4" t="s">
        <v>105</v>
      </c>
      <c r="C6" s="4" t="s">
        <v>106</v>
      </c>
      <c r="D6" s="4" t="s">
        <v>240</v>
      </c>
      <c r="E6" s="4" t="s">
        <v>388</v>
      </c>
      <c r="F6" s="4" t="s">
        <v>110</v>
      </c>
      <c r="G6" s="4" t="s">
        <v>111</v>
      </c>
      <c r="H6" s="4" t="s">
        <v>148</v>
      </c>
      <c r="I6" s="4" t="s">
        <v>388</v>
      </c>
      <c r="J6" s="4" t="s">
        <v>114</v>
      </c>
      <c r="K6" s="4" t="s">
        <v>115</v>
      </c>
      <c r="L6" s="4" t="s">
        <v>149</v>
      </c>
      <c r="M6" s="4" t="s">
        <v>388</v>
      </c>
      <c r="N6" s="4" t="s">
        <v>105</v>
      </c>
      <c r="O6" s="4" t="s">
        <v>106</v>
      </c>
      <c r="P6" s="4" t="s">
        <v>240</v>
      </c>
      <c r="Q6" s="4" t="s">
        <v>388</v>
      </c>
      <c r="R6" s="4" t="s">
        <v>110</v>
      </c>
      <c r="S6" s="4" t="s">
        <v>111</v>
      </c>
      <c r="T6" s="4" t="s">
        <v>148</v>
      </c>
      <c r="U6" s="4" t="s">
        <v>388</v>
      </c>
      <c r="V6" s="4" t="s">
        <v>114</v>
      </c>
      <c r="W6" s="4" t="s">
        <v>115</v>
      </c>
      <c r="X6" s="4" t="s">
        <v>149</v>
      </c>
      <c r="Y6" s="4" t="s">
        <v>388</v>
      </c>
      <c r="Z6" s="4" t="s">
        <v>105</v>
      </c>
      <c r="AA6" s="4" t="s">
        <v>106</v>
      </c>
      <c r="AB6" s="4" t="s">
        <v>240</v>
      </c>
      <c r="AC6" s="4" t="s">
        <v>388</v>
      </c>
      <c r="AD6" s="4" t="s">
        <v>110</v>
      </c>
      <c r="AE6" s="4" t="s">
        <v>111</v>
      </c>
      <c r="AF6" s="4" t="s">
        <v>148</v>
      </c>
      <c r="AG6" s="4" t="s">
        <v>388</v>
      </c>
      <c r="AH6" s="4" t="s">
        <v>114</v>
      </c>
      <c r="AI6" s="4" t="s">
        <v>115</v>
      </c>
      <c r="AJ6" s="4" t="s">
        <v>149</v>
      </c>
      <c r="AK6" s="4" t="s">
        <v>388</v>
      </c>
      <c r="AL6" s="4" t="s">
        <v>105</v>
      </c>
      <c r="AM6" s="4" t="s">
        <v>106</v>
      </c>
      <c r="AN6" s="4" t="s">
        <v>240</v>
      </c>
      <c r="AO6" s="4" t="s">
        <v>388</v>
      </c>
      <c r="AP6" s="4" t="s">
        <v>110</v>
      </c>
      <c r="AQ6" s="4" t="s">
        <v>111</v>
      </c>
      <c r="AR6" s="4" t="s">
        <v>148</v>
      </c>
      <c r="AS6" s="4" t="s">
        <v>388</v>
      </c>
      <c r="AU6" s="4" t="s">
        <v>105</v>
      </c>
      <c r="AV6" s="4" t="s">
        <v>106</v>
      </c>
      <c r="AW6" s="4" t="s">
        <v>240</v>
      </c>
      <c r="AX6" s="4" t="s">
        <v>388</v>
      </c>
      <c r="AY6" s="4" t="s">
        <v>110</v>
      </c>
      <c r="AZ6" s="4" t="s">
        <v>111</v>
      </c>
      <c r="BA6" s="4" t="s">
        <v>148</v>
      </c>
      <c r="BB6" s="4" t="s">
        <v>388</v>
      </c>
      <c r="BC6" s="4" t="s">
        <v>114</v>
      </c>
      <c r="BD6" s="4" t="s">
        <v>115</v>
      </c>
      <c r="BE6" s="4" t="s">
        <v>149</v>
      </c>
      <c r="BF6" s="4" t="s">
        <v>388</v>
      </c>
      <c r="BG6" s="4" t="s">
        <v>105</v>
      </c>
      <c r="BH6" s="4" t="s">
        <v>106</v>
      </c>
      <c r="BI6" s="4" t="s">
        <v>240</v>
      </c>
      <c r="BJ6" s="4" t="s">
        <v>388</v>
      </c>
      <c r="BK6" s="4" t="s">
        <v>110</v>
      </c>
      <c r="BL6" s="4" t="s">
        <v>111</v>
      </c>
      <c r="BM6" s="4" t="s">
        <v>148</v>
      </c>
      <c r="BN6" s="4" t="s">
        <v>388</v>
      </c>
      <c r="BO6" s="4" t="s">
        <v>114</v>
      </c>
      <c r="BP6" s="4" t="s">
        <v>115</v>
      </c>
      <c r="BQ6" s="4" t="s">
        <v>149</v>
      </c>
      <c r="BR6" s="4" t="s">
        <v>388</v>
      </c>
      <c r="BS6" s="4" t="s">
        <v>105</v>
      </c>
      <c r="BT6" s="4" t="s">
        <v>106</v>
      </c>
      <c r="BU6" s="4" t="s">
        <v>240</v>
      </c>
      <c r="BV6" s="4" t="s">
        <v>388</v>
      </c>
      <c r="BW6" s="4" t="s">
        <v>110</v>
      </c>
      <c r="BX6" s="4" t="s">
        <v>111</v>
      </c>
      <c r="BY6" s="4" t="s">
        <v>148</v>
      </c>
      <c r="BZ6" s="4" t="s">
        <v>388</v>
      </c>
      <c r="CA6" s="4" t="s">
        <v>114</v>
      </c>
      <c r="CB6" s="4" t="s">
        <v>115</v>
      </c>
      <c r="CC6" s="4" t="s">
        <v>149</v>
      </c>
      <c r="CD6" s="4" t="s">
        <v>388</v>
      </c>
      <c r="CE6" s="4" t="s">
        <v>105</v>
      </c>
      <c r="CF6" s="4" t="s">
        <v>106</v>
      </c>
      <c r="CG6" s="4" t="s">
        <v>240</v>
      </c>
      <c r="CH6" s="4" t="s">
        <v>388</v>
      </c>
      <c r="CI6" s="4" t="s">
        <v>110</v>
      </c>
      <c r="CJ6" s="4" t="s">
        <v>111</v>
      </c>
      <c r="CK6" s="4" t="s">
        <v>148</v>
      </c>
      <c r="CL6" s="4" t="s">
        <v>388</v>
      </c>
    </row>
    <row r="7" spans="1:90" s="4" customFormat="1">
      <c r="BK7" s="384"/>
      <c r="BL7" s="384"/>
    </row>
    <row r="8" spans="1:90" hidden="1">
      <c r="A8" s="1">
        <v>1971</v>
      </c>
      <c r="B8" s="122">
        <f t="shared" ref="B8:B11" si="0">B9</f>
        <v>30.6</v>
      </c>
      <c r="C8" s="122">
        <f t="shared" ref="C8:C11" si="1">C9</f>
        <v>25.74</v>
      </c>
      <c r="F8" s="122">
        <f t="shared" ref="F8:F11" si="2">F9</f>
        <v>36.700000000000003</v>
      </c>
      <c r="G8" s="122">
        <f t="shared" ref="G8:G11" si="3">G9</f>
        <v>21.68</v>
      </c>
      <c r="J8" s="122">
        <f t="shared" ref="J8:J11" si="4">J9</f>
        <v>40.4</v>
      </c>
      <c r="K8" s="122">
        <f t="shared" ref="K8:K11" si="5">K9</f>
        <v>20.57</v>
      </c>
      <c r="N8" s="122">
        <f t="shared" ref="N8:N11" si="6">N9</f>
        <v>31.7</v>
      </c>
      <c r="O8" s="122">
        <f t="shared" ref="O8:O11" si="7">O9</f>
        <v>18.8</v>
      </c>
      <c r="R8" s="122">
        <f t="shared" ref="R8:R11" si="8">R9</f>
        <v>35.1</v>
      </c>
      <c r="S8" s="122">
        <f t="shared" ref="S8:S11" si="9">S9</f>
        <v>21.49</v>
      </c>
      <c r="V8" s="122">
        <f t="shared" ref="V8:V11" si="10">V9</f>
        <v>30.5</v>
      </c>
      <c r="W8" s="122">
        <f t="shared" ref="W8:W11" si="11">W9</f>
        <v>23.49</v>
      </c>
      <c r="Z8" s="122">
        <f t="shared" ref="Z8:Z11" si="12">Z9</f>
        <v>27.7</v>
      </c>
      <c r="AA8" s="122">
        <f t="shared" ref="AA8:AA11" si="13">AA9</f>
        <v>28.55</v>
      </c>
      <c r="AD8" s="122">
        <f t="shared" ref="AD8:AD11" si="14">AD9</f>
        <v>41.8</v>
      </c>
      <c r="AE8" s="122">
        <f t="shared" ref="AE8:AE11" si="15">AE9</f>
        <v>28.7</v>
      </c>
      <c r="AH8" s="122">
        <f t="shared" ref="AH8:AH11" si="16">AH9</f>
        <v>37.200000000000003</v>
      </c>
      <c r="AI8" s="122">
        <f t="shared" ref="AI8:AI11" si="17">AI9</f>
        <v>22.62</v>
      </c>
      <c r="AL8" s="122">
        <f t="shared" ref="AL8:AL11" si="18">AL9</f>
        <v>27.1</v>
      </c>
      <c r="AM8" s="122">
        <f t="shared" ref="AM8:AM11" si="19">AM9</f>
        <v>24.26</v>
      </c>
      <c r="AP8" s="122">
        <f t="shared" ref="AP8:AP11" si="20">AP9</f>
        <v>30.7</v>
      </c>
      <c r="AQ8" s="122">
        <f t="shared" ref="AQ8:AQ11" si="21">AQ9</f>
        <v>27.82</v>
      </c>
      <c r="AT8" s="1">
        <v>1971</v>
      </c>
      <c r="AU8" s="122">
        <f t="shared" ref="AU8:AV11" si="22">AU9</f>
        <v>29</v>
      </c>
      <c r="AV8" s="122">
        <f t="shared" si="22"/>
        <v>28.38</v>
      </c>
      <c r="AW8" s="13">
        <f t="shared" ref="AW8:AW47" si="23">AU8*AV8/100*$E$59</f>
        <v>15.555078</v>
      </c>
      <c r="AX8" s="13"/>
      <c r="AY8" s="122">
        <f t="shared" ref="AY8:AZ11" si="24">AY9</f>
        <v>28.1</v>
      </c>
      <c r="AZ8" s="122">
        <f t="shared" si="24"/>
        <v>24.88</v>
      </c>
      <c r="BA8" s="13">
        <f t="shared" ref="BA8:BA47" si="25">AY8*AZ8/100*$E$59</f>
        <v>13.2135192</v>
      </c>
      <c r="BB8" s="13"/>
      <c r="BC8" s="122">
        <f t="shared" ref="BC8:BD11" si="26">BC9</f>
        <v>22.9</v>
      </c>
      <c r="BD8" s="122">
        <f t="shared" si="26"/>
        <v>23.06</v>
      </c>
      <c r="BE8" s="13">
        <f t="shared" ref="BE8:BE47" si="27">BC8*BD8/100*$E$59</f>
        <v>9.9805985999999987</v>
      </c>
      <c r="BF8" s="13"/>
      <c r="BG8" s="122">
        <f t="shared" ref="BG8:BH11" si="28">BG9</f>
        <v>22.3</v>
      </c>
      <c r="BH8" s="122">
        <f t="shared" si="28"/>
        <v>20.45</v>
      </c>
      <c r="BI8" s="122">
        <f t="shared" ref="BI8:BI47" si="29">BG8*BH8/100*$E$59</f>
        <v>8.6190615000000008</v>
      </c>
      <c r="BJ8" s="13"/>
      <c r="BK8" s="122">
        <f t="shared" ref="BK8:BL11" si="30">BK9</f>
        <v>24.3</v>
      </c>
      <c r="BL8" s="122">
        <f t="shared" si="30"/>
        <v>20.92</v>
      </c>
      <c r="BM8" s="122">
        <f t="shared" ref="BM8:BM47" si="31">BK8*BL8/100*$E$59</f>
        <v>9.6079284000000005</v>
      </c>
      <c r="BN8" s="13"/>
      <c r="BO8" s="122">
        <f t="shared" ref="BO8:BP11" si="32">BO9</f>
        <v>31</v>
      </c>
      <c r="BP8" s="122">
        <f t="shared" si="32"/>
        <v>26.81</v>
      </c>
      <c r="BQ8" s="122">
        <f t="shared" ref="BQ8:BQ47" si="33">BO8*BP8/100*$E$59</f>
        <v>15.707978999999998</v>
      </c>
      <c r="BR8" s="13"/>
      <c r="BS8" s="122">
        <f t="shared" ref="BS8:BT11" si="34">BS9</f>
        <v>27</v>
      </c>
      <c r="BT8" s="122">
        <f t="shared" si="34"/>
        <v>31.47</v>
      </c>
      <c r="BU8" s="122">
        <f t="shared" ref="BU8:BU47" si="35">BS8*BT8/100*$E$59</f>
        <v>16.059141</v>
      </c>
      <c r="BV8" s="13"/>
      <c r="BW8" s="122">
        <f t="shared" ref="BW8:BX11" si="36">BW9</f>
        <v>38.5</v>
      </c>
      <c r="BX8" s="122">
        <f t="shared" si="36"/>
        <v>29.73</v>
      </c>
      <c r="BY8" s="122">
        <f t="shared" ref="BY8:BY47" si="37">BW8*BX8/100*$E$59</f>
        <v>21.633034499999997</v>
      </c>
      <c r="BZ8" s="13"/>
      <c r="CA8" s="122">
        <f t="shared" ref="CA8:CB11" si="38">CA9</f>
        <v>30.2</v>
      </c>
      <c r="CB8" s="122">
        <f t="shared" si="38"/>
        <v>20.05</v>
      </c>
      <c r="CC8" s="122">
        <f t="shared" ref="CC8:CC47" si="39">CA8*CB8/100*$E$59</f>
        <v>11.444138999999998</v>
      </c>
      <c r="CD8" s="13"/>
      <c r="CE8" s="122">
        <f t="shared" ref="CE8:CF11" si="40">CE9</f>
        <v>26</v>
      </c>
      <c r="CF8" s="122">
        <f t="shared" si="40"/>
        <v>22.99</v>
      </c>
      <c r="CG8" s="122">
        <f t="shared" ref="CG8:CG47" si="41">CE8*CF8/100*$E$59</f>
        <v>11.297286</v>
      </c>
      <c r="CH8" s="13"/>
      <c r="CI8" s="122">
        <f t="shared" ref="CI8:CJ11" si="42">CI9</f>
        <v>32</v>
      </c>
      <c r="CJ8" s="122">
        <f t="shared" si="42"/>
        <v>32.69</v>
      </c>
      <c r="CK8" s="122">
        <f t="shared" ref="CK8:CK47" si="43">CI8*CJ8/100*$E$59</f>
        <v>19.770911999999996</v>
      </c>
      <c r="CL8" s="13"/>
    </row>
    <row r="9" spans="1:90" hidden="1">
      <c r="A9" s="1">
        <v>1972</v>
      </c>
      <c r="B9" s="122">
        <f t="shared" si="0"/>
        <v>30.6</v>
      </c>
      <c r="C9" s="122">
        <f t="shared" si="1"/>
        <v>25.74</v>
      </c>
      <c r="F9" s="122">
        <f t="shared" si="2"/>
        <v>36.700000000000003</v>
      </c>
      <c r="G9" s="122">
        <f t="shared" si="3"/>
        <v>21.68</v>
      </c>
      <c r="J9" s="122">
        <f t="shared" si="4"/>
        <v>40.4</v>
      </c>
      <c r="K9" s="122">
        <f t="shared" si="5"/>
        <v>20.57</v>
      </c>
      <c r="N9" s="122">
        <f t="shared" si="6"/>
        <v>31.7</v>
      </c>
      <c r="O9" s="122">
        <f t="shared" si="7"/>
        <v>18.8</v>
      </c>
      <c r="R9" s="122">
        <f t="shared" si="8"/>
        <v>35.1</v>
      </c>
      <c r="S9" s="122">
        <f t="shared" si="9"/>
        <v>21.49</v>
      </c>
      <c r="V9" s="122">
        <f t="shared" si="10"/>
        <v>30.5</v>
      </c>
      <c r="W9" s="122">
        <f t="shared" si="11"/>
        <v>23.49</v>
      </c>
      <c r="Z9" s="122">
        <f t="shared" si="12"/>
        <v>27.7</v>
      </c>
      <c r="AA9" s="122">
        <f t="shared" si="13"/>
        <v>28.55</v>
      </c>
      <c r="AD9" s="122">
        <f t="shared" si="14"/>
        <v>41.8</v>
      </c>
      <c r="AE9" s="122">
        <f t="shared" si="15"/>
        <v>28.7</v>
      </c>
      <c r="AH9" s="122">
        <f t="shared" si="16"/>
        <v>37.200000000000003</v>
      </c>
      <c r="AI9" s="122">
        <f t="shared" si="17"/>
        <v>22.62</v>
      </c>
      <c r="AL9" s="122">
        <f t="shared" si="18"/>
        <v>27.1</v>
      </c>
      <c r="AM9" s="122">
        <f t="shared" si="19"/>
        <v>24.26</v>
      </c>
      <c r="AP9" s="122">
        <f t="shared" si="20"/>
        <v>30.7</v>
      </c>
      <c r="AQ9" s="122">
        <f t="shared" si="21"/>
        <v>27.82</v>
      </c>
      <c r="AT9" s="1">
        <v>1972</v>
      </c>
      <c r="AU9" s="122">
        <f t="shared" si="22"/>
        <v>29</v>
      </c>
      <c r="AV9" s="122">
        <f t="shared" si="22"/>
        <v>28.38</v>
      </c>
      <c r="AW9" s="13">
        <f t="shared" si="23"/>
        <v>15.555078</v>
      </c>
      <c r="AX9" s="13"/>
      <c r="AY9" s="122">
        <f t="shared" si="24"/>
        <v>28.1</v>
      </c>
      <c r="AZ9" s="122">
        <f t="shared" si="24"/>
        <v>24.88</v>
      </c>
      <c r="BA9" s="13">
        <f t="shared" si="25"/>
        <v>13.2135192</v>
      </c>
      <c r="BB9" s="13"/>
      <c r="BC9" s="122">
        <f t="shared" si="26"/>
        <v>22.9</v>
      </c>
      <c r="BD9" s="122">
        <f t="shared" si="26"/>
        <v>23.06</v>
      </c>
      <c r="BE9" s="13">
        <f t="shared" si="27"/>
        <v>9.9805985999999987</v>
      </c>
      <c r="BF9" s="13"/>
      <c r="BG9" s="122">
        <f t="shared" si="28"/>
        <v>22.3</v>
      </c>
      <c r="BH9" s="122">
        <f t="shared" si="28"/>
        <v>20.45</v>
      </c>
      <c r="BI9" s="122">
        <f t="shared" si="29"/>
        <v>8.6190615000000008</v>
      </c>
      <c r="BJ9" s="13"/>
      <c r="BK9" s="122">
        <f t="shared" si="30"/>
        <v>24.3</v>
      </c>
      <c r="BL9" s="122">
        <f t="shared" si="30"/>
        <v>20.92</v>
      </c>
      <c r="BM9" s="122">
        <f t="shared" si="31"/>
        <v>9.6079284000000005</v>
      </c>
      <c r="BN9" s="13"/>
      <c r="BO9" s="122">
        <f t="shared" si="32"/>
        <v>31</v>
      </c>
      <c r="BP9" s="122">
        <f t="shared" si="32"/>
        <v>26.81</v>
      </c>
      <c r="BQ9" s="122">
        <f t="shared" si="33"/>
        <v>15.707978999999998</v>
      </c>
      <c r="BR9" s="13"/>
      <c r="BS9" s="122">
        <f t="shared" si="34"/>
        <v>27</v>
      </c>
      <c r="BT9" s="122">
        <f t="shared" si="34"/>
        <v>31.47</v>
      </c>
      <c r="BU9" s="122">
        <f t="shared" si="35"/>
        <v>16.059141</v>
      </c>
      <c r="BV9" s="13"/>
      <c r="BW9" s="122">
        <f t="shared" si="36"/>
        <v>38.5</v>
      </c>
      <c r="BX9" s="122">
        <f t="shared" si="36"/>
        <v>29.73</v>
      </c>
      <c r="BY9" s="122">
        <f t="shared" si="37"/>
        <v>21.633034499999997</v>
      </c>
      <c r="BZ9" s="13"/>
      <c r="CA9" s="122">
        <f t="shared" si="38"/>
        <v>30.2</v>
      </c>
      <c r="CB9" s="122">
        <f t="shared" si="38"/>
        <v>20.05</v>
      </c>
      <c r="CC9" s="122">
        <f t="shared" si="39"/>
        <v>11.444138999999998</v>
      </c>
      <c r="CD9" s="13"/>
      <c r="CE9" s="122">
        <f t="shared" si="40"/>
        <v>26</v>
      </c>
      <c r="CF9" s="122">
        <f t="shared" si="40"/>
        <v>22.99</v>
      </c>
      <c r="CG9" s="122">
        <f t="shared" si="41"/>
        <v>11.297286</v>
      </c>
      <c r="CH9" s="13"/>
      <c r="CI9" s="122">
        <f t="shared" si="42"/>
        <v>32</v>
      </c>
      <c r="CJ9" s="122">
        <f t="shared" si="42"/>
        <v>32.69</v>
      </c>
      <c r="CK9" s="122">
        <f t="shared" si="43"/>
        <v>19.770911999999996</v>
      </c>
      <c r="CL9" s="13"/>
    </row>
    <row r="10" spans="1:90" hidden="1">
      <c r="A10" s="1">
        <v>1973</v>
      </c>
      <c r="B10" s="122">
        <f t="shared" si="0"/>
        <v>30.6</v>
      </c>
      <c r="C10" s="122">
        <f t="shared" si="1"/>
        <v>25.74</v>
      </c>
      <c r="F10" s="122">
        <f t="shared" si="2"/>
        <v>36.700000000000003</v>
      </c>
      <c r="G10" s="122">
        <f t="shared" si="3"/>
        <v>21.68</v>
      </c>
      <c r="J10" s="122">
        <f t="shared" si="4"/>
        <v>40.4</v>
      </c>
      <c r="K10" s="122">
        <f t="shared" si="5"/>
        <v>20.57</v>
      </c>
      <c r="N10" s="122">
        <f t="shared" si="6"/>
        <v>31.7</v>
      </c>
      <c r="O10" s="122">
        <f t="shared" si="7"/>
        <v>18.8</v>
      </c>
      <c r="R10" s="122">
        <f t="shared" si="8"/>
        <v>35.1</v>
      </c>
      <c r="S10" s="122">
        <f t="shared" si="9"/>
        <v>21.49</v>
      </c>
      <c r="V10" s="122">
        <f t="shared" si="10"/>
        <v>30.5</v>
      </c>
      <c r="W10" s="122">
        <f t="shared" si="11"/>
        <v>23.49</v>
      </c>
      <c r="Z10" s="122">
        <f t="shared" si="12"/>
        <v>27.7</v>
      </c>
      <c r="AA10" s="122">
        <f t="shared" si="13"/>
        <v>28.55</v>
      </c>
      <c r="AD10" s="122">
        <f t="shared" si="14"/>
        <v>41.8</v>
      </c>
      <c r="AE10" s="122">
        <f t="shared" si="15"/>
        <v>28.7</v>
      </c>
      <c r="AH10" s="122">
        <f t="shared" si="16"/>
        <v>37.200000000000003</v>
      </c>
      <c r="AI10" s="122">
        <f t="shared" si="17"/>
        <v>22.62</v>
      </c>
      <c r="AL10" s="122">
        <f t="shared" si="18"/>
        <v>27.1</v>
      </c>
      <c r="AM10" s="122">
        <f t="shared" si="19"/>
        <v>24.26</v>
      </c>
      <c r="AP10" s="122">
        <f t="shared" si="20"/>
        <v>30.7</v>
      </c>
      <c r="AQ10" s="122">
        <f t="shared" si="21"/>
        <v>27.82</v>
      </c>
      <c r="AT10" s="1">
        <v>1973</v>
      </c>
      <c r="AU10" s="122">
        <f t="shared" si="22"/>
        <v>29</v>
      </c>
      <c r="AV10" s="122">
        <f t="shared" si="22"/>
        <v>28.38</v>
      </c>
      <c r="AW10" s="13">
        <f t="shared" si="23"/>
        <v>15.555078</v>
      </c>
      <c r="AX10" s="13"/>
      <c r="AY10" s="122">
        <f t="shared" si="24"/>
        <v>28.1</v>
      </c>
      <c r="AZ10" s="122">
        <f t="shared" si="24"/>
        <v>24.88</v>
      </c>
      <c r="BA10" s="13">
        <f t="shared" si="25"/>
        <v>13.2135192</v>
      </c>
      <c r="BB10" s="13"/>
      <c r="BC10" s="122">
        <f t="shared" si="26"/>
        <v>22.9</v>
      </c>
      <c r="BD10" s="122">
        <f t="shared" si="26"/>
        <v>23.06</v>
      </c>
      <c r="BE10" s="13">
        <f t="shared" si="27"/>
        <v>9.9805985999999987</v>
      </c>
      <c r="BF10" s="13"/>
      <c r="BG10" s="122">
        <f t="shared" si="28"/>
        <v>22.3</v>
      </c>
      <c r="BH10" s="122">
        <f t="shared" si="28"/>
        <v>20.45</v>
      </c>
      <c r="BI10" s="122">
        <f t="shared" si="29"/>
        <v>8.6190615000000008</v>
      </c>
      <c r="BJ10" s="13"/>
      <c r="BK10" s="122">
        <f t="shared" si="30"/>
        <v>24.3</v>
      </c>
      <c r="BL10" s="122">
        <f t="shared" si="30"/>
        <v>20.92</v>
      </c>
      <c r="BM10" s="122">
        <f t="shared" si="31"/>
        <v>9.6079284000000005</v>
      </c>
      <c r="BN10" s="13"/>
      <c r="BO10" s="122">
        <f t="shared" si="32"/>
        <v>31</v>
      </c>
      <c r="BP10" s="122">
        <f t="shared" si="32"/>
        <v>26.81</v>
      </c>
      <c r="BQ10" s="122">
        <f t="shared" si="33"/>
        <v>15.707978999999998</v>
      </c>
      <c r="BR10" s="13"/>
      <c r="BS10" s="122">
        <f t="shared" si="34"/>
        <v>27</v>
      </c>
      <c r="BT10" s="122">
        <f t="shared" si="34"/>
        <v>31.47</v>
      </c>
      <c r="BU10" s="122">
        <f t="shared" si="35"/>
        <v>16.059141</v>
      </c>
      <c r="BV10" s="13"/>
      <c r="BW10" s="122">
        <f t="shared" si="36"/>
        <v>38.5</v>
      </c>
      <c r="BX10" s="122">
        <f t="shared" si="36"/>
        <v>29.73</v>
      </c>
      <c r="BY10" s="122">
        <f t="shared" si="37"/>
        <v>21.633034499999997</v>
      </c>
      <c r="BZ10" s="13"/>
      <c r="CA10" s="122">
        <f t="shared" si="38"/>
        <v>30.2</v>
      </c>
      <c r="CB10" s="122">
        <f t="shared" si="38"/>
        <v>20.05</v>
      </c>
      <c r="CC10" s="122">
        <f t="shared" si="39"/>
        <v>11.444138999999998</v>
      </c>
      <c r="CD10" s="13"/>
      <c r="CE10" s="122">
        <f t="shared" si="40"/>
        <v>26</v>
      </c>
      <c r="CF10" s="122">
        <f t="shared" si="40"/>
        <v>22.99</v>
      </c>
      <c r="CG10" s="122">
        <f t="shared" si="41"/>
        <v>11.297286</v>
      </c>
      <c r="CH10" s="13"/>
      <c r="CI10" s="122">
        <f t="shared" si="42"/>
        <v>32</v>
      </c>
      <c r="CJ10" s="122">
        <f t="shared" si="42"/>
        <v>32.69</v>
      </c>
      <c r="CK10" s="122">
        <f t="shared" si="43"/>
        <v>19.770911999999996</v>
      </c>
      <c r="CL10" s="13"/>
    </row>
    <row r="11" spans="1:90" hidden="1">
      <c r="A11" s="1">
        <v>1974</v>
      </c>
      <c r="B11" s="122">
        <f t="shared" si="0"/>
        <v>30.6</v>
      </c>
      <c r="C11" s="122">
        <f t="shared" si="1"/>
        <v>25.74</v>
      </c>
      <c r="F11" s="122">
        <f t="shared" si="2"/>
        <v>36.700000000000003</v>
      </c>
      <c r="G11" s="122">
        <f t="shared" si="3"/>
        <v>21.68</v>
      </c>
      <c r="J11" s="122">
        <f t="shared" si="4"/>
        <v>40.4</v>
      </c>
      <c r="K11" s="122">
        <f t="shared" si="5"/>
        <v>20.57</v>
      </c>
      <c r="N11" s="122">
        <f t="shared" si="6"/>
        <v>31.7</v>
      </c>
      <c r="O11" s="122">
        <f t="shared" si="7"/>
        <v>18.8</v>
      </c>
      <c r="R11" s="122">
        <f t="shared" si="8"/>
        <v>35.1</v>
      </c>
      <c r="S11" s="122">
        <f t="shared" si="9"/>
        <v>21.49</v>
      </c>
      <c r="V11" s="122">
        <f t="shared" si="10"/>
        <v>30.5</v>
      </c>
      <c r="W11" s="122">
        <f t="shared" si="11"/>
        <v>23.49</v>
      </c>
      <c r="Z11" s="122">
        <f t="shared" si="12"/>
        <v>27.7</v>
      </c>
      <c r="AA11" s="122">
        <f t="shared" si="13"/>
        <v>28.55</v>
      </c>
      <c r="AD11" s="122">
        <f t="shared" si="14"/>
        <v>41.8</v>
      </c>
      <c r="AE11" s="122">
        <f t="shared" si="15"/>
        <v>28.7</v>
      </c>
      <c r="AH11" s="122">
        <f t="shared" si="16"/>
        <v>37.200000000000003</v>
      </c>
      <c r="AI11" s="122">
        <f t="shared" si="17"/>
        <v>22.62</v>
      </c>
      <c r="AL11" s="122">
        <f t="shared" si="18"/>
        <v>27.1</v>
      </c>
      <c r="AM11" s="122">
        <f t="shared" si="19"/>
        <v>24.26</v>
      </c>
      <c r="AP11" s="122">
        <f t="shared" si="20"/>
        <v>30.7</v>
      </c>
      <c r="AQ11" s="122">
        <f t="shared" si="21"/>
        <v>27.82</v>
      </c>
      <c r="AT11" s="1">
        <v>1974</v>
      </c>
      <c r="AU11" s="122">
        <f t="shared" si="22"/>
        <v>29</v>
      </c>
      <c r="AV11" s="122">
        <f t="shared" si="22"/>
        <v>28.38</v>
      </c>
      <c r="AW11" s="13">
        <f t="shared" si="23"/>
        <v>15.555078</v>
      </c>
      <c r="AX11" s="13"/>
      <c r="AY11" s="122">
        <f t="shared" si="24"/>
        <v>28.1</v>
      </c>
      <c r="AZ11" s="122">
        <f t="shared" si="24"/>
        <v>24.88</v>
      </c>
      <c r="BA11" s="13">
        <f t="shared" si="25"/>
        <v>13.2135192</v>
      </c>
      <c r="BB11" s="13"/>
      <c r="BC11" s="122">
        <f t="shared" si="26"/>
        <v>22.9</v>
      </c>
      <c r="BD11" s="122">
        <f t="shared" si="26"/>
        <v>23.06</v>
      </c>
      <c r="BE11" s="13">
        <f t="shared" si="27"/>
        <v>9.9805985999999987</v>
      </c>
      <c r="BF11" s="13"/>
      <c r="BG11" s="122">
        <f t="shared" si="28"/>
        <v>22.3</v>
      </c>
      <c r="BH11" s="122">
        <f t="shared" si="28"/>
        <v>20.45</v>
      </c>
      <c r="BI11" s="122">
        <f t="shared" si="29"/>
        <v>8.6190615000000008</v>
      </c>
      <c r="BJ11" s="13"/>
      <c r="BK11" s="122">
        <f t="shared" si="30"/>
        <v>24.3</v>
      </c>
      <c r="BL11" s="122">
        <f t="shared" si="30"/>
        <v>20.92</v>
      </c>
      <c r="BM11" s="122">
        <f t="shared" si="31"/>
        <v>9.6079284000000005</v>
      </c>
      <c r="BN11" s="13"/>
      <c r="BO11" s="122">
        <f t="shared" si="32"/>
        <v>31</v>
      </c>
      <c r="BP11" s="122">
        <f t="shared" si="32"/>
        <v>26.81</v>
      </c>
      <c r="BQ11" s="122">
        <f t="shared" si="33"/>
        <v>15.707978999999998</v>
      </c>
      <c r="BR11" s="13"/>
      <c r="BS11" s="122">
        <f t="shared" si="34"/>
        <v>27</v>
      </c>
      <c r="BT11" s="122">
        <f t="shared" si="34"/>
        <v>31.47</v>
      </c>
      <c r="BU11" s="122">
        <f t="shared" si="35"/>
        <v>16.059141</v>
      </c>
      <c r="BV11" s="13"/>
      <c r="BW11" s="122">
        <f t="shared" si="36"/>
        <v>38.5</v>
      </c>
      <c r="BX11" s="122">
        <f t="shared" si="36"/>
        <v>29.73</v>
      </c>
      <c r="BY11" s="122">
        <f t="shared" si="37"/>
        <v>21.633034499999997</v>
      </c>
      <c r="BZ11" s="13"/>
      <c r="CA11" s="122">
        <f t="shared" si="38"/>
        <v>30.2</v>
      </c>
      <c r="CB11" s="122">
        <f t="shared" si="38"/>
        <v>20.05</v>
      </c>
      <c r="CC11" s="122">
        <f t="shared" si="39"/>
        <v>11.444138999999998</v>
      </c>
      <c r="CD11" s="13"/>
      <c r="CE11" s="122">
        <f t="shared" si="40"/>
        <v>26</v>
      </c>
      <c r="CF11" s="122">
        <f t="shared" si="40"/>
        <v>22.99</v>
      </c>
      <c r="CG11" s="122">
        <f t="shared" si="41"/>
        <v>11.297286</v>
      </c>
      <c r="CH11" s="13"/>
      <c r="CI11" s="122">
        <f t="shared" si="42"/>
        <v>32</v>
      </c>
      <c r="CJ11" s="122">
        <f t="shared" si="42"/>
        <v>32.69</v>
      </c>
      <c r="CK11" s="122">
        <f t="shared" si="43"/>
        <v>19.770911999999996</v>
      </c>
      <c r="CL11" s="13"/>
    </row>
    <row r="12" spans="1:90" hidden="1">
      <c r="A12" s="1">
        <v>1975</v>
      </c>
      <c r="B12" s="122">
        <f>B13</f>
        <v>30.6</v>
      </c>
      <c r="C12" s="122">
        <f>C13</f>
        <v>25.74</v>
      </c>
      <c r="F12" s="122">
        <f>F13</f>
        <v>36.700000000000003</v>
      </c>
      <c r="G12" s="122">
        <f>G13</f>
        <v>21.68</v>
      </c>
      <c r="J12" s="122">
        <f>J13</f>
        <v>40.4</v>
      </c>
      <c r="K12" s="122">
        <f>K13</f>
        <v>20.57</v>
      </c>
      <c r="N12" s="122">
        <f>N13</f>
        <v>31.7</v>
      </c>
      <c r="O12" s="122">
        <f>O13</f>
        <v>18.8</v>
      </c>
      <c r="R12" s="122">
        <f>R13</f>
        <v>35.1</v>
      </c>
      <c r="S12" s="122">
        <f>S13</f>
        <v>21.49</v>
      </c>
      <c r="V12" s="122">
        <f>V13</f>
        <v>30.5</v>
      </c>
      <c r="W12" s="122">
        <f>W13</f>
        <v>23.49</v>
      </c>
      <c r="Z12" s="122">
        <f>Z13</f>
        <v>27.7</v>
      </c>
      <c r="AA12" s="122">
        <f>AA13</f>
        <v>28.55</v>
      </c>
      <c r="AD12" s="122">
        <f>AD13</f>
        <v>41.8</v>
      </c>
      <c r="AE12" s="122">
        <f>AE13</f>
        <v>28.7</v>
      </c>
      <c r="AH12" s="122">
        <f>AH13</f>
        <v>37.200000000000003</v>
      </c>
      <c r="AI12" s="122">
        <f>AI13</f>
        <v>22.62</v>
      </c>
      <c r="AL12" s="122">
        <f>AL13</f>
        <v>27.1</v>
      </c>
      <c r="AM12" s="122">
        <f>AM13</f>
        <v>24.26</v>
      </c>
      <c r="AP12" s="122">
        <f>AP13</f>
        <v>30.7</v>
      </c>
      <c r="AQ12" s="122">
        <f>AQ13</f>
        <v>27.82</v>
      </c>
      <c r="AT12" s="1">
        <v>1975</v>
      </c>
      <c r="AU12" s="122">
        <f>AU13</f>
        <v>29</v>
      </c>
      <c r="AV12" s="122">
        <f>AV13</f>
        <v>28.38</v>
      </c>
      <c r="AW12" s="13">
        <f t="shared" si="23"/>
        <v>15.555078</v>
      </c>
      <c r="AX12" s="13"/>
      <c r="AY12" s="122">
        <f>AY13</f>
        <v>28.1</v>
      </c>
      <c r="AZ12" s="122">
        <f>AZ13</f>
        <v>24.88</v>
      </c>
      <c r="BA12" s="13">
        <f t="shared" si="25"/>
        <v>13.2135192</v>
      </c>
      <c r="BB12" s="13"/>
      <c r="BC12" s="122">
        <f>BC13</f>
        <v>22.9</v>
      </c>
      <c r="BD12" s="122">
        <f>BD13</f>
        <v>23.06</v>
      </c>
      <c r="BE12" s="13">
        <f t="shared" si="27"/>
        <v>9.9805985999999987</v>
      </c>
      <c r="BF12" s="13"/>
      <c r="BG12" s="122">
        <f>BG13</f>
        <v>22.3</v>
      </c>
      <c r="BH12" s="122">
        <f>BH13</f>
        <v>20.45</v>
      </c>
      <c r="BI12" s="122">
        <f t="shared" si="29"/>
        <v>8.6190615000000008</v>
      </c>
      <c r="BJ12" s="13"/>
      <c r="BK12" s="122">
        <f>BK13</f>
        <v>24.3</v>
      </c>
      <c r="BL12" s="122">
        <f>BL13</f>
        <v>20.92</v>
      </c>
      <c r="BM12" s="122">
        <f t="shared" si="31"/>
        <v>9.6079284000000005</v>
      </c>
      <c r="BN12" s="13"/>
      <c r="BO12" s="122">
        <f>BO13</f>
        <v>31</v>
      </c>
      <c r="BP12" s="122">
        <f>BP13</f>
        <v>26.81</v>
      </c>
      <c r="BQ12" s="122">
        <f t="shared" si="33"/>
        <v>15.707978999999998</v>
      </c>
      <c r="BR12" s="13"/>
      <c r="BS12" s="122">
        <f>BS13</f>
        <v>27</v>
      </c>
      <c r="BT12" s="122">
        <f>BT13</f>
        <v>31.47</v>
      </c>
      <c r="BU12" s="122">
        <f t="shared" si="35"/>
        <v>16.059141</v>
      </c>
      <c r="BV12" s="13"/>
      <c r="BW12" s="122">
        <f>BW13</f>
        <v>38.5</v>
      </c>
      <c r="BX12" s="122">
        <f>BX13</f>
        <v>29.73</v>
      </c>
      <c r="BY12" s="122">
        <f t="shared" si="37"/>
        <v>21.633034499999997</v>
      </c>
      <c r="BZ12" s="13"/>
      <c r="CA12" s="122">
        <f>CA13</f>
        <v>30.2</v>
      </c>
      <c r="CB12" s="122">
        <f>CB13</f>
        <v>20.05</v>
      </c>
      <c r="CC12" s="122">
        <f t="shared" si="39"/>
        <v>11.444138999999998</v>
      </c>
      <c r="CD12" s="13"/>
      <c r="CE12" s="122">
        <f>CE13</f>
        <v>26</v>
      </c>
      <c r="CF12" s="122">
        <f>CF13</f>
        <v>22.99</v>
      </c>
      <c r="CG12" s="122">
        <f t="shared" si="41"/>
        <v>11.297286</v>
      </c>
      <c r="CH12" s="13"/>
      <c r="CI12" s="122">
        <f>CI13</f>
        <v>32</v>
      </c>
      <c r="CJ12" s="122">
        <f>CJ13</f>
        <v>32.69</v>
      </c>
      <c r="CK12" s="122">
        <f t="shared" si="43"/>
        <v>19.770911999999996</v>
      </c>
      <c r="CL12" s="13"/>
    </row>
    <row r="13" spans="1:90" hidden="1">
      <c r="A13" s="1">
        <v>1976</v>
      </c>
      <c r="B13" s="13">
        <v>30.6</v>
      </c>
      <c r="C13" s="13">
        <v>25.74</v>
      </c>
      <c r="D13" s="13"/>
      <c r="E13" s="13"/>
      <c r="F13" s="13">
        <v>36.700000000000003</v>
      </c>
      <c r="G13" s="13">
        <v>21.68</v>
      </c>
      <c r="H13" s="13"/>
      <c r="I13" s="13"/>
      <c r="J13" s="13">
        <v>40.4</v>
      </c>
      <c r="K13" s="122">
        <f>K14</f>
        <v>20.57</v>
      </c>
      <c r="L13" s="13"/>
      <c r="M13" s="13"/>
      <c r="N13" s="13">
        <v>31.7</v>
      </c>
      <c r="O13" s="13">
        <v>18.8</v>
      </c>
      <c r="P13" s="13"/>
      <c r="Q13" s="13"/>
      <c r="R13" s="13">
        <v>35.1</v>
      </c>
      <c r="S13" s="13">
        <v>21.49</v>
      </c>
      <c r="T13" s="13"/>
      <c r="U13" s="13"/>
      <c r="V13" s="13">
        <v>30.5</v>
      </c>
      <c r="W13" s="13">
        <v>23.49</v>
      </c>
      <c r="X13" s="13"/>
      <c r="Y13" s="13"/>
      <c r="Z13" s="13">
        <v>27.7</v>
      </c>
      <c r="AA13" s="13">
        <v>28.55</v>
      </c>
      <c r="AB13" s="13"/>
      <c r="AC13" s="13"/>
      <c r="AD13" s="13">
        <v>41.8</v>
      </c>
      <c r="AE13" s="13">
        <v>28.7</v>
      </c>
      <c r="AF13" s="13"/>
      <c r="AG13" s="13"/>
      <c r="AH13" s="13">
        <v>37.200000000000003</v>
      </c>
      <c r="AI13" s="13">
        <v>22.62</v>
      </c>
      <c r="AJ13" s="13"/>
      <c r="AK13" s="13"/>
      <c r="AL13" s="13">
        <v>27.1</v>
      </c>
      <c r="AM13" s="13">
        <v>24.26</v>
      </c>
      <c r="AN13" s="13"/>
      <c r="AO13" s="13"/>
      <c r="AP13" s="13">
        <v>30.7</v>
      </c>
      <c r="AQ13" s="13">
        <v>27.82</v>
      </c>
      <c r="AR13" s="13"/>
      <c r="AS13" s="13"/>
      <c r="AT13" s="1">
        <v>1976</v>
      </c>
      <c r="AU13" s="13">
        <v>29</v>
      </c>
      <c r="AV13" s="13">
        <v>28.38</v>
      </c>
      <c r="AW13" s="13">
        <f t="shared" si="23"/>
        <v>15.555078</v>
      </c>
      <c r="AX13" s="13"/>
      <c r="AY13" s="332">
        <v>28.1</v>
      </c>
      <c r="AZ13" s="332">
        <v>24.88</v>
      </c>
      <c r="BA13" s="13">
        <f t="shared" si="25"/>
        <v>13.2135192</v>
      </c>
      <c r="BB13" s="13"/>
      <c r="BC13" s="332">
        <v>22.9</v>
      </c>
      <c r="BD13" s="383">
        <f>BD14</f>
        <v>23.06</v>
      </c>
      <c r="BE13" s="13">
        <f t="shared" si="27"/>
        <v>9.9805985999999987</v>
      </c>
      <c r="BF13" s="13"/>
      <c r="BG13" s="332">
        <v>22.3</v>
      </c>
      <c r="BH13" s="332">
        <v>20.45</v>
      </c>
      <c r="BI13" s="13">
        <f t="shared" si="29"/>
        <v>8.6190615000000008</v>
      </c>
      <c r="BJ13" s="13"/>
      <c r="BK13" s="13">
        <v>24.3</v>
      </c>
      <c r="BL13" s="13">
        <v>20.92</v>
      </c>
      <c r="BM13" s="13">
        <f t="shared" si="31"/>
        <v>9.6079284000000005</v>
      </c>
      <c r="BN13" s="13"/>
      <c r="BO13" s="332">
        <v>31</v>
      </c>
      <c r="BP13" s="332">
        <v>26.81</v>
      </c>
      <c r="BQ13" s="13">
        <f t="shared" si="33"/>
        <v>15.707978999999998</v>
      </c>
      <c r="BR13" s="13"/>
      <c r="BS13" s="332">
        <v>27</v>
      </c>
      <c r="BT13" s="332">
        <v>31.47</v>
      </c>
      <c r="BU13" s="13">
        <f t="shared" si="35"/>
        <v>16.059141</v>
      </c>
      <c r="BV13" s="13"/>
      <c r="BW13" s="332">
        <v>38.5</v>
      </c>
      <c r="BX13" s="332">
        <v>29.73</v>
      </c>
      <c r="BY13" s="13">
        <f t="shared" si="37"/>
        <v>21.633034499999997</v>
      </c>
      <c r="BZ13" s="13"/>
      <c r="CA13" s="332">
        <v>30.2</v>
      </c>
      <c r="CB13" s="332">
        <v>20.05</v>
      </c>
      <c r="CC13" s="13">
        <f t="shared" si="39"/>
        <v>11.444138999999998</v>
      </c>
      <c r="CD13" s="13"/>
      <c r="CE13" s="332">
        <v>26</v>
      </c>
      <c r="CF13" s="332">
        <v>22.99</v>
      </c>
      <c r="CG13" s="13">
        <f t="shared" si="41"/>
        <v>11.297286</v>
      </c>
      <c r="CH13" s="13"/>
      <c r="CI13" s="332">
        <v>32</v>
      </c>
      <c r="CJ13" s="332">
        <v>32.69</v>
      </c>
      <c r="CK13" s="13">
        <f t="shared" si="43"/>
        <v>19.770911999999996</v>
      </c>
      <c r="CL13" s="13"/>
    </row>
    <row r="14" spans="1:90" hidden="1">
      <c r="A14" s="1">
        <v>1977</v>
      </c>
      <c r="B14" s="13">
        <v>33.1</v>
      </c>
      <c r="C14" s="13">
        <v>28.69</v>
      </c>
      <c r="D14" s="13"/>
      <c r="E14" s="13"/>
      <c r="F14" s="13">
        <v>42.8</v>
      </c>
      <c r="G14" s="13">
        <v>23.85</v>
      </c>
      <c r="H14" s="13"/>
      <c r="I14" s="13"/>
      <c r="J14" s="13">
        <v>33.6</v>
      </c>
      <c r="K14" s="13">
        <v>20.57</v>
      </c>
      <c r="L14" s="13"/>
      <c r="M14" s="13"/>
      <c r="N14" s="13">
        <v>36.1</v>
      </c>
      <c r="O14" s="13">
        <v>22.76</v>
      </c>
      <c r="P14" s="13"/>
      <c r="Q14" s="13"/>
      <c r="R14" s="13">
        <v>38.5</v>
      </c>
      <c r="S14" s="13">
        <v>23.54</v>
      </c>
      <c r="T14" s="13"/>
      <c r="U14" s="13"/>
      <c r="V14" s="13">
        <v>33.200000000000003</v>
      </c>
      <c r="W14" s="13">
        <v>25.83</v>
      </c>
      <c r="X14" s="13"/>
      <c r="Y14" s="13"/>
      <c r="Z14" s="13">
        <v>29.7</v>
      </c>
      <c r="AA14" s="13">
        <v>32.5</v>
      </c>
      <c r="AB14" s="13"/>
      <c r="AC14" s="13"/>
      <c r="AD14" s="13">
        <v>43.5</v>
      </c>
      <c r="AE14" s="13">
        <v>28.46</v>
      </c>
      <c r="AF14" s="13"/>
      <c r="AG14" s="13"/>
      <c r="AH14" s="13">
        <v>38</v>
      </c>
      <c r="AI14" s="13">
        <v>28.54</v>
      </c>
      <c r="AJ14" s="13"/>
      <c r="AK14" s="13"/>
      <c r="AL14" s="13">
        <v>33.1</v>
      </c>
      <c r="AM14" s="13">
        <v>27.31</v>
      </c>
      <c r="AN14" s="13"/>
      <c r="AO14" s="13"/>
      <c r="AP14" s="13">
        <v>33.299999999999997</v>
      </c>
      <c r="AQ14" s="13">
        <v>30.09</v>
      </c>
      <c r="AR14" s="13"/>
      <c r="AS14" s="13"/>
      <c r="AT14" s="1">
        <v>1977</v>
      </c>
      <c r="AU14" s="13">
        <v>30.4</v>
      </c>
      <c r="AV14" s="13">
        <v>31.34</v>
      </c>
      <c r="AW14" s="13">
        <f t="shared" si="23"/>
        <v>18.006710399999999</v>
      </c>
      <c r="AX14" s="13"/>
      <c r="AY14" s="332">
        <v>27</v>
      </c>
      <c r="AZ14" s="332">
        <v>25.43</v>
      </c>
      <c r="BA14" s="13">
        <f t="shared" si="25"/>
        <v>12.976929</v>
      </c>
      <c r="BB14" s="13"/>
      <c r="BC14" s="332">
        <v>17</v>
      </c>
      <c r="BD14" s="332">
        <v>23.06</v>
      </c>
      <c r="BE14" s="13">
        <f t="shared" si="27"/>
        <v>7.4091779999999998</v>
      </c>
      <c r="BF14" s="13"/>
      <c r="BG14" s="332">
        <v>24.8</v>
      </c>
      <c r="BH14" s="332">
        <v>25.2</v>
      </c>
      <c r="BI14" s="13">
        <f t="shared" si="29"/>
        <v>11.811743999999999</v>
      </c>
      <c r="BJ14" s="13"/>
      <c r="BK14" s="13">
        <v>26.2</v>
      </c>
      <c r="BL14" s="13">
        <v>24.87</v>
      </c>
      <c r="BM14" s="13">
        <f t="shared" si="31"/>
        <v>12.315126600000001</v>
      </c>
      <c r="BN14" s="13"/>
      <c r="BO14" s="332">
        <v>30.8</v>
      </c>
      <c r="BP14" s="332">
        <v>31.46</v>
      </c>
      <c r="BQ14" s="13">
        <f t="shared" si="33"/>
        <v>18.313495200000002</v>
      </c>
      <c r="BR14" s="13"/>
      <c r="BS14" s="332">
        <v>29.8</v>
      </c>
      <c r="BT14" s="332">
        <v>32.979999999999997</v>
      </c>
      <c r="BU14" s="13">
        <f t="shared" si="35"/>
        <v>18.574995599999998</v>
      </c>
      <c r="BV14" s="13"/>
      <c r="BW14" s="332">
        <v>41.2</v>
      </c>
      <c r="BX14" s="332">
        <v>32.07</v>
      </c>
      <c r="BY14" s="13">
        <f t="shared" si="37"/>
        <v>24.972267600000002</v>
      </c>
      <c r="BZ14" s="13"/>
      <c r="CA14" s="332">
        <v>28.8</v>
      </c>
      <c r="CB14" s="332">
        <v>29.78</v>
      </c>
      <c r="CC14" s="13">
        <f t="shared" si="39"/>
        <v>16.209849600000002</v>
      </c>
      <c r="CD14" s="13"/>
      <c r="CE14" s="332">
        <v>27.6</v>
      </c>
      <c r="CF14" s="332">
        <v>27.99</v>
      </c>
      <c r="CG14" s="13">
        <f t="shared" si="41"/>
        <v>14.600703599999999</v>
      </c>
      <c r="CH14" s="13"/>
      <c r="CI14" s="332">
        <v>33</v>
      </c>
      <c r="CJ14" s="332">
        <v>32.14</v>
      </c>
      <c r="CK14" s="13">
        <f t="shared" si="43"/>
        <v>20.045718000000001</v>
      </c>
      <c r="CL14" s="13"/>
    </row>
    <row r="15" spans="1:90" hidden="1">
      <c r="A15" s="1">
        <v>1978</v>
      </c>
      <c r="B15" s="13">
        <v>32</v>
      </c>
      <c r="C15" s="13">
        <v>27.38</v>
      </c>
      <c r="D15" s="13"/>
      <c r="E15" s="13"/>
      <c r="F15" s="13">
        <v>41.5</v>
      </c>
      <c r="G15" s="13">
        <v>19.59</v>
      </c>
      <c r="H15" s="13"/>
      <c r="I15" s="13"/>
      <c r="J15" s="13">
        <v>24.8</v>
      </c>
      <c r="K15" s="122">
        <f>(K14+K16)/2</f>
        <v>21.414999999999999</v>
      </c>
      <c r="L15" s="13"/>
      <c r="M15" s="13"/>
      <c r="N15" s="13">
        <v>29.5</v>
      </c>
      <c r="O15" s="13">
        <v>23.03</v>
      </c>
      <c r="P15" s="13"/>
      <c r="Q15" s="13"/>
      <c r="R15" s="13">
        <v>34</v>
      </c>
      <c r="S15" s="13">
        <v>31.33</v>
      </c>
      <c r="T15" s="13"/>
      <c r="U15" s="13"/>
      <c r="V15" s="13">
        <v>32.299999999999997</v>
      </c>
      <c r="W15" s="13">
        <v>26.21</v>
      </c>
      <c r="X15" s="13"/>
      <c r="Y15" s="13"/>
      <c r="Z15" s="13">
        <v>33</v>
      </c>
      <c r="AA15" s="13">
        <v>26.96</v>
      </c>
      <c r="AB15" s="13"/>
      <c r="AC15" s="13"/>
      <c r="AD15" s="13">
        <v>42.1</v>
      </c>
      <c r="AE15" s="13">
        <v>29.8</v>
      </c>
      <c r="AF15" s="13"/>
      <c r="AG15" s="13"/>
      <c r="AH15" s="13">
        <v>33.1</v>
      </c>
      <c r="AI15" s="13">
        <v>28.03</v>
      </c>
      <c r="AJ15" s="13"/>
      <c r="AK15" s="13"/>
      <c r="AL15" s="13">
        <v>26</v>
      </c>
      <c r="AM15" s="13">
        <v>26.04</v>
      </c>
      <c r="AN15" s="13"/>
      <c r="AO15" s="13"/>
      <c r="AP15" s="13">
        <v>26.3</v>
      </c>
      <c r="AQ15" s="13">
        <v>32.9</v>
      </c>
      <c r="AR15" s="13"/>
      <c r="AS15" s="13"/>
      <c r="AT15" s="1">
        <v>1978</v>
      </c>
      <c r="AU15" s="13">
        <v>29.4</v>
      </c>
      <c r="AV15" s="13">
        <v>29.48</v>
      </c>
      <c r="AW15" s="13">
        <f t="shared" si="23"/>
        <v>16.3808568</v>
      </c>
      <c r="AX15" s="13"/>
      <c r="AY15" s="332">
        <v>22</v>
      </c>
      <c r="AZ15" s="332">
        <v>20.170000000000002</v>
      </c>
      <c r="BA15" s="13">
        <f t="shared" si="25"/>
        <v>8.3866859999999992</v>
      </c>
      <c r="BB15" s="13"/>
      <c r="BC15" s="332">
        <v>17.3</v>
      </c>
      <c r="BD15" s="383">
        <f>(BD14+BD16)/2</f>
        <v>21.285</v>
      </c>
      <c r="BE15" s="13">
        <f t="shared" si="27"/>
        <v>6.9595564499999991</v>
      </c>
      <c r="BF15" s="13"/>
      <c r="BG15" s="332">
        <v>20.7</v>
      </c>
      <c r="BH15" s="332">
        <v>19.760000000000002</v>
      </c>
      <c r="BI15" s="13">
        <f t="shared" si="29"/>
        <v>7.7307047999999998</v>
      </c>
      <c r="BJ15" s="13"/>
      <c r="BK15" s="13">
        <v>24.7</v>
      </c>
      <c r="BL15" s="13">
        <v>29.38</v>
      </c>
      <c r="BM15" s="13">
        <f t="shared" si="31"/>
        <v>13.715465399999999</v>
      </c>
      <c r="BN15" s="13"/>
      <c r="BO15" s="332">
        <v>32.700000000000003</v>
      </c>
      <c r="BP15" s="332">
        <v>28.08</v>
      </c>
      <c r="BQ15" s="13">
        <f t="shared" si="33"/>
        <v>17.354282399999999</v>
      </c>
      <c r="BR15" s="13"/>
      <c r="BS15" s="332">
        <v>31.3</v>
      </c>
      <c r="BT15" s="332">
        <v>30.18</v>
      </c>
      <c r="BU15" s="13">
        <f t="shared" si="35"/>
        <v>17.853582599999999</v>
      </c>
      <c r="BV15" s="13"/>
      <c r="BW15" s="332">
        <v>40.9</v>
      </c>
      <c r="BX15" s="332">
        <v>32.32</v>
      </c>
      <c r="BY15" s="13">
        <f t="shared" si="37"/>
        <v>24.983683199999994</v>
      </c>
      <c r="BZ15" s="13"/>
      <c r="CA15" s="332">
        <v>26</v>
      </c>
      <c r="CB15" s="332">
        <v>27.12</v>
      </c>
      <c r="CC15" s="13">
        <f t="shared" si="39"/>
        <v>13.326768</v>
      </c>
      <c r="CD15" s="13"/>
      <c r="CE15" s="332">
        <v>21</v>
      </c>
      <c r="CF15" s="332">
        <v>25.61</v>
      </c>
      <c r="CG15" s="13">
        <f t="shared" si="41"/>
        <v>10.164608999999999</v>
      </c>
      <c r="CH15" s="13"/>
      <c r="CI15" s="332">
        <v>23.7</v>
      </c>
      <c r="CJ15" s="332">
        <v>35.86</v>
      </c>
      <c r="CK15" s="13">
        <f t="shared" si="43"/>
        <v>16.062769799999998</v>
      </c>
      <c r="CL15" s="13"/>
    </row>
    <row r="16" spans="1:90" hidden="1">
      <c r="A16" s="1">
        <v>1979</v>
      </c>
      <c r="B16" s="13">
        <v>28.3</v>
      </c>
      <c r="C16" s="13">
        <v>23.57</v>
      </c>
      <c r="D16" s="13"/>
      <c r="E16" s="13"/>
      <c r="F16" s="13">
        <v>44</v>
      </c>
      <c r="G16" s="13">
        <v>19.760000000000002</v>
      </c>
      <c r="H16" s="13"/>
      <c r="I16" s="13"/>
      <c r="J16" s="13">
        <v>36.5</v>
      </c>
      <c r="K16" s="13">
        <v>22.26</v>
      </c>
      <c r="L16" s="13"/>
      <c r="M16" s="13"/>
      <c r="N16" s="13">
        <v>33.1</v>
      </c>
      <c r="O16" s="13">
        <v>21.04</v>
      </c>
      <c r="P16" s="13"/>
      <c r="Q16" s="13"/>
      <c r="R16" s="13">
        <v>30.7</v>
      </c>
      <c r="S16" s="13">
        <v>21.4</v>
      </c>
      <c r="T16" s="13"/>
      <c r="U16" s="13"/>
      <c r="V16" s="13">
        <v>26.9</v>
      </c>
      <c r="W16" s="13">
        <v>22.27</v>
      </c>
      <c r="X16" s="13"/>
      <c r="Y16" s="13"/>
      <c r="Z16" s="13">
        <v>26</v>
      </c>
      <c r="AA16" s="13">
        <v>24.61</v>
      </c>
      <c r="AB16" s="13"/>
      <c r="AC16" s="13"/>
      <c r="AD16" s="13">
        <v>37</v>
      </c>
      <c r="AE16" s="13">
        <v>24.18</v>
      </c>
      <c r="AF16" s="13"/>
      <c r="AG16" s="13"/>
      <c r="AH16" s="13">
        <v>32.9</v>
      </c>
      <c r="AI16" s="13">
        <v>24.36</v>
      </c>
      <c r="AJ16" s="13"/>
      <c r="AK16" s="13"/>
      <c r="AL16" s="13">
        <v>26.6</v>
      </c>
      <c r="AM16" s="13">
        <v>23.48</v>
      </c>
      <c r="AN16" s="13"/>
      <c r="AO16" s="13"/>
      <c r="AP16" s="13">
        <v>28.1</v>
      </c>
      <c r="AQ16" s="13">
        <v>25.04</v>
      </c>
      <c r="AR16" s="13"/>
      <c r="AS16" s="13"/>
      <c r="AT16" s="1">
        <v>1979</v>
      </c>
      <c r="AU16" s="13">
        <v>26.1</v>
      </c>
      <c r="AV16" s="13">
        <v>25.63</v>
      </c>
      <c r="AW16" s="13">
        <f t="shared" si="23"/>
        <v>12.6430227</v>
      </c>
      <c r="AX16" s="13"/>
      <c r="AY16" s="332">
        <v>22.1</v>
      </c>
      <c r="AZ16" s="332">
        <v>21.03</v>
      </c>
      <c r="BA16" s="13">
        <f t="shared" si="25"/>
        <v>8.784020700000001</v>
      </c>
      <c r="BB16" s="13"/>
      <c r="BC16" s="332">
        <v>22.4</v>
      </c>
      <c r="BD16" s="332">
        <v>19.510000000000002</v>
      </c>
      <c r="BE16" s="13">
        <f t="shared" si="27"/>
        <v>8.2597535999999998</v>
      </c>
      <c r="BF16" s="13"/>
      <c r="BG16" s="332">
        <v>24.3</v>
      </c>
      <c r="BH16" s="332">
        <v>19.989999999999998</v>
      </c>
      <c r="BI16" s="13">
        <f t="shared" si="29"/>
        <v>9.1808072999999979</v>
      </c>
      <c r="BJ16" s="13"/>
      <c r="BK16" s="13">
        <v>20.2</v>
      </c>
      <c r="BL16" s="13">
        <v>20.94</v>
      </c>
      <c r="BM16" s="13">
        <f t="shared" si="31"/>
        <v>7.9944731999999989</v>
      </c>
      <c r="BN16" s="13"/>
      <c r="BO16" s="332">
        <v>28.4</v>
      </c>
      <c r="BP16" s="332">
        <v>26.37</v>
      </c>
      <c r="BQ16" s="13">
        <f t="shared" si="33"/>
        <v>14.1543612</v>
      </c>
      <c r="BR16" s="13"/>
      <c r="BS16" s="332">
        <v>24</v>
      </c>
      <c r="BT16" s="332">
        <v>27.68</v>
      </c>
      <c r="BU16" s="13">
        <f t="shared" si="35"/>
        <v>12.555647999999998</v>
      </c>
      <c r="BV16" s="13"/>
      <c r="BW16" s="332">
        <v>34.799999999999997</v>
      </c>
      <c r="BX16" s="332">
        <v>26.64</v>
      </c>
      <c r="BY16" s="13">
        <f t="shared" si="37"/>
        <v>17.521660799999996</v>
      </c>
      <c r="BZ16" s="13"/>
      <c r="CA16" s="332">
        <v>25.1</v>
      </c>
      <c r="CB16" s="332">
        <v>22.11</v>
      </c>
      <c r="CC16" s="13">
        <f t="shared" si="39"/>
        <v>10.488762899999999</v>
      </c>
      <c r="CD16" s="13"/>
      <c r="CE16" s="332">
        <v>22</v>
      </c>
      <c r="CF16" s="332">
        <v>21.59</v>
      </c>
      <c r="CG16" s="13">
        <f t="shared" si="41"/>
        <v>8.9771219999999996</v>
      </c>
      <c r="CH16" s="13"/>
      <c r="CI16" s="332">
        <v>29.2</v>
      </c>
      <c r="CJ16" s="332">
        <v>24.68</v>
      </c>
      <c r="CK16" s="13">
        <f t="shared" si="43"/>
        <v>13.620398399999999</v>
      </c>
      <c r="CL16" s="13"/>
    </row>
    <row r="17" spans="1:90" hidden="1">
      <c r="A17" s="1">
        <v>1980</v>
      </c>
      <c r="B17" s="13">
        <v>24.1</v>
      </c>
      <c r="C17" s="13">
        <v>20.34</v>
      </c>
      <c r="D17" s="13"/>
      <c r="E17" s="13"/>
      <c r="F17" s="13">
        <v>31.8</v>
      </c>
      <c r="G17" s="13">
        <v>22.02</v>
      </c>
      <c r="H17" s="13"/>
      <c r="I17" s="13"/>
      <c r="J17" s="13">
        <v>51.6</v>
      </c>
      <c r="K17" s="13">
        <v>23.49</v>
      </c>
      <c r="L17" s="13"/>
      <c r="M17" s="13"/>
      <c r="N17" s="13">
        <v>27.8</v>
      </c>
      <c r="O17" s="13">
        <v>18.87</v>
      </c>
      <c r="P17" s="13"/>
      <c r="Q17" s="13"/>
      <c r="R17" s="13">
        <v>27.5</v>
      </c>
      <c r="S17" s="13">
        <v>18.71</v>
      </c>
      <c r="T17" s="13"/>
      <c r="U17" s="13"/>
      <c r="V17" s="13">
        <v>26.4</v>
      </c>
      <c r="W17" s="13">
        <v>18.36</v>
      </c>
      <c r="X17" s="13"/>
      <c r="Y17" s="13"/>
      <c r="Z17" s="13">
        <v>20.399999999999999</v>
      </c>
      <c r="AA17" s="13">
        <v>20.22</v>
      </c>
      <c r="AB17" s="13"/>
      <c r="AC17" s="13"/>
      <c r="AD17" s="13">
        <v>26.6</v>
      </c>
      <c r="AE17" s="13">
        <v>19.96</v>
      </c>
      <c r="AF17" s="13"/>
      <c r="AG17" s="13"/>
      <c r="AH17" s="13">
        <v>33.6</v>
      </c>
      <c r="AI17" s="13">
        <v>19.690000000000001</v>
      </c>
      <c r="AJ17" s="13"/>
      <c r="AK17" s="13"/>
      <c r="AL17" s="13">
        <v>26.2</v>
      </c>
      <c r="AM17" s="13">
        <v>24.43</v>
      </c>
      <c r="AN17" s="13"/>
      <c r="AO17" s="13"/>
      <c r="AP17" s="13">
        <v>19.600000000000001</v>
      </c>
      <c r="AQ17" s="13">
        <v>23.95</v>
      </c>
      <c r="AR17" s="13"/>
      <c r="AS17" s="13"/>
      <c r="AT17" s="1">
        <v>1980</v>
      </c>
      <c r="AU17" s="13">
        <v>21.4</v>
      </c>
      <c r="AV17" s="13">
        <v>22.8</v>
      </c>
      <c r="AW17" s="13">
        <f t="shared" si="23"/>
        <v>9.2216880000000003</v>
      </c>
      <c r="AX17" s="13"/>
      <c r="AY17" s="332">
        <v>21.8</v>
      </c>
      <c r="AZ17" s="332">
        <v>17.41</v>
      </c>
      <c r="BA17" s="13">
        <f t="shared" si="25"/>
        <v>7.1732681999999999</v>
      </c>
      <c r="BB17" s="13"/>
      <c r="BC17" s="332">
        <v>34.4</v>
      </c>
      <c r="BD17" s="383">
        <f>(BD16+BD18)/2</f>
        <v>9.8314000000000004</v>
      </c>
      <c r="BE17" s="13">
        <f t="shared" si="27"/>
        <v>6.3919830239999991</v>
      </c>
      <c r="BF17" s="13"/>
      <c r="BG17" s="332">
        <v>18.3</v>
      </c>
      <c r="BH17" s="332">
        <v>17.940000000000001</v>
      </c>
      <c r="BI17" s="13">
        <f t="shared" si="29"/>
        <v>6.2049078</v>
      </c>
      <c r="BJ17" s="13"/>
      <c r="BK17" s="13">
        <v>15.1</v>
      </c>
      <c r="BL17" s="13">
        <v>18.690000000000001</v>
      </c>
      <c r="BM17" s="13">
        <f t="shared" si="31"/>
        <v>5.3339390999999994</v>
      </c>
      <c r="BN17" s="13"/>
      <c r="BO17" s="332">
        <v>25.9</v>
      </c>
      <c r="BP17" s="332">
        <v>22.48</v>
      </c>
      <c r="BQ17" s="13">
        <f t="shared" si="33"/>
        <v>11.004184799999999</v>
      </c>
      <c r="BR17" s="13"/>
      <c r="BS17" s="332">
        <v>19.600000000000001</v>
      </c>
      <c r="BT17" s="332">
        <v>23.49</v>
      </c>
      <c r="BU17" s="13">
        <f t="shared" si="35"/>
        <v>8.7016355999999995</v>
      </c>
      <c r="BV17" s="13"/>
      <c r="BW17" s="332">
        <v>21.9</v>
      </c>
      <c r="BX17" s="332">
        <v>21.17</v>
      </c>
      <c r="BY17" s="13">
        <f t="shared" si="37"/>
        <v>8.7624747000000003</v>
      </c>
      <c r="BZ17" s="13"/>
      <c r="CA17" s="332">
        <v>22.6</v>
      </c>
      <c r="CB17" s="332">
        <v>21.8</v>
      </c>
      <c r="CC17" s="13">
        <f t="shared" si="39"/>
        <v>9.3116520000000005</v>
      </c>
      <c r="CD17" s="13"/>
      <c r="CE17" s="332">
        <v>17.899999999999999</v>
      </c>
      <c r="CF17" s="332">
        <v>25.07</v>
      </c>
      <c r="CG17" s="13">
        <f t="shared" si="41"/>
        <v>8.4814316999999981</v>
      </c>
      <c r="CH17" s="13"/>
      <c r="CI17" s="332">
        <v>20.8</v>
      </c>
      <c r="CJ17" s="332">
        <v>24.85</v>
      </c>
      <c r="CK17" s="13">
        <f t="shared" si="43"/>
        <v>9.7690319999999993</v>
      </c>
      <c r="CL17" s="13"/>
    </row>
    <row r="18" spans="1:90" ht="15" customHeight="1">
      <c r="A18" s="1">
        <v>1981</v>
      </c>
      <c r="B18" s="13">
        <v>20.399999999999999</v>
      </c>
      <c r="C18" s="13">
        <v>0.18989999999999999</v>
      </c>
      <c r="D18" s="9">
        <f t="shared" ref="D18:D42" si="44">B18*C18/100*$E$59</f>
        <v>7.3217843999999976E-2</v>
      </c>
      <c r="E18" s="9">
        <f t="shared" ref="E18:E46" si="45">(C$63-D18)/C$65</f>
        <v>0.34472713020593992</v>
      </c>
      <c r="F18" s="13">
        <v>28</v>
      </c>
      <c r="G18" s="13">
        <v>0.16539999999999999</v>
      </c>
      <c r="H18" s="9">
        <f t="shared" ref="H18:H46" si="46">F18*G18/100*$E$59</f>
        <v>8.7529679999999999E-2</v>
      </c>
      <c r="I18" s="9">
        <f t="shared" ref="I18:I46" si="47">(C$63-H18)/C$65</f>
        <v>0.22339113313374512</v>
      </c>
      <c r="J18" s="13">
        <v>24.1</v>
      </c>
      <c r="K18" s="13">
        <v>0.16539999999999999</v>
      </c>
      <c r="L18" s="9">
        <f t="shared" ref="L18:L42" si="48">J18*K18/100*$E$59</f>
        <v>7.5338046000000006E-2</v>
      </c>
      <c r="M18" s="9">
        <f t="shared" ref="M18:M46" si="49">(C$63-L18)/C$65</f>
        <v>0.32675202039721485</v>
      </c>
      <c r="N18" s="13">
        <v>22.8</v>
      </c>
      <c r="O18" s="13">
        <v>0.2039</v>
      </c>
      <c r="P18" s="9">
        <f t="shared" ref="P18:P42" si="50">N18*O18/100*$E$59</f>
        <v>8.7864587999999993E-2</v>
      </c>
      <c r="Q18" s="9">
        <f t="shared" ref="Q18:Q46" si="51">(C$63-P18)/C$65</f>
        <v>0.22055177722528907</v>
      </c>
      <c r="R18" s="13">
        <v>26.6</v>
      </c>
      <c r="S18" s="13">
        <v>0.191</v>
      </c>
      <c r="T18" s="9">
        <f t="shared" ref="T18:T42" si="52">R18*S18/100*$E$59</f>
        <v>9.6023339999999999E-2</v>
      </c>
      <c r="U18" s="9">
        <f t="shared" ref="U18:U46" si="53">(C$63-T18)/C$65</f>
        <v>0.15138173441703143</v>
      </c>
      <c r="V18" s="13">
        <v>23.3</v>
      </c>
      <c r="W18" s="13">
        <v>0.1898</v>
      </c>
      <c r="X18" s="9">
        <f t="shared" ref="X18:X42" si="54">V18*W18/100*$E$59</f>
        <v>8.3582225999999996E-2</v>
      </c>
      <c r="Y18" s="9">
        <f t="shared" ref="Y18:Y46" si="55">(C$63-X18)/C$65</f>
        <v>0.25685771750395614</v>
      </c>
      <c r="Z18" s="13">
        <v>17.5</v>
      </c>
      <c r="AA18" s="13">
        <v>0.17670000000000002</v>
      </c>
      <c r="AB18" s="9">
        <f t="shared" ref="AB18:AB42" si="56">Z18*AA18/100*$E$59</f>
        <v>5.844352500000001E-2</v>
      </c>
      <c r="AC18" s="9">
        <f t="shared" ref="AC18:AC46" si="57">(C$63-AB18)/C$65</f>
        <v>0.46998406627812983</v>
      </c>
      <c r="AD18" s="13">
        <v>21.8</v>
      </c>
      <c r="AE18" s="13">
        <v>0.19539999999999999</v>
      </c>
      <c r="AF18" s="9">
        <f t="shared" ref="AF18:AF42" si="58">AD18*AE18/100*$E$59</f>
        <v>8.0508707999999984E-2</v>
      </c>
      <c r="AG18" s="9">
        <f t="shared" ref="AG18:AG46" si="59">(C$63-AF18)/C$65</f>
        <v>0.28291505711079196</v>
      </c>
      <c r="AH18" s="13">
        <v>27.2</v>
      </c>
      <c r="AI18" s="13">
        <v>0.2024</v>
      </c>
      <c r="AJ18" s="9">
        <f t="shared" ref="AJ18:AJ42" si="60">AH18*AI18/100*$E$59</f>
        <v>0.10404979199999999</v>
      </c>
      <c r="AK18" s="9">
        <f t="shared" ref="AK18:AK46" si="61">(C$63-AJ18)/C$65</f>
        <v>8.3333333333333315E-2</v>
      </c>
      <c r="AL18" s="13">
        <v>19.3</v>
      </c>
      <c r="AM18" s="13">
        <v>0.20949999999999999</v>
      </c>
      <c r="AN18" s="9">
        <f t="shared" ref="AN18:AN42" si="62">AL18*AM18/100*$E$59</f>
        <v>7.6419315000000002E-2</v>
      </c>
      <c r="AO18" s="9">
        <f t="shared" ref="AO18:AO46" si="63">(C$63-AN18)/C$65</f>
        <v>0.31758500281692298</v>
      </c>
      <c r="AP18" s="13">
        <v>17.5</v>
      </c>
      <c r="AQ18" s="13">
        <v>0.20829999999999999</v>
      </c>
      <c r="AR18" s="9">
        <f t="shared" ref="AR18:AR42" si="64">AP18*AQ18/100*$E$59</f>
        <v>6.8895224999999991E-2</v>
      </c>
      <c r="AS18" s="9">
        <f t="shared" ref="AS18:AS46" si="65">(C$63-AR18)/C$65</f>
        <v>0.38137437003793712</v>
      </c>
      <c r="AT18" s="1">
        <v>1981</v>
      </c>
      <c r="AU18" s="13">
        <v>21</v>
      </c>
      <c r="AV18" s="13">
        <v>0.22140000000000001</v>
      </c>
      <c r="AW18" s="13">
        <f t="shared" si="23"/>
        <v>8.7873659999999992E-2</v>
      </c>
      <c r="AX18" s="13">
        <f t="shared" ref="AX18:AX47" si="66">(AV$63-AW18)/AV$65</f>
        <v>0.90727280364195106</v>
      </c>
      <c r="AY18" s="13">
        <v>16.899999999999999</v>
      </c>
      <c r="AZ18" s="13">
        <v>0.16140000000000002</v>
      </c>
      <c r="BA18" s="13">
        <f t="shared" si="25"/>
        <v>5.1552774000000003E-2</v>
      </c>
      <c r="BB18" s="13">
        <f t="shared" ref="BB18:BB47" si="67">(AV$63-BA18)/AV$65</f>
        <v>0.91120686083984359</v>
      </c>
      <c r="BC18" s="13">
        <v>16.399999999999999</v>
      </c>
      <c r="BD18" s="13">
        <v>0.15279999999999999</v>
      </c>
      <c r="BE18" s="13">
        <f t="shared" si="27"/>
        <v>4.7361887999999991E-2</v>
      </c>
      <c r="BF18" s="13">
        <f t="shared" ref="BF18:BF47" si="68">(AV$63-BE18)/AV$65</f>
        <v>0.91166079209124118</v>
      </c>
      <c r="BG18" s="13">
        <v>17.2</v>
      </c>
      <c r="BH18" s="13">
        <v>0.15960000000000002</v>
      </c>
      <c r="BI18" s="13">
        <f t="shared" si="29"/>
        <v>5.1882767999999996E-2</v>
      </c>
      <c r="BJ18" s="13">
        <f t="shared" ref="BJ18:BJ47" si="69">(AV$63-BI18)/AV$65</f>
        <v>0.9111711178992401</v>
      </c>
      <c r="BK18" s="13">
        <v>18.100000000000001</v>
      </c>
      <c r="BL18" s="13">
        <v>0.17460000000000001</v>
      </c>
      <c r="BM18" s="13">
        <f t="shared" si="31"/>
        <v>5.9728914000000015E-2</v>
      </c>
      <c r="BN18" s="13">
        <f t="shared" ref="BN18:BN47" si="70">(AV$63-BM18)/AV$65</f>
        <v>0.9103212711431059</v>
      </c>
      <c r="BO18" s="13">
        <v>28.9</v>
      </c>
      <c r="BP18" s="13">
        <v>0.2452</v>
      </c>
      <c r="BQ18" s="13">
        <f t="shared" si="33"/>
        <v>0.13393069199999996</v>
      </c>
      <c r="BR18" s="13">
        <f t="shared" ref="BR18:BR47" si="71">(AV$63-BQ18)/AV$65</f>
        <v>0.90228418639695418</v>
      </c>
      <c r="BS18" s="13">
        <v>18.899999999999999</v>
      </c>
      <c r="BT18" s="13">
        <v>20.61</v>
      </c>
      <c r="BU18" s="13">
        <f t="shared" si="35"/>
        <v>7.3620980999999981</v>
      </c>
      <c r="BV18" s="13">
        <f t="shared" ref="BV18:BV47" si="72">(AV$63-BU18)/AV$65</f>
        <v>0.1193731082086535</v>
      </c>
      <c r="BW18" s="13">
        <v>21.3</v>
      </c>
      <c r="BX18" s="13">
        <v>0.21579999999999999</v>
      </c>
      <c r="BY18" s="13">
        <f t="shared" si="37"/>
        <v>8.6874606000000007E-2</v>
      </c>
      <c r="BZ18" s="13">
        <f t="shared" ref="BZ18:BZ47" si="73">(AV$63-BY18)/AV$65</f>
        <v>0.90738101508755786</v>
      </c>
      <c r="CA18" s="13">
        <v>18.899999999999999</v>
      </c>
      <c r="CB18" s="13">
        <v>0.17559999999999998</v>
      </c>
      <c r="CC18" s="13">
        <f t="shared" si="39"/>
        <v>6.2726075999999978E-2</v>
      </c>
      <c r="CD18" s="13">
        <f t="shared" ref="CD18:CD47" si="74">(AV$63-CC18)/AV$65</f>
        <v>0.90999663680628529</v>
      </c>
      <c r="CE18" s="13">
        <v>16.3</v>
      </c>
      <c r="CF18" s="13">
        <v>0.253</v>
      </c>
      <c r="CG18" s="13">
        <f t="shared" si="41"/>
        <v>7.7941709999999997E-2</v>
      </c>
      <c r="CH18" s="13">
        <f t="shared" ref="CH18:CH47" si="75">(AV$63-CG18)/AV$65</f>
        <v>0.90834857198599994</v>
      </c>
      <c r="CI18" s="13">
        <v>18.3</v>
      </c>
      <c r="CJ18" s="13">
        <v>0.24299999999999999</v>
      </c>
      <c r="CK18" s="13">
        <f t="shared" si="43"/>
        <v>8.4046410000000002E-2</v>
      </c>
      <c r="CL18" s="13">
        <f t="shared" ref="CL18:CL47" si="76">(AV$63-CK18)/AV$65</f>
        <v>0.90768734805616602</v>
      </c>
    </row>
    <row r="19" spans="1:90" ht="15" customHeight="1">
      <c r="A19" s="1">
        <v>1982</v>
      </c>
      <c r="B19" s="13">
        <v>15.4</v>
      </c>
      <c r="C19" s="13">
        <v>0.1673</v>
      </c>
      <c r="D19" s="9">
        <f t="shared" si="44"/>
        <v>4.8694337999999997E-2</v>
      </c>
      <c r="E19" s="9">
        <f t="shared" si="45"/>
        <v>0.55263784496091228</v>
      </c>
      <c r="F19" s="13">
        <v>19.7</v>
      </c>
      <c r="G19" s="13">
        <v>0.2177</v>
      </c>
      <c r="H19" s="9">
        <f t="shared" si="46"/>
        <v>8.1056240999999987E-2</v>
      </c>
      <c r="I19" s="9">
        <f t="shared" si="47"/>
        <v>0.27827306271643681</v>
      </c>
      <c r="J19" s="13">
        <v>22</v>
      </c>
      <c r="K19" s="13">
        <v>0.16620000000000001</v>
      </c>
      <c r="L19" s="9">
        <f t="shared" si="48"/>
        <v>6.9105960000000008E-2</v>
      </c>
      <c r="M19" s="9">
        <f t="shared" si="49"/>
        <v>0.37958775500524594</v>
      </c>
      <c r="N19" s="13">
        <v>18.8</v>
      </c>
      <c r="O19" s="13">
        <v>0.1779</v>
      </c>
      <c r="P19" s="9">
        <f t="shared" si="50"/>
        <v>6.3211428E-2</v>
      </c>
      <c r="Q19" s="9">
        <f t="shared" si="51"/>
        <v>0.4295617008703298</v>
      </c>
      <c r="R19" s="13">
        <v>22.2</v>
      </c>
      <c r="S19" s="13">
        <v>0.21210000000000001</v>
      </c>
      <c r="T19" s="9">
        <f t="shared" si="52"/>
        <v>8.899291799999999E-2</v>
      </c>
      <c r="U19" s="9">
        <f t="shared" si="53"/>
        <v>0.21098577566011817</v>
      </c>
      <c r="V19" s="13">
        <v>15.5</v>
      </c>
      <c r="W19" s="13">
        <v>0.18719999999999998</v>
      </c>
      <c r="X19" s="9">
        <f t="shared" si="54"/>
        <v>5.4840239999999991E-2</v>
      </c>
      <c r="Y19" s="9">
        <f t="shared" si="55"/>
        <v>0.50053277981916566</v>
      </c>
      <c r="Z19" s="13">
        <v>12.9</v>
      </c>
      <c r="AA19" s="13">
        <v>0.1497</v>
      </c>
      <c r="AB19" s="9">
        <f t="shared" si="56"/>
        <v>3.6498356999999995E-2</v>
      </c>
      <c r="AC19" s="9">
        <f t="shared" si="57"/>
        <v>0.6560355861667605</v>
      </c>
      <c r="AD19" s="13">
        <v>17.8</v>
      </c>
      <c r="AE19" s="13">
        <v>0.15939999999999999</v>
      </c>
      <c r="AF19" s="9">
        <f t="shared" si="58"/>
        <v>5.3625347999999996E-2</v>
      </c>
      <c r="AG19" s="9">
        <f t="shared" si="59"/>
        <v>0.51083265554126256</v>
      </c>
      <c r="AH19" s="13">
        <v>17.5</v>
      </c>
      <c r="AI19" s="387">
        <v>0.17129999999999998</v>
      </c>
      <c r="AJ19" s="9">
        <f t="shared" si="60"/>
        <v>5.6657474999999985E-2</v>
      </c>
      <c r="AK19" s="9">
        <f t="shared" si="61"/>
        <v>0.48512622955968199</v>
      </c>
      <c r="AL19" s="13">
        <v>15</v>
      </c>
      <c r="AM19" s="13">
        <v>0.1404</v>
      </c>
      <c r="AN19" s="9">
        <f t="shared" si="62"/>
        <v>3.9803399999999996E-2</v>
      </c>
      <c r="AO19" s="9">
        <f t="shared" si="63"/>
        <v>0.62801537354194592</v>
      </c>
      <c r="AP19" s="13">
        <v>16.899999999999999</v>
      </c>
      <c r="AQ19" s="13">
        <v>0.1595</v>
      </c>
      <c r="AR19" s="9">
        <f t="shared" si="64"/>
        <v>5.0945894999999998E-2</v>
      </c>
      <c r="AS19" s="9">
        <f t="shared" si="65"/>
        <v>0.53354910515423215</v>
      </c>
      <c r="AT19" s="1">
        <v>1982</v>
      </c>
      <c r="AU19" s="13">
        <v>17.8</v>
      </c>
      <c r="AV19" s="13">
        <v>0.2041</v>
      </c>
      <c r="AW19" s="13">
        <f t="shared" si="23"/>
        <v>6.8663321999999999E-2</v>
      </c>
      <c r="AX19" s="13">
        <f t="shared" si="66"/>
        <v>0.90935355047403121</v>
      </c>
      <c r="AY19" s="13">
        <v>16.2</v>
      </c>
      <c r="AZ19" s="13">
        <v>0.16550000000000001</v>
      </c>
      <c r="BA19" s="13">
        <f t="shared" si="25"/>
        <v>5.0672789999999995E-2</v>
      </c>
      <c r="BB19" s="13">
        <f t="shared" si="67"/>
        <v>0.9113021753481193</v>
      </c>
      <c r="BC19" s="13">
        <v>16.399999999999999</v>
      </c>
      <c r="BD19" s="13">
        <v>0.1056</v>
      </c>
      <c r="BE19" s="13">
        <f t="shared" si="27"/>
        <v>3.2731775999999997E-2</v>
      </c>
      <c r="BF19" s="13">
        <f t="shared" si="68"/>
        <v>0.91324543673398384</v>
      </c>
      <c r="BG19" s="13">
        <v>13.1</v>
      </c>
      <c r="BH19" s="13">
        <v>0.15509999999999999</v>
      </c>
      <c r="BI19" s="13">
        <f t="shared" si="29"/>
        <v>3.8401208999999992E-2</v>
      </c>
      <c r="BJ19" s="13">
        <f t="shared" si="69"/>
        <v>0.91263135827506037</v>
      </c>
      <c r="BK19" s="13">
        <v>19.100000000000001</v>
      </c>
      <c r="BL19" s="13">
        <v>0.15439999999999998</v>
      </c>
      <c r="BM19" s="13">
        <f t="shared" si="31"/>
        <v>5.5736855999999987E-2</v>
      </c>
      <c r="BN19" s="13">
        <f t="shared" si="70"/>
        <v>0.91075366655629353</v>
      </c>
      <c r="BO19" s="13">
        <v>24.3</v>
      </c>
      <c r="BP19" s="13">
        <v>0.21410000000000001</v>
      </c>
      <c r="BQ19" s="13">
        <f t="shared" si="33"/>
        <v>9.8329706999999988E-2</v>
      </c>
      <c r="BR19" s="13">
        <f t="shared" si="71"/>
        <v>0.90614026830231609</v>
      </c>
      <c r="BS19" s="13">
        <v>14.1</v>
      </c>
      <c r="BT19" s="13">
        <v>20.329999999999998</v>
      </c>
      <c r="BU19" s="13">
        <f t="shared" si="35"/>
        <v>5.4177416999999988</v>
      </c>
      <c r="BV19" s="13">
        <f t="shared" si="72"/>
        <v>0.3299739534272515</v>
      </c>
      <c r="BW19" s="13">
        <v>21.2</v>
      </c>
      <c r="BX19" s="13">
        <v>0.19390000000000002</v>
      </c>
      <c r="BY19" s="13">
        <f t="shared" si="37"/>
        <v>7.7691852000000006E-2</v>
      </c>
      <c r="BZ19" s="13">
        <f t="shared" si="73"/>
        <v>0.90837563508306629</v>
      </c>
      <c r="CA19" s="13">
        <v>13.9</v>
      </c>
      <c r="CB19" s="13">
        <v>0.15259999999999999</v>
      </c>
      <c r="CC19" s="13">
        <f t="shared" si="39"/>
        <v>4.0089546000000004E-2</v>
      </c>
      <c r="CD19" s="13">
        <f t="shared" si="74"/>
        <v>0.91244848789223643</v>
      </c>
      <c r="CE19" s="13">
        <v>13.7</v>
      </c>
      <c r="CF19" s="13">
        <v>0.1845</v>
      </c>
      <c r="CG19" s="13">
        <f t="shared" si="41"/>
        <v>4.7772584999999999E-2</v>
      </c>
      <c r="CH19" s="13">
        <f t="shared" si="75"/>
        <v>0.9116163078931131</v>
      </c>
      <c r="CI19" s="13">
        <v>20.100000000000001</v>
      </c>
      <c r="CJ19" s="13">
        <v>0.23749999999999999</v>
      </c>
      <c r="CK19" s="13">
        <f t="shared" si="43"/>
        <v>9.0223874999999981E-2</v>
      </c>
      <c r="CL19" s="13">
        <f t="shared" si="76"/>
        <v>0.90701824266462949</v>
      </c>
    </row>
    <row r="20" spans="1:90" ht="15" customHeight="1">
      <c r="A20" s="1">
        <v>1983</v>
      </c>
      <c r="B20" s="13">
        <v>15.7</v>
      </c>
      <c r="C20" s="13">
        <v>0.17559999999999998</v>
      </c>
      <c r="D20" s="9">
        <f t="shared" si="44"/>
        <v>5.2105787999999986E-2</v>
      </c>
      <c r="E20" s="9">
        <f t="shared" si="45"/>
        <v>0.52371551192048782</v>
      </c>
      <c r="F20" s="13">
        <v>25.1</v>
      </c>
      <c r="G20" s="13">
        <v>0.19399999999999998</v>
      </c>
      <c r="H20" s="9">
        <f t="shared" si="46"/>
        <v>9.2031659999999987E-2</v>
      </c>
      <c r="I20" s="9">
        <f t="shared" si="47"/>
        <v>0.1852232675923095</v>
      </c>
      <c r="J20" s="13">
        <v>28.5</v>
      </c>
      <c r="K20" s="122">
        <f>((K19+K21)/2)</f>
        <v>0.1668</v>
      </c>
      <c r="L20" s="9">
        <f t="shared" si="48"/>
        <v>8.9846819999999994E-2</v>
      </c>
      <c r="M20" s="9">
        <f t="shared" si="49"/>
        <v>0.20374637950074759</v>
      </c>
      <c r="N20" s="13">
        <v>17.8</v>
      </c>
      <c r="O20" s="13">
        <v>0.15109999999999998</v>
      </c>
      <c r="P20" s="9">
        <f t="shared" si="50"/>
        <v>5.0833061999999991E-2</v>
      </c>
      <c r="Q20" s="9">
        <f t="shared" si="51"/>
        <v>0.53450570531074926</v>
      </c>
      <c r="R20" s="13">
        <v>26.3</v>
      </c>
      <c r="S20" s="13">
        <v>0.1699</v>
      </c>
      <c r="T20" s="9">
        <f t="shared" si="52"/>
        <v>8.4452192999999995E-2</v>
      </c>
      <c r="U20" s="9">
        <f t="shared" si="53"/>
        <v>0.24948212199231765</v>
      </c>
      <c r="V20" s="13">
        <v>16.7</v>
      </c>
      <c r="W20" s="13">
        <v>0.16980000000000001</v>
      </c>
      <c r="X20" s="9">
        <f t="shared" si="54"/>
        <v>5.3593973999999996E-2</v>
      </c>
      <c r="Y20" s="9">
        <f t="shared" si="55"/>
        <v>0.51109864486451528</v>
      </c>
      <c r="Z20" s="13">
        <v>12.8</v>
      </c>
      <c r="AA20" s="13">
        <v>0.2077</v>
      </c>
      <c r="AB20" s="9">
        <f t="shared" si="56"/>
        <v>5.0246783999999996E-2</v>
      </c>
      <c r="AC20" s="9">
        <f t="shared" si="57"/>
        <v>0.53947618049586821</v>
      </c>
      <c r="AD20" s="13">
        <v>14.9</v>
      </c>
      <c r="AE20" s="13">
        <v>0.12659999999999999</v>
      </c>
      <c r="AF20" s="9">
        <f t="shared" si="58"/>
        <v>3.5651825999999998E-2</v>
      </c>
      <c r="AG20" s="9">
        <f t="shared" si="59"/>
        <v>0.66321249085861989</v>
      </c>
      <c r="AH20" s="13">
        <v>21.6</v>
      </c>
      <c r="AI20" s="387">
        <v>0.192</v>
      </c>
      <c r="AJ20" s="9">
        <f t="shared" si="60"/>
        <v>7.8382080000000007E-2</v>
      </c>
      <c r="AK20" s="9">
        <f t="shared" si="61"/>
        <v>0.30094464666042375</v>
      </c>
      <c r="AL20" s="13">
        <v>13.8</v>
      </c>
      <c r="AM20" s="13">
        <v>0.17420000000000002</v>
      </c>
      <c r="AN20" s="9">
        <f t="shared" si="62"/>
        <v>4.5434844000000009E-2</v>
      </c>
      <c r="AO20" s="9">
        <f t="shared" si="63"/>
        <v>0.58027189236341437</v>
      </c>
      <c r="AP20" s="13">
        <v>15.8</v>
      </c>
      <c r="AQ20" s="13">
        <v>0.13449999999999998</v>
      </c>
      <c r="AR20" s="9">
        <f t="shared" si="64"/>
        <v>4.0164389999999994E-2</v>
      </c>
      <c r="AS20" s="9">
        <f t="shared" si="65"/>
        <v>0.62495489397921955</v>
      </c>
      <c r="AT20" s="1">
        <v>1983</v>
      </c>
      <c r="AU20" s="13">
        <v>19.399999999999999</v>
      </c>
      <c r="AV20" s="13">
        <v>0.2152</v>
      </c>
      <c r="AW20" s="13">
        <f t="shared" si="23"/>
        <v>7.8905232000000006E-2</v>
      </c>
      <c r="AX20" s="13">
        <f t="shared" si="66"/>
        <v>0.90824420915026327</v>
      </c>
      <c r="AY20" s="13">
        <v>14.8</v>
      </c>
      <c r="AZ20" s="122">
        <f>(AZ19+AZ21)/2</f>
        <v>0.18754999999999999</v>
      </c>
      <c r="BA20" s="13">
        <f t="shared" si="25"/>
        <v>5.2461485999999995E-2</v>
      </c>
      <c r="BB20" s="13">
        <f t="shared" si="67"/>
        <v>0.91110843468954494</v>
      </c>
      <c r="BC20" s="13">
        <v>14.3</v>
      </c>
      <c r="BD20" s="122">
        <f>(BD19+BD21)/2</f>
        <v>0.1265</v>
      </c>
      <c r="BE20" s="13">
        <f t="shared" si="27"/>
        <v>3.4189154999999999E-2</v>
      </c>
      <c r="BF20" s="13">
        <f t="shared" si="68"/>
        <v>0.91308758231531673</v>
      </c>
      <c r="BG20" s="13">
        <v>9.6999999999999993</v>
      </c>
      <c r="BH20" s="122">
        <f>(BH19+BH21)/2</f>
        <v>0.1764</v>
      </c>
      <c r="BI20" s="13">
        <f t="shared" si="29"/>
        <v>3.2339411999999998E-2</v>
      </c>
      <c r="BJ20" s="13">
        <f t="shared" si="69"/>
        <v>0.91328793521318929</v>
      </c>
      <c r="BK20" s="13">
        <v>19.8</v>
      </c>
      <c r="BL20" s="13">
        <v>0.16140000000000002</v>
      </c>
      <c r="BM20" s="13">
        <f t="shared" si="31"/>
        <v>6.0399108000000007E-2</v>
      </c>
      <c r="BN20" s="13">
        <f t="shared" si="70"/>
        <v>0.91024867981012791</v>
      </c>
      <c r="BO20" s="13">
        <v>25</v>
      </c>
      <c r="BP20" s="13">
        <v>0.23219999999999999</v>
      </c>
      <c r="BQ20" s="13">
        <f t="shared" si="33"/>
        <v>0.10971449999999999</v>
      </c>
      <c r="BR20" s="13">
        <f t="shared" si="71"/>
        <v>0.90490713685149826</v>
      </c>
      <c r="BS20" s="13">
        <v>18.2</v>
      </c>
      <c r="BT20" s="13">
        <v>22.37</v>
      </c>
      <c r="BU20" s="13">
        <f t="shared" si="35"/>
        <v>7.6948325999999998</v>
      </c>
      <c r="BV20" s="13">
        <f t="shared" si="72"/>
        <v>8.3333333333333329E-2</v>
      </c>
      <c r="BW20" s="13">
        <v>14</v>
      </c>
      <c r="BX20" s="13">
        <v>0.22420000000000001</v>
      </c>
      <c r="BY20" s="13">
        <f t="shared" si="37"/>
        <v>5.9323319999999999E-2</v>
      </c>
      <c r="BZ20" s="13">
        <f t="shared" si="73"/>
        <v>0.91036520261534815</v>
      </c>
      <c r="CA20" s="13">
        <v>17.7</v>
      </c>
      <c r="CB20" s="13">
        <v>0.18890000000000001</v>
      </c>
      <c r="CC20" s="13">
        <f t="shared" si="39"/>
        <v>6.3192716999999995E-2</v>
      </c>
      <c r="CD20" s="13">
        <f t="shared" si="74"/>
        <v>0.90994609309474483</v>
      </c>
      <c r="CE20" s="13">
        <v>14.8</v>
      </c>
      <c r="CF20" s="13">
        <v>0.21920000000000001</v>
      </c>
      <c r="CG20" s="13">
        <f t="shared" si="41"/>
        <v>6.1314623999999998E-2</v>
      </c>
      <c r="CH20" s="13">
        <f t="shared" si="75"/>
        <v>0.91014951669198196</v>
      </c>
      <c r="CI20" s="13">
        <v>21.4</v>
      </c>
      <c r="CJ20" s="13">
        <v>0.18510000000000001</v>
      </c>
      <c r="CK20" s="13">
        <f t="shared" si="43"/>
        <v>7.4865545999999991E-2</v>
      </c>
      <c r="CL20" s="13">
        <f t="shared" si="76"/>
        <v>0.90868176333838313</v>
      </c>
    </row>
    <row r="21" spans="1:90" ht="15" customHeight="1">
      <c r="A21" s="1">
        <v>1984</v>
      </c>
      <c r="B21" s="13">
        <v>14.3</v>
      </c>
      <c r="C21" s="13">
        <v>0.17249999999999999</v>
      </c>
      <c r="D21" s="9">
        <f t="shared" si="44"/>
        <v>4.6621574999999991E-2</v>
      </c>
      <c r="E21" s="9">
        <f t="shared" si="45"/>
        <v>0.57021076609411658</v>
      </c>
      <c r="F21" s="13">
        <v>18.5</v>
      </c>
      <c r="G21" s="13">
        <v>0.20660000000000001</v>
      </c>
      <c r="H21" s="9">
        <f t="shared" si="46"/>
        <v>7.2237690000000007E-2</v>
      </c>
      <c r="I21" s="9">
        <f t="shared" si="47"/>
        <v>0.35303689303960406</v>
      </c>
      <c r="J21" s="13">
        <v>23.7</v>
      </c>
      <c r="K21" s="13">
        <v>0.16739999999999999</v>
      </c>
      <c r="L21" s="9">
        <f t="shared" si="48"/>
        <v>7.4983482000000004E-2</v>
      </c>
      <c r="M21" s="9">
        <f t="shared" si="49"/>
        <v>0.32975802021903405</v>
      </c>
      <c r="N21" s="13">
        <v>16.7</v>
      </c>
      <c r="O21" s="13">
        <v>0.1709</v>
      </c>
      <c r="P21" s="9">
        <f t="shared" si="50"/>
        <v>5.3941166999999991E-2</v>
      </c>
      <c r="Q21" s="9">
        <f t="shared" si="51"/>
        <v>0.50815513651020727</v>
      </c>
      <c r="R21" s="13">
        <v>19</v>
      </c>
      <c r="S21" s="13">
        <v>0.17280000000000001</v>
      </c>
      <c r="T21" s="9">
        <f t="shared" si="52"/>
        <v>6.205248E-2</v>
      </c>
      <c r="U21" s="9">
        <f t="shared" si="53"/>
        <v>0.43938728237747016</v>
      </c>
      <c r="V21" s="13">
        <v>15.9</v>
      </c>
      <c r="W21" s="13">
        <v>0.1812</v>
      </c>
      <c r="X21" s="9">
        <f t="shared" si="54"/>
        <v>5.4452411999999992E-2</v>
      </c>
      <c r="Y21" s="9">
        <f t="shared" si="55"/>
        <v>0.5038207924174456</v>
      </c>
      <c r="Z21" s="13">
        <v>11.7</v>
      </c>
      <c r="AA21" s="13">
        <v>0.152</v>
      </c>
      <c r="AB21" s="9">
        <f t="shared" si="56"/>
        <v>3.3611759999999991E-2</v>
      </c>
      <c r="AC21" s="9">
        <f t="shared" si="57"/>
        <v>0.68050820625132602</v>
      </c>
      <c r="AD21" s="13">
        <v>13.6</v>
      </c>
      <c r="AE21" s="13">
        <v>0.16829999999999998</v>
      </c>
      <c r="AF21" s="9">
        <f t="shared" si="58"/>
        <v>4.3259831999999991E-2</v>
      </c>
      <c r="AG21" s="9">
        <f t="shared" si="59"/>
        <v>0.59871168231517102</v>
      </c>
      <c r="AH21" s="13">
        <v>16.8</v>
      </c>
      <c r="AI21" s="387">
        <v>0.15310000000000001</v>
      </c>
      <c r="AJ21" s="9">
        <f t="shared" si="60"/>
        <v>4.8612311999999998E-2</v>
      </c>
      <c r="AK21" s="9">
        <f t="shared" si="61"/>
        <v>0.55333326283013928</v>
      </c>
      <c r="AL21" s="13">
        <v>12</v>
      </c>
      <c r="AM21" s="13">
        <v>0.19289999999999999</v>
      </c>
      <c r="AN21" s="9">
        <f t="shared" si="62"/>
        <v>4.3749719999999992E-2</v>
      </c>
      <c r="AO21" s="9">
        <f t="shared" si="63"/>
        <v>0.59455840324365972</v>
      </c>
      <c r="AP21" s="13">
        <v>16.100000000000001</v>
      </c>
      <c r="AQ21" s="13">
        <v>0.19550000000000001</v>
      </c>
      <c r="AR21" s="9">
        <f t="shared" si="64"/>
        <v>5.9488695000000001E-2</v>
      </c>
      <c r="AS21" s="9">
        <f t="shared" si="65"/>
        <v>0.46112309665411061</v>
      </c>
      <c r="AT21" s="1">
        <v>1984</v>
      </c>
      <c r="AU21" s="13">
        <v>16.2</v>
      </c>
      <c r="AV21" s="13">
        <v>0.21489999999999998</v>
      </c>
      <c r="AW21" s="13">
        <f t="shared" si="23"/>
        <v>6.5798081999999994E-2</v>
      </c>
      <c r="AX21" s="13">
        <f t="shared" si="66"/>
        <v>0.90966389582314222</v>
      </c>
      <c r="AY21" s="13">
        <v>11.5</v>
      </c>
      <c r="AZ21" s="13">
        <v>0.20960000000000001</v>
      </c>
      <c r="BA21" s="13">
        <f t="shared" si="25"/>
        <v>4.5556559999999996E-2</v>
      </c>
      <c r="BB21" s="13">
        <f t="shared" si="67"/>
        <v>0.91185633422677592</v>
      </c>
      <c r="BC21" s="13">
        <v>10.9</v>
      </c>
      <c r="BD21" s="13">
        <v>0.1474</v>
      </c>
      <c r="BE21" s="13">
        <f t="shared" si="27"/>
        <v>3.0365873999999998E-2</v>
      </c>
      <c r="BF21" s="13">
        <f t="shared" si="68"/>
        <v>0.91350169683162064</v>
      </c>
      <c r="BG21" s="13">
        <v>10.7</v>
      </c>
      <c r="BH21" s="13">
        <v>0.19769999999999999</v>
      </c>
      <c r="BI21" s="13">
        <f t="shared" si="29"/>
        <v>3.9980870999999994E-2</v>
      </c>
      <c r="BJ21" s="13">
        <f t="shared" si="69"/>
        <v>0.91246025890646743</v>
      </c>
      <c r="BK21" s="13">
        <v>14</v>
      </c>
      <c r="BL21" s="13">
        <v>0.16620000000000001</v>
      </c>
      <c r="BM21" s="13">
        <f t="shared" si="31"/>
        <v>4.3976520000000005E-2</v>
      </c>
      <c r="BN21" s="13">
        <f t="shared" si="70"/>
        <v>0.91202747453802713</v>
      </c>
      <c r="BO21" s="13">
        <v>20.5</v>
      </c>
      <c r="BP21" s="13">
        <v>0.23309999999999997</v>
      </c>
      <c r="BQ21" s="13">
        <f t="shared" si="33"/>
        <v>9.0314594999999984E-2</v>
      </c>
      <c r="BR21" s="13">
        <f t="shared" si="71"/>
        <v>0.90700841642666286</v>
      </c>
      <c r="BS21" s="13">
        <v>14.8</v>
      </c>
      <c r="BT21" s="13">
        <v>0.19519999999999998</v>
      </c>
      <c r="BU21" s="13">
        <f t="shared" si="35"/>
        <v>5.4601344000000003E-2</v>
      </c>
      <c r="BV21" s="13">
        <f t="shared" si="72"/>
        <v>0.91087665830150844</v>
      </c>
      <c r="BW21" s="13">
        <v>14.4</v>
      </c>
      <c r="BX21" s="13">
        <v>0.19940000000000002</v>
      </c>
      <c r="BY21" s="13">
        <f t="shared" si="37"/>
        <v>5.4268704000000008E-2</v>
      </c>
      <c r="BZ21" s="13">
        <f t="shared" si="73"/>
        <v>0.91091268784071922</v>
      </c>
      <c r="CA21" s="13">
        <v>11.4</v>
      </c>
      <c r="CB21" s="13">
        <v>0.16350000000000001</v>
      </c>
      <c r="CC21" s="13">
        <f t="shared" si="39"/>
        <v>3.5227710000000002E-2</v>
      </c>
      <c r="CD21" s="13">
        <f t="shared" si="74"/>
        <v>0.91297509236192864</v>
      </c>
      <c r="CE21" s="13">
        <v>13.8</v>
      </c>
      <c r="CF21" s="13">
        <v>0.25019999999999998</v>
      </c>
      <c r="CG21" s="13">
        <f t="shared" si="41"/>
        <v>6.5257163999999993E-2</v>
      </c>
      <c r="CH21" s="13">
        <f t="shared" si="75"/>
        <v>0.90972248476701789</v>
      </c>
      <c r="CI21" s="13">
        <v>19.3</v>
      </c>
      <c r="CJ21" s="13">
        <v>0.23780000000000001</v>
      </c>
      <c r="CK21" s="13">
        <f t="shared" si="43"/>
        <v>8.6742306000000005E-2</v>
      </c>
      <c r="CL21" s="13">
        <f t="shared" si="76"/>
        <v>0.90739534501792585</v>
      </c>
    </row>
    <row r="22" spans="1:90" ht="15" customHeight="1">
      <c r="A22" s="1">
        <v>1985</v>
      </c>
      <c r="B22" s="13">
        <v>11.9</v>
      </c>
      <c r="C22" s="13">
        <v>0.1918</v>
      </c>
      <c r="D22" s="9">
        <f t="shared" si="44"/>
        <v>4.3137738000000002E-2</v>
      </c>
      <c r="E22" s="9">
        <f t="shared" si="45"/>
        <v>0.59974679739240722</v>
      </c>
      <c r="F22" s="13">
        <v>24</v>
      </c>
      <c r="G22" s="13">
        <v>0.15820000000000001</v>
      </c>
      <c r="H22" s="9">
        <f t="shared" si="46"/>
        <v>7.1759519999999993E-2</v>
      </c>
      <c r="I22" s="9">
        <f t="shared" si="47"/>
        <v>0.35709082670122599</v>
      </c>
      <c r="J22" s="13">
        <v>16.2</v>
      </c>
      <c r="K22" s="13">
        <v>0.2041</v>
      </c>
      <c r="L22" s="9">
        <f t="shared" si="48"/>
        <v>6.2491337999999987E-2</v>
      </c>
      <c r="M22" s="9">
        <f t="shared" si="49"/>
        <v>0.43566663654257465</v>
      </c>
      <c r="N22" s="13">
        <v>17.100000000000001</v>
      </c>
      <c r="O22" s="13">
        <v>0.16390000000000002</v>
      </c>
      <c r="P22" s="9">
        <f t="shared" si="50"/>
        <v>5.2970841000000012E-2</v>
      </c>
      <c r="Q22" s="9">
        <f t="shared" si="51"/>
        <v>0.51638157738718993</v>
      </c>
      <c r="R22" s="13">
        <v>14.3</v>
      </c>
      <c r="S22" s="13">
        <v>0.15039999999999998</v>
      </c>
      <c r="T22" s="9">
        <f t="shared" si="52"/>
        <v>4.0648607999999996E-2</v>
      </c>
      <c r="U22" s="9">
        <f t="shared" si="53"/>
        <v>0.62084968526733197</v>
      </c>
      <c r="V22" s="13">
        <v>15.5</v>
      </c>
      <c r="W22" s="13">
        <v>0.16079999999999997</v>
      </c>
      <c r="X22" s="9">
        <f t="shared" si="54"/>
        <v>4.7106359999999986E-2</v>
      </c>
      <c r="Y22" s="9">
        <f t="shared" si="55"/>
        <v>0.56610075034626683</v>
      </c>
      <c r="Z22" s="13">
        <v>7.5</v>
      </c>
      <c r="AA22" s="13">
        <v>0.26629999999999998</v>
      </c>
      <c r="AB22" s="9">
        <f t="shared" si="56"/>
        <v>3.7748024999999991E-2</v>
      </c>
      <c r="AC22" s="9">
        <f t="shared" si="57"/>
        <v>0.64544087890563662</v>
      </c>
      <c r="AD22" s="13">
        <v>14</v>
      </c>
      <c r="AE22" s="13">
        <v>0.17079999999999998</v>
      </c>
      <c r="AF22" s="9">
        <f t="shared" si="58"/>
        <v>4.5193679999999993E-2</v>
      </c>
      <c r="AG22" s="9">
        <f t="shared" si="59"/>
        <v>0.58231648499275424</v>
      </c>
      <c r="AH22" s="13">
        <v>15</v>
      </c>
      <c r="AI22" s="387">
        <v>0.17100000000000001</v>
      </c>
      <c r="AJ22" s="9">
        <f t="shared" si="60"/>
        <v>4.8478500000000001E-2</v>
      </c>
      <c r="AK22" s="9">
        <f t="shared" si="61"/>
        <v>0.5544677233172649</v>
      </c>
      <c r="AL22" s="13">
        <v>6.1</v>
      </c>
      <c r="AM22" s="13">
        <v>0.26769999999999999</v>
      </c>
      <c r="AN22" s="9">
        <f t="shared" si="62"/>
        <v>3.0863132999999997E-2</v>
      </c>
      <c r="AO22" s="9">
        <f t="shared" si="63"/>
        <v>0.70381111425170784</v>
      </c>
      <c r="AP22" s="13">
        <v>15.3</v>
      </c>
      <c r="AQ22" s="13">
        <v>0.17019999999999999</v>
      </c>
      <c r="AR22" s="9">
        <f t="shared" si="64"/>
        <v>4.9216733999999998E-2</v>
      </c>
      <c r="AS22" s="9">
        <f t="shared" si="65"/>
        <v>0.54820896249422346</v>
      </c>
      <c r="AT22" s="1">
        <v>1985</v>
      </c>
      <c r="AU22" s="13">
        <v>14.7</v>
      </c>
      <c r="AV22" s="13">
        <v>0.2077</v>
      </c>
      <c r="AW22" s="13">
        <f t="shared" si="23"/>
        <v>5.7705290999999992E-2</v>
      </c>
      <c r="AX22" s="13">
        <f t="shared" si="66"/>
        <v>0.91054045766374803</v>
      </c>
      <c r="AY22" s="13">
        <v>12.5</v>
      </c>
      <c r="AZ22" s="13">
        <v>0.16020000000000001</v>
      </c>
      <c r="BA22" s="13">
        <f t="shared" si="25"/>
        <v>3.7847249999999999E-2</v>
      </c>
      <c r="BB22" s="13">
        <f t="shared" si="67"/>
        <v>0.91269135974064364</v>
      </c>
      <c r="BC22" s="13">
        <v>7.9</v>
      </c>
      <c r="BD22" s="13">
        <v>0.17430000000000001</v>
      </c>
      <c r="BE22" s="13">
        <f t="shared" si="27"/>
        <v>2.6024733000000005E-2</v>
      </c>
      <c r="BF22" s="13">
        <f t="shared" si="68"/>
        <v>0.91397190278965024</v>
      </c>
      <c r="BG22" s="13">
        <v>10.8</v>
      </c>
      <c r="BH22" s="13">
        <v>0.18440000000000001</v>
      </c>
      <c r="BI22" s="13">
        <f t="shared" si="29"/>
        <v>3.7639727999999997E-2</v>
      </c>
      <c r="BJ22" s="13">
        <f t="shared" si="69"/>
        <v>0.91271383725999222</v>
      </c>
      <c r="BK22" s="13">
        <v>9.1999999999999993</v>
      </c>
      <c r="BL22" s="13">
        <v>0.1303</v>
      </c>
      <c r="BM22" s="13">
        <f t="shared" si="31"/>
        <v>2.2656563999999994E-2</v>
      </c>
      <c r="BN22" s="13">
        <f t="shared" si="70"/>
        <v>0.91433672234548835</v>
      </c>
      <c r="BO22" s="13">
        <v>20.6</v>
      </c>
      <c r="BP22" s="13">
        <v>0.19570000000000001</v>
      </c>
      <c r="BQ22" s="13">
        <f t="shared" si="33"/>
        <v>7.6193838000000014E-2</v>
      </c>
      <c r="BR22" s="13">
        <f t="shared" si="71"/>
        <v>0.90853789083748926</v>
      </c>
      <c r="BS22" s="13">
        <v>11.9</v>
      </c>
      <c r="BT22" s="13">
        <v>0.2263</v>
      </c>
      <c r="BU22" s="13">
        <f t="shared" si="35"/>
        <v>5.0897133000000004E-2</v>
      </c>
      <c r="BV22" s="13">
        <f t="shared" si="72"/>
        <v>0.91127787588048115</v>
      </c>
      <c r="BW22" s="13">
        <v>16.600000000000001</v>
      </c>
      <c r="BX22" s="13">
        <v>0.18579999999999999</v>
      </c>
      <c r="BY22" s="13">
        <f t="shared" si="37"/>
        <v>5.8292891999999999E-2</v>
      </c>
      <c r="BZ22" s="13">
        <f t="shared" si="73"/>
        <v>0.91047681230158517</v>
      </c>
      <c r="CA22" s="13">
        <v>8.4</v>
      </c>
      <c r="CB22" s="13">
        <v>0.19409999999999999</v>
      </c>
      <c r="CC22" s="13">
        <f t="shared" si="39"/>
        <v>3.0815315999999999E-2</v>
      </c>
      <c r="CD22" s="13">
        <f t="shared" si="74"/>
        <v>0.9134530160110278</v>
      </c>
      <c r="CE22" s="13">
        <v>11.7</v>
      </c>
      <c r="CF22" s="13">
        <v>0.19440000000000002</v>
      </c>
      <c r="CG22" s="13">
        <f t="shared" si="41"/>
        <v>4.2987671999999998E-2</v>
      </c>
      <c r="CH22" s="13">
        <f t="shared" si="75"/>
        <v>0.91213458053186258</v>
      </c>
      <c r="CI22" s="13">
        <v>17.8</v>
      </c>
      <c r="CJ22" s="13">
        <v>0.2316</v>
      </c>
      <c r="CK22" s="13">
        <f t="shared" si="43"/>
        <v>7.791487200000001E-2</v>
      </c>
      <c r="CL22" s="13">
        <f t="shared" si="76"/>
        <v>0.90835147891473178</v>
      </c>
    </row>
    <row r="23" spans="1:90" ht="15" customHeight="1">
      <c r="A23" s="1">
        <v>1986</v>
      </c>
      <c r="B23" s="13">
        <v>11.1</v>
      </c>
      <c r="C23" s="13">
        <v>0.1804</v>
      </c>
      <c r="D23" s="9">
        <f t="shared" si="44"/>
        <v>3.7846115999999999E-2</v>
      </c>
      <c r="E23" s="9">
        <f t="shared" si="45"/>
        <v>0.64460926168414179</v>
      </c>
      <c r="F23" s="13">
        <v>22.1</v>
      </c>
      <c r="G23" s="13">
        <v>0.17960000000000001</v>
      </c>
      <c r="H23" s="9">
        <f t="shared" si="46"/>
        <v>7.5017124000000004E-2</v>
      </c>
      <c r="I23" s="9">
        <f t="shared" si="47"/>
        <v>0.3294728027519318</v>
      </c>
      <c r="J23" s="13">
        <v>20.8</v>
      </c>
      <c r="K23" s="13">
        <v>0.16500000000000001</v>
      </c>
      <c r="L23" s="9">
        <f t="shared" si="48"/>
        <v>6.48648E-2</v>
      </c>
      <c r="M23" s="9">
        <f t="shared" si="49"/>
        <v>0.41554438400397886</v>
      </c>
      <c r="N23" s="13">
        <v>17.399999999999999</v>
      </c>
      <c r="O23" s="13">
        <v>0.14800000000000002</v>
      </c>
      <c r="P23" s="9">
        <f t="shared" si="50"/>
        <v>4.8671279999999997E-2</v>
      </c>
      <c r="Q23" s="9">
        <f t="shared" si="51"/>
        <v>0.55283333109004984</v>
      </c>
      <c r="R23" s="13">
        <v>12.7</v>
      </c>
      <c r="S23" s="13">
        <v>0.19109999999999999</v>
      </c>
      <c r="T23" s="9">
        <f t="shared" si="52"/>
        <v>4.5869732999999996E-2</v>
      </c>
      <c r="U23" s="9">
        <f t="shared" si="53"/>
        <v>0.57658489578025562</v>
      </c>
      <c r="V23" s="13">
        <v>15</v>
      </c>
      <c r="W23" s="13">
        <v>0.17510000000000001</v>
      </c>
      <c r="X23" s="9">
        <f t="shared" si="54"/>
        <v>4.964085E-2</v>
      </c>
      <c r="Y23" s="9">
        <f t="shared" si="55"/>
        <v>0.54461329959435023</v>
      </c>
      <c r="Z23" s="13">
        <v>6.8</v>
      </c>
      <c r="AA23" s="13">
        <v>0.20069999999999999</v>
      </c>
      <c r="AB23" s="9">
        <f t="shared" si="56"/>
        <v>2.5793963999999999E-2</v>
      </c>
      <c r="AC23" s="9">
        <f t="shared" si="57"/>
        <v>0.74678761810086181</v>
      </c>
      <c r="AD23" s="13">
        <v>12.3</v>
      </c>
      <c r="AE23" s="13">
        <v>0.21840000000000001</v>
      </c>
      <c r="AF23" s="9">
        <f t="shared" si="58"/>
        <v>5.0771448000000004E-2</v>
      </c>
      <c r="AG23" s="9">
        <f t="shared" si="59"/>
        <v>0.53502806988532969</v>
      </c>
      <c r="AH23" s="13">
        <v>17.5</v>
      </c>
      <c r="AI23" s="387">
        <v>0.18870000000000001</v>
      </c>
      <c r="AJ23" s="9">
        <f t="shared" si="60"/>
        <v>6.241252499999999E-2</v>
      </c>
      <c r="AK23" s="9">
        <f t="shared" si="61"/>
        <v>0.43633481454134787</v>
      </c>
      <c r="AL23" s="13">
        <v>7.9</v>
      </c>
      <c r="AM23" s="13">
        <v>0.23280000000000001</v>
      </c>
      <c r="AN23" s="9">
        <f t="shared" si="62"/>
        <v>3.4759367999999999E-2</v>
      </c>
      <c r="AO23" s="9">
        <f t="shared" si="63"/>
        <v>0.67077876546343351</v>
      </c>
      <c r="AP23" s="13">
        <v>10.8</v>
      </c>
      <c r="AQ23" s="13">
        <v>0.1305</v>
      </c>
      <c r="AR23" s="9">
        <f t="shared" si="64"/>
        <v>2.6637660000000004E-2</v>
      </c>
      <c r="AS23" s="9">
        <f t="shared" si="65"/>
        <v>0.73963474858881439</v>
      </c>
      <c r="AT23" s="1">
        <v>1986</v>
      </c>
      <c r="AU23" s="13">
        <v>13.5</v>
      </c>
      <c r="AV23" s="13">
        <v>0.18890000000000001</v>
      </c>
      <c r="AW23" s="13">
        <f t="shared" si="23"/>
        <v>4.8197835000000001E-2</v>
      </c>
      <c r="AX23" s="13">
        <f t="shared" si="66"/>
        <v>0.91157024740264492</v>
      </c>
      <c r="AY23" s="13">
        <v>11.6</v>
      </c>
      <c r="AZ23" s="13">
        <v>0.16899999999999998</v>
      </c>
      <c r="BA23" s="13">
        <f t="shared" si="25"/>
        <v>3.705155999999999E-2</v>
      </c>
      <c r="BB23" s="13">
        <f t="shared" si="67"/>
        <v>0.9127775440361422</v>
      </c>
      <c r="BC23" s="13">
        <v>8.5</v>
      </c>
      <c r="BD23" s="13">
        <v>0.18870000000000001</v>
      </c>
      <c r="BE23" s="13">
        <f t="shared" si="27"/>
        <v>3.0314654999999996E-2</v>
      </c>
      <c r="BF23" s="13">
        <f t="shared" si="68"/>
        <v>0.91350724456180588</v>
      </c>
      <c r="BG23" s="13">
        <v>9.1999999999999993</v>
      </c>
      <c r="BH23" s="13">
        <v>0.1411</v>
      </c>
      <c r="BI23" s="13">
        <f t="shared" si="29"/>
        <v>2.4534468E-2</v>
      </c>
      <c r="BJ23" s="13">
        <f t="shared" si="69"/>
        <v>0.91413331921958019</v>
      </c>
      <c r="BK23" s="13">
        <v>11</v>
      </c>
      <c r="BL23" s="13">
        <v>0.1416</v>
      </c>
      <c r="BM23" s="13">
        <f t="shared" si="31"/>
        <v>2.9438640000000002E-2</v>
      </c>
      <c r="BN23" s="13">
        <f t="shared" si="70"/>
        <v>0.91360212917217054</v>
      </c>
      <c r="BO23" s="13">
        <v>21.6</v>
      </c>
      <c r="BP23" s="13">
        <v>0.1857</v>
      </c>
      <c r="BQ23" s="13">
        <f t="shared" si="33"/>
        <v>7.5810167999999997E-2</v>
      </c>
      <c r="BR23" s="13">
        <f t="shared" si="71"/>
        <v>0.9085794476355562</v>
      </c>
      <c r="BS23" s="13">
        <v>9.3000000000000007</v>
      </c>
      <c r="BT23" s="13">
        <v>0.20739999999999997</v>
      </c>
      <c r="BU23" s="13">
        <f t="shared" si="35"/>
        <v>3.6454697999999994E-2</v>
      </c>
      <c r="BV23" s="13">
        <f t="shared" si="72"/>
        <v>0.91284219249343057</v>
      </c>
      <c r="BW23" s="13">
        <v>12.4</v>
      </c>
      <c r="BX23" s="13">
        <v>0.24530000000000002</v>
      </c>
      <c r="BY23" s="13">
        <f t="shared" si="37"/>
        <v>5.7488508000000001E-2</v>
      </c>
      <c r="BZ23" s="13">
        <f t="shared" si="73"/>
        <v>0.91056393827822213</v>
      </c>
      <c r="CA23" s="13">
        <v>10.6</v>
      </c>
      <c r="CB23" s="13">
        <v>0.19760000000000003</v>
      </c>
      <c r="CC23" s="13">
        <f t="shared" si="39"/>
        <v>3.9587184000000004E-2</v>
      </c>
      <c r="CD23" s="13">
        <f t="shared" si="74"/>
        <v>0.91250290068497641</v>
      </c>
      <c r="CE23" s="13">
        <v>11.7</v>
      </c>
      <c r="CF23" s="13">
        <v>0.1925</v>
      </c>
      <c r="CG23" s="13">
        <f t="shared" si="41"/>
        <v>4.2567525000000002E-2</v>
      </c>
      <c r="CH23" s="13">
        <f t="shared" si="75"/>
        <v>0.91218008829644526</v>
      </c>
      <c r="CI23" s="13">
        <v>15.6</v>
      </c>
      <c r="CJ23" s="13">
        <v>0.16309999999999999</v>
      </c>
      <c r="CK23" s="13">
        <f t="shared" si="43"/>
        <v>4.8088403999999994E-2</v>
      </c>
      <c r="CL23" s="13">
        <f t="shared" si="76"/>
        <v>0.91158210030219211</v>
      </c>
    </row>
    <row r="24" spans="1:90" ht="15" customHeight="1">
      <c r="A24" s="1">
        <v>1987</v>
      </c>
      <c r="B24" s="13">
        <v>10.3</v>
      </c>
      <c r="C24" s="13">
        <v>0.17960000000000001</v>
      </c>
      <c r="D24" s="9">
        <f t="shared" si="44"/>
        <v>3.4962732000000003E-2</v>
      </c>
      <c r="E24" s="9">
        <f t="shared" si="45"/>
        <v>0.66905464189825359</v>
      </c>
      <c r="F24" s="13">
        <v>19.399999999999999</v>
      </c>
      <c r="G24" s="13">
        <v>0.156</v>
      </c>
      <c r="H24" s="9">
        <f t="shared" si="46"/>
        <v>5.7198959999999993E-2</v>
      </c>
      <c r="I24" s="9">
        <f t="shared" si="47"/>
        <v>0.48053551021559232</v>
      </c>
      <c r="J24" s="13">
        <v>14.2</v>
      </c>
      <c r="K24" s="13">
        <v>0.126</v>
      </c>
      <c r="L24" s="9">
        <f t="shared" si="48"/>
        <v>3.3815879999999993E-2</v>
      </c>
      <c r="M24" s="9">
        <f t="shared" si="49"/>
        <v>0.67877767330486283</v>
      </c>
      <c r="N24" s="13">
        <v>12.6</v>
      </c>
      <c r="O24" s="13">
        <v>0.12820000000000001</v>
      </c>
      <c r="P24" s="9">
        <f t="shared" si="50"/>
        <v>3.0529547999999997E-2</v>
      </c>
      <c r="Q24" s="9">
        <f t="shared" si="51"/>
        <v>0.70663925374291847</v>
      </c>
      <c r="R24" s="13">
        <v>19.2</v>
      </c>
      <c r="S24" s="13">
        <v>0.13500000000000001</v>
      </c>
      <c r="T24" s="9">
        <f t="shared" si="52"/>
        <v>4.8988799999999999E-2</v>
      </c>
      <c r="U24" s="9">
        <f t="shared" si="53"/>
        <v>0.55014139095110726</v>
      </c>
      <c r="V24" s="13">
        <v>14.7</v>
      </c>
      <c r="W24" s="13">
        <v>0.15310000000000001</v>
      </c>
      <c r="X24" s="9">
        <f t="shared" si="54"/>
        <v>4.2535773000000006E-2</v>
      </c>
      <c r="Y24" s="9">
        <f t="shared" si="55"/>
        <v>0.60485026723915258</v>
      </c>
      <c r="Z24" s="13">
        <v>5.6</v>
      </c>
      <c r="AA24" s="13">
        <v>0.24760000000000001</v>
      </c>
      <c r="AB24" s="9">
        <f t="shared" si="56"/>
        <v>2.6205983999999998E-2</v>
      </c>
      <c r="AC24" s="9">
        <f t="shared" si="57"/>
        <v>0.74329450530151964</v>
      </c>
      <c r="AD24" s="13">
        <v>12.4</v>
      </c>
      <c r="AE24" s="13">
        <v>0.13489999999999999</v>
      </c>
      <c r="AF24" s="9">
        <f t="shared" si="58"/>
        <v>3.1615163999999994E-2</v>
      </c>
      <c r="AG24" s="9">
        <f t="shared" si="59"/>
        <v>0.69743538222024803</v>
      </c>
      <c r="AH24" s="13">
        <v>12.7</v>
      </c>
      <c r="AI24" s="387">
        <v>0.15179999999999999</v>
      </c>
      <c r="AJ24" s="9">
        <f t="shared" si="60"/>
        <v>3.6436553999999989E-2</v>
      </c>
      <c r="AK24" s="9">
        <f t="shared" si="61"/>
        <v>0.65655955308666203</v>
      </c>
      <c r="AL24" s="13">
        <v>6.9</v>
      </c>
      <c r="AM24" s="13">
        <v>0.18899999999999997</v>
      </c>
      <c r="AN24" s="9">
        <f t="shared" si="62"/>
        <v>2.4647489999999998E-2</v>
      </c>
      <c r="AO24" s="9">
        <f t="shared" si="63"/>
        <v>0.75650744481682952</v>
      </c>
      <c r="AP24" s="13">
        <v>11.5</v>
      </c>
      <c r="AQ24" s="13">
        <v>0.2145</v>
      </c>
      <c r="AR24" s="9">
        <f t="shared" si="64"/>
        <v>4.6621574999999991E-2</v>
      </c>
      <c r="AS24" s="9">
        <f t="shared" si="65"/>
        <v>0.57021076609411658</v>
      </c>
      <c r="AT24" s="1">
        <v>1987</v>
      </c>
      <c r="AU24" s="13">
        <v>12.6</v>
      </c>
      <c r="AV24" s="13">
        <v>0.19469999999999998</v>
      </c>
      <c r="AW24" s="13">
        <f t="shared" si="23"/>
        <v>4.6365857999999982E-2</v>
      </c>
      <c r="AX24" s="13">
        <f t="shared" si="66"/>
        <v>0.91176867599558242</v>
      </c>
      <c r="AY24" s="13">
        <v>9.8000000000000007</v>
      </c>
      <c r="AZ24" s="13">
        <v>0.18780000000000002</v>
      </c>
      <c r="BA24" s="13">
        <f t="shared" si="25"/>
        <v>3.4784316000000003E-2</v>
      </c>
      <c r="BB24" s="13">
        <f t="shared" si="67"/>
        <v>0.91302311809999015</v>
      </c>
      <c r="BC24" s="13">
        <v>4.0999999999999996</v>
      </c>
      <c r="BD24" s="13">
        <v>0.11990000000000001</v>
      </c>
      <c r="BE24" s="13">
        <f t="shared" si="27"/>
        <v>9.2910509999999998E-3</v>
      </c>
      <c r="BF24" s="13">
        <f t="shared" si="68"/>
        <v>0.91578439332524297</v>
      </c>
      <c r="BG24" s="13">
        <v>6.6</v>
      </c>
      <c r="BH24" s="13">
        <v>0.13369999999999999</v>
      </c>
      <c r="BI24" s="13">
        <f t="shared" si="29"/>
        <v>1.6677737999999998E-2</v>
      </c>
      <c r="BJ24" s="13">
        <f t="shared" si="69"/>
        <v>0.91498431237014377</v>
      </c>
      <c r="BK24" s="13">
        <v>10.8</v>
      </c>
      <c r="BL24" s="13">
        <v>0.12710000000000002</v>
      </c>
      <c r="BM24" s="13">
        <f t="shared" si="31"/>
        <v>2.5943652000000008E-2</v>
      </c>
      <c r="BN24" s="13">
        <f t="shared" si="70"/>
        <v>0.91398068498983276</v>
      </c>
      <c r="BO24" s="13">
        <v>20</v>
      </c>
      <c r="BP24" s="13">
        <v>0.1832</v>
      </c>
      <c r="BQ24" s="13">
        <f t="shared" si="33"/>
        <v>6.9249599999999994E-2</v>
      </c>
      <c r="BR24" s="13">
        <f t="shared" si="71"/>
        <v>0.90929004841117234</v>
      </c>
      <c r="BS24" s="13">
        <v>9.5</v>
      </c>
      <c r="BT24" s="13">
        <v>0.21010000000000001</v>
      </c>
      <c r="BU24" s="13">
        <f t="shared" si="35"/>
        <v>3.7723455000000003E-2</v>
      </c>
      <c r="BV24" s="13">
        <f t="shared" si="72"/>
        <v>0.9127047684612023</v>
      </c>
      <c r="BW24" s="13">
        <v>12.3</v>
      </c>
      <c r="BX24" s="13">
        <v>0.1968</v>
      </c>
      <c r="BY24" s="13">
        <f t="shared" si="37"/>
        <v>4.5750096000000004E-2</v>
      </c>
      <c r="BZ24" s="13">
        <f t="shared" si="73"/>
        <v>0.91183537158578043</v>
      </c>
      <c r="CA24" s="13">
        <v>7</v>
      </c>
      <c r="CB24" s="13">
        <v>0.17829999999999999</v>
      </c>
      <c r="CC24" s="13">
        <f t="shared" si="39"/>
        <v>2.3589089999999997E-2</v>
      </c>
      <c r="CD24" s="13">
        <f t="shared" si="74"/>
        <v>0.91423571680772364</v>
      </c>
      <c r="CE24" s="13">
        <v>10.199999999999999</v>
      </c>
      <c r="CF24" s="13">
        <v>0.18260000000000001</v>
      </c>
      <c r="CG24" s="13">
        <f t="shared" si="41"/>
        <v>3.5201627999999992E-2</v>
      </c>
      <c r="CH24" s="13">
        <f t="shared" si="75"/>
        <v>0.91297791740534395</v>
      </c>
      <c r="CI24" s="13">
        <v>14.3</v>
      </c>
      <c r="CJ24" s="13">
        <v>0.22309999999999999</v>
      </c>
      <c r="CK24" s="13">
        <f t="shared" si="43"/>
        <v>6.029723699999999E-2</v>
      </c>
      <c r="CL24" s="13">
        <f t="shared" si="76"/>
        <v>0.91025971385651128</v>
      </c>
    </row>
    <row r="25" spans="1:90" ht="15" customHeight="1">
      <c r="A25" s="1">
        <v>1988</v>
      </c>
      <c r="B25" s="13">
        <v>13.1</v>
      </c>
      <c r="C25" s="13">
        <v>0.16370000000000001</v>
      </c>
      <c r="D25" s="9">
        <f t="shared" si="44"/>
        <v>4.0530482999999999E-2</v>
      </c>
      <c r="E25" s="9">
        <f t="shared" si="45"/>
        <v>0.6218511510928314</v>
      </c>
      <c r="F25" s="13">
        <v>21.6</v>
      </c>
      <c r="G25" s="13">
        <v>0.16399999999999998</v>
      </c>
      <c r="H25" s="9">
        <f t="shared" si="46"/>
        <v>6.6951359999999988E-2</v>
      </c>
      <c r="I25" s="9">
        <f t="shared" si="47"/>
        <v>0.39785449166235637</v>
      </c>
      <c r="J25" s="13">
        <v>19.2</v>
      </c>
      <c r="K25" s="13">
        <v>0.1492</v>
      </c>
      <c r="L25" s="9">
        <f t="shared" si="48"/>
        <v>5.4141696000000003E-2</v>
      </c>
      <c r="M25" s="9">
        <f t="shared" si="49"/>
        <v>0.50645504812483932</v>
      </c>
      <c r="N25" s="13">
        <v>19.100000000000001</v>
      </c>
      <c r="O25" s="13">
        <v>0.16170000000000001</v>
      </c>
      <c r="P25" s="9">
        <f t="shared" si="50"/>
        <v>5.8372083000000005E-2</v>
      </c>
      <c r="Q25" s="9">
        <f t="shared" si="51"/>
        <v>0.47058975280939191</v>
      </c>
      <c r="R25" s="13">
        <v>16.8</v>
      </c>
      <c r="S25" s="13">
        <v>0.16579999999999998</v>
      </c>
      <c r="T25" s="9">
        <f t="shared" si="52"/>
        <v>5.264481599999999E-2</v>
      </c>
      <c r="U25" s="9">
        <f t="shared" si="53"/>
        <v>0.51914562306556866</v>
      </c>
      <c r="V25" s="13">
        <v>18.3</v>
      </c>
      <c r="W25" s="13">
        <v>0.15279999999999999</v>
      </c>
      <c r="X25" s="9">
        <f t="shared" si="54"/>
        <v>5.2848935999999999E-2</v>
      </c>
      <c r="Y25" s="9">
        <f t="shared" si="55"/>
        <v>0.51741509011910547</v>
      </c>
      <c r="Z25" s="13">
        <v>9</v>
      </c>
      <c r="AA25" s="13">
        <v>0.2016</v>
      </c>
      <c r="AB25" s="9">
        <f t="shared" si="56"/>
        <v>3.4292160000000002E-2</v>
      </c>
      <c r="AC25" s="9">
        <f t="shared" si="57"/>
        <v>0.6747397630964489</v>
      </c>
      <c r="AD25" s="13">
        <v>9.1</v>
      </c>
      <c r="AE25" s="13">
        <v>0.18920000000000001</v>
      </c>
      <c r="AF25" s="9">
        <f t="shared" si="58"/>
        <v>3.2540507999999996E-2</v>
      </c>
      <c r="AG25" s="9">
        <f t="shared" si="59"/>
        <v>0.68959029952961548</v>
      </c>
      <c r="AH25" s="13">
        <v>16.3</v>
      </c>
      <c r="AI25" s="387">
        <v>0.1479</v>
      </c>
      <c r="AJ25" s="9">
        <f t="shared" si="60"/>
        <v>4.5563553E-2</v>
      </c>
      <c r="AK25" s="9">
        <f t="shared" si="61"/>
        <v>0.57918069519995019</v>
      </c>
      <c r="AL25" s="13">
        <v>13</v>
      </c>
      <c r="AM25" s="13">
        <v>0.15890000000000001</v>
      </c>
      <c r="AN25" s="9">
        <f t="shared" si="62"/>
        <v>3.9041730000000004E-2</v>
      </c>
      <c r="AO25" s="9">
        <f t="shared" si="63"/>
        <v>0.63447282518476644</v>
      </c>
      <c r="AP25" s="13">
        <v>11.5</v>
      </c>
      <c r="AQ25" s="13">
        <v>0.1164</v>
      </c>
      <c r="AR25" s="9">
        <f t="shared" si="64"/>
        <v>2.5299539999999999E-2</v>
      </c>
      <c r="AS25" s="9">
        <f t="shared" si="65"/>
        <v>0.75097935346007239</v>
      </c>
      <c r="AT25" s="1">
        <v>1988</v>
      </c>
      <c r="AU25" s="13">
        <v>13</v>
      </c>
      <c r="AV25" s="13">
        <v>0.18559999999999999</v>
      </c>
      <c r="AW25" s="13">
        <f t="shared" si="23"/>
        <v>4.560191999999999E-2</v>
      </c>
      <c r="AX25" s="13">
        <f t="shared" si="66"/>
        <v>0.91185142110779271</v>
      </c>
      <c r="AY25" s="13">
        <v>9.3000000000000007</v>
      </c>
      <c r="AZ25" s="13">
        <v>0.1777</v>
      </c>
      <c r="BA25" s="13">
        <f t="shared" si="25"/>
        <v>3.1234329000000002E-2</v>
      </c>
      <c r="BB25" s="13">
        <f t="shared" si="67"/>
        <v>0.91340763107441969</v>
      </c>
      <c r="BC25" s="13">
        <v>6</v>
      </c>
      <c r="BD25" s="13">
        <v>0.12609999999999999</v>
      </c>
      <c r="BE25" s="13">
        <f t="shared" si="27"/>
        <v>1.4299739999999998E-2</v>
      </c>
      <c r="BF25" s="13">
        <f t="shared" si="68"/>
        <v>0.91524188263284256</v>
      </c>
      <c r="BG25" s="13">
        <v>9.9</v>
      </c>
      <c r="BH25" s="13">
        <v>0.1459</v>
      </c>
      <c r="BI25" s="13">
        <f t="shared" si="29"/>
        <v>2.7299348999999997E-2</v>
      </c>
      <c r="BJ25" s="13">
        <f t="shared" si="69"/>
        <v>0.91383384414621982</v>
      </c>
      <c r="BK25" s="13">
        <v>10.4</v>
      </c>
      <c r="BL25" s="13">
        <v>0.15079999999999999</v>
      </c>
      <c r="BM25" s="13">
        <f t="shared" si="31"/>
        <v>2.9641247999999995E-2</v>
      </c>
      <c r="BN25" s="13">
        <f t="shared" si="70"/>
        <v>0.91358018390737838</v>
      </c>
      <c r="BO25" s="13">
        <v>20.100000000000001</v>
      </c>
      <c r="BP25" s="13">
        <v>0.17579999999999998</v>
      </c>
      <c r="BQ25" s="13">
        <f t="shared" si="33"/>
        <v>6.6784661999999995E-2</v>
      </c>
      <c r="BR25" s="13">
        <f t="shared" si="71"/>
        <v>0.90955703548525579</v>
      </c>
      <c r="BS25" s="13">
        <v>9.8000000000000007</v>
      </c>
      <c r="BT25" s="13">
        <v>0.22089999999999999</v>
      </c>
      <c r="BU25" s="13">
        <f t="shared" si="35"/>
        <v>4.0915098000000004E-2</v>
      </c>
      <c r="BV25" s="13">
        <f t="shared" si="72"/>
        <v>0.91235906912674081</v>
      </c>
      <c r="BW25" s="13">
        <v>11.6</v>
      </c>
      <c r="BX25" s="13">
        <v>0.16489999999999999</v>
      </c>
      <c r="BY25" s="13">
        <f t="shared" si="37"/>
        <v>3.6152676000000002E-2</v>
      </c>
      <c r="BZ25" s="13">
        <f t="shared" si="73"/>
        <v>0.91287490567732765</v>
      </c>
      <c r="CA25" s="13">
        <v>7</v>
      </c>
      <c r="CB25" s="13">
        <v>0.17269999999999999</v>
      </c>
      <c r="CC25" s="13">
        <f t="shared" si="39"/>
        <v>2.2848209999999997E-2</v>
      </c>
      <c r="CD25" s="13">
        <f t="shared" si="74"/>
        <v>0.91431596441778396</v>
      </c>
      <c r="CE25" s="13">
        <v>12.2</v>
      </c>
      <c r="CF25" s="13">
        <v>0.18579999999999999</v>
      </c>
      <c r="CG25" s="13">
        <f t="shared" si="41"/>
        <v>4.2841763999999991E-2</v>
      </c>
      <c r="CH25" s="13">
        <f t="shared" si="75"/>
        <v>0.91215038439792562</v>
      </c>
      <c r="CI25" s="13">
        <v>14.1</v>
      </c>
      <c r="CJ25" s="13">
        <v>0.16510000000000002</v>
      </c>
      <c r="CK25" s="13">
        <f t="shared" si="43"/>
        <v>4.3997498999999995E-2</v>
      </c>
      <c r="CL25" s="13">
        <f t="shared" si="76"/>
        <v>0.91202520222049732</v>
      </c>
    </row>
    <row r="26" spans="1:90" ht="15" customHeight="1">
      <c r="A26" s="1">
        <v>1989</v>
      </c>
      <c r="B26" s="13">
        <v>10.7</v>
      </c>
      <c r="C26" s="13">
        <v>0.15010000000000001</v>
      </c>
      <c r="D26" s="9">
        <f t="shared" si="44"/>
        <v>3.0354723E-2</v>
      </c>
      <c r="E26" s="9">
        <f t="shared" si="45"/>
        <v>0.70812142316465765</v>
      </c>
      <c r="F26" s="13">
        <v>21.9</v>
      </c>
      <c r="G26" s="13">
        <v>0.12869999999999998</v>
      </c>
      <c r="H26" s="9">
        <f t="shared" si="46"/>
        <v>5.3270216999999988E-2</v>
      </c>
      <c r="I26" s="9">
        <f t="shared" si="47"/>
        <v>0.51384346239904422</v>
      </c>
      <c r="J26" s="13">
        <v>19.899999999999999</v>
      </c>
      <c r="K26" s="13">
        <v>0.1278</v>
      </c>
      <c r="L26" s="9">
        <f t="shared" si="48"/>
        <v>4.8066857999999997E-2</v>
      </c>
      <c r="M26" s="9">
        <f t="shared" si="49"/>
        <v>0.55795763142596555</v>
      </c>
      <c r="N26" s="13">
        <v>17.899999999999999</v>
      </c>
      <c r="O26" s="13">
        <v>0.13769999999999999</v>
      </c>
      <c r="P26" s="9">
        <f t="shared" si="50"/>
        <v>4.6585286999999996E-2</v>
      </c>
      <c r="Q26" s="9">
        <f t="shared" si="51"/>
        <v>0.57051841639570999</v>
      </c>
      <c r="R26" s="13">
        <v>14.5</v>
      </c>
      <c r="S26" s="13">
        <v>0.11509999999999999</v>
      </c>
      <c r="T26" s="9">
        <f t="shared" si="52"/>
        <v>3.1543154999999996E-2</v>
      </c>
      <c r="U26" s="9">
        <f t="shared" si="53"/>
        <v>0.69804587578747268</v>
      </c>
      <c r="V26" s="13">
        <v>17.100000000000001</v>
      </c>
      <c r="W26" s="13">
        <v>0.15190000000000001</v>
      </c>
      <c r="X26" s="9">
        <f t="shared" si="54"/>
        <v>4.9092561000000007E-2</v>
      </c>
      <c r="Y26" s="9">
        <f t="shared" si="55"/>
        <v>0.54926170336998847</v>
      </c>
      <c r="Z26" s="13">
        <v>5.0999999999999996</v>
      </c>
      <c r="AA26" s="13">
        <v>0.19260000000000002</v>
      </c>
      <c r="AB26" s="9">
        <f t="shared" si="56"/>
        <v>1.8564714E-2</v>
      </c>
      <c r="AC26" s="9">
        <f t="shared" si="57"/>
        <v>0.80807732662142928</v>
      </c>
      <c r="AD26" s="13">
        <v>10.4</v>
      </c>
      <c r="AE26" s="13">
        <v>0.15079999999999999</v>
      </c>
      <c r="AF26" s="9">
        <f t="shared" si="58"/>
        <v>2.9641247999999995E-2</v>
      </c>
      <c r="AG26" s="9">
        <f t="shared" si="59"/>
        <v>0.71417027675067446</v>
      </c>
      <c r="AH26" s="13">
        <v>12.4</v>
      </c>
      <c r="AI26" s="387">
        <v>0.11310000000000001</v>
      </c>
      <c r="AJ26" s="9">
        <f t="shared" si="60"/>
        <v>2.6506116E-2</v>
      </c>
      <c r="AK26" s="9">
        <f t="shared" si="61"/>
        <v>0.74074998093209066</v>
      </c>
      <c r="AL26" s="13">
        <v>11</v>
      </c>
      <c r="AM26" s="13">
        <v>0.1051</v>
      </c>
      <c r="AN26" s="9">
        <f t="shared" si="62"/>
        <v>2.1850289999999994E-2</v>
      </c>
      <c r="AO26" s="9">
        <f t="shared" si="63"/>
        <v>0.78022215556465691</v>
      </c>
      <c r="AP26" s="13">
        <v>9.6999999999999993</v>
      </c>
      <c r="AQ26" s="13">
        <v>0.15029999999999999</v>
      </c>
      <c r="AR26" s="9">
        <f t="shared" si="64"/>
        <v>2.7554498999999993E-2</v>
      </c>
      <c r="AS26" s="9">
        <f t="shared" si="65"/>
        <v>0.73186177143761777</v>
      </c>
      <c r="AT26" s="1">
        <v>1989</v>
      </c>
      <c r="AU26" s="13">
        <v>11.3</v>
      </c>
      <c r="AV26" s="13">
        <v>0.17329999999999998</v>
      </c>
      <c r="AW26" s="13">
        <f t="shared" si="23"/>
        <v>3.7011680999999998E-2</v>
      </c>
      <c r="AX26" s="13">
        <f t="shared" si="66"/>
        <v>0.91278186348658175</v>
      </c>
      <c r="AY26" s="13">
        <v>6.8</v>
      </c>
      <c r="AZ26" s="13">
        <v>0.13589999999999999</v>
      </c>
      <c r="BA26" s="13">
        <f t="shared" si="25"/>
        <v>1.7465867999999999E-2</v>
      </c>
      <c r="BB26" s="13">
        <f t="shared" si="67"/>
        <v>0.91489894692780915</v>
      </c>
      <c r="BC26" s="13">
        <v>6.7</v>
      </c>
      <c r="BD26" s="122">
        <f>((BD25+BD27)/2)</f>
        <v>0.15039999999999998</v>
      </c>
      <c r="BE26" s="13">
        <f t="shared" si="27"/>
        <v>1.9045151999999996E-2</v>
      </c>
      <c r="BF26" s="13">
        <f t="shared" si="68"/>
        <v>0.91472788850187436</v>
      </c>
      <c r="BG26" s="13">
        <v>7.7</v>
      </c>
      <c r="BH26" s="13">
        <v>0.1125</v>
      </c>
      <c r="BI26" s="13">
        <f t="shared" si="29"/>
        <v>1.6372124999999998E-2</v>
      </c>
      <c r="BJ26" s="13">
        <f t="shared" si="69"/>
        <v>0.91501741450929364</v>
      </c>
      <c r="BK26" s="13">
        <v>6.6</v>
      </c>
      <c r="BL26" s="13">
        <v>8.0799999999999997E-2</v>
      </c>
      <c r="BM26" s="13">
        <f t="shared" si="31"/>
        <v>1.0078991999999998E-2</v>
      </c>
      <c r="BN26" s="13">
        <f t="shared" si="70"/>
        <v>0.91569904835423743</v>
      </c>
      <c r="BO26" s="13">
        <v>21.9</v>
      </c>
      <c r="BP26" s="13">
        <v>0.17610000000000001</v>
      </c>
      <c r="BQ26" s="13">
        <f t="shared" si="33"/>
        <v>7.2889550999999997E-2</v>
      </c>
      <c r="BR26" s="13">
        <f t="shared" si="71"/>
        <v>0.90889579108409269</v>
      </c>
      <c r="BS26" s="13">
        <v>7.2</v>
      </c>
      <c r="BT26" s="13">
        <v>0.18770000000000001</v>
      </c>
      <c r="BU26" s="13">
        <f t="shared" si="35"/>
        <v>2.5542215999999996E-2</v>
      </c>
      <c r="BV26" s="13">
        <f t="shared" si="72"/>
        <v>0.91402416609283488</v>
      </c>
      <c r="BW26" s="13">
        <v>8.4</v>
      </c>
      <c r="BX26" s="13">
        <v>0.19789999999999999</v>
      </c>
      <c r="BY26" s="13">
        <f t="shared" si="37"/>
        <v>3.1418604000000003E-2</v>
      </c>
      <c r="BZ26" s="13">
        <f t="shared" si="73"/>
        <v>0.91338767152854994</v>
      </c>
      <c r="CA26" s="13">
        <v>4.9000000000000004</v>
      </c>
      <c r="CB26" s="13">
        <v>0.10630000000000001</v>
      </c>
      <c r="CC26" s="13">
        <f t="shared" si="39"/>
        <v>9.8444429999999996E-3</v>
      </c>
      <c r="CD26" s="13">
        <f t="shared" si="74"/>
        <v>0.91572445327364682</v>
      </c>
      <c r="CE26" s="13">
        <v>11.3</v>
      </c>
      <c r="CF26" s="13">
        <v>0.14449999999999999</v>
      </c>
      <c r="CG26" s="13">
        <f t="shared" si="41"/>
        <v>3.0860864999999998E-2</v>
      </c>
      <c r="CH26" s="13">
        <f t="shared" si="75"/>
        <v>0.91344808242071551</v>
      </c>
      <c r="CI26" s="13">
        <v>9.5</v>
      </c>
      <c r="CJ26" s="13">
        <v>0.18710000000000002</v>
      </c>
      <c r="CK26" s="13">
        <f t="shared" si="43"/>
        <v>3.3593805000000004E-2</v>
      </c>
      <c r="CL26" s="13">
        <f t="shared" si="76"/>
        <v>0.91315206700197227</v>
      </c>
    </row>
    <row r="27" spans="1:90" ht="15" customHeight="1">
      <c r="A27" s="1">
        <v>1990</v>
      </c>
      <c r="B27" s="13">
        <v>7.5</v>
      </c>
      <c r="C27" s="13">
        <v>0.15570000000000001</v>
      </c>
      <c r="D27" s="9">
        <f t="shared" si="44"/>
        <v>2.2070474999999999E-2</v>
      </c>
      <c r="E27" s="9">
        <f t="shared" si="45"/>
        <v>0.77835542326592577</v>
      </c>
      <c r="F27" s="13">
        <v>13.8</v>
      </c>
      <c r="G27" s="13">
        <v>0.1333</v>
      </c>
      <c r="H27" s="9">
        <f t="shared" si="46"/>
        <v>3.4767306000000005E-2</v>
      </c>
      <c r="I27" s="9">
        <f t="shared" si="47"/>
        <v>0.67071146695995987</v>
      </c>
      <c r="J27" s="13">
        <v>16.5</v>
      </c>
      <c r="K27" s="13">
        <v>0.15359999999999999</v>
      </c>
      <c r="L27" s="9">
        <f t="shared" si="48"/>
        <v>4.7900159999999997E-2</v>
      </c>
      <c r="M27" s="9">
        <f t="shared" si="49"/>
        <v>0.55937089999891032</v>
      </c>
      <c r="N27" s="13">
        <v>11.4</v>
      </c>
      <c r="O27" s="13">
        <v>0.1074</v>
      </c>
      <c r="P27" s="9">
        <f t="shared" si="50"/>
        <v>2.3140403999999996E-2</v>
      </c>
      <c r="Q27" s="9">
        <f t="shared" si="51"/>
        <v>0.76928454640488186</v>
      </c>
      <c r="R27" s="13">
        <v>11.7</v>
      </c>
      <c r="S27" s="13">
        <v>0.1105</v>
      </c>
      <c r="T27" s="9">
        <f t="shared" si="52"/>
        <v>2.4434864999999997E-2</v>
      </c>
      <c r="U27" s="9">
        <f t="shared" si="53"/>
        <v>0.75831008330272853</v>
      </c>
      <c r="V27" s="13">
        <v>11.5</v>
      </c>
      <c r="W27" s="13">
        <v>0.13849999999999998</v>
      </c>
      <c r="X27" s="9">
        <f t="shared" si="54"/>
        <v>3.0102974999999994E-2</v>
      </c>
      <c r="Y27" s="9">
        <f t="shared" si="55"/>
        <v>0.71025574713196216</v>
      </c>
      <c r="Z27" s="13">
        <v>3.9</v>
      </c>
      <c r="AA27" s="13">
        <v>0.24030000000000001</v>
      </c>
      <c r="AB27" s="9">
        <f t="shared" si="56"/>
        <v>1.7712512999999999E-2</v>
      </c>
      <c r="AC27" s="9">
        <f t="shared" si="57"/>
        <v>0.81530230167291262</v>
      </c>
      <c r="AD27" s="13">
        <v>8</v>
      </c>
      <c r="AE27" s="13">
        <v>0.153</v>
      </c>
      <c r="AF27" s="9">
        <f t="shared" si="58"/>
        <v>2.3133599999999997E-2</v>
      </c>
      <c r="AG27" s="9">
        <f t="shared" si="59"/>
        <v>0.76934223083643061</v>
      </c>
      <c r="AH27" s="13">
        <v>5.9</v>
      </c>
      <c r="AI27" s="387">
        <v>0.20140000000000002</v>
      </c>
      <c r="AJ27" s="9">
        <f t="shared" si="60"/>
        <v>2.2458114000000005E-2</v>
      </c>
      <c r="AK27" s="9">
        <f t="shared" si="61"/>
        <v>0.77506901301296682</v>
      </c>
      <c r="AL27" s="13">
        <v>7.3</v>
      </c>
      <c r="AM27" s="13">
        <v>0.151</v>
      </c>
      <c r="AN27" s="9">
        <f t="shared" si="62"/>
        <v>2.0833469999999996E-2</v>
      </c>
      <c r="AO27" s="9">
        <f t="shared" si="63"/>
        <v>0.78884277339055631</v>
      </c>
      <c r="AP27" s="13">
        <v>8</v>
      </c>
      <c r="AQ27" s="13">
        <v>0.1142</v>
      </c>
      <c r="AR27" s="9">
        <f t="shared" si="64"/>
        <v>1.7267040000000001E-2</v>
      </c>
      <c r="AS27" s="9">
        <f t="shared" si="65"/>
        <v>0.81907902959403622</v>
      </c>
      <c r="AT27" s="1">
        <v>1990</v>
      </c>
      <c r="AU27" s="13">
        <v>10.8</v>
      </c>
      <c r="AV27" s="13">
        <v>0.1711</v>
      </c>
      <c r="AW27" s="13">
        <f t="shared" si="23"/>
        <v>3.4924932000000006E-2</v>
      </c>
      <c r="AX27" s="13">
        <f t="shared" si="66"/>
        <v>0.91300788743114203</v>
      </c>
      <c r="AY27" s="13">
        <v>6.3</v>
      </c>
      <c r="AZ27" s="13">
        <v>0.1321</v>
      </c>
      <c r="BA27" s="13">
        <f t="shared" si="25"/>
        <v>1.5729146999999999E-2</v>
      </c>
      <c r="BB27" s="13">
        <f t="shared" si="67"/>
        <v>0.91508705797088175</v>
      </c>
      <c r="BC27" s="13">
        <v>4.5999999999999996</v>
      </c>
      <c r="BD27" s="13">
        <v>0.17469999999999999</v>
      </c>
      <c r="BE27" s="13">
        <f t="shared" si="27"/>
        <v>1.5188417999999997E-2</v>
      </c>
      <c r="BF27" s="13">
        <f t="shared" si="68"/>
        <v>0.91514562644342845</v>
      </c>
      <c r="BG27" s="13">
        <v>4.2</v>
      </c>
      <c r="BH27" s="13">
        <v>0.14180000000000001</v>
      </c>
      <c r="BI27" s="13">
        <f t="shared" si="29"/>
        <v>1.1256084000000001E-2</v>
      </c>
      <c r="BJ27" s="13">
        <f t="shared" si="69"/>
        <v>0.91557155291662118</v>
      </c>
      <c r="BK27" s="13">
        <v>5.7</v>
      </c>
      <c r="BL27" s="13">
        <v>0.11689999999999999</v>
      </c>
      <c r="BM27" s="13">
        <f t="shared" si="31"/>
        <v>1.2593636999999998E-2</v>
      </c>
      <c r="BN27" s="13">
        <f t="shared" si="70"/>
        <v>0.91542667732060146</v>
      </c>
      <c r="BO27" s="13">
        <v>18.899999999999999</v>
      </c>
      <c r="BP27" s="13">
        <v>0.17420000000000002</v>
      </c>
      <c r="BQ27" s="13">
        <f t="shared" si="33"/>
        <v>6.2225981999999999E-2</v>
      </c>
      <c r="BR27" s="13">
        <f t="shared" si="71"/>
        <v>0.91005080394307614</v>
      </c>
      <c r="BS27" s="13">
        <v>8.4</v>
      </c>
      <c r="BT27" s="13">
        <v>0.17499999999999999</v>
      </c>
      <c r="BU27" s="13">
        <f t="shared" si="35"/>
        <v>2.7782999999999999E-2</v>
      </c>
      <c r="BV27" s="13">
        <f t="shared" si="72"/>
        <v>0.91378145801506061</v>
      </c>
      <c r="BW27" s="13">
        <v>11.5</v>
      </c>
      <c r="BX27" s="13">
        <v>0.15160000000000001</v>
      </c>
      <c r="BY27" s="13">
        <f t="shared" si="37"/>
        <v>3.2950260000000002E-2</v>
      </c>
      <c r="BZ27" s="13">
        <f t="shared" si="73"/>
        <v>0.91322177187754772</v>
      </c>
      <c r="CA27" s="13">
        <v>2.9</v>
      </c>
      <c r="CB27" s="13">
        <v>0.2213</v>
      </c>
      <c r="CC27" s="13">
        <f t="shared" si="39"/>
        <v>1.2129452999999998E-2</v>
      </c>
      <c r="CD27" s="13">
        <f t="shared" si="74"/>
        <v>0.9154769549048638</v>
      </c>
      <c r="CE27" s="13">
        <v>10.199999999999999</v>
      </c>
      <c r="CF27" s="13">
        <v>0.1797</v>
      </c>
      <c r="CG27" s="13">
        <f t="shared" si="41"/>
        <v>3.4642566E-2</v>
      </c>
      <c r="CH27" s="13">
        <f t="shared" si="75"/>
        <v>0.91303847159681284</v>
      </c>
      <c r="CI27" s="13">
        <v>9.1</v>
      </c>
      <c r="CJ27" s="13">
        <v>0.16149999999999998</v>
      </c>
      <c r="CK27" s="13">
        <f t="shared" si="43"/>
        <v>2.777638499999999E-2</v>
      </c>
      <c r="CL27" s="13">
        <f t="shared" si="76"/>
        <v>0.91378217451157895</v>
      </c>
    </row>
    <row r="28" spans="1:90" ht="15" customHeight="1">
      <c r="A28" s="1">
        <v>1991</v>
      </c>
      <c r="B28" s="13">
        <v>5.4</v>
      </c>
      <c r="C28" s="13">
        <v>0.13720000000000002</v>
      </c>
      <c r="D28" s="9">
        <f t="shared" si="44"/>
        <v>1.4002632000000001E-2</v>
      </c>
      <c r="E28" s="9">
        <f t="shared" si="45"/>
        <v>0.84675473797487899</v>
      </c>
      <c r="F28" s="13">
        <v>11.1</v>
      </c>
      <c r="G28" s="13">
        <v>0.13720000000000002</v>
      </c>
      <c r="H28" s="9">
        <f t="shared" si="46"/>
        <v>2.8783187999999998E-2</v>
      </c>
      <c r="I28" s="9">
        <f t="shared" si="47"/>
        <v>0.72144492450710251</v>
      </c>
      <c r="J28" s="13">
        <v>13.4</v>
      </c>
      <c r="K28" s="13">
        <v>0.1183</v>
      </c>
      <c r="L28" s="9">
        <f t="shared" si="48"/>
        <v>2.9960657999999998E-2</v>
      </c>
      <c r="M28" s="9">
        <f t="shared" si="49"/>
        <v>0.71146231315852382</v>
      </c>
      <c r="N28" s="13">
        <v>9.1999999999999993</v>
      </c>
      <c r="O28" s="13">
        <v>0.10349999999999999</v>
      </c>
      <c r="P28" s="9">
        <f t="shared" si="50"/>
        <v>1.7996579999999995E-2</v>
      </c>
      <c r="Q28" s="9">
        <f t="shared" si="51"/>
        <v>0.81289397665575147</v>
      </c>
      <c r="R28" s="13">
        <v>8.1</v>
      </c>
      <c r="S28" s="13">
        <v>9.9399999999999988E-2</v>
      </c>
      <c r="T28" s="9">
        <f t="shared" si="52"/>
        <v>1.5217145999999996E-2</v>
      </c>
      <c r="U28" s="9">
        <f t="shared" si="53"/>
        <v>0.83645806694342373</v>
      </c>
      <c r="V28" s="13">
        <v>7.5</v>
      </c>
      <c r="W28" s="13">
        <v>0.1027</v>
      </c>
      <c r="X28" s="9">
        <f t="shared" si="54"/>
        <v>1.4557724999999999E-2</v>
      </c>
      <c r="Y28" s="9">
        <f t="shared" si="55"/>
        <v>0.842048649767692</v>
      </c>
      <c r="Z28" s="13">
        <v>3.5</v>
      </c>
      <c r="AA28" s="13">
        <v>0.21719999999999998</v>
      </c>
      <c r="AB28" s="9">
        <f t="shared" si="56"/>
        <v>1.4367779999999997E-2</v>
      </c>
      <c r="AC28" s="9">
        <f t="shared" si="57"/>
        <v>0.84365900681509509</v>
      </c>
      <c r="AD28" s="13">
        <v>5.3</v>
      </c>
      <c r="AE28" s="13">
        <v>0.11539999999999999</v>
      </c>
      <c r="AF28" s="9">
        <f t="shared" si="58"/>
        <v>1.1559617999999999E-2</v>
      </c>
      <c r="AG28" s="9">
        <f t="shared" si="59"/>
        <v>0.86746665359152886</v>
      </c>
      <c r="AH28" s="13">
        <v>3.3</v>
      </c>
      <c r="AI28" s="387">
        <v>0.15990000000000001</v>
      </c>
      <c r="AJ28" s="9">
        <f t="shared" si="60"/>
        <v>9.9729629999999996E-3</v>
      </c>
      <c r="AK28" s="9">
        <f t="shared" si="61"/>
        <v>0.88091834255963763</v>
      </c>
      <c r="AL28" s="13">
        <v>4.5999999999999996</v>
      </c>
      <c r="AM28" s="13">
        <v>0.23149999999999998</v>
      </c>
      <c r="AN28" s="9">
        <f t="shared" si="62"/>
        <v>2.0126609999999993E-2</v>
      </c>
      <c r="AO28" s="9">
        <f t="shared" si="63"/>
        <v>0.79483554489034514</v>
      </c>
      <c r="AP28" s="13">
        <v>5.6</v>
      </c>
      <c r="AQ28" s="13">
        <v>6.8499999999999991E-2</v>
      </c>
      <c r="AR28" s="9">
        <f t="shared" si="64"/>
        <v>7.2500399999999984E-3</v>
      </c>
      <c r="AS28" s="9">
        <f t="shared" si="65"/>
        <v>0.90400333159639101</v>
      </c>
      <c r="AT28" s="1">
        <v>1991</v>
      </c>
      <c r="AU28" s="13">
        <v>11.1</v>
      </c>
      <c r="AV28" s="13">
        <v>0.1497</v>
      </c>
      <c r="AW28" s="13">
        <f t="shared" si="23"/>
        <v>3.1405562999999997E-2</v>
      </c>
      <c r="AX28" s="13">
        <f t="shared" si="66"/>
        <v>0.91338908405025776</v>
      </c>
      <c r="AY28" s="13">
        <v>5.3</v>
      </c>
      <c r="AZ28" s="13">
        <v>0.1394</v>
      </c>
      <c r="BA28" s="13">
        <f t="shared" si="25"/>
        <v>1.3963697999999998E-2</v>
      </c>
      <c r="BB28" s="13">
        <f t="shared" si="67"/>
        <v>0.91527828065597716</v>
      </c>
      <c r="BC28" s="13">
        <v>4</v>
      </c>
      <c r="BD28" s="122">
        <f>BD27</f>
        <v>0.17469999999999999</v>
      </c>
      <c r="BE28" s="13">
        <f t="shared" si="27"/>
        <v>1.3207319999999998E-2</v>
      </c>
      <c r="BF28" s="13">
        <f t="shared" si="68"/>
        <v>0.91536020691502351</v>
      </c>
      <c r="BG28" s="13">
        <v>7.2</v>
      </c>
      <c r="BH28" s="13">
        <v>9.0999999999999998E-2</v>
      </c>
      <c r="BI28" s="13">
        <f t="shared" si="29"/>
        <v>1.2383279999999998E-2</v>
      </c>
      <c r="BJ28" s="13">
        <f t="shared" si="69"/>
        <v>0.91544946190988641</v>
      </c>
      <c r="BK28" s="13">
        <v>5.4</v>
      </c>
      <c r="BL28" s="13">
        <v>7.9500000000000001E-2</v>
      </c>
      <c r="BM28" s="13">
        <f t="shared" si="31"/>
        <v>8.1137699999999993E-3</v>
      </c>
      <c r="BN28" s="13">
        <f t="shared" si="70"/>
        <v>0.91591190923418841</v>
      </c>
      <c r="BO28" s="13">
        <v>15.6</v>
      </c>
      <c r="BP28" s="13">
        <v>0.14230000000000001</v>
      </c>
      <c r="BQ28" s="13">
        <f t="shared" si="33"/>
        <v>4.1955732000000009E-2</v>
      </c>
      <c r="BR28" s="13">
        <f t="shared" si="71"/>
        <v>0.91224635398873244</v>
      </c>
      <c r="BS28" s="13">
        <v>10.199999999999999</v>
      </c>
      <c r="BT28" s="13">
        <v>0.16940000000000002</v>
      </c>
      <c r="BU28" s="13">
        <f t="shared" si="35"/>
        <v>3.2656932E-2</v>
      </c>
      <c r="BV28" s="13">
        <f t="shared" si="72"/>
        <v>0.91325354338030629</v>
      </c>
      <c r="BW28" s="13">
        <v>11.4</v>
      </c>
      <c r="BX28" s="13">
        <v>0.15010000000000001</v>
      </c>
      <c r="BY28" s="13">
        <f t="shared" si="37"/>
        <v>3.2340546000000005E-2</v>
      </c>
      <c r="BZ28" s="13">
        <f t="shared" si="73"/>
        <v>0.91328781238521473</v>
      </c>
      <c r="CA28" s="13">
        <v>3.7</v>
      </c>
      <c r="CB28" s="13">
        <v>7.5999999999999998E-2</v>
      </c>
      <c r="CC28" s="13">
        <f t="shared" si="39"/>
        <v>5.3146800000000004E-3</v>
      </c>
      <c r="CD28" s="13">
        <f t="shared" si="74"/>
        <v>0.91621508961811537</v>
      </c>
      <c r="CE28" s="13">
        <v>10.8</v>
      </c>
      <c r="CF28" s="13">
        <v>0.17469999999999999</v>
      </c>
      <c r="CG28" s="13">
        <f t="shared" si="41"/>
        <v>3.5659763999999997E-2</v>
      </c>
      <c r="CH28" s="13">
        <f t="shared" si="75"/>
        <v>0.91292829490361271</v>
      </c>
      <c r="CI28" s="13">
        <v>11.7</v>
      </c>
      <c r="CJ28" s="13">
        <v>0.13089999999999999</v>
      </c>
      <c r="CK28" s="13">
        <f t="shared" si="43"/>
        <v>2.8945916999999995E-2</v>
      </c>
      <c r="CL28" s="13">
        <f t="shared" si="76"/>
        <v>0.91365549792712653</v>
      </c>
    </row>
    <row r="29" spans="1:90" ht="15" customHeight="1">
      <c r="A29" s="1">
        <v>1992</v>
      </c>
      <c r="B29" s="13">
        <v>5.2</v>
      </c>
      <c r="C29" s="13">
        <v>0.1487</v>
      </c>
      <c r="D29" s="9">
        <f t="shared" si="44"/>
        <v>1.4614235999999999E-2</v>
      </c>
      <c r="E29" s="9">
        <f t="shared" si="45"/>
        <v>0.84156954851677301</v>
      </c>
      <c r="F29" s="13">
        <v>15.4</v>
      </c>
      <c r="G29" s="13">
        <v>0.12179999999999999</v>
      </c>
      <c r="H29" s="9">
        <f t="shared" si="46"/>
        <v>3.5451107999999995E-2</v>
      </c>
      <c r="I29" s="9">
        <f t="shared" si="47"/>
        <v>0.66491418158930859</v>
      </c>
      <c r="J29" s="13">
        <v>9.5</v>
      </c>
      <c r="K29" s="13">
        <v>0.16070000000000001</v>
      </c>
      <c r="L29" s="9">
        <f t="shared" si="48"/>
        <v>2.8853685E-2</v>
      </c>
      <c r="M29" s="9">
        <f t="shared" si="49"/>
        <v>0.7208472497024444</v>
      </c>
      <c r="N29" s="13">
        <v>9.6</v>
      </c>
      <c r="O29" s="13">
        <v>0.1137</v>
      </c>
      <c r="P29" s="9">
        <f t="shared" si="50"/>
        <v>2.0629727999999996E-2</v>
      </c>
      <c r="Q29" s="9">
        <f t="shared" si="51"/>
        <v>0.79057010164637775</v>
      </c>
      <c r="R29" s="13">
        <v>8.6999999999999993</v>
      </c>
      <c r="S29" s="13">
        <v>0.11169999999999999</v>
      </c>
      <c r="T29" s="9">
        <f t="shared" si="52"/>
        <v>1.8366830999999997E-2</v>
      </c>
      <c r="U29" s="9">
        <f t="shared" si="53"/>
        <v>0.8097549821723059</v>
      </c>
      <c r="V29" s="13">
        <v>7.5</v>
      </c>
      <c r="W29" s="13">
        <v>0.1283</v>
      </c>
      <c r="X29" s="9">
        <f t="shared" si="54"/>
        <v>1.8186524999999999E-2</v>
      </c>
      <c r="Y29" s="9">
        <f t="shared" si="55"/>
        <v>0.81128361960834838</v>
      </c>
      <c r="Z29" s="13">
        <v>2.2000000000000002</v>
      </c>
      <c r="AA29" s="13">
        <v>0.22839999999999999</v>
      </c>
      <c r="AB29" s="9">
        <f t="shared" si="56"/>
        <v>9.496872E-3</v>
      </c>
      <c r="AC29" s="9">
        <f t="shared" si="57"/>
        <v>0.88495465042273069</v>
      </c>
      <c r="AD29" s="13">
        <v>6.3</v>
      </c>
      <c r="AE29" s="13">
        <v>9.1700000000000004E-2</v>
      </c>
      <c r="AF29" s="9">
        <f t="shared" si="58"/>
        <v>1.0918719E-2</v>
      </c>
      <c r="AG29" s="9">
        <f t="shared" si="59"/>
        <v>0.87290020657435874</v>
      </c>
      <c r="AH29" s="13">
        <v>4.0999999999999996</v>
      </c>
      <c r="AI29" s="387">
        <v>0.1593</v>
      </c>
      <c r="AJ29" s="9">
        <f t="shared" si="60"/>
        <v>1.2344156999999996E-2</v>
      </c>
      <c r="AK29" s="9">
        <f t="shared" si="61"/>
        <v>0.86081531816489165</v>
      </c>
      <c r="AL29" s="13">
        <v>4.3</v>
      </c>
      <c r="AM29" s="13">
        <v>0.27899999999999997</v>
      </c>
      <c r="AN29" s="9">
        <f t="shared" si="62"/>
        <v>2.2674329999999993E-2</v>
      </c>
      <c r="AO29" s="9">
        <f t="shared" si="63"/>
        <v>0.77323592996597257</v>
      </c>
      <c r="AP29" s="13">
        <v>6.6</v>
      </c>
      <c r="AQ29" s="13">
        <v>0.11630000000000001</v>
      </c>
      <c r="AR29" s="9">
        <f t="shared" si="64"/>
        <v>1.4507262E-2</v>
      </c>
      <c r="AS29" s="9">
        <f t="shared" si="65"/>
        <v>0.84247647596834541</v>
      </c>
      <c r="AT29" s="1">
        <v>1992</v>
      </c>
      <c r="AU29" s="13">
        <v>9.8000000000000007</v>
      </c>
      <c r="AV29" s="13">
        <v>0.15740000000000001</v>
      </c>
      <c r="AW29" s="13">
        <f t="shared" si="23"/>
        <v>2.9153628000000004E-2</v>
      </c>
      <c r="AX29" s="13">
        <f t="shared" si="66"/>
        <v>0.91363299993644886</v>
      </c>
      <c r="AY29" s="13">
        <v>8.1999999999999993</v>
      </c>
      <c r="AZ29" s="13">
        <v>0.11130000000000001</v>
      </c>
      <c r="BA29" s="13">
        <f t="shared" si="25"/>
        <v>1.7249273999999998E-2</v>
      </c>
      <c r="BB29" s="13">
        <f t="shared" si="67"/>
        <v>0.9149224070709544</v>
      </c>
      <c r="BC29" s="13">
        <v>3.1</v>
      </c>
      <c r="BD29" s="122">
        <f t="shared" ref="BD29:BD46" si="77">BD28</f>
        <v>0.17469999999999999</v>
      </c>
      <c r="BE29" s="13">
        <f t="shared" si="27"/>
        <v>1.0235672999999999E-2</v>
      </c>
      <c r="BF29" s="13">
        <f t="shared" si="68"/>
        <v>0.91568207762241594</v>
      </c>
      <c r="BG29" s="13">
        <v>7.1</v>
      </c>
      <c r="BH29" s="13">
        <v>0.12909999999999999</v>
      </c>
      <c r="BI29" s="13">
        <f t="shared" si="29"/>
        <v>1.7323928999999998E-2</v>
      </c>
      <c r="BJ29" s="13">
        <f t="shared" si="69"/>
        <v>0.91491432089596103</v>
      </c>
      <c r="BK29" s="13">
        <v>4.7</v>
      </c>
      <c r="BL29" s="13">
        <v>0.13780000000000001</v>
      </c>
      <c r="BM29" s="13">
        <f t="shared" si="31"/>
        <v>1.2240773999999999E-2</v>
      </c>
      <c r="BN29" s="13">
        <f t="shared" si="70"/>
        <v>0.91546489729202563</v>
      </c>
      <c r="BO29" s="13">
        <v>15.3</v>
      </c>
      <c r="BP29" s="13">
        <v>0.15659999999999999</v>
      </c>
      <c r="BQ29" s="13">
        <f t="shared" si="33"/>
        <v>4.5284021999999993E-2</v>
      </c>
      <c r="BR29" s="13">
        <f t="shared" si="71"/>
        <v>0.91188585388333376</v>
      </c>
      <c r="BS29" s="13">
        <v>7.7</v>
      </c>
      <c r="BT29" s="13">
        <v>0.1477</v>
      </c>
      <c r="BU29" s="13">
        <f t="shared" si="35"/>
        <v>2.1494780999999994E-2</v>
      </c>
      <c r="BV29" s="13">
        <f t="shared" si="72"/>
        <v>0.91446255960544787</v>
      </c>
      <c r="BW29" s="13">
        <v>10.6</v>
      </c>
      <c r="BX29" s="13">
        <v>0.1537</v>
      </c>
      <c r="BY29" s="13">
        <f t="shared" si="37"/>
        <v>3.0792257999999999E-2</v>
      </c>
      <c r="BZ29" s="13">
        <f t="shared" si="73"/>
        <v>0.91345551351317766</v>
      </c>
      <c r="CA29" s="13">
        <v>2.8</v>
      </c>
      <c r="CB29" s="13">
        <v>0.14319999999999999</v>
      </c>
      <c r="CC29" s="13">
        <f t="shared" si="39"/>
        <v>7.5781439999999985E-3</v>
      </c>
      <c r="CD29" s="13">
        <f t="shared" si="74"/>
        <v>0.91596992498084928</v>
      </c>
      <c r="CE29" s="13">
        <v>12</v>
      </c>
      <c r="CF29" s="13">
        <v>0.1918</v>
      </c>
      <c r="CG29" s="13">
        <f t="shared" si="41"/>
        <v>4.3500240000000003E-2</v>
      </c>
      <c r="CH29" s="13">
        <f t="shared" si="75"/>
        <v>0.91207906228735158</v>
      </c>
      <c r="CI29" s="13">
        <v>9.1999999999999993</v>
      </c>
      <c r="CJ29" s="13">
        <v>0.1741</v>
      </c>
      <c r="CK29" s="13">
        <f t="shared" si="43"/>
        <v>3.0272507999999997E-2</v>
      </c>
      <c r="CL29" s="13">
        <f t="shared" si="76"/>
        <v>0.91351180966819445</v>
      </c>
    </row>
    <row r="30" spans="1:90" ht="15" customHeight="1">
      <c r="A30" s="1">
        <v>1993</v>
      </c>
      <c r="B30" s="13">
        <v>5.5</v>
      </c>
      <c r="C30" s="13">
        <v>0.17480000000000001</v>
      </c>
      <c r="D30" s="9">
        <f t="shared" si="44"/>
        <v>1.8170459999999999E-2</v>
      </c>
      <c r="E30" s="9">
        <f t="shared" si="45"/>
        <v>0.81141981896061621</v>
      </c>
      <c r="F30" s="13">
        <v>8.5</v>
      </c>
      <c r="G30" s="13">
        <v>0.17329999999999998</v>
      </c>
      <c r="H30" s="9">
        <f t="shared" si="46"/>
        <v>2.7840644999999994E-2</v>
      </c>
      <c r="I30" s="9">
        <f t="shared" si="47"/>
        <v>0.72943582062192791</v>
      </c>
      <c r="J30" s="13">
        <v>6.7</v>
      </c>
      <c r="K30" s="13">
        <v>6.6900000000000001E-2</v>
      </c>
      <c r="L30" s="9">
        <f t="shared" si="48"/>
        <v>8.4715469999999994E-3</v>
      </c>
      <c r="M30" s="9">
        <f t="shared" si="49"/>
        <v>0.89364737378806613</v>
      </c>
      <c r="N30" s="13">
        <v>8.1</v>
      </c>
      <c r="O30" s="13">
        <v>9.64E-2</v>
      </c>
      <c r="P30" s="9">
        <f t="shared" si="50"/>
        <v>1.4757876E-2</v>
      </c>
      <c r="Q30" s="9">
        <f t="shared" si="51"/>
        <v>0.84035176607296558</v>
      </c>
      <c r="R30" s="13">
        <v>8.6</v>
      </c>
      <c r="S30" s="13">
        <v>8.1000000000000003E-2</v>
      </c>
      <c r="T30" s="9">
        <f t="shared" si="52"/>
        <v>1.3165739999999999E-2</v>
      </c>
      <c r="U30" s="9">
        <f t="shared" si="53"/>
        <v>0.85384992305537766</v>
      </c>
      <c r="V30" s="13">
        <v>8.1</v>
      </c>
      <c r="W30" s="13">
        <v>0.12210000000000001</v>
      </c>
      <c r="X30" s="9">
        <f t="shared" si="54"/>
        <v>1.8692289000000001E-2</v>
      </c>
      <c r="Y30" s="9">
        <f t="shared" si="55"/>
        <v>0.80699574352988979</v>
      </c>
      <c r="Z30" s="13">
        <v>4</v>
      </c>
      <c r="AA30" s="13">
        <v>0.21710000000000002</v>
      </c>
      <c r="AB30" s="9">
        <f t="shared" si="56"/>
        <v>1.6412760000000002E-2</v>
      </c>
      <c r="AC30" s="9">
        <f t="shared" si="57"/>
        <v>0.82632163044404827</v>
      </c>
      <c r="AD30" s="13">
        <v>6</v>
      </c>
      <c r="AE30" s="13">
        <v>0.17469999999999999</v>
      </c>
      <c r="AF30" s="9">
        <f t="shared" si="58"/>
        <v>1.9810979999999999E-2</v>
      </c>
      <c r="AG30" s="9">
        <f t="shared" si="59"/>
        <v>0.79751146157607955</v>
      </c>
      <c r="AH30" s="13">
        <v>4.5</v>
      </c>
      <c r="AI30" s="387">
        <v>0.16920000000000002</v>
      </c>
      <c r="AJ30" s="9">
        <f t="shared" si="60"/>
        <v>1.4390460000000001E-2</v>
      </c>
      <c r="AK30" s="9">
        <f t="shared" si="61"/>
        <v>0.84346672537659928</v>
      </c>
      <c r="AL30" s="13">
        <v>3.9</v>
      </c>
      <c r="AM30" s="13">
        <v>0.2702</v>
      </c>
      <c r="AN30" s="9">
        <f t="shared" si="62"/>
        <v>1.9916441999999999E-2</v>
      </c>
      <c r="AO30" s="9">
        <f t="shared" si="63"/>
        <v>0.79661735288707369</v>
      </c>
      <c r="AP30" s="13">
        <v>4.3</v>
      </c>
      <c r="AQ30" s="13">
        <v>0.27949999999999997</v>
      </c>
      <c r="AR30" s="9">
        <f t="shared" si="64"/>
        <v>2.2714964999999993E-2</v>
      </c>
      <c r="AS30" s="9">
        <f t="shared" si="65"/>
        <v>0.77289142572200087</v>
      </c>
      <c r="AT30" s="1">
        <v>1993</v>
      </c>
      <c r="AU30" s="13">
        <v>10.7</v>
      </c>
      <c r="AV30" s="13">
        <v>0.18239999999999998</v>
      </c>
      <c r="AW30" s="13">
        <f t="shared" si="23"/>
        <v>3.6886751999999995E-2</v>
      </c>
      <c r="AX30" s="13">
        <f t="shared" si="66"/>
        <v>0.91279539503511486</v>
      </c>
      <c r="AY30" s="13">
        <v>5.4</v>
      </c>
      <c r="AZ30" s="13">
        <v>0.17030000000000001</v>
      </c>
      <c r="BA30" s="13">
        <f t="shared" si="25"/>
        <v>1.7380818000000003E-2</v>
      </c>
      <c r="BB30" s="13">
        <f t="shared" si="67"/>
        <v>0.91490815902590283</v>
      </c>
      <c r="BC30" s="13">
        <v>1.2</v>
      </c>
      <c r="BD30" s="122">
        <f t="shared" si="77"/>
        <v>0.17469999999999999</v>
      </c>
      <c r="BE30" s="13">
        <f t="shared" si="27"/>
        <v>3.9621959999999994E-3</v>
      </c>
      <c r="BF30" s="13">
        <f t="shared" si="68"/>
        <v>0.91636158244913368</v>
      </c>
      <c r="BG30" s="13">
        <v>5.9</v>
      </c>
      <c r="BH30" s="13">
        <v>0.1116</v>
      </c>
      <c r="BI30" s="13">
        <f t="shared" si="29"/>
        <v>1.2444516000000001E-2</v>
      </c>
      <c r="BJ30" s="13">
        <f t="shared" si="69"/>
        <v>0.91544282919925901</v>
      </c>
      <c r="BK30" s="13">
        <v>4.0999999999999996</v>
      </c>
      <c r="BL30" s="13">
        <v>0.1167</v>
      </c>
      <c r="BM30" s="13">
        <f t="shared" si="31"/>
        <v>9.0430829999999986E-3</v>
      </c>
      <c r="BN30" s="13">
        <f t="shared" si="70"/>
        <v>0.91581125170901823</v>
      </c>
      <c r="BO30" s="13">
        <v>14.4</v>
      </c>
      <c r="BP30" s="13">
        <v>0.16239999999999999</v>
      </c>
      <c r="BQ30" s="13">
        <f t="shared" si="33"/>
        <v>4.4198783999999991E-2</v>
      </c>
      <c r="BR30" s="13">
        <f t="shared" si="71"/>
        <v>0.91200340025500881</v>
      </c>
      <c r="BS30" s="13">
        <v>10.6</v>
      </c>
      <c r="BT30" s="13">
        <v>0.19870000000000002</v>
      </c>
      <c r="BU30" s="13">
        <f t="shared" si="35"/>
        <v>3.9807558E-2</v>
      </c>
      <c r="BV30" s="13">
        <f t="shared" si="72"/>
        <v>0.91247903111524931</v>
      </c>
      <c r="BW30" s="13">
        <v>10.6</v>
      </c>
      <c r="BX30" s="13">
        <v>0.16949999999999998</v>
      </c>
      <c r="BY30" s="13">
        <f t="shared" si="37"/>
        <v>3.3957629999999996E-2</v>
      </c>
      <c r="BZ30" s="13">
        <f t="shared" si="73"/>
        <v>0.91311265969346056</v>
      </c>
      <c r="CA30" s="13">
        <v>4.3</v>
      </c>
      <c r="CB30" s="13">
        <v>0.13570000000000002</v>
      </c>
      <c r="CC30" s="13">
        <f t="shared" si="39"/>
        <v>1.1028339000000002E-2</v>
      </c>
      <c r="CD30" s="13">
        <f t="shared" si="74"/>
        <v>0.91559622086818315</v>
      </c>
      <c r="CE30" s="13">
        <v>9.6999999999999993</v>
      </c>
      <c r="CF30" s="13">
        <v>0.1888</v>
      </c>
      <c r="CG30" s="13">
        <f t="shared" si="41"/>
        <v>3.4612703999999994E-2</v>
      </c>
      <c r="CH30" s="13">
        <f t="shared" si="75"/>
        <v>0.91304170606681023</v>
      </c>
      <c r="CI30" s="13">
        <v>10.7</v>
      </c>
      <c r="CJ30" s="13">
        <v>0.20829999999999999</v>
      </c>
      <c r="CK30" s="13">
        <f t="shared" si="43"/>
        <v>4.2124508999999997E-2</v>
      </c>
      <c r="CL30" s="13">
        <f t="shared" si="76"/>
        <v>0.91222807309184872</v>
      </c>
    </row>
    <row r="31" spans="1:90" ht="15" customHeight="1">
      <c r="A31" s="1">
        <v>1994</v>
      </c>
      <c r="B31" s="13">
        <v>4.0999999999999996</v>
      </c>
      <c r="C31" s="13">
        <v>0.1638</v>
      </c>
      <c r="D31" s="9">
        <f t="shared" si="44"/>
        <v>1.2692861999999997E-2</v>
      </c>
      <c r="E31" s="9">
        <f t="shared" si="45"/>
        <v>0.85785899104801711</v>
      </c>
      <c r="F31" s="13">
        <v>9.1</v>
      </c>
      <c r="G31" s="13">
        <v>0.1143</v>
      </c>
      <c r="H31" s="9">
        <f t="shared" si="46"/>
        <v>1.9658457000000001E-2</v>
      </c>
      <c r="I31" s="9">
        <f t="shared" si="47"/>
        <v>0.79880455424996455</v>
      </c>
      <c r="J31" s="13">
        <v>4.8</v>
      </c>
      <c r="K31" s="122">
        <f>((K30+K32)/2)</f>
        <v>9.5400000000000013E-2</v>
      </c>
      <c r="L31" s="9">
        <f t="shared" si="48"/>
        <v>8.6546880000000007E-3</v>
      </c>
      <c r="M31" s="9">
        <f t="shared" si="49"/>
        <v>0.89209470117221179</v>
      </c>
      <c r="N31" s="13">
        <v>6</v>
      </c>
      <c r="O31" s="13">
        <v>0.11650000000000001</v>
      </c>
      <c r="P31" s="9">
        <f t="shared" si="50"/>
        <v>1.32111E-2</v>
      </c>
      <c r="Q31" s="9">
        <f t="shared" si="51"/>
        <v>0.85346536017838581</v>
      </c>
      <c r="R31" s="13">
        <v>6</v>
      </c>
      <c r="S31" s="13">
        <v>0.11609999999999999</v>
      </c>
      <c r="T31" s="9">
        <f t="shared" si="52"/>
        <v>1.3165739999999999E-2</v>
      </c>
      <c r="U31" s="9">
        <f t="shared" si="53"/>
        <v>0.85384992305537766</v>
      </c>
      <c r="V31" s="13">
        <v>6.8</v>
      </c>
      <c r="W31" s="13">
        <v>0.1072</v>
      </c>
      <c r="X31" s="9">
        <f t="shared" si="54"/>
        <v>1.3777344E-2</v>
      </c>
      <c r="Y31" s="9">
        <f t="shared" si="55"/>
        <v>0.84866473359727168</v>
      </c>
      <c r="Z31" s="13">
        <v>2.4</v>
      </c>
      <c r="AA31" s="13">
        <v>0.26079999999999998</v>
      </c>
      <c r="AB31" s="9">
        <f t="shared" si="56"/>
        <v>1.1829887999999998E-2</v>
      </c>
      <c r="AC31" s="9">
        <f t="shared" si="57"/>
        <v>0.86517529978278607</v>
      </c>
      <c r="AD31" s="13">
        <v>4.7</v>
      </c>
      <c r="AE31" s="13">
        <v>0.19760000000000003</v>
      </c>
      <c r="AF31" s="9">
        <f t="shared" si="58"/>
        <v>1.7552808E-2</v>
      </c>
      <c r="AG31" s="9">
        <f t="shared" si="59"/>
        <v>0.81665628346898778</v>
      </c>
      <c r="AH31" s="13">
        <v>3.9</v>
      </c>
      <c r="AI31" s="387">
        <v>0.13350000000000001</v>
      </c>
      <c r="AJ31" s="9">
        <f t="shared" si="60"/>
        <v>9.8402850000000007E-3</v>
      </c>
      <c r="AK31" s="9">
        <f t="shared" si="61"/>
        <v>0.88204318897483858</v>
      </c>
      <c r="AL31" s="13">
        <v>3.6</v>
      </c>
      <c r="AM31" s="13">
        <v>0.29530000000000001</v>
      </c>
      <c r="AN31" s="9">
        <f t="shared" si="62"/>
        <v>2.0092212000000002E-2</v>
      </c>
      <c r="AO31" s="9">
        <f t="shared" si="63"/>
        <v>0.79512717173873049</v>
      </c>
      <c r="AP31" s="13">
        <v>3.1</v>
      </c>
      <c r="AQ31" s="13">
        <v>0.15039999999999998</v>
      </c>
      <c r="AR31" s="9">
        <f t="shared" si="64"/>
        <v>8.8119359999999994E-3</v>
      </c>
      <c r="AS31" s="9">
        <f t="shared" si="65"/>
        <v>0.89076154986530687</v>
      </c>
      <c r="AT31" s="1">
        <v>1994</v>
      </c>
      <c r="AU31" s="13">
        <v>8.6</v>
      </c>
      <c r="AV31" s="13">
        <v>0.16</v>
      </c>
      <c r="AW31" s="13">
        <f t="shared" si="23"/>
        <v>2.6006399999999999E-2</v>
      </c>
      <c r="AX31" s="13">
        <f t="shared" si="66"/>
        <v>0.91397388850857253</v>
      </c>
      <c r="AY31" s="13">
        <v>4.5999999999999996</v>
      </c>
      <c r="AZ31" s="122">
        <f>AZ30*POWER($AZ$34/$AZ$30, 1/4)</f>
        <v>0.12843958264387423</v>
      </c>
      <c r="BA31" s="13">
        <f t="shared" si="25"/>
        <v>1.1166537315058423E-2</v>
      </c>
      <c r="BB31" s="13">
        <f t="shared" si="67"/>
        <v>0.91558125206824548</v>
      </c>
      <c r="BC31" s="13">
        <v>4</v>
      </c>
      <c r="BD31" s="122">
        <f t="shared" si="77"/>
        <v>0.17469999999999999</v>
      </c>
      <c r="BE31" s="13">
        <f t="shared" si="27"/>
        <v>1.3207319999999998E-2</v>
      </c>
      <c r="BF31" s="13">
        <f t="shared" si="68"/>
        <v>0.91536020691502351</v>
      </c>
      <c r="BG31" s="13">
        <v>3.8</v>
      </c>
      <c r="BH31" s="13">
        <v>0.1273</v>
      </c>
      <c r="BI31" s="13">
        <f t="shared" si="29"/>
        <v>9.1426859999999988E-3</v>
      </c>
      <c r="BJ31" s="13">
        <f t="shared" si="69"/>
        <v>0.915800463318584</v>
      </c>
      <c r="BK31" s="13">
        <v>4.5</v>
      </c>
      <c r="BL31" s="13">
        <v>0.14630000000000001</v>
      </c>
      <c r="BM31" s="13">
        <f t="shared" si="31"/>
        <v>1.2442815000000001E-2</v>
      </c>
      <c r="BN31" s="13">
        <f t="shared" si="70"/>
        <v>0.91544301344122092</v>
      </c>
      <c r="BO31" s="13">
        <v>13.6</v>
      </c>
      <c r="BP31" s="13">
        <v>0.15090000000000001</v>
      </c>
      <c r="BQ31" s="13">
        <f t="shared" si="33"/>
        <v>3.8787335999999999E-2</v>
      </c>
      <c r="BR31" s="13">
        <f t="shared" si="71"/>
        <v>0.91258953534971499</v>
      </c>
      <c r="BS31" s="13">
        <v>6.5</v>
      </c>
      <c r="BT31" s="13">
        <v>0.1797</v>
      </c>
      <c r="BU31" s="13">
        <f t="shared" si="35"/>
        <v>2.2076144999999998E-2</v>
      </c>
      <c r="BV31" s="13">
        <f t="shared" si="72"/>
        <v>0.91439958979714531</v>
      </c>
      <c r="BW31" s="13">
        <v>11.8</v>
      </c>
      <c r="BX31" s="13">
        <v>0.16149999999999998</v>
      </c>
      <c r="BY31" s="13">
        <f t="shared" si="37"/>
        <v>3.6017729999999998E-2</v>
      </c>
      <c r="BZ31" s="13">
        <f t="shared" si="73"/>
        <v>0.91288952220630304</v>
      </c>
      <c r="CA31" s="13">
        <v>3.4</v>
      </c>
      <c r="CB31" s="13">
        <v>0.10220000000000001</v>
      </c>
      <c r="CC31" s="13">
        <f t="shared" si="39"/>
        <v>6.5673720000000001E-3</v>
      </c>
      <c r="CD31" s="13">
        <f t="shared" si="74"/>
        <v>0.91607940564886037</v>
      </c>
      <c r="CE31" s="13">
        <v>7.6</v>
      </c>
      <c r="CF31" s="13">
        <v>0.20610000000000001</v>
      </c>
      <c r="CG31" s="13">
        <f t="shared" si="41"/>
        <v>2.9604203999999999E-2</v>
      </c>
      <c r="CH31" s="13">
        <f t="shared" si="75"/>
        <v>0.91358419628788157</v>
      </c>
      <c r="CI31" s="13">
        <v>9.3000000000000007</v>
      </c>
      <c r="CJ31" s="13">
        <v>0.14000000000000001</v>
      </c>
      <c r="CK31" s="13">
        <f t="shared" si="43"/>
        <v>2.4607800000000003E-2</v>
      </c>
      <c r="CL31" s="13">
        <f t="shared" si="76"/>
        <v>0.91412537634389057</v>
      </c>
    </row>
    <row r="32" spans="1:90" ht="15" customHeight="1">
      <c r="A32" s="1">
        <v>1995</v>
      </c>
      <c r="B32" s="13">
        <v>3.9</v>
      </c>
      <c r="C32" s="13">
        <v>0.13750000000000001</v>
      </c>
      <c r="D32" s="9">
        <f t="shared" si="44"/>
        <v>1.0135125E-2</v>
      </c>
      <c r="E32" s="9">
        <f t="shared" si="45"/>
        <v>0.87954353027439203</v>
      </c>
      <c r="F32" s="13">
        <v>3.7</v>
      </c>
      <c r="G32" s="122">
        <f>((G31+G33)/2)</f>
        <v>0.14085</v>
      </c>
      <c r="H32" s="9">
        <f t="shared" si="46"/>
        <v>9.8496405000000013E-3</v>
      </c>
      <c r="I32" s="9">
        <f t="shared" si="47"/>
        <v>0.88196387288145905</v>
      </c>
      <c r="J32" s="13">
        <v>7.7</v>
      </c>
      <c r="K32" s="13">
        <v>0.12390000000000001</v>
      </c>
      <c r="L32" s="9">
        <f t="shared" si="48"/>
        <v>1.8031166999999997E-2</v>
      </c>
      <c r="M32" s="9">
        <f t="shared" si="49"/>
        <v>0.81260074746204525</v>
      </c>
      <c r="N32" s="13">
        <v>6.6</v>
      </c>
      <c r="O32" s="13">
        <v>0.12520000000000001</v>
      </c>
      <c r="P32" s="9">
        <f t="shared" si="50"/>
        <v>1.5617447999999999E-2</v>
      </c>
      <c r="Q32" s="9">
        <f t="shared" si="51"/>
        <v>0.8330642995539711</v>
      </c>
      <c r="R32" s="13">
        <v>6.4</v>
      </c>
      <c r="S32" s="13">
        <v>0.10880000000000001</v>
      </c>
      <c r="T32" s="9">
        <f t="shared" si="52"/>
        <v>1.3160448E-2</v>
      </c>
      <c r="U32" s="9">
        <f t="shared" si="53"/>
        <v>0.85389478872435998</v>
      </c>
      <c r="V32" s="13">
        <v>6.5</v>
      </c>
      <c r="W32" s="13">
        <v>8.5699999999999998E-2</v>
      </c>
      <c r="X32" s="9">
        <f t="shared" si="54"/>
        <v>1.0528245E-2</v>
      </c>
      <c r="Y32" s="9">
        <f t="shared" si="55"/>
        <v>0.87621065200712978</v>
      </c>
      <c r="Z32" s="13">
        <v>1.9</v>
      </c>
      <c r="AA32" s="13">
        <v>0.1603</v>
      </c>
      <c r="AB32" s="9">
        <f t="shared" si="56"/>
        <v>5.7563730000000004E-3</v>
      </c>
      <c r="AC32" s="9">
        <f t="shared" si="57"/>
        <v>0.91666666666666674</v>
      </c>
      <c r="AD32" s="13">
        <v>4.3</v>
      </c>
      <c r="AE32" s="13">
        <v>0.13589999999999999</v>
      </c>
      <c r="AF32" s="9">
        <f t="shared" si="58"/>
        <v>1.1044592999999998E-2</v>
      </c>
      <c r="AG32" s="9">
        <f t="shared" si="59"/>
        <v>0.87183304459070654</v>
      </c>
      <c r="AH32" s="13">
        <v>3.7</v>
      </c>
      <c r="AI32" s="387">
        <v>0.1588</v>
      </c>
      <c r="AJ32" s="9">
        <f t="shared" si="60"/>
        <v>1.1104883999999999E-2</v>
      </c>
      <c r="AK32" s="9">
        <f t="shared" si="61"/>
        <v>0.87132189643337166</v>
      </c>
      <c r="AL32" s="13">
        <v>4.4000000000000004</v>
      </c>
      <c r="AM32" s="13">
        <v>0.22059999999999999</v>
      </c>
      <c r="AN32" s="9">
        <f t="shared" si="62"/>
        <v>1.8345095999999998E-2</v>
      </c>
      <c r="AO32" s="9">
        <f t="shared" si="63"/>
        <v>0.8099392518841978</v>
      </c>
      <c r="AP32" s="13">
        <v>2.9</v>
      </c>
      <c r="AQ32" s="13">
        <v>0.24109999999999998</v>
      </c>
      <c r="AR32" s="9">
        <f t="shared" si="64"/>
        <v>1.3214690999999999E-2</v>
      </c>
      <c r="AS32" s="9">
        <f t="shared" si="65"/>
        <v>0.85343491561729068</v>
      </c>
      <c r="AT32" s="1">
        <v>1995</v>
      </c>
      <c r="AU32" s="13">
        <v>8.6999999999999993</v>
      </c>
      <c r="AV32" s="13">
        <v>0.14369999999999999</v>
      </c>
      <c r="AW32" s="13">
        <f t="shared" si="23"/>
        <v>2.3628590999999997E-2</v>
      </c>
      <c r="AX32" s="13">
        <f t="shared" si="66"/>
        <v>0.91423143829994236</v>
      </c>
      <c r="AY32" s="13">
        <v>4</v>
      </c>
      <c r="AZ32" s="122">
        <f t="shared" ref="AZ32:AZ33" si="78">AZ31*POWER($AZ$34/$AZ$30, 1/4)</f>
        <v>9.6868622370714016E-2</v>
      </c>
      <c r="BA32" s="13">
        <f t="shared" si="25"/>
        <v>7.3232678512259791E-3</v>
      </c>
      <c r="BB32" s="13">
        <f t="shared" si="67"/>
        <v>0.91599753161323316</v>
      </c>
      <c r="BC32" s="13">
        <v>4.5999999999999996</v>
      </c>
      <c r="BD32" s="122">
        <f t="shared" si="77"/>
        <v>0.17469999999999999</v>
      </c>
      <c r="BE32" s="13">
        <f t="shared" si="27"/>
        <v>1.5188417999999997E-2</v>
      </c>
      <c r="BF32" s="13">
        <f t="shared" si="68"/>
        <v>0.91514562644342845</v>
      </c>
      <c r="BG32" s="13">
        <v>6.1</v>
      </c>
      <c r="BH32" s="13">
        <v>0.1183</v>
      </c>
      <c r="BI32" s="13">
        <f t="shared" si="29"/>
        <v>1.3638806999999999E-2</v>
      </c>
      <c r="BJ32" s="13">
        <f t="shared" si="69"/>
        <v>0.91531347087069492</v>
      </c>
      <c r="BK32" s="13">
        <v>2.5</v>
      </c>
      <c r="BL32" s="122">
        <f>(BL31+BL33)/2</f>
        <v>0.16775000000000001</v>
      </c>
      <c r="BM32" s="13">
        <f t="shared" si="31"/>
        <v>7.9261875000000009E-3</v>
      </c>
      <c r="BN32" s="13">
        <f t="shared" si="70"/>
        <v>0.91593222702831711</v>
      </c>
      <c r="BO32" s="13">
        <v>14.1</v>
      </c>
      <c r="BP32" s="13">
        <v>0.13220000000000001</v>
      </c>
      <c r="BQ32" s="13">
        <f t="shared" si="33"/>
        <v>3.5229978000000002E-2</v>
      </c>
      <c r="BR32" s="13">
        <f t="shared" si="71"/>
        <v>0.91297484670597928</v>
      </c>
      <c r="BS32" s="13">
        <v>7.3</v>
      </c>
      <c r="BT32" s="13">
        <v>0.13880000000000001</v>
      </c>
      <c r="BU32" s="13">
        <f t="shared" si="35"/>
        <v>1.9150235999999998E-2</v>
      </c>
      <c r="BV32" s="13">
        <f t="shared" si="72"/>
        <v>0.91471650644289648</v>
      </c>
      <c r="BW32" s="13">
        <v>8.8000000000000007</v>
      </c>
      <c r="BX32" s="13">
        <v>0.15839999999999999</v>
      </c>
      <c r="BY32" s="13">
        <f t="shared" si="37"/>
        <v>2.6345087999999999E-2</v>
      </c>
      <c r="BZ32" s="13">
        <f t="shared" si="73"/>
        <v>0.91393720388683075</v>
      </c>
      <c r="CA32" s="13">
        <v>3.9</v>
      </c>
      <c r="CB32" s="13">
        <v>0.11259999999999999</v>
      </c>
      <c r="CC32" s="13">
        <f t="shared" si="39"/>
        <v>8.2997460000000002E-3</v>
      </c>
      <c r="CD32" s="13">
        <f t="shared" si="74"/>
        <v>0.91589176544635686</v>
      </c>
      <c r="CE32" s="13">
        <v>6.7</v>
      </c>
      <c r="CF32" s="13">
        <v>0.1966</v>
      </c>
      <c r="CG32" s="13">
        <f t="shared" si="41"/>
        <v>2.4895457999999999E-2</v>
      </c>
      <c r="CH32" s="13">
        <f t="shared" si="75"/>
        <v>0.91409421898100496</v>
      </c>
      <c r="CI32" s="13">
        <v>8.4</v>
      </c>
      <c r="CJ32" s="13">
        <v>0.17859999999999998</v>
      </c>
      <c r="CK32" s="13">
        <f t="shared" si="43"/>
        <v>2.8354535999999993E-2</v>
      </c>
      <c r="CL32" s="13">
        <f t="shared" si="76"/>
        <v>0.91371955271587102</v>
      </c>
    </row>
    <row r="33" spans="1:90" ht="15" customHeight="1">
      <c r="A33" s="1">
        <v>1996</v>
      </c>
      <c r="B33" s="13">
        <v>4.5999999999999996</v>
      </c>
      <c r="C33" s="13">
        <v>0.17309999999999998</v>
      </c>
      <c r="D33" s="9">
        <f t="shared" si="44"/>
        <v>1.5049313999999996E-2</v>
      </c>
      <c r="E33" s="9">
        <f t="shared" si="45"/>
        <v>0.8378809495882934</v>
      </c>
      <c r="F33" s="13">
        <v>4.8</v>
      </c>
      <c r="G33" s="13">
        <v>0.16739999999999999</v>
      </c>
      <c r="H33" s="9">
        <f t="shared" si="46"/>
        <v>1.5186527999999998E-2</v>
      </c>
      <c r="I33" s="9">
        <f t="shared" si="47"/>
        <v>0.83671764688539318</v>
      </c>
      <c r="J33" s="13">
        <v>6.8</v>
      </c>
      <c r="K33" s="13">
        <v>0.1072</v>
      </c>
      <c r="L33" s="9">
        <f t="shared" si="48"/>
        <v>1.3777344E-2</v>
      </c>
      <c r="M33" s="9">
        <f t="shared" si="49"/>
        <v>0.84866473359727168</v>
      </c>
      <c r="N33" s="13">
        <v>7.4</v>
      </c>
      <c r="O33" s="13">
        <v>0.113</v>
      </c>
      <c r="P33" s="9">
        <f t="shared" si="50"/>
        <v>1.5804180000000001E-2</v>
      </c>
      <c r="Q33" s="9">
        <f t="shared" si="51"/>
        <v>0.83148118237702151</v>
      </c>
      <c r="R33" s="13">
        <v>8.1</v>
      </c>
      <c r="S33" s="13">
        <v>0.13489999999999999</v>
      </c>
      <c r="T33" s="9">
        <f t="shared" si="52"/>
        <v>2.0651840999999997E-2</v>
      </c>
      <c r="U33" s="9">
        <f t="shared" si="53"/>
        <v>0.79038262724384423</v>
      </c>
      <c r="V33" s="13">
        <v>9.1999999999999993</v>
      </c>
      <c r="W33" s="13">
        <v>0.13849999999999998</v>
      </c>
      <c r="X33" s="9">
        <f t="shared" si="54"/>
        <v>2.4082379999999994E-2</v>
      </c>
      <c r="Y33" s="9">
        <f t="shared" si="55"/>
        <v>0.76129845732601897</v>
      </c>
      <c r="Z33" s="13">
        <v>2.4</v>
      </c>
      <c r="AA33" s="13">
        <v>0.23769999999999999</v>
      </c>
      <c r="AB33" s="9">
        <f t="shared" si="56"/>
        <v>1.0782071999999998E-2</v>
      </c>
      <c r="AC33" s="9">
        <f t="shared" si="57"/>
        <v>0.87405870224129645</v>
      </c>
      <c r="AD33" s="13">
        <v>4.5999999999999996</v>
      </c>
      <c r="AE33" s="13">
        <v>0.15869999999999998</v>
      </c>
      <c r="AF33" s="9">
        <f t="shared" si="58"/>
        <v>1.3797377999999997E-2</v>
      </c>
      <c r="AG33" s="9">
        <f t="shared" si="59"/>
        <v>0.84849488499326697</v>
      </c>
      <c r="AH33" s="13">
        <v>3.5</v>
      </c>
      <c r="AI33" s="387">
        <v>0.18239999999999998</v>
      </c>
      <c r="AJ33" s="9">
        <f t="shared" si="60"/>
        <v>1.206576E-2</v>
      </c>
      <c r="AK33" s="9">
        <f t="shared" si="61"/>
        <v>0.86317557282242874</v>
      </c>
      <c r="AL33" s="13">
        <v>2.9</v>
      </c>
      <c r="AM33" s="13">
        <v>0.25280000000000002</v>
      </c>
      <c r="AN33" s="9">
        <f t="shared" si="62"/>
        <v>1.3855967999999998E-2</v>
      </c>
      <c r="AO33" s="9">
        <f t="shared" si="63"/>
        <v>0.84799815794381916</v>
      </c>
      <c r="AP33" s="13">
        <v>2.2000000000000002</v>
      </c>
      <c r="AQ33" s="13">
        <v>0.26450000000000001</v>
      </c>
      <c r="AR33" s="9">
        <f t="shared" si="64"/>
        <v>1.0997910000000001E-2</v>
      </c>
      <c r="AS33" s="9">
        <f t="shared" si="65"/>
        <v>0.87222882388494394</v>
      </c>
      <c r="AT33" s="1">
        <v>1996</v>
      </c>
      <c r="AU33" s="13">
        <v>9.6999999999999993</v>
      </c>
      <c r="AV33" s="13">
        <v>0.17</v>
      </c>
      <c r="AW33" s="13">
        <f t="shared" si="23"/>
        <v>3.1166100000000002E-2</v>
      </c>
      <c r="AX33" s="13">
        <f t="shared" si="66"/>
        <v>0.91341502122422369</v>
      </c>
      <c r="AY33" s="13">
        <v>3.6</v>
      </c>
      <c r="AZ33" s="122">
        <f t="shared" si="78"/>
        <v>7.3057929703943439E-2</v>
      </c>
      <c r="BA33" s="13">
        <f t="shared" si="25"/>
        <v>4.9708615370563118E-3</v>
      </c>
      <c r="BB33" s="13">
        <f t="shared" si="67"/>
        <v>0.91625232994036154</v>
      </c>
      <c r="BC33" s="13">
        <v>3.8</v>
      </c>
      <c r="BD33" s="122">
        <f t="shared" si="77"/>
        <v>0.17469999999999999</v>
      </c>
      <c r="BE33" s="13">
        <f t="shared" si="27"/>
        <v>1.2546953999999997E-2</v>
      </c>
      <c r="BF33" s="13">
        <f t="shared" si="68"/>
        <v>0.91543173373888853</v>
      </c>
      <c r="BG33" s="13">
        <v>5.6</v>
      </c>
      <c r="BH33" s="13">
        <v>0.1065</v>
      </c>
      <c r="BI33" s="13">
        <f t="shared" si="29"/>
        <v>1.1271959999999999E-2</v>
      </c>
      <c r="BJ33" s="13">
        <f t="shared" si="69"/>
        <v>0.91556983332497699</v>
      </c>
      <c r="BK33" s="13">
        <v>4.3</v>
      </c>
      <c r="BL33" s="13">
        <v>0.18920000000000001</v>
      </c>
      <c r="BM33" s="13">
        <f t="shared" si="31"/>
        <v>1.5376283999999999E-2</v>
      </c>
      <c r="BN33" s="13">
        <f t="shared" si="70"/>
        <v>0.91512527794230591</v>
      </c>
      <c r="BO33" s="13">
        <v>17.2</v>
      </c>
      <c r="BP33" s="13">
        <v>0.18090000000000001</v>
      </c>
      <c r="BQ33" s="13">
        <f t="shared" si="33"/>
        <v>5.8806971999999992E-2</v>
      </c>
      <c r="BR33" s="13">
        <f t="shared" si="71"/>
        <v>0.91042113028644145</v>
      </c>
      <c r="BS33" s="13">
        <v>7.3</v>
      </c>
      <c r="BT33" s="13">
        <v>0.16269999999999998</v>
      </c>
      <c r="BU33" s="13">
        <f t="shared" si="35"/>
        <v>2.2447718999999994E-2</v>
      </c>
      <c r="BV33" s="13">
        <f t="shared" si="72"/>
        <v>0.91435934316414047</v>
      </c>
      <c r="BW33" s="13">
        <v>11.6</v>
      </c>
      <c r="BX33" s="13">
        <v>0.14859999999999998</v>
      </c>
      <c r="BY33" s="13">
        <f t="shared" si="37"/>
        <v>3.2579063999999998E-2</v>
      </c>
      <c r="BZ33" s="13">
        <f t="shared" si="73"/>
        <v>0.91326197756789429</v>
      </c>
      <c r="CA33" s="13">
        <v>4.0999999999999996</v>
      </c>
      <c r="CB33" s="13">
        <v>0.12839999999999999</v>
      </c>
      <c r="CC33" s="13">
        <f t="shared" si="39"/>
        <v>9.9497159999999973E-3</v>
      </c>
      <c r="CD33" s="13">
        <f t="shared" si="74"/>
        <v>0.91571305074333986</v>
      </c>
      <c r="CE33" s="13">
        <v>6.1</v>
      </c>
      <c r="CF33" s="13">
        <v>0.18149999999999999</v>
      </c>
      <c r="CG33" s="13">
        <f t="shared" si="41"/>
        <v>2.0925134999999994E-2</v>
      </c>
      <c r="CH33" s="13">
        <f t="shared" si="75"/>
        <v>0.91452426019134614</v>
      </c>
      <c r="CI33" s="13">
        <v>9.4</v>
      </c>
      <c r="CJ33" s="13">
        <v>0.1709</v>
      </c>
      <c r="CK33" s="13">
        <f t="shared" si="43"/>
        <v>3.0362093999999996E-2</v>
      </c>
      <c r="CL33" s="13">
        <f t="shared" si="76"/>
        <v>0.9135021062582025</v>
      </c>
    </row>
    <row r="34" spans="1:90" ht="15" customHeight="1">
      <c r="A34" s="1">
        <v>1997</v>
      </c>
      <c r="B34" s="13">
        <v>4.9000000000000004</v>
      </c>
      <c r="C34" s="13">
        <v>0.17129999999999998</v>
      </c>
      <c r="D34" s="9">
        <f t="shared" si="44"/>
        <v>1.5864092999999996E-2</v>
      </c>
      <c r="E34" s="9">
        <f t="shared" si="45"/>
        <v>0.83097323891032826</v>
      </c>
      <c r="F34" s="13">
        <v>6.6</v>
      </c>
      <c r="G34" s="13">
        <v>0.12509999999999999</v>
      </c>
      <c r="H34" s="9">
        <f t="shared" si="46"/>
        <v>1.5604973999999995E-2</v>
      </c>
      <c r="I34" s="9">
        <f t="shared" si="47"/>
        <v>0.83317005434514391</v>
      </c>
      <c r="J34" s="13">
        <v>8.4</v>
      </c>
      <c r="K34" s="13">
        <v>8.7899999999999992E-2</v>
      </c>
      <c r="L34" s="9">
        <f t="shared" si="48"/>
        <v>1.3955004E-2</v>
      </c>
      <c r="M34" s="9">
        <f t="shared" si="49"/>
        <v>0.84715852899572053</v>
      </c>
      <c r="N34" s="13">
        <v>7.1</v>
      </c>
      <c r="O34" s="13">
        <v>0.13140000000000002</v>
      </c>
      <c r="P34" s="9">
        <f t="shared" si="50"/>
        <v>1.7632566000000002E-2</v>
      </c>
      <c r="Q34" s="9">
        <f t="shared" si="51"/>
        <v>0.81598009374361058</v>
      </c>
      <c r="R34" s="13">
        <v>7.1</v>
      </c>
      <c r="S34" s="13">
        <v>0.10830000000000001</v>
      </c>
      <c r="T34" s="9">
        <f t="shared" si="52"/>
        <v>1.4532776999999998E-2</v>
      </c>
      <c r="U34" s="9">
        <f t="shared" si="53"/>
        <v>0.84226015935003751</v>
      </c>
      <c r="V34" s="13">
        <v>8.1</v>
      </c>
      <c r="W34" s="13">
        <v>0.1148</v>
      </c>
      <c r="X34" s="9">
        <f t="shared" si="54"/>
        <v>1.7574731999999999E-2</v>
      </c>
      <c r="Y34" s="9">
        <f t="shared" si="55"/>
        <v>0.81647041141177523</v>
      </c>
      <c r="Z34" s="13">
        <v>2.6</v>
      </c>
      <c r="AA34" s="13">
        <v>0.2697</v>
      </c>
      <c r="AB34" s="9">
        <f t="shared" si="56"/>
        <v>1.3253058E-2</v>
      </c>
      <c r="AC34" s="9">
        <f t="shared" si="57"/>
        <v>0.85310963951716845</v>
      </c>
      <c r="AD34" s="13">
        <v>6.5</v>
      </c>
      <c r="AE34" s="13">
        <v>0.1653</v>
      </c>
      <c r="AF34" s="9">
        <f t="shared" si="58"/>
        <v>2.0307104999999999E-2</v>
      </c>
      <c r="AG34" s="9">
        <f t="shared" si="59"/>
        <v>0.7933053051089819</v>
      </c>
      <c r="AH34" s="13">
        <v>4.5</v>
      </c>
      <c r="AI34" s="387">
        <v>0.192</v>
      </c>
      <c r="AJ34" s="9">
        <f t="shared" si="60"/>
        <v>1.63296E-2</v>
      </c>
      <c r="AK34" s="9">
        <f t="shared" si="61"/>
        <v>0.82702666238519995</v>
      </c>
      <c r="AL34" s="13">
        <v>2.9</v>
      </c>
      <c r="AM34" s="13">
        <v>0.28110000000000002</v>
      </c>
      <c r="AN34" s="9">
        <f t="shared" si="62"/>
        <v>1.5407090999999999E-2</v>
      </c>
      <c r="AO34" s="9">
        <f t="shared" si="63"/>
        <v>0.83484770989602064</v>
      </c>
      <c r="AP34" s="13">
        <v>5</v>
      </c>
      <c r="AQ34" s="13">
        <v>0.1968</v>
      </c>
      <c r="AR34" s="9">
        <f t="shared" si="64"/>
        <v>1.8597599999999999E-2</v>
      </c>
      <c r="AS34" s="9">
        <f t="shared" si="65"/>
        <v>0.80779851853561024</v>
      </c>
      <c r="AT34" s="1">
        <v>1997</v>
      </c>
      <c r="AU34" s="13">
        <v>9</v>
      </c>
      <c r="AV34" s="13">
        <v>0.1724</v>
      </c>
      <c r="AW34" s="13">
        <f t="shared" si="23"/>
        <v>2.9325239999999999E-2</v>
      </c>
      <c r="AX34" s="13">
        <f t="shared" si="66"/>
        <v>0.91361441196962867</v>
      </c>
      <c r="AY34" s="13">
        <v>4.0999999999999996</v>
      </c>
      <c r="AZ34" s="13">
        <v>5.5099999999999996E-2</v>
      </c>
      <c r="BA34" s="13">
        <f t="shared" si="25"/>
        <v>4.2696989999999992E-3</v>
      </c>
      <c r="BB34" s="13">
        <f t="shared" si="67"/>
        <v>0.91632827559669283</v>
      </c>
      <c r="BC34" s="13">
        <v>4.0999999999999996</v>
      </c>
      <c r="BD34" s="122">
        <f t="shared" si="77"/>
        <v>0.17469999999999999</v>
      </c>
      <c r="BE34" s="13">
        <f t="shared" si="27"/>
        <v>1.3537502999999998E-2</v>
      </c>
      <c r="BF34" s="13">
        <f t="shared" si="68"/>
        <v>0.91532444350309083</v>
      </c>
      <c r="BG34" s="13">
        <v>4.5</v>
      </c>
      <c r="BH34" s="13">
        <v>0.13849999999999998</v>
      </c>
      <c r="BI34" s="13">
        <f t="shared" si="29"/>
        <v>1.1779424999999998E-2</v>
      </c>
      <c r="BJ34" s="13">
        <f t="shared" si="69"/>
        <v>0.91551486780635138</v>
      </c>
      <c r="BK34" s="13">
        <v>4</v>
      </c>
      <c r="BL34" s="13">
        <v>0.11939999999999999</v>
      </c>
      <c r="BM34" s="13">
        <f t="shared" si="31"/>
        <v>9.026639999999999E-3</v>
      </c>
      <c r="BN34" s="13">
        <f t="shared" si="70"/>
        <v>0.91581303271464964</v>
      </c>
      <c r="BO34" s="13">
        <v>15.6</v>
      </c>
      <c r="BP34" s="13">
        <v>0.1545</v>
      </c>
      <c r="BQ34" s="13">
        <f t="shared" si="33"/>
        <v>4.5552780000000001E-2</v>
      </c>
      <c r="BR34" s="13">
        <f t="shared" si="71"/>
        <v>0.91185674365335789</v>
      </c>
      <c r="BS34" s="13">
        <v>6.6</v>
      </c>
      <c r="BT34" s="13">
        <v>0.1961</v>
      </c>
      <c r="BU34" s="13">
        <f t="shared" si="35"/>
        <v>2.4461514E-2</v>
      </c>
      <c r="BV34" s="13">
        <f t="shared" si="72"/>
        <v>0.91414122115261165</v>
      </c>
      <c r="BW34" s="13">
        <v>11.2</v>
      </c>
      <c r="BX34" s="13">
        <v>0.17149999999999999</v>
      </c>
      <c r="BY34" s="13">
        <f t="shared" si="37"/>
        <v>3.6303119999999987E-2</v>
      </c>
      <c r="BZ34" s="13">
        <f t="shared" si="73"/>
        <v>0.91285861049936645</v>
      </c>
      <c r="CA34" s="13">
        <v>3.9</v>
      </c>
      <c r="CB34" s="13">
        <v>0.17180000000000001</v>
      </c>
      <c r="CC34" s="13">
        <f t="shared" si="39"/>
        <v>1.2663378000000001E-2</v>
      </c>
      <c r="CD34" s="13">
        <f t="shared" si="74"/>
        <v>0.91541912340016474</v>
      </c>
      <c r="CE34" s="13">
        <v>6.6</v>
      </c>
      <c r="CF34" s="13">
        <v>0.18820000000000001</v>
      </c>
      <c r="CG34" s="13">
        <f t="shared" si="41"/>
        <v>2.3476067999999996E-2</v>
      </c>
      <c r="CH34" s="13">
        <f t="shared" si="75"/>
        <v>0.91424795866252351</v>
      </c>
      <c r="CI34" s="13">
        <v>8.9</v>
      </c>
      <c r="CJ34" s="13">
        <v>0.18909999999999999</v>
      </c>
      <c r="CK34" s="13">
        <f t="shared" si="43"/>
        <v>3.1808510999999998E-2</v>
      </c>
      <c r="CL34" s="13">
        <f t="shared" si="76"/>
        <v>0.91334543917662292</v>
      </c>
    </row>
    <row r="35" spans="1:90" ht="15" customHeight="1">
      <c r="A35" s="1">
        <v>1998</v>
      </c>
      <c r="B35" s="13">
        <v>5.9</v>
      </c>
      <c r="C35" s="13">
        <v>0.16140000000000002</v>
      </c>
      <c r="D35" s="9">
        <f t="shared" si="44"/>
        <v>1.7997714000000001E-2</v>
      </c>
      <c r="E35" s="9">
        <f t="shared" si="45"/>
        <v>0.81288436258382668</v>
      </c>
      <c r="F35" s="13">
        <v>10.6</v>
      </c>
      <c r="G35" s="13">
        <v>0.10589999999999999</v>
      </c>
      <c r="H35" s="9">
        <f t="shared" si="46"/>
        <v>2.1216005999999996E-2</v>
      </c>
      <c r="I35" s="9">
        <f t="shared" si="47"/>
        <v>0.7855996264612588</v>
      </c>
      <c r="J35" s="13">
        <v>12.1</v>
      </c>
      <c r="K35" s="13">
        <v>0.10859999999999999</v>
      </c>
      <c r="L35" s="9">
        <f t="shared" si="48"/>
        <v>2.4835733999999995E-2</v>
      </c>
      <c r="M35" s="9">
        <f t="shared" si="49"/>
        <v>0.75491150887731351</v>
      </c>
      <c r="N35" s="13">
        <v>10</v>
      </c>
      <c r="O35" s="13">
        <v>0.12740000000000001</v>
      </c>
      <c r="P35" s="9">
        <f t="shared" si="50"/>
        <v>2.4078599999999999E-2</v>
      </c>
      <c r="Q35" s="9">
        <f t="shared" si="51"/>
        <v>0.76133050423243487</v>
      </c>
      <c r="R35" s="13">
        <v>7.9</v>
      </c>
      <c r="S35" s="13">
        <v>0.13269999999999998</v>
      </c>
      <c r="T35" s="9">
        <f t="shared" si="52"/>
        <v>1.9813436999999996E-2</v>
      </c>
      <c r="U35" s="9">
        <f t="shared" si="53"/>
        <v>0.79749063108690932</v>
      </c>
      <c r="V35" s="13">
        <v>10.1</v>
      </c>
      <c r="W35" s="13">
        <v>0.1623</v>
      </c>
      <c r="X35" s="9">
        <f t="shared" si="54"/>
        <v>3.0981446999999995E-2</v>
      </c>
      <c r="Y35" s="9">
        <f t="shared" si="55"/>
        <v>0.70280804608088765</v>
      </c>
      <c r="Z35" s="13">
        <v>2.8</v>
      </c>
      <c r="AA35" s="13">
        <v>0.20030000000000001</v>
      </c>
      <c r="AB35" s="9">
        <f t="shared" si="56"/>
        <v>1.0599875999999999E-2</v>
      </c>
      <c r="AC35" s="9">
        <f t="shared" si="57"/>
        <v>0.87560336313054699</v>
      </c>
      <c r="AD35" s="13">
        <v>6.4</v>
      </c>
      <c r="AE35" s="13">
        <v>0.1265</v>
      </c>
      <c r="AF35" s="9">
        <f t="shared" si="58"/>
        <v>1.5301440000000001E-2</v>
      </c>
      <c r="AG35" s="9">
        <f t="shared" si="59"/>
        <v>0.83574342093034726</v>
      </c>
      <c r="AH35" s="13">
        <v>6</v>
      </c>
      <c r="AI35" s="387">
        <v>0.17710000000000001</v>
      </c>
      <c r="AJ35" s="9">
        <f t="shared" si="60"/>
        <v>2.0083139999999999E-2</v>
      </c>
      <c r="AK35" s="9">
        <f t="shared" si="61"/>
        <v>0.79520408431412892</v>
      </c>
      <c r="AL35" s="13">
        <v>3.5</v>
      </c>
      <c r="AM35" s="13">
        <v>0.2661</v>
      </c>
      <c r="AN35" s="9">
        <f t="shared" si="62"/>
        <v>1.7602514999999999E-2</v>
      </c>
      <c r="AO35" s="9">
        <f t="shared" si="63"/>
        <v>0.81623486664961764</v>
      </c>
      <c r="AP35" s="13">
        <v>6.5</v>
      </c>
      <c r="AQ35" s="13">
        <v>0.1216</v>
      </c>
      <c r="AR35" s="9">
        <f t="shared" si="64"/>
        <v>1.4938559999999998E-2</v>
      </c>
      <c r="AS35" s="9">
        <f t="shared" si="65"/>
        <v>0.83881992394628169</v>
      </c>
      <c r="AT35" s="1">
        <v>1998</v>
      </c>
      <c r="AU35" s="13">
        <v>8.6</v>
      </c>
      <c r="AV35" s="13">
        <v>0.1779</v>
      </c>
      <c r="AW35" s="13">
        <f t="shared" si="23"/>
        <v>2.8915865999999995E-2</v>
      </c>
      <c r="AX35" s="13">
        <f t="shared" si="66"/>
        <v>0.91365875286845288</v>
      </c>
      <c r="AY35" s="13">
        <v>2.7</v>
      </c>
      <c r="AZ35" s="122">
        <f>AZ34</f>
        <v>5.5099999999999996E-2</v>
      </c>
      <c r="BA35" s="13">
        <f t="shared" si="25"/>
        <v>2.8117530000000002E-3</v>
      </c>
      <c r="BB35" s="13">
        <f t="shared" si="67"/>
        <v>0.9164861914293474</v>
      </c>
      <c r="BC35" s="13">
        <v>8.1</v>
      </c>
      <c r="BD35" s="122">
        <f t="shared" si="77"/>
        <v>0.17469999999999999</v>
      </c>
      <c r="BE35" s="13">
        <f t="shared" si="27"/>
        <v>2.6744822999999997E-2</v>
      </c>
      <c r="BF35" s="13">
        <f t="shared" si="68"/>
        <v>0.91389390702579054</v>
      </c>
      <c r="BG35" s="13">
        <v>5.3</v>
      </c>
      <c r="BH35" s="13">
        <v>0.13669999999999999</v>
      </c>
      <c r="BI35" s="13">
        <f t="shared" si="29"/>
        <v>1.3693238999999998E-2</v>
      </c>
      <c r="BJ35" s="13">
        <f t="shared" si="69"/>
        <v>0.91530757512791494</v>
      </c>
      <c r="BK35" s="13">
        <v>3.4</v>
      </c>
      <c r="BL35" s="122">
        <f>BL34</f>
        <v>0.11939999999999999</v>
      </c>
      <c r="BM35" s="13">
        <f t="shared" si="31"/>
        <v>7.6726439999999993E-3</v>
      </c>
      <c r="BN35" s="13">
        <f t="shared" si="70"/>
        <v>0.9159596893163009</v>
      </c>
      <c r="BO35" s="13">
        <v>15.4</v>
      </c>
      <c r="BP35" s="13">
        <v>0.19039999999999999</v>
      </c>
      <c r="BQ35" s="13">
        <f t="shared" si="33"/>
        <v>5.5417823999999991E-2</v>
      </c>
      <c r="BR35" s="13">
        <f t="shared" si="71"/>
        <v>0.91078822215980937</v>
      </c>
      <c r="BS35" s="13">
        <v>6.3</v>
      </c>
      <c r="BT35" s="13">
        <v>0.15659999999999999</v>
      </c>
      <c r="BU35" s="13">
        <f t="shared" si="35"/>
        <v>1.8646361999999996E-2</v>
      </c>
      <c r="BV35" s="13">
        <f t="shared" si="72"/>
        <v>0.91477108300626908</v>
      </c>
      <c r="BW35" s="13">
        <v>10.5</v>
      </c>
      <c r="BX35" s="13">
        <v>0.13980000000000001</v>
      </c>
      <c r="BY35" s="13">
        <f t="shared" si="37"/>
        <v>2.7743309999999997E-2</v>
      </c>
      <c r="BZ35" s="13">
        <f t="shared" si="73"/>
        <v>0.91378575699417086</v>
      </c>
      <c r="CA35" s="13">
        <v>3.7</v>
      </c>
      <c r="CB35" s="13">
        <v>0.1857</v>
      </c>
      <c r="CC35" s="13">
        <f t="shared" si="39"/>
        <v>1.2986001E-2</v>
      </c>
      <c r="CD35" s="13">
        <f t="shared" si="74"/>
        <v>0.915384178841396</v>
      </c>
      <c r="CE35" s="13">
        <v>5.3</v>
      </c>
      <c r="CF35" s="13">
        <v>0.23139999999999999</v>
      </c>
      <c r="CG35" s="13">
        <f t="shared" si="41"/>
        <v>2.3179337999999994E-2</v>
      </c>
      <c r="CH35" s="13">
        <f t="shared" si="75"/>
        <v>0.9142800986492059</v>
      </c>
      <c r="CI35" s="13">
        <v>8</v>
      </c>
      <c r="CJ35" s="13">
        <v>0.18840000000000001</v>
      </c>
      <c r="CK35" s="13">
        <f t="shared" si="43"/>
        <v>2.848608E-2</v>
      </c>
      <c r="CL35" s="13">
        <f t="shared" si="76"/>
        <v>0.91370530467081956</v>
      </c>
    </row>
    <row r="36" spans="1:90" ht="15" customHeight="1">
      <c r="A36" s="1">
        <v>1999</v>
      </c>
      <c r="B36" s="13">
        <v>6.3</v>
      </c>
      <c r="C36" s="13">
        <v>0.13289999999999999</v>
      </c>
      <c r="D36" s="9">
        <f t="shared" si="44"/>
        <v>1.5824403000000001E-2</v>
      </c>
      <c r="E36" s="9">
        <f t="shared" si="45"/>
        <v>0.83130973142769604</v>
      </c>
      <c r="F36" s="13">
        <v>13.8</v>
      </c>
      <c r="G36" s="13">
        <v>0.10640000000000001</v>
      </c>
      <c r="H36" s="9">
        <f t="shared" si="46"/>
        <v>2.7751248000000003E-2</v>
      </c>
      <c r="I36" s="9">
        <f t="shared" si="47"/>
        <v>0.73019372995866583</v>
      </c>
      <c r="J36" s="13">
        <v>12.7</v>
      </c>
      <c r="K36" s="13">
        <v>0.1273</v>
      </c>
      <c r="L36" s="9">
        <f t="shared" si="48"/>
        <v>3.0555818999999998E-2</v>
      </c>
      <c r="M36" s="9">
        <f t="shared" si="49"/>
        <v>0.7064165277433273</v>
      </c>
      <c r="N36" s="13">
        <v>14.9</v>
      </c>
      <c r="O36" s="13">
        <v>0.1217</v>
      </c>
      <c r="P36" s="9">
        <f t="shared" si="50"/>
        <v>3.4271937000000002E-2</v>
      </c>
      <c r="Q36" s="9">
        <f t="shared" si="51"/>
        <v>0.67491121404577448</v>
      </c>
      <c r="R36" s="13">
        <v>10.7</v>
      </c>
      <c r="S36" s="13">
        <v>0.1341</v>
      </c>
      <c r="T36" s="9">
        <f t="shared" si="52"/>
        <v>2.7119042999999995E-2</v>
      </c>
      <c r="U36" s="9">
        <f t="shared" si="53"/>
        <v>0.73555357505673902</v>
      </c>
      <c r="V36" s="13">
        <v>9.5</v>
      </c>
      <c r="W36" s="13">
        <v>0.11359999999999999</v>
      </c>
      <c r="X36" s="9">
        <f t="shared" si="54"/>
        <v>2.0396879999999999E-2</v>
      </c>
      <c r="Y36" s="9">
        <f t="shared" si="55"/>
        <v>0.79254419108160223</v>
      </c>
      <c r="Z36" s="13">
        <v>3</v>
      </c>
      <c r="AA36" s="13">
        <v>0.19339999999999999</v>
      </c>
      <c r="AB36" s="9">
        <f t="shared" si="56"/>
        <v>1.0965779999999998E-2</v>
      </c>
      <c r="AC36" s="9">
        <f t="shared" si="57"/>
        <v>0.87250122258947982</v>
      </c>
      <c r="AD36" s="13">
        <v>8</v>
      </c>
      <c r="AE36" s="13">
        <v>0.1116</v>
      </c>
      <c r="AF36" s="9">
        <f t="shared" si="58"/>
        <v>1.6873920000000001E-2</v>
      </c>
      <c r="AG36" s="9">
        <f t="shared" si="59"/>
        <v>0.82241190786129836</v>
      </c>
      <c r="AH36" s="13">
        <v>8.1</v>
      </c>
      <c r="AI36" s="387">
        <v>0.11030000000000001</v>
      </c>
      <c r="AJ36" s="9">
        <f t="shared" si="60"/>
        <v>1.6885827000000003E-2</v>
      </c>
      <c r="AK36" s="9">
        <f t="shared" si="61"/>
        <v>0.82231096010608795</v>
      </c>
      <c r="AL36" s="13">
        <v>1.4</v>
      </c>
      <c r="AM36" s="122">
        <f>(AM35*POWER($AM$40/$AM$35, 1/5))</f>
        <v>0.25444234976871538</v>
      </c>
      <c r="AN36" s="9">
        <f t="shared" si="62"/>
        <v>6.7325445748802086E-3</v>
      </c>
      <c r="AO36" s="9">
        <f t="shared" si="63"/>
        <v>0.90839066690314052</v>
      </c>
      <c r="AP36" s="13">
        <v>7.7</v>
      </c>
      <c r="AQ36" s="13">
        <v>0.1153</v>
      </c>
      <c r="AR36" s="9">
        <f t="shared" si="64"/>
        <v>1.6779608999999997E-2</v>
      </c>
      <c r="AS36" s="9">
        <f t="shared" si="65"/>
        <v>0.82321147817637719</v>
      </c>
      <c r="AT36" s="1">
        <v>1999</v>
      </c>
      <c r="AU36" s="13">
        <v>7.9</v>
      </c>
      <c r="AV36" s="13">
        <v>0.15049999999999999</v>
      </c>
      <c r="AW36" s="13">
        <f t="shared" si="23"/>
        <v>2.2471154999999996E-2</v>
      </c>
      <c r="AX36" s="13">
        <f t="shared" si="66"/>
        <v>0.91435680471933256</v>
      </c>
      <c r="AY36" s="13">
        <v>2.8</v>
      </c>
      <c r="AZ36" s="122">
        <f t="shared" ref="AZ36:AZ46" si="79">AZ35</f>
        <v>5.5099999999999996E-2</v>
      </c>
      <c r="BA36" s="13">
        <f t="shared" si="25"/>
        <v>2.9158919999999994E-3</v>
      </c>
      <c r="BB36" s="13">
        <f t="shared" si="67"/>
        <v>0.91647491172701478</v>
      </c>
      <c r="BC36" s="13">
        <v>6.5</v>
      </c>
      <c r="BD36" s="122">
        <f t="shared" si="77"/>
        <v>0.17469999999999999</v>
      </c>
      <c r="BE36" s="13">
        <f t="shared" si="27"/>
        <v>2.1461895000000002E-2</v>
      </c>
      <c r="BF36" s="13">
        <f t="shared" si="68"/>
        <v>0.9144661216167107</v>
      </c>
      <c r="BG36" s="13">
        <v>4.5</v>
      </c>
      <c r="BH36" s="13">
        <v>0.13009999999999999</v>
      </c>
      <c r="BI36" s="13">
        <f t="shared" si="29"/>
        <v>1.1065004999999999E-2</v>
      </c>
      <c r="BJ36" s="13">
        <f t="shared" si="69"/>
        <v>0.91559224943033812</v>
      </c>
      <c r="BK36" s="13">
        <v>3.9</v>
      </c>
      <c r="BL36" s="122">
        <f t="shared" ref="BL36:BL46" si="80">BL35</f>
        <v>0.11939999999999999</v>
      </c>
      <c r="BM36" s="13">
        <f t="shared" si="31"/>
        <v>8.8009739999999979E-3</v>
      </c>
      <c r="BN36" s="13">
        <f t="shared" si="70"/>
        <v>0.91583747548159156</v>
      </c>
      <c r="BO36" s="13">
        <v>13</v>
      </c>
      <c r="BP36" s="13">
        <v>0.151</v>
      </c>
      <c r="BQ36" s="13">
        <f t="shared" si="33"/>
        <v>3.7100699999999993E-2</v>
      </c>
      <c r="BR36" s="13">
        <f t="shared" si="71"/>
        <v>0.91277222149057702</v>
      </c>
      <c r="BS36" s="13">
        <v>6.1</v>
      </c>
      <c r="BT36" s="13">
        <v>0.15710000000000002</v>
      </c>
      <c r="BU36" s="13">
        <f t="shared" si="35"/>
        <v>1.8112059E-2</v>
      </c>
      <c r="BV36" s="13">
        <f t="shared" si="72"/>
        <v>0.91482895545362641</v>
      </c>
      <c r="BW36" s="13">
        <v>9.1</v>
      </c>
      <c r="BX36" s="13">
        <v>0.16070000000000001</v>
      </c>
      <c r="BY36" s="13">
        <f t="shared" si="37"/>
        <v>2.7638792999999998E-2</v>
      </c>
      <c r="BZ36" s="13">
        <f t="shared" si="73"/>
        <v>0.91379707763916163</v>
      </c>
      <c r="CA36" s="13">
        <v>2.8</v>
      </c>
      <c r="CB36" s="122">
        <f>CB35*(POWER($CB$39/$CB$35,1/4))</f>
        <v>0.16375850575447065</v>
      </c>
      <c r="CC36" s="13">
        <f t="shared" si="39"/>
        <v>8.6661001245265847E-3</v>
      </c>
      <c r="CD36" s="13">
        <f t="shared" si="74"/>
        <v>0.91585208419847719</v>
      </c>
      <c r="CE36" s="13">
        <v>2.6</v>
      </c>
      <c r="CF36" s="122">
        <f>CF35</f>
        <v>0.23139999999999999</v>
      </c>
      <c r="CG36" s="13">
        <f t="shared" si="41"/>
        <v>1.1370996E-2</v>
      </c>
      <c r="CH36" s="13">
        <f t="shared" si="75"/>
        <v>0.91555910634853011</v>
      </c>
      <c r="CI36" s="13">
        <v>10.5</v>
      </c>
      <c r="CJ36" s="13">
        <v>0.13769999999999999</v>
      </c>
      <c r="CK36" s="13">
        <f t="shared" si="43"/>
        <v>2.7326564999999997E-2</v>
      </c>
      <c r="CL36" s="13">
        <f t="shared" si="76"/>
        <v>0.91383089627482994</v>
      </c>
    </row>
    <row r="37" spans="1:90" ht="15" customHeight="1">
      <c r="A37" s="1">
        <v>2000</v>
      </c>
      <c r="B37" s="13">
        <v>7.6</v>
      </c>
      <c r="C37" s="13">
        <v>0.14630000000000001</v>
      </c>
      <c r="D37" s="9">
        <f t="shared" si="44"/>
        <v>2.1014531999999999E-2</v>
      </c>
      <c r="E37" s="9">
        <f t="shared" si="45"/>
        <v>0.78730772657323067</v>
      </c>
      <c r="F37" s="13">
        <v>17.100000000000001</v>
      </c>
      <c r="G37" s="13">
        <v>0.14529999999999998</v>
      </c>
      <c r="H37" s="9">
        <f t="shared" si="46"/>
        <v>4.6959506999999998E-2</v>
      </c>
      <c r="I37" s="9">
        <f t="shared" si="47"/>
        <v>0.56734577266052777</v>
      </c>
      <c r="J37" s="13">
        <v>13.4</v>
      </c>
      <c r="K37" s="13">
        <v>0.12920000000000001</v>
      </c>
      <c r="L37" s="9">
        <f t="shared" si="48"/>
        <v>3.2721192000000003E-2</v>
      </c>
      <c r="M37" s="9">
        <f t="shared" si="49"/>
        <v>0.68805845740293137</v>
      </c>
      <c r="N37" s="13">
        <v>17</v>
      </c>
      <c r="O37" s="13">
        <v>0.14880000000000002</v>
      </c>
      <c r="P37" s="9">
        <f t="shared" si="50"/>
        <v>4.7809440000000002E-2</v>
      </c>
      <c r="Q37" s="9">
        <f t="shared" si="51"/>
        <v>0.5601400257528939</v>
      </c>
      <c r="R37" s="13">
        <v>12.3</v>
      </c>
      <c r="S37" s="13">
        <v>0.1153</v>
      </c>
      <c r="T37" s="9">
        <f t="shared" si="52"/>
        <v>2.6803791E-2</v>
      </c>
      <c r="U37" s="9">
        <f t="shared" si="53"/>
        <v>0.73822628705183202</v>
      </c>
      <c r="V37" s="13">
        <v>11.1</v>
      </c>
      <c r="W37" s="13">
        <v>0.11650000000000001</v>
      </c>
      <c r="X37" s="9">
        <f t="shared" si="54"/>
        <v>2.4440534999999999E-2</v>
      </c>
      <c r="Y37" s="9">
        <f t="shared" si="55"/>
        <v>0.75826201294310458</v>
      </c>
      <c r="Z37" s="13">
        <v>4.7</v>
      </c>
      <c r="AA37" s="13">
        <v>0.2195</v>
      </c>
      <c r="AB37" s="9">
        <f t="shared" si="56"/>
        <v>1.9498184999999998E-2</v>
      </c>
      <c r="AC37" s="9">
        <f t="shared" si="57"/>
        <v>0.80016334308200221</v>
      </c>
      <c r="AD37" s="13">
        <v>8.5</v>
      </c>
      <c r="AE37" s="13">
        <v>0.15310000000000001</v>
      </c>
      <c r="AF37" s="9">
        <f t="shared" si="58"/>
        <v>2.4595515000000002E-2</v>
      </c>
      <c r="AG37" s="9">
        <f t="shared" si="59"/>
        <v>0.75694808978004924</v>
      </c>
      <c r="AH37" s="13">
        <v>10.5</v>
      </c>
      <c r="AI37" s="387">
        <v>0.09</v>
      </c>
      <c r="AJ37" s="9">
        <f t="shared" si="60"/>
        <v>1.7860499999999998E-2</v>
      </c>
      <c r="AK37" s="9">
        <f t="shared" si="61"/>
        <v>0.81404766528672678</v>
      </c>
      <c r="AL37" s="13">
        <v>2.2000000000000002</v>
      </c>
      <c r="AM37" s="122">
        <f t="shared" ref="AM37:AM39" si="81">(AM36*POWER($AM$40/$AM$35, 1/5))</f>
        <v>0.24329541283662268</v>
      </c>
      <c r="AN37" s="9">
        <f t="shared" si="62"/>
        <v>1.0116223265746772E-2</v>
      </c>
      <c r="AO37" s="9">
        <f t="shared" si="63"/>
        <v>0.87970377950950129</v>
      </c>
      <c r="AP37" s="13">
        <v>7.3</v>
      </c>
      <c r="AQ37" s="13">
        <v>0.1104</v>
      </c>
      <c r="AR37" s="9">
        <f t="shared" si="64"/>
        <v>1.5231887999999997E-2</v>
      </c>
      <c r="AS37" s="9">
        <f t="shared" si="65"/>
        <v>0.83633308400840134</v>
      </c>
      <c r="AT37" s="1">
        <v>2000</v>
      </c>
      <c r="AU37" s="13">
        <v>7.6</v>
      </c>
      <c r="AV37" s="13">
        <v>0.17550000000000002</v>
      </c>
      <c r="AW37" s="13">
        <f t="shared" si="23"/>
        <v>2.520882E-2</v>
      </c>
      <c r="AX37" s="13">
        <f t="shared" si="66"/>
        <v>0.91406027751736207</v>
      </c>
      <c r="AY37" s="13">
        <v>3.6</v>
      </c>
      <c r="AZ37" s="122">
        <f t="shared" si="79"/>
        <v>5.5099999999999996E-2</v>
      </c>
      <c r="BA37" s="13">
        <f t="shared" si="25"/>
        <v>3.7490039999999994E-3</v>
      </c>
      <c r="BB37" s="13">
        <f t="shared" si="67"/>
        <v>0.91638467410835522</v>
      </c>
      <c r="BC37" s="13">
        <v>5.9</v>
      </c>
      <c r="BD37" s="122">
        <f t="shared" si="77"/>
        <v>0.17469999999999999</v>
      </c>
      <c r="BE37" s="13">
        <f t="shared" si="27"/>
        <v>1.9480796999999998E-2</v>
      </c>
      <c r="BF37" s="13">
        <f t="shared" si="68"/>
        <v>0.91468070208830576</v>
      </c>
      <c r="BG37" s="13">
        <v>5.7</v>
      </c>
      <c r="BH37" s="13">
        <v>0.18590000000000001</v>
      </c>
      <c r="BI37" s="13">
        <f t="shared" si="29"/>
        <v>2.0027007000000003E-2</v>
      </c>
      <c r="BJ37" s="13">
        <f t="shared" si="69"/>
        <v>0.9146215399472154</v>
      </c>
      <c r="BK37" s="13">
        <v>3.4</v>
      </c>
      <c r="BL37" s="122">
        <f t="shared" si="80"/>
        <v>0.11939999999999999</v>
      </c>
      <c r="BM37" s="13">
        <f t="shared" si="31"/>
        <v>7.6726439999999993E-3</v>
      </c>
      <c r="BN37" s="13">
        <f t="shared" si="70"/>
        <v>0.9159596893163009</v>
      </c>
      <c r="BO37" s="13">
        <v>12.1</v>
      </c>
      <c r="BP37" s="13">
        <v>0.15859999999999999</v>
      </c>
      <c r="BQ37" s="13">
        <f t="shared" si="33"/>
        <v>3.6270233999999998E-2</v>
      </c>
      <c r="BR37" s="13">
        <f t="shared" si="71"/>
        <v>0.91286217251062929</v>
      </c>
      <c r="BS37" s="13">
        <v>6.1</v>
      </c>
      <c r="BT37" s="13">
        <v>0.22399999999999998</v>
      </c>
      <c r="BU37" s="13">
        <f t="shared" si="35"/>
        <v>2.5824959999999998E-2</v>
      </c>
      <c r="BV37" s="13">
        <f t="shared" si="72"/>
        <v>0.9139935409845058</v>
      </c>
      <c r="BW37" s="13">
        <v>9.4</v>
      </c>
      <c r="BX37" s="13">
        <v>0.17</v>
      </c>
      <c r="BY37" s="13">
        <f t="shared" si="37"/>
        <v>3.0202200000000002E-2</v>
      </c>
      <c r="BZ37" s="13">
        <f t="shared" si="73"/>
        <v>0.91351942500261851</v>
      </c>
      <c r="CA37" s="13">
        <v>2.5</v>
      </c>
      <c r="CB37" s="122">
        <f t="shared" ref="CB37:CB38" si="82">CB36*(POWER($CB$39/$CB$35,1/4))</f>
        <v>0.1444095218467259</v>
      </c>
      <c r="CC37" s="13">
        <f t="shared" si="39"/>
        <v>6.8233499072577978E-3</v>
      </c>
      <c r="CD37" s="13">
        <f t="shared" si="74"/>
        <v>0.91605167968070655</v>
      </c>
      <c r="CE37" s="13">
        <v>2.4</v>
      </c>
      <c r="CF37" s="122">
        <f t="shared" ref="CF37:CF46" si="83">CF36</f>
        <v>0.23139999999999999</v>
      </c>
      <c r="CG37" s="13">
        <f t="shared" si="41"/>
        <v>1.0496304E-2</v>
      </c>
      <c r="CH37" s="13">
        <f t="shared" si="75"/>
        <v>0.91565384765959112</v>
      </c>
      <c r="CI37" s="13">
        <v>9.6</v>
      </c>
      <c r="CJ37" s="13">
        <v>0.1313</v>
      </c>
      <c r="CK37" s="13">
        <f t="shared" si="43"/>
        <v>2.3823072000000001E-2</v>
      </c>
      <c r="CL37" s="13">
        <f t="shared" si="76"/>
        <v>0.91421037330230137</v>
      </c>
    </row>
    <row r="38" spans="1:90" ht="15" customHeight="1">
      <c r="A38" s="1">
        <v>2001</v>
      </c>
      <c r="B38" s="13">
        <v>8</v>
      </c>
      <c r="C38" s="13">
        <v>0.15340000000000001</v>
      </c>
      <c r="D38" s="9">
        <f t="shared" si="44"/>
        <v>2.3194079999999999E-2</v>
      </c>
      <c r="E38" s="9">
        <f t="shared" si="45"/>
        <v>0.76882948033377485</v>
      </c>
      <c r="F38" s="13">
        <v>18.2</v>
      </c>
      <c r="G38" s="13">
        <v>0.1346</v>
      </c>
      <c r="H38" s="9">
        <f t="shared" si="46"/>
        <v>4.6299707999999988E-2</v>
      </c>
      <c r="I38" s="9">
        <f t="shared" si="47"/>
        <v>0.57293956017543757</v>
      </c>
      <c r="J38" s="13">
        <v>12.2</v>
      </c>
      <c r="K38" s="13">
        <v>0.1326</v>
      </c>
      <c r="L38" s="9">
        <f t="shared" si="48"/>
        <v>3.0574907999999998E-2</v>
      </c>
      <c r="M38" s="9">
        <f t="shared" si="49"/>
        <v>0.70625469086592663</v>
      </c>
      <c r="N38" s="13">
        <v>13.7</v>
      </c>
      <c r="O38" s="13">
        <v>0.1409</v>
      </c>
      <c r="P38" s="9">
        <f t="shared" si="50"/>
        <v>3.6483236999999995E-2</v>
      </c>
      <c r="Q38" s="9">
        <f t="shared" si="51"/>
        <v>0.65616377379242441</v>
      </c>
      <c r="R38" s="13">
        <v>12.3</v>
      </c>
      <c r="S38" s="13">
        <v>0.13150000000000001</v>
      </c>
      <c r="T38" s="9">
        <f t="shared" si="52"/>
        <v>3.0569805000000002E-2</v>
      </c>
      <c r="U38" s="9">
        <f t="shared" si="53"/>
        <v>0.70629795418958807</v>
      </c>
      <c r="V38" s="13">
        <v>10.8</v>
      </c>
      <c r="W38" s="13">
        <v>0.1245</v>
      </c>
      <c r="X38" s="9">
        <f t="shared" si="54"/>
        <v>2.5412939999999998E-2</v>
      </c>
      <c r="Y38" s="9">
        <f t="shared" si="55"/>
        <v>0.75001794626759299</v>
      </c>
      <c r="Z38" s="13">
        <v>5.4</v>
      </c>
      <c r="AA38" s="13">
        <v>0.19359999999999999</v>
      </c>
      <c r="AB38" s="9">
        <f t="shared" si="56"/>
        <v>1.9758816000000002E-2</v>
      </c>
      <c r="AC38" s="9">
        <f t="shared" si="57"/>
        <v>0.79795370888462025</v>
      </c>
      <c r="AD38" s="13">
        <v>9.5</v>
      </c>
      <c r="AE38" s="13">
        <v>0.15310000000000001</v>
      </c>
      <c r="AF38" s="9">
        <f t="shared" si="58"/>
        <v>2.7489105E-2</v>
      </c>
      <c r="AG38" s="9">
        <f t="shared" si="59"/>
        <v>0.73241618291861432</v>
      </c>
      <c r="AH38" s="13">
        <v>11.5</v>
      </c>
      <c r="AI38" s="387">
        <v>0.1144</v>
      </c>
      <c r="AJ38" s="9">
        <f t="shared" si="60"/>
        <v>2.4864839999999999E-2</v>
      </c>
      <c r="AK38" s="9">
        <f t="shared" si="61"/>
        <v>0.75466474769791048</v>
      </c>
      <c r="AL38" s="13">
        <v>2.1</v>
      </c>
      <c r="AM38" s="122">
        <f t="shared" si="81"/>
        <v>0.23263681522021779</v>
      </c>
      <c r="AN38" s="9">
        <f t="shared" si="62"/>
        <v>9.2333551960904429E-3</v>
      </c>
      <c r="AO38" s="9">
        <f t="shared" si="63"/>
        <v>0.88718875051636259</v>
      </c>
      <c r="AP38" s="13">
        <v>8.6</v>
      </c>
      <c r="AQ38" s="13">
        <v>0.17030000000000001</v>
      </c>
      <c r="AR38" s="9">
        <f t="shared" si="64"/>
        <v>2.7680561999999999E-2</v>
      </c>
      <c r="AS38" s="9">
        <f t="shared" si="65"/>
        <v>0.73079300710864481</v>
      </c>
      <c r="AT38" s="1">
        <v>2001</v>
      </c>
      <c r="AU38" s="13">
        <v>6.7</v>
      </c>
      <c r="AV38" s="13">
        <v>0.19</v>
      </c>
      <c r="AW38" s="13">
        <f t="shared" si="23"/>
        <v>2.4059700000000003E-2</v>
      </c>
      <c r="AX38" s="13">
        <f t="shared" si="66"/>
        <v>0.91418474319827192</v>
      </c>
      <c r="AY38" s="13">
        <v>3.4</v>
      </c>
      <c r="AZ38" s="122">
        <f t="shared" si="79"/>
        <v>5.5099999999999996E-2</v>
      </c>
      <c r="BA38" s="13">
        <f t="shared" si="25"/>
        <v>3.5407259999999997E-3</v>
      </c>
      <c r="BB38" s="13">
        <f t="shared" si="67"/>
        <v>0.91640723351302</v>
      </c>
      <c r="BC38" s="13">
        <v>3.7</v>
      </c>
      <c r="BD38" s="122">
        <f t="shared" si="77"/>
        <v>0.17469999999999999</v>
      </c>
      <c r="BE38" s="13">
        <f t="shared" si="27"/>
        <v>1.2216771E-2</v>
      </c>
      <c r="BF38" s="13">
        <f t="shared" si="68"/>
        <v>0.91546749715082087</v>
      </c>
      <c r="BG38" s="13">
        <v>3</v>
      </c>
      <c r="BH38" s="122">
        <f>(BH37+BH39)/2</f>
        <v>0.15625</v>
      </c>
      <c r="BI38" s="13">
        <f t="shared" si="29"/>
        <v>8.8593749999999992E-3</v>
      </c>
      <c r="BJ38" s="13">
        <f t="shared" si="69"/>
        <v>0.91583114984090053</v>
      </c>
      <c r="BK38" s="13">
        <v>2.2999999999999998</v>
      </c>
      <c r="BL38" s="122">
        <f t="shared" si="80"/>
        <v>0.11939999999999999</v>
      </c>
      <c r="BM38" s="13">
        <f t="shared" si="31"/>
        <v>5.1903179999999993E-3</v>
      </c>
      <c r="BN38" s="13">
        <f t="shared" si="70"/>
        <v>0.91622855975266115</v>
      </c>
      <c r="BO38" s="13">
        <v>10.6</v>
      </c>
      <c r="BP38" s="13">
        <v>0.1431</v>
      </c>
      <c r="BQ38" s="13">
        <f t="shared" si="33"/>
        <v>2.8668654000000002E-2</v>
      </c>
      <c r="BR38" s="13">
        <f t="shared" si="71"/>
        <v>0.91368552936691172</v>
      </c>
      <c r="BS38" s="13">
        <v>5.2</v>
      </c>
      <c r="BT38" s="13">
        <v>0.26269999999999999</v>
      </c>
      <c r="BU38" s="13">
        <f t="shared" si="35"/>
        <v>2.5818155999999998E-2</v>
      </c>
      <c r="BV38" s="13">
        <f t="shared" si="72"/>
        <v>0.91399427795235322</v>
      </c>
      <c r="BW38" s="13">
        <v>8.6999999999999993</v>
      </c>
      <c r="BX38" s="13">
        <v>0.17010000000000003</v>
      </c>
      <c r="BY38" s="13">
        <f t="shared" si="37"/>
        <v>2.7969543000000003E-2</v>
      </c>
      <c r="BZ38" s="13">
        <f t="shared" si="73"/>
        <v>0.91376125281324183</v>
      </c>
      <c r="CA38" s="13">
        <v>2.8</v>
      </c>
      <c r="CB38" s="122">
        <f t="shared" si="82"/>
        <v>0.12734672867171468</v>
      </c>
      <c r="CC38" s="13">
        <f t="shared" si="39"/>
        <v>6.7391888813071394E-3</v>
      </c>
      <c r="CD38" s="13">
        <f t="shared" si="74"/>
        <v>0.91606079549054464</v>
      </c>
      <c r="CE38" s="13">
        <v>2.2000000000000002</v>
      </c>
      <c r="CF38" s="122">
        <f t="shared" si="83"/>
        <v>0.23139999999999999</v>
      </c>
      <c r="CG38" s="13">
        <f t="shared" si="41"/>
        <v>9.6216119999999981E-3</v>
      </c>
      <c r="CH38" s="13">
        <f t="shared" si="75"/>
        <v>0.91574858897065226</v>
      </c>
      <c r="CI38" s="13">
        <v>9.1</v>
      </c>
      <c r="CJ38" s="13">
        <v>0.17329999999999998</v>
      </c>
      <c r="CK38" s="13">
        <f t="shared" si="43"/>
        <v>2.9805866999999993E-2</v>
      </c>
      <c r="CL38" s="13">
        <f t="shared" si="76"/>
        <v>0.91356235337973501</v>
      </c>
    </row>
    <row r="39" spans="1:90" ht="15" customHeight="1">
      <c r="A39" s="1">
        <v>2002</v>
      </c>
      <c r="B39" s="13">
        <v>9.6999999999999993</v>
      </c>
      <c r="C39" s="13">
        <v>0.14610000000000001</v>
      </c>
      <c r="D39" s="9">
        <f t="shared" si="44"/>
        <v>2.6784512999999999E-2</v>
      </c>
      <c r="E39" s="9">
        <f t="shared" si="45"/>
        <v>0.73838972627455357</v>
      </c>
      <c r="F39" s="13">
        <v>14.9</v>
      </c>
      <c r="G39" s="13">
        <v>0.12359999999999999</v>
      </c>
      <c r="H39" s="9">
        <f t="shared" si="46"/>
        <v>3.4806996E-2</v>
      </c>
      <c r="I39" s="9">
        <f t="shared" si="47"/>
        <v>0.67037497444259198</v>
      </c>
      <c r="J39" s="13">
        <v>17.100000000000001</v>
      </c>
      <c r="K39" s="13">
        <v>0.1457</v>
      </c>
      <c r="L39" s="9">
        <f t="shared" si="48"/>
        <v>4.7088783000000002E-2</v>
      </c>
      <c r="M39" s="9">
        <f t="shared" si="49"/>
        <v>0.56624976846110109</v>
      </c>
      <c r="N39" s="13">
        <v>14.3</v>
      </c>
      <c r="O39" s="13">
        <v>0.12990000000000002</v>
      </c>
      <c r="P39" s="9">
        <f t="shared" si="50"/>
        <v>3.5108073000000004E-2</v>
      </c>
      <c r="Q39" s="9">
        <f t="shared" si="51"/>
        <v>0.66782243834655897</v>
      </c>
      <c r="R39" s="13">
        <v>15</v>
      </c>
      <c r="S39" s="13">
        <v>0.11900000000000001</v>
      </c>
      <c r="T39" s="9">
        <f t="shared" si="52"/>
        <v>3.3736500000000003E-2</v>
      </c>
      <c r="U39" s="9">
        <f t="shared" si="53"/>
        <v>0.67945065833959839</v>
      </c>
      <c r="V39" s="13">
        <v>13.3</v>
      </c>
      <c r="W39" s="13">
        <v>0.13980000000000001</v>
      </c>
      <c r="X39" s="9">
        <f t="shared" si="54"/>
        <v>3.5141526000000006E-2</v>
      </c>
      <c r="Y39" s="9">
        <f t="shared" si="55"/>
        <v>0.66753882322477753</v>
      </c>
      <c r="Z39" s="13">
        <v>6.5</v>
      </c>
      <c r="AA39" s="13">
        <v>0.14910000000000001</v>
      </c>
      <c r="AB39" s="9">
        <f t="shared" si="56"/>
        <v>1.8316934999999999E-2</v>
      </c>
      <c r="AC39" s="9">
        <f t="shared" si="57"/>
        <v>0.8101780013369968</v>
      </c>
      <c r="AD39" s="13">
        <v>9.6</v>
      </c>
      <c r="AE39" s="13">
        <v>0.15789999999999998</v>
      </c>
      <c r="AF39" s="9">
        <f t="shared" si="58"/>
        <v>2.8649375999999997E-2</v>
      </c>
      <c r="AG39" s="9">
        <f t="shared" si="59"/>
        <v>0.72257938499422825</v>
      </c>
      <c r="AH39" s="13">
        <v>14</v>
      </c>
      <c r="AI39" s="387">
        <v>0.12339999999999998</v>
      </c>
      <c r="AJ39" s="9">
        <f t="shared" si="60"/>
        <v>3.2651639999999996E-2</v>
      </c>
      <c r="AK39" s="9">
        <f t="shared" si="61"/>
        <v>0.68864812048098556</v>
      </c>
      <c r="AL39" s="13">
        <v>3</v>
      </c>
      <c r="AM39" s="122">
        <f t="shared" si="81"/>
        <v>0.22244516312417384</v>
      </c>
      <c r="AN39" s="9">
        <f t="shared" si="62"/>
        <v>1.2612640749140655E-2</v>
      </c>
      <c r="AO39" s="9">
        <f t="shared" si="63"/>
        <v>0.85853910822231938</v>
      </c>
      <c r="AP39" s="13">
        <v>12.4</v>
      </c>
      <c r="AQ39" s="13">
        <v>0.1671</v>
      </c>
      <c r="AR39" s="9">
        <f t="shared" si="64"/>
        <v>3.9161556E-2</v>
      </c>
      <c r="AS39" s="9">
        <f t="shared" si="65"/>
        <v>0.63345693825137972</v>
      </c>
      <c r="AT39" s="1">
        <v>2002</v>
      </c>
      <c r="AU39" s="13">
        <v>7.6</v>
      </c>
      <c r="AV39" s="13">
        <v>0.16510000000000002</v>
      </c>
      <c r="AW39" s="13">
        <f t="shared" si="23"/>
        <v>2.3714964000000002E-2</v>
      </c>
      <c r="AX39" s="13">
        <f t="shared" si="66"/>
        <v>0.91422208290254503</v>
      </c>
      <c r="AY39" s="13">
        <v>2.2000000000000002</v>
      </c>
      <c r="AZ39" s="122">
        <f t="shared" si="79"/>
        <v>5.5099999999999996E-2</v>
      </c>
      <c r="BA39" s="13">
        <f t="shared" si="25"/>
        <v>2.2910579999999999E-3</v>
      </c>
      <c r="BB39" s="13">
        <f t="shared" si="67"/>
        <v>0.91654258994100957</v>
      </c>
      <c r="BC39" s="13">
        <v>5.8</v>
      </c>
      <c r="BD39" s="122">
        <f t="shared" si="77"/>
        <v>0.17469999999999999</v>
      </c>
      <c r="BE39" s="13">
        <f t="shared" si="27"/>
        <v>1.9150613999999996E-2</v>
      </c>
      <c r="BF39" s="13">
        <f t="shared" si="68"/>
        <v>0.91471646550023811</v>
      </c>
      <c r="BG39" s="13">
        <v>4.0999999999999996</v>
      </c>
      <c r="BH39" s="13">
        <v>0.12659999999999999</v>
      </c>
      <c r="BI39" s="13">
        <f t="shared" si="29"/>
        <v>9.8102339999999993E-3</v>
      </c>
      <c r="BJ39" s="13">
        <f t="shared" si="69"/>
        <v>0.91572815858421341</v>
      </c>
      <c r="BK39" s="13">
        <v>2.9</v>
      </c>
      <c r="BL39" s="122">
        <f t="shared" si="80"/>
        <v>0.11939999999999999</v>
      </c>
      <c r="BM39" s="13">
        <f t="shared" si="31"/>
        <v>6.544313999999999E-3</v>
      </c>
      <c r="BN39" s="13">
        <f t="shared" si="70"/>
        <v>0.91608190315101012</v>
      </c>
      <c r="BO39" s="13">
        <v>11.8</v>
      </c>
      <c r="BP39" s="13">
        <v>0.15640000000000001</v>
      </c>
      <c r="BQ39" s="13">
        <f t="shared" si="33"/>
        <v>3.4880328000000002E-2</v>
      </c>
      <c r="BR39" s="13">
        <f t="shared" si="71"/>
        <v>0.91301271866480893</v>
      </c>
      <c r="BS39" s="13">
        <v>5.6</v>
      </c>
      <c r="BT39" s="13">
        <v>0.1754</v>
      </c>
      <c r="BU39" s="13">
        <f t="shared" si="35"/>
        <v>1.8564335999999997E-2</v>
      </c>
      <c r="BV39" s="13">
        <f t="shared" si="72"/>
        <v>0.9147799675630971</v>
      </c>
      <c r="BW39" s="13">
        <v>9.1</v>
      </c>
      <c r="BX39" s="13">
        <v>0.1469</v>
      </c>
      <c r="BY39" s="13">
        <f t="shared" si="37"/>
        <v>2.5265330999999995E-2</v>
      </c>
      <c r="BZ39" s="13">
        <f t="shared" si="73"/>
        <v>0.91405415658996203</v>
      </c>
      <c r="CA39" s="13">
        <v>3</v>
      </c>
      <c r="CB39" s="13">
        <v>0.11230000000000001</v>
      </c>
      <c r="CC39" s="13">
        <f t="shared" si="39"/>
        <v>6.3674100000000004E-3</v>
      </c>
      <c r="CD39" s="13">
        <f t="shared" si="74"/>
        <v>0.91610106431504501</v>
      </c>
      <c r="CE39" s="13">
        <v>2.2999999999999998</v>
      </c>
      <c r="CF39" s="122">
        <f t="shared" si="83"/>
        <v>0.23139999999999999</v>
      </c>
      <c r="CG39" s="13">
        <f t="shared" si="41"/>
        <v>1.0058957999999998E-2</v>
      </c>
      <c r="CH39" s="13">
        <f t="shared" si="75"/>
        <v>0.91570121831512175</v>
      </c>
      <c r="CI39" s="13">
        <v>11.7</v>
      </c>
      <c r="CJ39" s="13">
        <v>0.1739</v>
      </c>
      <c r="CK39" s="13">
        <f t="shared" si="43"/>
        <v>3.8454506999999992E-2</v>
      </c>
      <c r="CL39" s="13">
        <f t="shared" si="76"/>
        <v>0.91262558536025484</v>
      </c>
    </row>
    <row r="40" spans="1:90" ht="15" customHeight="1">
      <c r="A40" s="1">
        <v>2003</v>
      </c>
      <c r="B40" s="13">
        <v>9.1</v>
      </c>
      <c r="C40" s="13">
        <v>0.1618</v>
      </c>
      <c r="D40" s="9">
        <f t="shared" si="44"/>
        <v>2.7827982000000001E-2</v>
      </c>
      <c r="E40" s="9">
        <f t="shared" si="45"/>
        <v>0.72954317775842137</v>
      </c>
      <c r="F40" s="13">
        <v>19.2</v>
      </c>
      <c r="G40" s="13">
        <v>0.1018</v>
      </c>
      <c r="H40" s="9">
        <f t="shared" si="46"/>
        <v>3.6941183999999995E-2</v>
      </c>
      <c r="I40" s="9">
        <f t="shared" si="47"/>
        <v>0.65228129108012822</v>
      </c>
      <c r="J40" s="13">
        <v>19.7</v>
      </c>
      <c r="K40" s="13">
        <v>0.127</v>
      </c>
      <c r="L40" s="9">
        <f t="shared" si="48"/>
        <v>4.7285909999999994E-2</v>
      </c>
      <c r="M40" s="9">
        <f t="shared" si="49"/>
        <v>0.56457852229150773</v>
      </c>
      <c r="N40" s="13">
        <v>14.8</v>
      </c>
      <c r="O40" s="13">
        <v>0.11749999999999999</v>
      </c>
      <c r="P40" s="9">
        <f t="shared" si="50"/>
        <v>3.2867099999999996E-2</v>
      </c>
      <c r="Q40" s="9">
        <f t="shared" si="51"/>
        <v>0.68682144681527457</v>
      </c>
      <c r="R40" s="13">
        <v>15.5</v>
      </c>
      <c r="S40" s="13">
        <v>0.12590000000000001</v>
      </c>
      <c r="T40" s="9">
        <f t="shared" si="52"/>
        <v>3.6882405E-2</v>
      </c>
      <c r="U40" s="9">
        <f t="shared" si="53"/>
        <v>0.65277962047489657</v>
      </c>
      <c r="V40" s="13">
        <v>13</v>
      </c>
      <c r="W40" s="13">
        <v>0.1333</v>
      </c>
      <c r="X40" s="9">
        <f t="shared" si="54"/>
        <v>3.2751809999999999E-2</v>
      </c>
      <c r="Y40" s="9">
        <f t="shared" si="55"/>
        <v>0.68779887746096213</v>
      </c>
      <c r="Z40" s="13">
        <v>5.6</v>
      </c>
      <c r="AA40" s="13">
        <v>0.18760000000000002</v>
      </c>
      <c r="AB40" s="9">
        <f t="shared" si="56"/>
        <v>1.9855583999999996E-2</v>
      </c>
      <c r="AC40" s="9">
        <f t="shared" si="57"/>
        <v>0.79713330808037108</v>
      </c>
      <c r="AD40" s="13">
        <v>7.5</v>
      </c>
      <c r="AE40" s="13">
        <v>0.21429999999999999</v>
      </c>
      <c r="AF40" s="9">
        <f t="shared" si="58"/>
        <v>3.0377024999999998E-2</v>
      </c>
      <c r="AG40" s="9">
        <f t="shared" si="59"/>
        <v>0.70793234641680325</v>
      </c>
      <c r="AH40" s="13">
        <v>12.2</v>
      </c>
      <c r="AI40" s="387">
        <v>0.1016</v>
      </c>
      <c r="AJ40" s="9">
        <f t="shared" si="60"/>
        <v>2.3426928E-2</v>
      </c>
      <c r="AK40" s="9">
        <f t="shared" si="61"/>
        <v>0.76685539089855037</v>
      </c>
      <c r="AL40" s="13">
        <v>4.0999999999999996</v>
      </c>
      <c r="AM40" s="13">
        <v>0.2127</v>
      </c>
      <c r="AN40" s="9">
        <f t="shared" si="62"/>
        <v>1.6482122999999998E-2</v>
      </c>
      <c r="AO40" s="9">
        <f t="shared" si="63"/>
        <v>0.82573356971131506</v>
      </c>
      <c r="AP40" s="13">
        <v>10.6</v>
      </c>
      <c r="AQ40" s="13">
        <v>0.22059999999999999</v>
      </c>
      <c r="AR40" s="9">
        <f t="shared" si="64"/>
        <v>4.4195003999999996E-2</v>
      </c>
      <c r="AS40" s="9">
        <f t="shared" si="65"/>
        <v>0.59078327766785688</v>
      </c>
      <c r="AT40" s="1">
        <v>2003</v>
      </c>
      <c r="AU40" s="13">
        <v>6.8</v>
      </c>
      <c r="AV40" s="13">
        <v>0.18989999999999999</v>
      </c>
      <c r="AW40" s="13">
        <f t="shared" si="23"/>
        <v>2.4405947999999993E-2</v>
      </c>
      <c r="AX40" s="13">
        <f t="shared" si="66"/>
        <v>0.9141472397233662</v>
      </c>
      <c r="AY40" s="13">
        <v>2.1</v>
      </c>
      <c r="AZ40" s="122">
        <f t="shared" si="79"/>
        <v>5.5099999999999996E-2</v>
      </c>
      <c r="BA40" s="13">
        <f t="shared" si="25"/>
        <v>2.1869189999999998E-3</v>
      </c>
      <c r="BB40" s="13">
        <f t="shared" si="67"/>
        <v>0.91655386964334207</v>
      </c>
      <c r="BC40" s="13">
        <v>4.5</v>
      </c>
      <c r="BD40" s="122">
        <f t="shared" si="77"/>
        <v>0.17469999999999999</v>
      </c>
      <c r="BE40" s="13">
        <f t="shared" si="27"/>
        <v>1.4858235000000001E-2</v>
      </c>
      <c r="BF40" s="13">
        <f t="shared" si="68"/>
        <v>0.91518138985536079</v>
      </c>
      <c r="BG40" s="13">
        <v>5.0999999999999996</v>
      </c>
      <c r="BH40" s="13">
        <v>0.11269999999999999</v>
      </c>
      <c r="BI40" s="13">
        <f t="shared" si="29"/>
        <v>1.0863152999999997E-2</v>
      </c>
      <c r="BJ40" s="13">
        <f t="shared" si="69"/>
        <v>0.91561411280981375</v>
      </c>
      <c r="BK40" s="13">
        <v>2.9</v>
      </c>
      <c r="BL40" s="122">
        <f t="shared" si="80"/>
        <v>0.11939999999999999</v>
      </c>
      <c r="BM40" s="13">
        <f t="shared" si="31"/>
        <v>6.544313999999999E-3</v>
      </c>
      <c r="BN40" s="13">
        <f t="shared" si="70"/>
        <v>0.91608190315101012</v>
      </c>
      <c r="BO40" s="13">
        <v>10.3</v>
      </c>
      <c r="BP40" s="13">
        <v>0.16269999999999998</v>
      </c>
      <c r="BQ40" s="13">
        <f t="shared" si="33"/>
        <v>3.1672809000000003E-2</v>
      </c>
      <c r="BR40" s="13">
        <f t="shared" si="71"/>
        <v>0.91336013759091461</v>
      </c>
      <c r="BS40" s="13">
        <v>4.9000000000000004</v>
      </c>
      <c r="BT40" s="13">
        <v>0.2218</v>
      </c>
      <c r="BU40" s="13">
        <f t="shared" si="35"/>
        <v>2.0540898000000002E-2</v>
      </c>
      <c r="BV40" s="13">
        <f t="shared" si="72"/>
        <v>0.91456587840340042</v>
      </c>
      <c r="BW40" s="13">
        <v>8.1</v>
      </c>
      <c r="BX40" s="13">
        <v>0.15590000000000001</v>
      </c>
      <c r="BY40" s="13">
        <f t="shared" si="37"/>
        <v>2.3866731000000002E-2</v>
      </c>
      <c r="BZ40" s="13">
        <f t="shared" si="73"/>
        <v>0.91420564442528007</v>
      </c>
      <c r="CA40" s="13">
        <v>1.8</v>
      </c>
      <c r="CB40" s="122">
        <f>CB39*POWER($CB$42/$CB$39, 1/3)</f>
        <v>0.13267838146708744</v>
      </c>
      <c r="CC40" s="13">
        <f t="shared" si="39"/>
        <v>4.5137185375103139E-3</v>
      </c>
      <c r="CD40" s="13">
        <f t="shared" si="74"/>
        <v>0.9163018448863306</v>
      </c>
      <c r="CE40" s="13">
        <v>3.5</v>
      </c>
      <c r="CF40" s="122">
        <f t="shared" si="83"/>
        <v>0.23139999999999999</v>
      </c>
      <c r="CG40" s="13">
        <f t="shared" si="41"/>
        <v>1.5307110000000001E-2</v>
      </c>
      <c r="CH40" s="13">
        <f t="shared" si="75"/>
        <v>0.91513277044875541</v>
      </c>
      <c r="CI40" s="13">
        <v>10.4</v>
      </c>
      <c r="CJ40" s="13">
        <v>0.21530000000000002</v>
      </c>
      <c r="CK40" s="13">
        <f t="shared" si="43"/>
        <v>4.2319368000000003E-2</v>
      </c>
      <c r="CL40" s="13">
        <f t="shared" si="76"/>
        <v>0.91220696715154992</v>
      </c>
    </row>
    <row r="41" spans="1:90" ht="15" customHeight="1">
      <c r="A41" s="1">
        <v>2004</v>
      </c>
      <c r="B41" s="13">
        <v>8.6999999999999993</v>
      </c>
      <c r="C41" s="13">
        <v>0.14960000000000001</v>
      </c>
      <c r="D41" s="9">
        <f t="shared" si="44"/>
        <v>2.4598727999999997E-2</v>
      </c>
      <c r="E41" s="9">
        <f t="shared" si="45"/>
        <v>0.75692084990959563</v>
      </c>
      <c r="F41" s="13">
        <v>19.600000000000001</v>
      </c>
      <c r="G41" s="13">
        <v>0.11710000000000001</v>
      </c>
      <c r="H41" s="9">
        <f t="shared" si="46"/>
        <v>4.3378524000000009E-2</v>
      </c>
      <c r="I41" s="9">
        <f t="shared" si="47"/>
        <v>0.59770540945370909</v>
      </c>
      <c r="J41" s="13">
        <v>19.7</v>
      </c>
      <c r="K41" s="13">
        <v>0.13600000000000001</v>
      </c>
      <c r="L41" s="9">
        <f t="shared" si="48"/>
        <v>5.0636880000000002E-2</v>
      </c>
      <c r="M41" s="9">
        <f t="shared" si="49"/>
        <v>0.53616893975373869</v>
      </c>
      <c r="N41" s="13">
        <v>13</v>
      </c>
      <c r="O41" s="13">
        <v>0.12909999999999999</v>
      </c>
      <c r="P41" s="9">
        <f t="shared" si="50"/>
        <v>3.1719869999999997E-2</v>
      </c>
      <c r="Q41" s="9">
        <f t="shared" si="51"/>
        <v>0.69654768291252533</v>
      </c>
      <c r="R41" s="13">
        <v>16.2</v>
      </c>
      <c r="S41" s="13">
        <v>0.14249999999999999</v>
      </c>
      <c r="T41" s="9">
        <f t="shared" si="52"/>
        <v>4.3630649999999986E-2</v>
      </c>
      <c r="U41" s="9">
        <f t="shared" si="53"/>
        <v>0.59556788079576317</v>
      </c>
      <c r="V41" s="13">
        <v>12.6</v>
      </c>
      <c r="W41" s="13">
        <v>0.12970000000000001</v>
      </c>
      <c r="X41" s="9">
        <f t="shared" si="54"/>
        <v>3.0886758E-2</v>
      </c>
      <c r="Y41" s="9">
        <f t="shared" si="55"/>
        <v>0.703610821086608</v>
      </c>
      <c r="Z41" s="13">
        <v>5.0999999999999996</v>
      </c>
      <c r="AA41" s="13">
        <v>0.15289999999999998</v>
      </c>
      <c r="AB41" s="9">
        <f t="shared" si="56"/>
        <v>1.4738030999999997E-2</v>
      </c>
      <c r="AC41" s="9">
        <f t="shared" si="57"/>
        <v>0.84052001233164952</v>
      </c>
      <c r="AD41" s="13">
        <v>9</v>
      </c>
      <c r="AE41" s="13">
        <v>0.19320000000000001</v>
      </c>
      <c r="AF41" s="9">
        <f t="shared" si="58"/>
        <v>3.2863320000000001E-2</v>
      </c>
      <c r="AG41" s="9">
        <f t="shared" si="59"/>
        <v>0.68685349372169047</v>
      </c>
      <c r="AH41" s="13">
        <v>12.7</v>
      </c>
      <c r="AI41" s="387">
        <v>0.12380000000000002</v>
      </c>
      <c r="AJ41" s="9">
        <f t="shared" si="60"/>
        <v>2.9715714000000004E-2</v>
      </c>
      <c r="AK41" s="9">
        <f t="shared" si="61"/>
        <v>0.71353895269427947</v>
      </c>
      <c r="AL41" s="13">
        <v>2.9</v>
      </c>
      <c r="AM41" s="122">
        <f>((AM40+AM42)/2)</f>
        <v>0.15889999999999999</v>
      </c>
      <c r="AN41" s="9">
        <f t="shared" si="62"/>
        <v>8.7093089999999984E-3</v>
      </c>
      <c r="AO41" s="9">
        <f t="shared" si="63"/>
        <v>0.89163162337450075</v>
      </c>
      <c r="AP41" s="13">
        <v>10</v>
      </c>
      <c r="AQ41" s="13">
        <v>0.1807</v>
      </c>
      <c r="AR41" s="9">
        <f t="shared" si="64"/>
        <v>3.4152299999999997E-2</v>
      </c>
      <c r="AS41" s="9">
        <f t="shared" si="65"/>
        <v>0.67592549863384033</v>
      </c>
      <c r="AT41" s="1">
        <v>2004</v>
      </c>
      <c r="AU41" s="13">
        <v>5.6</v>
      </c>
      <c r="AV41" s="13">
        <v>0.17519999999999999</v>
      </c>
      <c r="AW41" s="13">
        <f t="shared" si="23"/>
        <v>1.8543167999999999E-2</v>
      </c>
      <c r="AX41" s="13">
        <f t="shared" si="66"/>
        <v>0.91478226035195598</v>
      </c>
      <c r="AY41" s="13">
        <v>2.2999999999999998</v>
      </c>
      <c r="AZ41" s="122">
        <f t="shared" si="79"/>
        <v>5.5099999999999996E-2</v>
      </c>
      <c r="BA41" s="13">
        <f t="shared" si="25"/>
        <v>2.3951969999999995E-3</v>
      </c>
      <c r="BB41" s="13">
        <f t="shared" si="67"/>
        <v>0.91653131023867718</v>
      </c>
      <c r="BC41" s="13">
        <v>3.9</v>
      </c>
      <c r="BD41" s="122">
        <f t="shared" si="77"/>
        <v>0.17469999999999999</v>
      </c>
      <c r="BE41" s="13">
        <f t="shared" si="27"/>
        <v>1.2877136999999999E-2</v>
      </c>
      <c r="BF41" s="13">
        <f t="shared" si="68"/>
        <v>0.91539597032695585</v>
      </c>
      <c r="BG41" s="13">
        <v>4.2</v>
      </c>
      <c r="BH41" s="122">
        <f>BH40</f>
        <v>0.11269999999999999</v>
      </c>
      <c r="BI41" s="13">
        <f t="shared" si="29"/>
        <v>8.9461259999999987E-3</v>
      </c>
      <c r="BJ41" s="13">
        <f t="shared" si="69"/>
        <v>0.91582175350084505</v>
      </c>
      <c r="BK41" s="13">
        <v>2.9</v>
      </c>
      <c r="BL41" s="122">
        <f t="shared" si="80"/>
        <v>0.11939999999999999</v>
      </c>
      <c r="BM41" s="13">
        <f t="shared" si="31"/>
        <v>6.544313999999999E-3</v>
      </c>
      <c r="BN41" s="13">
        <f t="shared" si="70"/>
        <v>0.91608190315101012</v>
      </c>
      <c r="BO41" s="13">
        <v>9.3000000000000007</v>
      </c>
      <c r="BP41" s="13">
        <v>0.1449</v>
      </c>
      <c r="BQ41" s="13">
        <f t="shared" si="33"/>
        <v>2.5469073000000002E-2</v>
      </c>
      <c r="BR41" s="13">
        <f t="shared" si="71"/>
        <v>0.91403208849719542</v>
      </c>
      <c r="BS41" s="13">
        <v>3.8</v>
      </c>
      <c r="BT41" s="13">
        <v>0.19109999999999999</v>
      </c>
      <c r="BU41" s="13">
        <f t="shared" si="35"/>
        <v>1.3724801999999999E-2</v>
      </c>
      <c r="BV41" s="13">
        <f t="shared" si="72"/>
        <v>0.91530415641595564</v>
      </c>
      <c r="BW41" s="13">
        <v>6.8</v>
      </c>
      <c r="BX41" s="13">
        <v>0.1736</v>
      </c>
      <c r="BY41" s="13">
        <f t="shared" si="37"/>
        <v>2.2311071999999998E-2</v>
      </c>
      <c r="BZ41" s="13">
        <f t="shared" si="73"/>
        <v>0.91437414393507765</v>
      </c>
      <c r="CA41" s="13">
        <v>2</v>
      </c>
      <c r="CB41" s="122">
        <f>CB40*POWER($CB$42/$CB$39, 1/3)</f>
        <v>0.15675470087912705</v>
      </c>
      <c r="CC41" s="13">
        <f t="shared" si="39"/>
        <v>5.9253276932310023E-3</v>
      </c>
      <c r="CD41" s="13">
        <f t="shared" si="74"/>
        <v>0.91614894797848334</v>
      </c>
      <c r="CE41" s="13">
        <v>2.5</v>
      </c>
      <c r="CF41" s="122">
        <f t="shared" si="83"/>
        <v>0.23139999999999999</v>
      </c>
      <c r="CG41" s="13">
        <f t="shared" si="41"/>
        <v>1.093365E-2</v>
      </c>
      <c r="CH41" s="13">
        <f t="shared" si="75"/>
        <v>0.91560647700406061</v>
      </c>
      <c r="CI41" s="13">
        <v>8</v>
      </c>
      <c r="CJ41" s="13">
        <v>0.20300000000000001</v>
      </c>
      <c r="CK41" s="13">
        <f t="shared" si="43"/>
        <v>3.0693600000000001E-2</v>
      </c>
      <c r="CL41" s="13">
        <f t="shared" si="76"/>
        <v>0.91346619954696628</v>
      </c>
    </row>
    <row r="42" spans="1:90" ht="15" customHeight="1">
      <c r="A42" s="1">
        <v>2005</v>
      </c>
      <c r="B42" s="13">
        <v>10.199999999999999</v>
      </c>
      <c r="C42" s="13">
        <v>0.13730000000000001</v>
      </c>
      <c r="D42" s="9">
        <f t="shared" si="44"/>
        <v>2.6468694000000001E-2</v>
      </c>
      <c r="E42" s="9">
        <f t="shared" si="45"/>
        <v>0.74106724530560886</v>
      </c>
      <c r="F42" s="13">
        <v>20.9</v>
      </c>
      <c r="G42" s="13">
        <v>0.1094</v>
      </c>
      <c r="H42" s="9">
        <f t="shared" si="46"/>
        <v>4.3214093999999995E-2</v>
      </c>
      <c r="I42" s="9">
        <f t="shared" si="47"/>
        <v>0.5990994498828045</v>
      </c>
      <c r="J42" s="13">
        <v>17.7</v>
      </c>
      <c r="K42" s="13">
        <v>0.13390000000000002</v>
      </c>
      <c r="L42" s="9">
        <f t="shared" si="48"/>
        <v>4.4793567000000006E-2</v>
      </c>
      <c r="M42" s="9">
        <f t="shared" si="49"/>
        <v>0.58570865003688588</v>
      </c>
      <c r="N42" s="13">
        <v>14.3</v>
      </c>
      <c r="O42" s="13">
        <v>0.1323</v>
      </c>
      <c r="P42" s="9">
        <f t="shared" si="50"/>
        <v>3.5756721000000005E-2</v>
      </c>
      <c r="Q42" s="9">
        <f t="shared" si="51"/>
        <v>0.66232318920557631</v>
      </c>
      <c r="R42" s="13">
        <v>13.7</v>
      </c>
      <c r="S42" s="13">
        <v>0.15710000000000002</v>
      </c>
      <c r="T42" s="9">
        <f t="shared" si="52"/>
        <v>4.0677903000000001E-2</v>
      </c>
      <c r="U42" s="9">
        <f t="shared" si="53"/>
        <v>0.62060132174260818</v>
      </c>
      <c r="V42" s="13">
        <v>15.3</v>
      </c>
      <c r="W42" s="13">
        <v>0.14150000000000001</v>
      </c>
      <c r="X42" s="9">
        <f t="shared" si="54"/>
        <v>4.0917555000000001E-2</v>
      </c>
      <c r="Y42" s="9">
        <f t="shared" si="55"/>
        <v>0.61856954787583485</v>
      </c>
      <c r="Z42" s="13">
        <v>6.5</v>
      </c>
      <c r="AA42" s="13">
        <v>0.1241</v>
      </c>
      <c r="AB42" s="9">
        <f t="shared" si="56"/>
        <v>1.5245684999999997E-2</v>
      </c>
      <c r="AC42" s="9">
        <f t="shared" si="57"/>
        <v>0.83621611279998309</v>
      </c>
      <c r="AD42" s="13">
        <v>10.5</v>
      </c>
      <c r="AE42" s="13">
        <v>0.17859999999999998</v>
      </c>
      <c r="AF42" s="9">
        <f t="shared" si="58"/>
        <v>3.5443169999999996E-2</v>
      </c>
      <c r="AG42" s="9">
        <f t="shared" si="59"/>
        <v>0.66498148009278224</v>
      </c>
      <c r="AH42" s="13">
        <v>17.3</v>
      </c>
      <c r="AI42" s="387">
        <v>0.13489999999999999</v>
      </c>
      <c r="AJ42" s="9">
        <f t="shared" si="60"/>
        <v>4.4108253E-2</v>
      </c>
      <c r="AK42" s="9">
        <f t="shared" si="61"/>
        <v>0.59151875417010369</v>
      </c>
      <c r="AL42" s="13">
        <v>3.6</v>
      </c>
      <c r="AM42" s="13">
        <v>0.1051</v>
      </c>
      <c r="AN42" s="9">
        <f t="shared" si="62"/>
        <v>7.1510039999999999E-3</v>
      </c>
      <c r="AO42" s="9">
        <f t="shared" si="63"/>
        <v>0.90484296054448976</v>
      </c>
      <c r="AP42" s="13">
        <v>10.6</v>
      </c>
      <c r="AQ42" s="13">
        <v>0.1492</v>
      </c>
      <c r="AR42" s="9">
        <f t="shared" si="64"/>
        <v>2.9890728000000002E-2</v>
      </c>
      <c r="AS42" s="9">
        <f t="shared" si="65"/>
        <v>0.71205518092721942</v>
      </c>
      <c r="AT42" s="1">
        <v>2005</v>
      </c>
      <c r="AU42" s="13">
        <v>6.2</v>
      </c>
      <c r="AV42" s="13">
        <v>0.152</v>
      </c>
      <c r="AW42" s="13">
        <f t="shared" si="23"/>
        <v>1.7811359999999998E-2</v>
      </c>
      <c r="AX42" s="13">
        <f t="shared" si="66"/>
        <v>0.91486152533821985</v>
      </c>
      <c r="AY42" s="13">
        <v>1.1000000000000001</v>
      </c>
      <c r="AZ42" s="122">
        <f t="shared" si="79"/>
        <v>5.5099999999999996E-2</v>
      </c>
      <c r="BA42" s="13">
        <f t="shared" si="25"/>
        <v>1.1455289999999999E-3</v>
      </c>
      <c r="BB42" s="13">
        <f t="shared" si="67"/>
        <v>0.91666666666666663</v>
      </c>
      <c r="BC42" s="13">
        <v>5.3</v>
      </c>
      <c r="BD42" s="122">
        <f t="shared" si="77"/>
        <v>0.17469999999999999</v>
      </c>
      <c r="BE42" s="13">
        <f t="shared" si="27"/>
        <v>1.7499698999999997E-2</v>
      </c>
      <c r="BF42" s="13">
        <f t="shared" si="68"/>
        <v>0.91489528255990071</v>
      </c>
      <c r="BG42" s="13">
        <v>3</v>
      </c>
      <c r="BH42" s="122">
        <f t="shared" ref="BH42:BH46" si="84">BH41</f>
        <v>0.11269999999999999</v>
      </c>
      <c r="BI42" s="13">
        <f t="shared" si="29"/>
        <v>6.3900899999999984E-3</v>
      </c>
      <c r="BJ42" s="13">
        <f t="shared" si="69"/>
        <v>0.9160986077555533</v>
      </c>
      <c r="BK42" s="13">
        <v>3.5</v>
      </c>
      <c r="BL42" s="122">
        <f t="shared" si="80"/>
        <v>0.11939999999999999</v>
      </c>
      <c r="BM42" s="13">
        <f t="shared" si="31"/>
        <v>7.8983099999999987E-3</v>
      </c>
      <c r="BN42" s="13">
        <f t="shared" si="70"/>
        <v>0.91593524654935898</v>
      </c>
      <c r="BO42" s="13">
        <v>10.4</v>
      </c>
      <c r="BP42" s="13">
        <v>0.14369999999999999</v>
      </c>
      <c r="BQ42" s="13">
        <f t="shared" si="33"/>
        <v>2.8245671999999999E-2</v>
      </c>
      <c r="BR42" s="13">
        <f t="shared" si="71"/>
        <v>0.91373134420143087</v>
      </c>
      <c r="BS42" s="13">
        <v>4.0999999999999996</v>
      </c>
      <c r="BT42" s="13">
        <v>0.15609999999999999</v>
      </c>
      <c r="BU42" s="13">
        <f t="shared" si="35"/>
        <v>1.2096188999999997E-2</v>
      </c>
      <c r="BV42" s="13">
        <f t="shared" si="72"/>
        <v>0.9154805578587849</v>
      </c>
      <c r="BW42" s="13">
        <v>9.1</v>
      </c>
      <c r="BX42" s="13">
        <v>0.15579999999999999</v>
      </c>
      <c r="BY42" s="13">
        <f t="shared" si="37"/>
        <v>2.6796041999999992E-2</v>
      </c>
      <c r="BZ42" s="13">
        <f t="shared" si="73"/>
        <v>0.91388835929560508</v>
      </c>
      <c r="CA42" s="13">
        <v>3.3</v>
      </c>
      <c r="CB42" s="13">
        <v>0.1852</v>
      </c>
      <c r="CC42" s="13">
        <f t="shared" si="39"/>
        <v>1.1550923999999997E-2</v>
      </c>
      <c r="CD42" s="13">
        <f t="shared" si="74"/>
        <v>0.91553961764322978</v>
      </c>
      <c r="CE42" s="13">
        <v>3.2</v>
      </c>
      <c r="CF42" s="122">
        <f t="shared" si="83"/>
        <v>0.23139999999999999</v>
      </c>
      <c r="CG42" s="13">
        <f t="shared" si="41"/>
        <v>1.3995072000000001E-2</v>
      </c>
      <c r="CH42" s="13">
        <f t="shared" si="75"/>
        <v>0.91527488241534694</v>
      </c>
      <c r="CI42" s="13">
        <v>7.9</v>
      </c>
      <c r="CJ42" s="13">
        <v>0.16739999999999999</v>
      </c>
      <c r="CK42" s="13">
        <f t="shared" si="43"/>
        <v>2.4994493999999999E-2</v>
      </c>
      <c r="CL42" s="13">
        <f t="shared" si="76"/>
        <v>0.91408349200455807</v>
      </c>
    </row>
    <row r="43" spans="1:90" ht="15" customHeight="1">
      <c r="A43" s="1">
        <v>2006</v>
      </c>
      <c r="B43" s="13">
        <v>9.4</v>
      </c>
      <c r="C43" s="13">
        <v>0.1431</v>
      </c>
      <c r="D43" s="9">
        <f>B43*C43/100*$E$59</f>
        <v>2.5423146000000001E-2</v>
      </c>
      <c r="E43" s="9">
        <f t="shared" si="45"/>
        <v>0.74993141962026966</v>
      </c>
      <c r="F43" s="13">
        <v>20.5</v>
      </c>
      <c r="G43" s="13">
        <v>0.1275</v>
      </c>
      <c r="H43" s="9">
        <f t="shared" si="46"/>
        <v>4.9399875000000003E-2</v>
      </c>
      <c r="I43" s="9">
        <f t="shared" si="47"/>
        <v>0.54665628987836901</v>
      </c>
      <c r="J43" s="13">
        <v>12.9</v>
      </c>
      <c r="K43" s="13">
        <v>0.14730000000000001</v>
      </c>
      <c r="L43" s="9">
        <f>J43*K43/100*$E$59</f>
        <v>3.5913212999999999E-2</v>
      </c>
      <c r="M43" s="9">
        <f t="shared" si="49"/>
        <v>0.66099644727995466</v>
      </c>
      <c r="N43" s="13">
        <v>13.2</v>
      </c>
      <c r="O43" s="13">
        <v>0.15640000000000001</v>
      </c>
      <c r="P43" s="9">
        <f>N43*O43/100*$E$59</f>
        <v>3.9018671999999997E-2</v>
      </c>
      <c r="Q43" s="9">
        <f t="shared" si="51"/>
        <v>0.63466831131390389</v>
      </c>
      <c r="R43" s="13">
        <v>14.9</v>
      </c>
      <c r="S43" s="13">
        <v>0.13720000000000002</v>
      </c>
      <c r="T43" s="9">
        <f>R43*S43/100*$E$59</f>
        <v>3.8636891999999999E-2</v>
      </c>
      <c r="U43" s="9">
        <f t="shared" si="53"/>
        <v>0.63790504886191812</v>
      </c>
      <c r="V43" s="13">
        <v>14.4</v>
      </c>
      <c r="W43" s="13">
        <v>0.12380000000000001</v>
      </c>
      <c r="X43" s="9">
        <f>V43*W43/100*$E$59</f>
        <v>3.3693408000000001E-2</v>
      </c>
      <c r="Y43" s="9">
        <f t="shared" si="55"/>
        <v>0.67981599307274054</v>
      </c>
      <c r="Z43" s="13">
        <v>6.1</v>
      </c>
      <c r="AA43" s="13">
        <v>0.16789999999999999</v>
      </c>
      <c r="AB43" s="9">
        <f>Z43*AA43/100*$E$59</f>
        <v>1.9357190999999999E-2</v>
      </c>
      <c r="AC43" s="9">
        <f t="shared" si="57"/>
        <v>0.80135869269131843</v>
      </c>
      <c r="AD43" s="13">
        <v>8.9</v>
      </c>
      <c r="AE43" s="13">
        <v>0.14000000000000001</v>
      </c>
      <c r="AF43" s="9">
        <f>AD43*AE43/100*$E$59</f>
        <v>2.3549400000000002E-2</v>
      </c>
      <c r="AG43" s="9">
        <f t="shared" si="59"/>
        <v>0.76581707113067254</v>
      </c>
      <c r="AH43" s="13">
        <v>14.7</v>
      </c>
      <c r="AI43" s="387">
        <v>0.13419999999999999</v>
      </c>
      <c r="AJ43" s="9">
        <f>AH43*AI43/100*$E$59</f>
        <v>3.7284785999999986E-2</v>
      </c>
      <c r="AK43" s="9">
        <f t="shared" si="61"/>
        <v>0.64936822728691534</v>
      </c>
      <c r="AL43" s="13">
        <v>2.4</v>
      </c>
      <c r="AM43" s="122">
        <f>((AM42+AM44)/2)</f>
        <v>0.1678</v>
      </c>
      <c r="AN43" s="9">
        <f>AL43*AM43/100*$E$59</f>
        <v>7.6114079999999992E-3</v>
      </c>
      <c r="AO43" s="9">
        <f t="shared" si="63"/>
        <v>0.90093964734302301</v>
      </c>
      <c r="AP43" s="13">
        <v>9.5</v>
      </c>
      <c r="AQ43" s="13">
        <v>0.1265</v>
      </c>
      <c r="AR43" s="9">
        <f>AP43*AQ43/100*$E$59</f>
        <v>2.2713074999999999E-2</v>
      </c>
      <c r="AS43" s="9">
        <f t="shared" si="65"/>
        <v>0.77290744917520871</v>
      </c>
      <c r="AT43" s="1">
        <v>2006</v>
      </c>
      <c r="AU43" s="13">
        <v>5.4</v>
      </c>
      <c r="AV43" s="13">
        <v>0.16149999999999998</v>
      </c>
      <c r="AW43" s="13">
        <f t="shared" si="23"/>
        <v>1.6482689999999998E-2</v>
      </c>
      <c r="AX43" s="13">
        <f t="shared" si="66"/>
        <v>0.91500543878177187</v>
      </c>
      <c r="AY43" s="13">
        <v>2.4</v>
      </c>
      <c r="AZ43" s="122">
        <f t="shared" si="79"/>
        <v>5.5099999999999996E-2</v>
      </c>
      <c r="BA43" s="13">
        <f t="shared" si="25"/>
        <v>2.499336E-3</v>
      </c>
      <c r="BB43" s="13">
        <f t="shared" si="67"/>
        <v>0.91652003053634479</v>
      </c>
      <c r="BC43" s="13">
        <v>4.8</v>
      </c>
      <c r="BD43" s="122">
        <f t="shared" si="77"/>
        <v>0.17469999999999999</v>
      </c>
      <c r="BE43" s="13">
        <f t="shared" si="27"/>
        <v>1.5848783999999998E-2</v>
      </c>
      <c r="BF43" s="13">
        <f t="shared" si="68"/>
        <v>0.91507409961956343</v>
      </c>
      <c r="BG43" s="13">
        <v>3</v>
      </c>
      <c r="BH43" s="122">
        <f t="shared" si="84"/>
        <v>0.11269999999999999</v>
      </c>
      <c r="BI43" s="13">
        <f t="shared" si="29"/>
        <v>6.3900899999999984E-3</v>
      </c>
      <c r="BJ43" s="13">
        <f t="shared" si="69"/>
        <v>0.9160986077555533</v>
      </c>
      <c r="BK43" s="13">
        <v>2.9</v>
      </c>
      <c r="BL43" s="122">
        <f t="shared" si="80"/>
        <v>0.11939999999999999</v>
      </c>
      <c r="BM43" s="13">
        <f t="shared" si="31"/>
        <v>6.544313999999999E-3</v>
      </c>
      <c r="BN43" s="13">
        <f t="shared" si="70"/>
        <v>0.91608190315101012</v>
      </c>
      <c r="BO43" s="13">
        <v>9.4</v>
      </c>
      <c r="BP43" s="13">
        <v>0.12179999999999999</v>
      </c>
      <c r="BQ43" s="13">
        <f t="shared" si="33"/>
        <v>2.1638987999999998E-2</v>
      </c>
      <c r="BR43" s="13">
        <f t="shared" si="71"/>
        <v>0.91444693998134685</v>
      </c>
      <c r="BS43" s="13">
        <v>3.9</v>
      </c>
      <c r="BT43" s="13">
        <v>0.20420000000000002</v>
      </c>
      <c r="BU43" s="13">
        <f t="shared" si="35"/>
        <v>1.5051581999999999E-2</v>
      </c>
      <c r="BV43" s="13">
        <f t="shared" si="72"/>
        <v>0.9151604476856946</v>
      </c>
      <c r="BW43" s="13">
        <v>6.4</v>
      </c>
      <c r="BX43" s="13">
        <v>0.1363</v>
      </c>
      <c r="BY43" s="13">
        <f t="shared" si="37"/>
        <v>1.6486847999999998E-2</v>
      </c>
      <c r="BZ43" s="13">
        <f t="shared" si="73"/>
        <v>0.91500498841253175</v>
      </c>
      <c r="CA43" s="13">
        <v>2.2999999999999998</v>
      </c>
      <c r="CB43" s="122">
        <f>CB42</f>
        <v>0.1852</v>
      </c>
      <c r="CC43" s="13">
        <f t="shared" si="39"/>
        <v>8.0506439999999992E-3</v>
      </c>
      <c r="CD43" s="13">
        <f t="shared" si="74"/>
        <v>0.91591874665810669</v>
      </c>
      <c r="CE43" s="13">
        <v>2.4</v>
      </c>
      <c r="CF43" s="122">
        <f t="shared" si="83"/>
        <v>0.23139999999999999</v>
      </c>
      <c r="CG43" s="13">
        <f t="shared" si="41"/>
        <v>1.0496304E-2</v>
      </c>
      <c r="CH43" s="13">
        <f t="shared" si="75"/>
        <v>0.91565384765959112</v>
      </c>
      <c r="CI43" s="13">
        <v>5.7</v>
      </c>
      <c r="CJ43" s="13">
        <v>0.15079999999999999</v>
      </c>
      <c r="CK43" s="13">
        <f t="shared" si="43"/>
        <v>1.6245684E-2</v>
      </c>
      <c r="CL43" s="13">
        <f t="shared" si="76"/>
        <v>0.91503110982845959</v>
      </c>
    </row>
    <row r="44" spans="1:90" ht="15" customHeight="1">
      <c r="A44" s="1">
        <v>2007</v>
      </c>
      <c r="B44" s="13">
        <v>10.4</v>
      </c>
      <c r="C44" s="13">
        <v>0.13769999999999999</v>
      </c>
      <c r="D44" s="9">
        <f>B44*C44/100*$E$59</f>
        <v>2.7066311999999999E-2</v>
      </c>
      <c r="E44" s="9">
        <f t="shared" si="45"/>
        <v>0.736000629401242</v>
      </c>
      <c r="F44" s="13">
        <v>22.5</v>
      </c>
      <c r="G44" s="13">
        <v>0.1023</v>
      </c>
      <c r="H44" s="9">
        <f t="shared" si="46"/>
        <v>4.3503075000000002E-2</v>
      </c>
      <c r="I44" s="9">
        <f t="shared" si="47"/>
        <v>0.59664946388730244</v>
      </c>
      <c r="J44" s="13">
        <v>14.2</v>
      </c>
      <c r="K44" s="13">
        <v>0.14099999999999999</v>
      </c>
      <c r="L44" s="9">
        <f>J44*K44/100*$E$59</f>
        <v>3.7841579999999993E-2</v>
      </c>
      <c r="M44" s="9">
        <f t="shared" si="49"/>
        <v>0.64464771797184106</v>
      </c>
      <c r="N44" s="13">
        <v>16.2</v>
      </c>
      <c r="O44" s="13">
        <v>0.1394</v>
      </c>
      <c r="P44" s="9">
        <f>N44*O44/100*$E$59</f>
        <v>4.2681491999999994E-2</v>
      </c>
      <c r="Q44" s="9">
        <f t="shared" si="51"/>
        <v>0.60361485899681655</v>
      </c>
      <c r="R44" s="13">
        <v>15.5</v>
      </c>
      <c r="S44" s="13">
        <v>0.1323</v>
      </c>
      <c r="T44" s="9">
        <f>R44*S44/100*$E$59</f>
        <v>3.8757284999999995E-2</v>
      </c>
      <c r="U44" s="9">
        <f t="shared" si="53"/>
        <v>0.63688435489256912</v>
      </c>
      <c r="V44" s="13">
        <v>17.2</v>
      </c>
      <c r="W44" s="13">
        <v>0.1234</v>
      </c>
      <c r="X44" s="9">
        <f t="shared" ref="X44:X46" si="85">V44*W44/100*$E$59</f>
        <v>4.0114871999999996E-2</v>
      </c>
      <c r="Y44" s="9">
        <f t="shared" si="55"/>
        <v>0.62537470845326881</v>
      </c>
      <c r="Z44" s="13">
        <v>6.2</v>
      </c>
      <c r="AA44" s="13">
        <v>0.12809999999999999</v>
      </c>
      <c r="AB44" s="9">
        <f t="shared" ref="AB44:AB46" si="86">Z44*AA44/100*$E$59</f>
        <v>1.5010757999999999E-2</v>
      </c>
      <c r="AC44" s="9">
        <f t="shared" si="57"/>
        <v>0.83820782803373639</v>
      </c>
      <c r="AD44" s="13">
        <v>10.9</v>
      </c>
      <c r="AE44" s="13">
        <v>0.14760000000000001</v>
      </c>
      <c r="AF44" s="9">
        <f>AD44*AE44/100*$E$59</f>
        <v>3.0407075999999998E-2</v>
      </c>
      <c r="AG44" s="9">
        <f t="shared" si="59"/>
        <v>0.70767757351079619</v>
      </c>
      <c r="AH44" s="13">
        <v>11.5</v>
      </c>
      <c r="AI44" s="387">
        <v>0.1663</v>
      </c>
      <c r="AJ44" s="9">
        <f>AH44*AI44/100*$E$59</f>
        <v>3.6145304999999996E-2</v>
      </c>
      <c r="AK44" s="9">
        <f t="shared" si="61"/>
        <v>0.65902876722601345</v>
      </c>
      <c r="AL44" s="13">
        <v>3.1</v>
      </c>
      <c r="AM44" s="13">
        <v>0.23050000000000001</v>
      </c>
      <c r="AN44" s="9">
        <f>AL44*AM44/100*$E$59</f>
        <v>1.3504994999999999E-2</v>
      </c>
      <c r="AO44" s="9">
        <f t="shared" si="63"/>
        <v>0.85097371320454329</v>
      </c>
      <c r="AP44" s="13">
        <v>9.8000000000000007</v>
      </c>
      <c r="AQ44" s="13">
        <v>0.1812</v>
      </c>
      <c r="AR44" s="9">
        <f>AP44*AQ44/100*$E$59</f>
        <v>3.3561864000000004E-2</v>
      </c>
      <c r="AS44" s="9">
        <f t="shared" si="65"/>
        <v>0.68093122541601692</v>
      </c>
      <c r="AT44" s="1">
        <v>2007</v>
      </c>
      <c r="AU44" s="13">
        <v>4.9000000000000004</v>
      </c>
      <c r="AV44" s="13">
        <v>0.16539999999999999</v>
      </c>
      <c r="AW44" s="13">
        <f t="shared" si="23"/>
        <v>1.5317694E-2</v>
      </c>
      <c r="AX44" s="13">
        <f t="shared" si="66"/>
        <v>0.91513162405432591</v>
      </c>
      <c r="AY44" s="13">
        <v>2.1</v>
      </c>
      <c r="AZ44" s="122">
        <f t="shared" si="79"/>
        <v>5.5099999999999996E-2</v>
      </c>
      <c r="BA44" s="13">
        <f t="shared" si="25"/>
        <v>2.1869189999999998E-3</v>
      </c>
      <c r="BB44" s="13">
        <f t="shared" si="67"/>
        <v>0.91655386964334207</v>
      </c>
      <c r="BC44" s="13">
        <v>2.8</v>
      </c>
      <c r="BD44" s="122">
        <f t="shared" si="77"/>
        <v>0.17469999999999999</v>
      </c>
      <c r="BE44" s="13">
        <f t="shared" si="27"/>
        <v>9.2451239999999987E-3</v>
      </c>
      <c r="BF44" s="13">
        <f t="shared" si="68"/>
        <v>0.91578936785821352</v>
      </c>
      <c r="BG44" s="13">
        <v>3</v>
      </c>
      <c r="BH44" s="122">
        <f t="shared" si="84"/>
        <v>0.11269999999999999</v>
      </c>
      <c r="BI44" s="13">
        <f t="shared" si="29"/>
        <v>6.3900899999999984E-3</v>
      </c>
      <c r="BJ44" s="13">
        <f t="shared" si="69"/>
        <v>0.9160986077555533</v>
      </c>
      <c r="BK44" s="13">
        <v>2.8</v>
      </c>
      <c r="BL44" s="122">
        <f t="shared" si="80"/>
        <v>0.11939999999999999</v>
      </c>
      <c r="BM44" s="13">
        <f t="shared" si="31"/>
        <v>6.3186479999999988E-3</v>
      </c>
      <c r="BN44" s="13">
        <f t="shared" si="70"/>
        <v>0.91610634591795181</v>
      </c>
      <c r="BO44" s="13">
        <v>8.6999999999999993</v>
      </c>
      <c r="BP44" s="13">
        <v>0.14449999999999999</v>
      </c>
      <c r="BQ44" s="13">
        <f t="shared" si="33"/>
        <v>2.3760134999999995E-2</v>
      </c>
      <c r="BR44" s="13">
        <f t="shared" si="71"/>
        <v>0.91421719025489079</v>
      </c>
      <c r="BS44" s="13">
        <v>3</v>
      </c>
      <c r="BT44" s="13">
        <v>0.15960000000000002</v>
      </c>
      <c r="BU44" s="13">
        <f t="shared" si="35"/>
        <v>9.0493200000000013E-3</v>
      </c>
      <c r="BV44" s="13">
        <f t="shared" si="72"/>
        <v>0.91581057615515793</v>
      </c>
      <c r="BW44" s="13">
        <v>7.3</v>
      </c>
      <c r="BX44" s="13">
        <v>0.151</v>
      </c>
      <c r="BY44" s="13">
        <f t="shared" si="37"/>
        <v>2.0833469999999996E-2</v>
      </c>
      <c r="BZ44" s="13">
        <f t="shared" si="73"/>
        <v>0.91453418878595838</v>
      </c>
      <c r="CA44" s="13">
        <v>2.6</v>
      </c>
      <c r="CB44" s="122">
        <f t="shared" ref="CB44:CB46" si="87">CB43</f>
        <v>0.1852</v>
      </c>
      <c r="CC44" s="13">
        <f t="shared" si="39"/>
        <v>9.1007280000000006E-3</v>
      </c>
      <c r="CD44" s="13">
        <f t="shared" si="74"/>
        <v>0.91580500795364361</v>
      </c>
      <c r="CE44" s="13">
        <v>2.4</v>
      </c>
      <c r="CF44" s="122">
        <f t="shared" si="83"/>
        <v>0.23139999999999999</v>
      </c>
      <c r="CG44" s="13">
        <f t="shared" si="41"/>
        <v>1.0496304E-2</v>
      </c>
      <c r="CH44" s="13">
        <f t="shared" si="75"/>
        <v>0.91565384765959112</v>
      </c>
      <c r="CI44" s="13">
        <v>5.7</v>
      </c>
      <c r="CJ44" s="13">
        <v>0.223</v>
      </c>
      <c r="CK44" s="13">
        <f t="shared" si="43"/>
        <v>2.4023790000000003E-2</v>
      </c>
      <c r="CL44" s="13">
        <f t="shared" si="76"/>
        <v>0.91418863275080053</v>
      </c>
    </row>
    <row r="45" spans="1:90" ht="15" customHeight="1">
      <c r="A45" s="1">
        <v>2008</v>
      </c>
      <c r="B45" s="13">
        <v>12.3</v>
      </c>
      <c r="C45" s="13">
        <v>0.14660000000000001</v>
      </c>
      <c r="D45" s="9">
        <f>B45*C45/100*$E$59</f>
        <v>3.4080102000000001E-2</v>
      </c>
      <c r="E45" s="9">
        <f t="shared" si="45"/>
        <v>0.67653759454638562</v>
      </c>
      <c r="F45" s="13">
        <v>22.1</v>
      </c>
      <c r="G45" s="13">
        <v>0.1041</v>
      </c>
      <c r="H45" s="9">
        <f t="shared" si="46"/>
        <v>4.3481528999999998E-2</v>
      </c>
      <c r="I45" s="9">
        <f t="shared" si="47"/>
        <v>0.59683213125387369</v>
      </c>
      <c r="J45" s="13">
        <v>15.7</v>
      </c>
      <c r="K45" s="13">
        <v>0.1444</v>
      </c>
      <c r="L45" s="9">
        <f>J45*K45/100*$E$59</f>
        <v>4.2847811999999999E-2</v>
      </c>
      <c r="M45" s="9">
        <f t="shared" si="49"/>
        <v>0.60220479511451319</v>
      </c>
      <c r="N45" s="13">
        <v>19.899999999999999</v>
      </c>
      <c r="O45" s="13">
        <v>0.1371</v>
      </c>
      <c r="P45" s="9">
        <f>N45*O45/100*$E$59</f>
        <v>5.1564680999999994E-2</v>
      </c>
      <c r="Q45" s="9">
        <f t="shared" si="51"/>
        <v>0.52830302657393569</v>
      </c>
      <c r="R45" s="13">
        <v>18.100000000000001</v>
      </c>
      <c r="S45" s="13">
        <v>0.12619999999999998</v>
      </c>
      <c r="T45" s="9">
        <f>R45*S45/100*$E$59</f>
        <v>4.3171757999999998E-2</v>
      </c>
      <c r="U45" s="9">
        <f t="shared" si="53"/>
        <v>0.59945837523466339</v>
      </c>
      <c r="V45" s="13">
        <v>18.7</v>
      </c>
      <c r="W45" s="13">
        <v>0.1268</v>
      </c>
      <c r="X45" s="9">
        <f t="shared" si="85"/>
        <v>4.4814923999999992E-2</v>
      </c>
      <c r="Y45" s="9">
        <f t="shared" si="55"/>
        <v>0.58552758501563573</v>
      </c>
      <c r="Z45" s="13">
        <v>8.6999999999999993</v>
      </c>
      <c r="AA45" s="13">
        <v>0.1646</v>
      </c>
      <c r="AB45" s="9">
        <f t="shared" si="86"/>
        <v>2.7065177999999995E-2</v>
      </c>
      <c r="AC45" s="9">
        <f t="shared" si="57"/>
        <v>0.73601024347316679</v>
      </c>
      <c r="AD45" s="13">
        <v>11.4</v>
      </c>
      <c r="AE45" s="13">
        <v>0.12890000000000001</v>
      </c>
      <c r="AF45" s="9">
        <f>AD45*AE45/100*$E$59</f>
        <v>2.7772794000000003E-2</v>
      </c>
      <c r="AG45" s="9">
        <f t="shared" si="59"/>
        <v>0.73001106259209469</v>
      </c>
      <c r="AH45" s="13">
        <v>16.600000000000001</v>
      </c>
      <c r="AI45" s="387">
        <v>0.14419999999999999</v>
      </c>
      <c r="AJ45" s="9">
        <f>AH45*AI45/100*$E$59</f>
        <v>4.5241308000000001E-2</v>
      </c>
      <c r="AK45" s="9">
        <f t="shared" si="61"/>
        <v>0.5819126939719127</v>
      </c>
      <c r="AL45" s="13">
        <v>3.4</v>
      </c>
      <c r="AM45" s="13">
        <v>0.17460000000000001</v>
      </c>
      <c r="AN45" s="9">
        <f>AL45*AM45/100*$E$59</f>
        <v>1.1219796000000001E-2</v>
      </c>
      <c r="AO45" s="9">
        <f t="shared" si="63"/>
        <v>0.87034767047832562</v>
      </c>
      <c r="AP45" s="13">
        <v>11.5</v>
      </c>
      <c r="AQ45" s="13">
        <v>0.18530000000000002</v>
      </c>
      <c r="AR45" s="9">
        <f>AP45*AQ45/100*$E$59</f>
        <v>4.0274955000000001E-2</v>
      </c>
      <c r="AS45" s="9">
        <f t="shared" si="65"/>
        <v>0.62401752196655191</v>
      </c>
      <c r="AT45" s="1">
        <v>2008</v>
      </c>
      <c r="AU45" s="13">
        <v>5.8</v>
      </c>
      <c r="AV45" s="13">
        <v>0.1603</v>
      </c>
      <c r="AW45" s="13">
        <f t="shared" si="23"/>
        <v>1.7572086000000001E-2</v>
      </c>
      <c r="AX45" s="13">
        <f t="shared" si="66"/>
        <v>0.9148874420408567</v>
      </c>
      <c r="AY45" s="13">
        <v>1.4</v>
      </c>
      <c r="AZ45" s="122">
        <f t="shared" si="79"/>
        <v>5.5099999999999996E-2</v>
      </c>
      <c r="BA45" s="13">
        <f t="shared" si="25"/>
        <v>1.4579459999999997E-3</v>
      </c>
      <c r="BB45" s="13">
        <f t="shared" si="67"/>
        <v>0.91663282755966924</v>
      </c>
      <c r="BC45" s="13">
        <v>2.8</v>
      </c>
      <c r="BD45" s="122">
        <f t="shared" si="77"/>
        <v>0.17469999999999999</v>
      </c>
      <c r="BE45" s="13">
        <f t="shared" si="27"/>
        <v>9.2451239999999987E-3</v>
      </c>
      <c r="BF45" s="13">
        <f t="shared" si="68"/>
        <v>0.91578936785821352</v>
      </c>
      <c r="BG45" s="13">
        <v>3.4</v>
      </c>
      <c r="BH45" s="122">
        <f t="shared" si="84"/>
        <v>0.11269999999999999</v>
      </c>
      <c r="BI45" s="13">
        <f t="shared" si="29"/>
        <v>7.2421019999999994E-3</v>
      </c>
      <c r="BJ45" s="13">
        <f t="shared" si="69"/>
        <v>0.91600632300398388</v>
      </c>
      <c r="BK45" s="13">
        <v>1.2</v>
      </c>
      <c r="BL45" s="122">
        <f t="shared" si="80"/>
        <v>0.11939999999999999</v>
      </c>
      <c r="BM45" s="13">
        <f t="shared" si="31"/>
        <v>2.7079919999999998E-3</v>
      </c>
      <c r="BN45" s="13">
        <f t="shared" si="70"/>
        <v>0.91649743018902163</v>
      </c>
      <c r="BO45" s="13">
        <v>9.1999999999999993</v>
      </c>
      <c r="BP45" s="13">
        <v>0.1343</v>
      </c>
      <c r="BQ45" s="13">
        <f t="shared" si="33"/>
        <v>2.3352083999999999E-2</v>
      </c>
      <c r="BR45" s="13">
        <f t="shared" si="71"/>
        <v>0.91426138785441113</v>
      </c>
      <c r="BS45" s="13">
        <v>4.4000000000000004</v>
      </c>
      <c r="BT45" s="13">
        <v>0.18420000000000003</v>
      </c>
      <c r="BU45" s="13">
        <f t="shared" si="35"/>
        <v>1.5318072000000004E-2</v>
      </c>
      <c r="BV45" s="13">
        <f t="shared" si="72"/>
        <v>0.91513158311166787</v>
      </c>
      <c r="BW45" s="13">
        <v>6.6</v>
      </c>
      <c r="BX45" s="13">
        <v>0.13980000000000001</v>
      </c>
      <c r="BY45" s="13">
        <f t="shared" si="37"/>
        <v>1.7438651999999999E-2</v>
      </c>
      <c r="BZ45" s="13">
        <f t="shared" si="73"/>
        <v>0.91490189479919926</v>
      </c>
      <c r="CA45" s="13">
        <v>2.2000000000000002</v>
      </c>
      <c r="CB45" s="122">
        <f t="shared" si="87"/>
        <v>0.1852</v>
      </c>
      <c r="CC45" s="13">
        <f t="shared" si="39"/>
        <v>7.7006160000000004E-3</v>
      </c>
      <c r="CD45" s="13">
        <f t="shared" si="74"/>
        <v>0.91595665955959449</v>
      </c>
      <c r="CE45" s="13">
        <v>1.9</v>
      </c>
      <c r="CF45" s="122">
        <f t="shared" si="83"/>
        <v>0.23139999999999999</v>
      </c>
      <c r="CG45" s="13">
        <f t="shared" si="41"/>
        <v>8.3095739999999984E-3</v>
      </c>
      <c r="CH45" s="13">
        <f t="shared" si="75"/>
        <v>0.91589070093724378</v>
      </c>
      <c r="CI45" s="13">
        <v>8.4</v>
      </c>
      <c r="CJ45" s="13">
        <v>0.16300000000000001</v>
      </c>
      <c r="CK45" s="13">
        <f t="shared" si="43"/>
        <v>2.5877880000000002E-2</v>
      </c>
      <c r="CL45" s="13">
        <f t="shared" si="76"/>
        <v>0.91398780901235865</v>
      </c>
    </row>
    <row r="46" spans="1:90" ht="15" customHeight="1">
      <c r="A46" s="1">
        <v>2009</v>
      </c>
      <c r="B46" s="13">
        <v>11.5</v>
      </c>
      <c r="C46" s="13">
        <v>0.15909999999999999</v>
      </c>
      <c r="D46" s="9">
        <f>B46*C46/100*$E$59</f>
        <v>3.4580384999999998E-2</v>
      </c>
      <c r="E46" s="9">
        <f t="shared" si="45"/>
        <v>0.67229618648223033</v>
      </c>
      <c r="F46" s="13">
        <v>21.1</v>
      </c>
      <c r="G46" s="13">
        <v>0.1115</v>
      </c>
      <c r="H46" s="9">
        <f t="shared" si="46"/>
        <v>4.4465085000000001E-2</v>
      </c>
      <c r="I46" s="9">
        <f t="shared" si="47"/>
        <v>0.58849352620443485</v>
      </c>
      <c r="J46" s="13">
        <v>10.8</v>
      </c>
      <c r="K46" s="13">
        <v>0.12539999999999998</v>
      </c>
      <c r="L46" s="9">
        <f>J46*K46/100*$E$59</f>
        <v>2.5596648E-2</v>
      </c>
      <c r="M46" s="9">
        <f t="shared" si="49"/>
        <v>0.74846046661577614</v>
      </c>
      <c r="N46" s="13">
        <v>19.3</v>
      </c>
      <c r="O46" s="13">
        <v>0.1517</v>
      </c>
      <c r="P46" s="9">
        <f>N46*O46/100*$E$59</f>
        <v>5.5335609000000001E-2</v>
      </c>
      <c r="Q46" s="9">
        <f t="shared" si="51"/>
        <v>0.49633303273335105</v>
      </c>
      <c r="R46" s="13">
        <v>15.5</v>
      </c>
      <c r="S46" s="13">
        <v>0.1232</v>
      </c>
      <c r="T46" s="9">
        <f>R46*S46/100*$E$59</f>
        <v>3.6091439999999995E-2</v>
      </c>
      <c r="U46" s="9">
        <f t="shared" si="53"/>
        <v>0.65948543564244111</v>
      </c>
      <c r="V46" s="13">
        <v>16.3</v>
      </c>
      <c r="W46" s="13">
        <v>0.14630000000000001</v>
      </c>
      <c r="X46" s="9">
        <f t="shared" si="85"/>
        <v>4.5070641000000009E-2</v>
      </c>
      <c r="Y46" s="9">
        <f t="shared" si="55"/>
        <v>0.58335961179659435</v>
      </c>
      <c r="Z46" s="13">
        <v>8.8000000000000007</v>
      </c>
      <c r="AA46" s="13">
        <v>0.1678</v>
      </c>
      <c r="AB46" s="9">
        <f t="shared" si="86"/>
        <v>2.7908496000000005E-2</v>
      </c>
      <c r="AC46" s="9">
        <f t="shared" si="57"/>
        <v>0.7288605786517609</v>
      </c>
      <c r="AD46" s="13">
        <v>11.1</v>
      </c>
      <c r="AE46" s="13">
        <v>0.1431</v>
      </c>
      <c r="AF46" s="9">
        <f>AD46*AE46/100*$E$59</f>
        <v>3.0020949000000002E-2</v>
      </c>
      <c r="AG46" s="9">
        <f t="shared" si="59"/>
        <v>0.71095116500118882</v>
      </c>
      <c r="AH46" s="13">
        <v>13.4</v>
      </c>
      <c r="AI46" s="387">
        <v>0.13170000000000001</v>
      </c>
      <c r="AJ46" s="9">
        <f>AH46*AI46/100*$E$59</f>
        <v>3.3354342000000002E-2</v>
      </c>
      <c r="AK46" s="9">
        <f t="shared" si="61"/>
        <v>0.68269060057825426</v>
      </c>
      <c r="AL46" s="13">
        <v>2.5</v>
      </c>
      <c r="AM46" s="122">
        <f>AM45</f>
        <v>0.17460000000000001</v>
      </c>
      <c r="AN46" s="9">
        <f>AL46*AM46/100*$E$59</f>
        <v>8.2498499999999995E-3</v>
      </c>
      <c r="AO46" s="9">
        <f t="shared" si="63"/>
        <v>0.89552692484936347</v>
      </c>
      <c r="AP46" s="13">
        <v>12.2</v>
      </c>
      <c r="AQ46" s="13">
        <v>0.1928</v>
      </c>
      <c r="AR46" s="9">
        <f>AP46*AQ46/100*$E$59</f>
        <v>4.4455823999999998E-2</v>
      </c>
      <c r="AS46" s="9">
        <f t="shared" si="65"/>
        <v>0.58857204112515393</v>
      </c>
      <c r="AT46" s="1">
        <v>2009</v>
      </c>
      <c r="AU46" s="13">
        <v>5.2</v>
      </c>
      <c r="AV46" s="13">
        <v>0.19190000000000002</v>
      </c>
      <c r="AW46" s="13">
        <f t="shared" si="23"/>
        <v>1.8859932000000003E-2</v>
      </c>
      <c r="AX46" s="13">
        <f t="shared" si="66"/>
        <v>0.9147479504043895</v>
      </c>
      <c r="AY46" s="13">
        <v>1.7</v>
      </c>
      <c r="AZ46" s="122">
        <f t="shared" si="79"/>
        <v>5.5099999999999996E-2</v>
      </c>
      <c r="BA46" s="13">
        <f t="shared" si="25"/>
        <v>1.7703629999999998E-3</v>
      </c>
      <c r="BB46" s="13">
        <f t="shared" si="67"/>
        <v>0.91659898845267185</v>
      </c>
      <c r="BC46" s="13">
        <v>2.2000000000000002</v>
      </c>
      <c r="BD46" s="122">
        <f t="shared" si="77"/>
        <v>0.17469999999999999</v>
      </c>
      <c r="BE46" s="13">
        <f t="shared" si="27"/>
        <v>7.2640259999999998E-3</v>
      </c>
      <c r="BF46" s="13">
        <f t="shared" si="68"/>
        <v>0.91600394832980858</v>
      </c>
      <c r="BG46" s="13">
        <v>3.4</v>
      </c>
      <c r="BH46" s="122">
        <f t="shared" si="84"/>
        <v>0.11269999999999999</v>
      </c>
      <c r="BI46" s="13">
        <f t="shared" si="29"/>
        <v>7.2421019999999994E-3</v>
      </c>
      <c r="BJ46" s="13">
        <f t="shared" si="69"/>
        <v>0.91600632300398388</v>
      </c>
      <c r="BK46" s="13">
        <v>1.4</v>
      </c>
      <c r="BL46" s="122">
        <f t="shared" si="80"/>
        <v>0.11939999999999999</v>
      </c>
      <c r="BM46" s="13">
        <f t="shared" si="31"/>
        <v>3.1593239999999994E-3</v>
      </c>
      <c r="BN46" s="13">
        <f t="shared" si="70"/>
        <v>0.91644854465513781</v>
      </c>
      <c r="BO46" s="13">
        <v>7.7</v>
      </c>
      <c r="BP46" s="13">
        <v>0.1661</v>
      </c>
      <c r="BQ46" s="13">
        <f t="shared" si="33"/>
        <v>2.4172532999999996E-2</v>
      </c>
      <c r="BR46" s="13">
        <f t="shared" si="71"/>
        <v>0.91417252181480113</v>
      </c>
      <c r="BS46" s="13">
        <v>4.3</v>
      </c>
      <c r="BT46" s="13">
        <v>0.19739999999999999</v>
      </c>
      <c r="BU46" s="13">
        <f t="shared" si="35"/>
        <v>1.6042697999999998E-2</v>
      </c>
      <c r="BV46" s="13">
        <f t="shared" si="72"/>
        <v>0.91505309603590979</v>
      </c>
      <c r="BW46" s="13">
        <v>6.2</v>
      </c>
      <c r="BX46" s="13">
        <v>0.14960000000000001</v>
      </c>
      <c r="BY46" s="13">
        <f t="shared" si="37"/>
        <v>1.7530127999999999E-2</v>
      </c>
      <c r="BZ46" s="13">
        <f t="shared" si="73"/>
        <v>0.91489198667591609</v>
      </c>
      <c r="CA46" s="13">
        <v>1.2</v>
      </c>
      <c r="CB46" s="122">
        <f t="shared" si="87"/>
        <v>0.1852</v>
      </c>
      <c r="CC46" s="13">
        <f t="shared" si="39"/>
        <v>4.2003359999999998E-3</v>
      </c>
      <c r="CD46" s="13">
        <f t="shared" si="74"/>
        <v>0.9163357885744714</v>
      </c>
      <c r="CE46" s="13">
        <v>1.9</v>
      </c>
      <c r="CF46" s="122">
        <f t="shared" si="83"/>
        <v>0.23139999999999999</v>
      </c>
      <c r="CG46" s="13">
        <f t="shared" si="41"/>
        <v>8.3095739999999984E-3</v>
      </c>
      <c r="CH46" s="13">
        <f t="shared" si="75"/>
        <v>0.91589070093724378</v>
      </c>
      <c r="CI46" s="13">
        <v>7.3</v>
      </c>
      <c r="CJ46" s="13">
        <v>0.21679999999999999</v>
      </c>
      <c r="CK46" s="13">
        <f t="shared" si="43"/>
        <v>2.9911895999999993E-2</v>
      </c>
      <c r="CL46" s="13">
        <f t="shared" si="76"/>
        <v>0.91355086896411164</v>
      </c>
    </row>
    <row r="47" spans="1:90" ht="15" customHeight="1">
      <c r="A47" s="1">
        <v>2010</v>
      </c>
      <c r="B47" s="122">
        <f>B46</f>
        <v>11.5</v>
      </c>
      <c r="C47" s="122">
        <f>C46</f>
        <v>0.15909999999999999</v>
      </c>
      <c r="D47" s="9">
        <f>B47*C47/100*$E$59</f>
        <v>3.4580384999999998E-2</v>
      </c>
      <c r="E47" s="9">
        <f t="shared" ref="E47" si="88">(C$63-D47)/C$65</f>
        <v>0.67229618648223033</v>
      </c>
      <c r="F47" s="122">
        <f>F46</f>
        <v>21.1</v>
      </c>
      <c r="G47" s="122">
        <f>G46</f>
        <v>0.1115</v>
      </c>
      <c r="H47" s="9">
        <f t="shared" ref="H47" si="89">F47*G47/100*$E$59</f>
        <v>4.4465085000000001E-2</v>
      </c>
      <c r="I47" s="9">
        <f t="shared" ref="I47" si="90">(C$63-H47)/C$65</f>
        <v>0.58849352620443485</v>
      </c>
      <c r="J47" s="122">
        <f>J46</f>
        <v>10.8</v>
      </c>
      <c r="K47" s="122">
        <f>K46</f>
        <v>0.12539999999999998</v>
      </c>
      <c r="L47" s="9">
        <f>J47*K47/100*$E$59</f>
        <v>2.5596648E-2</v>
      </c>
      <c r="M47" s="9">
        <f t="shared" ref="M47" si="91">(C$63-L47)/C$65</f>
        <v>0.74846046661577614</v>
      </c>
      <c r="N47" s="122">
        <f>N46</f>
        <v>19.3</v>
      </c>
      <c r="O47" s="122">
        <f>O46</f>
        <v>0.1517</v>
      </c>
      <c r="P47" s="9">
        <f>N47*O47/100*$E$59</f>
        <v>5.5335609000000001E-2</v>
      </c>
      <c r="Q47" s="9">
        <f t="shared" ref="Q47" si="92">(C$63-P47)/C$65</f>
        <v>0.49633303273335105</v>
      </c>
      <c r="R47" s="122">
        <f>R46</f>
        <v>15.5</v>
      </c>
      <c r="S47" s="122">
        <f>S46</f>
        <v>0.1232</v>
      </c>
      <c r="T47" s="9">
        <f>R47*S47/100*$E$59</f>
        <v>3.6091439999999995E-2</v>
      </c>
      <c r="U47" s="9">
        <f t="shared" ref="U47" si="93">(C$63-T47)/C$65</f>
        <v>0.65948543564244111</v>
      </c>
      <c r="V47" s="122">
        <f>V46</f>
        <v>16.3</v>
      </c>
      <c r="W47" s="122">
        <f>W46</f>
        <v>0.14630000000000001</v>
      </c>
      <c r="X47" s="9">
        <f t="shared" ref="X47" si="94">V47*W47/100*$E$59</f>
        <v>4.5070641000000009E-2</v>
      </c>
      <c r="Y47" s="9">
        <f t="shared" ref="Y47" si="95">(C$63-X47)/C$65</f>
        <v>0.58335961179659435</v>
      </c>
      <c r="Z47" s="122">
        <f>Z46</f>
        <v>8.8000000000000007</v>
      </c>
      <c r="AA47" s="386">
        <f>AA46</f>
        <v>0.1678</v>
      </c>
      <c r="AB47" s="9">
        <f t="shared" ref="AB47" si="96">Z47*AA47/100*$E$59</f>
        <v>2.7908496000000005E-2</v>
      </c>
      <c r="AC47" s="9">
        <f t="shared" ref="AC47" si="97">(C$63-AB47)/C$65</f>
        <v>0.7288605786517609</v>
      </c>
      <c r="AD47" s="122">
        <f>AD46</f>
        <v>11.1</v>
      </c>
      <c r="AE47" s="122">
        <f>AE46</f>
        <v>0.1431</v>
      </c>
      <c r="AF47" s="9">
        <f>AD47*AE47/100*$E$59</f>
        <v>3.0020949000000002E-2</v>
      </c>
      <c r="AG47" s="9">
        <f t="shared" ref="AG47" si="98">(C$63-AF47)/C$65</f>
        <v>0.71095116500118882</v>
      </c>
      <c r="AH47" s="122">
        <f>AH46</f>
        <v>13.4</v>
      </c>
      <c r="AI47" s="386">
        <f>AI46</f>
        <v>0.13170000000000001</v>
      </c>
      <c r="AJ47" s="9">
        <f>AH47*AI47/100*$E$59</f>
        <v>3.3354342000000002E-2</v>
      </c>
      <c r="AK47" s="9">
        <f t="shared" ref="AK47" si="99">(C$63-AJ47)/C$65</f>
        <v>0.68269060057825426</v>
      </c>
      <c r="AL47" s="122">
        <f>AL46</f>
        <v>2.5</v>
      </c>
      <c r="AM47" s="122">
        <f>AM46</f>
        <v>0.17460000000000001</v>
      </c>
      <c r="AN47" s="9">
        <f>AL47*AM47/100*$E$59</f>
        <v>8.2498499999999995E-3</v>
      </c>
      <c r="AO47" s="9">
        <f t="shared" ref="AO47" si="100">(C$63-AN47)/C$65</f>
        <v>0.89552692484936347</v>
      </c>
      <c r="AP47" s="122">
        <f>AP46</f>
        <v>12.2</v>
      </c>
      <c r="AQ47" s="122">
        <f>AQ46</f>
        <v>0.1928</v>
      </c>
      <c r="AR47" s="9">
        <f>AP47*AQ47/100*$E$59</f>
        <v>4.4455823999999998E-2</v>
      </c>
      <c r="AS47" s="9">
        <f t="shared" ref="AS47" si="101">(C$63-AR47)/C$65</f>
        <v>0.58857204112515393</v>
      </c>
      <c r="AT47" s="1">
        <v>2010</v>
      </c>
      <c r="AU47" s="122">
        <f>AU46</f>
        <v>5.2</v>
      </c>
      <c r="AV47" s="122">
        <f>AV46</f>
        <v>0.19190000000000002</v>
      </c>
      <c r="AW47" s="13">
        <f t="shared" si="23"/>
        <v>1.8859932000000003E-2</v>
      </c>
      <c r="AX47" s="13">
        <f t="shared" si="66"/>
        <v>0.9147479504043895</v>
      </c>
      <c r="AY47" s="122">
        <f>AY46</f>
        <v>1.7</v>
      </c>
      <c r="AZ47" s="122">
        <f>AZ46</f>
        <v>5.5099999999999996E-2</v>
      </c>
      <c r="BA47" s="13">
        <f t="shared" si="25"/>
        <v>1.7703629999999998E-3</v>
      </c>
      <c r="BB47" s="13">
        <f t="shared" si="67"/>
        <v>0.91659898845267185</v>
      </c>
      <c r="BC47" s="122">
        <f>BC46</f>
        <v>2.2000000000000002</v>
      </c>
      <c r="BD47" s="122">
        <f>BD46</f>
        <v>0.17469999999999999</v>
      </c>
      <c r="BE47" s="13">
        <f t="shared" si="27"/>
        <v>7.2640259999999998E-3</v>
      </c>
      <c r="BF47" s="13">
        <f t="shared" si="68"/>
        <v>0.91600394832980858</v>
      </c>
      <c r="BG47" s="122">
        <f>BG46</f>
        <v>3.4</v>
      </c>
      <c r="BH47" s="122">
        <f>BH46</f>
        <v>0.11269999999999999</v>
      </c>
      <c r="BI47" s="13">
        <f t="shared" si="29"/>
        <v>7.2421019999999994E-3</v>
      </c>
      <c r="BJ47" s="13">
        <f t="shared" si="69"/>
        <v>0.91600632300398388</v>
      </c>
      <c r="BK47" s="122">
        <f>BK46</f>
        <v>1.4</v>
      </c>
      <c r="BL47" s="122">
        <f>BL46</f>
        <v>0.11939999999999999</v>
      </c>
      <c r="BM47" s="13">
        <f t="shared" si="31"/>
        <v>3.1593239999999994E-3</v>
      </c>
      <c r="BN47" s="13">
        <f t="shared" si="70"/>
        <v>0.91644854465513781</v>
      </c>
      <c r="BO47" s="122">
        <f>BO46</f>
        <v>7.7</v>
      </c>
      <c r="BP47" s="122">
        <f>BP46</f>
        <v>0.1661</v>
      </c>
      <c r="BQ47" s="13">
        <f t="shared" si="33"/>
        <v>2.4172532999999996E-2</v>
      </c>
      <c r="BR47" s="13">
        <f t="shared" si="71"/>
        <v>0.91417252181480113</v>
      </c>
      <c r="BS47" s="122">
        <f>BS46</f>
        <v>4.3</v>
      </c>
      <c r="BT47" s="122">
        <f>BT46</f>
        <v>0.19739999999999999</v>
      </c>
      <c r="BU47" s="13">
        <f t="shared" si="35"/>
        <v>1.6042697999999998E-2</v>
      </c>
      <c r="BV47" s="13">
        <f t="shared" si="72"/>
        <v>0.91505309603590979</v>
      </c>
      <c r="BW47" s="122">
        <f>BW46</f>
        <v>6.2</v>
      </c>
      <c r="BX47" s="122">
        <f>BX46</f>
        <v>0.14960000000000001</v>
      </c>
      <c r="BY47" s="13">
        <f t="shared" si="37"/>
        <v>1.7530127999999999E-2</v>
      </c>
      <c r="BZ47" s="13">
        <f t="shared" si="73"/>
        <v>0.91489198667591609</v>
      </c>
      <c r="CA47" s="122">
        <f>CA46</f>
        <v>1.2</v>
      </c>
      <c r="CB47" s="122">
        <f>CB46</f>
        <v>0.1852</v>
      </c>
      <c r="CC47" s="13">
        <f t="shared" si="39"/>
        <v>4.2003359999999998E-3</v>
      </c>
      <c r="CD47" s="13">
        <f t="shared" si="74"/>
        <v>0.9163357885744714</v>
      </c>
      <c r="CE47" s="122">
        <f>CE46</f>
        <v>1.9</v>
      </c>
      <c r="CF47" s="122">
        <f>CF46</f>
        <v>0.23139999999999999</v>
      </c>
      <c r="CG47" s="13">
        <f t="shared" si="41"/>
        <v>8.3095739999999984E-3</v>
      </c>
      <c r="CH47" s="13">
        <f t="shared" si="75"/>
        <v>0.91589070093724378</v>
      </c>
      <c r="CI47" s="122">
        <f>CI46</f>
        <v>7.3</v>
      </c>
      <c r="CJ47" s="122">
        <f>CJ46</f>
        <v>0.21679999999999999</v>
      </c>
      <c r="CK47" s="13">
        <f t="shared" si="43"/>
        <v>2.9911895999999993E-2</v>
      </c>
      <c r="CL47" s="13">
        <f t="shared" si="76"/>
        <v>0.91355086896411164</v>
      </c>
    </row>
    <row r="48" spans="1:90" ht="15" customHeight="1">
      <c r="B48" s="257" t="s">
        <v>967</v>
      </c>
      <c r="C48" s="9"/>
      <c r="D48" s="9"/>
      <c r="E48" s="9"/>
      <c r="F48" s="6"/>
      <c r="G48" s="9"/>
      <c r="H48" s="9"/>
      <c r="I48" s="9"/>
      <c r="J48" s="6"/>
      <c r="K48" s="9"/>
      <c r="L48" s="9"/>
      <c r="M48" s="9"/>
      <c r="N48" s="257" t="s">
        <v>967</v>
      </c>
      <c r="O48" s="9"/>
      <c r="P48" s="9"/>
      <c r="Q48" s="9"/>
      <c r="R48" s="6"/>
      <c r="S48" s="9"/>
      <c r="T48" s="9"/>
      <c r="U48" s="9"/>
      <c r="V48" s="6"/>
      <c r="W48" s="9"/>
      <c r="X48" s="9"/>
      <c r="Y48" s="9"/>
      <c r="Z48" s="257" t="s">
        <v>967</v>
      </c>
      <c r="AA48" s="9"/>
      <c r="AB48" s="9"/>
      <c r="AC48" s="9"/>
      <c r="AD48" s="6"/>
      <c r="AE48" s="9"/>
      <c r="AF48" s="9"/>
      <c r="AG48" s="9"/>
      <c r="AH48" s="6"/>
      <c r="AI48" s="9"/>
      <c r="AJ48" s="9"/>
      <c r="AK48" s="9"/>
      <c r="AL48" s="257" t="s">
        <v>967</v>
      </c>
      <c r="AM48" s="9"/>
      <c r="AN48" s="9"/>
      <c r="AO48" s="9"/>
      <c r="AP48" s="6"/>
      <c r="AQ48" s="9"/>
      <c r="AR48" s="9"/>
      <c r="AS48" s="9"/>
      <c r="AU48" s="257" t="s">
        <v>967</v>
      </c>
      <c r="AV48" s="9"/>
      <c r="AW48" s="9"/>
      <c r="AX48" s="9"/>
      <c r="AY48" s="6"/>
      <c r="AZ48" s="9"/>
      <c r="BA48" s="9"/>
      <c r="BB48" s="9"/>
      <c r="BC48" s="6"/>
      <c r="BD48" s="9"/>
      <c r="BE48" s="9"/>
      <c r="BF48" s="9"/>
      <c r="BG48" s="257" t="s">
        <v>967</v>
      </c>
      <c r="BH48" s="9"/>
      <c r="BI48" s="9"/>
      <c r="BJ48" s="9"/>
      <c r="BK48" s="6"/>
      <c r="BL48" s="9"/>
      <c r="BM48" s="9"/>
      <c r="BN48" s="9"/>
      <c r="BO48" s="6"/>
      <c r="BP48" s="9"/>
      <c r="BQ48" s="9"/>
      <c r="BR48" s="9"/>
      <c r="BS48" s="257" t="s">
        <v>967</v>
      </c>
      <c r="BT48" s="9"/>
      <c r="BU48" s="9"/>
      <c r="BV48" s="13"/>
      <c r="BW48" s="6"/>
      <c r="BX48" s="9"/>
      <c r="BY48" s="9"/>
      <c r="BZ48" s="9"/>
      <c r="CA48" s="6"/>
      <c r="CB48" s="9"/>
      <c r="CC48" s="9"/>
      <c r="CD48" s="9"/>
      <c r="CE48" s="257" t="s">
        <v>967</v>
      </c>
      <c r="CF48" s="9"/>
      <c r="CG48" s="9"/>
      <c r="CH48" s="9"/>
      <c r="CI48" s="6"/>
      <c r="CJ48" s="9"/>
      <c r="CK48" s="9"/>
      <c r="CL48" s="9"/>
    </row>
    <row r="49" spans="1:90" ht="15" customHeight="1">
      <c r="A49" s="1" t="s">
        <v>988</v>
      </c>
      <c r="B49" s="13">
        <f>(POWER(B47/B18, 1/29)-1)*100</f>
        <v>-1.957104981304536</v>
      </c>
      <c r="C49" s="13">
        <f>(POWER(C47/C18, 1/29)-1)*100</f>
        <v>-0.60836496360178183</v>
      </c>
      <c r="D49" s="9">
        <f>(POWER(D47/D18, 1/29)-1)*100</f>
        <v>-2.553563603899156</v>
      </c>
      <c r="E49" s="142"/>
      <c r="F49" s="13">
        <f>(POWER(F47/F18, 1/29)-1)*100</f>
        <v>-0.97088196921010228</v>
      </c>
      <c r="G49" s="13">
        <f>(POWER(G47/G18, 1/29)-1)*100</f>
        <v>-1.3505971355718405</v>
      </c>
      <c r="H49" s="9">
        <f>(POWER(H47/H18, 1/29)-1)*100</f>
        <v>-2.308366400716011</v>
      </c>
      <c r="I49" s="142"/>
      <c r="J49" s="13">
        <f>(POWER(J47/J18, 1/29)-1)*100</f>
        <v>-2.729859804550383</v>
      </c>
      <c r="K49" s="13">
        <f>(POWER(K47/K18, 1/29)-1)*100</f>
        <v>-0.95014065748647569</v>
      </c>
      <c r="L49" s="9">
        <f>(POWER(L47/L18, 1/29)-1)*100</f>
        <v>-3.654062954141446</v>
      </c>
      <c r="M49" s="142"/>
      <c r="N49" s="13">
        <f>(POWER(N47/N18, 1/29)-1)*100</f>
        <v>-0.5730258391324794</v>
      </c>
      <c r="O49" s="13">
        <f>(POWER(O47/O18, 1/29)-1)*100</f>
        <v>-1.0145589326863491</v>
      </c>
      <c r="P49" s="9">
        <f>(POWER(P47/P18, 1/29)-1)*100</f>
        <v>-1.5817710869813095</v>
      </c>
      <c r="Q49" s="142"/>
      <c r="R49" s="13">
        <f>(POWER(R47/R18, 1/29)-1)*100</f>
        <v>-1.8450805281827631</v>
      </c>
      <c r="S49" s="13">
        <f>(POWER(S47/S18, 1/29)-1)*100</f>
        <v>-1.5005736095331623</v>
      </c>
      <c r="T49" s="9">
        <f>(POWER(T47/T18, 1/29)-1)*100</f>
        <v>-3.3179673462353843</v>
      </c>
      <c r="U49" s="142"/>
      <c r="V49" s="13">
        <f>(POWER(V47/V18, 1/29)-1)*100</f>
        <v>-1.224470059567262</v>
      </c>
      <c r="W49" s="13">
        <f>(POWER(W47/W18, 1/29)-1)*100</f>
        <v>-0.89360949530060685</v>
      </c>
      <c r="X49" s="9">
        <f>(POWER(X47/X18, 1/29)-1)*100</f>
        <v>-2.1071375741484655</v>
      </c>
      <c r="Y49" s="142"/>
      <c r="Z49" s="13">
        <f>(POWER(Z47/Z18, 1/29)-1)*100</f>
        <v>-2.3426383542034968</v>
      </c>
      <c r="AA49" s="13">
        <f>(POWER(AA47/AA18, 1/29)-1)*100</f>
        <v>-0.17805021700051382</v>
      </c>
      <c r="AB49" s="9">
        <f>(POWER(AB47/AB18, 1/29)-1)*100</f>
        <v>-2.5165174985308125</v>
      </c>
      <c r="AC49" s="142"/>
      <c r="AD49" s="13">
        <f>(POWER(AD47/AD18, 1/29)-1)*100</f>
        <v>-2.3005884899174989</v>
      </c>
      <c r="AE49" s="13">
        <f>(POWER(AE47/AE18, 1/29)-1)*100</f>
        <v>-1.0684069075257541</v>
      </c>
      <c r="AF49" s="9">
        <f>(POWER(AF47/AF18, 1/29)-1)*100</f>
        <v>-3.3444157511032357</v>
      </c>
      <c r="AG49" s="142"/>
      <c r="AH49" s="13">
        <f>(POWER(AH47/AH18, 1/29)-1)*100</f>
        <v>-2.4116917185473485</v>
      </c>
      <c r="AI49" s="13">
        <f>(POWER(AI47/AI18, 1/29)-1)*100</f>
        <v>-1.4708662947377049</v>
      </c>
      <c r="AJ49" s="9">
        <f>(POWER(AJ47/AJ18, 1/29)-1)*100</f>
        <v>-3.847085252663951</v>
      </c>
      <c r="AK49" s="142"/>
      <c r="AL49" s="13">
        <f>(POWER(AL47/AL18, 1/29)-1)*100</f>
        <v>-6.805022700085928</v>
      </c>
      <c r="AM49" s="13">
        <f>(POWER(AM47/AM18, 1/29)-1)*100</f>
        <v>-0.62639575854762652</v>
      </c>
      <c r="AN49" s="9">
        <f>(POWER(AN47/AN18, 1/29)-1)*100</f>
        <v>-7.3887920850720157</v>
      </c>
      <c r="AO49" s="142"/>
      <c r="AP49" s="13">
        <f>(POWER(AP47/AP18, 1/29)-1)*100</f>
        <v>-1.2363110931121857</v>
      </c>
      <c r="AQ49" s="13">
        <f>(POWER(AQ47/AQ18, 1/29)-1)*100</f>
        <v>-0.26628609031550399</v>
      </c>
      <c r="AR49" s="9">
        <f>(POWER(AR47/AR18, 1/29)-1)*100</f>
        <v>-1.4993050589537038</v>
      </c>
      <c r="AS49" s="142"/>
      <c r="AT49" s="1" t="s">
        <v>988</v>
      </c>
      <c r="AU49" s="13">
        <f>(POWER(AU47/AU18, 1/28)-1)*100</f>
        <v>-4.8630048562957047</v>
      </c>
      <c r="AV49" s="13">
        <f>(POWER(AV47/AV18, 1/28)-1)*100</f>
        <v>-0.50940033795797701</v>
      </c>
      <c r="AW49" s="13">
        <f>(POWER(AW47/AW18, 1/28)-1)*100</f>
        <v>-5.3476330310808002</v>
      </c>
      <c r="AY49" s="13">
        <f>(POWER(AY47/AY18, 1/28)-1)*100</f>
        <v>-7.8750591490554633</v>
      </c>
      <c r="AZ49" s="13">
        <f>(POWER(AZ47/AZ18, 1/28)-1)*100</f>
        <v>-3.7656121361330896</v>
      </c>
      <c r="BA49" s="13">
        <f>(POWER(BA47/BA18, 1/28)-1)*100</f>
        <v>-11.344127102144064</v>
      </c>
      <c r="BC49" s="13">
        <f>(POWER(BC47/BC18, 1/28)-1)*100</f>
        <v>-6.9230591002350295</v>
      </c>
      <c r="BD49" s="13">
        <f>(POWER(BD47/BD18, 1/28)-1)*100</f>
        <v>0.47950431873147181</v>
      </c>
      <c r="BE49" s="13">
        <f>(POWER(BE47/BE18, 1/28)-1)*100</f>
        <v>-6.4767511488775238</v>
      </c>
      <c r="BG49" s="13">
        <f>(POWER(BG47/BG18, 1/28)-1)*100</f>
        <v>-5.6253456696051423</v>
      </c>
      <c r="BH49" s="13">
        <f>(POWER(BH47/BH18, 1/28)-1)*100</f>
        <v>-1.2349583907990569</v>
      </c>
      <c r="BI49" s="13">
        <f>(POWER(BI47/BI18, 1/28)-1)*100</f>
        <v>-6.7908333820459577</v>
      </c>
      <c r="BK49" s="13">
        <f>(POWER(BK47/BK18, 1/28)-1)*100</f>
        <v>-8.7355236131724574</v>
      </c>
      <c r="BL49" s="13">
        <f>(POWER(BL47/BL18, 1/28)-1)*100</f>
        <v>-1.3480401711015388</v>
      </c>
      <c r="BM49" s="13">
        <f>(POWER(BM47/BM18, 1/28)-1)*100</f>
        <v>-9.9658054168123797</v>
      </c>
      <c r="BO49" s="13">
        <f>(POWER(BO47/BO18, 1/28)-1)*100</f>
        <v>-4.6138192403143874</v>
      </c>
      <c r="BP49" s="13">
        <f>(POWER(BP47/BP18, 1/28)-1)*100</f>
        <v>-1.3813850449996945</v>
      </c>
      <c r="BQ49" s="13">
        <f>(POWER(BQ47/BQ18, 1/28)-1)*100</f>
        <v>-5.9314696763250634</v>
      </c>
      <c r="BS49" s="13">
        <f>(POWER(BS47/BS18, 1/28)-1)*100</f>
        <v>-5.1503021318909825</v>
      </c>
      <c r="BT49" s="13">
        <f>(POWER(BT47/BT18, 1/28)-1)*100</f>
        <v>-15.296282755002167</v>
      </c>
      <c r="BU49" s="13">
        <f>(POWER(BU47/BU18, 1/28)-1)*100</f>
        <v>-19.658780110062189</v>
      </c>
      <c r="BW49" s="13">
        <f>(POWER(BW47/BW18, 1/28)-1)*100</f>
        <v>-4.3119785997808746</v>
      </c>
      <c r="BX49" s="13">
        <f>(POWER(BX47/BX18, 1/28)-1)*100</f>
        <v>-1.3000009867225937</v>
      </c>
      <c r="BY49" s="13">
        <f>(POWER(BY47/BY18, 1/28)-1)*100</f>
        <v>-5.555923822159059</v>
      </c>
      <c r="CA49" s="13">
        <f>(POWER(CA47/CA18, 1/28)-1)*100</f>
        <v>-9.3766776037264137</v>
      </c>
      <c r="CB49" s="13">
        <f>(POWER(CB47/CB18, 1/28)-1)*100</f>
        <v>0.19027952005876703</v>
      </c>
      <c r="CC49" s="13">
        <f>(POWER(CC47/CC18, 1/28)-1)*100</f>
        <v>-9.204239980809481</v>
      </c>
      <c r="CE49" s="13">
        <f>(POWER(CE47/CE18, 1/28)-1)*100</f>
        <v>-7.3888938829541173</v>
      </c>
      <c r="CF49" s="13">
        <f>(POWER(CF47/CF18, 1/28)-1)*100</f>
        <v>-0.31821289031482847</v>
      </c>
      <c r="CG49" s="13">
        <f>(POWER(CG47/CG18, 1/28)-1)*100</f>
        <v>-7.6835943604817043</v>
      </c>
      <c r="CI49" s="13">
        <f>(POWER(CI47/CI18, 1/28)-1)*100</f>
        <v>-3.2289573426527718</v>
      </c>
      <c r="CJ49" s="13">
        <f>(POWER(CJ47/CJ18, 1/28)-1)*100</f>
        <v>-0.40662166682526868</v>
      </c>
      <c r="CK49" s="13">
        <f>(POWER(CK47/CK18, 1/28)-1)*100</f>
        <v>-3.6224493693102766</v>
      </c>
    </row>
    <row r="50" spans="1:90" ht="12.75" customHeight="1">
      <c r="B50" s="267" t="s">
        <v>968</v>
      </c>
      <c r="C50" s="13"/>
      <c r="D50" s="13"/>
      <c r="E50" s="9"/>
      <c r="F50" s="267"/>
      <c r="G50" s="13"/>
      <c r="H50" s="13"/>
      <c r="I50" s="9"/>
      <c r="J50" s="267"/>
      <c r="K50" s="13"/>
      <c r="L50" s="13"/>
      <c r="M50" s="9"/>
      <c r="N50" s="267" t="s">
        <v>968</v>
      </c>
      <c r="O50" s="13"/>
      <c r="P50" s="13"/>
      <c r="Q50" s="9"/>
      <c r="R50" s="267"/>
      <c r="S50" s="13"/>
      <c r="T50" s="13"/>
      <c r="U50" s="9"/>
      <c r="V50" s="267"/>
      <c r="W50" s="13"/>
      <c r="X50" s="13"/>
      <c r="Y50" s="9"/>
      <c r="Z50" s="267" t="s">
        <v>968</v>
      </c>
      <c r="AA50" s="13"/>
      <c r="AB50" s="13"/>
      <c r="AC50" s="9"/>
      <c r="AD50" s="267"/>
      <c r="AE50" s="13"/>
      <c r="AF50" s="13"/>
      <c r="AG50" s="9"/>
      <c r="AH50" s="267"/>
      <c r="AI50" s="13"/>
      <c r="AJ50" s="13"/>
      <c r="AK50" s="9"/>
      <c r="AL50" s="267" t="s">
        <v>968</v>
      </c>
      <c r="AM50" s="13"/>
      <c r="AN50" s="13"/>
      <c r="AO50" s="9"/>
      <c r="AP50" s="267"/>
      <c r="AQ50" s="13"/>
      <c r="AR50" s="13"/>
      <c r="AS50" s="9"/>
      <c r="AU50" s="267" t="s">
        <v>968</v>
      </c>
      <c r="AV50" s="13"/>
      <c r="AW50" s="13"/>
      <c r="AX50" s="9"/>
      <c r="AY50" s="267"/>
      <c r="AZ50" s="13"/>
      <c r="BA50" s="13"/>
      <c r="BB50" s="9"/>
      <c r="BC50" s="267"/>
      <c r="BD50" s="13"/>
      <c r="BE50" s="13"/>
      <c r="BF50" s="9"/>
      <c r="BG50" s="267" t="s">
        <v>968</v>
      </c>
      <c r="BH50" s="13"/>
      <c r="BI50" s="13"/>
      <c r="BJ50" s="9"/>
      <c r="BK50" s="267"/>
      <c r="BL50" s="13"/>
      <c r="BM50" s="13"/>
      <c r="BN50" s="9"/>
      <c r="BO50" s="267"/>
      <c r="BP50" s="13"/>
      <c r="BQ50" s="13"/>
      <c r="BR50" s="9"/>
      <c r="BS50" s="267" t="s">
        <v>968</v>
      </c>
      <c r="BT50" s="13"/>
      <c r="BU50" s="13"/>
      <c r="BV50" s="9"/>
      <c r="BW50" s="267"/>
      <c r="BX50" s="13"/>
      <c r="BY50" s="13"/>
      <c r="BZ50" s="9"/>
      <c r="CA50" s="267"/>
      <c r="CB50" s="13"/>
      <c r="CC50" s="13"/>
      <c r="CD50" s="9"/>
      <c r="CE50" s="267" t="s">
        <v>968</v>
      </c>
      <c r="CF50" s="13"/>
      <c r="CG50" s="13"/>
      <c r="CH50" s="9"/>
      <c r="CI50" s="267"/>
      <c r="CJ50" s="13"/>
      <c r="CK50" s="13"/>
      <c r="CL50" s="9"/>
    </row>
    <row r="51" spans="1:90" s="252" customFormat="1" ht="15" customHeight="1">
      <c r="A51" s="252" t="s">
        <v>988</v>
      </c>
      <c r="B51" s="271"/>
      <c r="C51" s="271"/>
      <c r="D51" s="271"/>
      <c r="E51" s="253">
        <f>E47-E18</f>
        <v>0.3275690562762904</v>
      </c>
      <c r="F51" s="271"/>
      <c r="G51" s="271"/>
      <c r="H51" s="271"/>
      <c r="I51" s="253">
        <f>I47-I18</f>
        <v>0.3651023930706897</v>
      </c>
      <c r="J51" s="271"/>
      <c r="K51" s="271"/>
      <c r="L51" s="271"/>
      <c r="M51" s="253">
        <f>M47-M18</f>
        <v>0.42170844621856129</v>
      </c>
      <c r="N51" s="271"/>
      <c r="O51" s="271"/>
      <c r="P51" s="271"/>
      <c r="Q51" s="253">
        <f>Q47-Q18</f>
        <v>0.27578125550806198</v>
      </c>
      <c r="R51" s="271"/>
      <c r="S51" s="271"/>
      <c r="T51" s="271"/>
      <c r="U51" s="253">
        <f>U47-U18</f>
        <v>0.50810370122540971</v>
      </c>
      <c r="V51" s="271"/>
      <c r="W51" s="271"/>
      <c r="X51" s="271"/>
      <c r="Y51" s="253">
        <f>Y47-Y18</f>
        <v>0.32650189429263821</v>
      </c>
      <c r="Z51" s="271"/>
      <c r="AA51" s="271"/>
      <c r="AB51" s="271"/>
      <c r="AC51" s="253">
        <f>AC47-AC18</f>
        <v>0.25887651237363107</v>
      </c>
      <c r="AD51" s="271"/>
      <c r="AE51" s="271"/>
      <c r="AF51" s="271"/>
      <c r="AG51" s="253">
        <f>AG47-AG18</f>
        <v>0.42803610789039687</v>
      </c>
      <c r="AH51" s="271"/>
      <c r="AI51" s="271"/>
      <c r="AJ51" s="271"/>
      <c r="AK51" s="253">
        <f>AK47-AK18</f>
        <v>0.599357267244921</v>
      </c>
      <c r="AL51" s="271"/>
      <c r="AM51" s="271"/>
      <c r="AN51" s="271"/>
      <c r="AO51" s="253">
        <f>AO47-AO18</f>
        <v>0.57794192203244044</v>
      </c>
      <c r="AP51" s="271"/>
      <c r="AQ51" s="271"/>
      <c r="AR51" s="271"/>
      <c r="AS51" s="253">
        <f>AS47-AS18</f>
        <v>0.20719767108721682</v>
      </c>
      <c r="AT51" s="252" t="s">
        <v>988</v>
      </c>
      <c r="AU51" s="271"/>
      <c r="AV51" s="271"/>
      <c r="AW51" s="271"/>
      <c r="AX51" s="253">
        <f>AX47-AX18</f>
        <v>7.4751467624384338E-3</v>
      </c>
      <c r="AY51" s="271"/>
      <c r="AZ51" s="271"/>
      <c r="BA51" s="271"/>
      <c r="BB51" s="253">
        <f>BB47-BB18</f>
        <v>5.3921276128282569E-3</v>
      </c>
      <c r="BC51" s="271"/>
      <c r="BD51" s="271"/>
      <c r="BE51" s="271"/>
      <c r="BF51" s="253">
        <f>BF47-BF18</f>
        <v>4.3431562385674027E-3</v>
      </c>
      <c r="BG51" s="271"/>
      <c r="BH51" s="271"/>
      <c r="BI51" s="271"/>
      <c r="BJ51" s="253">
        <f>BJ47-BJ18</f>
        <v>4.8352051047437783E-3</v>
      </c>
      <c r="BK51" s="271"/>
      <c r="BL51" s="271"/>
      <c r="BM51" s="271"/>
      <c r="BN51" s="253">
        <f>BN47-BN18</f>
        <v>6.1272735120319055E-3</v>
      </c>
      <c r="BO51" s="271"/>
      <c r="BP51" s="271"/>
      <c r="BQ51" s="271"/>
      <c r="BR51" s="253">
        <f>BR47-BR18</f>
        <v>1.1888335417846951E-2</v>
      </c>
      <c r="BS51" s="271"/>
      <c r="BT51" s="271"/>
      <c r="BU51" s="271"/>
      <c r="BV51" s="253">
        <f>BV47-BV18</f>
        <v>0.79567998782725624</v>
      </c>
      <c r="BW51" s="271"/>
      <c r="BX51" s="271"/>
      <c r="BY51" s="271"/>
      <c r="BZ51" s="253">
        <f>BZ47-BZ18</f>
        <v>7.5109715883582284E-3</v>
      </c>
      <c r="CA51" s="271"/>
      <c r="CB51" s="271"/>
      <c r="CC51" s="271"/>
      <c r="CD51" s="253">
        <f>CD47-CD18</f>
        <v>6.3391517681861131E-3</v>
      </c>
      <c r="CE51" s="271"/>
      <c r="CF51" s="271"/>
      <c r="CG51" s="271"/>
      <c r="CH51" s="253">
        <f>CH47-CH18</f>
        <v>7.5421289512438427E-3</v>
      </c>
      <c r="CI51" s="271"/>
      <c r="CJ51" s="271"/>
      <c r="CK51" s="271"/>
      <c r="CL51" s="253">
        <f>CL47-CL18</f>
        <v>5.8635209079456185E-3</v>
      </c>
    </row>
    <row r="52" spans="1:90">
      <c r="B52" s="94" t="s">
        <v>1156</v>
      </c>
      <c r="N52" s="1" t="s">
        <v>380</v>
      </c>
      <c r="Z52" s="1" t="s">
        <v>380</v>
      </c>
      <c r="AL52" s="1" t="s">
        <v>380</v>
      </c>
      <c r="AU52" s="94" t="s">
        <v>1156</v>
      </c>
      <c r="BG52" s="1" t="s">
        <v>380</v>
      </c>
      <c r="BS52" s="1" t="s">
        <v>380</v>
      </c>
      <c r="CE52" s="1" t="s">
        <v>380</v>
      </c>
    </row>
    <row r="53" spans="1:90">
      <c r="B53" s="94" t="s">
        <v>1154</v>
      </c>
      <c r="AU53" s="94" t="s">
        <v>1154</v>
      </c>
    </row>
    <row r="54" spans="1:90">
      <c r="B54" s="94" t="s">
        <v>1131</v>
      </c>
      <c r="AU54" s="94" t="s">
        <v>1131</v>
      </c>
    </row>
    <row r="55" spans="1:90">
      <c r="B55" s="79" t="s">
        <v>1109</v>
      </c>
      <c r="AU55" s="79" t="s">
        <v>1109</v>
      </c>
    </row>
    <row r="56" spans="1:90">
      <c r="B56" s="94" t="s">
        <v>1155</v>
      </c>
      <c r="AU56" s="94" t="s">
        <v>1155</v>
      </c>
    </row>
    <row r="57" spans="1:90">
      <c r="B57" s="94">
        <f>(B47-B18)/B18</f>
        <v>-0.43627450980392152</v>
      </c>
      <c r="C57" s="94">
        <f>(C47-C18)/C18</f>
        <v>-0.16219062664560294</v>
      </c>
      <c r="D57" s="94">
        <f>(D47-D18)/D18</f>
        <v>-0.52770550031492314</v>
      </c>
      <c r="E57" s="94">
        <f>(E47-E18)/E18</f>
        <v>0.9502270856390117</v>
      </c>
      <c r="F57" s="94">
        <f>(F47-F18)/F18</f>
        <v>-0.24642857142857139</v>
      </c>
      <c r="I57" s="94">
        <f>(I47-I18)/I18</f>
        <v>1.6343638529829272</v>
      </c>
      <c r="J57" s="94">
        <f>(J47-J18)/J18</f>
        <v>-0.55186721991701249</v>
      </c>
      <c r="M57" s="94">
        <f>(M47-M18)/M18</f>
        <v>1.290607004375713</v>
      </c>
      <c r="N57" s="94">
        <f>(N47-N18)/N18</f>
        <v>-0.15350877192982457</v>
      </c>
      <c r="Q57" s="94">
        <f>(Q47-Q18)/Q18</f>
        <v>1.250415022620095</v>
      </c>
      <c r="R57" s="94">
        <f>(R47-R18)/R18</f>
        <v>-0.41729323308270677</v>
      </c>
      <c r="S57" s="94">
        <f>(S47-S18)/S18</f>
        <v>-0.35497382198952876</v>
      </c>
      <c r="U57" s="94">
        <f>(U47-U18)/U18</f>
        <v>3.3564399508441936</v>
      </c>
      <c r="V57" s="94">
        <f>(V47-V18)/V18</f>
        <v>-0.30042918454935619</v>
      </c>
      <c r="Y57" s="94">
        <f>(Y47-Y18)/Y18</f>
        <v>1.2711391250590296</v>
      </c>
      <c r="Z57" s="94">
        <f>(Z47-Z18)/Z18</f>
        <v>-0.49714285714285711</v>
      </c>
      <c r="AA57" s="94">
        <f>(AA47-AA18)/AA18</f>
        <v>-5.0367855121675256E-2</v>
      </c>
      <c r="AC57" s="94">
        <f>(AC47-AC18)/AC18</f>
        <v>0.55081976379265518</v>
      </c>
      <c r="AD57" s="94">
        <f>(AD47-AD18)/AD18</f>
        <v>-0.49082568807339455</v>
      </c>
      <c r="AG57" s="94">
        <f>(AG47-AG18)/AG18</f>
        <v>1.5129491949337086</v>
      </c>
      <c r="AH57" s="94">
        <f>(AH47-AH18)/AH18</f>
        <v>-0.50735294117647056</v>
      </c>
      <c r="AK57" s="94">
        <f>(AK47-AK18)/AK18</f>
        <v>7.1922872069390538</v>
      </c>
      <c r="AL57" s="94">
        <f>(AL47-AL18)/AL18</f>
        <v>-0.8704663212435233</v>
      </c>
      <c r="AO57" s="94">
        <f>(AO47-AO18)/AO18</f>
        <v>1.8198023108969172</v>
      </c>
      <c r="AP57" s="94">
        <f>(AP47-AP18)/AP18</f>
        <v>-0.30285714285714288</v>
      </c>
      <c r="AS57" s="94">
        <f>(AS47-AS18)/AS18</f>
        <v>0.54329207037852567</v>
      </c>
      <c r="AU57" s="94"/>
    </row>
    <row r="58" spans="1:90">
      <c r="B58" s="79"/>
      <c r="AU58" s="79"/>
    </row>
    <row r="59" spans="1:90">
      <c r="B59" s="1" t="s">
        <v>572</v>
      </c>
      <c r="C59" s="385">
        <f>MAX(D18:D47,H18:H47,L18:L47,P18:P47,T18:T47,X18:X47,AB18:AB47,AF18:AF47,AJ18:AJ47,AN18:AN47,AR18:AR47)</f>
        <v>0.10404979199999999</v>
      </c>
      <c r="E59" s="1">
        <v>1.89</v>
      </c>
      <c r="AU59" s="1" t="s">
        <v>572</v>
      </c>
      <c r="AV59" s="142">
        <f>MAX(AW18:AW47,BA18:BA47,BE18:BE47,BI18:BI47,BM18:BM47,BQ18:BQ47,BU18:BU47,BY18:BY47,CC18:CC47,CG18:CG47,CK18:CK47)</f>
        <v>7.6948325999999998</v>
      </c>
      <c r="AX59" s="1">
        <v>1.89</v>
      </c>
    </row>
    <row r="60" spans="1:90">
      <c r="B60" s="1" t="s">
        <v>573</v>
      </c>
      <c r="C60" s="385">
        <f>MIN(D18:D47,H18:H47,L18:L47,P18:P47,T18:T47,X18:X47,AB18:AB47,AF18:AF47,AJ18:AJ47,AN18:AN47,AR18:AR47)</f>
        <v>5.7563730000000004E-3</v>
      </c>
      <c r="AU60" s="1" t="s">
        <v>573</v>
      </c>
      <c r="AV60" s="142">
        <f>MIN(AW18:AW47,BA18:BA47,BE18:BE47,BI18:BI47,BM18:BM47,BQ18:BQ47,BU18:BU47,BY18:BY47,CC18:CC47,CG18:CG47,CK18:CK47)</f>
        <v>1.1455289999999999E-3</v>
      </c>
    </row>
    <row r="61" spans="1:90">
      <c r="B61" s="1" t="s">
        <v>430</v>
      </c>
      <c r="C61" s="1">
        <f>C59-C60</f>
        <v>9.8293418999999993E-2</v>
      </c>
      <c r="AU61" s="1" t="s">
        <v>430</v>
      </c>
      <c r="AV61" s="1">
        <f>AV59-AV60</f>
        <v>7.6936870709999994</v>
      </c>
    </row>
    <row r="62" spans="1:90">
      <c r="B62" s="1" t="s">
        <v>384</v>
      </c>
      <c r="C62" s="1">
        <f>C61/10</f>
        <v>9.8293419E-3</v>
      </c>
      <c r="AU62" s="1" t="s">
        <v>384</v>
      </c>
      <c r="AV62" s="1">
        <f>AV61/10</f>
        <v>0.76936870709999994</v>
      </c>
    </row>
    <row r="63" spans="1:90">
      <c r="B63" s="1" t="s">
        <v>576</v>
      </c>
      <c r="C63" s="1">
        <f>C59+C62</f>
        <v>0.11387913389999998</v>
      </c>
      <c r="AU63" s="1" t="s">
        <v>576</v>
      </c>
      <c r="AV63" s="1">
        <f>AV59+AV62</f>
        <v>8.4642013070999997</v>
      </c>
    </row>
    <row r="64" spans="1:90">
      <c r="B64" s="1" t="s">
        <v>577</v>
      </c>
      <c r="C64" s="1">
        <f>C60-C62</f>
        <v>-4.0729688999999996E-3</v>
      </c>
      <c r="AU64" s="1" t="s">
        <v>577</v>
      </c>
      <c r="AV64" s="1">
        <f>AV60-AV62</f>
        <v>-0.76822317809999996</v>
      </c>
    </row>
    <row r="65" spans="2:48">
      <c r="B65" s="1" t="s">
        <v>432</v>
      </c>
      <c r="C65" s="1">
        <f>C63-C64</f>
        <v>0.11795210279999999</v>
      </c>
      <c r="AU65" s="1" t="s">
        <v>432</v>
      </c>
      <c r="AV65" s="1">
        <f>AV63-AV64</f>
        <v>9.2324244851999993</v>
      </c>
    </row>
    <row r="68" spans="2:48">
      <c r="B68" s="1">
        <f>(POWER(B26/B18, 1/8)-1)*100</f>
        <v>-7.749399621700892</v>
      </c>
      <c r="C68" s="1">
        <f>(POWER(C26/C18, 1/8)-1)*100</f>
        <v>-2.8971524237015989</v>
      </c>
    </row>
    <row r="69" spans="2:48">
      <c r="B69" s="1">
        <f>(POWER(B37/B26, 1/11)-1)*100</f>
        <v>-3.0620972556719583</v>
      </c>
      <c r="C69" s="1">
        <f>(POWER(C37/C26, 1/11)-1)*100</f>
        <v>-0.23284150821515359</v>
      </c>
    </row>
    <row r="70" spans="2:48">
      <c r="B70" s="1">
        <f>(POWER(B45/B37, 1/8)-1)*100</f>
        <v>6.2029156618338632</v>
      </c>
      <c r="C70" s="1">
        <f>(POWER(C45/C37, 1/8)-1)*100</f>
        <v>2.5609296451478691E-2</v>
      </c>
    </row>
  </sheetData>
  <phoneticPr fontId="0" type="noConversion"/>
  <pageMargins left="0.15748031496062992" right="0.15748031496062992" top="0.39370078740157483" bottom="0.39370078740157483" header="0.51181102362204722" footer="0.51181102362204722"/>
  <pageSetup scale="68" orientation="landscape" r:id="rId1"/>
  <headerFooter alignWithMargins="0"/>
  <colBreaks count="3" manualBreakCount="3">
    <brk id="13" max="1048575" man="1"/>
    <brk id="25" max="1048575" man="1"/>
    <brk id="37" max="1048575" man="1"/>
  </colBreaks>
</worksheet>
</file>

<file path=xl/worksheets/sheet80.xml><?xml version="1.0" encoding="utf-8"?>
<worksheet xmlns="http://schemas.openxmlformats.org/spreadsheetml/2006/main" xmlns:r="http://schemas.openxmlformats.org/officeDocument/2006/relationships">
  <dimension ref="A1:L25"/>
  <sheetViews>
    <sheetView workbookViewId="0">
      <selection activeCell="E9" sqref="E9"/>
    </sheetView>
  </sheetViews>
  <sheetFormatPr defaultRowHeight="12.75"/>
  <sheetData>
    <row r="1" spans="1:1" ht="15.75">
      <c r="A1" s="404" t="s">
        <v>1378</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s="392">
        <f>'2'!B19</f>
        <v>53260.19610462003</v>
      </c>
      <c r="C21" s="392">
        <f>'2'!L19</f>
        <v>41491.518889209496</v>
      </c>
      <c r="D21" s="392">
        <f>'2'!V19</f>
        <v>32022.068619436508</v>
      </c>
      <c r="E21" s="392">
        <f>'2'!AF19</f>
        <v>39935.223092139044</v>
      </c>
      <c r="F21" s="392">
        <f>'2'!AP19</f>
        <v>41609.817563607845</v>
      </c>
      <c r="G21" s="392">
        <f>'2'!AZ19</f>
        <v>47530.964348614609</v>
      </c>
      <c r="H21" s="392">
        <f>'2'!BJ19</f>
        <v>53613.235441972713</v>
      </c>
      <c r="I21" s="392">
        <f>'2'!BT19</f>
        <v>49176.132085037345</v>
      </c>
      <c r="J21" s="392">
        <f>'2'!CD19</f>
        <v>55847.738017276817</v>
      </c>
      <c r="K21" s="392">
        <f>'2'!CN19</f>
        <v>78722.375326480149</v>
      </c>
      <c r="L21" s="392">
        <f>'2'!CX19</f>
        <v>51617.956291715935</v>
      </c>
    </row>
    <row r="22" spans="1:12">
      <c r="A22" s="572">
        <v>2010</v>
      </c>
      <c r="B22" s="392">
        <f>'2'!B48</f>
        <v>78748.460219242261</v>
      </c>
      <c r="C22" s="392">
        <f>'2'!L48</f>
        <v>82455.138806330317</v>
      </c>
      <c r="D22" s="392">
        <f>'2'!V48</f>
        <v>60856.423882023817</v>
      </c>
      <c r="E22" s="392">
        <f>'2'!AF48</f>
        <v>64999.374009290128</v>
      </c>
      <c r="F22" s="392">
        <f>'2'!AP48</f>
        <v>68108.492793529804</v>
      </c>
      <c r="G22" s="392">
        <f>'2'!AZ48</f>
        <v>72458.268388687778</v>
      </c>
      <c r="H22" s="392">
        <f>'2'!BJ48</f>
        <v>73490.937285755514</v>
      </c>
      <c r="I22" s="392">
        <f>'2'!BT48</f>
        <v>63402.168669237457</v>
      </c>
      <c r="J22" s="392">
        <f>'2'!CD48</f>
        <v>82599.072244394207</v>
      </c>
      <c r="K22" s="392">
        <f>'2'!CN48</f>
        <v>122917.82788570433</v>
      </c>
      <c r="L22" s="392">
        <f>'2'!CX48</f>
        <v>73504.356692621441</v>
      </c>
    </row>
    <row r="23" spans="1:12">
      <c r="A23" s="1"/>
    </row>
    <row r="24" spans="1:12">
      <c r="A24" s="1"/>
    </row>
    <row r="25" spans="1:12">
      <c r="A25" s="1"/>
    </row>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404" t="s">
        <v>1379</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s="392">
        <f>'2'!C19</f>
        <v>1227.8557197272121</v>
      </c>
      <c r="C21" s="392">
        <f>'2'!M19</f>
        <v>399.97838784823591</v>
      </c>
      <c r="D21" s="392">
        <f>'2'!W19</f>
        <v>353.48455278054729</v>
      </c>
      <c r="E21" s="392">
        <f>'2'!AG19</f>
        <v>900.5550522792463</v>
      </c>
      <c r="F21" s="392">
        <f>'2'!AQ19</f>
        <v>988.84137132162084</v>
      </c>
      <c r="G21" s="392">
        <f>'2'!BA19</f>
        <v>903.58221013495267</v>
      </c>
      <c r="H21" s="392">
        <f>'2'!BK19</f>
        <v>1246.9258481621964</v>
      </c>
      <c r="I21" s="392">
        <f>'2'!BU19</f>
        <v>816.99843047726711</v>
      </c>
      <c r="J21" s="392">
        <f>'2'!CE19</f>
        <v>552.31706934177078</v>
      </c>
      <c r="K21" s="392">
        <f>'2'!CO19</f>
        <v>1076.6830050398605</v>
      </c>
      <c r="L21" s="392">
        <f>'2'!CY19</f>
        <v>597.8946930377474</v>
      </c>
    </row>
    <row r="22" spans="1:12">
      <c r="A22" s="572">
        <v>2010</v>
      </c>
      <c r="B22" s="392">
        <f>'2'!C48</f>
        <v>3494.6573660945023</v>
      </c>
      <c r="C22" s="392">
        <f>'2'!M48</f>
        <v>1867.1514017590398</v>
      </c>
      <c r="D22" s="392">
        <f>'2'!W48</f>
        <v>1888.8943129875549</v>
      </c>
      <c r="E22" s="392">
        <f>'2'!AG48</f>
        <v>2265.6199234030441</v>
      </c>
      <c r="F22" s="392">
        <f>'2'!AQ48</f>
        <v>1725.9803369848555</v>
      </c>
      <c r="G22" s="392">
        <f>'2'!BA48</f>
        <v>4292.7958736756264</v>
      </c>
      <c r="H22" s="392">
        <f>'2'!BK48</f>
        <v>4584.5922972106873</v>
      </c>
      <c r="I22" s="392">
        <f>'2'!BU48</f>
        <v>1926.0199503382855</v>
      </c>
      <c r="J22" s="392">
        <f>'2'!CE48</f>
        <v>1815.9945900312164</v>
      </c>
      <c r="K22" s="392">
        <f>'2'!CO48</f>
        <v>2632.9788270518256</v>
      </c>
      <c r="L22" s="392">
        <f>'2'!CY48</f>
        <v>2464.5546702196111</v>
      </c>
    </row>
  </sheetData>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404" t="s">
        <v>1380</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s="392">
        <f>'2'!D19</f>
        <v>26184.900383233871</v>
      </c>
      <c r="C21" s="392">
        <f>'2'!N19</f>
        <v>17461.703750220044</v>
      </c>
      <c r="D21" s="392">
        <f>'2'!X19</f>
        <v>558.35522605768847</v>
      </c>
      <c r="E21" s="392">
        <f>'2'!AH19</f>
        <v>11660.641533725149</v>
      </c>
      <c r="F21" s="392">
        <f>'2'!AR19</f>
        <v>15335.551075302223</v>
      </c>
      <c r="G21" s="392">
        <f>'2'!BB19</f>
        <v>10498.736507959711</v>
      </c>
      <c r="H21" s="392">
        <f>'2'!BL19</f>
        <v>8096.80067403261</v>
      </c>
      <c r="I21" s="392">
        <f>'2'!BV19</f>
        <v>9481.451254577385</v>
      </c>
      <c r="J21" s="392">
        <f>'2'!CF19</f>
        <v>41942.547327746594</v>
      </c>
      <c r="K21" s="392">
        <f>'2'!CP19</f>
        <v>125822.53492501241</v>
      </c>
      <c r="L21" s="392">
        <f>'2'!CZ19</f>
        <v>37284.453141666119</v>
      </c>
    </row>
    <row r="22" spans="1:12">
      <c r="A22" s="572">
        <v>2010</v>
      </c>
      <c r="B22" s="392">
        <f>'2'!D48</f>
        <v>28010.083236856801</v>
      </c>
      <c r="C22" s="392">
        <f>'2'!N48</f>
        <v>157098.35419911749</v>
      </c>
      <c r="D22" s="392">
        <f>'2'!X48</f>
        <v>448.37132798772689</v>
      </c>
      <c r="E22" s="392">
        <f>'2'!AH48</f>
        <v>7318.3730051614575</v>
      </c>
      <c r="F22" s="392">
        <f>'2'!AR48</f>
        <v>17826.429201363768</v>
      </c>
      <c r="G22" s="392">
        <f>'2'!BB48</f>
        <v>7921.3062775012877</v>
      </c>
      <c r="H22" s="392">
        <f>'2'!BL48</f>
        <v>5368.4083653452863</v>
      </c>
      <c r="I22" s="392">
        <f>'2'!BV48</f>
        <v>9532.5933703907194</v>
      </c>
      <c r="J22" s="392">
        <f>'2'!CF48</f>
        <v>74909.68461977932</v>
      </c>
      <c r="K22" s="392">
        <f>'2'!CP48</f>
        <v>136303.93284270604</v>
      </c>
      <c r="L22" s="392">
        <f>'2'!CZ48</f>
        <v>31959.808235314889</v>
      </c>
    </row>
  </sheetData>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dimension ref="A1"/>
  <sheetViews>
    <sheetView workbookViewId="0">
      <selection activeCell="E9" sqref="E9"/>
    </sheetView>
  </sheetViews>
  <sheetFormatPr defaultRowHeight="12.75"/>
  <sheetData>
    <row r="1" spans="1:1" ht="15.75">
      <c r="A1" s="404" t="s">
        <v>1381</v>
      </c>
    </row>
  </sheetData>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404" t="s">
        <v>1382</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s="392">
        <f>'2'!F19</f>
        <v>77530.178961133061</v>
      </c>
      <c r="C21" s="392">
        <f>'2'!P19</f>
        <v>66933.710637172117</v>
      </c>
      <c r="D21" s="392">
        <f>'2'!Z19</f>
        <v>62022.122028161939</v>
      </c>
      <c r="E21" s="392">
        <f>'2'!AJ19</f>
        <v>63659.403464385934</v>
      </c>
      <c r="F21" s="392">
        <f>'2'!AT19</f>
        <v>63781.532931773574</v>
      </c>
      <c r="G21" s="392">
        <f>'2'!BD19</f>
        <v>78931.016925527103</v>
      </c>
      <c r="H21" s="392">
        <f>'2'!BN19</f>
        <v>76247.937292116258</v>
      </c>
      <c r="I21" s="392">
        <f>'2'!BX19</f>
        <v>94292.588426717615</v>
      </c>
      <c r="J21" s="392">
        <f>'2'!CH19</f>
        <v>92287.874654605184</v>
      </c>
      <c r="K21" s="392">
        <f>'2'!CR19</f>
        <v>74529.677642482144</v>
      </c>
      <c r="L21" s="392">
        <f>'2'!DB19</f>
        <v>89667.765390435263</v>
      </c>
    </row>
    <row r="22" spans="1:12">
      <c r="A22" s="572">
        <v>2010</v>
      </c>
      <c r="B22" s="392">
        <f>'2'!F48</f>
        <v>107093.46362773265</v>
      </c>
      <c r="C22" s="392">
        <f>'2'!P48</f>
        <v>107080.9891671855</v>
      </c>
      <c r="D22" s="392">
        <f>'2'!Z48</f>
        <v>99000.867151773258</v>
      </c>
      <c r="E22" s="392">
        <f>'2'!AJ48</f>
        <v>94109.91835403342</v>
      </c>
      <c r="F22" s="392">
        <f>'2'!AT48</f>
        <v>96903.836916702552</v>
      </c>
      <c r="G22" s="392">
        <f>'2'!BD48</f>
        <v>110090.80747550845</v>
      </c>
      <c r="H22" s="392">
        <f>'2'!BN48</f>
        <v>103118.35382189663</v>
      </c>
      <c r="I22" s="392">
        <f>'2'!BX48</f>
        <v>120331.81675989063</v>
      </c>
      <c r="J22" s="392">
        <f>'2'!CH48</f>
        <v>129459.78011360542</v>
      </c>
      <c r="K22" s="392">
        <f>'2'!CR48</f>
        <v>98960.432901142922</v>
      </c>
      <c r="L22" s="392">
        <f>'2'!DB48</f>
        <v>122490.50510472561</v>
      </c>
    </row>
  </sheetData>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dimension ref="A1:M32"/>
  <sheetViews>
    <sheetView workbookViewId="0">
      <selection activeCell="E9" sqref="E9"/>
    </sheetView>
  </sheetViews>
  <sheetFormatPr defaultRowHeight="12.75"/>
  <sheetData>
    <row r="1" spans="1:13" ht="15.75">
      <c r="A1" s="404" t="s">
        <v>1384</v>
      </c>
    </row>
    <row r="2" spans="1:13">
      <c r="H2" s="206" t="s">
        <v>1383</v>
      </c>
      <c r="K2" s="206" t="s">
        <v>1271</v>
      </c>
      <c r="L2" t="s">
        <v>1225</v>
      </c>
      <c r="M2" t="s">
        <v>1226</v>
      </c>
    </row>
    <row r="3" spans="1:13">
      <c r="H3" s="14">
        <v>1981</v>
      </c>
      <c r="I3">
        <f>'a9'!B17*1000000/'a1'!F19</f>
        <v>21.697446166715082</v>
      </c>
      <c r="K3" s="14">
        <v>1981</v>
      </c>
      <c r="L3">
        <f>100*'a9'!B17/'a9'!B$17</f>
        <v>100</v>
      </c>
      <c r="M3">
        <f>100*'C22'!I3/'C22'!I$3</f>
        <v>100</v>
      </c>
    </row>
    <row r="4" spans="1:13">
      <c r="H4" s="14">
        <v>1982</v>
      </c>
      <c r="I4">
        <f>'a9'!B18*1000000/'a1'!F20</f>
        <v>20.494526006752046</v>
      </c>
      <c r="K4" s="14">
        <v>1982</v>
      </c>
      <c r="L4">
        <f>100*'a9'!B18/'a9'!B$17</f>
        <v>95.586317781198218</v>
      </c>
      <c r="M4">
        <f>100*'C22'!I4/'C22'!I$3</f>
        <v>94.455936653925789</v>
      </c>
    </row>
    <row r="5" spans="1:13">
      <c r="H5" s="14">
        <v>1983</v>
      </c>
      <c r="I5">
        <f>'a9'!B19*1000000/'a1'!F21</f>
        <v>19.616812135175397</v>
      </c>
      <c r="K5" s="14">
        <v>1983</v>
      </c>
      <c r="L5">
        <f>100*'a9'!B19/'a9'!B$17</f>
        <v>92.401545082891346</v>
      </c>
      <c r="M5">
        <f>100*'C22'!I5/'C22'!I$3</f>
        <v>90.410696191833509</v>
      </c>
    </row>
    <row r="6" spans="1:13">
      <c r="H6" s="14">
        <v>1984</v>
      </c>
      <c r="I6">
        <f>'a9'!B20*1000000/'a1'!F22</f>
        <v>20.154069704787851</v>
      </c>
      <c r="K6" s="14">
        <v>1984</v>
      </c>
      <c r="L6">
        <f>100*'a9'!B20/'a9'!B$17</f>
        <v>95.832638895697087</v>
      </c>
      <c r="M6">
        <f>100*'C22'!I6/'C22'!I$3</f>
        <v>92.886828937984205</v>
      </c>
    </row>
    <row r="7" spans="1:13">
      <c r="H7" s="14">
        <v>1985</v>
      </c>
      <c r="I7">
        <f>'a9'!B21*1000000/'a1'!F23</f>
        <v>20.890266110154659</v>
      </c>
      <c r="K7" s="14">
        <v>1985</v>
      </c>
      <c r="L7">
        <f>100*'a9'!B21/'a9'!B$17</f>
        <v>100.2450956363173</v>
      </c>
      <c r="M7">
        <f>100*'C22'!I7/'C22'!I$3</f>
        <v>96.279838418040754</v>
      </c>
    </row>
    <row r="8" spans="1:13">
      <c r="H8" s="14">
        <v>1986</v>
      </c>
      <c r="I8">
        <f>'a9'!B22*1000000/'a1'!F24</f>
        <v>20.380162122860249</v>
      </c>
      <c r="K8" s="14">
        <v>1986</v>
      </c>
      <c r="L8">
        <f>100*'a9'!B22/'a9'!B$17</f>
        <v>98.77427672277723</v>
      </c>
      <c r="M8">
        <f>100*'C22'!I8/'C22'!I$3</f>
        <v>93.928852115897357</v>
      </c>
    </row>
    <row r="9" spans="1:13">
      <c r="H9" s="14">
        <v>1987</v>
      </c>
      <c r="I9">
        <f>'a9'!B23*1000000/'a1'!F25</f>
        <v>20.961475400424934</v>
      </c>
      <c r="K9" s="14">
        <v>1987</v>
      </c>
      <c r="L9">
        <f>100*'a9'!B23/'a9'!B$17</f>
        <v>102.93967706198958</v>
      </c>
      <c r="M9">
        <f>100*'C22'!I9/'C22'!I$3</f>
        <v>96.608030453744533</v>
      </c>
    </row>
    <row r="10" spans="1:13">
      <c r="H10" s="14">
        <v>1988</v>
      </c>
      <c r="I10">
        <f>'a9'!B24*1000000/'a1'!F26</f>
        <v>22.218769162689</v>
      </c>
      <c r="K10" s="14">
        <v>1988</v>
      </c>
      <c r="L10">
        <f>100*'a9'!B24/'a9'!B$17</f>
        <v>110.53813197909824</v>
      </c>
      <c r="M10">
        <f>100*'C22'!I10/'C22'!I$3</f>
        <v>102.40269288822411</v>
      </c>
    </row>
    <row r="11" spans="1:13">
      <c r="H11" s="14">
        <v>1989</v>
      </c>
      <c r="I11">
        <f>'a9'!B25*1000000/'a1'!F27</f>
        <v>22.743077412046969</v>
      </c>
      <c r="K11" s="14">
        <v>1989</v>
      </c>
      <c r="L11">
        <f>100*'a9'!B25/'a9'!B$17</f>
        <v>115.19494906912676</v>
      </c>
      <c r="M11">
        <f>100*'C22'!I11/'C22'!I$3</f>
        <v>104.81914432370357</v>
      </c>
    </row>
    <row r="12" spans="1:13">
      <c r="H12" s="14">
        <v>1990</v>
      </c>
      <c r="I12">
        <f>'a9'!B26*1000000/'a1'!F28</f>
        <v>21.306455516562735</v>
      </c>
      <c r="K12" s="14">
        <v>1990</v>
      </c>
      <c r="L12">
        <f>100*'a9'!B26/'a9'!B$17</f>
        <v>109.55774943382907</v>
      </c>
      <c r="M12">
        <f>100*'C22'!I12/'C22'!I$3</f>
        <v>98.197987693352857</v>
      </c>
    </row>
    <row r="13" spans="1:13">
      <c r="H13" s="14">
        <v>1991</v>
      </c>
      <c r="I13">
        <f>'a9'!B27*1000000/'a1'!F29</f>
        <v>20.793639357686978</v>
      </c>
      <c r="K13" s="14">
        <v>1991</v>
      </c>
      <c r="L13">
        <f>100*'a9'!B27/'a9'!B$17</f>
        <v>108.25791172868195</v>
      </c>
      <c r="M13">
        <f>100*'C22'!I13/'C22'!I$3</f>
        <v>95.834501433562323</v>
      </c>
    </row>
    <row r="14" spans="1:13">
      <c r="H14" s="14">
        <v>1992</v>
      </c>
      <c r="I14">
        <f>'a9'!B28*1000000/'a1'!F30</f>
        <v>21.43013437822157</v>
      </c>
      <c r="K14" s="14">
        <v>1992</v>
      </c>
      <c r="L14">
        <f>100*'a9'!B28/'a9'!B$17</f>
        <v>112.90018924706453</v>
      </c>
      <c r="M14">
        <f>100*'C22'!I14/'C22'!I$3</f>
        <v>98.768003448702729</v>
      </c>
    </row>
    <row r="15" spans="1:13">
      <c r="H15" s="14">
        <v>1993</v>
      </c>
      <c r="I15">
        <f>'a9'!B29*1000000/'a1'!F31</f>
        <v>20.986751015277658</v>
      </c>
      <c r="K15" s="14">
        <v>1993</v>
      </c>
      <c r="L15">
        <f>100*'a9'!B29/'a9'!B$17</f>
        <v>111.7860426426527</v>
      </c>
      <c r="M15">
        <f>100*'C22'!I15/'C22'!I$3</f>
        <v>96.72452165118095</v>
      </c>
    </row>
    <row r="16" spans="1:13">
      <c r="H16" s="14">
        <v>1994</v>
      </c>
      <c r="I16">
        <f>'a9'!B30*1000000/'a1'!F32</f>
        <v>21.447785521317218</v>
      </c>
      <c r="K16" s="14">
        <v>1994</v>
      </c>
      <c r="L16">
        <f>100*'a9'!B30/'a9'!B$17</f>
        <v>115.49986465735878</v>
      </c>
      <c r="M16">
        <f>100*'C22'!I16/'C22'!I$3</f>
        <v>98.84935469603397</v>
      </c>
    </row>
    <row r="17" spans="8:13">
      <c r="H17" s="14">
        <v>1995</v>
      </c>
      <c r="I17">
        <f>'a9'!B31*1000000/'a1'!F33</f>
        <v>21.841280709907146</v>
      </c>
      <c r="K17" s="14">
        <v>1995</v>
      </c>
      <c r="L17">
        <f>100*'a9'!B31/'a9'!B$17</f>
        <v>118.84230447059424</v>
      </c>
      <c r="M17">
        <f>100*'C22'!I17/'C22'!I$3</f>
        <v>100.66291001294297</v>
      </c>
    </row>
    <row r="18" spans="8:13">
      <c r="H18" s="14">
        <v>1996</v>
      </c>
      <c r="I18">
        <f>'a9'!B32*1000000/'a1'!F34</f>
        <v>22.2220586150362</v>
      </c>
      <c r="K18" s="14">
        <v>1996</v>
      </c>
      <c r="L18">
        <f>100*'a9'!B32/'a9'!B$17</f>
        <v>122.1847442838297</v>
      </c>
      <c r="M18">
        <f>100*'C22'!I18/'C22'!I$3</f>
        <v>102.41785343901854</v>
      </c>
    </row>
    <row r="19" spans="8:13">
      <c r="H19" s="14">
        <v>1997</v>
      </c>
      <c r="I19">
        <f>'a9'!B33*1000000/'a1'!F35</f>
        <v>22.437008183121296</v>
      </c>
      <c r="K19" s="14">
        <v>1997</v>
      </c>
      <c r="L19">
        <f>100*'a9'!B33/'a9'!B$17</f>
        <v>124.59872859338866</v>
      </c>
      <c r="M19">
        <f>100*'C22'!I19/'C22'!I$3</f>
        <v>103.40852103387512</v>
      </c>
    </row>
    <row r="20" spans="8:13">
      <c r="H20" s="14">
        <v>1998</v>
      </c>
      <c r="I20">
        <f>'a9'!B34*1000000/'a1'!F36</f>
        <v>22.450542731092938</v>
      </c>
      <c r="K20" s="14">
        <v>1998</v>
      </c>
      <c r="L20">
        <f>100*'a9'!B34/'a9'!B$17</f>
        <v>125.71287519780047</v>
      </c>
      <c r="M20">
        <f>100*'C22'!I20/'C22'!I$3</f>
        <v>103.47089956389956</v>
      </c>
    </row>
    <row r="21" spans="8:13">
      <c r="H21" s="14">
        <v>1999</v>
      </c>
      <c r="I21">
        <f>'a9'!B35*1000000/'a1'!F37</f>
        <v>22.696408303254014</v>
      </c>
      <c r="K21" s="14">
        <v>1999</v>
      </c>
      <c r="L21">
        <f>100*'a9'!B35/'a9'!B$17</f>
        <v>128.12685950735943</v>
      </c>
      <c r="M21">
        <f>100*'C22'!I21/'C22'!I$3</f>
        <v>104.60405399263711</v>
      </c>
    </row>
    <row r="22" spans="8:13">
      <c r="H22" s="14">
        <v>2000</v>
      </c>
      <c r="I22">
        <f>'a9'!B36*1000000/'a1'!F38</f>
        <v>23.333321384239515</v>
      </c>
      <c r="K22" s="14">
        <v>2000</v>
      </c>
      <c r="L22">
        <f>100*'a9'!B36/'a9'!B$17</f>
        <v>132.95482812647731</v>
      </c>
      <c r="M22">
        <f>100*'C22'!I22/'C22'!I$3</f>
        <v>107.53948278039259</v>
      </c>
    </row>
    <row r="23" spans="8:13">
      <c r="H23" s="14">
        <v>2001</v>
      </c>
      <c r="I23">
        <f>'a9'!B37*1000000/'a1'!F39</f>
        <v>22.856943900871144</v>
      </c>
      <c r="K23" s="14">
        <v>2001</v>
      </c>
      <c r="L23">
        <f>100*'a9'!B37/'a9'!B$17</f>
        <v>131.65499042133018</v>
      </c>
      <c r="M23">
        <f>100*'C22'!I23/'C22'!I$3</f>
        <v>105.34393644877333</v>
      </c>
    </row>
    <row r="24" spans="8:13">
      <c r="H24" s="14">
        <v>2002</v>
      </c>
      <c r="I24">
        <f>'a9'!B38*1000000/'a1'!F40</f>
        <v>22.804358126529166</v>
      </c>
      <c r="K24" s="14">
        <v>2002</v>
      </c>
      <c r="L24">
        <f>100*'a9'!B38/'a9'!B$17</f>
        <v>132.769137025742</v>
      </c>
      <c r="M24">
        <f>100*'C22'!I24/'C22'!I$3</f>
        <v>105.10157716861693</v>
      </c>
    </row>
    <row r="25" spans="8:13">
      <c r="H25" s="14">
        <v>2003</v>
      </c>
      <c r="I25">
        <f>'a9'!B39*1000000/'a1'!F41</f>
        <v>23.325148460777246</v>
      </c>
      <c r="K25" s="14">
        <v>2003</v>
      </c>
      <c r="L25">
        <f>100*'a9'!B39/'a9'!B$17</f>
        <v>137.04003234265397</v>
      </c>
      <c r="M25">
        <f>100*'C22'!I25/'C22'!I$3</f>
        <v>107.50181510559126</v>
      </c>
    </row>
    <row r="26" spans="8:13">
      <c r="H26" s="14">
        <v>2004</v>
      </c>
      <c r="I26">
        <f>'a9'!B40*1000000/'a1'!F42</f>
        <v>23.230566566593644</v>
      </c>
      <c r="K26" s="14">
        <v>2004</v>
      </c>
      <c r="L26">
        <f>100*'a9'!B40/'a9'!B$17</f>
        <v>137.78279674559519</v>
      </c>
      <c r="M26">
        <f>100*'C22'!I26/'C22'!I$3</f>
        <v>107.06590254032035</v>
      </c>
    </row>
    <row r="27" spans="8:13">
      <c r="H27" s="14">
        <v>2005</v>
      </c>
      <c r="I27">
        <f>'a9'!B41*1000000/'a1'!F43</f>
        <v>22.670034484812923</v>
      </c>
      <c r="K27" s="14">
        <v>2005</v>
      </c>
      <c r="L27">
        <f>100*'a9'!B41/'a9'!B$17</f>
        <v>135.74019463750687</v>
      </c>
      <c r="M27">
        <f>100*'C22'!I27/'C22'!I$3</f>
        <v>104.48250135349956</v>
      </c>
    </row>
    <row r="28" spans="8:13">
      <c r="H28" s="14">
        <v>2006</v>
      </c>
      <c r="I28">
        <f>'a9'!B42*1000000/'a1'!F44</f>
        <v>22.071413516558195</v>
      </c>
      <c r="K28" s="14">
        <v>2006</v>
      </c>
      <c r="L28">
        <f>100*'a9'!B42/'a9'!B$17</f>
        <v>133.51190142868322</v>
      </c>
      <c r="M28">
        <f>100*'C22'!I28/'C22'!I$3</f>
        <v>101.72355468459139</v>
      </c>
    </row>
    <row r="29" spans="8:13">
      <c r="H29" s="14">
        <v>2007</v>
      </c>
      <c r="I29">
        <f>'a9'!B43*1000000/'a1'!F45</f>
        <v>22.71503385709201</v>
      </c>
      <c r="K29" s="14">
        <v>2007</v>
      </c>
      <c r="L29">
        <f>100*'a9'!B43/'a9'!B$17</f>
        <v>138.89694335000701</v>
      </c>
      <c r="M29">
        <f>100*'C22'!I29/'C22'!I$3</f>
        <v>104.68989614057878</v>
      </c>
    </row>
    <row r="30" spans="8:13">
      <c r="H30" s="14">
        <v>2008</v>
      </c>
      <c r="I30">
        <f>'a9'!B44*1000000/'a1'!F46</f>
        <v>21.971440968741241</v>
      </c>
      <c r="K30" s="14">
        <v>2008</v>
      </c>
      <c r="L30">
        <f>100*'a9'!B44/'a9'!B$17</f>
        <v>135.92588573824216</v>
      </c>
      <c r="M30">
        <f>100*'C22'!I30/'C22'!I$3</f>
        <v>101.26279747358691</v>
      </c>
    </row>
    <row r="31" spans="8:13">
      <c r="H31" s="14">
        <v>2009</v>
      </c>
      <c r="I31">
        <f>'a9'!B45*1000000/'a1'!F47</f>
        <v>20.4625217940685</v>
      </c>
      <c r="K31" s="14">
        <v>2009</v>
      </c>
      <c r="L31">
        <f>100*'a9'!B45/'a9'!B$17</f>
        <v>128.12685950735943</v>
      </c>
      <c r="M31">
        <f>100*'C22'!I31/'C22'!I$3</f>
        <v>94.30843444358436</v>
      </c>
    </row>
    <row r="32" spans="8:13">
      <c r="H32" s="14">
        <v>2010</v>
      </c>
      <c r="I32">
        <f>'a9'!B46*1000000/'a1'!F48</f>
        <v>19.937573363771033</v>
      </c>
      <c r="K32" s="14">
        <v>2010</v>
      </c>
      <c r="L32">
        <f>100*'a9'!B46/'a9'!B$17</f>
        <v>126.27844300378344</v>
      </c>
      <c r="M32">
        <f>100*'C22'!I32/'C22'!I$3</f>
        <v>91.889032518288815</v>
      </c>
    </row>
  </sheetData>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404" t="s">
        <v>1385</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s="392">
        <f>'2'!G19</f>
        <v>642.49719231534937</v>
      </c>
      <c r="C21" s="392">
        <f>'2'!Q19</f>
        <v>478.18644518521205</v>
      </c>
      <c r="D21" s="392">
        <f>'2'!AA19</f>
        <v>457.72330155944314</v>
      </c>
      <c r="E21" s="392">
        <f>'2'!AK19</f>
        <v>608.84459556512672</v>
      </c>
      <c r="F21" s="392">
        <f>'2'!AU19</f>
        <v>592.71293758934405</v>
      </c>
      <c r="G21" s="392">
        <f>'2'!BE19</f>
        <v>345.24079564478416</v>
      </c>
      <c r="H21" s="392">
        <f>'2'!BO19</f>
        <v>520.6021355130365</v>
      </c>
      <c r="I21" s="392">
        <f>'2'!BY19</f>
        <v>469.0659935022835</v>
      </c>
      <c r="J21" s="392">
        <f>'2'!CI19</f>
        <v>1304.2328693801553</v>
      </c>
      <c r="K21" s="392">
        <f>'2'!CS19</f>
        <v>2204.7161759315909</v>
      </c>
      <c r="L21" s="392">
        <f>'2'!DC19</f>
        <v>504.70584959834787</v>
      </c>
    </row>
    <row r="22" spans="1:12">
      <c r="A22" s="572">
        <v>2010</v>
      </c>
      <c r="B22" s="392">
        <f>'2'!G48</f>
        <v>590.38445397574412</v>
      </c>
      <c r="C22" s="392">
        <f>'2'!Q48</f>
        <v>566.15434397081469</v>
      </c>
      <c r="D22" s="392">
        <f>'2'!AA48</f>
        <v>385.87526410736575</v>
      </c>
      <c r="E22" s="392">
        <f>'2'!AK48</f>
        <v>644.64055639130856</v>
      </c>
      <c r="F22" s="392">
        <f>'2'!AU48</f>
        <v>676.79097497604062</v>
      </c>
      <c r="G22" s="392">
        <f>'2'!BE48</f>
        <v>297.60013838674229</v>
      </c>
      <c r="H22" s="392">
        <f>'2'!BO48</f>
        <v>348.34582246905006</v>
      </c>
      <c r="I22" s="392">
        <f>'2'!BY48</f>
        <v>486.50132524303638</v>
      </c>
      <c r="J22" s="392">
        <f>'2'!CI48</f>
        <v>2247.701964115201</v>
      </c>
      <c r="K22" s="392">
        <f>'2'!CS48</f>
        <v>2062.7277601690203</v>
      </c>
      <c r="L22" s="392">
        <f>'2'!DC48</f>
        <v>437.18183628647586</v>
      </c>
    </row>
  </sheetData>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573" t="s">
        <v>1386</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s="392">
        <f>'2'!H19</f>
        <v>147742.11551907114</v>
      </c>
      <c r="C21" s="392">
        <f>'2'!R19</f>
        <v>119765.95061164149</v>
      </c>
      <c r="D21" s="392">
        <f>'2'!AB19</f>
        <v>87350.1639328194</v>
      </c>
      <c r="E21" s="392">
        <f>'2'!AL19</f>
        <v>107269.05931571893</v>
      </c>
      <c r="F21" s="392">
        <f>'2'!AV19</f>
        <v>113906.90044182616</v>
      </c>
      <c r="G21" s="392">
        <f>'2'!BF19</f>
        <v>128869.51822767787</v>
      </c>
      <c r="H21" s="392">
        <f>'2'!BP19</f>
        <v>127701.34190857357</v>
      </c>
      <c r="I21" s="392">
        <f>'2'!BZ19</f>
        <v>144067.24914687854</v>
      </c>
      <c r="J21" s="392">
        <f>'2'!CJ19</f>
        <v>180209.63892666978</v>
      </c>
      <c r="K21" s="392">
        <f>'2'!CT19</f>
        <v>264256.96044248616</v>
      </c>
      <c r="L21" s="392">
        <f>'2'!DD19</f>
        <v>168518.43644514144</v>
      </c>
    </row>
    <row r="22" spans="1:12">
      <c r="A22" s="572">
        <v>2010</v>
      </c>
      <c r="B22" s="392">
        <f>'2'!H48</f>
        <v>213055.55743049577</v>
      </c>
      <c r="C22" s="392">
        <f>'2'!R48</f>
        <v>343899.60279608611</v>
      </c>
      <c r="D22" s="392">
        <f>'2'!AB48</f>
        <v>159140.4680745799</v>
      </c>
      <c r="E22" s="392">
        <f>'2'!AL48</f>
        <v>165205.43130337159</v>
      </c>
      <c r="F22" s="392">
        <f>'2'!AV48</f>
        <v>180959.09757343831</v>
      </c>
      <c r="G22" s="392">
        <f>'2'!BF48</f>
        <v>191216.93933014714</v>
      </c>
      <c r="H22" s="392">
        <f>'2'!BP48</f>
        <v>182404.0521243166</v>
      </c>
      <c r="I22" s="392">
        <f>'2'!BZ48</f>
        <v>191545.59621856309</v>
      </c>
      <c r="J22" s="392">
        <f>'2'!CJ48</f>
        <v>283254.15366399341</v>
      </c>
      <c r="K22" s="392">
        <f>'2'!CT48</f>
        <v>353815.09962351382</v>
      </c>
      <c r="L22" s="392">
        <f>'2'!DD48</f>
        <v>226514.92525456948</v>
      </c>
    </row>
  </sheetData>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404" t="s">
        <v>1387</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s="574">
        <f>'2'!I19</f>
        <v>0.25267986708165169</v>
      </c>
      <c r="C21" s="574">
        <f>'2'!S19</f>
        <v>0.17423122566164023</v>
      </c>
      <c r="D21" s="574">
        <f>'2'!AC19</f>
        <v>8.3333333333333329E-2</v>
      </c>
      <c r="E21" s="574">
        <f>'2'!AM19</f>
        <v>0.13918839018427517</v>
      </c>
      <c r="F21" s="574">
        <f>'2'!AW19</f>
        <v>0.15780172121188507</v>
      </c>
      <c r="G21" s="574">
        <f>'2'!BG19</f>
        <v>0.19975876004372442</v>
      </c>
      <c r="H21" s="574">
        <f>'2'!BQ19</f>
        <v>0.1964830485415941</v>
      </c>
      <c r="I21" s="574">
        <f>'2'!CA19</f>
        <v>0.24237508530571805</v>
      </c>
      <c r="J21" s="574">
        <f>'2'!CK19</f>
        <v>0.34372283562385231</v>
      </c>
      <c r="K21" s="574">
        <f>'2'!CU19</f>
        <v>0.57940196497283902</v>
      </c>
      <c r="L21" s="574">
        <f>'2'!DE19</f>
        <v>0.31093925165954012</v>
      </c>
    </row>
    <row r="22" spans="1:12">
      <c r="A22" s="572">
        <v>2010</v>
      </c>
      <c r="B22" s="574">
        <f>'2'!I48</f>
        <v>0.43582687101768375</v>
      </c>
      <c r="C22" s="574">
        <f>'2'!S48</f>
        <v>0.80272982683000638</v>
      </c>
      <c r="D22" s="574">
        <f>'2'!AC48</f>
        <v>0.28464226347746752</v>
      </c>
      <c r="E22" s="574">
        <f>'2'!AM48</f>
        <v>0.30164917372179045</v>
      </c>
      <c r="F22" s="574">
        <f>'2'!AW48</f>
        <v>0.34582441076233233</v>
      </c>
      <c r="G22" s="574">
        <f>'2'!BG48</f>
        <v>0.37458867321138462</v>
      </c>
      <c r="H22" s="574">
        <f>'2'!BQ48</f>
        <v>0.34987624280597179</v>
      </c>
      <c r="I22" s="574">
        <f>'2'!CA48</f>
        <v>0.37551026795015141</v>
      </c>
      <c r="J22" s="574">
        <f>'2'!CK48</f>
        <v>0.6326724544753124</v>
      </c>
      <c r="K22" s="574">
        <f>'2'!CU48</f>
        <v>0.83053411157346535</v>
      </c>
      <c r="L22" s="574">
        <f>'2'!DE48</f>
        <v>0.47356861023263919</v>
      </c>
    </row>
  </sheetData>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dimension ref="A1"/>
  <sheetViews>
    <sheetView workbookViewId="0">
      <selection activeCell="E9" sqref="E9"/>
    </sheetView>
  </sheetViews>
  <sheetFormatPr defaultRowHeight="12.75"/>
  <sheetData>
    <row r="1" spans="1:1" ht="15.75">
      <c r="A1" s="404" t="s">
        <v>1388</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EH52"/>
  <sheetViews>
    <sheetView view="pageBreakPreview" zoomScaleSheetLayoutView="100" workbookViewId="0">
      <pane xSplit="1" ySplit="4" topLeftCell="B31" activePane="bottomRight" state="frozen"/>
      <selection activeCell="E9" sqref="E9"/>
      <selection pane="topRight" activeCell="E9" sqref="E9"/>
      <selection pane="bottomLeft" activeCell="E9" sqref="E9"/>
      <selection pane="bottomRight" activeCell="E9" sqref="E9"/>
    </sheetView>
  </sheetViews>
  <sheetFormatPr defaultColWidth="8.875" defaultRowHeight="12.75"/>
  <cols>
    <col min="1" max="1" width="8.875" style="1"/>
    <col min="2" max="56" width="10.625" style="1" customWidth="1"/>
    <col min="57" max="16384" width="8.875" style="1"/>
  </cols>
  <sheetData>
    <row r="1" spans="1:56" ht="15.75">
      <c r="B1" s="2" t="s">
        <v>507</v>
      </c>
      <c r="Q1" s="2" t="s">
        <v>508</v>
      </c>
      <c r="AF1" s="2" t="s">
        <v>509</v>
      </c>
      <c r="AU1" s="2" t="s">
        <v>510</v>
      </c>
    </row>
    <row r="3" spans="1:56" s="3" customFormat="1" ht="15">
      <c r="B3" s="3" t="s">
        <v>321</v>
      </c>
      <c r="G3" s="3" t="s">
        <v>370</v>
      </c>
      <c r="L3" s="3" t="s">
        <v>371</v>
      </c>
      <c r="Q3" s="3" t="s">
        <v>372</v>
      </c>
      <c r="V3" s="3" t="s">
        <v>373</v>
      </c>
      <c r="AA3" s="3" t="s">
        <v>374</v>
      </c>
      <c r="AF3" s="3" t="s">
        <v>375</v>
      </c>
      <c r="AK3" s="3" t="s">
        <v>376</v>
      </c>
      <c r="AP3" s="3" t="s">
        <v>377</v>
      </c>
      <c r="AU3" s="3" t="s">
        <v>378</v>
      </c>
      <c r="AZ3" s="3" t="s">
        <v>379</v>
      </c>
    </row>
    <row r="4" spans="1:56" s="4" customFormat="1" ht="117.6" customHeight="1">
      <c r="B4" s="4" t="s">
        <v>17</v>
      </c>
      <c r="C4" s="4" t="s">
        <v>13</v>
      </c>
      <c r="D4" s="4" t="s">
        <v>14</v>
      </c>
      <c r="E4" s="4" t="s">
        <v>15</v>
      </c>
      <c r="F4" s="4" t="s">
        <v>16</v>
      </c>
      <c r="G4" s="4" t="s">
        <v>17</v>
      </c>
      <c r="H4" s="4" t="s">
        <v>13</v>
      </c>
      <c r="I4" s="4" t="s">
        <v>14</v>
      </c>
      <c r="J4" s="4" t="s">
        <v>15</v>
      </c>
      <c r="K4" s="4" t="s">
        <v>16</v>
      </c>
      <c r="L4" s="4" t="s">
        <v>17</v>
      </c>
      <c r="M4" s="4" t="s">
        <v>13</v>
      </c>
      <c r="N4" s="4" t="s">
        <v>14</v>
      </c>
      <c r="O4" s="4" t="s">
        <v>15</v>
      </c>
      <c r="P4" s="4" t="s">
        <v>16</v>
      </c>
      <c r="Q4" s="4" t="s">
        <v>17</v>
      </c>
      <c r="R4" s="4" t="s">
        <v>13</v>
      </c>
      <c r="S4" s="4" t="s">
        <v>14</v>
      </c>
      <c r="T4" s="4" t="s">
        <v>15</v>
      </c>
      <c r="U4" s="4" t="s">
        <v>16</v>
      </c>
      <c r="V4" s="4" t="s">
        <v>17</v>
      </c>
      <c r="W4" s="4" t="s">
        <v>13</v>
      </c>
      <c r="X4" s="4" t="s">
        <v>14</v>
      </c>
      <c r="Y4" s="4" t="s">
        <v>15</v>
      </c>
      <c r="Z4" s="4" t="s">
        <v>16</v>
      </c>
      <c r="AA4" s="4" t="s">
        <v>17</v>
      </c>
      <c r="AB4" s="4" t="s">
        <v>13</v>
      </c>
      <c r="AC4" s="4" t="s">
        <v>14</v>
      </c>
      <c r="AD4" s="4" t="s">
        <v>15</v>
      </c>
      <c r="AE4" s="4" t="s">
        <v>16</v>
      </c>
      <c r="AF4" s="4" t="s">
        <v>17</v>
      </c>
      <c r="AG4" s="4" t="s">
        <v>13</v>
      </c>
      <c r="AH4" s="4" t="s">
        <v>14</v>
      </c>
      <c r="AI4" s="4" t="s">
        <v>15</v>
      </c>
      <c r="AJ4" s="4" t="s">
        <v>16</v>
      </c>
      <c r="AK4" s="4" t="s">
        <v>17</v>
      </c>
      <c r="AL4" s="4" t="s">
        <v>13</v>
      </c>
      <c r="AM4" s="4" t="s">
        <v>14</v>
      </c>
      <c r="AN4" s="4" t="s">
        <v>15</v>
      </c>
      <c r="AO4" s="4" t="s">
        <v>16</v>
      </c>
      <c r="AP4" s="4" t="s">
        <v>17</v>
      </c>
      <c r="AQ4" s="4" t="s">
        <v>13</v>
      </c>
      <c r="AR4" s="4" t="s">
        <v>14</v>
      </c>
      <c r="AS4" s="4" t="s">
        <v>15</v>
      </c>
      <c r="AT4" s="4" t="s">
        <v>16</v>
      </c>
      <c r="AU4" s="4" t="s">
        <v>17</v>
      </c>
      <c r="AV4" s="4" t="s">
        <v>13</v>
      </c>
      <c r="AW4" s="4" t="s">
        <v>14</v>
      </c>
      <c r="AX4" s="4" t="s">
        <v>15</v>
      </c>
      <c r="AY4" s="4" t="s">
        <v>16</v>
      </c>
      <c r="AZ4" s="4" t="s">
        <v>17</v>
      </c>
      <c r="BA4" s="4" t="s">
        <v>13</v>
      </c>
      <c r="BB4" s="4" t="s">
        <v>14</v>
      </c>
      <c r="BC4" s="4" t="s">
        <v>15</v>
      </c>
      <c r="BD4" s="4" t="s">
        <v>16</v>
      </c>
    </row>
    <row r="5" spans="1:56" ht="15.75" hidden="1" customHeight="1">
      <c r="A5" s="1">
        <v>1971</v>
      </c>
      <c r="B5" s="44">
        <f>'a29'!C8</f>
        <v>0.26389383367403252</v>
      </c>
      <c r="C5" s="44">
        <f>'a29'!E8</f>
        <v>0.42100064968186063</v>
      </c>
      <c r="D5" s="44">
        <f>'a29'!G8</f>
        <v>0.2371071033150749</v>
      </c>
      <c r="E5" s="44">
        <f>'a29'!I8</f>
        <v>7.7998413329031999E-2</v>
      </c>
      <c r="F5" s="9" t="e">
        <f>B5*'4'!H8+'8'!C5*'5'!C6+'8'!D5*'6'!F8+'8'!E5*'7'!#REF!</f>
        <v>#REF!</v>
      </c>
      <c r="G5" s="44">
        <f>'a29'!L8</f>
        <v>0.25090683633091176</v>
      </c>
      <c r="H5" s="44">
        <f>'a29'!N8</f>
        <v>0.44044620925174133</v>
      </c>
      <c r="I5" s="44">
        <f>'a29'!P8</f>
        <v>0.24172801058872506</v>
      </c>
      <c r="J5" s="44">
        <f>'a29'!R8</f>
        <v>6.6918943828621791E-2</v>
      </c>
      <c r="K5" s="9" t="e">
        <f>G5*'4'!O8+'8'!H5*'5'!E6+'8'!I5*'6'!K8+'8'!J5*'7'!#REF!</f>
        <v>#REF!</v>
      </c>
      <c r="L5" s="44">
        <f>'a29'!U8</f>
        <v>0.25210696615202627</v>
      </c>
      <c r="M5" s="44">
        <f>'a29'!W8</f>
        <v>0.4390492865697791</v>
      </c>
      <c r="N5" s="44">
        <f>'a29'!Y8</f>
        <v>0.22949269850512719</v>
      </c>
      <c r="O5" s="44">
        <f>'a29'!AA8</f>
        <v>7.9351048773067437E-2</v>
      </c>
      <c r="P5" s="9" t="e">
        <f>L5*'4'!V8+'8'!M5*'5'!G6+'8'!N5*'6'!P8+'8'!O5*'7'!#REF!</f>
        <v>#REF!</v>
      </c>
      <c r="Q5" s="44">
        <f>'a29'!AD8</f>
        <v>0.26042056553684623</v>
      </c>
      <c r="R5" s="44">
        <f>'a29'!AF8</f>
        <v>0.43020629418032802</v>
      </c>
      <c r="S5" s="44">
        <f>'a29'!AH8</f>
        <v>0.22784700413480519</v>
      </c>
      <c r="T5" s="44">
        <f>'a29'!AJ8</f>
        <v>8.1526136148020609E-2</v>
      </c>
      <c r="U5" s="9" t="e">
        <f>Q5*'4'!AC8+'8'!R5*'5'!I6+'8'!S5*'6'!U8+'8'!T5*'7'!#REF!</f>
        <v>#REF!</v>
      </c>
      <c r="V5" s="44">
        <f>'a29'!AM8</f>
        <v>0.25757486798481377</v>
      </c>
      <c r="W5" s="44">
        <f>'a29'!AO8</f>
        <v>0.43185874148680753</v>
      </c>
      <c r="X5" s="44">
        <f>'a29'!AQ8</f>
        <v>0.23362955161565424</v>
      </c>
      <c r="Y5" s="44">
        <f>'a29'!AS8</f>
        <v>7.6936838912724501E-2</v>
      </c>
      <c r="Z5" s="9" t="e">
        <f>V5*'4'!AJ8+'8'!W5*'5'!K6+'8'!X5*'6'!Z8+'8'!Y5*'7'!#REF!</f>
        <v>#REF!</v>
      </c>
      <c r="AA5" s="44">
        <f>'a29'!AV8</f>
        <v>0.26416821129371293</v>
      </c>
      <c r="AB5" s="44">
        <f>'a29'!AX8</f>
        <v>0.41367194736686674</v>
      </c>
      <c r="AC5" s="44">
        <f>'a29'!AZ8</f>
        <v>0.24835275927750844</v>
      </c>
      <c r="AD5" s="44">
        <f>'a29'!BB8</f>
        <v>7.3807082061911902E-2</v>
      </c>
      <c r="AE5" s="9" t="e">
        <f>AA5*'4'!AQ8+'8'!AB5*'5'!M6+'8'!AC5*'6'!AE8+'8'!AD5*'7'!#REF!</f>
        <v>#REF!</v>
      </c>
      <c r="AF5" s="44">
        <f>'a29'!BE8</f>
        <v>0.26693756393064455</v>
      </c>
      <c r="AG5" s="44">
        <f>'a29'!BG8</f>
        <v>0.42141427735981624</v>
      </c>
      <c r="AH5" s="44">
        <f>'a29'!BI8</f>
        <v>0.2315984055616718</v>
      </c>
      <c r="AI5" s="44">
        <f>'a29'!BK8</f>
        <v>8.0049753147867414E-2</v>
      </c>
      <c r="AJ5" s="9" t="e">
        <f>AF5*'4'!AX8+'8'!AG5*'5'!O6+'8'!AH5*'6'!AJ8+'8'!AI5*'7'!#REF!</f>
        <v>#REF!</v>
      </c>
      <c r="AK5" s="44">
        <f>'a29'!BN8</f>
        <v>0.26396052737558651</v>
      </c>
      <c r="AL5" s="44">
        <f>'a29'!BP8</f>
        <v>0.42891417244619756</v>
      </c>
      <c r="AM5" s="44">
        <f>'a29'!BR8</f>
        <v>0.22239027979563555</v>
      </c>
      <c r="AN5" s="44">
        <f>'a29'!BT8</f>
        <v>8.4735020382580406E-2</v>
      </c>
      <c r="AO5" s="9" t="e">
        <f>AK5*'4'!BE8+'8'!AL5*'5'!Q6+'8'!AM5*'6'!AO8+'8'!AN5*'7'!#REF!</f>
        <v>#REF!</v>
      </c>
      <c r="AP5" s="44">
        <f>'a29'!BW8</f>
        <v>0.25570502740519407</v>
      </c>
      <c r="AQ5" s="44">
        <f>'a29'!BY8</f>
        <v>0.4286160340348722</v>
      </c>
      <c r="AR5" s="44">
        <f>'a29'!CA8</f>
        <v>0.22939266729413635</v>
      </c>
      <c r="AS5" s="44">
        <f>'a29'!CC8</f>
        <v>8.6286271265797243E-2</v>
      </c>
      <c r="AT5" s="9" t="e">
        <f>AP5*'4'!BL8+'8'!AQ5*'5'!S6+'8'!AR5*'6'!AT8+'8'!AS5*'7'!#REF!</f>
        <v>#REF!</v>
      </c>
      <c r="AU5" s="44">
        <f>'a29'!CF8</f>
        <v>0.25676295467655186</v>
      </c>
      <c r="AV5" s="44">
        <f>'a29'!CH8</f>
        <v>0.41723435333680808</v>
      </c>
      <c r="AW5" s="44">
        <f>'a29'!CJ8</f>
        <v>0.25485590579602058</v>
      </c>
      <c r="AX5" s="44">
        <f>'a29'!CL8</f>
        <v>7.1146786190619579E-2</v>
      </c>
      <c r="AY5" s="9" t="e">
        <f>AU5*'4'!BS8+'8'!AV5*'5'!U6+'8'!AW5*'6'!AY8+'8'!AX5*'7'!#REF!</f>
        <v>#REF!</v>
      </c>
      <c r="AZ5" s="44">
        <f>'a29'!CO8</f>
        <v>0.26792930278277377</v>
      </c>
      <c r="BA5" s="44">
        <f>'a29'!CQ8</f>
        <v>0.42445497099583956</v>
      </c>
      <c r="BB5" s="44">
        <f>'a29'!CS8</f>
        <v>0.22405750627090579</v>
      </c>
      <c r="BC5" s="44">
        <f>'a29'!CU8</f>
        <v>8.3558219950480933E-2</v>
      </c>
      <c r="BD5" s="9" t="e">
        <f>AZ5*'4'!BZ8+'8'!BA5*'5'!W6+'8'!BB5*'6'!BD8+'8'!BC5*'7'!#REF!</f>
        <v>#REF!</v>
      </c>
    </row>
    <row r="6" spans="1:56" hidden="1">
      <c r="A6" s="1">
        <v>1972</v>
      </c>
      <c r="B6" s="44">
        <f>'a29'!C9</f>
        <v>0.26666342974262142</v>
      </c>
      <c r="C6" s="44">
        <f>'a29'!E9</f>
        <v>0.42103675612858571</v>
      </c>
      <c r="D6" s="44">
        <f>'a29'!G9</f>
        <v>0.23368247442978077</v>
      </c>
      <c r="E6" s="44">
        <f>'a29'!I9</f>
        <v>7.8617339699012134E-2</v>
      </c>
      <c r="F6" s="9" t="e">
        <f>B6*'4'!H9+'8'!C6*'5'!C7+'8'!D6*'6'!F9+'8'!E6*'7'!#REF!</f>
        <v>#REF!</v>
      </c>
      <c r="G6" s="44">
        <f>'a29'!L9</f>
        <v>0.25380956020704465</v>
      </c>
      <c r="H6" s="44">
        <f>'a29'!N9</f>
        <v>0.4409105493129048</v>
      </c>
      <c r="I6" s="44">
        <f>'a29'!P9</f>
        <v>0.23815668072708709</v>
      </c>
      <c r="J6" s="44">
        <f>'a29'!R9</f>
        <v>6.7123209752963445E-2</v>
      </c>
      <c r="K6" s="9" t="e">
        <f>G6*'4'!O9+'8'!H6*'5'!E7+'8'!I6*'6'!K9+'8'!J6*'7'!#REF!</f>
        <v>#REF!</v>
      </c>
      <c r="L6" s="44">
        <f>'a29'!U9</f>
        <v>0.25438756873173418</v>
      </c>
      <c r="M6" s="44">
        <f>'a29'!W9</f>
        <v>0.43907832278546532</v>
      </c>
      <c r="N6" s="44">
        <f>'a29'!Y9</f>
        <v>0.22725543299731632</v>
      </c>
      <c r="O6" s="44">
        <f>'a29'!AA9</f>
        <v>7.9278675485484257E-2</v>
      </c>
      <c r="P6" s="9" t="e">
        <f>L6*'4'!V9+'8'!M6*'5'!G7+'8'!N6*'6'!P9+'8'!O6*'7'!#REF!</f>
        <v>#REF!</v>
      </c>
      <c r="Q6" s="44">
        <f>'a29'!AD9</f>
        <v>0.26268492777354618</v>
      </c>
      <c r="R6" s="44">
        <f>'a29'!AF9</f>
        <v>0.43019022475226698</v>
      </c>
      <c r="S6" s="44">
        <f>'a29'!AH9</f>
        <v>0.22567636336617722</v>
      </c>
      <c r="T6" s="44">
        <f>'a29'!AJ9</f>
        <v>8.1448484108009728E-2</v>
      </c>
      <c r="U6" s="9" t="e">
        <f>Q6*'4'!AC9+'8'!R6*'5'!I7+'8'!S6*'6'!U9+'8'!T6*'7'!#REF!</f>
        <v>#REF!</v>
      </c>
      <c r="V6" s="44">
        <f>'a29'!AM9</f>
        <v>0.26035069991088994</v>
      </c>
      <c r="W6" s="44">
        <f>'a29'!AO9</f>
        <v>0.4318569622812703</v>
      </c>
      <c r="X6" s="44">
        <f>'a29'!AQ9</f>
        <v>0.23078659181111905</v>
      </c>
      <c r="Y6" s="44">
        <f>'a29'!AS9</f>
        <v>7.7005745996720679E-2</v>
      </c>
      <c r="Z6" s="9" t="e">
        <f>V6*'4'!AJ9+'8'!W6*'5'!K7+'8'!X6*'6'!Z9+'8'!Y6*'7'!#REF!</f>
        <v>#REF!</v>
      </c>
      <c r="AA6" s="44">
        <f>'a29'!AV9</f>
        <v>0.26767515417213361</v>
      </c>
      <c r="AB6" s="44">
        <f>'a29'!AX9</f>
        <v>0.41370079879587163</v>
      </c>
      <c r="AC6" s="44">
        <f>'a29'!AZ9</f>
        <v>0.24386622423698104</v>
      </c>
      <c r="AD6" s="44">
        <f>'a29'!BB9</f>
        <v>7.475782279501389E-2</v>
      </c>
      <c r="AE6" s="9" t="e">
        <f>AA6*'4'!AQ9+'8'!AB6*'5'!M7+'8'!AC6*'6'!AE9+'8'!AD6*'7'!#REF!</f>
        <v>#REF!</v>
      </c>
      <c r="AF6" s="44">
        <f>'a29'!BE9</f>
        <v>0.26922687562659531</v>
      </c>
      <c r="AG6" s="44">
        <f>'a29'!BG9</f>
        <v>0.42126047143990319</v>
      </c>
      <c r="AH6" s="44">
        <f>'a29'!BI9</f>
        <v>0.22877582855438927</v>
      </c>
      <c r="AI6" s="44">
        <f>'a29'!BK9</f>
        <v>8.0736824379112199E-2</v>
      </c>
      <c r="AJ6" s="9" t="e">
        <f>AF6*'4'!AX9+'8'!AG6*'5'!O7+'8'!AH6*'6'!AJ9+'8'!AI6*'7'!#REF!</f>
        <v>#REF!</v>
      </c>
      <c r="AK6" s="44">
        <f>'a29'!BN9</f>
        <v>0.26600667499747466</v>
      </c>
      <c r="AL6" s="44">
        <f>'a29'!BP9</f>
        <v>0.42951418493409377</v>
      </c>
      <c r="AM6" s="44">
        <f>'a29'!BR9</f>
        <v>0.21932216788623007</v>
      </c>
      <c r="AN6" s="44">
        <f>'a29'!BT9</f>
        <v>8.5156972182201612E-2</v>
      </c>
      <c r="AO6" s="9" t="e">
        <f>AK6*'4'!BE9+'8'!AL6*'5'!Q7+'8'!AM6*'6'!AO9+'8'!AN6*'7'!#REF!</f>
        <v>#REF!</v>
      </c>
      <c r="AP6" s="44">
        <f>'a29'!BW9</f>
        <v>0.25693726765883385</v>
      </c>
      <c r="AQ6" s="44">
        <f>'a29'!BY9</f>
        <v>0.42746973490764462</v>
      </c>
      <c r="AR6" s="44">
        <f>'a29'!CA9</f>
        <v>0.22877223133953786</v>
      </c>
      <c r="AS6" s="44">
        <f>'a29'!CC9</f>
        <v>8.6820766093983634E-2</v>
      </c>
      <c r="AT6" s="9" t="e">
        <f>AP6*'4'!BL9+'8'!AQ6*'5'!S7+'8'!AR6*'6'!AT9+'8'!AS6*'7'!#REF!</f>
        <v>#REF!</v>
      </c>
      <c r="AU6" s="44">
        <f>'a29'!CF9</f>
        <v>0.26065315964430791</v>
      </c>
      <c r="AV6" s="44">
        <f>'a29'!CH9</f>
        <v>0.41886174080578104</v>
      </c>
      <c r="AW6" s="44">
        <f>'a29'!CJ9</f>
        <v>0.2487072857818331</v>
      </c>
      <c r="AX6" s="44">
        <f>'a29'!CL9</f>
        <v>7.1777813768077875E-2</v>
      </c>
      <c r="AY6" s="9" t="e">
        <f>AU6*'4'!BS9+'8'!AV6*'5'!U7+'8'!AW6*'6'!AY9+'8'!AX6*'7'!#REF!</f>
        <v>#REF!</v>
      </c>
      <c r="AZ6" s="44">
        <f>'a29'!CO9</f>
        <v>0.27045989110262131</v>
      </c>
      <c r="BA6" s="44">
        <f>'a29'!CQ9</f>
        <v>0.42406929322607495</v>
      </c>
      <c r="BB6" s="44">
        <f>'a29'!CS9</f>
        <v>0.22182194348802828</v>
      </c>
      <c r="BC6" s="44">
        <f>'a29'!CU9</f>
        <v>8.3648872183275519E-2</v>
      </c>
      <c r="BD6" s="9" t="e">
        <f>AZ6*'4'!BZ9+'8'!BA6*'5'!W7+'8'!BB6*'6'!BD9+'8'!BC6*'7'!#REF!</f>
        <v>#REF!</v>
      </c>
    </row>
    <row r="7" spans="1:56" hidden="1">
      <c r="A7" s="1">
        <v>1973</v>
      </c>
      <c r="B7" s="44">
        <f>'a29'!C10</f>
        <v>0.26861257853673398</v>
      </c>
      <c r="C7" s="44">
        <f>'a29'!E10</f>
        <v>0.41962775352148596</v>
      </c>
      <c r="D7" s="44">
        <f>'a29'!G10</f>
        <v>0.23290045430704243</v>
      </c>
      <c r="E7" s="44">
        <f>'a29'!I10</f>
        <v>7.8859213634737593E-2</v>
      </c>
      <c r="F7" s="9" t="e">
        <f>B7*'4'!H10+'8'!C7*'5'!C8+'8'!D7*'6'!F10+'8'!E7*'7'!#REF!</f>
        <v>#REF!</v>
      </c>
      <c r="G7" s="44">
        <f>'a29'!L10</f>
        <v>0.25630115824295868</v>
      </c>
      <c r="H7" s="44">
        <f>'a29'!N10</f>
        <v>0.44121583450510948</v>
      </c>
      <c r="I7" s="44">
        <f>'a29'!P10</f>
        <v>0.23535129514164516</v>
      </c>
      <c r="J7" s="44">
        <f>'a29'!R10</f>
        <v>6.7131712110286706E-2</v>
      </c>
      <c r="K7" s="9" t="e">
        <f>G7*'4'!O10+'8'!H7*'5'!E8+'8'!I7*'6'!K10+'8'!J7*'7'!#REF!</f>
        <v>#REF!</v>
      </c>
      <c r="L7" s="44">
        <f>'a29'!U10</f>
        <v>0.25738554294647448</v>
      </c>
      <c r="M7" s="44">
        <f>'a29'!W10</f>
        <v>0.43925926762938722</v>
      </c>
      <c r="N7" s="44">
        <f>'a29'!Y10</f>
        <v>0.22449776532703578</v>
      </c>
      <c r="O7" s="44">
        <f>'a29'!AA10</f>
        <v>7.8857424097102613E-2</v>
      </c>
      <c r="P7" s="9" t="e">
        <f>L7*'4'!V10+'8'!M7*'5'!G8+'8'!N7*'6'!P10+'8'!O7*'7'!#REF!</f>
        <v>#REF!</v>
      </c>
      <c r="Q7" s="44">
        <f>'a29'!AD10</f>
        <v>0.26562347145731691</v>
      </c>
      <c r="R7" s="44">
        <f>'a29'!AF10</f>
        <v>0.43079611481437446</v>
      </c>
      <c r="S7" s="44">
        <f>'a29'!AH10</f>
        <v>0.22236249250754064</v>
      </c>
      <c r="T7" s="44">
        <f>'a29'!AJ10</f>
        <v>8.1217921220767944E-2</v>
      </c>
      <c r="U7" s="9" t="e">
        <f>Q7*'4'!AC10+'8'!R7*'5'!I8+'8'!S7*'6'!U10+'8'!T7*'7'!#REF!</f>
        <v>#REF!</v>
      </c>
      <c r="V7" s="44">
        <f>'a29'!AM10</f>
        <v>0.26336162105230426</v>
      </c>
      <c r="W7" s="44">
        <f>'a29'!AO10</f>
        <v>0.43216670442441668</v>
      </c>
      <c r="X7" s="44">
        <f>'a29'!AQ10</f>
        <v>0.22752636437355098</v>
      </c>
      <c r="Y7" s="44">
        <f>'a29'!AS10</f>
        <v>7.6945310149727955E-2</v>
      </c>
      <c r="Z7" s="9" t="e">
        <f>V7*'4'!AJ10+'8'!W7*'5'!K8+'8'!X7*'6'!Z10+'8'!Y7*'7'!#REF!</f>
        <v>#REF!</v>
      </c>
      <c r="AA7" s="44">
        <f>'a29'!AV10</f>
        <v>0.27124655089826133</v>
      </c>
      <c r="AB7" s="44">
        <f>'a29'!AX10</f>
        <v>0.41369435440914337</v>
      </c>
      <c r="AC7" s="44">
        <f>'a29'!AZ10</f>
        <v>0.23933713211290716</v>
      </c>
      <c r="AD7" s="44">
        <f>'a29'!BB10</f>
        <v>7.5721962579688051E-2</v>
      </c>
      <c r="AE7" s="9" t="e">
        <f>AA7*'4'!AQ10+'8'!AB7*'5'!M8+'8'!AC7*'6'!AE10+'8'!AD7*'7'!#REF!</f>
        <v>#REF!</v>
      </c>
      <c r="AF7" s="44">
        <f>'a29'!BE10</f>
        <v>0.27159400347031498</v>
      </c>
      <c r="AG7" s="44">
        <f>'a29'!BG10</f>
        <v>0.42104976873770744</v>
      </c>
      <c r="AH7" s="44">
        <f>'a29'!BI10</f>
        <v>0.22605001197580435</v>
      </c>
      <c r="AI7" s="44">
        <f>'a29'!BK10</f>
        <v>8.130621581617313E-2</v>
      </c>
      <c r="AJ7" s="9" t="e">
        <f>AF7*'4'!AX10+'8'!AG7*'5'!O8+'8'!AH7*'6'!AJ10+'8'!AI7*'7'!#REF!</f>
        <v>#REF!</v>
      </c>
      <c r="AK7" s="44">
        <f>'a29'!BN10</f>
        <v>0.2685175245284509</v>
      </c>
      <c r="AL7" s="44">
        <f>'a29'!BP10</f>
        <v>0.43047637886989781</v>
      </c>
      <c r="AM7" s="44">
        <f>'a29'!BR10</f>
        <v>0.2156926675820334</v>
      </c>
      <c r="AN7" s="44">
        <f>'a29'!BT10</f>
        <v>8.5313429019617804E-2</v>
      </c>
      <c r="AO7" s="9" t="e">
        <f>AK7*'4'!BE10+'8'!AL7*'5'!Q8+'8'!AM7*'6'!AO10+'8'!AN7*'7'!#REF!</f>
        <v>#REF!</v>
      </c>
      <c r="AP7" s="44">
        <f>'a29'!BW10</f>
        <v>0.25817161738428829</v>
      </c>
      <c r="AQ7" s="44">
        <f>'a29'!BY10</f>
        <v>0.42690472866997353</v>
      </c>
      <c r="AR7" s="44">
        <f>'a29'!CA10</f>
        <v>0.22773170193243625</v>
      </c>
      <c r="AS7" s="44">
        <f>'a29'!CC10</f>
        <v>8.7191952013302015E-2</v>
      </c>
      <c r="AT7" s="9" t="e">
        <f>AP7*'4'!BL10+'8'!AQ7*'5'!S8+'8'!AR7*'6'!AT10+'8'!AS7*'7'!#REF!</f>
        <v>#REF!</v>
      </c>
      <c r="AU7" s="44">
        <f>'a29'!CF10</f>
        <v>0.26487569247353376</v>
      </c>
      <c r="AV7" s="44">
        <f>'a29'!CH10</f>
        <v>0.42056839097850812</v>
      </c>
      <c r="AW7" s="44">
        <f>'a29'!CJ10</f>
        <v>0.24225307067972082</v>
      </c>
      <c r="AX7" s="44">
        <f>'a29'!CL10</f>
        <v>7.2302845868237278E-2</v>
      </c>
      <c r="AY7" s="9" t="e">
        <f>AU7*'4'!BS10+'8'!AV7*'5'!U8+'8'!AW7*'6'!AY10+'8'!AX7*'7'!#REF!</f>
        <v>#REF!</v>
      </c>
      <c r="AZ7" s="44">
        <f>'a29'!CO10</f>
        <v>0.27319405456056861</v>
      </c>
      <c r="BA7" s="44">
        <f>'a29'!CQ10</f>
        <v>0.4237875380448527</v>
      </c>
      <c r="BB7" s="44">
        <f>'a29'!CS10</f>
        <v>0.21941990746948137</v>
      </c>
      <c r="BC7" s="44">
        <f>'a29'!CU10</f>
        <v>8.3598499925097422E-2</v>
      </c>
      <c r="BD7" s="9" t="e">
        <f>AZ7*'4'!BZ10+'8'!BA7*'5'!W8+'8'!BB7*'6'!BD10+'8'!BC7*'7'!#REF!</f>
        <v>#REF!</v>
      </c>
    </row>
    <row r="8" spans="1:56" hidden="1">
      <c r="A8" s="1">
        <v>1974</v>
      </c>
      <c r="B8" s="44">
        <f>'a29'!C11</f>
        <v>0.27069268595810653</v>
      </c>
      <c r="C8" s="44">
        <f>'a29'!E11</f>
        <v>0.41828450416622776</v>
      </c>
      <c r="D8" s="44">
        <f>'a29'!G11</f>
        <v>0.23215492834394316</v>
      </c>
      <c r="E8" s="44">
        <f>'a29'!I11</f>
        <v>7.8867881531722542E-2</v>
      </c>
      <c r="F8" s="9" t="e">
        <f>B8*'4'!H11+'8'!C8*'5'!C9+'8'!D8*'6'!F11+'8'!E8*'7'!#REF!</f>
        <v>#REF!</v>
      </c>
      <c r="G8" s="44">
        <f>'a29'!L11</f>
        <v>0.25842599709914066</v>
      </c>
      <c r="H8" s="44">
        <f>'a29'!N11</f>
        <v>0.44094926098531878</v>
      </c>
      <c r="I8" s="44">
        <f>'a29'!P11</f>
        <v>0.23355296429181216</v>
      </c>
      <c r="J8" s="44">
        <f>'a29'!R11</f>
        <v>6.7071777623728471E-2</v>
      </c>
      <c r="K8" s="9" t="e">
        <f>G8*'4'!O11+'8'!H8*'5'!E9+'8'!I8*'6'!K11+'8'!J8*'7'!#REF!</f>
        <v>#REF!</v>
      </c>
      <c r="L8" s="44">
        <f>'a29'!U11</f>
        <v>0.26042627666818285</v>
      </c>
      <c r="M8" s="44">
        <f>'a29'!W11</f>
        <v>0.43957311133585375</v>
      </c>
      <c r="N8" s="44">
        <f>'a29'!Y11</f>
        <v>0.22144665823341278</v>
      </c>
      <c r="O8" s="44">
        <f>'a29'!AA11</f>
        <v>7.855395376255063E-2</v>
      </c>
      <c r="P8" s="9" t="e">
        <f>L8*'4'!V11+'8'!M8*'5'!G9+'8'!N8*'6'!P11+'8'!O8*'7'!#REF!</f>
        <v>#REF!</v>
      </c>
      <c r="Q8" s="44">
        <f>'a29'!AD11</f>
        <v>0.26827678782167996</v>
      </c>
      <c r="R8" s="44">
        <f>'a29'!AF11</f>
        <v>0.43089105956463664</v>
      </c>
      <c r="S8" s="44">
        <f>'a29'!AH11</f>
        <v>0.21979631331613983</v>
      </c>
      <c r="T8" s="44">
        <f>'a29'!AJ11</f>
        <v>8.1035839297543669E-2</v>
      </c>
      <c r="U8" s="9" t="e">
        <f>Q8*'4'!AC11+'8'!R8*'5'!I9+'8'!S8*'6'!U11+'8'!T8*'7'!#REF!</f>
        <v>#REF!</v>
      </c>
      <c r="V8" s="44">
        <f>'a29'!AM11</f>
        <v>0.26622618817142352</v>
      </c>
      <c r="W8" s="44">
        <f>'a29'!AO11</f>
        <v>0.43263895199356744</v>
      </c>
      <c r="X8" s="44">
        <f>'a29'!AQ11</f>
        <v>0.22433562738734053</v>
      </c>
      <c r="Y8" s="44">
        <f>'a29'!AS11</f>
        <v>7.6799232447668495E-2</v>
      </c>
      <c r="Z8" s="9" t="e">
        <f>V8*'4'!AJ11+'8'!W8*'5'!K9+'8'!X8*'6'!Z11+'8'!Y8*'7'!#REF!</f>
        <v>#REF!</v>
      </c>
      <c r="AA8" s="44">
        <f>'a29'!AV11</f>
        <v>0.27495627454580662</v>
      </c>
      <c r="AB8" s="44">
        <f>'a29'!AX11</f>
        <v>0.41407725968419251</v>
      </c>
      <c r="AC8" s="44">
        <f>'a29'!AZ11</f>
        <v>0.23454208539387639</v>
      </c>
      <c r="AD8" s="44">
        <f>'a29'!BB11</f>
        <v>7.6424380376124437E-2</v>
      </c>
      <c r="AE8" s="9" t="e">
        <f>AA8*'4'!AQ11+'8'!AB8*'5'!M9+'8'!AC8*'6'!AE11+'8'!AD8*'7'!#REF!</f>
        <v>#REF!</v>
      </c>
      <c r="AF8" s="44">
        <f>'a29'!BE11</f>
        <v>0.27429414689389658</v>
      </c>
      <c r="AG8" s="44">
        <f>'a29'!BG11</f>
        <v>0.4210573941615352</v>
      </c>
      <c r="AH8" s="44">
        <f>'a29'!BI11</f>
        <v>0.22307070744997001</v>
      </c>
      <c r="AI8" s="44">
        <f>'a29'!BK11</f>
        <v>8.157775149459813E-2</v>
      </c>
      <c r="AJ8" s="9" t="e">
        <f>AF8*'4'!AX11+'8'!AG8*'5'!O9+'8'!AH8*'6'!AJ11+'8'!AI8*'7'!#REF!</f>
        <v>#REF!</v>
      </c>
      <c r="AK8" s="44">
        <f>'a29'!BN11</f>
        <v>0.27167111183382364</v>
      </c>
      <c r="AL8" s="44">
        <f>'a29'!BP11</f>
        <v>0.4320171985529575</v>
      </c>
      <c r="AM8" s="44">
        <f>'a29'!BR11</f>
        <v>0.2111739993744661</v>
      </c>
      <c r="AN8" s="44">
        <f>'a29'!BT11</f>
        <v>8.5137690238752631E-2</v>
      </c>
      <c r="AO8" s="9" t="e">
        <f>AK8*'4'!BE11+'8'!AL8*'5'!Q9+'8'!AM8*'6'!AO11+'8'!AN8*'7'!#REF!</f>
        <v>#REF!</v>
      </c>
      <c r="AP8" s="44">
        <f>'a29'!BW11</f>
        <v>0.2603861899614282</v>
      </c>
      <c r="AQ8" s="44">
        <f>'a29'!BY11</f>
        <v>0.42688939113589958</v>
      </c>
      <c r="AR8" s="44">
        <f>'a29'!CA11</f>
        <v>0.22549952816879271</v>
      </c>
      <c r="AS8" s="44">
        <f>'a29'!CC11</f>
        <v>8.7224890733879484E-2</v>
      </c>
      <c r="AT8" s="9" t="e">
        <f>AP8*'4'!BL11+'8'!AQ8*'5'!S9+'8'!AR8*'6'!AT11+'8'!AS8*'7'!#REF!</f>
        <v>#REF!</v>
      </c>
      <c r="AU8" s="44">
        <f>'a29'!CF11</f>
        <v>0.2691995623759279</v>
      </c>
      <c r="AV8" s="44">
        <f>'a29'!CH11</f>
        <v>0.422022884660262</v>
      </c>
      <c r="AW8" s="44">
        <f>'a29'!CJ11</f>
        <v>0.23598849617740458</v>
      </c>
      <c r="AX8" s="44">
        <f>'a29'!CL11</f>
        <v>7.2789056786405584E-2</v>
      </c>
      <c r="AY8" s="9" t="e">
        <f>AU8*'4'!BS11+'8'!AV8*'5'!U9+'8'!AW8*'6'!AY11+'8'!AX8*'7'!#REF!</f>
        <v>#REF!</v>
      </c>
      <c r="AZ8" s="44">
        <f>'a29'!CO11</f>
        <v>0.27626262985777789</v>
      </c>
      <c r="BA8" s="44">
        <f>'a29'!CQ11</f>
        <v>0.42378244306243845</v>
      </c>
      <c r="BB8" s="44">
        <f>'a29'!CS11</f>
        <v>0.21638717749093692</v>
      </c>
      <c r="BC8" s="44">
        <f>'a29'!CU11</f>
        <v>8.3567749588846843E-2</v>
      </c>
      <c r="BD8" s="9" t="e">
        <f>AZ8*'4'!BZ11+'8'!BA8*'5'!W9+'8'!BB8*'6'!BD11+'8'!BC8*'7'!#REF!</f>
        <v>#REF!</v>
      </c>
    </row>
    <row r="9" spans="1:56" hidden="1">
      <c r="A9" s="1">
        <v>1975</v>
      </c>
      <c r="B9" s="44">
        <f>'a29'!C12</f>
        <v>0.27574869048264133</v>
      </c>
      <c r="C9" s="44">
        <f>'a29'!E12</f>
        <v>0.42189503704991765</v>
      </c>
      <c r="D9" s="44">
        <f>'a29'!G12</f>
        <v>0.22259940633365999</v>
      </c>
      <c r="E9" s="44">
        <f>'a29'!I12</f>
        <v>7.9756866133780982E-2</v>
      </c>
      <c r="F9" s="9" t="e">
        <f>B9*'4'!H12+'8'!C9*'5'!C10+'8'!D9*'6'!F12+'8'!E9*'7'!#REF!</f>
        <v>#REF!</v>
      </c>
      <c r="G9" s="44">
        <f>'a29'!L12</f>
        <v>0.26140185236731783</v>
      </c>
      <c r="H9" s="44">
        <f>'a29'!N12</f>
        <v>0.44104528795312375</v>
      </c>
      <c r="I9" s="44">
        <f>'a29'!P12</f>
        <v>0.23070449616394983</v>
      </c>
      <c r="J9" s="44">
        <f>'a29'!R12</f>
        <v>6.6848363515608605E-2</v>
      </c>
      <c r="K9" s="9" t="e">
        <f>G9*'4'!O12+'8'!H9*'5'!E10+'8'!I9*'6'!K12+'8'!J9*'7'!#REF!</f>
        <v>#REF!</v>
      </c>
      <c r="L9" s="44">
        <f>'a29'!U12</f>
        <v>0.2640844954726938</v>
      </c>
      <c r="M9" s="44">
        <f>'a29'!W12</f>
        <v>0.4399502320105767</v>
      </c>
      <c r="N9" s="44">
        <f>'a29'!Y12</f>
        <v>0.21764617860006291</v>
      </c>
      <c r="O9" s="44">
        <f>'a29'!AA12</f>
        <v>7.8319093916666582E-2</v>
      </c>
      <c r="P9" s="9" t="e">
        <f>L9*'4'!V12+'8'!M9*'5'!G10+'8'!N9*'6'!P12+'8'!O9*'7'!#REF!</f>
        <v>#REF!</v>
      </c>
      <c r="Q9" s="44">
        <f>'a29'!AD12</f>
        <v>0.27094599288699894</v>
      </c>
      <c r="R9" s="44">
        <f>'a29'!AF12</f>
        <v>0.43136601942495367</v>
      </c>
      <c r="S9" s="44">
        <f>'a29'!AH12</f>
        <v>0.21700566576274166</v>
      </c>
      <c r="T9" s="44">
        <f>'a29'!AJ12</f>
        <v>8.0682321925305778E-2</v>
      </c>
      <c r="U9" s="9" t="e">
        <f>Q9*'4'!AC12+'8'!R9*'5'!I10+'8'!S9*'6'!U12+'8'!T9*'7'!#REF!</f>
        <v>#REF!</v>
      </c>
      <c r="V9" s="44">
        <f>'a29'!AM12</f>
        <v>0.26955917166467064</v>
      </c>
      <c r="W9" s="44">
        <f>'a29'!AO12</f>
        <v>0.4338725005476618</v>
      </c>
      <c r="X9" s="44">
        <f>'a29'!AQ12</f>
        <v>0.22015575975627147</v>
      </c>
      <c r="Y9" s="44">
        <f>'a29'!AS12</f>
        <v>7.6412568031396025E-2</v>
      </c>
      <c r="Z9" s="9" t="e">
        <f>V9*'4'!AJ12+'8'!W9*'5'!K10+'8'!X9*'6'!Z12+'8'!Y9*'7'!#REF!</f>
        <v>#REF!</v>
      </c>
      <c r="AA9" s="44">
        <f>'a29'!AV12</f>
        <v>0.27844168005785747</v>
      </c>
      <c r="AB9" s="44">
        <f>'a29'!AX12</f>
        <v>0.41470577016851212</v>
      </c>
      <c r="AC9" s="44">
        <f>'a29'!AZ12</f>
        <v>0.22973177795134567</v>
      </c>
      <c r="AD9" s="44">
        <f>'a29'!BB12</f>
        <v>7.7120771822284814E-2</v>
      </c>
      <c r="AE9" s="9" t="e">
        <f>AA9*'4'!AQ12+'8'!AB9*'5'!M10+'8'!AC9*'6'!AE12+'8'!AD9*'7'!#REF!</f>
        <v>#REF!</v>
      </c>
      <c r="AF9" s="44">
        <f>'a29'!BE12</f>
        <v>0.27659839999677621</v>
      </c>
      <c r="AG9" s="44">
        <f>'a29'!BG12</f>
        <v>0.4209732744473918</v>
      </c>
      <c r="AH9" s="44">
        <f>'a29'!BI12</f>
        <v>0.22048385862025754</v>
      </c>
      <c r="AI9" s="44">
        <f>'a29'!BK12</f>
        <v>8.1944466935574445E-2</v>
      </c>
      <c r="AJ9" s="9" t="e">
        <f>AF9*'4'!AX12+'8'!AG9*'5'!O10+'8'!AH9*'6'!AJ12+'8'!AI9*'7'!#REF!</f>
        <v>#REF!</v>
      </c>
      <c r="AK9" s="44">
        <f>'a29'!BN12</f>
        <v>0.27444978533577497</v>
      </c>
      <c r="AL9" s="44">
        <f>'a29'!BP12</f>
        <v>0.43319751192243511</v>
      </c>
      <c r="AM9" s="44">
        <f>'a29'!BR12</f>
        <v>0.20724485506420484</v>
      </c>
      <c r="AN9" s="44">
        <f>'a29'!BT12</f>
        <v>8.5107847677585002E-2</v>
      </c>
      <c r="AO9" s="9" t="e">
        <f>AK9*'4'!BE12+'8'!AL9*'5'!Q10+'8'!AM9*'6'!AO12+'8'!AN9*'7'!#REF!</f>
        <v>#REF!</v>
      </c>
      <c r="AP9" s="44">
        <f>'a29'!BW12</f>
        <v>0.26397195325321887</v>
      </c>
      <c r="AQ9" s="44">
        <f>'a29'!BY12</f>
        <v>0.42823767213514541</v>
      </c>
      <c r="AR9" s="44">
        <f>'a29'!CA12</f>
        <v>0.22079382488349383</v>
      </c>
      <c r="AS9" s="44">
        <f>'a29'!CC12</f>
        <v>8.6996549728142067E-2</v>
      </c>
      <c r="AT9" s="9" t="e">
        <f>AP9*'4'!BL12+'8'!AQ9*'5'!S10+'8'!AR9*'6'!AT12+'8'!AS9*'7'!#REF!</f>
        <v>#REF!</v>
      </c>
      <c r="AU9" s="44">
        <f>'a29'!CF12</f>
        <v>0.2745720948098137</v>
      </c>
      <c r="AV9" s="44">
        <f>'a29'!CH12</f>
        <v>0.42485679077138877</v>
      </c>
      <c r="AW9" s="44">
        <f>'a29'!CJ12</f>
        <v>0.22736972569753103</v>
      </c>
      <c r="AX9" s="44">
        <f>'a29'!CL12</f>
        <v>7.3201388721266442E-2</v>
      </c>
      <c r="AY9" s="9" t="e">
        <f>AU9*'4'!BS12+'8'!AV9*'5'!U10+'8'!AW9*'6'!AY12+'8'!AX9*'7'!#REF!</f>
        <v>#REF!</v>
      </c>
      <c r="AZ9" s="44">
        <f>'a29'!CO12</f>
        <v>0.27863480554614789</v>
      </c>
      <c r="BA9" s="44">
        <f>'a29'!CQ12</f>
        <v>0.42318032815272882</v>
      </c>
      <c r="BB9" s="44">
        <f>'a29'!CS12</f>
        <v>0.21479093307110447</v>
      </c>
      <c r="BC9" s="44">
        <f>'a29'!CU12</f>
        <v>8.339393323001873E-2</v>
      </c>
      <c r="BD9" s="9" t="e">
        <f>AZ9*'4'!BZ12+'8'!BA9*'5'!W10+'8'!BB9*'6'!BD12+'8'!BC9*'7'!#REF!</f>
        <v>#REF!</v>
      </c>
    </row>
    <row r="10" spans="1:56" hidden="1">
      <c r="A10" s="1">
        <v>1976</v>
      </c>
      <c r="B10" s="44">
        <f>'a29'!C13</f>
        <v>0.27984724918476844</v>
      </c>
      <c r="C10" s="44">
        <f>'a29'!E13</f>
        <v>0.4242934446817217</v>
      </c>
      <c r="D10" s="44">
        <f>'a29'!G13</f>
        <v>0.21552345226953881</v>
      </c>
      <c r="E10" s="44">
        <f>'a29'!I13</f>
        <v>8.0335853863970935E-2</v>
      </c>
      <c r="F10" s="9" t="e">
        <f>B10*'4'!H13+'8'!C10*'5'!C11+'8'!D10*'6'!F13+'8'!E10*'7'!#REF!</f>
        <v>#REF!</v>
      </c>
      <c r="G10" s="44">
        <f>'a29'!L13</f>
        <v>0.26454243195584515</v>
      </c>
      <c r="H10" s="44">
        <f>'a29'!N13</f>
        <v>0.44106920103362729</v>
      </c>
      <c r="I10" s="44">
        <f>'a29'!P13</f>
        <v>0.22787666893681235</v>
      </c>
      <c r="J10" s="44">
        <f>'a29'!R13</f>
        <v>6.651169807371525E-2</v>
      </c>
      <c r="K10" s="9" t="e">
        <f>G10*'4'!O13+'8'!H10*'5'!E11+'8'!I10*'6'!K13+'8'!J10*'7'!#REF!</f>
        <v>#REF!</v>
      </c>
      <c r="L10" s="44">
        <f>'a29'!U13</f>
        <v>0.26730873844689634</v>
      </c>
      <c r="M10" s="44">
        <f>'a29'!W13</f>
        <v>0.43984754665696835</v>
      </c>
      <c r="N10" s="44">
        <f>'a29'!Y13</f>
        <v>0.21515268735845999</v>
      </c>
      <c r="O10" s="44">
        <f>'a29'!AA13</f>
        <v>7.7691027537675178E-2</v>
      </c>
      <c r="P10" s="9" t="e">
        <f>L10*'4'!V13+'8'!M10*'5'!G11+'8'!N10*'6'!P13+'8'!O10*'7'!#REF!</f>
        <v>#REF!</v>
      </c>
      <c r="Q10" s="44">
        <f>'a29'!AD13</f>
        <v>0.27397204710018436</v>
      </c>
      <c r="R10" s="44">
        <f>'a29'!AF13</f>
        <v>0.43191660126939102</v>
      </c>
      <c r="S10" s="44">
        <f>'a29'!AH13</f>
        <v>0.21400390268802741</v>
      </c>
      <c r="T10" s="44">
        <f>'a29'!AJ13</f>
        <v>8.0107448942397227E-2</v>
      </c>
      <c r="U10" s="9" t="e">
        <f>Q10*'4'!AC13+'8'!R10*'5'!I11+'8'!S10*'6'!U13+'8'!T10*'7'!#REF!</f>
        <v>#REF!</v>
      </c>
      <c r="V10" s="44">
        <f>'a29'!AM13</f>
        <v>0.27306053945459735</v>
      </c>
      <c r="W10" s="44">
        <f>'a29'!AO13</f>
        <v>0.43509136025140427</v>
      </c>
      <c r="X10" s="44">
        <f>'a29'!AQ13</f>
        <v>0.21597116673009564</v>
      </c>
      <c r="Y10" s="44">
        <f>'a29'!AS13</f>
        <v>7.5876933563902793E-2</v>
      </c>
      <c r="Z10" s="9" t="e">
        <f>V10*'4'!AJ13+'8'!W10*'5'!K11+'8'!X10*'6'!Z13+'8'!Y10*'7'!#REF!</f>
        <v>#REF!</v>
      </c>
      <c r="AA10" s="44">
        <f>'a29'!AV13</f>
        <v>0.2820799122842097</v>
      </c>
      <c r="AB10" s="44">
        <f>'a29'!AX13</f>
        <v>0.41653322731076581</v>
      </c>
      <c r="AC10" s="44">
        <f>'a29'!AZ13</f>
        <v>0.22353944595336647</v>
      </c>
      <c r="AD10" s="44">
        <f>'a29'!BB13</f>
        <v>7.784741445165809E-2</v>
      </c>
      <c r="AE10" s="9" t="e">
        <f>AA10*'4'!AQ13+'8'!AB10*'5'!M11+'8'!AC10*'6'!AE13+'8'!AD10*'7'!#REF!</f>
        <v>#REF!</v>
      </c>
      <c r="AF10" s="44">
        <f>'a29'!BE13</f>
        <v>0.28065677903273767</v>
      </c>
      <c r="AG10" s="44">
        <f>'a29'!BG13</f>
        <v>0.42337930706417237</v>
      </c>
      <c r="AH10" s="44">
        <f>'a29'!BI13</f>
        <v>0.2131398094503682</v>
      </c>
      <c r="AI10" s="44">
        <f>'a29'!BK13</f>
        <v>8.2824104452721772E-2</v>
      </c>
      <c r="AJ10" s="9" t="e">
        <f>AF10*'4'!AX13+'8'!AG10*'5'!O11+'8'!AH10*'6'!AJ13+'8'!AI10*'7'!#REF!</f>
        <v>#REF!</v>
      </c>
      <c r="AK10" s="44">
        <f>'a29'!BN13</f>
        <v>0.27731395335365944</v>
      </c>
      <c r="AL10" s="44">
        <f>'a29'!BP13</f>
        <v>0.434509287712326</v>
      </c>
      <c r="AM10" s="44">
        <f>'a29'!BR13</f>
        <v>0.20326248959952736</v>
      </c>
      <c r="AN10" s="44">
        <f>'a29'!BT13</f>
        <v>8.4914269334487077E-2</v>
      </c>
      <c r="AO10" s="9" t="e">
        <f>AK10*'4'!BE13+'8'!AL10*'5'!Q11+'8'!AM10*'6'!AO13+'8'!AN10*'7'!#REF!</f>
        <v>#REF!</v>
      </c>
      <c r="AP10" s="44">
        <f>'a29'!BW13</f>
        <v>0.26781629828232772</v>
      </c>
      <c r="AQ10" s="44">
        <f>'a29'!BY13</f>
        <v>0.43057926474818686</v>
      </c>
      <c r="AR10" s="44">
        <f>'a29'!CA13</f>
        <v>0.21529280146600874</v>
      </c>
      <c r="AS10" s="44">
        <f>'a29'!CC13</f>
        <v>8.6311635503476675E-2</v>
      </c>
      <c r="AT10" s="9" t="e">
        <f>AP10*'4'!BL13+'8'!AQ10*'5'!S11+'8'!AR10*'6'!AT13+'8'!AS10*'7'!#REF!</f>
        <v>#REF!</v>
      </c>
      <c r="AU10" s="44">
        <f>'a29'!CF13</f>
        <v>0.27995958788928293</v>
      </c>
      <c r="AV10" s="44">
        <f>'a29'!CH13</f>
        <v>0.42808631519400725</v>
      </c>
      <c r="AW10" s="44">
        <f>'a29'!CJ13</f>
        <v>0.2184934888506169</v>
      </c>
      <c r="AX10" s="44">
        <f>'a29'!CL13</f>
        <v>7.3460608066092836E-2</v>
      </c>
      <c r="AY10" s="9" t="e">
        <f>AU10*'4'!BS13+'8'!AV10*'5'!U11+'8'!AW10*'6'!AY13+'8'!AX10*'7'!#REF!</f>
        <v>#REF!</v>
      </c>
      <c r="AZ10" s="44">
        <f>'a29'!CO13</f>
        <v>0.28459470484452182</v>
      </c>
      <c r="BA10" s="44">
        <f>'a29'!CQ13</f>
        <v>0.4284753146781205</v>
      </c>
      <c r="BB10" s="44">
        <f>'a29'!CS13</f>
        <v>0.20223898310373739</v>
      </c>
      <c r="BC10" s="44">
        <f>'a29'!CU13</f>
        <v>8.4690997373620347E-2</v>
      </c>
      <c r="BD10" s="9" t="e">
        <f>AZ10*'4'!BZ13+'8'!BA10*'5'!W11+'8'!BB10*'6'!BD13+'8'!BC10*'7'!#REF!</f>
        <v>#REF!</v>
      </c>
    </row>
    <row r="11" spans="1:56" hidden="1">
      <c r="A11" s="1">
        <v>1977</v>
      </c>
      <c r="B11" s="44">
        <f>'a29'!C14</f>
        <v>0.28360951812431168</v>
      </c>
      <c r="C11" s="44">
        <f>'a29'!E14</f>
        <v>0.42667847744814719</v>
      </c>
      <c r="D11" s="44">
        <f>'a29'!G14</f>
        <v>0.20877946717780926</v>
      </c>
      <c r="E11" s="44">
        <f>'a29'!I14</f>
        <v>8.0932537249731776E-2</v>
      </c>
      <c r="F11" s="9" t="e">
        <f>B11*'4'!H14+'8'!C11*'5'!C12+'8'!D11*'6'!F14+'8'!E11*'7'!#REF!</f>
        <v>#REF!</v>
      </c>
      <c r="G11" s="44">
        <f>'a29'!L14</f>
        <v>0.26650463843380218</v>
      </c>
      <c r="H11" s="44">
        <f>'a29'!N14</f>
        <v>0.44068331986707415</v>
      </c>
      <c r="I11" s="44">
        <f>'a29'!P14</f>
        <v>0.22625525673331473</v>
      </c>
      <c r="J11" s="44">
        <f>'a29'!R14</f>
        <v>6.6556784965808885E-2</v>
      </c>
      <c r="K11" s="9" t="e">
        <f>G11*'4'!O14+'8'!H11*'5'!E12+'8'!I11*'6'!K14+'8'!J11*'7'!#REF!</f>
        <v>#REF!</v>
      </c>
      <c r="L11" s="44">
        <f>'a29'!U14</f>
        <v>0.26959193725263081</v>
      </c>
      <c r="M11" s="44">
        <f>'a29'!W14</f>
        <v>0.44074409212398163</v>
      </c>
      <c r="N11" s="44">
        <f>'a29'!Y14</f>
        <v>0.21220237487578816</v>
      </c>
      <c r="O11" s="44">
        <f>'a29'!AA14</f>
        <v>7.7461595747599421E-2</v>
      </c>
      <c r="P11" s="9" t="e">
        <f>L11*'4'!V14+'8'!M11*'5'!G12+'8'!N11*'6'!P14+'8'!O11*'7'!#REF!</f>
        <v>#REF!</v>
      </c>
      <c r="Q11" s="44">
        <f>'a29'!AD14</f>
        <v>0.27635640775897996</v>
      </c>
      <c r="R11" s="44">
        <f>'a29'!AF14</f>
        <v>0.43192733427285052</v>
      </c>
      <c r="S11" s="44">
        <f>'a29'!AH14</f>
        <v>0.21169153180480943</v>
      </c>
      <c r="T11" s="44">
        <f>'a29'!AJ14</f>
        <v>8.0024726163360135E-2</v>
      </c>
      <c r="U11" s="9" t="e">
        <f>Q11*'4'!AC14+'8'!R11*'5'!I12+'8'!S11*'6'!U14+'8'!T11*'7'!#REF!</f>
        <v>#REF!</v>
      </c>
      <c r="V11" s="44">
        <f>'a29'!AM14</f>
        <v>0.27538857184849569</v>
      </c>
      <c r="W11" s="44">
        <f>'a29'!AO14</f>
        <v>0.43541445979866711</v>
      </c>
      <c r="X11" s="44">
        <f>'a29'!AQ14</f>
        <v>0.21331138324581811</v>
      </c>
      <c r="Y11" s="44">
        <f>'a29'!AS14</f>
        <v>7.5885585107019204E-2</v>
      </c>
      <c r="Z11" s="9" t="e">
        <f>V11*'4'!AJ14+'8'!W11*'5'!K12+'8'!X11*'6'!Z14+'8'!Y11*'7'!#REF!</f>
        <v>#REF!</v>
      </c>
      <c r="AA11" s="44">
        <f>'a29'!AV14</f>
        <v>0.28513334592730244</v>
      </c>
      <c r="AB11" s="44">
        <f>'a29'!AX14</f>
        <v>0.41783454075128751</v>
      </c>
      <c r="AC11" s="44">
        <f>'a29'!AZ14</f>
        <v>0.21828865545587964</v>
      </c>
      <c r="AD11" s="44">
        <f>'a29'!BB14</f>
        <v>7.8743457865530386E-2</v>
      </c>
      <c r="AE11" s="9" t="e">
        <f>AA11*'4'!AQ14+'8'!AB11*'5'!M12+'8'!AC11*'6'!AE14+'8'!AD11*'7'!#REF!</f>
        <v>#REF!</v>
      </c>
      <c r="AF11" s="44">
        <f>'a29'!BE14</f>
        <v>0.28434873603704713</v>
      </c>
      <c r="AG11" s="44">
        <f>'a29'!BG14</f>
        <v>0.42597008447935625</v>
      </c>
      <c r="AH11" s="44">
        <f>'a29'!BI14</f>
        <v>0.20598941430732581</v>
      </c>
      <c r="AI11" s="44">
        <f>'a29'!BK14</f>
        <v>8.3691765176270735E-2</v>
      </c>
      <c r="AJ11" s="9" t="e">
        <f>AF11*'4'!AX14+'8'!AG11*'5'!O12+'8'!AH11*'6'!AJ14+'8'!AI11*'7'!#REF!</f>
        <v>#REF!</v>
      </c>
      <c r="AK11" s="44">
        <f>'a29'!BN14</f>
        <v>0.2797080343251438</v>
      </c>
      <c r="AL11" s="44">
        <f>'a29'!BP14</f>
        <v>0.4361190094748425</v>
      </c>
      <c r="AM11" s="44">
        <f>'a29'!BR14</f>
        <v>0.19940635939463106</v>
      </c>
      <c r="AN11" s="44">
        <f>'a29'!BT14</f>
        <v>8.4766596805382677E-2</v>
      </c>
      <c r="AO11" s="9" t="e">
        <f>AK11*'4'!BE14+'8'!AL11*'5'!Q12+'8'!AM11*'6'!AO14+'8'!AN11*'7'!#REF!</f>
        <v>#REF!</v>
      </c>
      <c r="AP11" s="44">
        <f>'a29'!BW14</f>
        <v>0.27101267574049354</v>
      </c>
      <c r="AQ11" s="44">
        <f>'a29'!BY14</f>
        <v>0.43316181669550541</v>
      </c>
      <c r="AR11" s="44">
        <f>'a29'!CA14</f>
        <v>0.21009613309497255</v>
      </c>
      <c r="AS11" s="44">
        <f>'a29'!CC14</f>
        <v>8.5729374469028549E-2</v>
      </c>
      <c r="AT11" s="9" t="e">
        <f>AP11*'4'!BL14+'8'!AQ11*'5'!S12+'8'!AR11*'6'!AT14+'8'!AS11*'7'!#REF!</f>
        <v>#REF!</v>
      </c>
      <c r="AU11" s="44">
        <f>'a29'!CF14</f>
        <v>0.28676461768475486</v>
      </c>
      <c r="AV11" s="44">
        <f>'a29'!CH14</f>
        <v>0.43190935767400945</v>
      </c>
      <c r="AW11" s="44">
        <f>'a29'!CJ14</f>
        <v>0.20824299299291893</v>
      </c>
      <c r="AX11" s="44">
        <f>'a29'!CL14</f>
        <v>7.3083031648316824E-2</v>
      </c>
      <c r="AY11" s="9" t="e">
        <f>AU11*'4'!BS14+'8'!AV11*'5'!U12+'8'!AW11*'6'!AY14+'8'!AX11*'7'!#REF!</f>
        <v>#REF!</v>
      </c>
      <c r="AZ11" s="44">
        <f>'a29'!CO14</f>
        <v>0.29031296863014455</v>
      </c>
      <c r="BA11" s="44">
        <f>'a29'!CQ14</f>
        <v>0.43415203899861116</v>
      </c>
      <c r="BB11" s="44">
        <f>'a29'!CS14</f>
        <v>0.18976973135622549</v>
      </c>
      <c r="BC11" s="44">
        <f>'a29'!CU14</f>
        <v>8.5765261015018704E-2</v>
      </c>
      <c r="BD11" s="9" t="e">
        <f>AZ11*'4'!BZ14+'8'!BA11*'5'!W12+'8'!BB11*'6'!BD14+'8'!BC11*'7'!#REF!</f>
        <v>#REF!</v>
      </c>
    </row>
    <row r="12" spans="1:56" hidden="1">
      <c r="A12" s="1">
        <v>1978</v>
      </c>
      <c r="B12" s="44">
        <f>'a29'!C15</f>
        <v>0.28661655297287764</v>
      </c>
      <c r="C12" s="44">
        <f>'a29'!E15</f>
        <v>0.42783290620431746</v>
      </c>
      <c r="D12" s="44">
        <f>'a29'!G15</f>
        <v>0.20421455790755358</v>
      </c>
      <c r="E12" s="44">
        <f>'a29'!I15</f>
        <v>8.1335982915251251E-2</v>
      </c>
      <c r="F12" s="9" t="e">
        <f>B12*'4'!H15+'8'!C12*'5'!C13+'8'!D12*'6'!F15+'8'!E12*'7'!#REF!</f>
        <v>#REF!</v>
      </c>
      <c r="G12" s="44">
        <f>'a29'!L15</f>
        <v>0.26686038551835817</v>
      </c>
      <c r="H12" s="44">
        <f>'a29'!N15</f>
        <v>0.43745050934288815</v>
      </c>
      <c r="I12" s="44">
        <f>'a29'!P15</f>
        <v>0.22928149776754428</v>
      </c>
      <c r="J12" s="44">
        <f>'a29'!R15</f>
        <v>6.6407607371209543E-2</v>
      </c>
      <c r="K12" s="9" t="e">
        <f>G12*'4'!O15+'8'!H12*'5'!E13+'8'!I12*'6'!K15+'8'!J12*'7'!#REF!</f>
        <v>#REF!</v>
      </c>
      <c r="L12" s="44">
        <f>'a29'!U15</f>
        <v>0.27196915066621297</v>
      </c>
      <c r="M12" s="44">
        <f>'a29'!W15</f>
        <v>0.44009540319779061</v>
      </c>
      <c r="N12" s="44">
        <f>'a29'!Y15</f>
        <v>0.21129018640942937</v>
      </c>
      <c r="O12" s="44">
        <f>'a29'!AA15</f>
        <v>7.6645259726567008E-2</v>
      </c>
      <c r="P12" s="9" t="e">
        <f>L12*'4'!V15+'8'!M12*'5'!G13+'8'!N12*'6'!P15+'8'!O12*'7'!#REF!</f>
        <v>#REF!</v>
      </c>
      <c r="Q12" s="44">
        <f>'a29'!AD15</f>
        <v>0.27863297447024926</v>
      </c>
      <c r="R12" s="44">
        <f>'a29'!AF15</f>
        <v>0.43181002211121922</v>
      </c>
      <c r="S12" s="44">
        <f>'a29'!AH15</f>
        <v>0.20967479756589572</v>
      </c>
      <c r="T12" s="44">
        <f>'a29'!AJ15</f>
        <v>7.9882205852635849E-2</v>
      </c>
      <c r="U12" s="9" t="e">
        <f>Q12*'4'!AC15+'8'!R12*'5'!I13+'8'!S12*'6'!U15+'8'!T12*'7'!#REF!</f>
        <v>#REF!</v>
      </c>
      <c r="V12" s="44">
        <f>'a29'!AM15</f>
        <v>0.27660730120164145</v>
      </c>
      <c r="W12" s="44">
        <f>'a29'!AO15</f>
        <v>0.43357895705852367</v>
      </c>
      <c r="X12" s="44">
        <f>'a29'!AQ15</f>
        <v>0.21429937331061533</v>
      </c>
      <c r="Y12" s="44">
        <f>'a29'!AS15</f>
        <v>7.5514368429219422E-2</v>
      </c>
      <c r="Z12" s="9" t="e">
        <f>V12*'4'!AJ15+'8'!W12*'5'!K13+'8'!X12*'6'!Z15+'8'!Y12*'7'!#REF!</f>
        <v>#REF!</v>
      </c>
      <c r="AA12" s="44">
        <f>'a29'!AV15</f>
        <v>0.29015278987465454</v>
      </c>
      <c r="AB12" s="44">
        <f>'a29'!AX15</f>
        <v>0.4219998746507535</v>
      </c>
      <c r="AC12" s="44">
        <f>'a29'!AZ15</f>
        <v>0.20764188450238716</v>
      </c>
      <c r="AD12" s="44">
        <f>'a29'!BB15</f>
        <v>8.0205450972204897E-2</v>
      </c>
      <c r="AE12" s="9" t="e">
        <f>AA12*'4'!AQ15+'8'!AB12*'5'!M13+'8'!AC12*'6'!AE15+'8'!AD12*'7'!#REF!</f>
        <v>#REF!</v>
      </c>
      <c r="AF12" s="44">
        <f>'a29'!BE15</f>
        <v>0.2868867169719389</v>
      </c>
      <c r="AG12" s="44">
        <f>'a29'!BG15</f>
        <v>0.42652128929777605</v>
      </c>
      <c r="AH12" s="44">
        <f>'a29'!BI15</f>
        <v>0.20237218406802365</v>
      </c>
      <c r="AI12" s="44">
        <f>'a29'!BK15</f>
        <v>8.4219809662261336E-2</v>
      </c>
      <c r="AJ12" s="9" t="e">
        <f>AF12*'4'!AX15+'8'!AG12*'5'!O13+'8'!AH12*'6'!AJ15+'8'!AI12*'7'!#REF!</f>
        <v>#REF!</v>
      </c>
      <c r="AK12" s="44">
        <f>'a29'!BN15</f>
        <v>0.28111912760074342</v>
      </c>
      <c r="AL12" s="44">
        <f>'a29'!BP15</f>
        <v>0.43597754142247241</v>
      </c>
      <c r="AM12" s="44">
        <f>'a29'!BR15</f>
        <v>0.1984664812549079</v>
      </c>
      <c r="AN12" s="44">
        <f>'a29'!BT15</f>
        <v>8.4436849721876192E-2</v>
      </c>
      <c r="AO12" s="9" t="e">
        <f>AK12*'4'!BE15+'8'!AL12*'5'!Q13+'8'!AM12*'6'!AO15+'8'!AN12*'7'!#REF!</f>
        <v>#REF!</v>
      </c>
      <c r="AP12" s="44">
        <f>'a29'!BW15</f>
        <v>0.27179370867495667</v>
      </c>
      <c r="AQ12" s="44">
        <f>'a29'!BY15</f>
        <v>0.43172502222844866</v>
      </c>
      <c r="AR12" s="44">
        <f>'a29'!CA15</f>
        <v>0.21171959938694226</v>
      </c>
      <c r="AS12" s="44">
        <f>'a29'!CC15</f>
        <v>8.476166970965246E-2</v>
      </c>
      <c r="AT12" s="9" t="e">
        <f>AP12*'4'!BL15+'8'!AQ12*'5'!S13+'8'!AR12*'6'!AT15+'8'!AS12*'7'!#REF!</f>
        <v>#REF!</v>
      </c>
      <c r="AU12" s="44">
        <f>'a29'!CF15</f>
        <v>0.29070769432803623</v>
      </c>
      <c r="AV12" s="44">
        <f>'a29'!CH15</f>
        <v>0.4325653879753551</v>
      </c>
      <c r="AW12" s="44">
        <f>'a29'!CJ15</f>
        <v>0.20433218693340141</v>
      </c>
      <c r="AX12" s="44">
        <f>'a29'!CL15</f>
        <v>7.2394730763207293E-2</v>
      </c>
      <c r="AY12" s="9" t="e">
        <f>AU12*'4'!BS15+'8'!AV12*'5'!U13+'8'!AW12*'6'!AY15+'8'!AX12*'7'!#REF!</f>
        <v>#REF!</v>
      </c>
      <c r="AZ12" s="44">
        <f>'a29'!CO15</f>
        <v>0.29194182071036701</v>
      </c>
      <c r="BA12" s="44">
        <f>'a29'!CQ15</f>
        <v>0.43347867637510595</v>
      </c>
      <c r="BB12" s="44">
        <f>'a29'!CS15</f>
        <v>0.18922082147980809</v>
      </c>
      <c r="BC12" s="44">
        <f>'a29'!CU15</f>
        <v>8.5358681434719086E-2</v>
      </c>
      <c r="BD12" s="9" t="e">
        <f>AZ12*'4'!BZ15+'8'!BA12*'5'!W13+'8'!BB12*'6'!BD15+'8'!BC12*'7'!#REF!</f>
        <v>#REF!</v>
      </c>
    </row>
    <row r="13" spans="1:56" hidden="1">
      <c r="A13" s="1">
        <v>1979</v>
      </c>
      <c r="B13" s="44">
        <f>'a29'!C16</f>
        <v>0.28916488084562231</v>
      </c>
      <c r="C13" s="44">
        <f>'a29'!E16</f>
        <v>0.42865670995598337</v>
      </c>
      <c r="D13" s="44">
        <f>'a29'!G16</f>
        <v>0.20081612526744494</v>
      </c>
      <c r="E13" s="44">
        <f>'a29'!I16</f>
        <v>8.1362283930949353E-2</v>
      </c>
      <c r="F13" s="9" t="e">
        <f>B13*'4'!H16+'8'!C13*'5'!C14+'8'!D13*'6'!F16+'8'!E13*'7'!#REF!</f>
        <v>#REF!</v>
      </c>
      <c r="G13" s="44">
        <f>'a29'!L16</f>
        <v>0.26893681090670618</v>
      </c>
      <c r="H13" s="44">
        <f>'a29'!N16</f>
        <v>0.43625056191636752</v>
      </c>
      <c r="I13" s="44">
        <f>'a29'!P16</f>
        <v>0.22871252668725389</v>
      </c>
      <c r="J13" s="44">
        <f>'a29'!R16</f>
        <v>6.6100100489672547E-2</v>
      </c>
      <c r="K13" s="9" t="e">
        <f>G13*'4'!O16+'8'!H13*'5'!E14+'8'!I13*'6'!K16+'8'!J13*'7'!#REF!</f>
        <v>#REF!</v>
      </c>
      <c r="L13" s="44">
        <f>'a29'!U16</f>
        <v>0.27694199540156361</v>
      </c>
      <c r="M13" s="44">
        <f>'a29'!W16</f>
        <v>0.44352370104548544</v>
      </c>
      <c r="N13" s="44">
        <f>'a29'!Y16</f>
        <v>0.20287365815110284</v>
      </c>
      <c r="O13" s="44">
        <f>'a29'!AA16</f>
        <v>7.6660645401848165E-2</v>
      </c>
      <c r="P13" s="9" t="e">
        <f>L13*'4'!V16+'8'!M13*'5'!G14+'8'!N13*'6'!P16+'8'!O13*'7'!#REF!</f>
        <v>#REF!</v>
      </c>
      <c r="Q13" s="44">
        <f>'a29'!AD16</f>
        <v>0.28268715066328631</v>
      </c>
      <c r="R13" s="44">
        <f>'a29'!AF16</f>
        <v>0.43447788651147345</v>
      </c>
      <c r="S13" s="44">
        <f>'a29'!AH16</f>
        <v>0.20291142269845464</v>
      </c>
      <c r="T13" s="44">
        <f>'a29'!AJ16</f>
        <v>7.9923540126785639E-2</v>
      </c>
      <c r="U13" s="9" t="e">
        <f>Q13*'4'!AC16+'8'!R13*'5'!I14+'8'!S13*'6'!U16+'8'!T13*'7'!#REF!</f>
        <v>#REF!</v>
      </c>
      <c r="V13" s="44">
        <f>'a29'!AM16</f>
        <v>0.28099962139908535</v>
      </c>
      <c r="W13" s="44">
        <f>'a29'!AO16</f>
        <v>0.43646951756316194</v>
      </c>
      <c r="X13" s="44">
        <f>'a29'!AQ16</f>
        <v>0.20688838540672175</v>
      </c>
      <c r="Y13" s="44">
        <f>'a29'!AS16</f>
        <v>7.5642475631030992E-2</v>
      </c>
      <c r="Z13" s="9" t="e">
        <f>V13*'4'!AJ16+'8'!W13*'5'!K14+'8'!X13*'6'!Z16+'8'!Y13*'7'!#REF!</f>
        <v>#REF!</v>
      </c>
      <c r="AA13" s="44">
        <f>'a29'!AV16</f>
        <v>0.29101831395331551</v>
      </c>
      <c r="AB13" s="44">
        <f>'a29'!AX16</f>
        <v>0.42056918261888243</v>
      </c>
      <c r="AC13" s="44">
        <f>'a29'!AZ16</f>
        <v>0.20829974837909207</v>
      </c>
      <c r="AD13" s="44">
        <f>'a29'!BB16</f>
        <v>8.0112755048709933E-2</v>
      </c>
      <c r="AE13" s="9" t="e">
        <f>AA13*'4'!AQ16+'8'!AB13*'5'!M14+'8'!AC13*'6'!AE16+'8'!AD13*'7'!#REF!</f>
        <v>#REF!</v>
      </c>
      <c r="AF13" s="44">
        <f>'a29'!BE16</f>
        <v>0.28979348039064823</v>
      </c>
      <c r="AG13" s="44">
        <f>'a29'!BG16</f>
        <v>0.42776187698835771</v>
      </c>
      <c r="AH13" s="44">
        <f>'a29'!BI16</f>
        <v>0.19777107141673805</v>
      </c>
      <c r="AI13" s="44">
        <f>'a29'!BK16</f>
        <v>8.4673571204256046E-2</v>
      </c>
      <c r="AJ13" s="9" t="e">
        <f>AF13*'4'!AX16+'8'!AG13*'5'!O14+'8'!AH13*'6'!AJ16+'8'!AI13*'7'!#REF!</f>
        <v>#REF!</v>
      </c>
      <c r="AK13" s="44">
        <f>'a29'!BN16</f>
        <v>0.28281815786154929</v>
      </c>
      <c r="AL13" s="44">
        <f>'a29'!BP16</f>
        <v>0.43669417532613686</v>
      </c>
      <c r="AM13" s="44">
        <f>'a29'!BR16</f>
        <v>0.196185691668397</v>
      </c>
      <c r="AN13" s="44">
        <f>'a29'!BT16</f>
        <v>8.4301975143916894E-2</v>
      </c>
      <c r="AO13" s="9" t="e">
        <f>AK13*'4'!BE16+'8'!AL13*'5'!Q14+'8'!AM13*'6'!AO16+'8'!AN13*'7'!#REF!</f>
        <v>#REF!</v>
      </c>
      <c r="AP13" s="44">
        <f>'a29'!BW16</f>
        <v>0.27382078140908822</v>
      </c>
      <c r="AQ13" s="44">
        <f>'a29'!BY16</f>
        <v>0.43304263541990268</v>
      </c>
      <c r="AR13" s="44">
        <f>'a29'!CA16</f>
        <v>0.2090922861058267</v>
      </c>
      <c r="AS13" s="44">
        <f>'a29'!CC16</f>
        <v>8.4044297065182308E-2</v>
      </c>
      <c r="AT13" s="9" t="e">
        <f>AP13*'4'!BL16+'8'!AQ13*'5'!S14+'8'!AR13*'6'!AT16+'8'!AS13*'7'!#REF!</f>
        <v>#REF!</v>
      </c>
      <c r="AU13" s="44">
        <f>'a29'!CF16</f>
        <v>0.29477083747131594</v>
      </c>
      <c r="AV13" s="44">
        <f>'a29'!CH16</f>
        <v>0.43454028071337125</v>
      </c>
      <c r="AW13" s="44">
        <f>'a29'!CJ16</f>
        <v>0.19905840723745619</v>
      </c>
      <c r="AX13" s="44">
        <f>'a29'!CL16</f>
        <v>7.1630474577856582E-2</v>
      </c>
      <c r="AY13" s="9" t="e">
        <f>AU13*'4'!BS16+'8'!AV13*'5'!U14+'8'!AW13*'6'!AY16+'8'!AX13*'7'!#REF!</f>
        <v>#REF!</v>
      </c>
      <c r="AZ13" s="44">
        <f>'a29'!CO16</f>
        <v>0.2956429796213908</v>
      </c>
      <c r="BA13" s="44">
        <f>'a29'!CQ16</f>
        <v>0.43660352599015617</v>
      </c>
      <c r="BB13" s="44">
        <f>'a29'!CS16</f>
        <v>0.18234394260198081</v>
      </c>
      <c r="BC13" s="44">
        <f>'a29'!CU16</f>
        <v>8.5409551786472221E-2</v>
      </c>
      <c r="BD13" s="9" t="e">
        <f>AZ13*'4'!BZ16+'8'!BA13*'5'!W14+'8'!BB13*'6'!BD16+'8'!BC13*'7'!#REF!</f>
        <v>#REF!</v>
      </c>
    </row>
    <row r="14" spans="1:56" hidden="1">
      <c r="A14" s="1">
        <v>1980</v>
      </c>
      <c r="B14" s="44">
        <f>'a29'!C17</f>
        <v>0.29162722541574188</v>
      </c>
      <c r="C14" s="44">
        <f>'a29'!E17</f>
        <v>0.429732679560762</v>
      </c>
      <c r="D14" s="44">
        <f>'a29'!G17</f>
        <v>0.19736095131463788</v>
      </c>
      <c r="E14" s="44">
        <f>'a29'!I17</f>
        <v>8.1279143708858193E-2</v>
      </c>
      <c r="F14" s="9" t="e">
        <f>B14*'4'!H17+'8'!C14*'5'!C15+'8'!D14*'6'!F17+'8'!E14*'7'!#REF!</f>
        <v>#REF!</v>
      </c>
      <c r="G14" s="44">
        <f>'a29'!L17</f>
        <v>0.27367606430533348</v>
      </c>
      <c r="H14" s="44">
        <f>'a29'!N17</f>
        <v>0.43866028873271184</v>
      </c>
      <c r="I14" s="44">
        <f>'a29'!P17</f>
        <v>0.22122268773103879</v>
      </c>
      <c r="J14" s="44">
        <f>'a29'!R17</f>
        <v>6.6440959230916002E-2</v>
      </c>
      <c r="K14" s="9" t="e">
        <f>G14*'4'!O17+'8'!H14*'5'!E15+'8'!I14*'6'!K17+'8'!J14*'7'!#REF!</f>
        <v>#REF!</v>
      </c>
      <c r="L14" s="44">
        <f>'a29'!U17</f>
        <v>0.27594764044527081</v>
      </c>
      <c r="M14" s="44">
        <f>'a29'!W17</f>
        <v>0.43806298484162454</v>
      </c>
      <c r="N14" s="44">
        <f>'a29'!Y17</f>
        <v>0.21045639066173635</v>
      </c>
      <c r="O14" s="44">
        <f>'a29'!AA17</f>
        <v>7.5532984051368324E-2</v>
      </c>
      <c r="P14" s="9" t="e">
        <f>L14*'4'!V17+'8'!M14*'5'!G15+'8'!N14*'6'!P17+'8'!O14*'7'!#REF!</f>
        <v>#REF!</v>
      </c>
      <c r="Q14" s="44">
        <f>'a29'!AD17</f>
        <v>0.28296637669737473</v>
      </c>
      <c r="R14" s="44">
        <f>'a29'!AF17</f>
        <v>0.43169949845213101</v>
      </c>
      <c r="S14" s="44">
        <f>'a29'!AH17</f>
        <v>0.20619722474674781</v>
      </c>
      <c r="T14" s="44">
        <f>'a29'!AJ17</f>
        <v>7.9136900103746438E-2</v>
      </c>
      <c r="U14" s="9" t="e">
        <f>Q14*'4'!AC17+'8'!R14*'5'!I15+'8'!S14*'6'!U17+'8'!T14*'7'!#REF!</f>
        <v>#REF!</v>
      </c>
      <c r="V14" s="44">
        <f>'a29'!AM17</f>
        <v>0.28238514223789535</v>
      </c>
      <c r="W14" s="44">
        <f>'a29'!AO17</f>
        <v>0.43516516851439796</v>
      </c>
      <c r="X14" s="44">
        <f>'a29'!AQ17</f>
        <v>0.2071962387809847</v>
      </c>
      <c r="Y14" s="44">
        <f>'a29'!AS17</f>
        <v>7.5253450466721911E-2</v>
      </c>
      <c r="Z14" s="9" t="e">
        <f>V14*'4'!AJ17+'8'!W14*'5'!K15+'8'!X14*'6'!Z17+'8'!Y14*'7'!#REF!</f>
        <v>#REF!</v>
      </c>
      <c r="AA14" s="44">
        <f>'a29'!AV17</f>
        <v>0.29423950143764493</v>
      </c>
      <c r="AB14" s="44">
        <f>'a29'!AX17</f>
        <v>0.42291760491960478</v>
      </c>
      <c r="AC14" s="44">
        <f>'a29'!AZ17</f>
        <v>0.20220125777334247</v>
      </c>
      <c r="AD14" s="44">
        <f>'a29'!BB17</f>
        <v>8.0641635869407868E-2</v>
      </c>
      <c r="AE14" s="9" t="e">
        <f>AA14*'4'!AQ17+'8'!AB14*'5'!M15+'8'!AC14*'6'!AE17+'8'!AD14*'7'!#REF!</f>
        <v>#REF!</v>
      </c>
      <c r="AF14" s="44">
        <f>'a29'!BE17</f>
        <v>0.29138717521218838</v>
      </c>
      <c r="AG14" s="44">
        <f>'a29'!BG17</f>
        <v>0.42739528464426108</v>
      </c>
      <c r="AH14" s="44">
        <f>'a29'!BI17</f>
        <v>0.19650538930540434</v>
      </c>
      <c r="AI14" s="44">
        <f>'a29'!BK17</f>
        <v>8.4712150838146288E-2</v>
      </c>
      <c r="AJ14" s="9" t="e">
        <f>AF14*'4'!AX17+'8'!AG14*'5'!O15+'8'!AH14*'6'!AJ17+'8'!AI14*'7'!#REF!</f>
        <v>#REF!</v>
      </c>
      <c r="AK14" s="44">
        <f>'a29'!BN17</f>
        <v>0.28499710357157487</v>
      </c>
      <c r="AL14" s="44">
        <f>'a29'!BP17</f>
        <v>0.43858541956104713</v>
      </c>
      <c r="AM14" s="44">
        <f>'a29'!BR17</f>
        <v>0.19223515989836021</v>
      </c>
      <c r="AN14" s="44">
        <f>'a29'!BT17</f>
        <v>8.418231696901779E-2</v>
      </c>
      <c r="AO14" s="9" t="e">
        <f>AK14*'4'!BE17+'8'!AL14*'5'!Q15+'8'!AM14*'6'!AO17+'8'!AN14*'7'!#REF!</f>
        <v>#REF!</v>
      </c>
      <c r="AP14" s="44">
        <f>'a29'!BW17</f>
        <v>0.27942020383575822</v>
      </c>
      <c r="AQ14" s="44">
        <f>'a29'!BY17</f>
        <v>0.44021307744305888</v>
      </c>
      <c r="AR14" s="44">
        <f>'a29'!CA17</f>
        <v>0.19611161329355259</v>
      </c>
      <c r="AS14" s="44">
        <f>'a29'!CC17</f>
        <v>8.4255105427630317E-2</v>
      </c>
      <c r="AT14" s="9" t="e">
        <f>AP14*'4'!BL17+'8'!AQ14*'5'!S15+'8'!AR14*'6'!AT17+'8'!AS14*'7'!#REF!</f>
        <v>#REF!</v>
      </c>
      <c r="AU14" s="44">
        <f>'a29'!CF17</f>
        <v>0.2977883393006967</v>
      </c>
      <c r="AV14" s="44">
        <f>'a29'!CH17</f>
        <v>0.43552721633861724</v>
      </c>
      <c r="AW14" s="44">
        <f>'a29'!CJ17</f>
        <v>0.19637188135975026</v>
      </c>
      <c r="AX14" s="44">
        <f>'a29'!CL17</f>
        <v>7.0312563000935815E-2</v>
      </c>
      <c r="AY14" s="9" t="e">
        <f>AU14*'4'!BS17+'8'!AV14*'5'!U15+'8'!AW14*'6'!AY17+'8'!AX14*'7'!#REF!</f>
        <v>#REF!</v>
      </c>
      <c r="AZ14" s="44">
        <f>'a29'!CO17</f>
        <v>0.29790113910458943</v>
      </c>
      <c r="BA14" s="44">
        <f>'a29'!CQ17</f>
        <v>0.43841169661668872</v>
      </c>
      <c r="BB14" s="44">
        <f>'a29'!CS17</f>
        <v>0.1789630881730975</v>
      </c>
      <c r="BC14" s="44">
        <f>'a29'!CU17</f>
        <v>8.4724076105624491E-2</v>
      </c>
      <c r="BD14" s="9" t="e">
        <f>AZ14*'4'!BZ17+'8'!BA14*'5'!W15+'8'!BB14*'6'!BD17+'8'!BC14*'7'!#REF!</f>
        <v>#REF!</v>
      </c>
    </row>
    <row r="15" spans="1:56" hidden="1">
      <c r="B15" s="44"/>
      <c r="C15" s="44"/>
      <c r="D15" s="44"/>
      <c r="E15" s="44"/>
      <c r="F15" s="9"/>
      <c r="G15" s="44"/>
      <c r="H15" s="44"/>
      <c r="I15" s="44"/>
      <c r="J15" s="44"/>
      <c r="K15" s="9"/>
      <c r="L15" s="44"/>
      <c r="M15" s="44"/>
      <c r="N15" s="44"/>
      <c r="O15" s="44"/>
      <c r="P15" s="9"/>
      <c r="Q15" s="44"/>
      <c r="R15" s="44"/>
      <c r="S15" s="44"/>
      <c r="T15" s="44"/>
      <c r="U15" s="9"/>
      <c r="V15" s="44"/>
      <c r="W15" s="44"/>
      <c r="X15" s="44"/>
      <c r="Y15" s="44"/>
      <c r="Z15" s="9"/>
      <c r="AA15" s="44"/>
      <c r="AB15" s="44"/>
      <c r="AC15" s="44"/>
      <c r="AD15" s="44"/>
      <c r="AE15" s="9"/>
      <c r="AF15" s="44"/>
      <c r="AG15" s="44"/>
      <c r="AH15" s="44"/>
      <c r="AI15" s="44"/>
      <c r="AJ15" s="9"/>
      <c r="AK15" s="44"/>
      <c r="AL15" s="44"/>
      <c r="AM15" s="44"/>
      <c r="AN15" s="44"/>
      <c r="AO15" s="9"/>
      <c r="AP15" s="44"/>
      <c r="AQ15" s="44"/>
      <c r="AR15" s="44"/>
      <c r="AS15" s="44"/>
      <c r="AT15" s="9"/>
      <c r="AU15" s="44"/>
      <c r="AV15" s="44"/>
      <c r="AW15" s="44"/>
      <c r="AX15" s="44"/>
      <c r="AY15" s="9"/>
      <c r="AZ15" s="44"/>
      <c r="BA15" s="44"/>
      <c r="BB15" s="44"/>
      <c r="BC15" s="44"/>
      <c r="BD15" s="9"/>
    </row>
    <row r="16" spans="1:56">
      <c r="A16" s="1">
        <v>1981</v>
      </c>
      <c r="B16" s="44">
        <f>'a29'!C19</f>
        <v>0.2932903326236963</v>
      </c>
      <c r="C16" s="44">
        <f>'a29'!E19</f>
        <v>0.43047471796075265</v>
      </c>
      <c r="D16" s="44">
        <f>'a29'!G19</f>
        <v>0.19487654473183302</v>
      </c>
      <c r="E16" s="44">
        <f>'a29'!I19</f>
        <v>8.1358404683717855E-2</v>
      </c>
      <c r="F16" s="9">
        <f>B16*'4'!H19+'8'!C16*'5'!C17+'8'!D16*'6'!F19+'8'!E16*'7'!E18</f>
        <v>0.63201595297490964</v>
      </c>
      <c r="G16" s="44">
        <f>'a29'!L19</f>
        <v>0.27677691365150131</v>
      </c>
      <c r="H16" s="44">
        <f>'a29'!N19</f>
        <v>0.43845894491816534</v>
      </c>
      <c r="I16" s="44">
        <f>'a29'!P19</f>
        <v>0.21816251258407762</v>
      </c>
      <c r="J16" s="44">
        <f>'a29'!R19</f>
        <v>6.6601628846255756E-2</v>
      </c>
      <c r="K16" s="9">
        <f>G16*'4'!O19+'8'!H16*'5'!E17+'8'!I16*'6'!K19+'8'!J16*'7'!I18</f>
        <v>0.41310207481519734</v>
      </c>
      <c r="L16" s="44">
        <f>'a29'!U19</f>
        <v>0.27675217861579327</v>
      </c>
      <c r="M16" s="44">
        <f>'a29'!W19</f>
        <v>0.43801811895725085</v>
      </c>
      <c r="N16" s="44">
        <f>'a29'!Y19</f>
        <v>0.20893256247601261</v>
      </c>
      <c r="O16" s="44">
        <f>'a29'!AA19</f>
        <v>7.6297139950943296E-2</v>
      </c>
      <c r="P16" s="9">
        <f>L16*'4'!V19+'8'!M16*'5'!G17+'8'!N16*'6'!P19+'8'!O16*'7'!M18</f>
        <v>0.45114132979063915</v>
      </c>
      <c r="Q16" s="44">
        <f>'a29'!AD19</f>
        <v>0.28431517254963307</v>
      </c>
      <c r="R16" s="44">
        <f>'a29'!AF19</f>
        <v>0.43177223698734168</v>
      </c>
      <c r="S16" s="44">
        <f>'a29'!AH19</f>
        <v>0.20490150002585417</v>
      </c>
      <c r="T16" s="44">
        <f>'a29'!AJ19</f>
        <v>7.9011090437170986E-2</v>
      </c>
      <c r="U16" s="9">
        <f>Q16*'4'!AC19+'8'!R16*'5'!I17+'8'!S16*'6'!U19+'8'!T16*'7'!Q18</f>
        <v>0.62943653895762197</v>
      </c>
      <c r="V16" s="44">
        <f>'a29'!AM19</f>
        <v>0.28395837404949464</v>
      </c>
      <c r="W16" s="44">
        <f>'a29'!AO19</f>
        <v>0.43530971128963186</v>
      </c>
      <c r="X16" s="44">
        <f>'a29'!AQ19</f>
        <v>0.20524388006826053</v>
      </c>
      <c r="Y16" s="44">
        <f>'a29'!AS19</f>
        <v>7.5488034592613024E-2</v>
      </c>
      <c r="Z16" s="9">
        <f>V16*'4'!AJ19+'8'!W16*'5'!K17+'8'!X16*'6'!Z19+'8'!Y16*'7'!U18</f>
        <v>0.52017136127858687</v>
      </c>
      <c r="AA16" s="44">
        <f>'a29'!AV19</f>
        <v>0.29572740632989319</v>
      </c>
      <c r="AB16" s="44">
        <f>'a29'!AX19</f>
        <v>0.4239961390359322</v>
      </c>
      <c r="AC16" s="44">
        <f>'a29'!AZ19</f>
        <v>0.1992124065623517</v>
      </c>
      <c r="AD16" s="44">
        <f>'a29'!BB19</f>
        <v>8.1064048071822783E-2</v>
      </c>
      <c r="AE16" s="9">
        <f>AA16*'4'!AQ19+'8'!AB16*'5'!M17+'8'!AC16*'6'!AE19+'8'!AD16*'7'!Y18</f>
        <v>0.56113307019886161</v>
      </c>
      <c r="AF16" s="44">
        <f>'a29'!BE19</f>
        <v>0.29253062495724075</v>
      </c>
      <c r="AG16" s="44">
        <f>'a29'!BG19</f>
        <v>0.42725294313504958</v>
      </c>
      <c r="AH16" s="44">
        <f>'a29'!BI19</f>
        <v>0.19510717879457878</v>
      </c>
      <c r="AI16" s="44">
        <f>'a29'!BK19</f>
        <v>8.5109253113130848E-2</v>
      </c>
      <c r="AJ16" s="9">
        <f>AF16*'4'!AX19+'8'!AG16*'5'!O17+'8'!AH16*'6'!AJ19+'8'!AI16*'7'!AC18</f>
        <v>0.68187528276174003</v>
      </c>
      <c r="AK16" s="44">
        <f>'a29'!BN19</f>
        <v>0.28568106368116275</v>
      </c>
      <c r="AL16" s="44">
        <f>'a29'!BP19</f>
        <v>0.43867789241927357</v>
      </c>
      <c r="AM16" s="44">
        <f>'a29'!BR19</f>
        <v>0.19167526254151138</v>
      </c>
      <c r="AN16" s="44">
        <f>'a29'!BT19</f>
        <v>8.3965781358052244E-2</v>
      </c>
      <c r="AO16" s="9">
        <f>AK16*'4'!BE19+'8'!AL16*'5'!Q17+'8'!AM16*'6'!AO19+'8'!AN16*'7'!AG18</f>
        <v>0.61454232118591945</v>
      </c>
      <c r="AP16" s="44">
        <f>'a29'!BW19</f>
        <v>0.27996589888288281</v>
      </c>
      <c r="AQ16" s="44">
        <f>'a29'!BY19</f>
        <v>0.44073964300613544</v>
      </c>
      <c r="AR16" s="44">
        <f>'a29'!CA19</f>
        <v>0.19607888345545071</v>
      </c>
      <c r="AS16" s="44">
        <f>'a29'!CC19</f>
        <v>8.321557465553106E-2</v>
      </c>
      <c r="AT16" s="9">
        <f>AP16*'4'!BL19+'8'!AQ16*'5'!S17+'8'!AR16*'6'!AT19+'8'!AS16*'7'!AK18</f>
        <v>0.72083174572819975</v>
      </c>
      <c r="AU16" s="44">
        <f>'a29'!CF19</f>
        <v>0.30185824916684456</v>
      </c>
      <c r="AV16" s="44">
        <f>'a29'!CH19</f>
        <v>0.43834438113209201</v>
      </c>
      <c r="AW16" s="44">
        <f>'a29'!CJ19</f>
        <v>0.19040721753768264</v>
      </c>
      <c r="AX16" s="44">
        <f>'a29'!CL19</f>
        <v>6.9390152163380847E-2</v>
      </c>
      <c r="AY16" s="9">
        <f>AU16*'4'!BS19+'8'!AV16*'5'!U17+'8'!AW16*'6'!AY19+'8'!AX16*'7'!AO18</f>
        <v>0.71288901997033804</v>
      </c>
      <c r="AZ16" s="44">
        <f>'a29'!CO19</f>
        <v>0.29993661486411016</v>
      </c>
      <c r="BA16" s="44">
        <f>'a29'!CQ19</f>
        <v>0.44005605795920233</v>
      </c>
      <c r="BB16" s="44">
        <f>'a29'!CS19</f>
        <v>0.1755579977495241</v>
      </c>
      <c r="BC16" s="44">
        <f>'a29'!CU19</f>
        <v>8.4449329427163364E-2</v>
      </c>
      <c r="BD16" s="9">
        <f>AZ16*'4'!BZ19+'8'!BA16*'5'!W17+'8'!BB16*'6'!BD19+'8'!BC16*'7'!AS18</f>
        <v>0.60953060721864039</v>
      </c>
    </row>
    <row r="17" spans="1:56">
      <c r="A17" s="1">
        <v>1982</v>
      </c>
      <c r="B17" s="44">
        <f>'a29'!C20</f>
        <v>0.2945424226999977</v>
      </c>
      <c r="C17" s="44">
        <f>'a29'!E20</f>
        <v>0.43137158214170229</v>
      </c>
      <c r="D17" s="44">
        <f>'a29'!G20</f>
        <v>0.1925705579308071</v>
      </c>
      <c r="E17" s="44">
        <f>'a29'!I20</f>
        <v>8.1515437227492868E-2</v>
      </c>
      <c r="F17" s="9">
        <f>B17*'4'!H20+'8'!C17*'5'!C18+'8'!D17*'6'!F20+'8'!E17*'7'!E19</f>
        <v>0.60180498696168072</v>
      </c>
      <c r="G17" s="44">
        <f>'a29'!L20</f>
        <v>0.27855859854644321</v>
      </c>
      <c r="H17" s="44">
        <f>'a29'!N20</f>
        <v>0.43823694369703226</v>
      </c>
      <c r="I17" s="44">
        <f>'a29'!P20</f>
        <v>0.21604241884387132</v>
      </c>
      <c r="J17" s="44">
        <f>'a29'!R20</f>
        <v>6.7162038912653349E-2</v>
      </c>
      <c r="K17" s="9">
        <f>G17*'4'!O20+'8'!H17*'5'!E18+'8'!I17*'6'!K20+'8'!J17*'7'!I19</f>
        <v>0.41157836978659207</v>
      </c>
      <c r="L17" s="44">
        <f>'a29'!U20</f>
        <v>0.27715326507313148</v>
      </c>
      <c r="M17" s="44">
        <f>'a29'!W20</f>
        <v>0.43850903476877012</v>
      </c>
      <c r="N17" s="44">
        <f>'a29'!Y20</f>
        <v>0.20748827153997365</v>
      </c>
      <c r="O17" s="44">
        <f>'a29'!AA20</f>
        <v>7.684942861812466E-2</v>
      </c>
      <c r="P17" s="9">
        <f>L17*'4'!V20+'8'!M17*'5'!G18+'8'!N17*'6'!P20+'8'!O17*'7'!M19</f>
        <v>0.50014769336507026</v>
      </c>
      <c r="Q17" s="44">
        <f>'a29'!AD20</f>
        <v>0.28560043237105065</v>
      </c>
      <c r="R17" s="44">
        <f>'a29'!AF20</f>
        <v>0.43244348910730923</v>
      </c>
      <c r="S17" s="44">
        <f>'a29'!AH20</f>
        <v>0.20302730627043</v>
      </c>
      <c r="T17" s="44">
        <f>'a29'!AJ20</f>
        <v>7.8928772251210089E-2</v>
      </c>
      <c r="U17" s="9">
        <f>Q17*'4'!AC20+'8'!R17*'5'!I18+'8'!S17*'6'!U20+'8'!T17*'7'!Q19</f>
        <v>0.65044368359813687</v>
      </c>
      <c r="V17" s="44">
        <f>'a29'!AM20</f>
        <v>0.28543968386886798</v>
      </c>
      <c r="W17" s="44">
        <f>'a29'!AO20</f>
        <v>0.43585851806861914</v>
      </c>
      <c r="X17" s="44">
        <f>'a29'!AQ20</f>
        <v>0.20298225688023977</v>
      </c>
      <c r="Y17" s="44">
        <f>'a29'!AS20</f>
        <v>7.5719541182273253E-2</v>
      </c>
      <c r="Z17" s="9">
        <f>V17*'4'!AJ20+'8'!W17*'5'!K18+'8'!X17*'6'!Z20+'8'!Y17*'7'!U19</f>
        <v>0.47666775672041134</v>
      </c>
      <c r="AA17" s="44">
        <f>'a29'!AV20</f>
        <v>0.29690091531184037</v>
      </c>
      <c r="AB17" s="44">
        <f>'a29'!AX20</f>
        <v>0.42510435995825779</v>
      </c>
      <c r="AC17" s="44">
        <f>'a29'!AZ20</f>
        <v>0.19647282382075759</v>
      </c>
      <c r="AD17" s="44">
        <f>'a29'!BB20</f>
        <v>8.1521900909144268E-2</v>
      </c>
      <c r="AE17" s="9">
        <f>AA17*'4'!AQ20+'8'!AB17*'5'!M18+'8'!AC17*'6'!AE20+'8'!AD17*'7'!Y19</f>
        <v>0.55783184340064806</v>
      </c>
      <c r="AF17" s="44">
        <f>'a29'!BE20</f>
        <v>0.29373717432740698</v>
      </c>
      <c r="AG17" s="44">
        <f>'a29'!BG20</f>
        <v>0.427818222464525</v>
      </c>
      <c r="AH17" s="44">
        <f>'a29'!BI20</f>
        <v>0.19305604198634549</v>
      </c>
      <c r="AI17" s="44">
        <f>'a29'!BK20</f>
        <v>8.5388561221722614E-2</v>
      </c>
      <c r="AJ17" s="9">
        <f>AF17*'4'!AX20+'8'!AG17*'5'!O18+'8'!AH17*'6'!AJ20+'8'!AI17*'7'!AC19</f>
        <v>0.63565983644267643</v>
      </c>
      <c r="AK17" s="44">
        <f>'a29'!BN20</f>
        <v>0.28688221358121335</v>
      </c>
      <c r="AL17" s="44">
        <f>'a29'!BP20</f>
        <v>0.43979949429337278</v>
      </c>
      <c r="AM17" s="44">
        <f>'a29'!BR20</f>
        <v>0.18999477998166336</v>
      </c>
      <c r="AN17" s="44">
        <f>'a29'!BT20</f>
        <v>8.3323512143750472E-2</v>
      </c>
      <c r="AO17" s="9">
        <f>AK17*'4'!BE20+'8'!AL17*'5'!Q18+'8'!AM17*'6'!AO20+'8'!AN17*'7'!AG19</f>
        <v>0.63543806260371716</v>
      </c>
      <c r="AP17" s="44">
        <f>'a29'!BW20</f>
        <v>0.28032779531096946</v>
      </c>
      <c r="AQ17" s="44">
        <f>'a29'!BY20</f>
        <v>0.44182752404864029</v>
      </c>
      <c r="AR17" s="44">
        <f>'a29'!CA20</f>
        <v>0.19568278748598483</v>
      </c>
      <c r="AS17" s="44">
        <f>'a29'!CC20</f>
        <v>8.2161893154405544E-2</v>
      </c>
      <c r="AT17" s="9">
        <f>AP17*'4'!BL20+'8'!AQ17*'5'!S18+'8'!AR17*'6'!AT20+'8'!AS17*'7'!AK19</f>
        <v>0.76371266951126482</v>
      </c>
      <c r="AU17" s="44">
        <f>'a29'!CF20</f>
        <v>0.30408902115399244</v>
      </c>
      <c r="AV17" s="44">
        <f>'a29'!CH20</f>
        <v>0.4400132941748679</v>
      </c>
      <c r="AW17" s="44">
        <f>'a29'!CJ20</f>
        <v>0.18673238601162809</v>
      </c>
      <c r="AX17" s="44">
        <f>'a29'!CL20</f>
        <v>6.9165298659511529E-2</v>
      </c>
      <c r="AY17" s="9">
        <f>AU17*'4'!BS20+'8'!AV17*'5'!U18+'8'!AW17*'6'!AY20+'8'!AX17*'7'!AO19</f>
        <v>0.64474961545561871</v>
      </c>
      <c r="AZ17" s="44">
        <f>'a29'!CO20</f>
        <v>0.30061135919746246</v>
      </c>
      <c r="BA17" s="44">
        <f>'a29'!CQ20</f>
        <v>0.4408784212218026</v>
      </c>
      <c r="BB17" s="44">
        <f>'a29'!CS20</f>
        <v>0.17388723454286259</v>
      </c>
      <c r="BC17" s="44">
        <f>'a29'!CU20</f>
        <v>8.4622985037872342E-2</v>
      </c>
      <c r="BD17" s="9">
        <f>AZ17*'4'!BZ20+'8'!BA17*'5'!W18+'8'!BB17*'6'!BD20+'8'!BC17*'7'!AS19</f>
        <v>0.55295977688516529</v>
      </c>
    </row>
    <row r="18" spans="1:56">
      <c r="A18" s="1">
        <v>1983</v>
      </c>
      <c r="B18" s="44">
        <f>'a29'!C21</f>
        <v>0.29546153610861459</v>
      </c>
      <c r="C18" s="44">
        <f>'a29'!E21</f>
        <v>0.4321150347594106</v>
      </c>
      <c r="D18" s="44">
        <f>'a29'!G21</f>
        <v>0.19059153639118545</v>
      </c>
      <c r="E18" s="44">
        <f>'a29'!I21</f>
        <v>8.1831892740789461E-2</v>
      </c>
      <c r="F18" s="9">
        <f>B18*'4'!H21+'8'!C18*'5'!C19+'8'!D18*'6'!F21+'8'!E18*'7'!E20</f>
        <v>0.57745844659138112</v>
      </c>
      <c r="G18" s="44">
        <f>'a29'!L21</f>
        <v>0.28175272672593177</v>
      </c>
      <c r="H18" s="44">
        <f>'a29'!N21</f>
        <v>0.43872238502765865</v>
      </c>
      <c r="I18" s="44">
        <f>'a29'!P21</f>
        <v>0.2123648300691624</v>
      </c>
      <c r="J18" s="44">
        <f>'a29'!R21</f>
        <v>6.7160058177247184E-2</v>
      </c>
      <c r="K18" s="9">
        <f>G18*'4'!O21+'8'!H18*'5'!E19+'8'!I18*'6'!K21+'8'!J18*'7'!I20</f>
        <v>0.33440328678736059</v>
      </c>
      <c r="L18" s="44">
        <f>'a29'!U21</f>
        <v>0.27974260153294089</v>
      </c>
      <c r="M18" s="44">
        <f>'a29'!W21</f>
        <v>0.43974114064352088</v>
      </c>
      <c r="N18" s="44">
        <f>'a29'!Y21</f>
        <v>0.20398986837372846</v>
      </c>
      <c r="O18" s="44">
        <f>'a29'!AA21</f>
        <v>7.6526389449809704E-2</v>
      </c>
      <c r="P18" s="9">
        <f>L18*'4'!V21+'8'!M18*'5'!G19+'8'!N18*'6'!P21+'8'!O18*'7'!M20</f>
        <v>0.50932292058240758</v>
      </c>
      <c r="Q18" s="44">
        <f>'a29'!AD21</f>
        <v>0.28749131636919967</v>
      </c>
      <c r="R18" s="44">
        <f>'a29'!AF21</f>
        <v>0.43342509267315005</v>
      </c>
      <c r="S18" s="44">
        <f>'a29'!AH21</f>
        <v>0.20042315306932001</v>
      </c>
      <c r="T18" s="44">
        <f>'a29'!AJ21</f>
        <v>7.8660437888330201E-2</v>
      </c>
      <c r="U18" s="9">
        <f>Q18*'4'!AC21+'8'!R18*'5'!I19+'8'!S18*'6'!U21+'8'!T18*'7'!Q20</f>
        <v>0.65093139818486079</v>
      </c>
      <c r="V18" s="44">
        <f>'a29'!AM21</f>
        <v>0.28772197174003772</v>
      </c>
      <c r="W18" s="44">
        <f>'a29'!AO21</f>
        <v>0.43706768807621216</v>
      </c>
      <c r="X18" s="44">
        <f>'a29'!AQ21</f>
        <v>0.19956868925900212</v>
      </c>
      <c r="Y18" s="44">
        <f>'a29'!AS21</f>
        <v>7.5641650924747839E-2</v>
      </c>
      <c r="Z18" s="9">
        <f>V18*'4'!AJ21+'8'!W18*'5'!K19+'8'!X18*'6'!Z21+'8'!Y18*'7'!U20</f>
        <v>0.41863736341171404</v>
      </c>
      <c r="AA18" s="44">
        <f>'a29'!AV21</f>
        <v>0.29785072559838893</v>
      </c>
      <c r="AB18" s="44">
        <f>'a29'!AX21</f>
        <v>0.42612898930090098</v>
      </c>
      <c r="AC18" s="44">
        <f>'a29'!AZ21</f>
        <v>0.19396043772315044</v>
      </c>
      <c r="AD18" s="44">
        <f>'a29'!BB21</f>
        <v>8.20598473775596E-2</v>
      </c>
      <c r="AE18" s="9">
        <f>AA18*'4'!AQ21+'8'!AB18*'5'!M19+'8'!AC18*'6'!AE21+'8'!AD18*'7'!Y20</f>
        <v>0.57483691178143614</v>
      </c>
      <c r="AF18" s="44">
        <f>'a29'!BE21</f>
        <v>0.29488985327510192</v>
      </c>
      <c r="AG18" s="44">
        <f>'a29'!BG21</f>
        <v>0.4284613475753617</v>
      </c>
      <c r="AH18" s="44">
        <f>'a29'!BI21</f>
        <v>0.19091414593797132</v>
      </c>
      <c r="AI18" s="44">
        <f>'a29'!BK21</f>
        <v>8.5734653211564996E-2</v>
      </c>
      <c r="AJ18" s="9">
        <f>AF18*'4'!AX21+'8'!AG18*'5'!O19+'8'!AH18*'6'!AJ21+'8'!AI18*'7'!AC20</f>
        <v>0.58831083900365877</v>
      </c>
      <c r="AK18" s="44">
        <f>'a29'!BN21</f>
        <v>0.28839488722508655</v>
      </c>
      <c r="AL18" s="44">
        <f>'a29'!BP21</f>
        <v>0.44113232007921199</v>
      </c>
      <c r="AM18" s="44">
        <f>'a29'!BR21</f>
        <v>0.18773613147346802</v>
      </c>
      <c r="AN18" s="44">
        <f>'a29'!BT21</f>
        <v>8.2736661222233429E-2</v>
      </c>
      <c r="AO18" s="9">
        <f>AK18*'4'!BE21+'8'!AL18*'5'!Q19+'8'!AM18*'6'!AO21+'8'!AN18*'7'!AG20</f>
        <v>0.54803029694156802</v>
      </c>
      <c r="AP18" s="44">
        <f>'a29'!BW21</f>
        <v>0.28112836194606916</v>
      </c>
      <c r="AQ18" s="44">
        <f>'a29'!BY21</f>
        <v>0.44308499551395281</v>
      </c>
      <c r="AR18" s="44">
        <f>'a29'!CA21</f>
        <v>0.19475500061717518</v>
      </c>
      <c r="AS18" s="44">
        <f>'a29'!CC21</f>
        <v>8.1031641922802808E-2</v>
      </c>
      <c r="AT18" s="9">
        <f>AP18*'4'!BL21+'8'!AQ18*'5'!S19+'8'!AR18*'6'!AT21+'8'!AS18*'7'!AK20</f>
        <v>0.75240404066837185</v>
      </c>
      <c r="AU18" s="44">
        <f>'a29'!CF21</f>
        <v>0.30356384399007069</v>
      </c>
      <c r="AV18" s="44">
        <f>'a29'!CH21</f>
        <v>0.44012722182896569</v>
      </c>
      <c r="AW18" s="44">
        <f>'a29'!CJ21</f>
        <v>0.18659686079727592</v>
      </c>
      <c r="AX18" s="44">
        <f>'a29'!CL21</f>
        <v>6.9712073383687803E-2</v>
      </c>
      <c r="AY18" s="9">
        <f>AU18*'4'!BS21+'8'!AV18*'5'!U19+'8'!AW18*'6'!AY21+'8'!AX18*'7'!AO20</f>
        <v>0.57542741616684556</v>
      </c>
      <c r="AZ18" s="44">
        <f>'a29'!CO21</f>
        <v>0.30061217715065797</v>
      </c>
      <c r="BA18" s="44">
        <f>'a29'!CQ21</f>
        <v>0.4411098553774877</v>
      </c>
      <c r="BB18" s="44">
        <f>'a29'!CS21</f>
        <v>0.17301463915349266</v>
      </c>
      <c r="BC18" s="44">
        <f>'a29'!CU21</f>
        <v>8.5263328318361503E-2</v>
      </c>
      <c r="BD18" s="9">
        <f>AZ18*'4'!BZ21+'8'!BA18*'5'!W19+'8'!BB18*'6'!BD21+'8'!BC18*'7'!AS20</f>
        <v>0.57695756152533217</v>
      </c>
    </row>
    <row r="19" spans="1:56">
      <c r="A19" s="1">
        <v>1984</v>
      </c>
      <c r="B19" s="44">
        <f>'a29'!C22</f>
        <v>0.29623679410115122</v>
      </c>
      <c r="C19" s="44">
        <f>'a29'!E22</f>
        <v>0.43284778083479752</v>
      </c>
      <c r="D19" s="44">
        <f>'a29'!G22</f>
        <v>0.18872019007058491</v>
      </c>
      <c r="E19" s="44">
        <f>'a29'!I22</f>
        <v>8.2195234993466454E-2</v>
      </c>
      <c r="F19" s="9">
        <f>B19*'4'!H22+'8'!C19*'5'!C20+'8'!D19*'6'!F22+'8'!E19*'7'!E21</f>
        <v>0.59876962118468435</v>
      </c>
      <c r="G19" s="44">
        <f>'a29'!L22</f>
        <v>0.2839806949831537</v>
      </c>
      <c r="H19" s="44">
        <f>'a29'!N22</f>
        <v>0.43853128799683494</v>
      </c>
      <c r="I19" s="44">
        <f>'a29'!P22</f>
        <v>0.20999351842109334</v>
      </c>
      <c r="J19" s="44">
        <f>'a29'!R22</f>
        <v>6.7494498598918096E-2</v>
      </c>
      <c r="K19" s="9">
        <f>G19*'4'!O22+'8'!H19*'5'!E20+'8'!I19*'6'!K22+'8'!J19*'7'!I21</f>
        <v>0.46041952656113777</v>
      </c>
      <c r="L19" s="44">
        <f>'a29'!U22</f>
        <v>0.28211939144709225</v>
      </c>
      <c r="M19" s="44">
        <f>'a29'!W22</f>
        <v>0.44056853031918491</v>
      </c>
      <c r="N19" s="44">
        <f>'a29'!Y22</f>
        <v>0.20104637711441453</v>
      </c>
      <c r="O19" s="44">
        <f>'a29'!AA22</f>
        <v>7.6265701119308346E-2</v>
      </c>
      <c r="P19" s="9">
        <f>L19*'4'!V22+'8'!M19*'5'!G20+'8'!N19*'6'!P22+'8'!O19*'7'!M21</f>
        <v>0.58618352790458705</v>
      </c>
      <c r="Q19" s="44">
        <f>'a29'!AD22</f>
        <v>0.28914538444368543</v>
      </c>
      <c r="R19" s="44">
        <f>'a29'!AF22</f>
        <v>0.43427906993570131</v>
      </c>
      <c r="S19" s="44">
        <f>'a29'!AH22</f>
        <v>0.19808152563279349</v>
      </c>
      <c r="T19" s="44">
        <f>'a29'!AJ22</f>
        <v>7.8494019987819866E-2</v>
      </c>
      <c r="U19" s="9">
        <f>Q19*'4'!AC22+'8'!R19*'5'!I20+'8'!S19*'6'!U22+'8'!T19*'7'!Q21</f>
        <v>0.60637174218150214</v>
      </c>
      <c r="V19" s="44">
        <f>'a29'!AM22</f>
        <v>0.28957917357274238</v>
      </c>
      <c r="W19" s="44">
        <f>'a29'!AO22</f>
        <v>0.43810778833805381</v>
      </c>
      <c r="X19" s="44">
        <f>'a29'!AQ22</f>
        <v>0.19653463415953859</v>
      </c>
      <c r="Y19" s="44">
        <f>'a29'!AS22</f>
        <v>7.5778403929665172E-2</v>
      </c>
      <c r="Z19" s="9">
        <f>V19*'4'!AJ22+'8'!W19*'5'!K20+'8'!X19*'6'!Z22+'8'!Y19*'7'!U21</f>
        <v>0.47762912328318485</v>
      </c>
      <c r="AA19" s="44">
        <f>'a29'!AV22</f>
        <v>0.29872231972344598</v>
      </c>
      <c r="AB19" s="44">
        <f>'a29'!AX22</f>
        <v>0.42721241967424639</v>
      </c>
      <c r="AC19" s="44">
        <f>'a29'!AZ22</f>
        <v>0.1913131399257422</v>
      </c>
      <c r="AD19" s="44">
        <f>'a29'!BB22</f>
        <v>8.275212067656551E-2</v>
      </c>
      <c r="AE19" s="9">
        <f>AA19*'4'!AQ22+'8'!AB19*'5'!M20+'8'!AC19*'6'!AE22+'8'!AD19*'7'!Y21</f>
        <v>0.60178313388351179</v>
      </c>
      <c r="AF19" s="44">
        <f>'a29'!BE22</f>
        <v>0.29600721719371442</v>
      </c>
      <c r="AG19" s="44">
        <f>'a29'!BG22</f>
        <v>0.42929002713362352</v>
      </c>
      <c r="AH19" s="44">
        <f>'a29'!BI22</f>
        <v>0.18868983562947722</v>
      </c>
      <c r="AI19" s="44">
        <f>'a29'!BK22</f>
        <v>8.601292004318474E-2</v>
      </c>
      <c r="AJ19" s="9">
        <f>AF19*'4'!AX22+'8'!AG19*'5'!O20+'8'!AH19*'6'!AJ22+'8'!AI19*'7'!AC21</f>
        <v>0.62792185924655119</v>
      </c>
      <c r="AK19" s="44">
        <f>'a29'!BN22</f>
        <v>0.28956618606126439</v>
      </c>
      <c r="AL19" s="44">
        <f>'a29'!BP22</f>
        <v>0.44224109224043656</v>
      </c>
      <c r="AM19" s="44">
        <f>'a29'!BR22</f>
        <v>0.18604466767993272</v>
      </c>
      <c r="AN19" s="44">
        <f>'a29'!BT22</f>
        <v>8.2148054018366334E-2</v>
      </c>
      <c r="AO19" s="9">
        <f>AK19*'4'!BE22+'8'!AL19*'5'!Q20+'8'!AM19*'6'!AO22+'8'!AN19*'7'!AG21</f>
        <v>0.653035095947196</v>
      </c>
      <c r="AP19" s="44">
        <f>'a29'!BW22</f>
        <v>0.28188492775673524</v>
      </c>
      <c r="AQ19" s="44">
        <f>'a29'!BY22</f>
        <v>0.44422114392203566</v>
      </c>
      <c r="AR19" s="44">
        <f>'a29'!CA22</f>
        <v>0.1939926592661298</v>
      </c>
      <c r="AS19" s="44">
        <f>'a29'!CC22</f>
        <v>7.990126905509945E-2</v>
      </c>
      <c r="AT19" s="9">
        <f>AP19*'4'!BL22+'8'!AQ19*'5'!S20+'8'!AR19*'6'!AT22+'8'!AS19*'7'!AK21</f>
        <v>0.69979436344291701</v>
      </c>
      <c r="AU19" s="44">
        <f>'a29'!CF22</f>
        <v>0.30204630710369357</v>
      </c>
      <c r="AV19" s="44">
        <f>'a29'!CH22</f>
        <v>0.4394701401667282</v>
      </c>
      <c r="AW19" s="44">
        <f>'a29'!CJ22</f>
        <v>0.18787939958662672</v>
      </c>
      <c r="AX19" s="44">
        <f>'a29'!CL22</f>
        <v>7.0604153142951459E-2</v>
      </c>
      <c r="AY19" s="9">
        <f>AU19*'4'!BS22+'8'!AV19*'5'!U20+'8'!AW19*'6'!AY22+'8'!AX19*'7'!AO21</f>
        <v>0.59173142086563169</v>
      </c>
      <c r="AZ19" s="44">
        <f>'a29'!CO22</f>
        <v>0.30093485257205999</v>
      </c>
      <c r="BA19" s="44">
        <f>'a29'!CQ22</f>
        <v>0.44158660772510711</v>
      </c>
      <c r="BB19" s="44">
        <f>'a29'!CS22</f>
        <v>0.17181689806096007</v>
      </c>
      <c r="BC19" s="44">
        <f>'a29'!CU22</f>
        <v>8.5661641641872829E-2</v>
      </c>
      <c r="BD19" s="9">
        <f>AZ19*'4'!BZ22+'8'!BA19*'5'!W20+'8'!BB19*'6'!BD22+'8'!BC19*'7'!AS21</f>
        <v>0.51629846634910725</v>
      </c>
    </row>
    <row r="20" spans="1:56">
      <c r="A20" s="1">
        <v>1985</v>
      </c>
      <c r="B20" s="44">
        <f>'a29'!C23</f>
        <v>0.29693966897729723</v>
      </c>
      <c r="C20" s="44">
        <f>'a29'!E23</f>
        <v>0.43380085860262901</v>
      </c>
      <c r="D20" s="44">
        <f>'a29'!G23</f>
        <v>0.18702144200017265</v>
      </c>
      <c r="E20" s="44">
        <f>'a29'!I23</f>
        <v>8.2238030419901118E-2</v>
      </c>
      <c r="F20" s="9">
        <f>B20*'4'!H23+'8'!C20*'5'!C21+'8'!D20*'6'!F23+'8'!E20*'7'!E22</f>
        <v>0.60452439439058236</v>
      </c>
      <c r="G20" s="44">
        <f>'a29'!L23</f>
        <v>0.28582253388493584</v>
      </c>
      <c r="H20" s="44">
        <f>'a29'!N23</f>
        <v>0.43836802167932992</v>
      </c>
      <c r="I20" s="44">
        <f>'a29'!P23</f>
        <v>0.20817162921899471</v>
      </c>
      <c r="J20" s="44">
        <f>'a29'!R23</f>
        <v>6.7637815216739602E-2</v>
      </c>
      <c r="K20" s="9">
        <f>G20*'4'!O23+'8'!H20*'5'!E21+'8'!I20*'6'!K23+'8'!J20*'7'!I22</f>
        <v>0.46778924147499279</v>
      </c>
      <c r="L20" s="44">
        <f>'a29'!U23</f>
        <v>0.28357009891281765</v>
      </c>
      <c r="M20" s="44">
        <f>'a29'!W23</f>
        <v>0.44169472798363124</v>
      </c>
      <c r="N20" s="44">
        <f>'a29'!Y23</f>
        <v>0.19847111108207055</v>
      </c>
      <c r="O20" s="44">
        <f>'a29'!AA23</f>
        <v>7.626406202148045E-2</v>
      </c>
      <c r="P20" s="9">
        <f>L20*'4'!V23+'8'!M20*'5'!G21+'8'!N20*'6'!P23+'8'!O20*'7'!M22</f>
        <v>0.54990750262374466</v>
      </c>
      <c r="Q20" s="44">
        <f>'a29'!AD23</f>
        <v>0.29062926124297161</v>
      </c>
      <c r="R20" s="44">
        <f>'a29'!AF23</f>
        <v>0.43543244130501851</v>
      </c>
      <c r="S20" s="44">
        <f>'a29'!AH23</f>
        <v>0.19592598910218223</v>
      </c>
      <c r="T20" s="44">
        <f>'a29'!AJ23</f>
        <v>7.8012308349827697E-2</v>
      </c>
      <c r="U20" s="9">
        <f>Q20*'4'!AC23+'8'!R20*'5'!I21+'8'!S20*'6'!U23+'8'!T20*'7'!Q22</f>
        <v>0.59106151278813224</v>
      </c>
      <c r="V20" s="44">
        <f>'a29'!AM23</f>
        <v>0.29106803207903842</v>
      </c>
      <c r="W20" s="44">
        <f>'a29'!AO23</f>
        <v>0.43889059454247642</v>
      </c>
      <c r="X20" s="44">
        <f>'a29'!AQ23</f>
        <v>0.19422170596004348</v>
      </c>
      <c r="Y20" s="44">
        <f>'a29'!AS23</f>
        <v>7.5819667418441691E-2</v>
      </c>
      <c r="Z20" s="9">
        <f>V20*'4'!AJ23+'8'!W20*'5'!K21+'8'!X20*'6'!Z23+'8'!Y20*'7'!U22</f>
        <v>0.49711685107665859</v>
      </c>
      <c r="AA20" s="44">
        <f>'a29'!AV23</f>
        <v>0.2996551102022314</v>
      </c>
      <c r="AB20" s="44">
        <f>'a29'!AX23</f>
        <v>0.42843576008360362</v>
      </c>
      <c r="AC20" s="44">
        <f>'a29'!AZ23</f>
        <v>0.18858123385055731</v>
      </c>
      <c r="AD20" s="44">
        <f>'a29'!BB23</f>
        <v>8.3327895863607754E-2</v>
      </c>
      <c r="AE20" s="9">
        <f>AA20*'4'!AQ23+'8'!AB20*'5'!M21+'8'!AC20*'6'!AE23+'8'!AD20*'7'!Y22</f>
        <v>0.59220165730100516</v>
      </c>
      <c r="AF20" s="44">
        <f>'a29'!BE23</f>
        <v>0.29698286871943741</v>
      </c>
      <c r="AG20" s="44">
        <f>'a29'!BG23</f>
        <v>0.4304554164033636</v>
      </c>
      <c r="AH20" s="44">
        <f>'a29'!BI23</f>
        <v>0.18676783509626024</v>
      </c>
      <c r="AI20" s="44">
        <f>'a29'!BK23</f>
        <v>8.5793879780938748E-2</v>
      </c>
      <c r="AJ20" s="9">
        <f>AF20*'4'!AX23+'8'!AG20*'5'!O21+'8'!AH20*'6'!AJ23+'8'!AI20*'7'!AC22</f>
        <v>0.64410289414045541</v>
      </c>
      <c r="AK20" s="44">
        <f>'a29'!BN23</f>
        <v>0.29061348597454412</v>
      </c>
      <c r="AL20" s="44">
        <f>'a29'!BP23</f>
        <v>0.44351658670556043</v>
      </c>
      <c r="AM20" s="44">
        <f>'a29'!BR23</f>
        <v>0.18452143956039954</v>
      </c>
      <c r="AN20" s="44">
        <f>'a29'!BT23</f>
        <v>8.1348487759495991E-2</v>
      </c>
      <c r="AO20" s="9">
        <f>AK20*'4'!BE23+'8'!AL20*'5'!Q21+'8'!AM20*'6'!AO23+'8'!AN20*'7'!AG22</f>
        <v>0.62816502695729171</v>
      </c>
      <c r="AP20" s="44">
        <f>'a29'!BW23</f>
        <v>0.28211316405159631</v>
      </c>
      <c r="AQ20" s="44">
        <f>'a29'!BY23</f>
        <v>0.44528205109243107</v>
      </c>
      <c r="AR20" s="44">
        <f>'a29'!CA23</f>
        <v>0.19391075069691324</v>
      </c>
      <c r="AS20" s="44">
        <f>'a29'!CC23</f>
        <v>7.8694034159059373E-2</v>
      </c>
      <c r="AT20" s="9">
        <f>AP20*'4'!BL23+'8'!AQ20*'5'!S21+'8'!AR20*'6'!AT23+'8'!AS20*'7'!AK22</f>
        <v>0.66759072841013045</v>
      </c>
      <c r="AU20" s="44">
        <f>'a29'!CF23</f>
        <v>0.30127752108617378</v>
      </c>
      <c r="AV20" s="44">
        <f>'a29'!CH23</f>
        <v>0.4393233883766039</v>
      </c>
      <c r="AW20" s="44">
        <f>'a29'!CJ23</f>
        <v>0.1883436953836202</v>
      </c>
      <c r="AX20" s="44">
        <f>'a29'!CL23</f>
        <v>7.1055395153602013E-2</v>
      </c>
      <c r="AY20" s="9">
        <f>AU20*'4'!BS23+'8'!AV20*'5'!U21+'8'!AW20*'6'!AY23+'8'!AX20*'7'!AO22</f>
        <v>0.63762014494069985</v>
      </c>
      <c r="AZ20" s="44">
        <f>'a29'!CO23</f>
        <v>0.30075856124712402</v>
      </c>
      <c r="BA20" s="44">
        <f>'a29'!CQ23</f>
        <v>0.44214537251537611</v>
      </c>
      <c r="BB20" s="44">
        <f>'a29'!CS23</f>
        <v>0.17134385230924343</v>
      </c>
      <c r="BC20" s="44">
        <f>'a29'!CU23</f>
        <v>8.5752213928256354E-2</v>
      </c>
      <c r="BD20" s="9">
        <f>AZ20*'4'!BZ23+'8'!BA20*'5'!W21+'8'!BB20*'6'!BD23+'8'!BC20*'7'!AS22</f>
        <v>0.51610257421341199</v>
      </c>
    </row>
    <row r="21" spans="1:56">
      <c r="A21" s="1">
        <v>1986</v>
      </c>
      <c r="B21" s="44">
        <f>'a29'!C24</f>
        <v>0.29775291750040456</v>
      </c>
      <c r="C21" s="44">
        <f>'a29'!E24</f>
        <v>0.43468966099744405</v>
      </c>
      <c r="D21" s="44">
        <f>'a29'!G24</f>
        <v>0.18515306431376291</v>
      </c>
      <c r="E21" s="44">
        <f>'a29'!I24</f>
        <v>8.2404357188388483E-2</v>
      </c>
      <c r="F21" s="9">
        <f>B21*'4'!H24+'8'!C21*'5'!C22+'8'!D21*'6'!F24+'8'!E21*'7'!E23</f>
        <v>0.59441335458415334</v>
      </c>
      <c r="G21" s="44">
        <f>'a29'!L24</f>
        <v>0.28739607829180847</v>
      </c>
      <c r="H21" s="44">
        <f>'a29'!N24</f>
        <v>0.43752713422366363</v>
      </c>
      <c r="I21" s="44">
        <f>'a29'!P24</f>
        <v>0.20671758556789493</v>
      </c>
      <c r="J21" s="44">
        <f>'a29'!R24</f>
        <v>6.8359201916633042E-2</v>
      </c>
      <c r="K21" s="9">
        <f>G21*'4'!O24+'8'!H21*'5'!E22+'8'!I21*'6'!K24+'8'!J21*'7'!I23</f>
        <v>0.52975644179646042</v>
      </c>
      <c r="L21" s="44">
        <f>'a29'!U24</f>
        <v>0.28481049201753961</v>
      </c>
      <c r="M21" s="44">
        <f>'a29'!W24</f>
        <v>0.44238487268726678</v>
      </c>
      <c r="N21" s="44">
        <f>'a29'!Y24</f>
        <v>0.19619774973789272</v>
      </c>
      <c r="O21" s="44">
        <f>'a29'!AA24</f>
        <v>7.6606885557300899E-2</v>
      </c>
      <c r="P21" s="9">
        <f>L21*'4'!V24+'8'!M21*'5'!G22+'8'!N21*'6'!P24+'8'!O21*'7'!M23</f>
        <v>0.59195155131031219</v>
      </c>
      <c r="Q21" s="44">
        <f>'a29'!AD24</f>
        <v>0.29180104743534196</v>
      </c>
      <c r="R21" s="44">
        <f>'a29'!AF24</f>
        <v>0.43578752865839659</v>
      </c>
      <c r="S21" s="44">
        <f>'a29'!AH24</f>
        <v>0.19425918176692297</v>
      </c>
      <c r="T21" s="44">
        <f>'a29'!AJ24</f>
        <v>7.8152242139338496E-2</v>
      </c>
      <c r="U21" s="9">
        <f>Q21*'4'!AC24+'8'!R21*'5'!I22+'8'!S21*'6'!U24+'8'!T21*'7'!Q23</f>
        <v>0.54350528644540874</v>
      </c>
      <c r="V21" s="44">
        <f>'a29'!AM24</f>
        <v>0.29247196254588914</v>
      </c>
      <c r="W21" s="44">
        <f>'a29'!AO24</f>
        <v>0.43926503846444725</v>
      </c>
      <c r="X21" s="44">
        <f>'a29'!AQ24</f>
        <v>0.19206432646163793</v>
      </c>
      <c r="Y21" s="44">
        <f>'a29'!AS24</f>
        <v>7.6198672528025632E-2</v>
      </c>
      <c r="Z21" s="9">
        <f>V21*'4'!AJ24+'8'!W21*'5'!K22+'8'!X21*'6'!Z24+'8'!Y21*'7'!U23</f>
        <v>0.50278573333178356</v>
      </c>
      <c r="AA21" s="44">
        <f>'a29'!AV24</f>
        <v>0.30055615722204493</v>
      </c>
      <c r="AB21" s="44">
        <f>'a29'!AX24</f>
        <v>0.42968556868151819</v>
      </c>
      <c r="AC21" s="44">
        <f>'a29'!AZ24</f>
        <v>0.18565906369624119</v>
      </c>
      <c r="AD21" s="44">
        <f>'a29'!BB24</f>
        <v>8.4099210400195759E-2</v>
      </c>
      <c r="AE21" s="9">
        <f>AA21*'4'!AQ24+'8'!AB21*'5'!M22+'8'!AC21*'6'!AE24+'8'!AD21*'7'!Y23</f>
        <v>0.56871123842186944</v>
      </c>
      <c r="AF21" s="44">
        <f>'a29'!BE24</f>
        <v>0.29812071774088977</v>
      </c>
      <c r="AG21" s="44">
        <f>'a29'!BG24</f>
        <v>0.43172153228490218</v>
      </c>
      <c r="AH21" s="44">
        <f>'a29'!BI24</f>
        <v>0.18465721954807343</v>
      </c>
      <c r="AI21" s="44">
        <f>'a29'!BK24</f>
        <v>8.5500530426134466E-2</v>
      </c>
      <c r="AJ21" s="9">
        <f>AF21*'4'!AX24+'8'!AG21*'5'!O22+'8'!AH21*'6'!AJ24+'8'!AI21*'7'!AC23</f>
        <v>0.64972332082582884</v>
      </c>
      <c r="AK21" s="44">
        <f>'a29'!BN24</f>
        <v>0.29171062998933406</v>
      </c>
      <c r="AL21" s="44">
        <f>'a29'!BP24</f>
        <v>0.44438054096775559</v>
      </c>
      <c r="AM21" s="44">
        <f>'a29'!BR24</f>
        <v>0.18302198887155843</v>
      </c>
      <c r="AN21" s="44">
        <f>'a29'!BT24</f>
        <v>8.0886840171351879E-2</v>
      </c>
      <c r="AO21" s="9">
        <f>AK21*'4'!BE24+'8'!AL21*'5'!Q22+'8'!AM21*'6'!AO24+'8'!AN21*'7'!AG23</f>
        <v>0.57402380844785461</v>
      </c>
      <c r="AP21" s="44">
        <f>'a29'!BW24</f>
        <v>0.28178754113870202</v>
      </c>
      <c r="AQ21" s="44">
        <f>'a29'!BY24</f>
        <v>0.44548206414160246</v>
      </c>
      <c r="AR21" s="44">
        <f>'a29'!CA24</f>
        <v>0.1946244365049134</v>
      </c>
      <c r="AS21" s="44">
        <f>'a29'!CC24</f>
        <v>7.8105958214782098E-2</v>
      </c>
      <c r="AT21" s="9">
        <f>AP21*'4'!BL24+'8'!AQ21*'5'!S22+'8'!AR21*'6'!AT24+'8'!AS21*'7'!AK23</f>
        <v>0.63763845638143513</v>
      </c>
      <c r="AU21" s="44">
        <f>'a29'!CF24</f>
        <v>0.30141015612584743</v>
      </c>
      <c r="AV21" s="44">
        <f>'a29'!CH24</f>
        <v>0.43944949463280608</v>
      </c>
      <c r="AW21" s="44">
        <f>'a29'!CJ24</f>
        <v>0.1877489752576546</v>
      </c>
      <c r="AX21" s="44">
        <f>'a29'!CL24</f>
        <v>7.1391373983691858E-2</v>
      </c>
      <c r="AY21" s="9">
        <f>AU21*'4'!BS24+'8'!AV21*'5'!U22+'8'!AW21*'6'!AY24+'8'!AX21*'7'!AO23</f>
        <v>0.6261993457939613</v>
      </c>
      <c r="AZ21" s="44">
        <f>'a29'!CO24</f>
        <v>0.30064612226354653</v>
      </c>
      <c r="BA21" s="44">
        <f>'a29'!CQ24</f>
        <v>0.44250151729837917</v>
      </c>
      <c r="BB21" s="44">
        <f>'a29'!CS24</f>
        <v>0.17074946853308523</v>
      </c>
      <c r="BC21" s="44">
        <f>'a29'!CU24</f>
        <v>8.6102891904989015E-2</v>
      </c>
      <c r="BD21" s="9">
        <f>AZ21*'4'!BZ24+'8'!BA21*'5'!W22+'8'!BB21*'6'!BD24+'8'!BC21*'7'!AS23</f>
        <v>0.5150191965315396</v>
      </c>
    </row>
    <row r="22" spans="1:56">
      <c r="A22" s="1">
        <v>1987</v>
      </c>
      <c r="B22" s="44">
        <f>'a29'!C25</f>
        <v>0.29818543526024949</v>
      </c>
      <c r="C22" s="44">
        <f>'a29'!E25</f>
        <v>0.43612294512720823</v>
      </c>
      <c r="D22" s="44">
        <f>'a29'!G25</f>
        <v>0.18297554160723259</v>
      </c>
      <c r="E22" s="44">
        <f>'a29'!I25</f>
        <v>8.2716078005309709E-2</v>
      </c>
      <c r="F22" s="9">
        <f>B22*'4'!H25+'8'!C22*'5'!C23+'8'!D22*'6'!F25+'8'!E22*'7'!E24</f>
        <v>0.58230626019551324</v>
      </c>
      <c r="G22" s="44">
        <f>'a29'!L25</f>
        <v>0.28908062704743054</v>
      </c>
      <c r="H22" s="44">
        <f>'a29'!N25</f>
        <v>0.43697396956005496</v>
      </c>
      <c r="I22" s="44">
        <f>'a29'!P25</f>
        <v>0.2049318019717202</v>
      </c>
      <c r="J22" s="44">
        <f>'a29'!R25</f>
        <v>6.9013601420794296E-2</v>
      </c>
      <c r="K22" s="9">
        <f>G22*'4'!O25+'8'!H22*'5'!E23+'8'!I22*'6'!K25+'8'!J22*'7'!I24</f>
        <v>0.48784348802459798</v>
      </c>
      <c r="L22" s="44">
        <f>'a29'!U25</f>
        <v>0.28530255441305197</v>
      </c>
      <c r="M22" s="44">
        <f>'a29'!W25</f>
        <v>0.44289238188745256</v>
      </c>
      <c r="N22" s="44">
        <f>'a29'!Y25</f>
        <v>0.19475395630262216</v>
      </c>
      <c r="O22" s="44">
        <f>'a29'!AA25</f>
        <v>7.7051107396873375E-2</v>
      </c>
      <c r="P22" s="9">
        <f>L22*'4'!V25+'8'!M22*'5'!G23+'8'!N22*'6'!P25+'8'!O22*'7'!M24</f>
        <v>0.58087052395097549</v>
      </c>
      <c r="Q22" s="44">
        <f>'a29'!AD25</f>
        <v>0.29243693164009321</v>
      </c>
      <c r="R22" s="44">
        <f>'a29'!AF25</f>
        <v>0.43636445064443102</v>
      </c>
      <c r="S22" s="44">
        <f>'a29'!AH25</f>
        <v>0.19276732222254558</v>
      </c>
      <c r="T22" s="44">
        <f>'a29'!AJ25</f>
        <v>7.8431295492930084E-2</v>
      </c>
      <c r="U22" s="9">
        <f>Q22*'4'!AC25+'8'!R22*'5'!I23+'8'!S22*'6'!U25+'8'!T22*'7'!Q24</f>
        <v>0.56767714019592197</v>
      </c>
      <c r="V22" s="44">
        <f>'a29'!AM25</f>
        <v>0.29354619922493469</v>
      </c>
      <c r="W22" s="44">
        <f>'a29'!AO25</f>
        <v>0.43996080992296188</v>
      </c>
      <c r="X22" s="44">
        <f>'a29'!AQ25</f>
        <v>0.18972014146031022</v>
      </c>
      <c r="Y22" s="44">
        <f>'a29'!AS25</f>
        <v>7.6772849391793199E-2</v>
      </c>
      <c r="Z22" s="9">
        <f>V22*'4'!AJ25+'8'!W22*'5'!K23+'8'!X22*'6'!Z25+'8'!Y22*'7'!U24</f>
        <v>0.48381983196851525</v>
      </c>
      <c r="AA22" s="44">
        <f>'a29'!AV25</f>
        <v>0.30127033741360648</v>
      </c>
      <c r="AB22" s="44">
        <f>'a29'!AX25</f>
        <v>0.43148374944036022</v>
      </c>
      <c r="AC22" s="44">
        <f>'a29'!AZ25</f>
        <v>0.18222254593599452</v>
      </c>
      <c r="AD22" s="44">
        <f>'a29'!BB25</f>
        <v>8.5023367210038753E-2</v>
      </c>
      <c r="AE22" s="9">
        <f>AA22*'4'!AQ25+'8'!AB22*'5'!M23+'8'!AC22*'6'!AE25+'8'!AD22*'7'!Y24</f>
        <v>0.570071030919722</v>
      </c>
      <c r="AF22" s="44">
        <f>'a29'!BE25</f>
        <v>0.29906135206103696</v>
      </c>
      <c r="AG22" s="44">
        <f>'a29'!BG25</f>
        <v>0.43382964991840095</v>
      </c>
      <c r="AH22" s="44">
        <f>'a29'!BI25</f>
        <v>0.18173940611207517</v>
      </c>
      <c r="AI22" s="44">
        <f>'a29'!BK25</f>
        <v>8.5369591908486905E-2</v>
      </c>
      <c r="AJ22" s="9">
        <f>AF22*'4'!AX25+'8'!AG22*'5'!O23+'8'!AH22*'6'!AJ25+'8'!AI22*'7'!AC24</f>
        <v>0.64186571094492151</v>
      </c>
      <c r="AK22" s="44">
        <f>'a29'!BN25</f>
        <v>0.291723180560852</v>
      </c>
      <c r="AL22" s="44">
        <f>'a29'!BP25</f>
        <v>0.44564297615904791</v>
      </c>
      <c r="AM22" s="44">
        <f>'a29'!BR25</f>
        <v>0.18220677899678669</v>
      </c>
      <c r="AN22" s="44">
        <f>'a29'!BT25</f>
        <v>8.0427064283313365E-2</v>
      </c>
      <c r="AO22" s="9">
        <f>AK22*'4'!BE25+'8'!AL22*'5'!Q23+'8'!AM22*'6'!AO25+'8'!AN22*'7'!AG24</f>
        <v>0.60866382829394539</v>
      </c>
      <c r="AP22" s="44">
        <f>'a29'!BW25</f>
        <v>0.28100995151264646</v>
      </c>
      <c r="AQ22" s="44">
        <f>'a29'!BY25</f>
        <v>0.44588332963945437</v>
      </c>
      <c r="AR22" s="44">
        <f>'a29'!CA25</f>
        <v>0.19551439625065592</v>
      </c>
      <c r="AS22" s="44">
        <f>'a29'!CC25</f>
        <v>7.7592322597243232E-2</v>
      </c>
      <c r="AT22" s="9">
        <f>AP22*'4'!BL25+'8'!AQ22*'5'!S23+'8'!AR22*'6'!AT25+'8'!AS22*'7'!AK24</f>
        <v>0.59294760021909387</v>
      </c>
      <c r="AU22" s="44">
        <f>'a29'!CF25</f>
        <v>0.29996142231447759</v>
      </c>
      <c r="AV22" s="44">
        <f>'a29'!CH25</f>
        <v>0.43919744785265519</v>
      </c>
      <c r="AW22" s="44">
        <f>'a29'!CJ25</f>
        <v>0.18875387892646883</v>
      </c>
      <c r="AX22" s="44">
        <f>'a29'!CL25</f>
        <v>7.2087250906398448E-2</v>
      </c>
      <c r="AY22" s="9">
        <f>AU22*'4'!BS25+'8'!AV22*'5'!U23+'8'!AW22*'6'!AY25+'8'!AX22*'7'!AO24</f>
        <v>0.60706867801617315</v>
      </c>
      <c r="AZ22" s="44">
        <f>'a29'!CO25</f>
        <v>0.30029355112416767</v>
      </c>
      <c r="BA22" s="44">
        <f>'a29'!CQ25</f>
        <v>0.44363830659113745</v>
      </c>
      <c r="BB22" s="44">
        <f>'a29'!CS25</f>
        <v>0.16970083709137956</v>
      </c>
      <c r="BC22" s="44">
        <f>'a29'!CU25</f>
        <v>8.6367305193315341E-2</v>
      </c>
      <c r="BD22" s="9">
        <f>AZ22*'4'!BZ25+'8'!BA22*'5'!W23+'8'!BB22*'6'!BD25+'8'!BC22*'7'!AS24</f>
        <v>0.49961050950751129</v>
      </c>
    </row>
    <row r="23" spans="1:56">
      <c r="A23" s="1">
        <v>1988</v>
      </c>
      <c r="B23" s="44">
        <f>'a29'!C26</f>
        <v>0.29795273039553677</v>
      </c>
      <c r="C23" s="44">
        <f>'a29'!E26</f>
        <v>0.43649296698268253</v>
      </c>
      <c r="D23" s="44">
        <f>'a29'!G26</f>
        <v>0.18229285763626657</v>
      </c>
      <c r="E23" s="44">
        <f>'a29'!I26</f>
        <v>8.3261444985514188E-2</v>
      </c>
      <c r="F23" s="9">
        <f>B23*'4'!H26+'8'!C23*'5'!C24+'8'!D23*'6'!F26+'8'!E23*'7'!E25</f>
        <v>0.61925908394818063</v>
      </c>
      <c r="G23" s="44">
        <f>'a29'!L26</f>
        <v>0.29099024979674459</v>
      </c>
      <c r="H23" s="44">
        <f>'a29'!N26</f>
        <v>0.43651764005247107</v>
      </c>
      <c r="I23" s="44">
        <f>'a29'!P26</f>
        <v>0.20211643105957094</v>
      </c>
      <c r="J23" s="44">
        <f>'a29'!R26</f>
        <v>7.0375679091213311E-2</v>
      </c>
      <c r="K23" s="9">
        <f>G23*'4'!O26+'8'!H23*'5'!E24+'8'!I23*'6'!K26+'8'!J23*'7'!I25</f>
        <v>0.54753425335997818</v>
      </c>
      <c r="L23" s="44">
        <f>'a29'!U26</f>
        <v>0.28581701540959792</v>
      </c>
      <c r="M23" s="44">
        <f>'a29'!W26</f>
        <v>0.44398649651918182</v>
      </c>
      <c r="N23" s="44">
        <f>'a29'!Y26</f>
        <v>0.19272747388612937</v>
      </c>
      <c r="O23" s="44">
        <f>'a29'!AA26</f>
        <v>7.7469014185090931E-2</v>
      </c>
      <c r="P23" s="9">
        <f>L23*'4'!V26+'8'!M23*'5'!G24+'8'!N23*'6'!P26+'8'!O23*'7'!M25</f>
        <v>0.60217298270424291</v>
      </c>
      <c r="Q23" s="44">
        <f>'a29'!AD26</f>
        <v>0.29307495006903117</v>
      </c>
      <c r="R23" s="44">
        <f>'a29'!AF26</f>
        <v>0.43682704507812148</v>
      </c>
      <c r="S23" s="44">
        <f>'a29'!AH26</f>
        <v>0.19071443069351166</v>
      </c>
      <c r="T23" s="44">
        <f>'a29'!AJ26</f>
        <v>7.9383574159335793E-2</v>
      </c>
      <c r="U23" s="9">
        <f>Q23*'4'!AC26+'8'!R23*'5'!I24+'8'!S23*'6'!U26+'8'!T23*'7'!Q25</f>
        <v>0.61297022526581846</v>
      </c>
      <c r="V23" s="44">
        <f>'a29'!AM26</f>
        <v>0.2944700667895771</v>
      </c>
      <c r="W23" s="44">
        <f>'a29'!AO26</f>
        <v>0.44010640927930789</v>
      </c>
      <c r="X23" s="44">
        <f>'a29'!AQ26</f>
        <v>0.18769569036097331</v>
      </c>
      <c r="Y23" s="44">
        <f>'a29'!AS26</f>
        <v>7.7727833570141625E-2</v>
      </c>
      <c r="Z23" s="9">
        <f>V23*'4'!AJ26+'8'!W23*'5'!K24+'8'!X23*'6'!Z26+'8'!Y23*'7'!U25</f>
        <v>0.53460147185274942</v>
      </c>
      <c r="AA23" s="44">
        <f>'a29'!AV26</f>
        <v>0.30084482322923145</v>
      </c>
      <c r="AB23" s="44">
        <f>'a29'!AX26</f>
        <v>0.43182893056947402</v>
      </c>
      <c r="AC23" s="44">
        <f>'a29'!AZ26</f>
        <v>0.18111914295804205</v>
      </c>
      <c r="AD23" s="44">
        <f>'a29'!BB26</f>
        <v>8.6207103243252467E-2</v>
      </c>
      <c r="AE23" s="9">
        <f>AA23*'4'!AQ26+'8'!AB23*'5'!M24+'8'!AC23*'6'!AE26+'8'!AD23*'7'!Y25</f>
        <v>0.5990670139551445</v>
      </c>
      <c r="AF23" s="44">
        <f>'a29'!BE26</f>
        <v>0.29901145826047149</v>
      </c>
      <c r="AG23" s="44">
        <f>'a29'!BG26</f>
        <v>0.43453582490927994</v>
      </c>
      <c r="AH23" s="44">
        <f>'a29'!BI26</f>
        <v>0.18114318082424935</v>
      </c>
      <c r="AI23" s="44">
        <f>'a29'!BK26</f>
        <v>8.5309536005999276E-2</v>
      </c>
      <c r="AJ23" s="9">
        <f>AF23*'4'!AX26+'8'!AG23*'5'!O24+'8'!AH23*'6'!AJ26+'8'!AI23*'7'!AC25</f>
        <v>0.6638736091746168</v>
      </c>
      <c r="AK23" s="44">
        <f>'a29'!BN26</f>
        <v>0.29163522030876371</v>
      </c>
      <c r="AL23" s="44">
        <f>'a29'!BP26</f>
        <v>0.44647570259118669</v>
      </c>
      <c r="AM23" s="44">
        <f>'a29'!BR26</f>
        <v>0.18143852662470519</v>
      </c>
      <c r="AN23" s="44">
        <f>'a29'!BT26</f>
        <v>8.0450550475344509E-2</v>
      </c>
      <c r="AO23" s="9">
        <f>AK23*'4'!BE26+'8'!AL23*'5'!Q24+'8'!AM23*'6'!AO26+'8'!AN23*'7'!AG25</f>
        <v>0.64751783197723223</v>
      </c>
      <c r="AP23" s="44">
        <f>'a29'!BW26</f>
        <v>0.28086965928982593</v>
      </c>
      <c r="AQ23" s="44">
        <f>'a29'!BY26</f>
        <v>0.44680481251697002</v>
      </c>
      <c r="AR23" s="44">
        <f>'a29'!CA26</f>
        <v>0.19429997412601568</v>
      </c>
      <c r="AS23" s="44">
        <f>'a29'!CC26</f>
        <v>7.8025554067188224E-2</v>
      </c>
      <c r="AT23" s="9">
        <f>AP23*'4'!BL26+'8'!AQ23*'5'!S24+'8'!AR23*'6'!AT26+'8'!AS23*'7'!AK25</f>
        <v>0.62869795976875997</v>
      </c>
      <c r="AU23" s="44">
        <f>'a29'!CF26</f>
        <v>0.29878282446594995</v>
      </c>
      <c r="AV23" s="44">
        <f>'a29'!CH26</f>
        <v>0.43894283862117917</v>
      </c>
      <c r="AW23" s="44">
        <f>'a29'!CJ26</f>
        <v>0.18921094352529541</v>
      </c>
      <c r="AX23" s="44">
        <f>'a29'!CL26</f>
        <v>7.3063393387575351E-2</v>
      </c>
      <c r="AY23" s="9">
        <f>AU23*'4'!BS26+'8'!AV23*'5'!U24+'8'!AW23*'6'!AY26+'8'!AX23*'7'!AO25</f>
        <v>0.61035946750140313</v>
      </c>
      <c r="AZ23" s="44">
        <f>'a29'!CO26</f>
        <v>0.29936709392642502</v>
      </c>
      <c r="BA23" s="44">
        <f>'a29'!CQ26</f>
        <v>0.44327966454914147</v>
      </c>
      <c r="BB23" s="44">
        <f>'a29'!CS26</f>
        <v>0.17063852441908686</v>
      </c>
      <c r="BC23" s="44">
        <f>'a29'!CU26</f>
        <v>8.6714717105346603E-2</v>
      </c>
      <c r="BD23" s="9">
        <f>AZ23*'4'!BZ26+'8'!BA23*'5'!W24+'8'!BB23*'6'!BD26+'8'!BC23*'7'!AS25</f>
        <v>0.57337011107653224</v>
      </c>
    </row>
    <row r="24" spans="1:56">
      <c r="A24" s="1">
        <v>1989</v>
      </c>
      <c r="B24" s="44">
        <f>'a29'!C27</f>
        <v>0.29812873457314759</v>
      </c>
      <c r="C24" s="44">
        <f>'a29'!E27</f>
        <v>0.43733962174167695</v>
      </c>
      <c r="D24" s="44">
        <f>'a29'!G27</f>
        <v>0.18090053190978744</v>
      </c>
      <c r="E24" s="44">
        <f>'a29'!I27</f>
        <v>8.3631111775388123E-2</v>
      </c>
      <c r="F24" s="9">
        <f>B24*'4'!H27+'8'!C24*'5'!C25+'8'!D24*'6'!F27+'8'!E24*'7'!E26</f>
        <v>0.63674335810743921</v>
      </c>
      <c r="G24" s="44">
        <f>'a29'!L27</f>
        <v>0.29312709357558137</v>
      </c>
      <c r="H24" s="44">
        <f>'a29'!N27</f>
        <v>0.43618332549100813</v>
      </c>
      <c r="I24" s="44">
        <f>'a29'!P27</f>
        <v>0.19882064414955383</v>
      </c>
      <c r="J24" s="44">
        <f>'a29'!R27</f>
        <v>7.1868936783856585E-2</v>
      </c>
      <c r="K24" s="9">
        <f>G24*'4'!O27+'8'!H24*'5'!E25+'8'!I24*'6'!K27+'8'!J24*'7'!I26</f>
        <v>0.57273553184947601</v>
      </c>
      <c r="L24" s="44">
        <f>'a29'!U27</f>
        <v>0.28614194835431822</v>
      </c>
      <c r="M24" s="44">
        <f>'a29'!W27</f>
        <v>0.44484803932392381</v>
      </c>
      <c r="N24" s="44">
        <f>'a29'!Y27</f>
        <v>0.19047384144913024</v>
      </c>
      <c r="O24" s="44">
        <f>'a29'!AA27</f>
        <v>7.8536170872627764E-2</v>
      </c>
      <c r="P24" s="9">
        <f>L24*'4'!V27+'8'!M24*'5'!G25+'8'!N24*'6'!P27+'8'!O24*'7'!M26</f>
        <v>0.56756375479130416</v>
      </c>
      <c r="Q24" s="44">
        <f>'a29'!AD27</f>
        <v>0.29389712041034965</v>
      </c>
      <c r="R24" s="44">
        <f>'a29'!AF27</f>
        <v>0.43758332008706136</v>
      </c>
      <c r="S24" s="44">
        <f>'a29'!AH27</f>
        <v>0.18827667407859291</v>
      </c>
      <c r="T24" s="44">
        <f>'a29'!AJ27</f>
        <v>8.0242885423995922E-2</v>
      </c>
      <c r="U24" s="9">
        <f>Q24*'4'!AC27+'8'!R24*'5'!I25+'8'!S24*'6'!U27+'8'!T24*'7'!Q26</f>
        <v>0.60699956353581452</v>
      </c>
      <c r="V24" s="44">
        <f>'a29'!AM27</f>
        <v>0.29543698923419603</v>
      </c>
      <c r="W24" s="44">
        <f>'a29'!AO27</f>
        <v>0.44049232116634507</v>
      </c>
      <c r="X24" s="44">
        <f>'a29'!AQ27</f>
        <v>0.18519505524901073</v>
      </c>
      <c r="Y24" s="44">
        <f>'a29'!AS27</f>
        <v>7.8875634350448254E-2</v>
      </c>
      <c r="Z24" s="9">
        <f>V24*'4'!AJ27+'8'!W24*'5'!K25+'8'!X24*'6'!Z27+'8'!Y24*'7'!U26</f>
        <v>0.55229531282347089</v>
      </c>
      <c r="AA24" s="44">
        <f>'a29'!AV27</f>
        <v>0.30081780801211205</v>
      </c>
      <c r="AB24" s="44">
        <f>'a29'!AX27</f>
        <v>0.43260855235194379</v>
      </c>
      <c r="AC24" s="44">
        <f>'a29'!AZ27</f>
        <v>0.17935537043015806</v>
      </c>
      <c r="AD24" s="44">
        <f>'a29'!BB27</f>
        <v>8.7218269205786167E-2</v>
      </c>
      <c r="AE24" s="9">
        <f>AA24*'4'!AQ27+'8'!AB24*'5'!M25+'8'!AC24*'6'!AE27+'8'!AD24*'7'!Y26</f>
        <v>0.59789924921031101</v>
      </c>
      <c r="AF24" s="44">
        <f>'a29'!BE27</f>
        <v>0.29959100717450576</v>
      </c>
      <c r="AG24" s="44">
        <f>'a29'!BG27</f>
        <v>0.4358148656407172</v>
      </c>
      <c r="AH24" s="44">
        <f>'a29'!BI27</f>
        <v>0.17962167988030878</v>
      </c>
      <c r="AI24" s="44">
        <f>'a29'!BK27</f>
        <v>8.4972447304468235E-2</v>
      </c>
      <c r="AJ24" s="9">
        <f>AF24*'4'!AX27+'8'!AG24*'5'!O25+'8'!AH24*'6'!AJ27+'8'!AI24*'7'!AC26</f>
        <v>0.69747434279663212</v>
      </c>
      <c r="AK24" s="44">
        <f>'a29'!BN27</f>
        <v>0.29118980518024729</v>
      </c>
      <c r="AL24" s="44">
        <f>'a29'!BP27</f>
        <v>0.44708810150954365</v>
      </c>
      <c r="AM24" s="44">
        <f>'a29'!BR27</f>
        <v>0.18101153436160766</v>
      </c>
      <c r="AN24" s="44">
        <f>'a29'!BT27</f>
        <v>8.0710558948601449E-2</v>
      </c>
      <c r="AO24" s="9">
        <f>AK24*'4'!BE27+'8'!AL24*'5'!Q25+'8'!AM24*'6'!AO27+'8'!AN24*'7'!AG26</f>
        <v>0.64093733488351723</v>
      </c>
      <c r="AP24" s="44">
        <f>'a29'!BW27</f>
        <v>0.2800554522937061</v>
      </c>
      <c r="AQ24" s="44">
        <f>'a29'!BY27</f>
        <v>0.44766882514671719</v>
      </c>
      <c r="AR24" s="44">
        <f>'a29'!CA27</f>
        <v>0.19380537461255143</v>
      </c>
      <c r="AS24" s="44">
        <f>'a29'!CC27</f>
        <v>7.847034794702526E-2</v>
      </c>
      <c r="AT24" s="9">
        <f>AP24*'4'!BL27+'8'!AQ24*'5'!S25+'8'!AR24*'6'!AT27+'8'!AS24*'7'!AK26</f>
        <v>0.61423236386551539</v>
      </c>
      <c r="AU24" s="44">
        <f>'a29'!CF27</f>
        <v>0.29816722769921716</v>
      </c>
      <c r="AV24" s="44">
        <f>'a29'!CH27</f>
        <v>0.4396151496369366</v>
      </c>
      <c r="AW24" s="44">
        <f>'a29'!CJ27</f>
        <v>0.18840549427236214</v>
      </c>
      <c r="AX24" s="44">
        <f>'a29'!CL27</f>
        <v>7.3812128391484183E-2</v>
      </c>
      <c r="AY24" s="9">
        <f>AU24*'4'!BS27+'8'!AV24*'5'!U25+'8'!AW24*'6'!AY27+'8'!AX24*'7'!AO26</f>
        <v>0.63231837364604648</v>
      </c>
      <c r="AZ24" s="44">
        <f>'a29'!CO27</f>
        <v>0.29884624937476995</v>
      </c>
      <c r="BA24" s="44">
        <f>'a29'!CQ27</f>
        <v>0.44345414641409237</v>
      </c>
      <c r="BB24" s="44">
        <f>'a29'!CS27</f>
        <v>0.17080910117226006</v>
      </c>
      <c r="BC24" s="44">
        <f>'a29'!CU27</f>
        <v>8.6890503038877534E-2</v>
      </c>
      <c r="BD24" s="9">
        <f>AZ24*'4'!BZ27+'8'!BA24*'5'!W25+'8'!BB24*'6'!BD27+'8'!BC24*'7'!AS26</f>
        <v>0.5839612976969929</v>
      </c>
    </row>
    <row r="25" spans="1:56">
      <c r="A25" s="1">
        <v>1990</v>
      </c>
      <c r="B25" s="44">
        <f>'a29'!C28</f>
        <v>0.29793797514132475</v>
      </c>
      <c r="C25" s="44">
        <f>'a29'!E28</f>
        <v>0.4379744696007899</v>
      </c>
      <c r="D25" s="44">
        <f>'a29'!G28</f>
        <v>0.17995519991847084</v>
      </c>
      <c r="E25" s="44">
        <f>'a29'!I28</f>
        <v>8.4132355339414683E-2</v>
      </c>
      <c r="F25" s="9">
        <f>B25*'4'!H28+'8'!C25*'5'!C26+'8'!D25*'6'!F28+'8'!E25*'7'!E27</f>
        <v>0.62122446788902042</v>
      </c>
      <c r="G25" s="44">
        <f>'a29'!L28</f>
        <v>0.2950958619759213</v>
      </c>
      <c r="H25" s="44">
        <f>'a29'!N28</f>
        <v>0.43590553094778656</v>
      </c>
      <c r="I25" s="44">
        <f>'a29'!P28</f>
        <v>0.1954892646452408</v>
      </c>
      <c r="J25" s="44">
        <f>'a29'!R28</f>
        <v>7.3509342431051325E-2</v>
      </c>
      <c r="K25" s="9">
        <f>G25*'4'!O28+'8'!H25*'5'!E26+'8'!I25*'6'!K28+'8'!J25*'7'!I27</f>
        <v>0.53893481652752417</v>
      </c>
      <c r="L25" s="44">
        <f>'a29'!U28</f>
        <v>0.28629316221277051</v>
      </c>
      <c r="M25" s="44">
        <f>'a29'!W28</f>
        <v>0.44538286797568866</v>
      </c>
      <c r="N25" s="44">
        <f>'a29'!Y28</f>
        <v>0.18861176193690057</v>
      </c>
      <c r="O25" s="44">
        <f>'a29'!AA28</f>
        <v>7.9712207874640326E-2</v>
      </c>
      <c r="P25" s="9">
        <f>L25*'4'!V28+'8'!M25*'5'!G26+'8'!N25*'6'!P28+'8'!O25*'7'!M27</f>
        <v>0.56776582622832605</v>
      </c>
      <c r="Q25" s="44">
        <f>'a29'!AD28</f>
        <v>0.29447982798443922</v>
      </c>
      <c r="R25" s="44">
        <f>'a29'!AF28</f>
        <v>0.43824130024152386</v>
      </c>
      <c r="S25" s="44">
        <f>'a29'!AH28</f>
        <v>0.18597146949440019</v>
      </c>
      <c r="T25" s="44">
        <f>'a29'!AJ28</f>
        <v>8.1307402279636676E-2</v>
      </c>
      <c r="U25" s="9">
        <f>Q25*'4'!AC28+'8'!R25*'5'!I26+'8'!S25*'6'!U28+'8'!T25*'7'!Q27</f>
        <v>0.60558532492647854</v>
      </c>
      <c r="V25" s="44">
        <f>'a29'!AM28</f>
        <v>0.29631959962580118</v>
      </c>
      <c r="W25" s="44">
        <f>'a29'!AO28</f>
        <v>0.44100483502867238</v>
      </c>
      <c r="X25" s="44">
        <f>'a29'!AQ28</f>
        <v>0.18277101088512876</v>
      </c>
      <c r="Y25" s="44">
        <f>'a29'!AS28</f>
        <v>7.9904554460397764E-2</v>
      </c>
      <c r="Z25" s="9">
        <f>V25*'4'!AJ28+'8'!W25*'5'!K26+'8'!X25*'6'!Z28+'8'!Y25*'7'!U27</f>
        <v>0.54099621330364334</v>
      </c>
      <c r="AA25" s="44">
        <f>'a29'!AV28</f>
        <v>0.3004261774548474</v>
      </c>
      <c r="AB25" s="44">
        <f>'a29'!AX28</f>
        <v>0.43317783696982137</v>
      </c>
      <c r="AC25" s="44">
        <f>'a29'!AZ28</f>
        <v>0.17792884674886952</v>
      </c>
      <c r="AD25" s="44">
        <f>'a29'!BB28</f>
        <v>8.8467138826461747E-2</v>
      </c>
      <c r="AE25" s="9">
        <f>AA25*'4'!AQ28+'8'!AB25*'5'!M26+'8'!AC25*'6'!AE28+'8'!AD25*'7'!Y27</f>
        <v>0.58140773740134155</v>
      </c>
      <c r="AF25" s="44">
        <f>'a29'!BE28</f>
        <v>0.29923322196170965</v>
      </c>
      <c r="AG25" s="44">
        <f>'a29'!BG28</f>
        <v>0.43657663905138289</v>
      </c>
      <c r="AH25" s="44">
        <f>'a29'!BI28</f>
        <v>0.17929469625906427</v>
      </c>
      <c r="AI25" s="44">
        <f>'a29'!BK28</f>
        <v>8.4895442727843218E-2</v>
      </c>
      <c r="AJ25" s="9">
        <f>AF25*'4'!AX28+'8'!AG25*'5'!O26+'8'!AH25*'6'!AJ28+'8'!AI25*'7'!AC27</f>
        <v>0.6585343809986316</v>
      </c>
      <c r="AK25" s="44">
        <f>'a29'!BN28</f>
        <v>0.29081724838939577</v>
      </c>
      <c r="AL25" s="44">
        <f>'a29'!BP28</f>
        <v>0.4477218669710028</v>
      </c>
      <c r="AM25" s="44">
        <f>'a29'!BR28</f>
        <v>0.18049054208639495</v>
      </c>
      <c r="AN25" s="44">
        <f>'a29'!BT28</f>
        <v>8.0970342553206454E-2</v>
      </c>
      <c r="AO25" s="9">
        <f>AK25*'4'!BE28+'8'!AL25*'5'!Q26+'8'!AM25*'6'!AO28+'8'!AN25*'7'!AG27</f>
        <v>0.62649739935408422</v>
      </c>
      <c r="AP25" s="44">
        <f>'a29'!BW28</f>
        <v>0.27899380321921224</v>
      </c>
      <c r="AQ25" s="44">
        <f>'a29'!BY28</f>
        <v>0.44816071058114659</v>
      </c>
      <c r="AR25" s="44">
        <f>'a29'!CA28</f>
        <v>0.19377394581160234</v>
      </c>
      <c r="AS25" s="44">
        <f>'a29'!CC28</f>
        <v>7.9071540388038902E-2</v>
      </c>
      <c r="AT25" s="9">
        <f>AP25*'4'!BL28+'8'!AQ25*'5'!S26+'8'!AR25*'6'!AT28+'8'!AS25*'7'!AK27</f>
        <v>0.62364041484483168</v>
      </c>
      <c r="AU25" s="44">
        <f>'a29'!CF28</f>
        <v>0.29799895114359148</v>
      </c>
      <c r="AV25" s="44">
        <f>'a29'!CH28</f>
        <v>0.44059679047647782</v>
      </c>
      <c r="AW25" s="44">
        <f>'a29'!CJ28</f>
        <v>0.18697455848578171</v>
      </c>
      <c r="AX25" s="44">
        <f>'a29'!CL28</f>
        <v>7.4429699894149021E-2</v>
      </c>
      <c r="AY25" s="9">
        <f>AU25*'4'!BS28+'8'!AV25*'5'!U26+'8'!AW25*'6'!AY28+'8'!AX25*'7'!AO27</f>
        <v>0.62775261785905634</v>
      </c>
      <c r="AZ25" s="44">
        <f>'a29'!CO28</f>
        <v>0.2988129167686211</v>
      </c>
      <c r="BA25" s="44">
        <f>'a29'!CQ28</f>
        <v>0.4437373343858777</v>
      </c>
      <c r="BB25" s="44">
        <f>'a29'!CS28</f>
        <v>0.17050146027271743</v>
      </c>
      <c r="BC25" s="44">
        <f>'a29'!CU28</f>
        <v>8.6948288572783736E-2</v>
      </c>
      <c r="BD25" s="9">
        <f>AZ25*'4'!BZ28+'8'!BA25*'5'!W26+'8'!BB25*'6'!BD28+'8'!BC25*'7'!AS27</f>
        <v>0.61511979384135873</v>
      </c>
    </row>
    <row r="26" spans="1:56">
      <c r="A26" s="1">
        <v>1991</v>
      </c>
      <c r="B26" s="44">
        <f>'a29'!C29</f>
        <v>0.29738580487536775</v>
      </c>
      <c r="C26" s="44">
        <f>'a29'!E29</f>
        <v>0.43816110764605021</v>
      </c>
      <c r="D26" s="44">
        <f>'a29'!G29</f>
        <v>0.17938364105071042</v>
      </c>
      <c r="E26" s="44">
        <f>'a29'!I29</f>
        <v>8.5069446427871606E-2</v>
      </c>
      <c r="F26" s="9">
        <f>B26*'4'!H29+'8'!C26*'5'!C27+'8'!D26*'6'!F29+'8'!E26*'7'!E28</f>
        <v>0.59521184035586427</v>
      </c>
      <c r="G26" s="44">
        <f>'a29'!L29</f>
        <v>0.29693268295097736</v>
      </c>
      <c r="H26" s="44">
        <f>'a29'!N29</f>
        <v>0.43535015410798134</v>
      </c>
      <c r="I26" s="44">
        <f>'a29'!P29</f>
        <v>0.19206091233962891</v>
      </c>
      <c r="J26" s="44">
        <f>'a29'!R29</f>
        <v>7.5656250601412553E-2</v>
      </c>
      <c r="K26" s="9">
        <f>G26*'4'!O29+'8'!H26*'5'!E27+'8'!I26*'6'!K29+'8'!J26*'7'!I28</f>
        <v>0.52949460664476289</v>
      </c>
      <c r="L26" s="44">
        <f>'a29'!U29</f>
        <v>0.28626669811669553</v>
      </c>
      <c r="M26" s="44">
        <f>'a29'!W29</f>
        <v>0.44492493045750442</v>
      </c>
      <c r="N26" s="44">
        <f>'a29'!Y29</f>
        <v>0.18731382583294637</v>
      </c>
      <c r="O26" s="44">
        <f>'a29'!AA29</f>
        <v>8.1494545592853726E-2</v>
      </c>
      <c r="P26" s="9">
        <f>L26*'4'!V29+'8'!M26*'5'!G27+'8'!N26*'6'!P29+'8'!O26*'7'!M28</f>
        <v>0.52463646016435306</v>
      </c>
      <c r="Q26" s="44">
        <f>'a29'!AD29</f>
        <v>0.29484322578726296</v>
      </c>
      <c r="R26" s="44">
        <f>'a29'!AF29</f>
        <v>0.43865218780289889</v>
      </c>
      <c r="S26" s="44">
        <f>'a29'!AH29</f>
        <v>0.18365692061784841</v>
      </c>
      <c r="T26" s="44">
        <f>'a29'!AJ29</f>
        <v>8.284766579198985E-2</v>
      </c>
      <c r="U26" s="9">
        <f>Q26*'4'!AC29+'8'!R26*'5'!I27+'8'!S26*'6'!U29+'8'!T26*'7'!Q28</f>
        <v>0.59558428011923403</v>
      </c>
      <c r="V26" s="44">
        <f>'a29'!AM29</f>
        <v>0.29718764574232814</v>
      </c>
      <c r="W26" s="44">
        <f>'a29'!AO29</f>
        <v>0.44138635416592703</v>
      </c>
      <c r="X26" s="44">
        <f>'a29'!AQ29</f>
        <v>0.18017084813091255</v>
      </c>
      <c r="Y26" s="44">
        <f>'a29'!AS29</f>
        <v>8.1255151960832259E-2</v>
      </c>
      <c r="Z26" s="9">
        <f>V26*'4'!AJ29+'8'!W26*'5'!K27+'8'!X26*'6'!Z29+'8'!Y26*'7'!U28</f>
        <v>0.53437452132880192</v>
      </c>
      <c r="AA26" s="44">
        <f>'a29'!AV29</f>
        <v>0.29976234857005318</v>
      </c>
      <c r="AB26" s="44">
        <f>'a29'!AX29</f>
        <v>0.43358535256367292</v>
      </c>
      <c r="AC26" s="44">
        <f>'a29'!AZ29</f>
        <v>0.17678196890210951</v>
      </c>
      <c r="AD26" s="44">
        <f>'a29'!BB29</f>
        <v>8.9870329964164386E-2</v>
      </c>
      <c r="AE26" s="9">
        <f>AA26*'4'!AQ29+'8'!AB26*'5'!M27+'8'!AC26*'6'!AE29+'8'!AD26*'7'!Y28</f>
        <v>0.58289172967857894</v>
      </c>
      <c r="AF26" s="44">
        <f>'a29'!BE29</f>
        <v>0.2981680450342194</v>
      </c>
      <c r="AG26" s="44">
        <f>'a29'!BG29</f>
        <v>0.43662720800868982</v>
      </c>
      <c r="AH26" s="44">
        <f>'a29'!BI29</f>
        <v>0.17972664585617706</v>
      </c>
      <c r="AI26" s="44">
        <f>'a29'!BK29</f>
        <v>8.5478101100913612E-2</v>
      </c>
      <c r="AJ26" s="9">
        <f>AF26*'4'!AX29+'8'!AG26*'5'!O27+'8'!AH26*'6'!AJ29+'8'!AI26*'7'!AC28</f>
        <v>0.60297492938772468</v>
      </c>
      <c r="AK26" s="44">
        <f>'a29'!BN29</f>
        <v>0.2906421000349857</v>
      </c>
      <c r="AL26" s="44">
        <f>'a29'!BP29</f>
        <v>0.4481056964269669</v>
      </c>
      <c r="AM26" s="44">
        <f>'a29'!BR29</f>
        <v>0.17955963112589116</v>
      </c>
      <c r="AN26" s="44">
        <f>'a29'!BT29</f>
        <v>8.16925724121563E-2</v>
      </c>
      <c r="AO26" s="9">
        <f>AK26*'4'!BE29+'8'!AL26*'5'!Q27+'8'!AM26*'6'!AO29+'8'!AN26*'7'!AG28</f>
        <v>0.632029212950592</v>
      </c>
      <c r="AP26" s="44">
        <f>'a29'!BW29</f>
        <v>0.27883240008087345</v>
      </c>
      <c r="AQ26" s="44">
        <f>'a29'!BY29</f>
        <v>0.4490017061174788</v>
      </c>
      <c r="AR26" s="44">
        <f>'a29'!CA29</f>
        <v>0.19241863626546921</v>
      </c>
      <c r="AS26" s="44">
        <f>'a29'!CC29</f>
        <v>7.9747257536178381E-2</v>
      </c>
      <c r="AT26" s="9">
        <f>AP26*'4'!BL29+'8'!AQ26*'5'!S27+'8'!AR26*'6'!AT29+'8'!AS26*'7'!AK28</f>
        <v>0.60556234615905191</v>
      </c>
      <c r="AU26" s="44">
        <f>'a29'!CF29</f>
        <v>0.29772584297273746</v>
      </c>
      <c r="AV26" s="44">
        <f>'a29'!CH29</f>
        <v>0.44103387375749947</v>
      </c>
      <c r="AW26" s="44">
        <f>'a29'!CJ29</f>
        <v>0.18589296012418299</v>
      </c>
      <c r="AX26" s="44">
        <f>'a29'!CL29</f>
        <v>7.5347323145580167E-2</v>
      </c>
      <c r="AY26" s="9">
        <f>AU26*'4'!BS29+'8'!AV26*'5'!U27+'8'!AW26*'6'!AY29+'8'!AX26*'7'!AO28</f>
        <v>0.60591115098469772</v>
      </c>
      <c r="AZ26" s="44">
        <f>'a29'!CO29</f>
        <v>0.29844979310422792</v>
      </c>
      <c r="BA26" s="44">
        <f>'a29'!CQ29</f>
        <v>0.44339338658120325</v>
      </c>
      <c r="BB26" s="44">
        <f>'a29'!CS29</f>
        <v>0.17054101379445039</v>
      </c>
      <c r="BC26" s="44">
        <f>'a29'!CU29</f>
        <v>8.7615806520118425E-2</v>
      </c>
      <c r="BD26" s="9">
        <f>AZ26*'4'!BZ29+'8'!BA26*'5'!W27+'8'!BB26*'6'!BD29+'8'!BC26*'7'!AS28</f>
        <v>0.60730254761094293</v>
      </c>
    </row>
    <row r="27" spans="1:56">
      <c r="A27" s="1">
        <v>1992</v>
      </c>
      <c r="B27" s="44">
        <f>'a29'!C30</f>
        <v>0.29672122637359999</v>
      </c>
      <c r="C27" s="44">
        <f>'a29'!E30</f>
        <v>0.43828217981695328</v>
      </c>
      <c r="D27" s="44">
        <f>'a29'!G30</f>
        <v>0.17821428560745947</v>
      </c>
      <c r="E27" s="44">
        <f>'a29'!I30</f>
        <v>8.6782308201987207E-2</v>
      </c>
      <c r="F27" s="9">
        <f>B27*'4'!H30+'8'!C27*'5'!C28+'8'!D27*'6'!F30+'8'!E27*'7'!E29</f>
        <v>0.57962823395007501</v>
      </c>
      <c r="G27" s="44">
        <f>'a29'!L30</f>
        <v>0.29826771373956851</v>
      </c>
      <c r="H27" s="44">
        <f>'a29'!N30</f>
        <v>0.43523308938138244</v>
      </c>
      <c r="I27" s="44">
        <f>'a29'!P30</f>
        <v>0.18827024508428733</v>
      </c>
      <c r="J27" s="44">
        <f>'a29'!R30</f>
        <v>7.8228951794761623E-2</v>
      </c>
      <c r="K27" s="9">
        <f>G27*'4'!O30+'8'!H27*'5'!E28+'8'!I27*'6'!K30+'8'!J27*'7'!I29</f>
        <v>0.49362253565600994</v>
      </c>
      <c r="L27" s="44">
        <f>'a29'!U30</f>
        <v>0.28660648376528997</v>
      </c>
      <c r="M27" s="44">
        <f>'a29'!W30</f>
        <v>0.44436912125576666</v>
      </c>
      <c r="N27" s="44">
        <f>'a29'!Y30</f>
        <v>0.18479510386242703</v>
      </c>
      <c r="O27" s="44">
        <f>'a29'!AA30</f>
        <v>8.4229291116516489E-2</v>
      </c>
      <c r="P27" s="9">
        <f>L27*'4'!V30+'8'!M27*'5'!G28+'8'!N27*'6'!P30+'8'!O27*'7'!M29</f>
        <v>0.49858929792596746</v>
      </c>
      <c r="Q27" s="44">
        <f>'a29'!AD30</f>
        <v>0.29493655950602715</v>
      </c>
      <c r="R27" s="44">
        <f>'a29'!AF30</f>
        <v>0.43873113504995337</v>
      </c>
      <c r="S27" s="44">
        <f>'a29'!AH30</f>
        <v>0.18096437126672577</v>
      </c>
      <c r="T27" s="44">
        <f>'a29'!AJ30</f>
        <v>8.5367934177293797E-2</v>
      </c>
      <c r="U27" s="9">
        <f>Q27*'4'!AC30+'8'!R27*'5'!I28+'8'!S27*'6'!U30+'8'!T27*'7'!Q29</f>
        <v>0.56965718810900967</v>
      </c>
      <c r="V27" s="44">
        <f>'a29'!AM30</f>
        <v>0.29772410761128498</v>
      </c>
      <c r="W27" s="44">
        <f>'a29'!AO30</f>
        <v>0.44091530461567208</v>
      </c>
      <c r="X27" s="44">
        <f>'a29'!AQ30</f>
        <v>0.17749944818590593</v>
      </c>
      <c r="Y27" s="44">
        <f>'a29'!AS30</f>
        <v>8.3861139587137104E-2</v>
      </c>
      <c r="Z27" s="9">
        <f>V27*'4'!AJ30+'8'!W27*'5'!K28+'8'!X27*'6'!Z30+'8'!Y27*'7'!U29</f>
        <v>0.4910447342571862</v>
      </c>
      <c r="AA27" s="44">
        <f>'a29'!AV30</f>
        <v>0.29928844606971527</v>
      </c>
      <c r="AB27" s="44">
        <f>'a29'!AX30</f>
        <v>0.43399516850289466</v>
      </c>
      <c r="AC27" s="44">
        <f>'a29'!AZ30</f>
        <v>0.17516477559546448</v>
      </c>
      <c r="AD27" s="44">
        <f>'a29'!BB30</f>
        <v>9.1551609831925493E-2</v>
      </c>
      <c r="AE27" s="9">
        <f>AA27*'4'!AQ30+'8'!AB27*'5'!M28+'8'!AC27*'6'!AE30+'8'!AD27*'7'!Y29</f>
        <v>0.55761749356146095</v>
      </c>
      <c r="AF27" s="44">
        <f>'a29'!BE30</f>
        <v>0.29685081896049043</v>
      </c>
      <c r="AG27" s="44">
        <f>'a29'!BG30</f>
        <v>0.43667259854985346</v>
      </c>
      <c r="AH27" s="44">
        <f>'a29'!BI30</f>
        <v>0.17938166631974048</v>
      </c>
      <c r="AI27" s="44">
        <f>'a29'!BK30</f>
        <v>8.7094916169915632E-2</v>
      </c>
      <c r="AJ27" s="9">
        <f>AF27*'4'!AX30+'8'!AG27*'5'!O28+'8'!AH27*'6'!AJ30+'8'!AI27*'7'!AC29</f>
        <v>0.60046455070826243</v>
      </c>
      <c r="AK27" s="44">
        <f>'a29'!BN30</f>
        <v>0.29002859185173463</v>
      </c>
      <c r="AL27" s="44">
        <f>'a29'!BP30</f>
        <v>0.44829090745274469</v>
      </c>
      <c r="AM27" s="44">
        <f>'a29'!BR30</f>
        <v>0.17843745089153343</v>
      </c>
      <c r="AN27" s="44">
        <f>'a29'!BT30</f>
        <v>8.3243049803987321E-2</v>
      </c>
      <c r="AO27" s="9">
        <f>AK27*'4'!BE30+'8'!AL27*'5'!Q28+'8'!AM27*'6'!AO30+'8'!AN27*'7'!AG29</f>
        <v>0.59987441853187051</v>
      </c>
      <c r="AP27" s="44">
        <f>'a29'!BW30</f>
        <v>0.27922974890194174</v>
      </c>
      <c r="AQ27" s="44">
        <f>'a29'!BY30</f>
        <v>0.44987615038297485</v>
      </c>
      <c r="AR27" s="44">
        <f>'a29'!CA30</f>
        <v>0.1899294329501047</v>
      </c>
      <c r="AS27" s="44">
        <f>'a29'!CC30</f>
        <v>8.096466776497864E-2</v>
      </c>
      <c r="AT27" s="9">
        <f>AP27*'4'!BL30+'8'!AQ27*'5'!S28+'8'!AR27*'6'!AT30+'8'!AS27*'7'!AK29</f>
        <v>0.59526614259891708</v>
      </c>
      <c r="AU27" s="44">
        <f>'a29'!CF30</f>
        <v>0.29714161875928269</v>
      </c>
      <c r="AV27" s="44">
        <f>'a29'!CH30</f>
        <v>0.44106177122521573</v>
      </c>
      <c r="AW27" s="44">
        <f>'a29'!CJ30</f>
        <v>0.18459682772498048</v>
      </c>
      <c r="AX27" s="44">
        <f>'a29'!CL30</f>
        <v>7.7199782290521046E-2</v>
      </c>
      <c r="AY27" s="9">
        <f>AU27*'4'!BS30+'8'!AV27*'5'!U28+'8'!AW27*'6'!AY30+'8'!AX27*'7'!AO29</f>
        <v>0.59325404162897366</v>
      </c>
      <c r="AZ27" s="44">
        <f>'a29'!CO30</f>
        <v>0.29805355472189704</v>
      </c>
      <c r="BA27" s="44">
        <f>'a29'!CQ30</f>
        <v>0.4430382869656137</v>
      </c>
      <c r="BB27" s="44">
        <f>'a29'!CS30</f>
        <v>0.16972963987644121</v>
      </c>
      <c r="BC27" s="44">
        <f>'a29'!CU30</f>
        <v>8.9178518436048071E-2</v>
      </c>
      <c r="BD27" s="9">
        <f>AZ27*'4'!BZ30+'8'!BA27*'5'!W28+'8'!BB27*'6'!BD30+'8'!BC27*'7'!AS29</f>
        <v>0.5902072315786091</v>
      </c>
    </row>
    <row r="28" spans="1:56">
      <c r="A28" s="1">
        <v>1993</v>
      </c>
      <c r="B28" s="44">
        <f>'a29'!C31</f>
        <v>0.29626233270132479</v>
      </c>
      <c r="C28" s="44">
        <f>'a29'!E31</f>
        <v>0.43822029390373468</v>
      </c>
      <c r="D28" s="44">
        <f>'a29'!G31</f>
        <v>0.17703727171602152</v>
      </c>
      <c r="E28" s="44">
        <f>'a29'!I31</f>
        <v>8.8480101678918968E-2</v>
      </c>
      <c r="F28" s="9">
        <f>B28*'4'!H31+'8'!C28*'5'!C29+'8'!D28*'6'!F31+'8'!E28*'7'!E30</f>
        <v>0.56590126225754278</v>
      </c>
      <c r="G28" s="44">
        <f>'a29'!L31</f>
        <v>0.29910741649202205</v>
      </c>
      <c r="H28" s="44">
        <f>'a29'!N31</f>
        <v>0.43417483104775723</v>
      </c>
      <c r="I28" s="44">
        <f>'a29'!P31</f>
        <v>0.18580681273450103</v>
      </c>
      <c r="J28" s="44">
        <f>'a29'!R31</f>
        <v>8.0910939725719624E-2</v>
      </c>
      <c r="K28" s="9">
        <f>G28*'4'!O31+'8'!H28*'5'!E29+'8'!I28*'6'!K31+'8'!J28*'7'!I30</f>
        <v>0.49308792931566037</v>
      </c>
      <c r="L28" s="44">
        <f>'a29'!U31</f>
        <v>0.28687900599255456</v>
      </c>
      <c r="M28" s="44">
        <f>'a29'!W31</f>
        <v>0.44348443749944905</v>
      </c>
      <c r="N28" s="44">
        <f>'a29'!Y31</f>
        <v>0.18330309409548645</v>
      </c>
      <c r="O28" s="44">
        <f>'a29'!AA31</f>
        <v>8.6333462412509915E-2</v>
      </c>
      <c r="P28" s="9">
        <f>L28*'4'!V31+'8'!M28*'5'!G29+'8'!N28*'6'!P31+'8'!O28*'7'!M30</f>
        <v>0.52230814874021436</v>
      </c>
      <c r="Q28" s="44">
        <f>'a29'!AD31</f>
        <v>0.29511396570997717</v>
      </c>
      <c r="R28" s="44">
        <f>'a29'!AF31</f>
        <v>0.43872001114822862</v>
      </c>
      <c r="S28" s="44">
        <f>'a29'!AH31</f>
        <v>0.17825962434985973</v>
      </c>
      <c r="T28" s="44">
        <f>'a29'!AJ31</f>
        <v>8.7906398791934529E-2</v>
      </c>
      <c r="U28" s="9">
        <f>Q28*'4'!AC31+'8'!R28*'5'!I29+'8'!S28*'6'!U31+'8'!T28*'7'!Q30</f>
        <v>0.53524784643989676</v>
      </c>
      <c r="V28" s="44">
        <f>'a29'!AM31</f>
        <v>0.29785531206630333</v>
      </c>
      <c r="W28" s="44">
        <f>'a29'!AO31</f>
        <v>0.44055771900516477</v>
      </c>
      <c r="X28" s="44">
        <f>'a29'!AQ31</f>
        <v>0.17505535934144911</v>
      </c>
      <c r="Y28" s="44">
        <f>'a29'!AS31</f>
        <v>8.6531609587082781E-2</v>
      </c>
      <c r="Z28" s="9">
        <f>V28*'4'!AJ31+'8'!W28*'5'!K29+'8'!X28*'6'!Z31+'8'!Y28*'7'!U30</f>
        <v>0.50104280956289671</v>
      </c>
      <c r="AA28" s="44">
        <f>'a29'!AV31</f>
        <v>0.29915109362456532</v>
      </c>
      <c r="AB28" s="44">
        <f>'a29'!AX31</f>
        <v>0.4344080626284379</v>
      </c>
      <c r="AC28" s="44">
        <f>'a29'!AZ31</f>
        <v>0.17321856343145264</v>
      </c>
      <c r="AD28" s="44">
        <f>'a29'!BB31</f>
        <v>9.3222280315544082E-2</v>
      </c>
      <c r="AE28" s="9">
        <f>AA28*'4'!AQ31+'8'!AB28*'5'!M29+'8'!AC28*'6'!AE31+'8'!AD28*'7'!Y30</f>
        <v>0.53153495894987612</v>
      </c>
      <c r="AF28" s="44">
        <f>'a29'!BE31</f>
        <v>0.29603309691844876</v>
      </c>
      <c r="AG28" s="44">
        <f>'a29'!BG31</f>
        <v>0.4370198041376509</v>
      </c>
      <c r="AH28" s="44">
        <f>'a29'!BI31</f>
        <v>0.17816195603912097</v>
      </c>
      <c r="AI28" s="44">
        <f>'a29'!BK31</f>
        <v>8.8785142904779318E-2</v>
      </c>
      <c r="AJ28" s="9">
        <f>AF28*'4'!AX31+'8'!AG28*'5'!O29+'8'!AH28*'6'!AJ31+'8'!AI28*'7'!AC30</f>
        <v>0.5772941800331689</v>
      </c>
      <c r="AK28" s="44">
        <f>'a29'!BN31</f>
        <v>0.28961447465120904</v>
      </c>
      <c r="AL28" s="44">
        <f>'a29'!BP31</f>
        <v>0.44805911111797325</v>
      </c>
      <c r="AM28" s="44">
        <f>'a29'!BR31</f>
        <v>0.17760868498432603</v>
      </c>
      <c r="AN28" s="44">
        <f>'a29'!BT31</f>
        <v>8.4717729246491763E-2</v>
      </c>
      <c r="AO28" s="9">
        <f>AK28*'4'!BE31+'8'!AL28*'5'!Q29+'8'!AM28*'6'!AO31+'8'!AN28*'7'!AG30</f>
        <v>0.60608164859423674</v>
      </c>
      <c r="AP28" s="44">
        <f>'a29'!BW31</f>
        <v>0.27850562844034055</v>
      </c>
      <c r="AQ28" s="44">
        <f>'a29'!BY31</f>
        <v>0.44859757690776003</v>
      </c>
      <c r="AR28" s="44">
        <f>'a29'!CA31</f>
        <v>0.19132679449211396</v>
      </c>
      <c r="AS28" s="44">
        <f>'a29'!CC31</f>
        <v>8.1570000159785452E-2</v>
      </c>
      <c r="AT28" s="9">
        <f>AP28*'4'!BL31+'8'!AQ28*'5'!S29+'8'!AR28*'6'!AT31+'8'!AS28*'7'!AK30</f>
        <v>0.57729079215344181</v>
      </c>
      <c r="AU28" s="44">
        <f>'a29'!CF31</f>
        <v>0.29627391841817591</v>
      </c>
      <c r="AV28" s="44">
        <f>'a29'!CH31</f>
        <v>0.44007511909215685</v>
      </c>
      <c r="AW28" s="44">
        <f>'a29'!CJ31</f>
        <v>0.18462743633823778</v>
      </c>
      <c r="AX28" s="44">
        <f>'a29'!CL31</f>
        <v>7.9023526151429449E-2</v>
      </c>
      <c r="AY28" s="9">
        <f>AU28*'4'!BS31+'8'!AV28*'5'!U29+'8'!AW28*'6'!AY31+'8'!AX28*'7'!AO30</f>
        <v>0.60999278863482242</v>
      </c>
      <c r="AZ28" s="44">
        <f>'a29'!CO31</f>
        <v>0.29776991579985729</v>
      </c>
      <c r="BA28" s="44">
        <f>'a29'!CQ31</f>
        <v>0.4419343098350938</v>
      </c>
      <c r="BB28" s="44">
        <f>'a29'!CS31</f>
        <v>0.1696964240807973</v>
      </c>
      <c r="BC28" s="44">
        <f>'a29'!CU31</f>
        <v>9.0599350284251617E-2</v>
      </c>
      <c r="BD28" s="9">
        <f>AZ28*'4'!BZ31+'8'!BA28*'5'!W29+'8'!BB28*'6'!BD31+'8'!BC28*'7'!AS30</f>
        <v>0.59283549408205594</v>
      </c>
    </row>
    <row r="29" spans="1:56">
      <c r="A29" s="1">
        <v>1994</v>
      </c>
      <c r="B29" s="44">
        <f>'a29'!C32</f>
        <v>0.29652811195635548</v>
      </c>
      <c r="C29" s="44">
        <f>'a29'!E32</f>
        <v>0.438634321476436</v>
      </c>
      <c r="D29" s="44">
        <f>'a29'!G32</f>
        <v>0.1745273957572068</v>
      </c>
      <c r="E29" s="44">
        <f>'a29'!I32</f>
        <v>9.0310170810001686E-2</v>
      </c>
      <c r="F29" s="9">
        <f>B29*'4'!H32+'8'!C29*'5'!C30+'8'!D29*'6'!F32+'8'!E29*'7'!E31</f>
        <v>0.57065555282292912</v>
      </c>
      <c r="G29" s="44">
        <f>'a29'!L32</f>
        <v>0.29970145639031481</v>
      </c>
      <c r="H29" s="44">
        <f>'a29'!N32</f>
        <v>0.43333710080521554</v>
      </c>
      <c r="I29" s="44">
        <f>'a29'!P32</f>
        <v>0.18267936586681355</v>
      </c>
      <c r="J29" s="44">
        <f>'a29'!R32</f>
        <v>8.4282076937656089E-2</v>
      </c>
      <c r="K29" s="9">
        <f>G29*'4'!O32+'8'!H29*'5'!E30+'8'!I29*'6'!K32+'8'!J29*'7'!I31</f>
        <v>0.4896761657912887</v>
      </c>
      <c r="L29" s="44">
        <f>'a29'!U32</f>
        <v>0.28752861624722637</v>
      </c>
      <c r="M29" s="44">
        <f>'a29'!W32</f>
        <v>0.44262754921759517</v>
      </c>
      <c r="N29" s="44">
        <f>'a29'!Y32</f>
        <v>0.18124335760897403</v>
      </c>
      <c r="O29" s="44">
        <f>'a29'!AA32</f>
        <v>8.8600476926204624E-2</v>
      </c>
      <c r="P29" s="9">
        <f>L29*'4'!V32+'8'!M29*'5'!G30+'8'!N29*'6'!P32+'8'!O29*'7'!M31</f>
        <v>0.49830843866634822</v>
      </c>
      <c r="Q29" s="44">
        <f>'a29'!AD32</f>
        <v>0.295511797405693</v>
      </c>
      <c r="R29" s="44">
        <f>'a29'!AF32</f>
        <v>0.43882626980750705</v>
      </c>
      <c r="S29" s="44">
        <f>'a29'!AH32</f>
        <v>0.17515739684123363</v>
      </c>
      <c r="T29" s="44">
        <f>'a29'!AJ32</f>
        <v>9.0504535945566372E-2</v>
      </c>
      <c r="U29" s="9">
        <f>Q29*'4'!AC32+'8'!R29*'5'!I30+'8'!S29*'6'!U32+'8'!T29*'7'!Q31</f>
        <v>0.53913920021720529</v>
      </c>
      <c r="V29" s="44">
        <f>'a29'!AM32</f>
        <v>0.29834109890453214</v>
      </c>
      <c r="W29" s="44">
        <f>'a29'!AO32</f>
        <v>0.44033449861137458</v>
      </c>
      <c r="X29" s="44">
        <f>'a29'!AQ32</f>
        <v>0.17201254388960055</v>
      </c>
      <c r="Y29" s="44">
        <f>'a29'!AS32</f>
        <v>8.9311858594492741E-2</v>
      </c>
      <c r="Z29" s="9">
        <f>V29*'4'!AJ32+'8'!W29*'5'!K30+'8'!X29*'6'!Z32+'8'!Y29*'7'!U31</f>
        <v>0.49459121718787813</v>
      </c>
      <c r="AA29" s="44">
        <f>'a29'!AV32</f>
        <v>0.29943366161210622</v>
      </c>
      <c r="AB29" s="44">
        <f>'a29'!AX32</f>
        <v>0.43484532420962357</v>
      </c>
      <c r="AC29" s="44">
        <f>'a29'!AZ32</f>
        <v>0.17058186181762988</v>
      </c>
      <c r="AD29" s="44">
        <f>'a29'!BB32</f>
        <v>9.5139152360640369E-2</v>
      </c>
      <c r="AE29" s="9">
        <f>AA29*'4'!AQ32+'8'!AB29*'5'!M30+'8'!AC29*'6'!AE32+'8'!AD29*'7'!Y31</f>
        <v>0.54493310600669875</v>
      </c>
      <c r="AF29" s="44">
        <f>'a29'!BE32</f>
        <v>0.2960235778737903</v>
      </c>
      <c r="AG29" s="44">
        <f>'a29'!BG32</f>
        <v>0.43779418286878974</v>
      </c>
      <c r="AH29" s="44">
        <f>'a29'!BI32</f>
        <v>0.17571880959640104</v>
      </c>
      <c r="AI29" s="44">
        <f>'a29'!BK32</f>
        <v>9.0463429661019001E-2</v>
      </c>
      <c r="AJ29" s="9">
        <f>AF29*'4'!AX32+'8'!AG29*'5'!O30+'8'!AH29*'6'!AJ32+'8'!AI29*'7'!AC31</f>
        <v>0.58469736231893121</v>
      </c>
      <c r="AK29" s="44">
        <f>'a29'!BN32</f>
        <v>0.28965581033461868</v>
      </c>
      <c r="AL29" s="44">
        <f>'a29'!BP32</f>
        <v>0.44840065084870656</v>
      </c>
      <c r="AM29" s="44">
        <f>'a29'!BR32</f>
        <v>0.17563989672584726</v>
      </c>
      <c r="AN29" s="44">
        <f>'a29'!BT32</f>
        <v>8.6303642090827512E-2</v>
      </c>
      <c r="AO29" s="9">
        <f>AK29*'4'!BE32+'8'!AL29*'5'!Q30+'8'!AM29*'6'!AO32+'8'!AN29*'7'!AG31</f>
        <v>0.57696097822295522</v>
      </c>
      <c r="AP29" s="44">
        <f>'a29'!BW32</f>
        <v>0.28030908257548931</v>
      </c>
      <c r="AQ29" s="44">
        <f>'a29'!BY32</f>
        <v>0.45061581754729924</v>
      </c>
      <c r="AR29" s="44">
        <f>'a29'!CA32</f>
        <v>0.18615455870661771</v>
      </c>
      <c r="AS29" s="44">
        <f>'a29'!CC32</f>
        <v>8.292054117059372E-2</v>
      </c>
      <c r="AT29" s="9">
        <f>AP29*'4'!BL32+'8'!AQ29*'5'!S30+'8'!AR29*'6'!AT32+'8'!AS29*'7'!AK31</f>
        <v>0.56447507635919492</v>
      </c>
      <c r="AU29" s="44">
        <f>'a29'!CF32</f>
        <v>0.29643959183059604</v>
      </c>
      <c r="AV29" s="44">
        <f>'a29'!CH32</f>
        <v>0.43991426661878219</v>
      </c>
      <c r="AW29" s="44">
        <f>'a29'!CJ32</f>
        <v>0.18274109330744334</v>
      </c>
      <c r="AX29" s="44">
        <f>'a29'!CL32</f>
        <v>8.0905048243178457E-2</v>
      </c>
      <c r="AY29" s="9">
        <f>AU29*'4'!BS32+'8'!AV29*'5'!U30+'8'!AW29*'6'!AY32+'8'!AX29*'7'!AO31</f>
        <v>0.59275983333368854</v>
      </c>
      <c r="AZ29" s="44">
        <f>'a29'!CO32</f>
        <v>0.29833344895869235</v>
      </c>
      <c r="BA29" s="44">
        <f>'a29'!CQ32</f>
        <v>0.44157696454762058</v>
      </c>
      <c r="BB29" s="44">
        <f>'a29'!CS32</f>
        <v>0.16792440811004003</v>
      </c>
      <c r="BC29" s="44">
        <f>'a29'!CU32</f>
        <v>9.2165178383647101E-2</v>
      </c>
      <c r="BD29" s="9">
        <f>AZ29*'4'!BZ32+'8'!BA29*'5'!W30+'8'!BB29*'6'!BD32+'8'!BC29*'7'!AS31</f>
        <v>0.60947598398953118</v>
      </c>
    </row>
    <row r="30" spans="1:56">
      <c r="A30" s="1">
        <v>1995</v>
      </c>
      <c r="B30" s="44">
        <f>'a29'!C33</f>
        <v>0.29690348453780302</v>
      </c>
      <c r="C30" s="44">
        <f>'a29'!E33</f>
        <v>0.43891914989278946</v>
      </c>
      <c r="D30" s="44">
        <f>'a29'!G33</f>
        <v>0.17214383313047368</v>
      </c>
      <c r="E30" s="44">
        <f>'a29'!I33</f>
        <v>9.2033532438933904E-2</v>
      </c>
      <c r="F30" s="9">
        <f>B30*'4'!H33+'8'!C30*'5'!C31+'8'!D30*'6'!F33+'8'!E30*'7'!E32</f>
        <v>0.57648328337656674</v>
      </c>
      <c r="G30" s="44">
        <f>'a29'!L33</f>
        <v>0.30011345197179684</v>
      </c>
      <c r="H30" s="44">
        <f>'a29'!N33</f>
        <v>0.43235835222837654</v>
      </c>
      <c r="I30" s="44">
        <f>'a29'!P33</f>
        <v>0.17972942051179061</v>
      </c>
      <c r="J30" s="44">
        <f>'a29'!R33</f>
        <v>8.7798775288036021E-2</v>
      </c>
      <c r="K30" s="9">
        <f>G30*'4'!O33+'8'!H30*'5'!E31+'8'!I30*'6'!K33+'8'!J30*'7'!I32</f>
        <v>0.50241019118959662</v>
      </c>
      <c r="L30" s="44">
        <f>'a29'!U33</f>
        <v>0.28777587263812537</v>
      </c>
      <c r="M30" s="44">
        <f>'a29'!W33</f>
        <v>0.44145755541591869</v>
      </c>
      <c r="N30" s="44">
        <f>'a29'!Y33</f>
        <v>0.17966371043732846</v>
      </c>
      <c r="O30" s="44">
        <f>'a29'!AA33</f>
        <v>9.1102861508627522E-2</v>
      </c>
      <c r="P30" s="9">
        <f>L30*'4'!V33+'8'!M30*'5'!G31+'8'!N30*'6'!P33+'8'!O30*'7'!M32</f>
        <v>0.48897618508319179</v>
      </c>
      <c r="Q30" s="44">
        <f>'a29'!AD33</f>
        <v>0.29603518521264366</v>
      </c>
      <c r="R30" s="44">
        <f>'a29'!AF33</f>
        <v>0.43897424704956639</v>
      </c>
      <c r="S30" s="44">
        <f>'a29'!AH33</f>
        <v>0.17191735712773751</v>
      </c>
      <c r="T30" s="44">
        <f>'a29'!AJ33</f>
        <v>9.3073210610052429E-2</v>
      </c>
      <c r="U30" s="9">
        <f>Q30*'4'!AC33+'8'!R30*'5'!I31+'8'!S30*'6'!U33+'8'!T30*'7'!Q32</f>
        <v>0.55250687169514012</v>
      </c>
      <c r="V30" s="44">
        <f>'a29'!AM33</f>
        <v>0.29897028798640612</v>
      </c>
      <c r="W30" s="44">
        <f>'a29'!AO33</f>
        <v>0.44005277460735215</v>
      </c>
      <c r="X30" s="44">
        <f>'a29'!AQ33</f>
        <v>0.168997754492033</v>
      </c>
      <c r="Y30" s="44">
        <f>'a29'!AS33</f>
        <v>9.1979182914208688E-2</v>
      </c>
      <c r="Z30" s="9">
        <f>V30*'4'!AJ33+'8'!W30*'5'!K31+'8'!X30*'6'!Z33+'8'!Y30*'7'!U32</f>
        <v>0.5521510346434777</v>
      </c>
      <c r="AA30" s="44">
        <f>'a29'!AV33</f>
        <v>0.29997335749025467</v>
      </c>
      <c r="AB30" s="44">
        <f>'a29'!AX33</f>
        <v>0.4352476469963581</v>
      </c>
      <c r="AC30" s="44">
        <f>'a29'!AZ33</f>
        <v>0.16779749931478161</v>
      </c>
      <c r="AD30" s="44">
        <f>'a29'!BB33</f>
        <v>9.698149619860566E-2</v>
      </c>
      <c r="AE30" s="9">
        <f>AA30*'4'!AQ33+'8'!AB30*'5'!M31+'8'!AC30*'6'!AE33+'8'!AD30*'7'!Y32</f>
        <v>0.55292205112947079</v>
      </c>
      <c r="AF30" s="44">
        <f>'a29'!BE33</f>
        <v>0.29615249166318769</v>
      </c>
      <c r="AG30" s="44">
        <f>'a29'!BG33</f>
        <v>0.43853020948489158</v>
      </c>
      <c r="AH30" s="44">
        <f>'a29'!BI33</f>
        <v>0.17338218165195746</v>
      </c>
      <c r="AI30" s="44">
        <f>'a29'!BK33</f>
        <v>9.1935117199963279E-2</v>
      </c>
      <c r="AJ30" s="9">
        <f>AF30*'4'!AX33+'8'!AG30*'5'!O31+'8'!AH30*'6'!AJ33+'8'!AI30*'7'!AC32</f>
        <v>0.57225957579920972</v>
      </c>
      <c r="AK30" s="44">
        <f>'a29'!BN33</f>
        <v>0.28974945488922055</v>
      </c>
      <c r="AL30" s="44">
        <f>'a29'!BP33</f>
        <v>0.44852850644977171</v>
      </c>
      <c r="AM30" s="44">
        <f>'a29'!BR33</f>
        <v>0.17388608335684722</v>
      </c>
      <c r="AN30" s="44">
        <f>'a29'!BT33</f>
        <v>8.7835955304160551E-2</v>
      </c>
      <c r="AO30" s="9">
        <f>AK30*'4'!BE33+'8'!AL30*'5'!Q31+'8'!AM30*'6'!AO33+'8'!AN30*'7'!AG32</f>
        <v>0.61776678300884746</v>
      </c>
      <c r="AP30" s="44">
        <f>'a29'!BW33</f>
        <v>0.28134087006413683</v>
      </c>
      <c r="AQ30" s="44">
        <f>'a29'!BY33</f>
        <v>0.45061449571425577</v>
      </c>
      <c r="AR30" s="44">
        <f>'a29'!CA33</f>
        <v>0.18400808563155577</v>
      </c>
      <c r="AS30" s="44">
        <f>'a29'!CC33</f>
        <v>8.4036548590051566E-2</v>
      </c>
      <c r="AT30" s="9">
        <f>AP30*'4'!BL33+'8'!AQ30*'5'!S31+'8'!AR30*'6'!AT33+'8'!AS30*'7'!AK32</f>
        <v>0.57402368115939839</v>
      </c>
      <c r="AU30" s="44">
        <f>'a29'!CF33</f>
        <v>0.29674580867313716</v>
      </c>
      <c r="AV30" s="44">
        <f>'a29'!CH33</f>
        <v>0.43967661711597961</v>
      </c>
      <c r="AW30" s="44">
        <f>'a29'!CJ33</f>
        <v>0.18080301670090573</v>
      </c>
      <c r="AX30" s="44">
        <f>'a29'!CL33</f>
        <v>8.2774557509977489E-2</v>
      </c>
      <c r="AY30" s="9">
        <f>AU30*'4'!BS33+'8'!AV30*'5'!U31+'8'!AW30*'6'!AY33+'8'!AX30*'7'!AO32</f>
        <v>0.6062359103649001</v>
      </c>
      <c r="AZ30" s="44">
        <f>'a29'!CO33</f>
        <v>0.29893393762800641</v>
      </c>
      <c r="BA30" s="44">
        <f>'a29'!CQ33</f>
        <v>0.44106781639693604</v>
      </c>
      <c r="BB30" s="44">
        <f>'a29'!CS33</f>
        <v>0.16619629873405734</v>
      </c>
      <c r="BC30" s="44">
        <f>'a29'!CU33</f>
        <v>9.3801947241000216E-2</v>
      </c>
      <c r="BD30" s="9">
        <f>AZ30*'4'!BZ33+'8'!BA30*'5'!W31+'8'!BB30*'6'!BD33+'8'!BC30*'7'!AS32</f>
        <v>0.6316327898228431</v>
      </c>
    </row>
    <row r="31" spans="1:56">
      <c r="A31" s="1">
        <v>1996</v>
      </c>
      <c r="B31" s="44">
        <f>'a29'!C34</f>
        <v>0.29740625874066828</v>
      </c>
      <c r="C31" s="44">
        <f>'a29'!E34</f>
        <v>0.43932146156038016</v>
      </c>
      <c r="D31" s="44">
        <f>'a29'!G34</f>
        <v>0.16949869877420279</v>
      </c>
      <c r="E31" s="44">
        <f>'a29'!I34</f>
        <v>9.3773580924748884E-2</v>
      </c>
      <c r="F31" s="9">
        <f>B31*'4'!H34+'8'!C31*'5'!C32+'8'!D31*'6'!F34+'8'!E31*'7'!E33</f>
        <v>0.56373686210282115</v>
      </c>
      <c r="G31" s="44">
        <f>'a29'!L34</f>
        <v>0.30022965272659535</v>
      </c>
      <c r="H31" s="44">
        <f>'a29'!N34</f>
        <v>0.43108757355507943</v>
      </c>
      <c r="I31" s="44">
        <f>'a29'!P34</f>
        <v>0.17702184431341519</v>
      </c>
      <c r="J31" s="44">
        <f>'a29'!R34</f>
        <v>9.1660929404910038E-2</v>
      </c>
      <c r="K31" s="9">
        <f>G31*'4'!O34+'8'!H31*'5'!E32+'8'!I31*'6'!K34+'8'!J31*'7'!I33</f>
        <v>0.49818143832306133</v>
      </c>
      <c r="L31" s="44">
        <f>'a29'!U34</f>
        <v>0.28863189355068469</v>
      </c>
      <c r="M31" s="44">
        <f>'a29'!W34</f>
        <v>0.44033613944555411</v>
      </c>
      <c r="N31" s="44">
        <f>'a29'!Y34</f>
        <v>0.17777233008250332</v>
      </c>
      <c r="O31" s="44">
        <f>'a29'!AA34</f>
        <v>9.3259636921257938E-2</v>
      </c>
      <c r="P31" s="9">
        <f>L31*'4'!V34+'8'!M31*'5'!G32+'8'!N31*'6'!P34+'8'!O31*'7'!M33</f>
        <v>0.4779630287941774</v>
      </c>
      <c r="Q31" s="44">
        <f>'a29'!AD34</f>
        <v>0.29681115050280993</v>
      </c>
      <c r="R31" s="44">
        <f>'a29'!AF34</f>
        <v>0.4396249230485772</v>
      </c>
      <c r="S31" s="44">
        <f>'a29'!AH34</f>
        <v>0.16795571240123219</v>
      </c>
      <c r="T31" s="44">
        <f>'a29'!AJ34</f>
        <v>9.5608214047380694E-2</v>
      </c>
      <c r="U31" s="9">
        <f>Q31*'4'!AC34+'8'!R31*'5'!I32+'8'!S31*'6'!U34+'8'!T31*'7'!Q33</f>
        <v>0.53104065709669301</v>
      </c>
      <c r="V31" s="44">
        <f>'a29'!AM34</f>
        <v>0.29931448743074096</v>
      </c>
      <c r="W31" s="44">
        <f>'a29'!AO34</f>
        <v>0.43924635756696756</v>
      </c>
      <c r="X31" s="44">
        <f>'a29'!AQ34</f>
        <v>0.16692797923134012</v>
      </c>
      <c r="Y31" s="44">
        <f>'a29'!AS34</f>
        <v>9.4511175770951403E-2</v>
      </c>
      <c r="Z31" s="9">
        <f>V31*'4'!AJ34+'8'!W31*'5'!K32+'8'!X31*'6'!Z34+'8'!Y31*'7'!U33</f>
        <v>0.5520371486035125</v>
      </c>
      <c r="AA31" s="44">
        <f>'a29'!AV34</f>
        <v>0.30058346711738743</v>
      </c>
      <c r="AB31" s="44">
        <f>'a29'!AX34</f>
        <v>0.43591048247632863</v>
      </c>
      <c r="AC31" s="44">
        <f>'a29'!AZ34</f>
        <v>0.16451170067455323</v>
      </c>
      <c r="AD31" s="44">
        <f>'a29'!BB34</f>
        <v>9.8994349731730727E-2</v>
      </c>
      <c r="AE31" s="9">
        <f>AA31*'4'!AQ34+'8'!AB31*'5'!M32+'8'!AC31*'6'!AE34+'8'!AD31*'7'!Y33</f>
        <v>0.5498272395477658</v>
      </c>
      <c r="AF31" s="44">
        <f>'a29'!BE34</f>
        <v>0.29605909103493439</v>
      </c>
      <c r="AG31" s="44">
        <f>'a29'!BG34</f>
        <v>0.43908626593863048</v>
      </c>
      <c r="AH31" s="44">
        <f>'a29'!BI34</f>
        <v>0.17145431730646321</v>
      </c>
      <c r="AI31" s="44">
        <f>'a29'!BK34</f>
        <v>9.3400325719971852E-2</v>
      </c>
      <c r="AJ31" s="9">
        <f>AF31*'4'!AX34+'8'!AG31*'5'!O32+'8'!AH31*'6'!AJ34+'8'!AI31*'7'!AC33</f>
        <v>0.54762996686903498</v>
      </c>
      <c r="AK31" s="44">
        <f>'a29'!BN34</f>
        <v>0.2903628401684491</v>
      </c>
      <c r="AL31" s="44">
        <f>'a29'!BP34</f>
        <v>0.44863774889579544</v>
      </c>
      <c r="AM31" s="44">
        <f>'a29'!BR34</f>
        <v>0.17136014919989176</v>
      </c>
      <c r="AN31" s="44">
        <f>'a29'!BT34</f>
        <v>8.9639261735863618E-2</v>
      </c>
      <c r="AO31" s="9">
        <f>AK31*'4'!BE34+'8'!AL31*'5'!Q32+'8'!AM31*'6'!AO34+'8'!AN31*'7'!AG33</f>
        <v>0.58486053795548831</v>
      </c>
      <c r="AP31" s="44">
        <f>'a29'!BW34</f>
        <v>0.28242211528316585</v>
      </c>
      <c r="AQ31" s="44">
        <f>'a29'!BY34</f>
        <v>0.45045974162188068</v>
      </c>
      <c r="AR31" s="44">
        <f>'a29'!CA34</f>
        <v>0.18204429538165062</v>
      </c>
      <c r="AS31" s="44">
        <f>'a29'!CC34</f>
        <v>8.5073847713302952E-2</v>
      </c>
      <c r="AT31" s="9">
        <f>AP31*'4'!BL34+'8'!AQ31*'5'!S32+'8'!AR31*'6'!AT34+'8'!AS31*'7'!AK33</f>
        <v>0.59153306605404543</v>
      </c>
      <c r="AU31" s="44">
        <f>'a29'!CF34</f>
        <v>0.29741732903435691</v>
      </c>
      <c r="AV31" s="44">
        <f>'a29'!CH34</f>
        <v>0.43934652866684837</v>
      </c>
      <c r="AW31" s="44">
        <f>'a29'!CJ34</f>
        <v>0.17875551620978883</v>
      </c>
      <c r="AX31" s="44">
        <f>'a29'!CL34</f>
        <v>8.4480626089005806E-2</v>
      </c>
      <c r="AY31" s="9">
        <f>AU31*'4'!BS34+'8'!AV31*'5'!U32+'8'!AW31*'6'!AY34+'8'!AX31*'7'!AO33</f>
        <v>0.61972737869565075</v>
      </c>
      <c r="AZ31" s="44">
        <f>'a29'!CO34</f>
        <v>0.30064746541677134</v>
      </c>
      <c r="BA31" s="44">
        <f>'a29'!CQ34</f>
        <v>0.44170353633675746</v>
      </c>
      <c r="BB31" s="44">
        <f>'a29'!CS34</f>
        <v>0.16228395525674544</v>
      </c>
      <c r="BC31" s="44">
        <f>'a29'!CU34</f>
        <v>9.5365042989725812E-2</v>
      </c>
      <c r="BD31" s="9">
        <f>AZ31*'4'!BZ34+'8'!BA31*'5'!W32+'8'!BB31*'6'!BD34+'8'!BC31*'7'!AS33</f>
        <v>0.60974369887350299</v>
      </c>
    </row>
    <row r="32" spans="1:56">
      <c r="A32" s="1">
        <v>1997</v>
      </c>
      <c r="B32" s="44">
        <f>'a29'!C35</f>
        <v>0.2978046612815714</v>
      </c>
      <c r="C32" s="44">
        <f>'a29'!E35</f>
        <v>0.43929563162984164</v>
      </c>
      <c r="D32" s="44">
        <f>'a29'!G35</f>
        <v>0.16729357281722906</v>
      </c>
      <c r="E32" s="44">
        <f>'a29'!I35</f>
        <v>9.5606134271357987E-2</v>
      </c>
      <c r="F32" s="9">
        <f>B32*'4'!H35+'8'!C32*'5'!C33+'8'!D32*'6'!F35+'8'!E32*'7'!E34</f>
        <v>0.56279919499675102</v>
      </c>
      <c r="G32" s="44">
        <f>'a29'!L35</f>
        <v>0.30175897446569006</v>
      </c>
      <c r="H32" s="44">
        <f>'a29'!N35</f>
        <v>0.43169063917014922</v>
      </c>
      <c r="I32" s="44">
        <f>'a29'!P35</f>
        <v>0.17039554768319595</v>
      </c>
      <c r="J32" s="44">
        <f>'a29'!R35</f>
        <v>9.6154838680964819E-2</v>
      </c>
      <c r="K32" s="9">
        <f>G32*'4'!O35+'8'!H32*'5'!E33+'8'!I32*'6'!K35+'8'!J32*'7'!I34</f>
        <v>0.52646947167375102</v>
      </c>
      <c r="L32" s="44">
        <f>'a29'!U35</f>
        <v>0.28868919523805231</v>
      </c>
      <c r="M32" s="44">
        <f>'a29'!W35</f>
        <v>0.43865660372595627</v>
      </c>
      <c r="N32" s="44">
        <f>'a29'!Y35</f>
        <v>0.17725819456641395</v>
      </c>
      <c r="O32" s="44">
        <f>'a29'!AA35</f>
        <v>9.5396006469577341E-2</v>
      </c>
      <c r="P32" s="9">
        <f>L32*'4'!V35+'8'!M32*'5'!G33+'8'!N32*'6'!P35+'8'!O32*'7'!M34</f>
        <v>0.45044417570070183</v>
      </c>
      <c r="Q32" s="44">
        <f>'a29'!AD35</f>
        <v>0.29834634119142051</v>
      </c>
      <c r="R32" s="44">
        <f>'a29'!AF35</f>
        <v>0.44102220534239361</v>
      </c>
      <c r="S32" s="44">
        <f>'a29'!AH35</f>
        <v>0.16204068740244601</v>
      </c>
      <c r="T32" s="44">
        <f>'a29'!AJ35</f>
        <v>9.8590766063739871E-2</v>
      </c>
      <c r="U32" s="9">
        <f>Q32*'4'!AC35+'8'!R32*'5'!I33+'8'!S32*'6'!U35+'8'!T32*'7'!Q34</f>
        <v>0.50837444691641598</v>
      </c>
      <c r="V32" s="44">
        <f>'a29'!AM35</f>
        <v>0.29984405056967467</v>
      </c>
      <c r="W32" s="44">
        <f>'a29'!AO35</f>
        <v>0.43913080420189882</v>
      </c>
      <c r="X32" s="44">
        <f>'a29'!AQ35</f>
        <v>0.16380738302053918</v>
      </c>
      <c r="Y32" s="44">
        <f>'a29'!AS35</f>
        <v>9.7217762207887373E-2</v>
      </c>
      <c r="Z32" s="9">
        <f>V32*'4'!AJ35+'8'!W32*'5'!K33+'8'!X32*'6'!Z35+'8'!Y32*'7'!U34</f>
        <v>0.51249717927068839</v>
      </c>
      <c r="AA32" s="44">
        <f>'a29'!AV35</f>
        <v>0.30142867838833681</v>
      </c>
      <c r="AB32" s="44">
        <f>'a29'!AX35</f>
        <v>0.43688219186189708</v>
      </c>
      <c r="AC32" s="44">
        <f>'a29'!AZ35</f>
        <v>0.1604254126390863</v>
      </c>
      <c r="AD32" s="44">
        <f>'a29'!BB35</f>
        <v>0.1012637171106799</v>
      </c>
      <c r="AE32" s="9">
        <f>AA32*'4'!AQ35+'8'!AB32*'5'!M33+'8'!AC32*'6'!AE35+'8'!AD32*'7'!Y34</f>
        <v>0.54261499745484643</v>
      </c>
      <c r="AF32" s="44">
        <f>'a29'!BE35</f>
        <v>0.29602411218375363</v>
      </c>
      <c r="AG32" s="44">
        <f>'a29'!BG35</f>
        <v>0.43880311819946832</v>
      </c>
      <c r="AH32" s="44">
        <f>'a29'!BI35</f>
        <v>0.17038729467716537</v>
      </c>
      <c r="AI32" s="44">
        <f>'a29'!BK35</f>
        <v>9.4785474939612521E-2</v>
      </c>
      <c r="AJ32" s="9">
        <f>AF32*'4'!AX35+'8'!AG32*'5'!O33+'8'!AH32*'6'!AJ35+'8'!AI32*'7'!AC34</f>
        <v>0.55339924682750474</v>
      </c>
      <c r="AK32" s="44">
        <f>'a29'!BN35</f>
        <v>0.2910070804463476</v>
      </c>
      <c r="AL32" s="44">
        <f>'a29'!BP35</f>
        <v>0.44890021410774</v>
      </c>
      <c r="AM32" s="44">
        <f>'a29'!BR35</f>
        <v>0.16850959885244857</v>
      </c>
      <c r="AN32" s="44">
        <f>'a29'!BT35</f>
        <v>9.1583106593463887E-2</v>
      </c>
      <c r="AO32" s="9">
        <f>AK32*'4'!BE35+'8'!AL32*'5'!Q33+'8'!AM32*'6'!AO35+'8'!AN32*'7'!AG34</f>
        <v>0.57279832219417537</v>
      </c>
      <c r="AP32" s="44">
        <f>'a29'!BW35</f>
        <v>0.28331152967866541</v>
      </c>
      <c r="AQ32" s="44">
        <f>'a29'!BY35</f>
        <v>0.45023109659289806</v>
      </c>
      <c r="AR32" s="44">
        <f>'a29'!CA35</f>
        <v>0.17978794734653344</v>
      </c>
      <c r="AS32" s="44">
        <f>'a29'!CC35</f>
        <v>8.666942638190317E-2</v>
      </c>
      <c r="AT32" s="9">
        <f>AP32*'4'!BL35+'8'!AQ32*'5'!S33+'8'!AR32*'6'!AT35+'8'!AS32*'7'!AK34</f>
        <v>0.58770582509077951</v>
      </c>
      <c r="AU32" s="44">
        <f>'a29'!CF35</f>
        <v>0.29858014882829959</v>
      </c>
      <c r="AV32" s="44">
        <f>'a29'!CH35</f>
        <v>0.43933311859063079</v>
      </c>
      <c r="AW32" s="44">
        <f>'a29'!CJ35</f>
        <v>0.17589689902292732</v>
      </c>
      <c r="AX32" s="44">
        <f>'a29'!CL35</f>
        <v>8.6189833558142304E-2</v>
      </c>
      <c r="AY32" s="9">
        <f>AU32*'4'!BS35+'8'!AV32*'5'!U33+'8'!AW32*'6'!AY35+'8'!AX32*'7'!AO34</f>
        <v>0.61944656978451196</v>
      </c>
      <c r="AZ32" s="44">
        <f>'a29'!CO35</f>
        <v>0.30028720519795937</v>
      </c>
      <c r="BA32" s="44">
        <f>'a29'!CQ35</f>
        <v>0.44017070400132979</v>
      </c>
      <c r="BB32" s="44">
        <f>'a29'!CS35</f>
        <v>0.16249755469374849</v>
      </c>
      <c r="BC32" s="44">
        <f>'a29'!CU35</f>
        <v>9.7044536106962315E-2</v>
      </c>
      <c r="BD32" s="9">
        <f>AZ32*'4'!BZ35+'8'!BA32*'5'!W33+'8'!BB32*'6'!BD35+'8'!BC32*'7'!AS34</f>
        <v>0.60848724958557066</v>
      </c>
    </row>
    <row r="33" spans="1:138">
      <c r="A33" s="1">
        <v>1998</v>
      </c>
      <c r="B33" s="44">
        <f>'a29'!C36</f>
        <v>0.29820334360691902</v>
      </c>
      <c r="C33" s="44">
        <f>'a29'!E36</f>
        <v>0.43924587934160236</v>
      </c>
      <c r="D33" s="44">
        <f>'a29'!G36</f>
        <v>0.16481304820397322</v>
      </c>
      <c r="E33" s="44">
        <f>'a29'!I36</f>
        <v>9.7737728847505354E-2</v>
      </c>
      <c r="F33" s="9">
        <f>B33*'4'!H36+'8'!C33*'5'!C34+'8'!D33*'6'!F36+'8'!E33*'7'!E35</f>
        <v>0.56631444600833059</v>
      </c>
      <c r="G33" s="44">
        <f>'a29'!L36</f>
        <v>0.30168501149708249</v>
      </c>
      <c r="H33" s="44">
        <f>'a29'!N36</f>
        <v>0.43050250500021009</v>
      </c>
      <c r="I33" s="44">
        <f>'a29'!P36</f>
        <v>0.16723300309238165</v>
      </c>
      <c r="J33" s="44">
        <f>'a29'!R36</f>
        <v>0.10057948041032579</v>
      </c>
      <c r="K33" s="9">
        <f>G33*'4'!O36+'8'!H33*'5'!E34+'8'!I33*'6'!K36+'8'!J33*'7'!I35</f>
        <v>0.49442751104606053</v>
      </c>
      <c r="L33" s="44">
        <f>'a29'!U36</f>
        <v>0.28942711642020796</v>
      </c>
      <c r="M33" s="44">
        <f>'a29'!W36</f>
        <v>0.43846546990093949</v>
      </c>
      <c r="N33" s="44">
        <f>'a29'!Y36</f>
        <v>0.17382042776735954</v>
      </c>
      <c r="O33" s="44">
        <f>'a29'!AA36</f>
        <v>9.8286985911493027E-2</v>
      </c>
      <c r="P33" s="9">
        <f>L33*'4'!V36+'8'!M33*'5'!G34+'8'!N33*'6'!P36+'8'!O33*'7'!M35</f>
        <v>0.45776943603870024</v>
      </c>
      <c r="Q33" s="44">
        <f>'a29'!AD36</f>
        <v>0.29846131823359584</v>
      </c>
      <c r="R33" s="44">
        <f>'a29'!AF36</f>
        <v>0.44005784949315108</v>
      </c>
      <c r="S33" s="44">
        <f>'a29'!AH36</f>
        <v>0.16019021041877643</v>
      </c>
      <c r="T33" s="44">
        <f>'a29'!AJ36</f>
        <v>0.10129062185447653</v>
      </c>
      <c r="U33" s="9">
        <f>Q33*'4'!AC36+'8'!R33*'5'!I34+'8'!S33*'6'!U36+'8'!T33*'7'!Q35</f>
        <v>0.51107584277856177</v>
      </c>
      <c r="V33" s="44">
        <f>'a29'!AM36</f>
        <v>0.3002003361833574</v>
      </c>
      <c r="W33" s="44">
        <f>'a29'!AO36</f>
        <v>0.43856433725752997</v>
      </c>
      <c r="X33" s="44">
        <f>'a29'!AQ36</f>
        <v>0.16089079178118923</v>
      </c>
      <c r="Y33" s="44">
        <f>'a29'!AS36</f>
        <v>0.10034453477792336</v>
      </c>
      <c r="Z33" s="9">
        <f>V33*'4'!AJ36+'8'!W33*'5'!K34+'8'!X33*'6'!Z36+'8'!Y33*'7'!U35</f>
        <v>0.52628654345046377</v>
      </c>
      <c r="AA33" s="44">
        <f>'a29'!AV36</f>
        <v>0.30242304779649565</v>
      </c>
      <c r="AB33" s="44">
        <f>'a29'!AX36</f>
        <v>0.43822986775899297</v>
      </c>
      <c r="AC33" s="44">
        <f>'a29'!AZ36</f>
        <v>0.15544381522500397</v>
      </c>
      <c r="AD33" s="44">
        <f>'a29'!BB36</f>
        <v>0.10390326921950732</v>
      </c>
      <c r="AE33" s="9">
        <f>AA33*'4'!AQ36+'8'!AB33*'5'!M34+'8'!AC33*'6'!AE36+'8'!AD33*'7'!Y35</f>
        <v>0.56627056965767741</v>
      </c>
      <c r="AF33" s="44">
        <f>'a29'!BE36</f>
        <v>0.29618561985508896</v>
      </c>
      <c r="AG33" s="44">
        <f>'a29'!BG36</f>
        <v>0.43875291672644473</v>
      </c>
      <c r="AH33" s="44">
        <f>'a29'!BI36</f>
        <v>0.16862125770455719</v>
      </c>
      <c r="AI33" s="44">
        <f>'a29'!BK36</f>
        <v>9.6440205713909169E-2</v>
      </c>
      <c r="AJ33" s="9">
        <f>AF33*'4'!AX36+'8'!AG33*'5'!O34+'8'!AH33*'6'!AJ36+'8'!AI33*'7'!AC35</f>
        <v>0.554258491625782</v>
      </c>
      <c r="AK33" s="44">
        <f>'a29'!BN36</f>
        <v>0.29109768741666076</v>
      </c>
      <c r="AL33" s="44">
        <f>'a29'!BP36</f>
        <v>0.44810796335497272</v>
      </c>
      <c r="AM33" s="44">
        <f>'a29'!BR36</f>
        <v>0.16714301562910744</v>
      </c>
      <c r="AN33" s="44">
        <f>'a29'!BT36</f>
        <v>9.3651333599259076E-2</v>
      </c>
      <c r="AO33" s="9">
        <f>AK33*'4'!BE36+'8'!AL33*'5'!Q34+'8'!AM33*'6'!AO36+'8'!AN33*'7'!AG35</f>
        <v>0.60376125618948739</v>
      </c>
      <c r="AP33" s="44">
        <f>'a29'!BW36</f>
        <v>0.28353450240909112</v>
      </c>
      <c r="AQ33" s="44">
        <f>'a29'!BY36</f>
        <v>0.4485578632173855</v>
      </c>
      <c r="AR33" s="44">
        <f>'a29'!CA36</f>
        <v>0.17951545849520434</v>
      </c>
      <c r="AS33" s="44">
        <f>'a29'!CC36</f>
        <v>8.8392175878319101E-2</v>
      </c>
      <c r="AT33" s="9">
        <f>AP33*'4'!BL36+'8'!AQ33*'5'!S34+'8'!AR33*'6'!AT36+'8'!AS33*'7'!AK35</f>
        <v>0.63910218981792299</v>
      </c>
      <c r="AU33" s="44">
        <f>'a29'!CF36</f>
        <v>0.30000447258735058</v>
      </c>
      <c r="AV33" s="44">
        <f>'a29'!CH36</f>
        <v>0.43913521660356331</v>
      </c>
      <c r="AW33" s="44">
        <f>'a29'!CJ36</f>
        <v>0.17281578008242987</v>
      </c>
      <c r="AX33" s="44">
        <f>'a29'!CL36</f>
        <v>8.8044530726656287E-2</v>
      </c>
      <c r="AY33" s="9">
        <f>AU33*'4'!BS36+'8'!AV33*'5'!U34+'8'!AW33*'6'!AY36+'8'!AX33*'7'!AO35</f>
        <v>0.64091865863076258</v>
      </c>
      <c r="AZ33" s="44">
        <f>'a29'!CO36</f>
        <v>0.29980184617672684</v>
      </c>
      <c r="BA33" s="44">
        <f>'a29'!CQ36</f>
        <v>0.43869748012067528</v>
      </c>
      <c r="BB33" s="44">
        <f>'a29'!CS36</f>
        <v>0.16207766142554372</v>
      </c>
      <c r="BC33" s="44">
        <f>'a29'!CU36</f>
        <v>9.9423012277054121E-2</v>
      </c>
      <c r="BD33" s="9">
        <f>AZ33*'4'!BZ36+'8'!BA33*'5'!W34+'8'!BB33*'6'!BD36+'8'!BC33*'7'!AS35</f>
        <v>0.55879161033963654</v>
      </c>
    </row>
    <row r="34" spans="1:138">
      <c r="A34" s="1">
        <v>1999</v>
      </c>
      <c r="B34" s="44">
        <f>'a29'!C37</f>
        <v>0.29787305006994896</v>
      </c>
      <c r="C34" s="44">
        <f>'a29'!E37</f>
        <v>0.43755386721858813</v>
      </c>
      <c r="D34" s="44">
        <f>'a29'!G37</f>
        <v>0.16479114367338418</v>
      </c>
      <c r="E34" s="44">
        <f>'a29'!I37</f>
        <v>9.9781939038078651E-2</v>
      </c>
      <c r="F34" s="9">
        <f>B34*'4'!H37+'8'!C34*'5'!C35+'8'!D34*'6'!F37+'8'!E34*'7'!E36</f>
        <v>0.57033085877621292</v>
      </c>
      <c r="G34" s="44">
        <f>'a29'!L37</f>
        <v>0.3022173579741016</v>
      </c>
      <c r="H34" s="44">
        <f>'a29'!N37</f>
        <v>0.42967238024282406</v>
      </c>
      <c r="I34" s="44">
        <f>'a29'!P37</f>
        <v>0.16330184340918202</v>
      </c>
      <c r="J34" s="44">
        <f>'a29'!R37</f>
        <v>0.1048084183738925</v>
      </c>
      <c r="K34" s="9">
        <f>G34*'4'!O37+'8'!H34*'5'!E35+'8'!I34*'6'!K37+'8'!J34*'7'!I36</f>
        <v>0.50486892942479578</v>
      </c>
      <c r="L34" s="44">
        <f>'a29'!U37</f>
        <v>0.2901939508836156</v>
      </c>
      <c r="M34" s="44">
        <f>'a29'!W37</f>
        <v>0.43820411989329661</v>
      </c>
      <c r="N34" s="44">
        <f>'a29'!Y37</f>
        <v>0.17033147511694399</v>
      </c>
      <c r="O34" s="44">
        <f>'a29'!AA37</f>
        <v>0.10127045410614374</v>
      </c>
      <c r="P34" s="9">
        <f>L34*'4'!V37+'8'!M34*'5'!G35+'8'!N34*'6'!P37+'8'!O34*'7'!M36</f>
        <v>0.45007923326342253</v>
      </c>
      <c r="Q34" s="44">
        <f>'a29'!AD37</f>
        <v>0.29885590255634725</v>
      </c>
      <c r="R34" s="44">
        <f>'a29'!AF37</f>
        <v>0.43906396386484503</v>
      </c>
      <c r="S34" s="44">
        <f>'a29'!AH37</f>
        <v>0.15786013553364228</v>
      </c>
      <c r="T34" s="44">
        <f>'a29'!AJ37</f>
        <v>0.10421999804516545</v>
      </c>
      <c r="U34" s="9">
        <f>Q34*'4'!AC37+'8'!R34*'5'!I35+'8'!S34*'6'!U37+'8'!T34*'7'!Q36</f>
        <v>0.57628755763399309</v>
      </c>
      <c r="V34" s="44">
        <f>'a29'!AM37</f>
        <v>0.29960716234784696</v>
      </c>
      <c r="W34" s="44">
        <f>'a29'!AO37</f>
        <v>0.43603489991382716</v>
      </c>
      <c r="X34" s="44">
        <f>'a29'!AQ37</f>
        <v>0.16119800377008273</v>
      </c>
      <c r="Y34" s="44">
        <f>'a29'!AS37</f>
        <v>0.10315993396824312</v>
      </c>
      <c r="Z34" s="9">
        <f>V34*'4'!AJ37+'8'!W34*'5'!K35+'8'!X34*'6'!Z37+'8'!Y34*'7'!U36</f>
        <v>0.51798825550025662</v>
      </c>
      <c r="AA34" s="44">
        <f>'a29'!AV37</f>
        <v>0.30195815712832136</v>
      </c>
      <c r="AB34" s="44">
        <f>'a29'!AX37</f>
        <v>0.43682800085140266</v>
      </c>
      <c r="AC34" s="44">
        <f>'a29'!AZ37</f>
        <v>0.15493542214317799</v>
      </c>
      <c r="AD34" s="44">
        <f>'a29'!BB37</f>
        <v>0.10627841987709798</v>
      </c>
      <c r="AE34" s="9">
        <f>AA34*'4'!AQ37+'8'!AB34*'5'!M35+'8'!AC34*'6'!AE37+'8'!AD34*'7'!Y36</f>
        <v>0.56863694137594634</v>
      </c>
      <c r="AF34" s="44">
        <f>'a29'!BE37</f>
        <v>0.29571870436198333</v>
      </c>
      <c r="AG34" s="44">
        <f>'a29'!BG37</f>
        <v>0.43708935666545051</v>
      </c>
      <c r="AH34" s="44">
        <f>'a29'!BI37</f>
        <v>0.16925808909470808</v>
      </c>
      <c r="AI34" s="44">
        <f>'a29'!BK37</f>
        <v>9.793384987785822E-2</v>
      </c>
      <c r="AJ34" s="9">
        <f>AF34*'4'!AX37+'8'!AG34*'5'!O35+'8'!AH34*'6'!AJ37+'8'!AI34*'7'!AC36</f>
        <v>0.56267555644556888</v>
      </c>
      <c r="AK34" s="44">
        <f>'a29'!BN37</f>
        <v>0.28945592717999769</v>
      </c>
      <c r="AL34" s="44">
        <f>'a29'!BP37</f>
        <v>0.44386624899657995</v>
      </c>
      <c r="AM34" s="44">
        <f>'a29'!BR37</f>
        <v>0.17159132368234448</v>
      </c>
      <c r="AN34" s="44">
        <f>'a29'!BT37</f>
        <v>9.5086500141077737E-2</v>
      </c>
      <c r="AO34" s="9">
        <f>AK34*'4'!BE37+'8'!AL34*'5'!Q35+'8'!AM34*'6'!AO37+'8'!AN34*'7'!AG36</f>
        <v>0.55423718859588789</v>
      </c>
      <c r="AP34" s="44">
        <f>'a29'!BW37</f>
        <v>0.28371755373174556</v>
      </c>
      <c r="AQ34" s="44">
        <f>'a29'!BY37</f>
        <v>0.4463127766517741</v>
      </c>
      <c r="AR34" s="44">
        <f>'a29'!CA37</f>
        <v>0.1792860739449009</v>
      </c>
      <c r="AS34" s="44">
        <f>'a29'!CC37</f>
        <v>9.0683595671579423E-2</v>
      </c>
      <c r="AT34" s="9">
        <f>AP34*'4'!BL37+'8'!AQ34*'5'!S35+'8'!AR34*'6'!AT37+'8'!AS34*'7'!AK36</f>
        <v>0.61130209045433137</v>
      </c>
      <c r="AU34" s="44">
        <f>'a29'!CF37</f>
        <v>0.29943216070431422</v>
      </c>
      <c r="AV34" s="44">
        <f>'a29'!CH37</f>
        <v>0.43612028105581863</v>
      </c>
      <c r="AW34" s="44">
        <f>'a29'!CJ37</f>
        <v>0.17444911549897385</v>
      </c>
      <c r="AX34" s="44">
        <f>'a29'!CL37</f>
        <v>8.9998442740893234E-2</v>
      </c>
      <c r="AY34" s="9">
        <f>AU34*'4'!BS37+'8'!AV34*'5'!U35+'8'!AW34*'6'!AY37+'8'!AX34*'7'!AO36</f>
        <v>0.64008680591641787</v>
      </c>
      <c r="AZ34" s="44">
        <f>'a29'!CO37</f>
        <v>0.30065710908625254</v>
      </c>
      <c r="BA34" s="44">
        <f>'a29'!CQ37</f>
        <v>0.43859463734511295</v>
      </c>
      <c r="BB34" s="44">
        <f>'a29'!CS37</f>
        <v>0.1585363912906326</v>
      </c>
      <c r="BC34" s="44">
        <f>'a29'!CU37</f>
        <v>0.1022118622780019</v>
      </c>
      <c r="BD34" s="9">
        <f>AZ34*'4'!BZ37+'8'!BA34*'5'!W35+'8'!BB34*'6'!BD37+'8'!BC34*'7'!AS36</f>
        <v>0.57089648141486704</v>
      </c>
    </row>
    <row r="35" spans="1:138">
      <c r="A35" s="1">
        <v>2000</v>
      </c>
      <c r="B35" s="44">
        <f>'a29'!C38</f>
        <v>0.29861917589984577</v>
      </c>
      <c r="C35" s="44">
        <f>'a29'!E38</f>
        <v>0.43738579341391443</v>
      </c>
      <c r="D35" s="44">
        <f>'a29'!G38</f>
        <v>0.1618036574078863</v>
      </c>
      <c r="E35" s="44">
        <f>'a29'!I38</f>
        <v>0.10219137327835345</v>
      </c>
      <c r="F35" s="9">
        <f>B35*'4'!H38+'8'!C35*'5'!C36+'8'!D35*'6'!F38+'8'!E35*'7'!E37</f>
        <v>0.57886134779821263</v>
      </c>
      <c r="G35" s="44">
        <f>'a29'!L38</f>
        <v>0.3022173135325657</v>
      </c>
      <c r="H35" s="44">
        <f>'a29'!N38</f>
        <v>0.4283720945673325</v>
      </c>
      <c r="I35" s="44">
        <f>'a29'!P38</f>
        <v>0.16082587732388648</v>
      </c>
      <c r="J35" s="44">
        <f>'a29'!R38</f>
        <v>0.10858471457621534</v>
      </c>
      <c r="K35" s="9">
        <f>G35*'4'!O38+'8'!H35*'5'!E36+'8'!I35*'6'!K38+'8'!J35*'7'!I37</f>
        <v>0.47377308533973922</v>
      </c>
      <c r="L35" s="44">
        <f>'a29'!U38</f>
        <v>0.2908175153041464</v>
      </c>
      <c r="M35" s="44">
        <f>'a29'!W38</f>
        <v>0.43712955231250394</v>
      </c>
      <c r="N35" s="44">
        <f>'a29'!Y38</f>
        <v>0.16786190081874849</v>
      </c>
      <c r="O35" s="44">
        <f>'a29'!AA38</f>
        <v>0.10419103156460122</v>
      </c>
      <c r="P35" s="9">
        <f>L35*'4'!V38+'8'!M35*'5'!G36+'8'!N35*'6'!P38+'8'!O35*'7'!M37</f>
        <v>0.49744249684194863</v>
      </c>
      <c r="Q35" s="44">
        <f>'a29'!AD38</f>
        <v>0.29943730003963287</v>
      </c>
      <c r="R35" s="44">
        <f>'a29'!AF38</f>
        <v>0.43883431780208421</v>
      </c>
      <c r="S35" s="44">
        <f>'a29'!AH38</f>
        <v>0.15454252636308877</v>
      </c>
      <c r="T35" s="44">
        <f>'a29'!AJ38</f>
        <v>0.10718585579519413</v>
      </c>
      <c r="U35" s="9">
        <f>Q35*'4'!AC38+'8'!R35*'5'!I36+'8'!S35*'6'!U38+'8'!T35*'7'!Q37</f>
        <v>0.54337917554704263</v>
      </c>
      <c r="V35" s="44">
        <f>'a29'!AM38</f>
        <v>0.30016589522424963</v>
      </c>
      <c r="W35" s="44">
        <f>'a29'!AO38</f>
        <v>0.43526067226332499</v>
      </c>
      <c r="X35" s="44">
        <f>'a29'!AQ38</f>
        <v>0.15809559900982104</v>
      </c>
      <c r="Y35" s="44">
        <f>'a29'!AS38</f>
        <v>0.10647783350260447</v>
      </c>
      <c r="Z35" s="9">
        <f>V35*'4'!AJ38+'8'!W35*'5'!K36+'8'!X35*'6'!Z38+'8'!Y35*'7'!U37</f>
        <v>0.53454163211248873</v>
      </c>
      <c r="AA35" s="44">
        <f>'a29'!AV38</f>
        <v>0.3020881069317724</v>
      </c>
      <c r="AB35" s="44">
        <f>'a29'!AX38</f>
        <v>0.43648178524387776</v>
      </c>
      <c r="AC35" s="44">
        <f>'a29'!AZ38</f>
        <v>0.15247915011538349</v>
      </c>
      <c r="AD35" s="44">
        <f>'a29'!BB38</f>
        <v>0.10895095770896633</v>
      </c>
      <c r="AE35" s="9">
        <f>AA35*'4'!AQ38+'8'!AB35*'5'!M36+'8'!AC35*'6'!AE38+'8'!AD35*'7'!Y37</f>
        <v>0.57332468600192721</v>
      </c>
      <c r="AF35" s="44">
        <f>'a29'!BE38</f>
        <v>0.29713773535603338</v>
      </c>
      <c r="AG35" s="44">
        <f>'a29'!BG38</f>
        <v>0.43786486396828178</v>
      </c>
      <c r="AH35" s="44">
        <f>'a29'!BI38</f>
        <v>0.16511200951056115</v>
      </c>
      <c r="AI35" s="44">
        <f>'a29'!BK38</f>
        <v>9.9885391165123627E-2</v>
      </c>
      <c r="AJ35" s="9">
        <f>AF35*'4'!AX38+'8'!AG35*'5'!O36+'8'!AH35*'6'!AJ38+'8'!AI35*'7'!AC37</f>
        <v>0.57131808333860501</v>
      </c>
      <c r="AK35" s="44">
        <f>'a29'!BN38</f>
        <v>0.28872850139430645</v>
      </c>
      <c r="AL35" s="44">
        <f>'a29'!BP38</f>
        <v>0.4412860484314175</v>
      </c>
      <c r="AM35" s="44">
        <f>'a29'!BR38</f>
        <v>0.17300862236080361</v>
      </c>
      <c r="AN35" s="44">
        <f>'a29'!BT38</f>
        <v>9.6976827813472499E-2</v>
      </c>
      <c r="AO35" s="9">
        <f>AK35*'4'!BE38+'8'!AL35*'5'!Q36+'8'!AM35*'6'!AO38+'8'!AN35*'7'!AG37</f>
        <v>0.56775842075651128</v>
      </c>
      <c r="AP35" s="44">
        <f>'a29'!BW38</f>
        <v>0.28443377834166383</v>
      </c>
      <c r="AQ35" s="44">
        <f>'a29'!BY38</f>
        <v>0.44508735999046189</v>
      </c>
      <c r="AR35" s="44">
        <f>'a29'!CA38</f>
        <v>0.17683498847365045</v>
      </c>
      <c r="AS35" s="44">
        <f>'a29'!CC38</f>
        <v>9.3643873194223765E-2</v>
      </c>
      <c r="AT35" s="9">
        <f>AP35*'4'!BL38+'8'!AQ35*'5'!S36+'8'!AR35*'6'!AT38+'8'!AS35*'7'!AK37</f>
        <v>0.59259162850887204</v>
      </c>
      <c r="AU35" s="44">
        <f>'a29'!CF38</f>
        <v>0.30058078345109823</v>
      </c>
      <c r="AV35" s="44">
        <f>'a29'!CH38</f>
        <v>0.435768876827686</v>
      </c>
      <c r="AW35" s="44">
        <f>'a29'!CJ38</f>
        <v>0.17089208142827436</v>
      </c>
      <c r="AX35" s="44">
        <f>'a29'!CL38</f>
        <v>9.2758258292941473E-2</v>
      </c>
      <c r="AY35" s="9">
        <f>AU35*'4'!BS38+'8'!AV35*'5'!U36+'8'!AW35*'6'!AY38+'8'!AX35*'7'!AO37</f>
        <v>0.63609782744343235</v>
      </c>
      <c r="AZ35" s="44">
        <f>'a29'!CO38</f>
        <v>0.3005902102543373</v>
      </c>
      <c r="BA35" s="44">
        <f>'a29'!CQ38</f>
        <v>0.43698759671833676</v>
      </c>
      <c r="BB35" s="44">
        <f>'a29'!CS38</f>
        <v>0.15770314281689041</v>
      </c>
      <c r="BC35" s="44">
        <f>'a29'!CU38</f>
        <v>0.10471905021043558</v>
      </c>
      <c r="BD35" s="9">
        <f>AZ35*'4'!BZ38+'8'!BA35*'5'!W36+'8'!BB35*'6'!BD38+'8'!BC35*'7'!AS37</f>
        <v>0.60704245861753581</v>
      </c>
    </row>
    <row r="36" spans="1:138">
      <c r="A36" s="1">
        <v>2001</v>
      </c>
      <c r="B36" s="44">
        <f>'a29'!C39</f>
        <v>0.29929770547333739</v>
      </c>
      <c r="C36" s="44">
        <f>'a29'!E39</f>
        <v>0.4370467119998141</v>
      </c>
      <c r="D36" s="44">
        <f>'a29'!G39</f>
        <v>0.15920562806044428</v>
      </c>
      <c r="E36" s="44">
        <f>'a29'!I39</f>
        <v>0.10444995446640434</v>
      </c>
      <c r="F36" s="9">
        <f>B36*'4'!H39+'8'!C36*'5'!C37+'8'!D36*'6'!F39+'8'!E36*'7'!E38</f>
        <v>0.55139674317838749</v>
      </c>
      <c r="G36" s="44">
        <f>'a29'!L39</f>
        <v>0.30332452363602075</v>
      </c>
      <c r="H36" s="44">
        <f>'a29'!N39</f>
        <v>0.42872532367813615</v>
      </c>
      <c r="I36" s="44">
        <f>'a29'!P39</f>
        <v>0.1552435833304715</v>
      </c>
      <c r="J36" s="44">
        <f>'a29'!R39</f>
        <v>0.11270656935537159</v>
      </c>
      <c r="K36" s="9">
        <f>G36*'4'!O39+'8'!H36*'5'!E37+'8'!I36*'6'!K39+'8'!J36*'7'!I38</f>
        <v>0.49950470879844366</v>
      </c>
      <c r="L36" s="44">
        <f>'a29'!U39</f>
        <v>0.29216493295402335</v>
      </c>
      <c r="M36" s="44">
        <f>'a29'!W39</f>
        <v>0.43721884117139931</v>
      </c>
      <c r="N36" s="44">
        <f>'a29'!Y39</f>
        <v>0.16319827214042176</v>
      </c>
      <c r="O36" s="44">
        <f>'a29'!AA39</f>
        <v>0.10741795373415558</v>
      </c>
      <c r="P36" s="9">
        <f>L36*'4'!V39+'8'!M36*'5'!G37+'8'!N36*'6'!P39+'8'!O36*'7'!M38</f>
        <v>0.43163235365441127</v>
      </c>
      <c r="Q36" s="44">
        <f>'a29'!AD39</f>
        <v>0.30002343970633211</v>
      </c>
      <c r="R36" s="44">
        <f>'a29'!AF39</f>
        <v>0.43832530313364698</v>
      </c>
      <c r="S36" s="44">
        <f>'a29'!AH39</f>
        <v>0.15131616269356973</v>
      </c>
      <c r="T36" s="44">
        <f>'a29'!AJ39</f>
        <v>0.11033509446645112</v>
      </c>
      <c r="U36" s="9">
        <f>Q36*'4'!AC39+'8'!R36*'5'!I37+'8'!S36*'6'!U39+'8'!T36*'7'!Q38</f>
        <v>0.51603940494434264</v>
      </c>
      <c r="V36" s="44">
        <f>'a29'!AM39</f>
        <v>0.30161080174710442</v>
      </c>
      <c r="W36" s="44">
        <f>'a29'!AO39</f>
        <v>0.43604225058861995</v>
      </c>
      <c r="X36" s="44">
        <f>'a29'!AQ39</f>
        <v>0.15249387318992877</v>
      </c>
      <c r="Y36" s="44">
        <f>'a29'!AS39</f>
        <v>0.10985307447434681</v>
      </c>
      <c r="Z36" s="9">
        <f>V36*'4'!AJ39+'8'!W36*'5'!K37+'8'!X36*'6'!Z39+'8'!Y36*'7'!U38</f>
        <v>0.47329947601938116</v>
      </c>
      <c r="AA36" s="44">
        <f>'a29'!AV39</f>
        <v>0.30299893002812506</v>
      </c>
      <c r="AB36" s="44">
        <f>'a29'!AX39</f>
        <v>0.4371399974279403</v>
      </c>
      <c r="AC36" s="44">
        <f>'a29'!AZ39</f>
        <v>0.14815286508829295</v>
      </c>
      <c r="AD36" s="44">
        <f>'a29'!BB39</f>
        <v>0.11170820745564168</v>
      </c>
      <c r="AE36" s="9">
        <f>AA36*'4'!AQ39+'8'!AB36*'5'!M37+'8'!AC36*'6'!AE39+'8'!AD36*'7'!Y38</f>
        <v>0.55909850511304449</v>
      </c>
      <c r="AF36" s="44">
        <f>'a29'!BE39</f>
        <v>0.29759084076705955</v>
      </c>
      <c r="AG36" s="44">
        <f>'a29'!BG39</f>
        <v>0.43716381662560144</v>
      </c>
      <c r="AH36" s="44">
        <f>'a29'!BI39</f>
        <v>0.16386639759117713</v>
      </c>
      <c r="AI36" s="44">
        <f>'a29'!BK39</f>
        <v>0.10137894501616183</v>
      </c>
      <c r="AJ36" s="9">
        <f>AF36*'4'!AX39+'8'!AG36*'5'!O37+'8'!AH36*'6'!AJ39+'8'!AI36*'7'!AC38</f>
        <v>0.53995233333456505</v>
      </c>
      <c r="AK36" s="44">
        <f>'a29'!BN39</f>
        <v>0.29005136890687983</v>
      </c>
      <c r="AL36" s="44">
        <f>'a29'!BP39</f>
        <v>0.44168834464007645</v>
      </c>
      <c r="AM36" s="44">
        <f>'a29'!BR39</f>
        <v>0.16876562714905055</v>
      </c>
      <c r="AN36" s="44">
        <f>'a29'!BT39</f>
        <v>9.9494659303993135E-2</v>
      </c>
      <c r="AO36" s="9">
        <f>AK36*'4'!BE39+'8'!AL36*'5'!Q37+'8'!AM36*'6'!AO39+'8'!AN36*'7'!AG38</f>
        <v>0.52786819158789489</v>
      </c>
      <c r="AP36" s="44">
        <f>'a29'!BW39</f>
        <v>0.28649138108458927</v>
      </c>
      <c r="AQ36" s="44">
        <f>'a29'!BY39</f>
        <v>0.4457768113982104</v>
      </c>
      <c r="AR36" s="44">
        <f>'a29'!CA39</f>
        <v>0.17067866892669767</v>
      </c>
      <c r="AS36" s="44">
        <f>'a29'!CC39</f>
        <v>9.7053138590502783E-2</v>
      </c>
      <c r="AT36" s="9">
        <f>AP36*'4'!BL39+'8'!AQ36*'5'!S37+'8'!AR36*'6'!AT39+'8'!AS36*'7'!AK38</f>
        <v>0.56803531723160205</v>
      </c>
      <c r="AU36" s="44">
        <f>'a29'!CF39</f>
        <v>0.30079160713536723</v>
      </c>
      <c r="AV36" s="44">
        <f>'a29'!CH39</f>
        <v>0.43387970769710327</v>
      </c>
      <c r="AW36" s="44">
        <f>'a29'!CJ39</f>
        <v>0.17009190934981075</v>
      </c>
      <c r="AX36" s="44">
        <f>'a29'!CL39</f>
        <v>9.5236775817718736E-2</v>
      </c>
      <c r="AY36" s="9">
        <f>AU36*'4'!BS39+'8'!AV36*'5'!U37+'8'!AW36*'6'!AY39+'8'!AX36*'7'!AO38</f>
        <v>0.62609709007118308</v>
      </c>
      <c r="AZ36" s="44">
        <f>'a29'!CO39</f>
        <v>0.30181851716872166</v>
      </c>
      <c r="BA36" s="44">
        <f>'a29'!CQ39</f>
        <v>0.43735845428990983</v>
      </c>
      <c r="BB36" s="44">
        <f>'a29'!CS39</f>
        <v>0.15327415094725233</v>
      </c>
      <c r="BC36" s="44">
        <f>'a29'!CU39</f>
        <v>0.10754887759411624</v>
      </c>
      <c r="BD36" s="9">
        <f>AZ36*'4'!BZ39+'8'!BA36*'5'!W37+'8'!BB36*'6'!BD39+'8'!BC36*'7'!AS38</f>
        <v>0.55002331892054901</v>
      </c>
    </row>
    <row r="37" spans="1:138">
      <c r="A37" s="1">
        <v>2002</v>
      </c>
      <c r="B37" s="44">
        <f>'a29'!C40</f>
        <v>0.30003096922228634</v>
      </c>
      <c r="C37" s="44">
        <f>'a29'!E40</f>
        <v>0.43688042033947477</v>
      </c>
      <c r="D37" s="44">
        <f>'a29'!G40</f>
        <v>0.15600715838049423</v>
      </c>
      <c r="E37" s="44">
        <f>'a29'!I40</f>
        <v>0.10708145205774469</v>
      </c>
      <c r="F37" s="9">
        <f>B37*'4'!H40+'8'!C37*'5'!C38+'8'!D37*'6'!F40+'8'!E37*'7'!E39</f>
        <v>0.51205581417800172</v>
      </c>
      <c r="G37" s="44">
        <f>'a29'!L40</f>
        <v>0.30387335741610755</v>
      </c>
      <c r="H37" s="44">
        <f>'a29'!N40</f>
        <v>0.42891623967046516</v>
      </c>
      <c r="I37" s="44">
        <f>'a29'!P40</f>
        <v>0.15083036869482153</v>
      </c>
      <c r="J37" s="44">
        <f>'a29'!R40</f>
        <v>0.11638003421860577</v>
      </c>
      <c r="K37" s="9">
        <f>G37*'4'!O40+'8'!H37*'5'!E38+'8'!I37*'6'!K40+'8'!J37*'7'!I39</f>
        <v>0.47734990143508094</v>
      </c>
      <c r="L37" s="44">
        <f>'a29'!U40</f>
        <v>0.29344033709121553</v>
      </c>
      <c r="M37" s="44">
        <f>'a29'!W40</f>
        <v>0.4367415819028676</v>
      </c>
      <c r="N37" s="44">
        <f>'a29'!Y40</f>
        <v>0.15954143782416838</v>
      </c>
      <c r="O37" s="44">
        <f>'a29'!AA40</f>
        <v>0.11027664318174851</v>
      </c>
      <c r="P37" s="9">
        <f>L37*'4'!V40+'8'!M37*'5'!G38+'8'!N37*'6'!P40+'8'!O37*'7'!M39</f>
        <v>0.47401391023156625</v>
      </c>
      <c r="Q37" s="44">
        <f>'a29'!AD40</f>
        <v>0.29957008524632689</v>
      </c>
      <c r="R37" s="44">
        <f>'a29'!AF40</f>
        <v>0.43579851580372952</v>
      </c>
      <c r="S37" s="44">
        <f>'a29'!AH40</f>
        <v>0.15148966527259761</v>
      </c>
      <c r="T37" s="44">
        <f>'a29'!AJ40</f>
        <v>0.11314173367734608</v>
      </c>
      <c r="U37" s="9">
        <f>Q37*'4'!AC40+'8'!R37*'5'!I38+'8'!S37*'6'!U40+'8'!T37*'7'!Q39</f>
        <v>0.47198552345040967</v>
      </c>
      <c r="V37" s="44">
        <f>'a29'!AM40</f>
        <v>0.30208901146297773</v>
      </c>
      <c r="W37" s="44">
        <f>'a29'!AO40</f>
        <v>0.43577589661521093</v>
      </c>
      <c r="X37" s="44">
        <f>'a29'!AQ40</f>
        <v>0.14860019083204221</v>
      </c>
      <c r="Y37" s="44">
        <f>'a29'!AS40</f>
        <v>0.11353490108976912</v>
      </c>
      <c r="Z37" s="9">
        <f>V37*'4'!AJ40+'8'!W37*'5'!K38+'8'!X37*'6'!Z40+'8'!Y37*'7'!U39</f>
        <v>0.47031596384641045</v>
      </c>
      <c r="AA37" s="44">
        <f>'a29'!AV40</f>
        <v>0.3032034391055709</v>
      </c>
      <c r="AB37" s="44">
        <f>'a29'!AX40</f>
        <v>0.43702092047711039</v>
      </c>
      <c r="AC37" s="44">
        <f>'a29'!AZ40</f>
        <v>0.14523363292893643</v>
      </c>
      <c r="AD37" s="44">
        <f>'a29'!BB40</f>
        <v>0.11454200748838228</v>
      </c>
      <c r="AE37" s="9">
        <f>AA37*'4'!AQ40+'8'!AB37*'5'!M38+'8'!AC37*'6'!AE40+'8'!AD37*'7'!Y39</f>
        <v>0.53433378650175545</v>
      </c>
      <c r="AF37" s="44">
        <f>'a29'!BE40</f>
        <v>0.29818337138433476</v>
      </c>
      <c r="AG37" s="44">
        <f>'a29'!BG40</f>
        <v>0.43656189502901638</v>
      </c>
      <c r="AH37" s="44">
        <f>'a29'!BI40</f>
        <v>0.16184877415358237</v>
      </c>
      <c r="AI37" s="44">
        <f>'a29'!BK40</f>
        <v>0.10340595943306652</v>
      </c>
      <c r="AJ37" s="9">
        <f>AF37*'4'!AX40+'8'!AG37*'5'!O38+'8'!AH37*'6'!AJ40+'8'!AI37*'7'!AC39</f>
        <v>0.48731835015735403</v>
      </c>
      <c r="AK37" s="44">
        <f>'a29'!BN40</f>
        <v>0.29040005338567004</v>
      </c>
      <c r="AL37" s="44">
        <f>'a29'!BP40</f>
        <v>0.44042389749493199</v>
      </c>
      <c r="AM37" s="44">
        <f>'a29'!BR40</f>
        <v>0.16716799921141237</v>
      </c>
      <c r="AN37" s="44">
        <f>'a29'!BT40</f>
        <v>0.10200804990798551</v>
      </c>
      <c r="AO37" s="9">
        <f>AK37*'4'!BE40+'8'!AL37*'5'!Q38+'8'!AM37*'6'!AO40+'8'!AN37*'7'!AG39</f>
        <v>0.53490233870051695</v>
      </c>
      <c r="AP37" s="44">
        <f>'a29'!BW40</f>
        <v>0.28774625235010398</v>
      </c>
      <c r="AQ37" s="44">
        <f>'a29'!BY40</f>
        <v>0.44590159034656252</v>
      </c>
      <c r="AR37" s="44">
        <f>'a29'!CA40</f>
        <v>0.1661814138703761</v>
      </c>
      <c r="AS37" s="44">
        <f>'a29'!CC40</f>
        <v>0.10017074343295743</v>
      </c>
      <c r="AT37" s="9">
        <f>AP37*'4'!BL40+'8'!AQ37*'5'!S38+'8'!AR37*'6'!AT40+'8'!AS37*'7'!AK39</f>
        <v>0.53730076682248606</v>
      </c>
      <c r="AU37" s="44">
        <f>'a29'!CF40</f>
        <v>0.30292747169705281</v>
      </c>
      <c r="AV37" s="44">
        <f>'a29'!CH40</f>
        <v>0.43481592621138687</v>
      </c>
      <c r="AW37" s="44">
        <f>'a29'!CJ40</f>
        <v>0.1639680856976837</v>
      </c>
      <c r="AX37" s="44">
        <f>'a29'!CL40</f>
        <v>9.8288516393876563E-2</v>
      </c>
      <c r="AY37" s="9">
        <f>AU37*'4'!BS40+'8'!AV37*'5'!U38+'8'!AW37*'6'!AY40+'8'!AX37*'7'!AO39</f>
        <v>0.60255218635365027</v>
      </c>
      <c r="AZ37" s="44">
        <f>'a29'!CO40</f>
        <v>0.30250993400633197</v>
      </c>
      <c r="BA37" s="44">
        <f>'a29'!CQ40</f>
        <v>0.43741022609199182</v>
      </c>
      <c r="BB37" s="44">
        <f>'a29'!CS40</f>
        <v>0.14927555649170796</v>
      </c>
      <c r="BC37" s="44">
        <f>'a29'!CU40</f>
        <v>0.11080428340996826</v>
      </c>
      <c r="BD37" s="9">
        <f>AZ37*'4'!BZ40+'8'!BA37*'5'!W38+'8'!BB37*'6'!BD40+'8'!BC37*'7'!AS39</f>
        <v>0.49134483678116497</v>
      </c>
    </row>
    <row r="38" spans="1:138">
      <c r="A38" s="1">
        <v>2003</v>
      </c>
      <c r="B38" s="44">
        <f>'a29'!C41</f>
        <v>0.30004440168864199</v>
      </c>
      <c r="C38" s="44">
        <f>'a29'!E41</f>
        <v>0.4358802536801068</v>
      </c>
      <c r="D38" s="44">
        <f>'a29'!G41</f>
        <v>0.1545375081960495</v>
      </c>
      <c r="E38" s="44">
        <f>'a29'!I41</f>
        <v>0.1095378364352018</v>
      </c>
      <c r="F38" s="9">
        <f>B38*'4'!H41+'8'!C38*'5'!C39+'8'!D38*'6'!F41+'8'!E38*'7'!E40</f>
        <v>0.50774013929159489</v>
      </c>
      <c r="G38" s="44">
        <f>'a29'!L41</f>
        <v>0.30448722007696138</v>
      </c>
      <c r="H38" s="44">
        <f>'a29'!N41</f>
        <v>0.42893353479470886</v>
      </c>
      <c r="I38" s="44">
        <f>'a29'!P41</f>
        <v>0.14670170290281237</v>
      </c>
      <c r="J38" s="44">
        <f>'a29'!R41</f>
        <v>0.1198775422255173</v>
      </c>
      <c r="K38" s="9">
        <f>G38*'4'!O41+'8'!H38*'5'!E39+'8'!I38*'6'!K41+'8'!J38*'7'!I40</f>
        <v>0.45163289883695507</v>
      </c>
      <c r="L38" s="44">
        <f>'a29'!U41</f>
        <v>0.29305771953138621</v>
      </c>
      <c r="M38" s="44">
        <f>'a29'!W41</f>
        <v>0.43445590833954206</v>
      </c>
      <c r="N38" s="44">
        <f>'a29'!Y41</f>
        <v>0.1599820451897746</v>
      </c>
      <c r="O38" s="44">
        <f>'a29'!AA41</f>
        <v>0.11250432693929709</v>
      </c>
      <c r="P38" s="9">
        <f>L38*'4'!V41+'8'!M38*'5'!G39+'8'!N38*'6'!P41+'8'!O38*'7'!M40</f>
        <v>0.44015235940963948</v>
      </c>
      <c r="Q38" s="44">
        <f>'a29'!AD41</f>
        <v>0.29967732437004857</v>
      </c>
      <c r="R38" s="44">
        <f>'a29'!AF41</f>
        <v>0.43460439284355379</v>
      </c>
      <c r="S38" s="44">
        <f>'a29'!AH41</f>
        <v>0.14972438594667203</v>
      </c>
      <c r="T38" s="44">
        <f>'a29'!AJ41</f>
        <v>0.1159938968397257</v>
      </c>
      <c r="U38" s="9">
        <f>Q38*'4'!AC41+'8'!R38*'5'!I39+'8'!S38*'6'!U41+'8'!T38*'7'!Q40</f>
        <v>0.47815479311819797</v>
      </c>
      <c r="V38" s="44">
        <f>'a29'!AM41</f>
        <v>0.30278433949058153</v>
      </c>
      <c r="W38" s="44">
        <f>'a29'!AO41</f>
        <v>0.43610919561495975</v>
      </c>
      <c r="X38" s="44">
        <f>'a29'!AQ41</f>
        <v>0.14396514044836295</v>
      </c>
      <c r="Y38" s="44">
        <f>'a29'!AS41</f>
        <v>0.11714132444609575</v>
      </c>
      <c r="Z38" s="9">
        <f>V38*'4'!AJ41+'8'!W38*'5'!K39+'8'!X38*'6'!Z41+'8'!Y38*'7'!U40</f>
        <v>0.44398761411016308</v>
      </c>
      <c r="AA38" s="44">
        <f>'a29'!AV41</f>
        <v>0.30255928326119308</v>
      </c>
      <c r="AB38" s="44">
        <f>'a29'!AX41</f>
        <v>0.43587222755734456</v>
      </c>
      <c r="AC38" s="44">
        <f>'a29'!AZ41</f>
        <v>0.14455406033824594</v>
      </c>
      <c r="AD38" s="44">
        <f>'a29'!BB41</f>
        <v>0.11701442884321638</v>
      </c>
      <c r="AE38" s="9">
        <f>AA38*'4'!AQ41+'8'!AB38*'5'!M39+'8'!AC38*'6'!AE41+'8'!AD38*'7'!Y40</f>
        <v>0.52412010189365599</v>
      </c>
      <c r="AF38" s="44">
        <f>'a29'!BE41</f>
        <v>0.29799046173300936</v>
      </c>
      <c r="AG38" s="44">
        <f>'a29'!BG41</f>
        <v>0.43491832811592529</v>
      </c>
      <c r="AH38" s="44">
        <f>'a29'!BI41</f>
        <v>0.16169102207414032</v>
      </c>
      <c r="AI38" s="44">
        <f>'a29'!BK41</f>
        <v>0.10540018807692501</v>
      </c>
      <c r="AJ38" s="9">
        <f>AF38*'4'!AX41+'8'!AG38*'5'!O39+'8'!AH38*'6'!AJ41+'8'!AI38*'7'!AC40</f>
        <v>0.48863746059964691</v>
      </c>
      <c r="AK38" s="44">
        <f>'a29'!BN41</f>
        <v>0.29105558368180817</v>
      </c>
      <c r="AL38" s="44">
        <f>'a29'!BP41</f>
        <v>0.43977983270795895</v>
      </c>
      <c r="AM38" s="44">
        <f>'a29'!BR41</f>
        <v>0.16471461080663968</v>
      </c>
      <c r="AN38" s="44">
        <f>'a29'!BT41</f>
        <v>0.10444997280359322</v>
      </c>
      <c r="AO38" s="9">
        <f>AK38*'4'!BE41+'8'!AL38*'5'!Q39+'8'!AM38*'6'!AO41+'8'!AN38*'7'!AG40</f>
        <v>0.54275876846982352</v>
      </c>
      <c r="AP38" s="44">
        <f>'a29'!BW41</f>
        <v>0.28877277012164726</v>
      </c>
      <c r="AQ38" s="44">
        <f>'a29'!BY41</f>
        <v>0.44525083715772151</v>
      </c>
      <c r="AR38" s="44">
        <f>'a29'!CA41</f>
        <v>0.16295748746660563</v>
      </c>
      <c r="AS38" s="44">
        <f>'a29'!CC41</f>
        <v>0.10301890525402553</v>
      </c>
      <c r="AT38" s="9">
        <f>AP38*'4'!BL41+'8'!AQ38*'5'!S39+'8'!AR38*'6'!AT41+'8'!AS38*'7'!AK40</f>
        <v>0.55049116782559471</v>
      </c>
      <c r="AU38" s="44">
        <f>'a29'!CF41</f>
        <v>0.30417723356448562</v>
      </c>
      <c r="AV38" s="44">
        <f>'a29'!CH41</f>
        <v>0.43513960071929564</v>
      </c>
      <c r="AW38" s="44">
        <f>'a29'!CJ41</f>
        <v>0.15943427942434849</v>
      </c>
      <c r="AX38" s="44">
        <f>'a29'!CL41</f>
        <v>0.10124888629187023</v>
      </c>
      <c r="AY38" s="9">
        <f>AU38*'4'!BS41+'8'!AV38*'5'!U39+'8'!AW38*'6'!AY41+'8'!AX38*'7'!AO40</f>
        <v>0.5872506918372582</v>
      </c>
      <c r="AZ38" s="44">
        <f>'a29'!CO41</f>
        <v>0.30311081403890799</v>
      </c>
      <c r="BA38" s="44">
        <f>'a29'!CQ41</f>
        <v>0.43769291625578122</v>
      </c>
      <c r="BB38" s="44">
        <f>'a29'!CS41</f>
        <v>0.14517197307630275</v>
      </c>
      <c r="BC38" s="44">
        <f>'a29'!CU41</f>
        <v>0.11402429662900802</v>
      </c>
      <c r="BD38" s="9">
        <f>AZ38*'4'!BZ41+'8'!BA38*'5'!W39+'8'!BB38*'6'!BD41+'8'!BC38*'7'!AS40</f>
        <v>0.47764982398540601</v>
      </c>
    </row>
    <row r="39" spans="1:138">
      <c r="A39" s="1">
        <v>2004</v>
      </c>
      <c r="B39" s="44">
        <f>'a29'!C42</f>
        <v>0.29986593471879702</v>
      </c>
      <c r="C39" s="44">
        <f>'a29'!E42</f>
        <v>0.43447981359084104</v>
      </c>
      <c r="D39" s="44">
        <f>'a29'!G42</f>
        <v>0.1539297377524913</v>
      </c>
      <c r="E39" s="44">
        <f>'a29'!I42</f>
        <v>0.11172451393787072</v>
      </c>
      <c r="F39" s="9">
        <f>B39*'4'!H42+'8'!C39*'5'!C40+'8'!D39*'6'!F42+'8'!E39*'7'!E41</f>
        <v>0.51596623412325804</v>
      </c>
      <c r="G39" s="44">
        <f>'a29'!L42</f>
        <v>0.30412616781699259</v>
      </c>
      <c r="H39" s="44">
        <f>'a29'!N42</f>
        <v>0.42799183326914747</v>
      </c>
      <c r="I39" s="44">
        <f>'a29'!P42</f>
        <v>0.14515776191700863</v>
      </c>
      <c r="J39" s="44">
        <f>'a29'!R42</f>
        <v>0.12272423699685139</v>
      </c>
      <c r="K39" s="9">
        <f>G39*'4'!O42+'8'!H39*'5'!E40+'8'!I39*'6'!K42+'8'!J39*'7'!I41</f>
        <v>0.43060369246007757</v>
      </c>
      <c r="L39" s="44">
        <f>'a29'!U42</f>
        <v>0.29290359822115131</v>
      </c>
      <c r="M39" s="44">
        <f>'a29'!W42</f>
        <v>0.4322009172525646</v>
      </c>
      <c r="N39" s="44">
        <f>'a29'!Y42</f>
        <v>0.16032962405724069</v>
      </c>
      <c r="O39" s="44">
        <f>'a29'!AA42</f>
        <v>0.11456586046904348</v>
      </c>
      <c r="P39" s="9">
        <f>L39*'4'!V42+'8'!M39*'5'!G40+'8'!N39*'6'!P42+'8'!O39*'7'!M41</f>
        <v>0.43167904981643213</v>
      </c>
      <c r="Q39" s="44">
        <f>'a29'!AD42</f>
        <v>0.30018004883685356</v>
      </c>
      <c r="R39" s="44">
        <f>'a29'!AF42</f>
        <v>0.43398794845396227</v>
      </c>
      <c r="S39" s="44">
        <f>'a29'!AH42</f>
        <v>0.14696412953207846</v>
      </c>
      <c r="T39" s="44">
        <f>'a29'!AJ42</f>
        <v>0.11886787317710572</v>
      </c>
      <c r="U39" s="9">
        <f>Q39*'4'!AC42+'8'!R39*'5'!I40+'8'!S39*'6'!U42+'8'!T39*'7'!Q41</f>
        <v>0.50070210592867204</v>
      </c>
      <c r="V39" s="44">
        <f>'a29'!AM42</f>
        <v>0.30220062973301975</v>
      </c>
      <c r="W39" s="44">
        <f>'a29'!AO42</f>
        <v>0.43467787567426058</v>
      </c>
      <c r="X39" s="44">
        <f>'a29'!AQ42</f>
        <v>0.14335449101775558</v>
      </c>
      <c r="Y39" s="44">
        <f>'a29'!AS42</f>
        <v>0.11976700357496411</v>
      </c>
      <c r="Z39" s="9">
        <f>V39*'4'!AJ42+'8'!W39*'5'!K40+'8'!X39*'6'!Z42+'8'!Y39*'7'!U41</f>
        <v>0.45778132091988288</v>
      </c>
      <c r="AA39" s="44">
        <f>'a29'!AV42</f>
        <v>0.3015045788345041</v>
      </c>
      <c r="AB39" s="44">
        <f>'a29'!AX42</f>
        <v>0.43392116549032572</v>
      </c>
      <c r="AC39" s="44">
        <f>'a29'!AZ42</f>
        <v>0.14559132924523305</v>
      </c>
      <c r="AD39" s="44">
        <f>'a29'!BB42</f>
        <v>0.1189829264299372</v>
      </c>
      <c r="AE39" s="9">
        <f>AA39*'4'!AQ42+'8'!AB39*'5'!M40+'8'!AC39*'6'!AE42+'8'!AD39*'7'!Y41</f>
        <v>0.55248116841431039</v>
      </c>
      <c r="AF39" s="44">
        <f>'a29'!BE42</f>
        <v>0.29874982490654661</v>
      </c>
      <c r="AG39" s="44">
        <f>'a29'!BG42</f>
        <v>0.43468602826697217</v>
      </c>
      <c r="AH39" s="44">
        <f>'a29'!BI42</f>
        <v>0.15887352152976689</v>
      </c>
      <c r="AI39" s="44">
        <f>'a29'!BK42</f>
        <v>0.10769062529671421</v>
      </c>
      <c r="AJ39" s="9">
        <f>AF39*'4'!AX42+'8'!AG39*'5'!O40+'8'!AH39*'6'!AJ42+'8'!AI39*'7'!AC41</f>
        <v>0.48246168512621723</v>
      </c>
      <c r="AK39" s="44">
        <f>'a29'!BN42</f>
        <v>0.29007895524948968</v>
      </c>
      <c r="AL39" s="44">
        <f>'a29'!BP42</f>
        <v>0.43623209102786159</v>
      </c>
      <c r="AM39" s="44">
        <f>'a29'!BR42</f>
        <v>0.16758290567430456</v>
      </c>
      <c r="AN39" s="44">
        <f>'a29'!BT42</f>
        <v>0.10610604804834418</v>
      </c>
      <c r="AO39" s="9">
        <f>AK39*'4'!BE42+'8'!AL39*'5'!Q40+'8'!AM39*'6'!AO42+'8'!AN39*'7'!AG41</f>
        <v>0.54216681123845067</v>
      </c>
      <c r="AP39" s="44">
        <f>'a29'!BW42</f>
        <v>0.28926482359221323</v>
      </c>
      <c r="AQ39" s="44">
        <f>'a29'!BY42</f>
        <v>0.44338257042774804</v>
      </c>
      <c r="AR39" s="44">
        <f>'a29'!CA42</f>
        <v>0.16186017557386906</v>
      </c>
      <c r="AS39" s="44">
        <f>'a29'!CC42</f>
        <v>0.10549243040616969</v>
      </c>
      <c r="AT39" s="9">
        <f>AP39*'4'!BL42+'8'!AQ39*'5'!S40+'8'!AR39*'6'!AT42+'8'!AS39*'7'!AK41</f>
        <v>0.56127288956406873</v>
      </c>
      <c r="AU39" s="44">
        <f>'a29'!CF42</f>
        <v>0.30301678531888171</v>
      </c>
      <c r="AV39" s="44">
        <f>'a29'!CH42</f>
        <v>0.43187091598512889</v>
      </c>
      <c r="AW39" s="44">
        <f>'a29'!CJ42</f>
        <v>0.16184043306040141</v>
      </c>
      <c r="AX39" s="44">
        <f>'a29'!CL42</f>
        <v>0.10327186563558809</v>
      </c>
      <c r="AY39" s="9">
        <f>AU39*'4'!BS42+'8'!AV39*'5'!U40+'8'!AW39*'6'!AY42+'8'!AX39*'7'!AO41</f>
        <v>0.59647555754004333</v>
      </c>
      <c r="AZ39" s="44">
        <f>'a29'!CO42</f>
        <v>0.30273523617014175</v>
      </c>
      <c r="BA39" s="44">
        <f>'a29'!CQ42</f>
        <v>0.43622109323895164</v>
      </c>
      <c r="BB39" s="44">
        <f>'a29'!CS42</f>
        <v>0.14460994850877987</v>
      </c>
      <c r="BC39" s="44">
        <f>'a29'!CU42</f>
        <v>0.11643372208212668</v>
      </c>
      <c r="BD39" s="9">
        <f>AZ39*'4'!BZ42+'8'!BA39*'5'!W40+'8'!BB39*'6'!BD42+'8'!BC39*'7'!AS41</f>
        <v>0.49377195146083552</v>
      </c>
    </row>
    <row r="40" spans="1:138">
      <c r="A40" s="1">
        <v>2005</v>
      </c>
      <c r="B40" s="44">
        <f>'a29'!C43</f>
        <v>0.30025623319239475</v>
      </c>
      <c r="C40" s="44">
        <f>'a29'!E43</f>
        <v>0.43364208799803761</v>
      </c>
      <c r="D40" s="44">
        <f>'a29'!G43</f>
        <v>0.15206433921311566</v>
      </c>
      <c r="E40" s="44">
        <f>'a29'!I43</f>
        <v>0.11403733959645215</v>
      </c>
      <c r="F40" s="9">
        <f>B40*'4'!H43+'8'!C40*'5'!C41+'8'!D40*'6'!F43+'8'!E40*'7'!E42</f>
        <v>0.51756411217884624</v>
      </c>
      <c r="G40" s="44">
        <f>'a29'!L43</f>
        <v>0.3050966690409852</v>
      </c>
      <c r="H40" s="44">
        <f>'a29'!N43</f>
        <v>0.42868969863121337</v>
      </c>
      <c r="I40" s="44">
        <f>'a29'!P43</f>
        <v>0.13992526406552</v>
      </c>
      <c r="J40" s="44">
        <f>'a29'!R43</f>
        <v>0.12628836826228143</v>
      </c>
      <c r="K40" s="9">
        <f>G40*'4'!O43+'8'!H40*'5'!E41+'8'!I40*'6'!K43+'8'!J40*'7'!I42</f>
        <v>0.42251369007689143</v>
      </c>
      <c r="L40" s="44">
        <f>'a29'!U43</f>
        <v>0.29500779245576852</v>
      </c>
      <c r="M40" s="44">
        <f>'a29'!W43</f>
        <v>0.43378138852774151</v>
      </c>
      <c r="N40" s="44">
        <f>'a29'!Y43</f>
        <v>0.15334155511557251</v>
      </c>
      <c r="O40" s="44">
        <f>'a29'!AA43</f>
        <v>0.11786926390091751</v>
      </c>
      <c r="P40" s="9">
        <f>L40*'4'!V43+'8'!M40*'5'!G41+'8'!N40*'6'!P43+'8'!O40*'7'!M42</f>
        <v>0.45814107602301746</v>
      </c>
      <c r="Q40" s="44">
        <f>'a29'!AD43</f>
        <v>0.29963441376964461</v>
      </c>
      <c r="R40" s="44">
        <f>'a29'!AF43</f>
        <v>0.43171675008258958</v>
      </c>
      <c r="S40" s="44">
        <f>'a29'!AH43</f>
        <v>0.14712167176236626</v>
      </c>
      <c r="T40" s="44">
        <f>'a29'!AJ43</f>
        <v>0.12152716438539946</v>
      </c>
      <c r="U40" s="9">
        <f>Q40*'4'!AC43+'8'!R40*'5'!I41+'8'!S40*'6'!U43+'8'!T40*'7'!Q42</f>
        <v>0.49780100951551504</v>
      </c>
      <c r="V40" s="44">
        <f>'a29'!AM43</f>
        <v>0.30112230902054132</v>
      </c>
      <c r="W40" s="44">
        <f>'a29'!AO43</f>
        <v>0.43261056396747766</v>
      </c>
      <c r="X40" s="44">
        <f>'a29'!AQ43</f>
        <v>0.1438393090998466</v>
      </c>
      <c r="Y40" s="44">
        <f>'a29'!AS43</f>
        <v>0.12242781791213429</v>
      </c>
      <c r="Z40" s="9">
        <f>V40*'4'!AJ43+'8'!W40*'5'!K41+'8'!X40*'6'!Z43+'8'!Y40*'7'!U42</f>
        <v>0.42027655538547404</v>
      </c>
      <c r="AA40" s="44">
        <f>'a29'!AV43</f>
        <v>0.30212972411036881</v>
      </c>
      <c r="AB40" s="44">
        <f>'a29'!AX43</f>
        <v>0.43400626944775972</v>
      </c>
      <c r="AC40" s="44">
        <f>'a29'!AZ43</f>
        <v>0.14241157604038318</v>
      </c>
      <c r="AD40" s="44">
        <f>'a29'!BB43</f>
        <v>0.12145243040148831</v>
      </c>
      <c r="AE40" s="9">
        <f>AA40*'4'!AQ43+'8'!AB40*'5'!M41+'8'!AC40*'6'!AE43+'8'!AD40*'7'!Y42</f>
        <v>0.52681679918809898</v>
      </c>
      <c r="AF40" s="44">
        <f>'a29'!BE43</f>
        <v>0.29896572683695755</v>
      </c>
      <c r="AG40" s="44">
        <f>'a29'!BG43</f>
        <v>0.43339792933725668</v>
      </c>
      <c r="AH40" s="44">
        <f>'a29'!BI43</f>
        <v>0.15779140533994732</v>
      </c>
      <c r="AI40" s="44">
        <f>'a29'!BK43</f>
        <v>0.1098449384858385</v>
      </c>
      <c r="AJ40" s="9">
        <f>AF40*'4'!AX43+'8'!AG40*'5'!O41+'8'!AH40*'6'!AJ43+'8'!AI40*'7'!AC42</f>
        <v>0.47790822092754648</v>
      </c>
      <c r="AK40" s="44">
        <f>'a29'!BN43</f>
        <v>0.29202800643586135</v>
      </c>
      <c r="AL40" s="44">
        <f>'a29'!BP43</f>
        <v>0.43703556393005571</v>
      </c>
      <c r="AM40" s="44">
        <f>'a29'!BR43</f>
        <v>0.16174921568717335</v>
      </c>
      <c r="AN40" s="44">
        <f>'a29'!BT43</f>
        <v>0.10918721394690972</v>
      </c>
      <c r="AO40" s="9">
        <f>AK40*'4'!BE43+'8'!AL40*'5'!Q41+'8'!AM40*'6'!AO43+'8'!AN40*'7'!AG42</f>
        <v>0.52631429879034175</v>
      </c>
      <c r="AP40" s="44">
        <f>'a29'!BW43</f>
        <v>0.28851095260297593</v>
      </c>
      <c r="AQ40" s="44">
        <f>'a29'!BY43</f>
        <v>0.4399057507202061</v>
      </c>
      <c r="AR40" s="44">
        <f>'a29'!CA43</f>
        <v>0.16377178915791532</v>
      </c>
      <c r="AS40" s="44">
        <f>'a29'!CC43</f>
        <v>0.10781150751890267</v>
      </c>
      <c r="AT40" s="9">
        <f>AP40*'4'!BL43+'8'!AQ40*'5'!S41+'8'!AR40*'6'!AT43+'8'!AS40*'7'!AK42</f>
        <v>0.54506159028490564</v>
      </c>
      <c r="AU40" s="44">
        <f>'a29'!CF43</f>
        <v>0.30340584030592271</v>
      </c>
      <c r="AV40" s="44">
        <f>'a29'!CH43</f>
        <v>0.43045644153305096</v>
      </c>
      <c r="AW40" s="44">
        <f>'a29'!CJ43</f>
        <v>0.16094021216372248</v>
      </c>
      <c r="AX40" s="44">
        <f>'a29'!CL43</f>
        <v>0.10519750599730376</v>
      </c>
      <c r="AY40" s="9">
        <f>AU40*'4'!BS43+'8'!AV40*'5'!U41+'8'!AW40*'6'!AY43+'8'!AX40*'7'!AO42</f>
        <v>0.63693588629069842</v>
      </c>
      <c r="AZ40" s="44">
        <f>'a29'!CO43</f>
        <v>0.30339023417264921</v>
      </c>
      <c r="BA40" s="44">
        <f>'a29'!CQ43</f>
        <v>0.43605710034420608</v>
      </c>
      <c r="BB40" s="44">
        <f>'a29'!CS43</f>
        <v>0.14158296470737999</v>
      </c>
      <c r="BC40" s="44">
        <f>'a29'!CU43</f>
        <v>0.11896970077576473</v>
      </c>
      <c r="BD40" s="9">
        <f>AZ40*'4'!BZ43+'8'!BA40*'5'!W41+'8'!BB40*'6'!BD43+'8'!BC40*'7'!AS42</f>
        <v>0.54289205102477045</v>
      </c>
    </row>
    <row r="41" spans="1:138">
      <c r="A41" s="1">
        <v>2006</v>
      </c>
      <c r="B41" s="44">
        <f>'a29'!C44</f>
        <v>0.30055885917518788</v>
      </c>
      <c r="C41" s="44">
        <f>'a29'!E44</f>
        <v>0.43324164403064741</v>
      </c>
      <c r="D41" s="44">
        <f>'a29'!G44</f>
        <v>0.14993394754820866</v>
      </c>
      <c r="E41" s="44">
        <f>'a29'!I44</f>
        <v>0.1162655492459562</v>
      </c>
      <c r="F41" s="9">
        <f>B41*'4'!H44+'8'!C41*'5'!C42+'8'!D41*'6'!F44+'8'!E41*'7'!E43</f>
        <v>0.52194964780300157</v>
      </c>
      <c r="G41" s="44">
        <f>'a29'!L44</f>
        <v>0.30405045993759711</v>
      </c>
      <c r="H41" s="44">
        <f>'a29'!N44</f>
        <v>0.42754768375029267</v>
      </c>
      <c r="I41" s="44">
        <f>'a29'!P44</f>
        <v>0.13907679411754501</v>
      </c>
      <c r="J41" s="44">
        <f>'a29'!R44</f>
        <v>0.12932506219456524</v>
      </c>
      <c r="K41" s="9">
        <f>G41*'4'!O44+'8'!H41*'5'!E42+'8'!I41*'6'!K44+'8'!J41*'7'!I43</f>
        <v>0.503064502170112</v>
      </c>
      <c r="L41" s="44">
        <f>'a29'!U44</f>
        <v>0.29353620983950163</v>
      </c>
      <c r="M41" s="44">
        <f>'a29'!W44</f>
        <v>0.43084674145760715</v>
      </c>
      <c r="N41" s="44">
        <f>'a29'!Y44</f>
        <v>0.15541605596938041</v>
      </c>
      <c r="O41" s="44">
        <f>'a29'!AA44</f>
        <v>0.1202009927335108</v>
      </c>
      <c r="P41" s="9">
        <f>L41*'4'!V44+'8'!M41*'5'!G42+'8'!N41*'6'!P44+'8'!O41*'7'!M43</f>
        <v>0.41895251853988613</v>
      </c>
      <c r="Q41" s="44">
        <f>'a29'!AD44</f>
        <v>0.3003210460043223</v>
      </c>
      <c r="R41" s="44">
        <f>'a29'!AF44</f>
        <v>0.43199266430280192</v>
      </c>
      <c r="S41" s="44">
        <f>'a29'!AH44</f>
        <v>0.14295825770978018</v>
      </c>
      <c r="T41" s="44">
        <f>'a29'!AJ44</f>
        <v>0.12472803198309564</v>
      </c>
      <c r="U41" s="9">
        <f>Q41*'4'!AC44+'8'!R41*'5'!I42+'8'!S41*'6'!U44+'8'!T41*'7'!Q43</f>
        <v>0.47442374385681746</v>
      </c>
      <c r="V41" s="44">
        <f>'a29'!AM44</f>
        <v>0.30084680647957052</v>
      </c>
      <c r="W41" s="44">
        <f>'a29'!AO44</f>
        <v>0.43243455483046844</v>
      </c>
      <c r="X41" s="44">
        <f>'a29'!AQ44</f>
        <v>0.14141727094823303</v>
      </c>
      <c r="Y41" s="44">
        <f>'a29'!AS44</f>
        <v>0.12530136774172784</v>
      </c>
      <c r="Z41" s="9">
        <f>V41*'4'!AJ44+'8'!W41*'5'!K42+'8'!X41*'6'!Z44+'8'!Y41*'7'!U43</f>
        <v>0.42970624808759206</v>
      </c>
      <c r="AA41" s="44">
        <f>'a29'!AV44</f>
        <v>0.30159773082549324</v>
      </c>
      <c r="AB41" s="44">
        <f>'a29'!AX44</f>
        <v>0.43293412329067327</v>
      </c>
      <c r="AC41" s="44">
        <f>'a29'!AZ44</f>
        <v>0.14226801165689842</v>
      </c>
      <c r="AD41" s="44">
        <f>'a29'!BB44</f>
        <v>0.12320013422693504</v>
      </c>
      <c r="AE41" s="9">
        <f>AA41*'4'!AQ44+'8'!AB41*'5'!M42+'8'!AC41*'6'!AE44+'8'!AD41*'7'!Y43</f>
        <v>0.5344464201294542</v>
      </c>
      <c r="AF41" s="44">
        <f>'a29'!BE44</f>
        <v>0.29923148697854118</v>
      </c>
      <c r="AG41" s="44">
        <f>'a29'!BG44</f>
        <v>0.43275710153328223</v>
      </c>
      <c r="AH41" s="44">
        <f>'a29'!BI44</f>
        <v>0.1557970924793545</v>
      </c>
      <c r="AI41" s="44">
        <f>'a29'!BK44</f>
        <v>0.11221431900882198</v>
      </c>
      <c r="AJ41" s="9">
        <f>AF41*'4'!AX44+'8'!AG41*'5'!O42+'8'!AH41*'6'!AJ44+'8'!AI41*'7'!AC43</f>
        <v>0.47943308971779913</v>
      </c>
      <c r="AK41" s="44">
        <f>'a29'!BN44</f>
        <v>0.29218542388553181</v>
      </c>
      <c r="AL41" s="44">
        <f>'a29'!BP44</f>
        <v>0.43597936226693618</v>
      </c>
      <c r="AM41" s="44">
        <f>'a29'!BR44</f>
        <v>0.1603776514688843</v>
      </c>
      <c r="AN41" s="44">
        <f>'a29'!BT44</f>
        <v>0.11145756237864762</v>
      </c>
      <c r="AO41" s="9">
        <f>AK41*'4'!BE44+'8'!AL41*'5'!Q42+'8'!AM41*'6'!AO44+'8'!AN41*'7'!AG43</f>
        <v>0.54980411080613856</v>
      </c>
      <c r="AP41" s="44">
        <f>'a29'!BW44</f>
        <v>0.29020924732240549</v>
      </c>
      <c r="AQ41" s="44">
        <f>'a29'!BY44</f>
        <v>0.44106524130577918</v>
      </c>
      <c r="AR41" s="44">
        <f>'a29'!CA44</f>
        <v>0.15797528927326859</v>
      </c>
      <c r="AS41" s="44">
        <f>'a29'!CC44</f>
        <v>0.11075022209854675</v>
      </c>
      <c r="AT41" s="9">
        <f>AP41*'4'!BL44+'8'!AQ41*'5'!S42+'8'!AR41*'6'!AT44+'8'!AS41*'7'!AK43</f>
        <v>0.53957873098526143</v>
      </c>
      <c r="AU41" s="44">
        <f>'a29'!CF44</f>
        <v>0.30484402048032</v>
      </c>
      <c r="AV41" s="44">
        <f>'a29'!CH44</f>
        <v>0.43087591920960988</v>
      </c>
      <c r="AW41" s="44">
        <f>'a29'!CJ44</f>
        <v>0.15718326038149621</v>
      </c>
      <c r="AX41" s="44">
        <f>'a29'!CL44</f>
        <v>0.107096799928574</v>
      </c>
      <c r="AY41" s="9">
        <f>AU41*'4'!BS44+'8'!AV41*'5'!U42+'8'!AW41*'6'!AY44+'8'!AX41*'7'!AO43</f>
        <v>0.65962016254038347</v>
      </c>
      <c r="AZ41" s="44">
        <f>'a29'!CO44</f>
        <v>0.3031428203949954</v>
      </c>
      <c r="BA41" s="44">
        <f>'a29'!CQ44</f>
        <v>0.43521784383977546</v>
      </c>
      <c r="BB41" s="44">
        <f>'a29'!CS44</f>
        <v>0.14060008420846226</v>
      </c>
      <c r="BC41" s="44">
        <f>'a29'!CU44</f>
        <v>0.12103925155676683</v>
      </c>
      <c r="BD41" s="9">
        <f>AZ41*'4'!BZ44+'8'!BA41*'5'!W42+'8'!BB41*'6'!BD44+'8'!BC41*'7'!AS43</f>
        <v>0.5260128679861612</v>
      </c>
    </row>
    <row r="42" spans="1:138">
      <c r="A42" s="1">
        <v>2007</v>
      </c>
      <c r="B42" s="44">
        <f>'a29'!C45</f>
        <v>0.30086265579733618</v>
      </c>
      <c r="C42" s="44">
        <f>'a29'!E45</f>
        <v>0.43305177628537683</v>
      </c>
      <c r="D42" s="44">
        <f>'a29'!G45</f>
        <v>0.14787261313093544</v>
      </c>
      <c r="E42" s="44">
        <f>'a29'!I45</f>
        <v>0.11821295478635167</v>
      </c>
      <c r="F42" s="9">
        <f>B42*'4'!H45+'8'!C42*'5'!C43+'8'!D42*'6'!F45+'8'!E42*'7'!E44</f>
        <v>0.52971044644617782</v>
      </c>
      <c r="G42" s="44">
        <f>'a29'!L45</f>
        <v>0.30282633680496612</v>
      </c>
      <c r="H42" s="44">
        <f>'a29'!N45</f>
        <v>0.42729453124205691</v>
      </c>
      <c r="I42" s="44">
        <f>'a29'!P45</f>
        <v>0.13771779810581236</v>
      </c>
      <c r="J42" s="44">
        <f>'a29'!R45</f>
        <v>0.13216133384716475</v>
      </c>
      <c r="K42" s="9">
        <f>G42*'4'!O45+'8'!H42*'5'!E43+'8'!I42*'6'!K45+'8'!J42*'7'!I44</f>
        <v>0.47422061376665747</v>
      </c>
      <c r="L42" s="44">
        <f>'a29'!U45</f>
        <v>0.29373436859589458</v>
      </c>
      <c r="M42" s="44">
        <f>'a29'!W45</f>
        <v>0.43088671217592578</v>
      </c>
      <c r="N42" s="44">
        <f>'a29'!Y45</f>
        <v>0.15229828072655532</v>
      </c>
      <c r="O42" s="44">
        <f>'a29'!AA45</f>
        <v>0.12308063850162426</v>
      </c>
      <c r="P42" s="9">
        <f>L42*'4'!V45+'8'!M42*'5'!G43+'8'!N42*'6'!P45+'8'!O42*'7'!M44</f>
        <v>0.45602704685559181</v>
      </c>
      <c r="Q42" s="44">
        <f>'a29'!AD45</f>
        <v>0.30002659986170666</v>
      </c>
      <c r="R42" s="44">
        <f>'a29'!AF45</f>
        <v>0.43193723777822446</v>
      </c>
      <c r="S42" s="44">
        <f>'a29'!AH45</f>
        <v>0.14049385125301239</v>
      </c>
      <c r="T42" s="44">
        <f>'a29'!AJ45</f>
        <v>0.12754231110705644</v>
      </c>
      <c r="U42" s="9">
        <f>Q42*'4'!AC45+'8'!R42*'5'!I43+'8'!S42*'6'!U45+'8'!T42*'7'!Q44</f>
        <v>0.46240489681755076</v>
      </c>
      <c r="V42" s="44">
        <f>'a29'!AM45</f>
        <v>0.30031084090807886</v>
      </c>
      <c r="W42" s="44">
        <f>'a29'!AO45</f>
        <v>0.43233299712581569</v>
      </c>
      <c r="X42" s="44">
        <f>'a29'!AQ45</f>
        <v>0.13959461825097866</v>
      </c>
      <c r="Y42" s="44">
        <f>'a29'!AS45</f>
        <v>0.12776154371512674</v>
      </c>
      <c r="Z42" s="9">
        <f>V42*'4'!AJ45+'8'!W42*'5'!K43+'8'!X42*'6'!Z45+'8'!Y42*'7'!U44</f>
        <v>0.46219815595868874</v>
      </c>
      <c r="AA42" s="44">
        <f>'a29'!AV45</f>
        <v>0.30154976176711135</v>
      </c>
      <c r="AB42" s="44">
        <f>'a29'!AX45</f>
        <v>0.43301669259435288</v>
      </c>
      <c r="AC42" s="44">
        <f>'a29'!AZ45</f>
        <v>0.14057292446246655</v>
      </c>
      <c r="AD42" s="44">
        <f>'a29'!BB45</f>
        <v>0.12486062117606926</v>
      </c>
      <c r="AE42" s="9">
        <f>AA42*'4'!AQ45+'8'!AB42*'5'!M43+'8'!AC42*'6'!AE45+'8'!AD42*'7'!Y44</f>
        <v>0.54179939300696378</v>
      </c>
      <c r="AF42" s="44">
        <f>'a29'!BE45</f>
        <v>0.29956004544599663</v>
      </c>
      <c r="AG42" s="44">
        <f>'a29'!BG45</f>
        <v>0.4323772794756498</v>
      </c>
      <c r="AH42" s="44">
        <f>'a29'!BI45</f>
        <v>0.1536133360775398</v>
      </c>
      <c r="AI42" s="44">
        <f>'a29'!BK45</f>
        <v>0.11444933900081368</v>
      </c>
      <c r="AJ42" s="9">
        <f>AF42*'4'!AX45+'8'!AG42*'5'!O43+'8'!AH42*'6'!AJ45+'8'!AI42*'7'!AC44</f>
        <v>0.48379150242867963</v>
      </c>
      <c r="AK42" s="44">
        <f>'a29'!BN45</f>
        <v>0.29247552266128951</v>
      </c>
      <c r="AL42" s="44">
        <f>'a29'!BP45</f>
        <v>0.43539970125332045</v>
      </c>
      <c r="AM42" s="44">
        <f>'a29'!BR45</f>
        <v>0.15890081941549572</v>
      </c>
      <c r="AN42" s="44">
        <f>'a29'!BT45</f>
        <v>0.11322395666989421</v>
      </c>
      <c r="AO42" s="9">
        <f>AK42*'4'!BE45+'8'!AL42*'5'!Q43+'8'!AM42*'6'!AO45+'8'!AN42*'7'!AG44</f>
        <v>0.54530907348558999</v>
      </c>
      <c r="AP42" s="44">
        <f>'a29'!BW45</f>
        <v>0.29049326303016604</v>
      </c>
      <c r="AQ42" s="44">
        <f>'a29'!BY45</f>
        <v>0.44037118902552169</v>
      </c>
      <c r="AR42" s="44">
        <f>'a29'!CA45</f>
        <v>0.15644313701024848</v>
      </c>
      <c r="AS42" s="44">
        <f>'a29'!CC45</f>
        <v>0.11269241093406369</v>
      </c>
      <c r="AT42" s="9">
        <f>AP42*'4'!BL45+'8'!AQ42*'5'!S43+'8'!AR42*'6'!AT45+'8'!AS42*'7'!AK44</f>
        <v>0.5813283221004123</v>
      </c>
      <c r="AU42" s="44">
        <f>'a29'!CF45</f>
        <v>0.30615488167220783</v>
      </c>
      <c r="AV42" s="44">
        <f>'a29'!CH45</f>
        <v>0.43089058626146842</v>
      </c>
      <c r="AW42" s="44">
        <f>'a29'!CJ45</f>
        <v>0.15429210443168648</v>
      </c>
      <c r="AX42" s="44">
        <f>'a29'!CL45</f>
        <v>0.10866242763463727</v>
      </c>
      <c r="AY42" s="9">
        <f>AU42*'4'!BS45+'8'!AV42*'5'!U43+'8'!AW42*'6'!AY45+'8'!AX42*'7'!AO44</f>
        <v>0.64713182237130851</v>
      </c>
      <c r="AZ42" s="44">
        <f>'a29'!CO45</f>
        <v>0.30357650246968571</v>
      </c>
      <c r="BA42" s="44">
        <f>'a29'!CQ45</f>
        <v>0.43513529290376113</v>
      </c>
      <c r="BB42" s="44">
        <f>'a29'!CS45</f>
        <v>0.13850354083561969</v>
      </c>
      <c r="BC42" s="44">
        <f>'a29'!CU45</f>
        <v>0.12278466379093352</v>
      </c>
      <c r="BD42" s="9">
        <f>AZ42*'4'!BZ45+'8'!BA42*'5'!W43+'8'!BB42*'6'!BD45+'8'!BC42*'7'!AS44</f>
        <v>0.5516852389215201</v>
      </c>
    </row>
    <row r="43" spans="1:138">
      <c r="A43" s="1">
        <v>2008</v>
      </c>
      <c r="B43" s="44">
        <f>'a29'!C46</f>
        <v>0.30092600463035424</v>
      </c>
      <c r="C43" s="44">
        <f>'a29'!E46</f>
        <v>0.43302889856012</v>
      </c>
      <c r="D43" s="44">
        <f>'a29'!G46</f>
        <v>0.14602056722605924</v>
      </c>
      <c r="E43" s="44">
        <f>'a29'!I46</f>
        <v>0.12002452958346664</v>
      </c>
      <c r="F43" s="9">
        <f>B43*'4'!H46+'8'!C43*'5'!C44+'8'!D43*'6'!F46+'8'!E43*'7'!E45</f>
        <v>0.52098448905782768</v>
      </c>
      <c r="G43" s="44">
        <f>'a29'!L46</f>
        <v>0.30183693595727529</v>
      </c>
      <c r="H43" s="44">
        <f>'a29'!N46</f>
        <v>0.42761035113605994</v>
      </c>
      <c r="I43" s="44">
        <f>'a29'!P46</f>
        <v>0.13638325258316</v>
      </c>
      <c r="J43" s="44">
        <f>'a29'!R46</f>
        <v>0.1341694603235048</v>
      </c>
      <c r="K43" s="9">
        <f>G43*'4'!O46+'8'!H43*'5'!E44+'8'!I43*'6'!K46+'8'!J43*'7'!I45</f>
        <v>0.47363544773355193</v>
      </c>
      <c r="L43" s="44">
        <f>'a29'!U46</f>
        <v>0.29370526852652246</v>
      </c>
      <c r="M43" s="44">
        <f>'a29'!W46</f>
        <v>0.4305383864334637</v>
      </c>
      <c r="N43" s="44">
        <f>'a29'!Y46</f>
        <v>0.15021234502307251</v>
      </c>
      <c r="O43" s="44">
        <f>'a29'!AA46</f>
        <v>0.1255440000169413</v>
      </c>
      <c r="P43" s="9">
        <f>L43*'4'!V46+'8'!M43*'5'!G44+'8'!N43*'6'!P46+'8'!O43*'7'!M45</f>
        <v>0.4239921492289318</v>
      </c>
      <c r="Q43" s="44">
        <f>'a29'!AD46</f>
        <v>0.29960656830422933</v>
      </c>
      <c r="R43" s="44">
        <f>'a29'!AF46</f>
        <v>0.43195591669336858</v>
      </c>
      <c r="S43" s="44">
        <f>'a29'!AH46</f>
        <v>0.13854736370244131</v>
      </c>
      <c r="T43" s="44">
        <f>'a29'!AJ46</f>
        <v>0.12989015129996079</v>
      </c>
      <c r="U43" s="9">
        <f>Q43*'4'!AC46+'8'!R43*'5'!I44+'8'!S43*'6'!U46+'8'!T43*'7'!Q45</f>
        <v>0.43828585190456404</v>
      </c>
      <c r="V43" s="44">
        <f>'a29'!AM46</f>
        <v>0.29986399423756177</v>
      </c>
      <c r="W43" s="44">
        <f>'a29'!AO46</f>
        <v>0.43233172349338256</v>
      </c>
      <c r="X43" s="44">
        <f>'a29'!AQ46</f>
        <v>0.13776938922714602</v>
      </c>
      <c r="Y43" s="44">
        <f>'a29'!AS46</f>
        <v>0.13003489304190963</v>
      </c>
      <c r="Z43" s="9">
        <f>V43*'4'!AJ46+'8'!W43*'5'!K44+'8'!X43*'6'!Z46+'8'!Y43*'7'!U45</f>
        <v>0.44300580529577527</v>
      </c>
      <c r="AA43" s="44">
        <f>'a29'!AV46</f>
        <v>0.30120504268744758</v>
      </c>
      <c r="AB43" s="44">
        <f>'a29'!AX46</f>
        <v>0.43338780568043955</v>
      </c>
      <c r="AC43" s="44">
        <f>'a29'!AZ46</f>
        <v>0.1390804925163853</v>
      </c>
      <c r="AD43" s="44">
        <f>'a29'!BB46</f>
        <v>0.12632665911572755</v>
      </c>
      <c r="AE43" s="9">
        <f>AA43*'4'!AQ46+'8'!AB43*'5'!M44+'8'!AC43*'6'!AE46+'8'!AD43*'7'!Y45</f>
        <v>0.5309923609365208</v>
      </c>
      <c r="AF43" s="44">
        <f>'a29'!BE46</f>
        <v>0.29969622706212296</v>
      </c>
      <c r="AG43" s="44">
        <f>'a29'!BG46</f>
        <v>0.43216426402393993</v>
      </c>
      <c r="AH43" s="44">
        <f>'a29'!BI46</f>
        <v>0.15144660911204874</v>
      </c>
      <c r="AI43" s="44">
        <f>'a29'!BK46</f>
        <v>0.11669289980188836</v>
      </c>
      <c r="AJ43" s="9">
        <f>AF43*'4'!AX46+'8'!AG43*'5'!O44+'8'!AH43*'6'!AJ46+'8'!AI43*'7'!AC45</f>
        <v>0.46402463332582</v>
      </c>
      <c r="AK43" s="44">
        <f>'a29'!BN46</f>
        <v>0.29255947267143911</v>
      </c>
      <c r="AL43" s="44">
        <f>'a29'!BP46</f>
        <v>0.43513421344598757</v>
      </c>
      <c r="AM43" s="44">
        <f>'a29'!BR46</f>
        <v>0.15769527480952514</v>
      </c>
      <c r="AN43" s="44">
        <f>'a29'!BT46</f>
        <v>0.11461103907304813</v>
      </c>
      <c r="AO43" s="9">
        <f>AK43*'4'!BE46+'8'!AL43*'5'!Q44+'8'!AM43*'6'!AO46+'8'!AN43*'7'!AG45</f>
        <v>0.55656450916064115</v>
      </c>
      <c r="AP43" s="44">
        <f>'a29'!BW46</f>
        <v>0.29080978659826945</v>
      </c>
      <c r="AQ43" s="44">
        <f>'a29'!BY46</f>
        <v>0.43978924288604582</v>
      </c>
      <c r="AR43" s="44">
        <f>'a29'!CA46</f>
        <v>0.15504749034324683</v>
      </c>
      <c r="AS43" s="44">
        <f>'a29'!CC46</f>
        <v>0.11435348017243786</v>
      </c>
      <c r="AT43" s="9">
        <f>AP43*'4'!BL46+'8'!AQ43*'5'!S44+'8'!AR43*'6'!AT46+'8'!AS43*'7'!AK45</f>
        <v>0.63483534072125725</v>
      </c>
      <c r="AU43" s="44">
        <f>'a29'!CF46</f>
        <v>0.30669028591491143</v>
      </c>
      <c r="AV43" s="44">
        <f>'a29'!CH46</f>
        <v>0.43085706821857567</v>
      </c>
      <c r="AW43" s="44">
        <f>'a29'!CJ46</f>
        <v>0.152465648269692</v>
      </c>
      <c r="AX43" s="44">
        <f>'a29'!CL46</f>
        <v>0.10998699759682096</v>
      </c>
      <c r="AY43" s="9">
        <f>AU43*'4'!BS46+'8'!AV43*'5'!U44+'8'!AW43*'6'!AY46+'8'!AX43*'7'!AO45</f>
        <v>0.65600527393835106</v>
      </c>
      <c r="AZ43" s="44">
        <f>'a29'!CO46</f>
        <v>0.30396195658205483</v>
      </c>
      <c r="BA43" s="44">
        <f>'a29'!CQ46</f>
        <v>0.43514427984713494</v>
      </c>
      <c r="BB43" s="44">
        <f>'a29'!CS46</f>
        <v>0.13649609625188522</v>
      </c>
      <c r="BC43" s="44">
        <f>'a29'!CU46</f>
        <v>0.12439766731892507</v>
      </c>
      <c r="BD43" s="9">
        <f>AZ43*'4'!BZ46+'8'!BA43*'5'!W44+'8'!BB43*'6'!BD46+'8'!BC43*'7'!AS45</f>
        <v>0.53503075504935782</v>
      </c>
    </row>
    <row r="44" spans="1:138">
      <c r="A44" s="1">
        <v>2009</v>
      </c>
      <c r="B44" s="44">
        <f>'a29'!C47</f>
        <v>0.30090155392538392</v>
      </c>
      <c r="C44" s="44">
        <f>'a29'!E47</f>
        <v>0.43316385790566303</v>
      </c>
      <c r="D44" s="44">
        <f>'a29'!G47</f>
        <v>0.14433708756848787</v>
      </c>
      <c r="E44" s="44">
        <f>'a29'!I47</f>
        <v>0.12159750060046515</v>
      </c>
      <c r="F44" s="9">
        <f>B44*'4'!H47+'8'!C44*'5'!C45+'8'!D44*'6'!F47+'8'!E44*'7'!E46</f>
        <v>0.48573658005511883</v>
      </c>
      <c r="G44" s="44">
        <f>'a29'!L47</f>
        <v>0.30101861698371168</v>
      </c>
      <c r="H44" s="44">
        <f>'a29'!N47</f>
        <v>0.42809505349758392</v>
      </c>
      <c r="I44" s="44">
        <f>'a29'!P47</f>
        <v>0.13478451568364583</v>
      </c>
      <c r="J44" s="44">
        <f>'a29'!R47</f>
        <v>0.13610181383505862</v>
      </c>
      <c r="K44" s="9">
        <f>G44*'4'!O47+'8'!H44*'5'!E45+'8'!I44*'6'!K47+'8'!J44*'7'!I46</f>
        <v>0.45899527638509663</v>
      </c>
      <c r="L44" s="44">
        <f>'a29'!U47</f>
        <v>0.29368010102593245</v>
      </c>
      <c r="M44" s="44">
        <f>'a29'!W47</f>
        <v>0.4306882843559639</v>
      </c>
      <c r="N44" s="44">
        <f>'a29'!Y47</f>
        <v>0.14796996258709322</v>
      </c>
      <c r="O44" s="44">
        <f>'a29'!AA47</f>
        <v>0.12766165203101043</v>
      </c>
      <c r="P44" s="9">
        <f>L44*'4'!V47+'8'!M44*'5'!G45+'8'!N44*'6'!P47+'8'!O44*'7'!M46</f>
        <v>0.42819014567816238</v>
      </c>
      <c r="Q44" s="44">
        <f>'a29'!AD47</f>
        <v>0.2992986549186451</v>
      </c>
      <c r="R44" s="44">
        <f>'a29'!AF47</f>
        <v>0.43220645084190223</v>
      </c>
      <c r="S44" s="44">
        <f>'a29'!AH47</f>
        <v>0.13662121936415281</v>
      </c>
      <c r="T44" s="44">
        <f>'a29'!AJ47</f>
        <v>0.13187367487529994</v>
      </c>
      <c r="U44" s="9">
        <f>Q44*'4'!AC47+'8'!R44*'5'!I45+'8'!S44*'6'!U47+'8'!T44*'7'!Q46</f>
        <v>0.40225455394959675</v>
      </c>
      <c r="V44" s="44">
        <f>'a29'!AM47</f>
        <v>0.29942917759040288</v>
      </c>
      <c r="W44" s="44">
        <f>'a29'!AO47</f>
        <v>0.43253446687065972</v>
      </c>
      <c r="X44" s="44">
        <f>'a29'!AQ47</f>
        <v>0.13606936954093088</v>
      </c>
      <c r="Y44" s="44">
        <f>'a29'!AS47</f>
        <v>0.13196698599800649</v>
      </c>
      <c r="Z44" s="9">
        <f>V44*'4'!AJ47+'8'!W44*'5'!K45+'8'!X44*'6'!Z47+'8'!Y44*'7'!U46</f>
        <v>0.42334944065335423</v>
      </c>
      <c r="AA44" s="44">
        <f>'a29'!AV47</f>
        <v>0.3008083459588084</v>
      </c>
      <c r="AB44" s="44">
        <f>'a29'!AX47</f>
        <v>0.43413068797019078</v>
      </c>
      <c r="AC44" s="44">
        <f>'a29'!AZ47</f>
        <v>0.13762352179052426</v>
      </c>
      <c r="AD44" s="44">
        <f>'a29'!BB47</f>
        <v>0.1274374442804766</v>
      </c>
      <c r="AE44" s="9">
        <f>AA44*'4'!AQ47+'8'!AB44*'5'!M45+'8'!AC44*'6'!AE47+'8'!AD44*'7'!Y46</f>
        <v>0.49796487617219848</v>
      </c>
      <c r="AF44" s="44">
        <f>'a29'!BE47</f>
        <v>0.29961887586055219</v>
      </c>
      <c r="AG44" s="44">
        <f>'a29'!BG47</f>
        <v>0.4318845116577133</v>
      </c>
      <c r="AH44" s="44">
        <f>'a29'!BI47</f>
        <v>0.1496989015891689</v>
      </c>
      <c r="AI44" s="44">
        <f>'a29'!BK47</f>
        <v>0.11879771089256548</v>
      </c>
      <c r="AJ44" s="9">
        <f>AF44*'4'!AX47+'8'!AG44*'5'!O45+'8'!AH44*'6'!AJ47+'8'!AI44*'7'!AC46</f>
        <v>0.43316800828593127</v>
      </c>
      <c r="AK44" s="44">
        <f>'a29'!BN47</f>
        <v>0.29275448857087061</v>
      </c>
      <c r="AL44" s="44">
        <f>'a29'!BP47</f>
        <v>0.43493100155497316</v>
      </c>
      <c r="AM44" s="44">
        <f>'a29'!BR47</f>
        <v>0.15667261033299154</v>
      </c>
      <c r="AN44" s="44">
        <f>'a29'!BT47</f>
        <v>0.11564189954116463</v>
      </c>
      <c r="AO44" s="9">
        <f>AK44*'4'!BE47+'8'!AL44*'5'!Q45+'8'!AM44*'6'!AO47+'8'!AN44*'7'!AG46</f>
        <v>0.52552605567741117</v>
      </c>
      <c r="AP44" s="44">
        <f>'a29'!BW47</f>
        <v>0.29140315760816676</v>
      </c>
      <c r="AQ44" s="44">
        <f>'a29'!BY47</f>
        <v>0.4393908733904659</v>
      </c>
      <c r="AR44" s="44">
        <f>'a29'!CA47</f>
        <v>0.15372242880064646</v>
      </c>
      <c r="AS44" s="44">
        <f>'a29'!CC47</f>
        <v>0.1154835402007208</v>
      </c>
      <c r="AT44" s="9">
        <f>AP44*'4'!BL47+'8'!AQ44*'5'!S45+'8'!AR44*'6'!AT47+'8'!AS44*'7'!AK46</f>
        <v>0.5954554782091106</v>
      </c>
      <c r="AU44" s="44">
        <f>'a29'!CF47</f>
        <v>0.30707374455951675</v>
      </c>
      <c r="AV44" s="44">
        <f>'a29'!CH47</f>
        <v>0.4310577739768352</v>
      </c>
      <c r="AW44" s="44">
        <f>'a29'!CJ47</f>
        <v>0.15067007095254797</v>
      </c>
      <c r="AX44" s="44">
        <f>'a29'!CL47</f>
        <v>0.11119841051110009</v>
      </c>
      <c r="AY44" s="9">
        <f>AU44*'4'!BS47+'8'!AV44*'5'!U45+'8'!AW44*'6'!AY47+'8'!AX44*'7'!AO46</f>
        <v>0.61584323728248902</v>
      </c>
      <c r="AZ44" s="44">
        <f>'a29'!CO47</f>
        <v>0.30438040638543234</v>
      </c>
      <c r="BA44" s="44">
        <f>'a29'!CQ47</f>
        <v>0.43551507819385665</v>
      </c>
      <c r="BB44" s="44">
        <f>'a29'!CS47</f>
        <v>0.13440873884281301</v>
      </c>
      <c r="BC44" s="44">
        <f>'a29'!CU47</f>
        <v>0.1256957765778981</v>
      </c>
      <c r="BD44" s="9">
        <f>AZ44*'4'!BZ47+'8'!BA44*'5'!W45+'8'!BB44*'6'!BD47+'8'!BC44*'7'!AS46</f>
        <v>0.49199350820397819</v>
      </c>
    </row>
    <row r="45" spans="1:138">
      <c r="A45" s="1">
        <v>2010</v>
      </c>
      <c r="B45" s="44">
        <f>'a29'!C48</f>
        <v>0.30085659935379472</v>
      </c>
      <c r="C45" s="44">
        <f>'a29'!E48</f>
        <v>0.43349250697136238</v>
      </c>
      <c r="D45" s="44">
        <f>'a29'!G48</f>
        <v>0.14276441259589123</v>
      </c>
      <c r="E45" s="44">
        <f>'a29'!I48</f>
        <v>0.12288648107895171</v>
      </c>
      <c r="F45" s="9">
        <f>B45*'4'!H48+'8'!C45*'5'!C46+'8'!D45*'6'!F48+'8'!E45*'7'!E47</f>
        <v>0.48472340768248307</v>
      </c>
      <c r="G45" s="44">
        <f>'a29'!L48</f>
        <v>0.30023066381377639</v>
      </c>
      <c r="H45" s="44">
        <f>'a29'!N48</f>
        <v>0.42890130891120815</v>
      </c>
      <c r="I45" s="44">
        <f>'a29'!P48</f>
        <v>0.13300157333209492</v>
      </c>
      <c r="J45" s="44">
        <f>'a29'!R48</f>
        <v>0.13786645394292052</v>
      </c>
      <c r="K45" s="9">
        <f>G45*'4'!O48+'8'!H45*'5'!E46+'8'!I45*'6'!K48+'8'!J45*'7'!I47</f>
        <v>0.47297315923293426</v>
      </c>
      <c r="L45" s="44">
        <f>'a29'!U48</f>
        <v>0.29375068533477983</v>
      </c>
      <c r="M45" s="44">
        <f>'a29'!W48</f>
        <v>0.43096560791830241</v>
      </c>
      <c r="N45" s="44">
        <f>'a29'!Y48</f>
        <v>0.1449422533293703</v>
      </c>
      <c r="O45" s="44">
        <f>'a29'!AA48</f>
        <v>0.13034145341754738</v>
      </c>
      <c r="P45" s="9">
        <f>L45*'4'!V48+'8'!M45*'5'!G46+'8'!N45*'6'!P48+'8'!O45*'7'!M47</f>
        <v>0.45422804823823049</v>
      </c>
      <c r="Q45" s="44">
        <f>'a29'!AD48</f>
        <v>0.29921883018710188</v>
      </c>
      <c r="R45" s="44">
        <f>'a29'!AF48</f>
        <v>0.43288774360385995</v>
      </c>
      <c r="S45" s="44">
        <f>'a29'!AH48</f>
        <v>0.1344431369346786</v>
      </c>
      <c r="T45" s="44">
        <f>'a29'!AJ48</f>
        <v>0.13345028927435956</v>
      </c>
      <c r="U45" s="9">
        <f>Q45*'4'!AC48+'8'!R45*'5'!I46+'8'!S45*'6'!U48+'8'!T45*'7'!Q47</f>
        <v>0.39301948177345436</v>
      </c>
      <c r="V45" s="44">
        <f>'a29'!AM48</f>
        <v>0.29907547553841807</v>
      </c>
      <c r="W45" s="44">
        <f>'a29'!AO48</f>
        <v>0.43306363894596805</v>
      </c>
      <c r="X45" s="44">
        <f>'a29'!AQ48</f>
        <v>0.13413252975971188</v>
      </c>
      <c r="Y45" s="44">
        <f>'a29'!AS48</f>
        <v>0.13372835575590195</v>
      </c>
      <c r="Z45" s="9">
        <f>V45*'4'!AJ48+'8'!W45*'5'!K46+'8'!X45*'6'!Z48+'8'!Y45*'7'!U47</f>
        <v>0.41103494289026249</v>
      </c>
      <c r="AA45" s="44">
        <f>'a29'!AV48</f>
        <v>0.30046736685275688</v>
      </c>
      <c r="AB45" s="44">
        <f>'a29'!AX48</f>
        <v>0.4352222228675473</v>
      </c>
      <c r="AC45" s="44">
        <f>'a29'!AZ48</f>
        <v>0.13604152741844056</v>
      </c>
      <c r="AD45" s="44">
        <f>'a29'!BB48</f>
        <v>0.12826888286125532</v>
      </c>
      <c r="AE45" s="9">
        <f>AA45*'4'!AQ48+'8'!AB45*'5'!M46+'8'!AC45*'6'!AE48+'8'!AD45*'7'!Y47</f>
        <v>0.49951556067048475</v>
      </c>
      <c r="AF45" s="44">
        <f>'a29'!BE48</f>
        <v>0.29976075637631799</v>
      </c>
      <c r="AG45" s="44">
        <f>'a29'!BG48</f>
        <v>0.43179585726058184</v>
      </c>
      <c r="AH45" s="44">
        <f>'a29'!BI48</f>
        <v>0.14788121834837989</v>
      </c>
      <c r="AI45" s="44">
        <f>'a29'!BK48</f>
        <v>0.12056216801472029</v>
      </c>
      <c r="AJ45" s="9">
        <f>AF45*'4'!AX48+'8'!AG45*'5'!O46+'8'!AH45*'6'!AJ48+'8'!AI45*'7'!AC47</f>
        <v>0.42629406192423747</v>
      </c>
      <c r="AK45" s="44">
        <f>'a29'!BN48</f>
        <v>0.29308796582324187</v>
      </c>
      <c r="AL45" s="44">
        <f>'a29'!BP48</f>
        <v>0.43509456298643578</v>
      </c>
      <c r="AM45" s="44">
        <f>'a29'!BR48</f>
        <v>0.15542816471437085</v>
      </c>
      <c r="AN45" s="44">
        <f>'a29'!BT48</f>
        <v>0.11638930647595161</v>
      </c>
      <c r="AO45" s="9">
        <f>AK45*'4'!BE48+'8'!AL45*'5'!Q46+'8'!AM45*'6'!AO48+'8'!AN45*'7'!AG47</f>
        <v>0.52085201986743479</v>
      </c>
      <c r="AP45" s="44">
        <f>'a29'!BW48</f>
        <v>0.29190237433804167</v>
      </c>
      <c r="AQ45" s="44">
        <f>'a29'!BY48</f>
        <v>0.43944048994778273</v>
      </c>
      <c r="AR45" s="44">
        <f>'a29'!CA48</f>
        <v>0.15248565256554647</v>
      </c>
      <c r="AS45" s="44">
        <f>'a29'!CC48</f>
        <v>0.11617148314862918</v>
      </c>
      <c r="AT45" s="9">
        <f>AP45*'4'!BL48+'8'!AQ45*'5'!S46+'8'!AR45*'6'!AT48+'8'!AS45*'7'!AK47</f>
        <v>0.59553343581439844</v>
      </c>
      <c r="AU45" s="44">
        <f>'a29'!CF48</f>
        <v>0.30638318572703921</v>
      </c>
      <c r="AV45" s="44">
        <f>'a29'!CH48</f>
        <v>0.43099861154627828</v>
      </c>
      <c r="AW45" s="44">
        <f>'a29'!CJ48</f>
        <v>0.15030767047531143</v>
      </c>
      <c r="AX45" s="44">
        <f>'a29'!CL48</f>
        <v>0.11231053225137103</v>
      </c>
      <c r="AY45" s="9">
        <f>AU45*'4'!BS48+'8'!AV45*'5'!U46+'8'!AW45*'6'!AY48+'8'!AX45*'7'!AO47</f>
        <v>0.62013965685631289</v>
      </c>
      <c r="AZ45" s="44">
        <f>'a29'!CO48</f>
        <v>0.30470712689399926</v>
      </c>
      <c r="BA45" s="44">
        <f>'a29'!CQ48</f>
        <v>0.43597095065640723</v>
      </c>
      <c r="BB45" s="44">
        <f>'a29'!CS48</f>
        <v>0.13264454203119838</v>
      </c>
      <c r="BC45" s="44">
        <f>'a29'!CU48</f>
        <v>0.12667738041839519</v>
      </c>
      <c r="BD45" s="9">
        <f>AZ45*'4'!BZ48+'8'!BA45*'5'!W46+'8'!BB45*'6'!BD48+'8'!BC45*'7'!AS47</f>
        <v>0.49116511425617471</v>
      </c>
    </row>
    <row r="46" spans="1:138">
      <c r="B46" s="257" t="s">
        <v>967</v>
      </c>
      <c r="C46" s="44"/>
      <c r="D46" s="44"/>
      <c r="E46" s="44"/>
      <c r="F46" s="9"/>
      <c r="G46" s="44"/>
      <c r="H46" s="44"/>
      <c r="I46" s="44"/>
      <c r="J46" s="44"/>
      <c r="K46" s="9"/>
      <c r="L46" s="44"/>
      <c r="M46" s="44"/>
      <c r="N46" s="44"/>
      <c r="O46" s="44"/>
      <c r="P46" s="9"/>
      <c r="Q46" s="44"/>
      <c r="R46" s="44"/>
      <c r="S46" s="44"/>
      <c r="T46" s="44"/>
      <c r="U46" s="9"/>
      <c r="V46" s="44"/>
      <c r="W46" s="44"/>
      <c r="X46" s="44"/>
      <c r="Y46" s="44"/>
      <c r="Z46" s="9"/>
      <c r="AA46" s="44"/>
      <c r="AB46" s="44"/>
      <c r="AC46" s="44"/>
      <c r="AD46" s="44"/>
      <c r="AE46" s="9"/>
      <c r="AF46" s="44"/>
      <c r="AG46" s="44"/>
      <c r="AH46" s="44"/>
      <c r="AI46" s="44"/>
      <c r="AJ46" s="9"/>
      <c r="AK46" s="44"/>
      <c r="AL46" s="44"/>
      <c r="AM46" s="44"/>
      <c r="AN46" s="44"/>
      <c r="AO46" s="9"/>
      <c r="AP46" s="44"/>
      <c r="AQ46" s="44"/>
      <c r="AR46" s="44"/>
      <c r="AS46" s="44"/>
      <c r="AT46" s="9"/>
      <c r="AU46" s="44"/>
      <c r="AV46" s="44"/>
      <c r="AW46" s="44"/>
      <c r="AX46" s="44"/>
      <c r="AY46" s="9"/>
      <c r="AZ46" s="44"/>
      <c r="BA46" s="44"/>
      <c r="BB46" s="44"/>
      <c r="BC46" s="44"/>
      <c r="BD46" s="9"/>
    </row>
    <row r="47" spans="1:138">
      <c r="A47" s="1" t="s">
        <v>988</v>
      </c>
      <c r="B47" s="13">
        <f>(POWER(B45/B16, 1/29)-1)*100</f>
        <v>8.7868659116097092E-2</v>
      </c>
      <c r="C47" s="13">
        <f>(POWER(C45/C16, 1/29)-1)*100</f>
        <v>2.4092267666153688E-2</v>
      </c>
      <c r="D47" s="13">
        <f>(POWER(D45/D16, 1/29)-1)*100</f>
        <v>-1.0672654137188653</v>
      </c>
      <c r="E47" s="13">
        <f>(POWER(E45/E16, 1/29)-1)*100</f>
        <v>1.4322175118618885</v>
      </c>
      <c r="G47" s="13">
        <f>(POWER(G45/G16, 1/29)-1)*100</f>
        <v>0.28087386106603329</v>
      </c>
      <c r="H47" s="13">
        <f>(POWER(H45/H16, 1/29)-1)*100</f>
        <v>-7.5968846083940278E-2</v>
      </c>
      <c r="I47" s="13">
        <f>(POWER(I45/I16, 1/29)-1)*100</f>
        <v>-1.6920024331077088</v>
      </c>
      <c r="J47" s="13">
        <f>(POWER(J45/J16, 1/29)-1)*100</f>
        <v>2.5405509825016548</v>
      </c>
      <c r="L47" s="13">
        <f>(POWER(L45/L16, 1/29)-1)*100</f>
        <v>0.205759514992776</v>
      </c>
      <c r="M47" s="13">
        <f>(POWER(M45/M16, 1/29)-1)*100</f>
        <v>-5.5956704243453892E-2</v>
      </c>
      <c r="N47" s="13">
        <f>(POWER(N45/N16, 1/29)-1)*100</f>
        <v>-1.2530354538498822</v>
      </c>
      <c r="O47" s="13">
        <f>(POWER(O45/O16, 1/29)-1)*100</f>
        <v>1.8637836069416602</v>
      </c>
      <c r="Q47" s="13">
        <f>(POWER(Q45/Q16, 1/29)-1)*100</f>
        <v>0.17633388535971406</v>
      </c>
      <c r="R47" s="13">
        <f>(POWER(R45/R16, 1/29)-1)*100</f>
        <v>8.8977121325051201E-3</v>
      </c>
      <c r="S47" s="13">
        <f>(POWER(S45/S16, 1/29)-1)*100</f>
        <v>-1.442556206017731</v>
      </c>
      <c r="T47" s="13">
        <f>(POWER(T45/T16, 1/29)-1)*100</f>
        <v>1.8238141205451752</v>
      </c>
      <c r="V47" s="13">
        <f>(POWER(V45/V16, 1/29)-1)*100</f>
        <v>0.1790162877200796</v>
      </c>
      <c r="W47" s="13">
        <f>(POWER(W45/W16, 1/29)-1)*100</f>
        <v>-1.7836575861274184E-2</v>
      </c>
      <c r="X47" s="13">
        <f>(POWER(X45/X16, 1/29)-1)*100</f>
        <v>-1.4560901079923916</v>
      </c>
      <c r="Y47" s="13">
        <f>(POWER(Y45/Y16, 1/29)-1)*100</f>
        <v>1.9914189725542597</v>
      </c>
      <c r="AA47" s="13">
        <f>(POWER(AA45/AA16, 1/29)-1)*100</f>
        <v>5.4846229747607111E-2</v>
      </c>
      <c r="AB47" s="13">
        <f>(POWER(AB45/AB16, 1/29)-1)*100</f>
        <v>9.0152366870843714E-2</v>
      </c>
      <c r="AC47" s="13">
        <f>(POWER(AC45/AC16, 1/29)-1)*100</f>
        <v>-1.306600734693375</v>
      </c>
      <c r="AD47" s="13">
        <f>(POWER(AD45/AD16, 1/29)-1)*100</f>
        <v>1.5949622479435321</v>
      </c>
      <c r="AF47" s="13">
        <f>(POWER(AF45/AF16, 1/29)-1)*100</f>
        <v>8.422619468464454E-2</v>
      </c>
      <c r="AG47" s="13">
        <f>(POWER(AG45/AG16, 1/29)-1)*100</f>
        <v>3.6478077121215868E-2</v>
      </c>
      <c r="AH47" s="13">
        <f>(POWER(AH45/AH16, 1/29)-1)*100</f>
        <v>-0.95110217155830457</v>
      </c>
      <c r="AI47" s="13">
        <f>(POWER(AI45/AI16, 1/29)-1)*100</f>
        <v>1.208030783008307</v>
      </c>
      <c r="AK47" s="13">
        <f>(POWER(AK45/AK16, 1/29)-1)*100</f>
        <v>8.830366130248013E-2</v>
      </c>
      <c r="AL47" s="13">
        <f>(POWER(AL45/AL16, 1/29)-1)*100</f>
        <v>-2.8278827929328898E-2</v>
      </c>
      <c r="AM47" s="13">
        <f>(POWER(AM45/AM16, 1/29)-1)*100</f>
        <v>-0.72021783335051159</v>
      </c>
      <c r="AN47" s="13">
        <f>(POWER(AN45/AN16, 1/29)-1)*100</f>
        <v>1.1323329404690607</v>
      </c>
      <c r="AP47" s="13">
        <f>(POWER(AP45/AP16, 1/29)-1)*100</f>
        <v>0.14407474276345589</v>
      </c>
      <c r="AQ47" s="13">
        <f>(POWER(AQ45/AQ16, 1/29)-1)*100</f>
        <v>-1.0178855931031183E-2</v>
      </c>
      <c r="AR47" s="13">
        <f>(POWER(AR45/AR16, 1/29)-1)*100</f>
        <v>-0.86330891770105556</v>
      </c>
      <c r="AS47" s="13">
        <f>(POWER(AS45/AS16, 1/29)-1)*100</f>
        <v>1.1571014175868699</v>
      </c>
      <c r="AU47" s="13">
        <f>(POWER(AU45/AU16, 1/29)-1)*100</f>
        <v>5.1320150236366935E-2</v>
      </c>
      <c r="AV47" s="13">
        <f>(POWER(AV45/AV16, 1/29)-1)*100</f>
        <v>-5.8258854320081266E-2</v>
      </c>
      <c r="AW47" s="13">
        <f>(POWER(AW45/AW16, 1/29)-1)*100</f>
        <v>-0.81213490601796945</v>
      </c>
      <c r="AX47" s="13">
        <f>(POWER(AX45/AX16, 1/29)-1)*100</f>
        <v>1.6742846942059408</v>
      </c>
      <c r="AZ47" s="13">
        <f>(POWER(AZ45/AZ16, 1/29)-1)*100</f>
        <v>5.4428279380291933E-2</v>
      </c>
      <c r="BA47" s="13">
        <f>(POWER(BA45/BA16, 1/29)-1)*100</f>
        <v>-3.2155205158046485E-2</v>
      </c>
      <c r="BB47" s="13">
        <f>(POWER(BB45/BB16, 1/29)-1)*100</f>
        <v>-0.96188376119403785</v>
      </c>
      <c r="BC47" s="13">
        <f>(POWER(BC45/BC16, 1/29)-1)*100</f>
        <v>1.4080689290804527</v>
      </c>
      <c r="BE47" s="13"/>
      <c r="BF47" s="13"/>
      <c r="BG47" s="13"/>
      <c r="BH47" s="13"/>
      <c r="BJ47" s="13"/>
      <c r="BK47" s="13"/>
      <c r="BL47" s="13"/>
      <c r="BM47" s="13"/>
      <c r="BN47" s="13"/>
      <c r="BO47" s="13"/>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row>
    <row r="48" spans="1:138">
      <c r="B48" s="267" t="s">
        <v>968</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row>
    <row r="49" spans="1:138" s="252" customFormat="1">
      <c r="A49" s="252" t="s">
        <v>988</v>
      </c>
      <c r="B49" s="271"/>
      <c r="C49" s="271"/>
      <c r="D49" s="271"/>
      <c r="E49" s="271"/>
      <c r="F49" s="271">
        <f>F45-F16</f>
        <v>-0.14729254529242658</v>
      </c>
      <c r="G49" s="271"/>
      <c r="H49" s="271"/>
      <c r="I49" s="271"/>
      <c r="J49" s="271"/>
      <c r="K49" s="271">
        <f>K45-K16</f>
        <v>5.9871084417736919E-2</v>
      </c>
      <c r="L49" s="271"/>
      <c r="M49" s="271"/>
      <c r="N49" s="271"/>
      <c r="O49" s="271"/>
      <c r="P49" s="271">
        <f>P45-P16</f>
        <v>3.0867184475913412E-3</v>
      </c>
      <c r="Q49" s="271"/>
      <c r="R49" s="271"/>
      <c r="S49" s="271"/>
      <c r="T49" s="271"/>
      <c r="U49" s="271">
        <f>U45-U16</f>
        <v>-0.23641705718416761</v>
      </c>
      <c r="V49" s="271"/>
      <c r="W49" s="271"/>
      <c r="X49" s="271"/>
      <c r="Y49" s="271"/>
      <c r="Z49" s="271">
        <f>Z45-Z16</f>
        <v>-0.10913641838832439</v>
      </c>
      <c r="AA49" s="271"/>
      <c r="AB49" s="271"/>
      <c r="AC49" s="271"/>
      <c r="AD49" s="271"/>
      <c r="AE49" s="271">
        <f>AE45-AE16</f>
        <v>-6.1617509528376857E-2</v>
      </c>
      <c r="AF49" s="271"/>
      <c r="AG49" s="271"/>
      <c r="AH49" s="271"/>
      <c r="AI49" s="271"/>
      <c r="AJ49" s="271">
        <f>AJ45-AJ16</f>
        <v>-0.25558122083750257</v>
      </c>
      <c r="AK49" s="271"/>
      <c r="AL49" s="271"/>
      <c r="AM49" s="271"/>
      <c r="AN49" s="271"/>
      <c r="AO49" s="271">
        <f>AO45-AO16</f>
        <v>-9.3690301318484659E-2</v>
      </c>
      <c r="AP49" s="271"/>
      <c r="AQ49" s="271"/>
      <c r="AR49" s="271"/>
      <c r="AS49" s="271"/>
      <c r="AT49" s="271">
        <f>AT45-AT16</f>
        <v>-0.12529830991380131</v>
      </c>
      <c r="AU49" s="271"/>
      <c r="AV49" s="271"/>
      <c r="AW49" s="271"/>
      <c r="AX49" s="271"/>
      <c r="AY49" s="271">
        <f>AY45-AY16</f>
        <v>-9.2749363114025152E-2</v>
      </c>
      <c r="AZ49" s="271"/>
      <c r="BA49" s="271"/>
      <c r="BB49" s="271"/>
      <c r="BC49" s="271"/>
      <c r="BD49" s="271">
        <f>BD45-BD16</f>
        <v>-0.11836549296246568</v>
      </c>
      <c r="BE49" s="271"/>
      <c r="BF49" s="271"/>
      <c r="BG49" s="271"/>
      <c r="BH49" s="271"/>
      <c r="BI49" s="271"/>
      <c r="BJ49" s="271"/>
      <c r="BK49" s="271"/>
      <c r="BL49" s="271"/>
      <c r="BM49" s="271"/>
      <c r="BN49" s="271"/>
      <c r="BO49" s="271"/>
      <c r="BP49" s="269"/>
      <c r="BQ49" s="269"/>
      <c r="BR49" s="269"/>
      <c r="BS49" s="269"/>
      <c r="BT49" s="269"/>
      <c r="BU49" s="269"/>
      <c r="BV49" s="269"/>
      <c r="BW49" s="269"/>
      <c r="BX49" s="269"/>
      <c r="BY49" s="269"/>
      <c r="BZ49" s="269"/>
      <c r="CA49" s="269"/>
      <c r="CB49" s="269"/>
      <c r="CC49" s="269"/>
      <c r="CD49" s="269"/>
      <c r="CE49" s="269"/>
      <c r="CF49" s="269"/>
      <c r="CG49" s="269"/>
      <c r="CH49" s="269"/>
      <c r="CI49" s="269"/>
      <c r="CJ49" s="269"/>
      <c r="CK49" s="269"/>
      <c r="CL49" s="269"/>
      <c r="CM49" s="269"/>
      <c r="CN49" s="269"/>
      <c r="CO49" s="269"/>
      <c r="CP49" s="269"/>
      <c r="CQ49" s="269"/>
      <c r="CR49" s="269"/>
      <c r="CS49" s="269"/>
      <c r="CT49" s="269"/>
      <c r="CU49" s="269"/>
      <c r="CV49" s="269"/>
      <c r="CW49" s="269"/>
      <c r="CX49" s="269"/>
      <c r="CY49" s="269"/>
      <c r="CZ49" s="269"/>
      <c r="DA49" s="269"/>
      <c r="DB49" s="269"/>
      <c r="DC49" s="269"/>
      <c r="DD49" s="269"/>
      <c r="DE49" s="269"/>
      <c r="DF49" s="269"/>
      <c r="DG49" s="269"/>
      <c r="DH49" s="269"/>
      <c r="DI49" s="269"/>
      <c r="DJ49" s="269"/>
      <c r="DK49" s="269"/>
      <c r="DL49" s="269"/>
      <c r="DM49" s="269"/>
      <c r="DN49" s="269"/>
      <c r="DO49" s="269"/>
      <c r="DP49" s="269"/>
      <c r="DQ49" s="269"/>
      <c r="DR49" s="269"/>
      <c r="DS49" s="269"/>
      <c r="DT49" s="269"/>
      <c r="DU49" s="269"/>
      <c r="DV49" s="269"/>
      <c r="DW49" s="269"/>
      <c r="DX49" s="269"/>
      <c r="DY49" s="269"/>
      <c r="DZ49" s="269"/>
      <c r="EA49" s="269"/>
      <c r="EB49" s="269"/>
      <c r="EC49" s="269"/>
      <c r="ED49" s="269"/>
      <c r="EE49" s="269"/>
      <c r="EF49" s="269"/>
      <c r="EG49" s="269"/>
      <c r="EH49" s="269"/>
    </row>
    <row r="50" spans="1:138">
      <c r="B50" s="134">
        <f t="shared" ref="B50:AG50" si="0">B45-B16</f>
        <v>7.5662667300984143E-3</v>
      </c>
      <c r="C50" s="134">
        <f t="shared" si="0"/>
        <v>3.0177890106097283E-3</v>
      </c>
      <c r="D50" s="134">
        <f t="shared" si="0"/>
        <v>-5.2112132135941791E-2</v>
      </c>
      <c r="E50" s="134">
        <f t="shared" si="0"/>
        <v>4.1528076395233857E-2</v>
      </c>
      <c r="F50" s="134">
        <f t="shared" si="0"/>
        <v>-0.14729254529242658</v>
      </c>
      <c r="G50" s="134">
        <f t="shared" si="0"/>
        <v>2.3453750162275078E-2</v>
      </c>
      <c r="H50" s="134">
        <f t="shared" si="0"/>
        <v>-9.5576360069571931E-3</v>
      </c>
      <c r="I50" s="134">
        <f t="shared" si="0"/>
        <v>-8.5160939251982704E-2</v>
      </c>
      <c r="J50" s="134">
        <f t="shared" si="0"/>
        <v>7.1264825096664763E-2</v>
      </c>
      <c r="K50" s="134">
        <f t="shared" si="0"/>
        <v>5.9871084417736919E-2</v>
      </c>
      <c r="L50" s="134">
        <f t="shared" si="0"/>
        <v>1.6998506718986561E-2</v>
      </c>
      <c r="M50" s="134">
        <f t="shared" si="0"/>
        <v>-7.0525110389484391E-3</v>
      </c>
      <c r="N50" s="134">
        <f t="shared" si="0"/>
        <v>-6.3990309146642305E-2</v>
      </c>
      <c r="O50" s="134">
        <f t="shared" si="0"/>
        <v>5.4044313466604085E-2</v>
      </c>
      <c r="P50" s="134">
        <f t="shared" si="0"/>
        <v>3.0867184475913412E-3</v>
      </c>
      <c r="Q50" s="134">
        <f t="shared" si="0"/>
        <v>1.4903657637468815E-2</v>
      </c>
      <c r="R50" s="134">
        <f t="shared" si="0"/>
        <v>1.1155066165182692E-3</v>
      </c>
      <c r="S50" s="134">
        <f t="shared" si="0"/>
        <v>-7.0458363091175563E-2</v>
      </c>
      <c r="T50" s="134">
        <f t="shared" si="0"/>
        <v>5.4439198837188577E-2</v>
      </c>
      <c r="U50" s="134">
        <f t="shared" si="0"/>
        <v>-0.23641705718416761</v>
      </c>
      <c r="V50" s="134">
        <f t="shared" si="0"/>
        <v>1.5117101488923423E-2</v>
      </c>
      <c r="W50" s="134">
        <f t="shared" si="0"/>
        <v>-2.2460723436638075E-3</v>
      </c>
      <c r="X50" s="134">
        <f t="shared" si="0"/>
        <v>-7.1111350308548649E-2</v>
      </c>
      <c r="Y50" s="134">
        <f t="shared" si="0"/>
        <v>5.8240321163288922E-2</v>
      </c>
      <c r="Z50" s="134">
        <f t="shared" si="0"/>
        <v>-0.10913641838832439</v>
      </c>
      <c r="AA50" s="134">
        <f t="shared" si="0"/>
        <v>4.7399605228636843E-3</v>
      </c>
      <c r="AB50" s="134">
        <f t="shared" si="0"/>
        <v>1.1226083831615108E-2</v>
      </c>
      <c r="AC50" s="134">
        <f t="shared" si="0"/>
        <v>-6.3170879143911146E-2</v>
      </c>
      <c r="AD50" s="134">
        <f t="shared" si="0"/>
        <v>4.7204834789432534E-2</v>
      </c>
      <c r="AE50" s="134">
        <f t="shared" si="0"/>
        <v>-6.1617509528376857E-2</v>
      </c>
      <c r="AF50" s="134">
        <f t="shared" si="0"/>
        <v>7.2301314190772459E-3</v>
      </c>
      <c r="AG50" s="134">
        <f t="shared" si="0"/>
        <v>4.5429141255322603E-3</v>
      </c>
      <c r="AH50" s="134">
        <f t="shared" ref="AH50:BD50" si="1">AH45-AH16</f>
        <v>-4.7225960446198895E-2</v>
      </c>
      <c r="AI50" s="134">
        <f t="shared" si="1"/>
        <v>3.5452914901589444E-2</v>
      </c>
      <c r="AJ50" s="134">
        <f t="shared" si="1"/>
        <v>-0.25558122083750257</v>
      </c>
      <c r="AK50" s="134">
        <f t="shared" si="1"/>
        <v>7.4069021420791192E-3</v>
      </c>
      <c r="AL50" s="134">
        <f t="shared" si="1"/>
        <v>-3.5833294328377896E-3</v>
      </c>
      <c r="AM50" s="134">
        <f t="shared" si="1"/>
        <v>-3.6247097827140529E-2</v>
      </c>
      <c r="AN50" s="134">
        <f t="shared" si="1"/>
        <v>3.2423525117899366E-2</v>
      </c>
      <c r="AO50" s="134">
        <f t="shared" si="1"/>
        <v>-9.3690301318484659E-2</v>
      </c>
      <c r="AP50" s="134">
        <f t="shared" si="1"/>
        <v>1.1936475455158857E-2</v>
      </c>
      <c r="AQ50" s="134">
        <f t="shared" si="1"/>
        <v>-1.2991530583527089E-3</v>
      </c>
      <c r="AR50" s="134">
        <f t="shared" si="1"/>
        <v>-4.3593230889904244E-2</v>
      </c>
      <c r="AS50" s="134">
        <f t="shared" si="1"/>
        <v>3.2955908493098124E-2</v>
      </c>
      <c r="AT50" s="134">
        <f t="shared" si="1"/>
        <v>-0.12529830991380131</v>
      </c>
      <c r="AU50" s="134">
        <f t="shared" si="1"/>
        <v>4.5249365601946478E-3</v>
      </c>
      <c r="AV50" s="134">
        <f t="shared" si="1"/>
        <v>-7.3457695858137328E-3</v>
      </c>
      <c r="AW50" s="134">
        <f t="shared" si="1"/>
        <v>-4.0099547062371205E-2</v>
      </c>
      <c r="AX50" s="134">
        <f t="shared" si="1"/>
        <v>4.2920380087990179E-2</v>
      </c>
      <c r="AY50" s="134">
        <f t="shared" si="1"/>
        <v>-9.2749363114025152E-2</v>
      </c>
      <c r="AZ50" s="134">
        <f t="shared" si="1"/>
        <v>4.7705120298890957E-3</v>
      </c>
      <c r="BA50" s="134">
        <f t="shared" si="1"/>
        <v>-4.085107302795099E-3</v>
      </c>
      <c r="BB50" s="134">
        <f t="shared" si="1"/>
        <v>-4.2913455718325721E-2</v>
      </c>
      <c r="BC50" s="134">
        <f t="shared" si="1"/>
        <v>4.2228050991231822E-2</v>
      </c>
      <c r="BD50" s="134">
        <f t="shared" si="1"/>
        <v>-0.11836549296246568</v>
      </c>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c r="CB50" s="134">
        <f t="shared" ref="CB50:CK50" si="2">CB48-CB19</f>
        <v>0</v>
      </c>
      <c r="CC50" s="134">
        <f t="shared" si="2"/>
        <v>0</v>
      </c>
      <c r="CD50" s="134">
        <f t="shared" si="2"/>
        <v>0</v>
      </c>
      <c r="CE50" s="134">
        <f t="shared" si="2"/>
        <v>0</v>
      </c>
      <c r="CF50" s="134">
        <f t="shared" si="2"/>
        <v>0</v>
      </c>
      <c r="CG50" s="134">
        <f t="shared" si="2"/>
        <v>0</v>
      </c>
      <c r="CH50" s="134">
        <f t="shared" si="2"/>
        <v>0</v>
      </c>
      <c r="CI50" s="134">
        <f t="shared" si="2"/>
        <v>0</v>
      </c>
      <c r="CJ50" s="134">
        <f t="shared" si="2"/>
        <v>0</v>
      </c>
      <c r="CK50" s="134">
        <f t="shared" si="2"/>
        <v>0</v>
      </c>
    </row>
    <row r="51" spans="1:138">
      <c r="B51" s="1" t="s">
        <v>1125</v>
      </c>
      <c r="AR51" s="164"/>
    </row>
    <row r="52" spans="1:138">
      <c r="F52" s="142">
        <f>(F45-F16)/F16</f>
        <v>-0.23305194212126784</v>
      </c>
      <c r="K52" s="142">
        <f>(K45-K16)/K16</f>
        <v>0.14493048587209459</v>
      </c>
      <c r="P52" s="142">
        <f>(P45-P16)/P16</f>
        <v>6.8420209893511478E-3</v>
      </c>
      <c r="U52" s="142">
        <f>(U45-U16)/U16</f>
        <v>-0.37560110122568663</v>
      </c>
      <c r="Z52" s="142">
        <f>(Z45-Z16)/Z16</f>
        <v>-0.20980858715494424</v>
      </c>
      <c r="AE52" s="142">
        <f>(AE45-AE16)/AE16</f>
        <v>-0.10980908593845672</v>
      </c>
      <c r="AJ52" s="142">
        <f>(AJ45-AJ16)/AJ16</f>
        <v>-0.37482106669469556</v>
      </c>
      <c r="AO52" s="142">
        <f>(AO45-AO16)/AO16</f>
        <v>-0.15245540964157656</v>
      </c>
      <c r="AT52" s="142">
        <f>(AT45-AT16)/AT16</f>
        <v>-0.17382462780856336</v>
      </c>
      <c r="AY52" s="142">
        <f>(AY45-AY16)/AY16</f>
        <v>-0.13010350912388058</v>
      </c>
      <c r="BD52" s="142">
        <f>(BD45-BD16)/BD16</f>
        <v>-0.19419122118014925</v>
      </c>
    </row>
  </sheetData>
  <phoneticPr fontId="0" type="noConversion"/>
  <pageMargins left="0.35433070866141736" right="0.35433070866141736" top="0.59055118110236227" bottom="0.59055118110236227" header="0.51181102362204722" footer="0.51181102362204722"/>
  <pageSetup scale="80" orientation="landscape" r:id="rId1"/>
  <headerFooter alignWithMargins="0"/>
  <colBreaks count="3" manualBreakCount="3">
    <brk id="16" max="1048575" man="1"/>
    <brk id="31" max="1048575" man="1"/>
    <brk id="46" max="1048575" man="1"/>
  </colBreaks>
</worksheet>
</file>

<file path=xl/worksheets/sheet90.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573" t="s">
        <v>1389</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f>'a17'!B17</f>
        <v>0.34799999999999998</v>
      </c>
      <c r="C21">
        <f>'a17'!D17</f>
        <v>0.32700000000000001</v>
      </c>
      <c r="D21">
        <f>'a17'!F17</f>
        <v>0.33900000000000002</v>
      </c>
      <c r="E21">
        <f>'a17'!H17</f>
        <v>0.34200000000000003</v>
      </c>
      <c r="F21">
        <f>'a17'!J17</f>
        <v>0.35199999999999998</v>
      </c>
      <c r="G21">
        <f>'a17'!L17</f>
        <v>0.34499999999999997</v>
      </c>
      <c r="H21">
        <f>'a17'!N17</f>
        <v>0.33800000000000002</v>
      </c>
      <c r="I21">
        <f>'a17'!P17</f>
        <v>0.35799999999999998</v>
      </c>
      <c r="J21">
        <f>'a17'!R17</f>
        <v>0.376</v>
      </c>
      <c r="K21">
        <f>'a17'!T17</f>
        <v>0.34599999999999997</v>
      </c>
      <c r="L21">
        <f>'a17'!V17</f>
        <v>0.35399999999999998</v>
      </c>
    </row>
    <row r="22" spans="1:12">
      <c r="A22" s="1">
        <v>2010</v>
      </c>
      <c r="B22">
        <f>'a17'!B46</f>
        <v>0.39400000000000002</v>
      </c>
      <c r="C22">
        <f>'a17'!D46</f>
        <v>0.36699999999999999</v>
      </c>
      <c r="D22">
        <f>'a17'!F46</f>
        <v>0.33300000000000002</v>
      </c>
      <c r="E22">
        <f>'a17'!H46</f>
        <v>0.38500000000000001</v>
      </c>
      <c r="F22">
        <f>'a17'!J46</f>
        <v>0.36399999999999999</v>
      </c>
      <c r="G22">
        <f>'a17'!L46</f>
        <v>0.376</v>
      </c>
      <c r="H22">
        <f>'a17'!N46</f>
        <v>0.39600000000000002</v>
      </c>
      <c r="I22">
        <f>'a17'!P46</f>
        <v>0.36299999999999999</v>
      </c>
      <c r="J22">
        <f>'a17'!R46</f>
        <v>0.38500000000000001</v>
      </c>
      <c r="K22">
        <f>'a17'!T46</f>
        <v>0.39500000000000002</v>
      </c>
      <c r="L22">
        <f>'a17'!V46</f>
        <v>0.40500000000000003</v>
      </c>
    </row>
  </sheetData>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dimension ref="A1"/>
  <sheetViews>
    <sheetView workbookViewId="0">
      <selection activeCell="E9" sqref="E9"/>
    </sheetView>
  </sheetViews>
  <sheetFormatPr defaultRowHeight="12.75"/>
  <sheetData>
    <row r="1" spans="1:1" ht="15.75">
      <c r="A1" s="573" t="s">
        <v>1390</v>
      </c>
    </row>
  </sheetData>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404" t="s">
        <v>1391</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s="396">
        <f>'a18'!B17</f>
        <v>12</v>
      </c>
      <c r="C21" s="396">
        <f>'a18'!F17</f>
        <v>19.899999999999999</v>
      </c>
      <c r="D21" s="396">
        <f>'a18'!J17</f>
        <v>21</v>
      </c>
      <c r="E21" s="396">
        <f>'a18'!N17</f>
        <v>16.2</v>
      </c>
      <c r="F21" s="396">
        <f>'a18'!R17</f>
        <v>20.5</v>
      </c>
      <c r="G21" s="396">
        <f>'a18'!V17</f>
        <v>14.2</v>
      </c>
      <c r="H21" s="396">
        <f>'a18'!Z17</f>
        <v>9.4</v>
      </c>
      <c r="I21" s="396">
        <f>'a18'!AD17</f>
        <v>14.5</v>
      </c>
      <c r="J21" s="396">
        <f>'a18'!AH17</f>
        <v>16.3</v>
      </c>
      <c r="K21" s="396">
        <f>'a18'!AL17</f>
        <v>8.6999999999999993</v>
      </c>
      <c r="L21" s="396">
        <f>'a18'!AP17</f>
        <v>10.199999999999999</v>
      </c>
    </row>
    <row r="22" spans="1:12">
      <c r="A22" s="1">
        <v>2010</v>
      </c>
      <c r="B22" s="396">
        <f>'a18'!B46</f>
        <v>13.3</v>
      </c>
      <c r="C22" s="396">
        <f>'a18'!F46</f>
        <v>15.7</v>
      </c>
      <c r="D22" s="396">
        <f>'a18'!J46</f>
        <v>12</v>
      </c>
      <c r="E22" s="396">
        <f>'a18'!N46</f>
        <v>16.899999999999999</v>
      </c>
      <c r="F22" s="396">
        <f>'a18'!R46</f>
        <v>14.6</v>
      </c>
      <c r="G22" s="396">
        <f>'a18'!V46</f>
        <v>13.7</v>
      </c>
      <c r="H22" s="396">
        <f>'a18'!Z46</f>
        <v>13.1</v>
      </c>
      <c r="I22" s="396">
        <f>'a18'!AD46</f>
        <v>15.3</v>
      </c>
      <c r="J22" s="396">
        <f>'a18'!AH46</f>
        <v>11.7</v>
      </c>
      <c r="K22" s="396">
        <f>'a18'!AL46</f>
        <v>9.1</v>
      </c>
      <c r="L22" s="396">
        <f>'a18'!AP46</f>
        <v>15</v>
      </c>
    </row>
  </sheetData>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573" t="s">
        <v>1410</v>
      </c>
    </row>
    <row r="2" spans="1:1">
      <c r="A2" s="577"/>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s="396">
        <f>'a18'!C17</f>
        <v>0.30640000000000001</v>
      </c>
      <c r="C21" s="396">
        <f>'a18'!G17</f>
        <v>0.29089999999999999</v>
      </c>
      <c r="D21" s="396">
        <f>'a18'!K17</f>
        <v>0.26519999999999999</v>
      </c>
      <c r="E21" s="396">
        <f>'a18'!O17</f>
        <v>0.29630000000000001</v>
      </c>
      <c r="F21" s="396">
        <f>'a18'!S17</f>
        <v>0.2979</v>
      </c>
      <c r="G21" s="396">
        <f>'a18'!W17</f>
        <v>0.28970000000000001</v>
      </c>
      <c r="H21" s="396">
        <f>'a18'!AA17</f>
        <v>0.30059999999999998</v>
      </c>
      <c r="I21" s="396">
        <f>'a18'!AE17</f>
        <v>0.33409999999999995</v>
      </c>
      <c r="J21" s="396">
        <f>'a18'!AI17</f>
        <v>0.33270000000000005</v>
      </c>
      <c r="K21" s="396">
        <f>'a18'!AM17</f>
        <v>0.35509999999999997</v>
      </c>
      <c r="L21" s="396">
        <f>'a18'!AQ17</f>
        <v>0.33310000000000001</v>
      </c>
    </row>
    <row r="22" spans="1:12">
      <c r="A22" s="1">
        <v>2010</v>
      </c>
      <c r="B22" s="396">
        <f>'a18'!C46</f>
        <v>0.30790000000000001</v>
      </c>
      <c r="C22" s="396">
        <f>'a18'!G46</f>
        <v>0.29370000000000002</v>
      </c>
      <c r="D22" s="396">
        <f>'a18'!K46</f>
        <v>0.2268</v>
      </c>
      <c r="E22" s="396">
        <f>'a18'!O46</f>
        <v>0.28089999999999998</v>
      </c>
      <c r="F22" s="396">
        <f>'a18'!S46</f>
        <v>0.30269999999999997</v>
      </c>
      <c r="G22" s="396">
        <f>'a18'!W46</f>
        <v>0.28179999999999999</v>
      </c>
      <c r="H22" s="396">
        <f>'a18'!AA46</f>
        <v>0.30159999999999998</v>
      </c>
      <c r="I22" s="396">
        <f>'a18'!AE46</f>
        <v>0.26140000000000002</v>
      </c>
      <c r="J22" s="396">
        <f>'a18'!AI46</f>
        <v>0.34029999999999999</v>
      </c>
      <c r="K22" s="396">
        <f>'a18'!AM46</f>
        <v>0.37840000000000001</v>
      </c>
      <c r="L22" s="396">
        <f>'a18'!AQ46</f>
        <v>0.34860000000000002</v>
      </c>
    </row>
  </sheetData>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dimension ref="A1:L22"/>
  <sheetViews>
    <sheetView workbookViewId="0">
      <selection activeCell="E9" sqref="E9"/>
    </sheetView>
  </sheetViews>
  <sheetFormatPr defaultRowHeight="12.75"/>
  <sheetData>
    <row r="1" spans="1:1" ht="15.75">
      <c r="A1" s="404" t="s">
        <v>1408</v>
      </c>
    </row>
    <row r="20" spans="1:12">
      <c r="B20" s="76" t="s">
        <v>321</v>
      </c>
      <c r="C20" s="76" t="s">
        <v>370</v>
      </c>
      <c r="D20" s="76" t="s">
        <v>371</v>
      </c>
      <c r="E20" s="76" t="s">
        <v>372</v>
      </c>
      <c r="F20" s="76" t="s">
        <v>373</v>
      </c>
      <c r="G20" s="76" t="s">
        <v>374</v>
      </c>
      <c r="H20" s="76" t="s">
        <v>375</v>
      </c>
      <c r="I20" s="76" t="s">
        <v>376</v>
      </c>
      <c r="J20" s="76" t="s">
        <v>377</v>
      </c>
      <c r="K20" s="76" t="s">
        <v>378</v>
      </c>
      <c r="L20" s="76" t="s">
        <v>379</v>
      </c>
    </row>
    <row r="21" spans="1:12">
      <c r="A21" s="1">
        <v>1981</v>
      </c>
      <c r="B21">
        <f>'3'!D19</f>
        <v>0.6415022695162006</v>
      </c>
      <c r="C21">
        <f>'3'!G19</f>
        <v>0.44335753567434699</v>
      </c>
      <c r="D21">
        <f>'3'!J19</f>
        <v>0.44198121002238394</v>
      </c>
      <c r="E21">
        <f>'3'!M19</f>
        <v>0.52454765506693046</v>
      </c>
      <c r="F21">
        <f>'3'!P19</f>
        <v>0.35043375775672592</v>
      </c>
      <c r="G21">
        <f>'3'!S19</f>
        <v>0.59749980492452193</v>
      </c>
      <c r="H21">
        <f>'3'!V19</f>
        <v>0.76271200423824892</v>
      </c>
      <c r="I21">
        <f>'3'!Y19</f>
        <v>0.48355227539159917</v>
      </c>
      <c r="J21">
        <f>'3'!AB19</f>
        <v>0.37606661066813751</v>
      </c>
      <c r="K21">
        <f>'3'!AE19</f>
        <v>0.7141753287934689</v>
      </c>
      <c r="L21">
        <f>'3'!AH19</f>
        <v>0.66047047631749756</v>
      </c>
    </row>
    <row r="22" spans="1:12">
      <c r="A22" s="1">
        <v>2010</v>
      </c>
      <c r="B22">
        <f>'3'!D48</f>
        <v>0.48990011732755612</v>
      </c>
      <c r="C22">
        <f>'3'!G48</f>
        <v>0.4904809624274809</v>
      </c>
      <c r="D22">
        <f>'3'!J48</f>
        <v>0.7859903746853204</v>
      </c>
      <c r="E22">
        <f>'3'!M48</f>
        <v>0.43435666890078939</v>
      </c>
      <c r="F22">
        <f>'3'!P48</f>
        <v>0.51945171804193502</v>
      </c>
      <c r="G22">
        <f>'3'!S48</f>
        <v>0.55743456629889687</v>
      </c>
      <c r="H22">
        <f>'3'!V48</f>
        <v>0.50214907569174194</v>
      </c>
      <c r="I22">
        <f>'3'!Y48</f>
        <v>0.57044824849781883</v>
      </c>
      <c r="J22">
        <f>'3'!AB48</f>
        <v>0.52324420602529553</v>
      </c>
      <c r="K22">
        <f>'3'!AE48</f>
        <v>0.56330550852340866</v>
      </c>
      <c r="L22">
        <f>'3'!AH48</f>
        <v>0.33362442119702618</v>
      </c>
    </row>
  </sheetData>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dimension ref="A1:C27"/>
  <sheetViews>
    <sheetView workbookViewId="0">
      <selection activeCell="E9" sqref="E9"/>
    </sheetView>
  </sheetViews>
  <sheetFormatPr defaultRowHeight="12.75"/>
  <sheetData>
    <row r="1" spans="1:1" ht="15.75">
      <c r="A1" s="404" t="s">
        <v>1409</v>
      </c>
    </row>
    <row r="22" spans="1:3">
      <c r="B22">
        <v>1981</v>
      </c>
      <c r="C22">
        <v>2010</v>
      </c>
    </row>
    <row r="23" spans="1:3">
      <c r="A23" t="s">
        <v>1245</v>
      </c>
      <c r="B23">
        <f>'8'!F16</f>
        <v>0.63201595297490964</v>
      </c>
      <c r="C23">
        <f>'8'!F45</f>
        <v>0.48472340768248307</v>
      </c>
    </row>
    <row r="24" spans="1:3">
      <c r="A24" t="s">
        <v>1246</v>
      </c>
      <c r="B24">
        <f>'4'!H19</f>
        <v>0.62716341973195355</v>
      </c>
      <c r="C24">
        <f>'4'!H48</f>
        <v>0.59308336362159264</v>
      </c>
    </row>
    <row r="25" spans="1:3">
      <c r="A25" t="s">
        <v>1247</v>
      </c>
      <c r="B25">
        <f>'5'!C17</f>
        <v>0.80071138764357608</v>
      </c>
      <c r="C25">
        <f>'5'!C46</f>
        <v>0.27257611035398904</v>
      </c>
    </row>
    <row r="26" spans="1:3">
      <c r="A26" t="s">
        <v>1248</v>
      </c>
      <c r="B26">
        <f>'6'!F19</f>
        <v>0.3866167011910287</v>
      </c>
      <c r="C26">
        <f>'6'!F48</f>
        <v>0.73908159487334235</v>
      </c>
    </row>
    <row r="27" spans="1:3">
      <c r="A27" t="s">
        <v>1249</v>
      </c>
      <c r="B27">
        <f>'7'!E18</f>
        <v>0.34472713020593992</v>
      </c>
      <c r="C27">
        <f>'7'!E47</f>
        <v>0.67229618648223033</v>
      </c>
    </row>
  </sheetData>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dimension ref="A1:K32"/>
  <sheetViews>
    <sheetView workbookViewId="0">
      <selection activeCell="E9" sqref="E9"/>
    </sheetView>
  </sheetViews>
  <sheetFormatPr defaultRowHeight="12.75"/>
  <sheetData>
    <row r="1" spans="1:11" ht="14.25">
      <c r="A1" s="575" t="s">
        <v>1403</v>
      </c>
    </row>
    <row r="2" spans="1:11">
      <c r="I2" t="s">
        <v>1234</v>
      </c>
      <c r="J2" t="s">
        <v>1235</v>
      </c>
      <c r="K2" t="s">
        <v>1236</v>
      </c>
    </row>
    <row r="3" spans="1:11">
      <c r="H3" s="35">
        <v>1981</v>
      </c>
      <c r="I3">
        <f>'4'!B19</f>
        <v>7.6</v>
      </c>
      <c r="J3" s="396">
        <f>'4'!E19</f>
        <v>38.422308089725213</v>
      </c>
      <c r="K3">
        <f>'4'!D19</f>
        <v>66.628312562670118</v>
      </c>
    </row>
    <row r="4" spans="1:11">
      <c r="H4" s="35">
        <v>1982</v>
      </c>
      <c r="I4">
        <f>'4'!B20</f>
        <v>11</v>
      </c>
      <c r="J4" s="396">
        <f>'4'!E20</f>
        <v>37.991613847961666</v>
      </c>
      <c r="K4">
        <f>'4'!D20</f>
        <v>75.941337800029444</v>
      </c>
    </row>
    <row r="5" spans="1:11">
      <c r="H5" s="35">
        <v>1983</v>
      </c>
      <c r="I5">
        <f>'4'!B21</f>
        <v>12</v>
      </c>
      <c r="J5" s="396">
        <f>'4'!E21</f>
        <v>38.472690039579412</v>
      </c>
      <c r="K5">
        <f>'4'!D21</f>
        <v>74.323104852993282</v>
      </c>
    </row>
    <row r="6" spans="1:11">
      <c r="H6" s="35">
        <v>1984</v>
      </c>
      <c r="I6">
        <f>'4'!B22</f>
        <v>11.3</v>
      </c>
      <c r="J6" s="396">
        <f>'4'!E22</f>
        <v>38.425449380889233</v>
      </c>
      <c r="K6">
        <f>'4'!D22</f>
        <v>73.725700686857508</v>
      </c>
    </row>
    <row r="7" spans="1:11">
      <c r="H7" s="35">
        <v>1985</v>
      </c>
      <c r="I7">
        <f>'4'!B23</f>
        <v>10.6</v>
      </c>
      <c r="J7" s="396">
        <f>'4'!E23</f>
        <v>39.209031430746862</v>
      </c>
      <c r="K7">
        <f>'4'!D23</f>
        <v>73.568815729309549</v>
      </c>
    </row>
    <row r="8" spans="1:11">
      <c r="H8" s="35">
        <v>1986</v>
      </c>
      <c r="I8">
        <f>'4'!B24</f>
        <v>9.6999999999999993</v>
      </c>
      <c r="J8" s="396">
        <f>'4'!E24</f>
        <v>40.242420779916635</v>
      </c>
      <c r="K8">
        <f>'4'!D24</f>
        <v>75.623427978737183</v>
      </c>
    </row>
    <row r="9" spans="1:11">
      <c r="H9" s="35">
        <v>1987</v>
      </c>
      <c r="I9">
        <f>'4'!B25</f>
        <v>8.8000000000000007</v>
      </c>
      <c r="J9" s="396">
        <f>'4'!E25</f>
        <v>40.605748321412733</v>
      </c>
      <c r="K9">
        <f>'4'!D25</f>
        <v>76.198309583682601</v>
      </c>
    </row>
    <row r="10" spans="1:11">
      <c r="H10" s="35">
        <v>1988</v>
      </c>
      <c r="I10">
        <f>'4'!B26</f>
        <v>7.8</v>
      </c>
      <c r="J10" s="396">
        <f>'4'!E26</f>
        <v>41.35343750031619</v>
      </c>
      <c r="K10">
        <f>'4'!D26</f>
        <v>82.647888421380699</v>
      </c>
    </row>
    <row r="11" spans="1:11">
      <c r="H11" s="35">
        <v>1989</v>
      </c>
      <c r="I11">
        <f>'4'!B27</f>
        <v>7.5</v>
      </c>
      <c r="J11" s="396">
        <f>'4'!E27</f>
        <v>42.000646542792794</v>
      </c>
      <c r="K11">
        <f>'4'!D27</f>
        <v>83.769246480643531</v>
      </c>
    </row>
    <row r="12" spans="1:11">
      <c r="H12" s="35">
        <v>1990</v>
      </c>
      <c r="I12">
        <f>'4'!B28</f>
        <v>8.1</v>
      </c>
      <c r="J12" s="396">
        <f>'4'!E28</f>
        <v>43.488702292208451</v>
      </c>
      <c r="K12">
        <f>'4'!D28</f>
        <v>83.116132838355057</v>
      </c>
    </row>
    <row r="13" spans="1:11">
      <c r="H13" s="35">
        <v>1991</v>
      </c>
      <c r="I13">
        <f>'4'!B29</f>
        <v>10.3</v>
      </c>
      <c r="J13" s="396">
        <f>'4'!E29</f>
        <v>44.198228328663106</v>
      </c>
      <c r="K13">
        <f>'4'!D29</f>
        <v>78.161370295244538</v>
      </c>
    </row>
    <row r="14" spans="1:11">
      <c r="H14" s="35">
        <v>1992</v>
      </c>
      <c r="I14">
        <f>'4'!B30</f>
        <v>11.2</v>
      </c>
      <c r="J14" s="396">
        <f>'4'!E30</f>
        <v>44.166622991678459</v>
      </c>
      <c r="K14">
        <f>'4'!D30</f>
        <v>71.524264889110384</v>
      </c>
    </row>
    <row r="15" spans="1:11">
      <c r="H15" s="35">
        <v>1993</v>
      </c>
      <c r="I15">
        <f>'4'!B31</f>
        <v>11.4</v>
      </c>
      <c r="J15" s="396">
        <f>'4'!E31</f>
        <v>43.923888116847095</v>
      </c>
      <c r="K15">
        <f>'4'!D31</f>
        <v>65.346313097485236</v>
      </c>
    </row>
    <row r="16" spans="1:11">
      <c r="H16" s="35">
        <v>1994</v>
      </c>
      <c r="I16">
        <f>'4'!B32</f>
        <v>10.4</v>
      </c>
      <c r="J16" s="396">
        <f>'4'!E32</f>
        <v>42.470651733909051</v>
      </c>
      <c r="K16">
        <f>'4'!D32</f>
        <v>59.139768976897692</v>
      </c>
    </row>
    <row r="17" spans="8:11">
      <c r="H17" s="35">
        <v>1995</v>
      </c>
      <c r="I17">
        <f>'4'!B33</f>
        <v>9.5</v>
      </c>
      <c r="J17" s="396">
        <f>'4'!E33</f>
        <v>42.253662284731156</v>
      </c>
      <c r="K17">
        <f>'4'!D33</f>
        <v>52.84719232792844</v>
      </c>
    </row>
    <row r="18" spans="8:11">
      <c r="H18" s="35">
        <v>1996</v>
      </c>
      <c r="I18">
        <f>'4'!B34</f>
        <v>9.6</v>
      </c>
      <c r="J18" s="396">
        <f>'4'!E34</f>
        <v>41.787232069306008</v>
      </c>
      <c r="K18">
        <f>'4'!D34</f>
        <v>49.499381592457752</v>
      </c>
    </row>
    <row r="19" spans="8:11">
      <c r="H19" s="35">
        <v>1997</v>
      </c>
      <c r="I19">
        <f>'4'!B35</f>
        <v>9.1</v>
      </c>
      <c r="J19" s="396">
        <f>'4'!E35</f>
        <v>40.055552882173359</v>
      </c>
      <c r="K19">
        <f>'4'!D35</f>
        <v>44.091554940250653</v>
      </c>
    </row>
    <row r="20" spans="8:11">
      <c r="H20" s="35">
        <v>1998</v>
      </c>
      <c r="I20">
        <f>'4'!B36</f>
        <v>8.3000000000000007</v>
      </c>
      <c r="J20" s="396">
        <f>'4'!E36</f>
        <v>40.350260252033543</v>
      </c>
      <c r="K20">
        <f>'4'!D36</f>
        <v>45.529723405374142</v>
      </c>
    </row>
    <row r="21" spans="8:11">
      <c r="H21" s="35">
        <v>1999</v>
      </c>
      <c r="I21">
        <f>'4'!B37</f>
        <v>7.6</v>
      </c>
      <c r="J21" s="396">
        <f>'4'!E37</f>
        <v>40.764074299602896</v>
      </c>
      <c r="K21">
        <f>'4'!D37</f>
        <v>44.991467095427488</v>
      </c>
    </row>
    <row r="22" spans="8:11">
      <c r="H22" s="35">
        <v>2000</v>
      </c>
      <c r="I22">
        <f>'4'!B38</f>
        <v>6.8</v>
      </c>
      <c r="J22" s="396">
        <f>'4'!E38</f>
        <v>40.446444461393739</v>
      </c>
      <c r="K22">
        <f>'4'!D38</f>
        <v>44.960251432797193</v>
      </c>
    </row>
    <row r="23" spans="8:11">
      <c r="H23" s="35">
        <v>2001</v>
      </c>
      <c r="I23">
        <f>'4'!B39</f>
        <v>7.2</v>
      </c>
      <c r="J23" s="396">
        <f>'4'!E39</f>
        <v>42.51964708807072</v>
      </c>
      <c r="K23">
        <f>'4'!D39</f>
        <v>44.79066437571592</v>
      </c>
    </row>
    <row r="24" spans="8:11">
      <c r="H24" s="35">
        <v>2002</v>
      </c>
      <c r="I24">
        <f>'4'!B40</f>
        <v>7.7</v>
      </c>
      <c r="J24" s="396">
        <f>'4'!E40</f>
        <v>42.805231478041165</v>
      </c>
      <c r="K24">
        <f>'4'!D40</f>
        <v>43.765043656100055</v>
      </c>
    </row>
    <row r="25" spans="8:11">
      <c r="H25" s="35">
        <v>2003</v>
      </c>
      <c r="I25">
        <f>'4'!B41</f>
        <v>7.6</v>
      </c>
      <c r="J25" s="396">
        <f>'4'!E41</f>
        <v>42.121286686834466</v>
      </c>
      <c r="K25">
        <f>'4'!D41</f>
        <v>43.852423935880481</v>
      </c>
    </row>
    <row r="26" spans="8:11">
      <c r="H26" s="35">
        <v>2004</v>
      </c>
      <c r="I26">
        <f>'4'!B42</f>
        <v>7.2</v>
      </c>
      <c r="J26" s="396">
        <f>'4'!E42</f>
        <v>41.337618826094506</v>
      </c>
      <c r="K26">
        <f>'4'!D42</f>
        <v>43.945300878972283</v>
      </c>
    </row>
    <row r="27" spans="8:11">
      <c r="H27" s="35">
        <v>2005</v>
      </c>
      <c r="I27">
        <f>'4'!B43</f>
        <v>6.8</v>
      </c>
      <c r="J27" s="396">
        <f>'4'!E43</f>
        <v>40.084057735165025</v>
      </c>
      <c r="K27">
        <f>'4'!D43</f>
        <v>44.210515058179332</v>
      </c>
    </row>
    <row r="28" spans="8:11">
      <c r="H28" s="35">
        <v>2006</v>
      </c>
      <c r="I28">
        <f>'4'!B44</f>
        <v>6.3</v>
      </c>
      <c r="J28" s="396">
        <f>'4'!E44</f>
        <v>40.471699778080726</v>
      </c>
      <c r="K28">
        <f>'4'!D44</f>
        <v>44.649194155746343</v>
      </c>
    </row>
    <row r="29" spans="8:11">
      <c r="H29" s="35">
        <v>2007</v>
      </c>
      <c r="I29">
        <f>'4'!B45</f>
        <v>6</v>
      </c>
      <c r="J29" s="396">
        <f>'4'!E45</f>
        <v>40.083377739433466</v>
      </c>
      <c r="K29">
        <f>'4'!D45</f>
        <v>44.452917362012492</v>
      </c>
    </row>
    <row r="30" spans="8:11">
      <c r="H30" s="35">
        <v>2008</v>
      </c>
      <c r="I30">
        <f>'4'!B46</f>
        <v>6.1</v>
      </c>
      <c r="J30" s="396">
        <f>'4'!E46</f>
        <v>40.626335865311894</v>
      </c>
      <c r="K30">
        <f>'4'!D46</f>
        <v>43.558068368413188</v>
      </c>
    </row>
    <row r="31" spans="8:11">
      <c r="H31" s="35">
        <v>2009</v>
      </c>
      <c r="I31">
        <f>'4'!B47</f>
        <v>8.3000000000000007</v>
      </c>
      <c r="J31" s="396">
        <f>'4'!E47</f>
        <v>42.290139340680682</v>
      </c>
      <c r="K31">
        <f>'4'!D47</f>
        <v>48.415842128408087</v>
      </c>
    </row>
    <row r="32" spans="8:11">
      <c r="H32" s="576">
        <v>2010</v>
      </c>
      <c r="I32">
        <f>'4'!B48</f>
        <v>8</v>
      </c>
      <c r="J32" s="396">
        <f>'4'!E48</f>
        <v>40.664349871267433</v>
      </c>
      <c r="K32">
        <f>'4'!D48</f>
        <v>46.100610920198548</v>
      </c>
    </row>
  </sheetData>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dimension ref="A1:N24"/>
  <sheetViews>
    <sheetView workbookViewId="0">
      <selection activeCell="E9" sqref="E9"/>
    </sheetView>
  </sheetViews>
  <sheetFormatPr defaultRowHeight="12.75"/>
  <sheetData>
    <row r="1" spans="1:1" ht="15.75">
      <c r="A1" s="404" t="s">
        <v>1402</v>
      </c>
    </row>
    <row r="20" spans="1:14">
      <c r="B20" s="76" t="s">
        <v>321</v>
      </c>
      <c r="C20" s="76" t="s">
        <v>370</v>
      </c>
      <c r="D20" s="76" t="s">
        <v>371</v>
      </c>
      <c r="E20" s="76" t="s">
        <v>372</v>
      </c>
      <c r="F20" s="76" t="s">
        <v>373</v>
      </c>
      <c r="G20" s="76" t="s">
        <v>374</v>
      </c>
      <c r="H20" s="76" t="s">
        <v>375</v>
      </c>
      <c r="I20" s="76" t="s">
        <v>376</v>
      </c>
      <c r="J20" s="76" t="s">
        <v>377</v>
      </c>
      <c r="K20" s="76" t="s">
        <v>378</v>
      </c>
      <c r="L20" s="76" t="s">
        <v>379</v>
      </c>
    </row>
    <row r="21" spans="1:14">
      <c r="A21" s="1">
        <v>1981</v>
      </c>
      <c r="B21" s="1">
        <f>'4'!B19</f>
        <v>7.6</v>
      </c>
      <c r="C21" s="1">
        <f>'4'!I19</f>
        <v>13.5</v>
      </c>
      <c r="D21" s="1">
        <f>'4'!P19</f>
        <v>11.3</v>
      </c>
      <c r="E21" s="1">
        <f>'4'!W19</f>
        <v>10</v>
      </c>
      <c r="F21" s="1">
        <f>'4'!AD19</f>
        <v>11.6</v>
      </c>
      <c r="G21" s="1">
        <f>'4'!AK19</f>
        <v>10.5</v>
      </c>
      <c r="H21" s="1">
        <f>'4'!AR19</f>
        <v>6.6</v>
      </c>
      <c r="I21" s="1">
        <f>'4'!AY19</f>
        <v>6</v>
      </c>
      <c r="J21" s="1">
        <f>'4'!BF19</f>
        <v>4.5</v>
      </c>
      <c r="K21" s="1">
        <f>'4'!BM19</f>
        <v>3.9</v>
      </c>
      <c r="L21" s="1">
        <f>'4'!BT19</f>
        <v>6.8</v>
      </c>
    </row>
    <row r="22" spans="1:14">
      <c r="A22" s="1">
        <v>2010</v>
      </c>
      <c r="B22" s="1">
        <f>'4'!B48</f>
        <v>8</v>
      </c>
      <c r="C22" s="1">
        <f>'4'!I48</f>
        <v>14.4</v>
      </c>
      <c r="D22" s="1">
        <f>'4'!P48</f>
        <v>11.2</v>
      </c>
      <c r="E22" s="1">
        <f>'4'!W48</f>
        <v>9.3000000000000007</v>
      </c>
      <c r="F22" s="1">
        <f>'4'!AD48</f>
        <v>9.3000000000000007</v>
      </c>
      <c r="G22" s="1">
        <f>'4'!AK48</f>
        <v>8</v>
      </c>
      <c r="H22" s="1">
        <f>'4'!AR48</f>
        <v>8.6999999999999993</v>
      </c>
      <c r="I22" s="1">
        <f>'4'!AY48</f>
        <v>5.4</v>
      </c>
      <c r="J22" s="1">
        <f>'4'!BF48</f>
        <v>5.2</v>
      </c>
      <c r="K22" s="1">
        <f>'4'!BM48</f>
        <v>6.5</v>
      </c>
      <c r="L22" s="1">
        <f>'4'!BT48</f>
        <v>7.6</v>
      </c>
      <c r="M22" s="76"/>
      <c r="N22" s="76"/>
    </row>
    <row r="23" spans="1:14">
      <c r="M23" s="1"/>
      <c r="N23" s="1"/>
    </row>
    <row r="24" spans="1:14">
      <c r="M24" s="1"/>
      <c r="N24" s="1"/>
    </row>
  </sheetData>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dimension ref="A1:M24"/>
  <sheetViews>
    <sheetView workbookViewId="0">
      <selection activeCell="E9" sqref="E9"/>
    </sheetView>
  </sheetViews>
  <sheetFormatPr defaultRowHeight="12.75"/>
  <sheetData>
    <row r="1" spans="1:1" ht="15.75">
      <c r="A1" s="404" t="s">
        <v>1399</v>
      </c>
    </row>
    <row r="22" spans="1:13">
      <c r="B22" s="76" t="s">
        <v>321</v>
      </c>
      <c r="C22" s="76" t="s">
        <v>370</v>
      </c>
      <c r="D22" s="76" t="s">
        <v>371</v>
      </c>
      <c r="E22" s="76" t="s">
        <v>372</v>
      </c>
      <c r="F22" s="76" t="s">
        <v>373</v>
      </c>
      <c r="G22" s="76" t="s">
        <v>374</v>
      </c>
      <c r="H22" s="76" t="s">
        <v>375</v>
      </c>
      <c r="I22" s="76" t="s">
        <v>376</v>
      </c>
      <c r="J22" s="76" t="s">
        <v>377</v>
      </c>
      <c r="K22" s="76" t="s">
        <v>378</v>
      </c>
      <c r="L22" s="76" t="s">
        <v>379</v>
      </c>
      <c r="M22" s="76"/>
    </row>
    <row r="23" spans="1:13">
      <c r="A23" s="1">
        <v>1981</v>
      </c>
      <c r="B23" s="1">
        <f>'4'!D19</f>
        <v>66.628312562670118</v>
      </c>
      <c r="C23" s="1">
        <f>'4'!K19</f>
        <v>131.73879310344827</v>
      </c>
      <c r="D23" s="1">
        <f>'4'!R19</f>
        <v>117.72222222222221</v>
      </c>
      <c r="E23" s="1">
        <f>'4'!Y19</f>
        <v>89.95077838827838</v>
      </c>
      <c r="F23" s="1">
        <f>'4'!AF19</f>
        <v>118.71785361028682</v>
      </c>
      <c r="G23" s="1">
        <f>'4'!AM19</f>
        <v>75.687525344687757</v>
      </c>
      <c r="H23" s="1">
        <f>'4'!AT19</f>
        <v>51.038470017636691</v>
      </c>
      <c r="I23" s="1">
        <f>'4'!BA19</f>
        <v>55.348484848484844</v>
      </c>
      <c r="J23" s="1">
        <f>'4'!BH19</f>
        <v>52.367647058823529</v>
      </c>
      <c r="K23" s="1">
        <f>'4'!BO19</f>
        <v>31.555786555786558</v>
      </c>
      <c r="L23" s="1">
        <f>'4'!BV19</f>
        <v>57.300397648686022</v>
      </c>
      <c r="M23" s="1"/>
    </row>
    <row r="24" spans="1:13">
      <c r="A24" s="1">
        <v>2010</v>
      </c>
      <c r="B24" s="1">
        <f>'4'!D48</f>
        <v>46.100610920198548</v>
      </c>
      <c r="C24" s="1">
        <f>'4'!K48</f>
        <v>104.56187895212287</v>
      </c>
      <c r="D24" s="1">
        <f>'4'!R48</f>
        <v>97.949438202247194</v>
      </c>
      <c r="E24" s="1">
        <f>'4'!Y48</f>
        <v>71.826853851691865</v>
      </c>
      <c r="F24" s="1">
        <f>'4'!AF48</f>
        <v>94.34294871794873</v>
      </c>
      <c r="G24" s="1">
        <f>'4'!AM48</f>
        <v>56.278926637124563</v>
      </c>
      <c r="H24" s="1">
        <f>'4'!AT48</f>
        <v>34.450872433237571</v>
      </c>
      <c r="I24" s="1">
        <f>'4'!BA48</f>
        <v>44.938271604938272</v>
      </c>
      <c r="J24" s="1">
        <f>'4'!BH48</f>
        <v>44.82868757259002</v>
      </c>
      <c r="K24" s="1">
        <f>'4'!BO48</f>
        <v>35.656834873252784</v>
      </c>
      <c r="L24" s="1">
        <f>'4'!BV48</f>
        <v>43.749552452559975</v>
      </c>
      <c r="M24" s="1"/>
    </row>
  </sheetData>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dimension ref="A1:L24"/>
  <sheetViews>
    <sheetView workbookViewId="0">
      <selection activeCell="E9" sqref="E9"/>
    </sheetView>
  </sheetViews>
  <sheetFormatPr defaultRowHeight="12.75"/>
  <sheetData>
    <row r="1" spans="1:1" ht="15.75">
      <c r="A1" s="404" t="s">
        <v>1400</v>
      </c>
    </row>
    <row r="22" spans="1:12">
      <c r="B22" s="76" t="s">
        <v>321</v>
      </c>
      <c r="C22" s="76" t="s">
        <v>370</v>
      </c>
      <c r="D22" s="76" t="s">
        <v>371</v>
      </c>
      <c r="E22" s="76" t="s">
        <v>372</v>
      </c>
      <c r="F22" s="76" t="s">
        <v>373</v>
      </c>
      <c r="G22" s="76" t="s">
        <v>374</v>
      </c>
      <c r="H22" s="76" t="s">
        <v>375</v>
      </c>
      <c r="I22" s="76" t="s">
        <v>376</v>
      </c>
      <c r="J22" s="76" t="s">
        <v>377</v>
      </c>
      <c r="K22" s="76" t="s">
        <v>378</v>
      </c>
      <c r="L22" s="76" t="s">
        <v>379</v>
      </c>
    </row>
    <row r="23" spans="1:12">
      <c r="A23" s="1">
        <v>1981</v>
      </c>
      <c r="B23" s="1">
        <f>'4'!E19</f>
        <v>38.422308089725213</v>
      </c>
      <c r="C23" s="1">
        <f>'4'!L19</f>
        <v>34.760908941381771</v>
      </c>
      <c r="D23" s="1">
        <f>'4'!S19</f>
        <v>42.581261659939315</v>
      </c>
      <c r="E23" s="1">
        <f>'4'!Z19</f>
        <v>37.137454185035921</v>
      </c>
      <c r="F23" s="1">
        <f>'4'!AG19</f>
        <v>37.789860397187233</v>
      </c>
      <c r="G23" s="1">
        <f>'4'!AN19</f>
        <v>34.507697891790521</v>
      </c>
      <c r="H23" s="1">
        <f>'4'!AU19</f>
        <v>35.740441600834458</v>
      </c>
      <c r="I23" s="1">
        <f>'4'!BB19</f>
        <v>39.155668633734244</v>
      </c>
      <c r="J23" s="1">
        <f>'4'!BI19</f>
        <v>37.08199131463973</v>
      </c>
      <c r="K23" s="1">
        <f>'4'!BP19</f>
        <v>36.733337357911616</v>
      </c>
      <c r="L23" s="1">
        <f>'4'!BW19</f>
        <v>33.650384659563244</v>
      </c>
    </row>
    <row r="24" spans="1:12">
      <c r="A24" s="1">
        <v>2010</v>
      </c>
      <c r="B24" s="1">
        <f>'4'!E48</f>
        <v>40.664349871267433</v>
      </c>
      <c r="C24" s="1">
        <f>'4'!L48</f>
        <v>40.579498199327482</v>
      </c>
      <c r="D24" s="1">
        <f>'4'!S48</f>
        <v>47.65157814136802</v>
      </c>
      <c r="E24" s="1">
        <f>'4'!Z48</f>
        <v>43.538095175444376</v>
      </c>
      <c r="F24" s="1">
        <f>'4'!AG48</f>
        <v>44.056934051026211</v>
      </c>
      <c r="G24" s="1">
        <f>'4'!AN48</f>
        <v>43.055289820873561</v>
      </c>
      <c r="H24" s="1">
        <f>'4'!AU48</f>
        <v>39.590558111773468</v>
      </c>
      <c r="I24" s="1">
        <f>'4'!BB48</f>
        <v>43.442381467116</v>
      </c>
      <c r="J24" s="1">
        <f>'4'!BI48</f>
        <v>42.175972427375683</v>
      </c>
      <c r="K24" s="1">
        <f>'4'!BP48</f>
        <v>38.865425660438149</v>
      </c>
      <c r="L24" s="1">
        <f>'4'!BW48</f>
        <v>42.791714502064053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185</vt:i4>
      </vt:variant>
      <vt:variant>
        <vt:lpstr>Charts</vt:lpstr>
      </vt:variant>
      <vt:variant>
        <vt:i4>30</vt:i4>
      </vt:variant>
      <vt:variant>
        <vt:lpstr>Named Ranges</vt:lpstr>
      </vt:variant>
      <vt:variant>
        <vt:i4>131</vt:i4>
      </vt:variant>
    </vt:vector>
  </HeadingPairs>
  <TitlesOfParts>
    <vt:vector size="346" baseType="lpstr">
      <vt:lpstr>list</vt:lpstr>
      <vt:lpstr>1</vt:lpstr>
      <vt:lpstr>2</vt:lpstr>
      <vt:lpstr>3</vt:lpstr>
      <vt:lpstr>4</vt:lpstr>
      <vt:lpstr>5</vt:lpstr>
      <vt:lpstr>6</vt:lpstr>
      <vt:lpstr>7</vt:lpstr>
      <vt:lpstr>8</vt:lpstr>
      <vt:lpstr>9</vt:lpstr>
      <vt:lpstr>10</vt:lpstr>
      <vt:lpstr>11</vt:lpstr>
      <vt:lpstr>12</vt:lpstr>
      <vt:lpstr>a1</vt:lpstr>
      <vt:lpstr>a2</vt:lpstr>
      <vt:lpstr>a3</vt:lpstr>
      <vt:lpstr>a4</vt:lpstr>
      <vt:lpstr>a5-1</vt:lpstr>
      <vt:lpstr>a5-2</vt:lpstr>
      <vt:lpstr>a5-3</vt:lpstr>
      <vt:lpstr>a5-4</vt:lpstr>
      <vt:lpstr>a5-5</vt:lpstr>
      <vt:lpstr>a5-6</vt:lpstr>
      <vt:lpstr>a5-7</vt:lpstr>
      <vt:lpstr>a5-8</vt:lpstr>
      <vt:lpstr>a5-9</vt:lpstr>
      <vt:lpstr>a5-10</vt:lpstr>
      <vt:lpstr>a5-11</vt:lpstr>
      <vt:lpstr>a5</vt:lpstr>
      <vt:lpstr>a6</vt:lpstr>
      <vt:lpstr>a7</vt:lpstr>
      <vt:lpstr>a8</vt:lpstr>
      <vt:lpstr>a9</vt:lpstr>
      <vt:lpstr>a10</vt:lpstr>
      <vt:lpstr>a11</vt:lpstr>
      <vt:lpstr>a12</vt:lpstr>
      <vt:lpstr>a12A</vt:lpstr>
      <vt:lpstr>new gdp</vt:lpstr>
      <vt:lpstr>a13</vt:lpstr>
      <vt:lpstr>a14a</vt:lpstr>
      <vt:lpstr>a14_old</vt:lpstr>
      <vt:lpstr>a14</vt:lpstr>
      <vt:lpstr>a15</vt:lpstr>
      <vt:lpstr>a16</vt:lpstr>
      <vt:lpstr>a17</vt:lpstr>
      <vt:lpstr>a18</vt:lpstr>
      <vt:lpstr>a19</vt:lpstr>
      <vt:lpstr>a20</vt:lpstr>
      <vt:lpstr>a20 (2)</vt:lpstr>
      <vt:lpstr>a21</vt:lpstr>
      <vt:lpstr>a22</vt:lpstr>
      <vt:lpstr>a23</vt:lpstr>
      <vt:lpstr>a24</vt:lpstr>
      <vt:lpstr>a25</vt:lpstr>
      <vt:lpstr>a26</vt:lpstr>
      <vt:lpstr>a27</vt:lpstr>
      <vt:lpstr>a28</vt:lpstr>
      <vt:lpstr>a29</vt:lpstr>
      <vt:lpstr>a30</vt:lpstr>
      <vt:lpstr>a30-1</vt:lpstr>
      <vt:lpstr>a31</vt:lpstr>
      <vt:lpstr>a32</vt:lpstr>
      <vt:lpstr>a33</vt:lpstr>
      <vt:lpstr>C1</vt:lpstr>
      <vt:lpstr>C2</vt:lpstr>
      <vt:lpstr>C3</vt:lpstr>
      <vt:lpstr>C4</vt:lpstr>
      <vt:lpstr>C5</vt:lpstr>
      <vt:lpstr>C6</vt:lpstr>
      <vt:lpstr>C7</vt:lpstr>
      <vt:lpstr>C8</vt:lpstr>
      <vt:lpstr>C9</vt:lpstr>
      <vt:lpstr>C10</vt:lpstr>
      <vt:lpstr>C11</vt:lpstr>
      <vt:lpstr>C12</vt:lpstr>
      <vt:lpstr>C13</vt:lpstr>
      <vt:lpstr>C14</vt:lpstr>
      <vt:lpstr>C15</vt:lpstr>
      <vt:lpstr>C16</vt:lpstr>
      <vt:lpstr>C17</vt:lpstr>
      <vt:lpstr>C18</vt:lpstr>
      <vt:lpstr>C19</vt:lpstr>
      <vt:lpstr>C20</vt:lpstr>
      <vt:lpstr>C21</vt:lpstr>
      <vt:lpstr>C22</vt:lpstr>
      <vt:lpstr>C23</vt:lpstr>
      <vt:lpstr>C24</vt:lpstr>
      <vt:lpstr>C25</vt:lpstr>
      <vt:lpstr>C26</vt:lpstr>
      <vt:lpstr>C27</vt:lpstr>
      <vt:lpstr>C28</vt:lpstr>
      <vt:lpstr>C29</vt:lpstr>
      <vt:lpstr>C30</vt:lpstr>
      <vt:lpstr>C31</vt:lpstr>
      <vt:lpstr>C32</vt:lpstr>
      <vt:lpstr>C33</vt:lpstr>
      <vt:lpstr>C34</vt:lpstr>
      <vt:lpstr>C35</vt:lpstr>
      <vt:lpstr>C36</vt:lpstr>
      <vt:lpstr>C37</vt:lpstr>
      <vt:lpstr>C38</vt:lpstr>
      <vt:lpstr>C39</vt:lpstr>
      <vt:lpstr>C40</vt:lpstr>
      <vt:lpstr>C41</vt:lpstr>
      <vt:lpstr>C42</vt:lpstr>
      <vt:lpstr>C43</vt:lpstr>
      <vt:lpstr>C44</vt:lpstr>
      <vt:lpstr>C45</vt:lpstr>
      <vt:lpstr>C46</vt:lpstr>
      <vt:lpstr>C47</vt:lpstr>
      <vt:lpstr>C48</vt:lpstr>
      <vt:lpstr>C49</vt:lpstr>
      <vt:lpstr>C50</vt:lpstr>
      <vt:lpstr>C51</vt:lpstr>
      <vt:lpstr>C52</vt:lpstr>
      <vt:lpstr>C53</vt:lpstr>
      <vt:lpstr>Ex. 3</vt:lpstr>
      <vt:lpstr>Ex. 5</vt:lpstr>
      <vt:lpstr>ComponentsCharts</vt:lpstr>
      <vt:lpstr>C4C5C6C7</vt:lpstr>
      <vt:lpstr>C9-b</vt:lpstr>
      <vt:lpstr>C10a</vt:lpstr>
      <vt:lpstr>C11a</vt:lpstr>
      <vt:lpstr>C14-a</vt:lpstr>
      <vt:lpstr>C19-a</vt:lpstr>
      <vt:lpstr>C16a</vt:lpstr>
      <vt:lpstr>new charts</vt:lpstr>
      <vt:lpstr>C1a</vt:lpstr>
      <vt:lpstr>Sheet1</vt:lpstr>
      <vt:lpstr>C32a</vt:lpstr>
      <vt:lpstr>C51a</vt:lpstr>
      <vt:lpstr>Tot</vt:lpstr>
      <vt:lpstr>Con</vt:lpstr>
      <vt:lpstr>Wea</vt:lpstr>
      <vt:lpstr>Equ</vt:lpstr>
      <vt:lpstr>Sec</vt:lpstr>
      <vt:lpstr>TotG</vt:lpstr>
      <vt:lpstr>ConG</vt:lpstr>
      <vt:lpstr>WeaG</vt:lpstr>
      <vt:lpstr>EquG</vt:lpstr>
      <vt:lpstr>SecG</vt:lpstr>
      <vt:lpstr>Tab1</vt:lpstr>
      <vt:lpstr>Tab2</vt:lpstr>
      <vt:lpstr>Tab3</vt:lpstr>
      <vt:lpstr>Tab3a</vt:lpstr>
      <vt:lpstr>Tab4</vt:lpstr>
      <vt:lpstr>Tab4a</vt:lpstr>
      <vt:lpstr>Tab5</vt:lpstr>
      <vt:lpstr>Tab6</vt:lpstr>
      <vt:lpstr>Tab7</vt:lpstr>
      <vt:lpstr>TabList</vt:lpstr>
      <vt:lpstr>TabA1</vt:lpstr>
      <vt:lpstr>TabA2</vt:lpstr>
      <vt:lpstr>TabA3</vt:lpstr>
      <vt:lpstr>TabA4</vt:lpstr>
      <vt:lpstr>TabA5</vt:lpstr>
      <vt:lpstr>TabA6</vt:lpstr>
      <vt:lpstr>TabA7</vt:lpstr>
      <vt:lpstr>TabA8</vt:lpstr>
      <vt:lpstr>TabA9</vt:lpstr>
      <vt:lpstr>TabA10</vt:lpstr>
      <vt:lpstr>TabA11</vt:lpstr>
      <vt:lpstr>TabA12</vt:lpstr>
      <vt:lpstr>TabA12a</vt:lpstr>
      <vt:lpstr>TabA13</vt:lpstr>
      <vt:lpstr>TabA14</vt:lpstr>
      <vt:lpstr>TabA15</vt:lpstr>
      <vt:lpstr>TabA16</vt:lpstr>
      <vt:lpstr>TabA17</vt:lpstr>
      <vt:lpstr>TabA18</vt:lpstr>
      <vt:lpstr>TabA19</vt:lpstr>
      <vt:lpstr>TabA20</vt:lpstr>
      <vt:lpstr>TabA21</vt:lpstr>
      <vt:lpstr>TabA22</vt:lpstr>
      <vt:lpstr>TabA23</vt:lpstr>
      <vt:lpstr>TabA24</vt:lpstr>
      <vt:lpstr>TabA25</vt:lpstr>
      <vt:lpstr>TabA26</vt:lpstr>
      <vt:lpstr>TabA27</vt:lpstr>
      <vt:lpstr>TabA28</vt:lpstr>
      <vt:lpstr>TabA29</vt:lpstr>
      <vt:lpstr>TabA30</vt:lpstr>
      <vt:lpstr>TabA31</vt:lpstr>
      <vt:lpstr>TabA32</vt:lpstr>
      <vt:lpstr>TabA33</vt:lpstr>
      <vt:lpstr>Chart8</vt:lpstr>
      <vt:lpstr>Chart9</vt:lpstr>
      <vt:lpstr>Chart10</vt:lpstr>
      <vt:lpstr>Chart11</vt:lpstr>
      <vt:lpstr>Chart12</vt:lpstr>
      <vt:lpstr>Chart13</vt:lpstr>
      <vt:lpstr>Chart14</vt:lpstr>
      <vt:lpstr>Chart15</vt:lpstr>
      <vt:lpstr>Chart2</vt:lpstr>
      <vt:lpstr>Chart3</vt:lpstr>
      <vt:lpstr>Chart4</vt:lpstr>
      <vt:lpstr>Chart5</vt:lpstr>
      <vt:lpstr>Chart6</vt:lpstr>
      <vt:lpstr>Chart7</vt:lpstr>
      <vt:lpstr>Chart16</vt:lpstr>
      <vt:lpstr>Chart3 (2)</vt:lpstr>
      <vt:lpstr>Chart3 (3)</vt:lpstr>
      <vt:lpstr>Chart4 (2)</vt:lpstr>
      <vt:lpstr>Chart5 (2)</vt:lpstr>
      <vt:lpstr>Chart6 (2)</vt:lpstr>
      <vt:lpstr>Chart7 (2)</vt:lpstr>
      <vt:lpstr>Chart8 (2)</vt:lpstr>
      <vt:lpstr>Chart9 (2)</vt:lpstr>
      <vt:lpstr>Chart10 (2)</vt:lpstr>
      <vt:lpstr>Chart11 (2)</vt:lpstr>
      <vt:lpstr>Chart12 (2)</vt:lpstr>
      <vt:lpstr>Chart13 (2)</vt:lpstr>
      <vt:lpstr>Chart14 (2)</vt:lpstr>
      <vt:lpstr>Chart15 (2)</vt:lpstr>
      <vt:lpstr>Chart16 (2)</vt:lpstr>
      <vt:lpstr>'C1'!_Ref242608138</vt:lpstr>
      <vt:lpstr>'C3'!_Ref242608272</vt:lpstr>
      <vt:lpstr>'C5'!_Ref242608412</vt:lpstr>
      <vt:lpstr>'C8'!_Ref242608645</vt:lpstr>
      <vt:lpstr>'C9'!_Ref242608706</vt:lpstr>
      <vt:lpstr>'C13'!_Ref242608924</vt:lpstr>
      <vt:lpstr>'C16'!_Ref242609031</vt:lpstr>
      <vt:lpstr>'C19'!_Ref242609211</vt:lpstr>
      <vt:lpstr>'C37'!_Ref242610088</vt:lpstr>
      <vt:lpstr>'C43'!_Ref242610303</vt:lpstr>
      <vt:lpstr>'C47'!_Ref242610479</vt:lpstr>
      <vt:lpstr>'C51'!_Ref242679742</vt:lpstr>
      <vt:lpstr>'C39'!_Ref243363292</vt:lpstr>
      <vt:lpstr>'C45'!_Ref244337562</vt:lpstr>
      <vt:lpstr>'C34'!_Ref244944764</vt:lpstr>
      <vt:lpstr>'C2'!_Ref246394583</vt:lpstr>
      <vt:lpstr>'C4'!_Ref246395696</vt:lpstr>
      <vt:lpstr>'C6'!_Ref246407757</vt:lpstr>
      <vt:lpstr>'C10'!_Ref246741089</vt:lpstr>
      <vt:lpstr>'C11'!_Ref246751829</vt:lpstr>
      <vt:lpstr>'C15'!_Ref246753705</vt:lpstr>
      <vt:lpstr>'C18'!_Ref246756218</vt:lpstr>
      <vt:lpstr>'C20'!_Ref246759564</vt:lpstr>
      <vt:lpstr>'C36'!_Ref246829423</vt:lpstr>
      <vt:lpstr>'C42'!_Ref246834032</vt:lpstr>
      <vt:lpstr>'C33'!_Ref246834483</vt:lpstr>
      <vt:lpstr>'C44'!_Ref246835332</vt:lpstr>
      <vt:lpstr>'C48'!_Ref246836803</vt:lpstr>
      <vt:lpstr>'C49'!_Ref246837664</vt:lpstr>
      <vt:lpstr>'C21'!_Ref246841839</vt:lpstr>
      <vt:lpstr>'C22'!_Ref246841928</vt:lpstr>
      <vt:lpstr>'C17'!_Ref246910071</vt:lpstr>
      <vt:lpstr>'C23'!_Ref246918062</vt:lpstr>
      <vt:lpstr>'C32'!_Ref246926437</vt:lpstr>
      <vt:lpstr>'C14'!_Ref247013942</vt:lpstr>
      <vt:lpstr>'C25'!_Ref247014204</vt:lpstr>
      <vt:lpstr>'C31'!_Ref247014602</vt:lpstr>
      <vt:lpstr>'C50'!_Ref247014850</vt:lpstr>
      <vt:lpstr>'Ex. 3'!_Ref247017115</vt:lpstr>
      <vt:lpstr>'C24'!_Ref247020476</vt:lpstr>
      <vt:lpstr>'Ex. 5'!_Ref247021677</vt:lpstr>
      <vt:lpstr>'C26'!_Ref247369452</vt:lpstr>
      <vt:lpstr>'C38'!_Ref247372992</vt:lpstr>
      <vt:lpstr>'C40'!_Ref247373686</vt:lpstr>
      <vt:lpstr>'C41'!_Ref247374159</vt:lpstr>
      <vt:lpstr>'C46'!_Ref247375217</vt:lpstr>
      <vt:lpstr>'C7'!_Ref247464082</vt:lpstr>
      <vt:lpstr>'C27'!_Ref247464212</vt:lpstr>
      <vt:lpstr>'C28'!_Ref247464250</vt:lpstr>
      <vt:lpstr>'1'!Print_Area</vt:lpstr>
      <vt:lpstr>'10'!Print_Area</vt:lpstr>
      <vt:lpstr>'11'!Print_Area</vt:lpstr>
      <vt:lpstr>'12'!Print_Area</vt:lpstr>
      <vt:lpstr>'2'!Print_Area</vt:lpstr>
      <vt:lpstr>'5'!Print_Area</vt:lpstr>
      <vt:lpstr>'6'!Print_Area</vt:lpstr>
      <vt:lpstr>'7'!Print_Area</vt:lpstr>
      <vt:lpstr>'8'!Print_Area</vt:lpstr>
      <vt:lpstr>'9'!Print_Area</vt:lpstr>
      <vt:lpstr>'a1'!Print_Area</vt:lpstr>
      <vt:lpstr>'a11'!Print_Area</vt:lpstr>
      <vt:lpstr>'a12'!Print_Area</vt:lpstr>
      <vt:lpstr>'a13'!Print_Area</vt:lpstr>
      <vt:lpstr>'a14'!Print_Area</vt:lpstr>
      <vt:lpstr>a14_old!Print_Area</vt:lpstr>
      <vt:lpstr>a14a!Print_Area</vt:lpstr>
      <vt:lpstr>'a16'!Print_Area</vt:lpstr>
      <vt:lpstr>'a17'!Print_Area</vt:lpstr>
      <vt:lpstr>'a19'!Print_Area</vt:lpstr>
      <vt:lpstr>'a2'!Print_Area</vt:lpstr>
      <vt:lpstr>'a20'!Print_Area</vt:lpstr>
      <vt:lpstr>'a20 (2)'!Print_Area</vt:lpstr>
      <vt:lpstr>'a21'!Print_Area</vt:lpstr>
      <vt:lpstr>'a22'!Print_Area</vt:lpstr>
      <vt:lpstr>'a24'!Print_Area</vt:lpstr>
      <vt:lpstr>'a28'!Print_Area</vt:lpstr>
      <vt:lpstr>'a29'!Print_Area</vt:lpstr>
      <vt:lpstr>'a3'!Print_Area</vt:lpstr>
      <vt:lpstr>'a5'!Print_Area</vt:lpstr>
      <vt:lpstr>'a5-1'!Print_Area</vt:lpstr>
      <vt:lpstr>'a5-10'!Print_Area</vt:lpstr>
      <vt:lpstr>'a5-11'!Print_Area</vt:lpstr>
      <vt:lpstr>'a5-2'!Print_Area</vt:lpstr>
      <vt:lpstr>'a5-3'!Print_Area</vt:lpstr>
      <vt:lpstr>'a5-4'!Print_Area</vt:lpstr>
      <vt:lpstr>'a5-5'!Print_Area</vt:lpstr>
      <vt:lpstr>'a5-6'!Print_Area</vt:lpstr>
      <vt:lpstr>'a5-7'!Print_Area</vt:lpstr>
      <vt:lpstr>'a5-8'!Print_Area</vt:lpstr>
      <vt:lpstr>'a5-9'!Print_Area</vt:lpstr>
      <vt:lpstr>'a7'!Print_Area</vt:lpstr>
      <vt:lpstr>'a8'!Print_Area</vt:lpstr>
      <vt:lpstr>'a9'!Print_Area</vt:lpstr>
      <vt:lpstr>Con!Print_Area</vt:lpstr>
      <vt:lpstr>Equ!Print_Area</vt:lpstr>
      <vt:lpstr>'Ex. 5'!Print_Area</vt:lpstr>
      <vt:lpstr>list!Print_Area</vt:lpstr>
      <vt:lpstr>'new charts'!Print_Area</vt:lpstr>
      <vt:lpstr>Sec!Print_Area</vt:lpstr>
      <vt:lpstr>Tot!Print_Area</vt:lpstr>
      <vt:lpstr>TotG!Print_Area</vt:lpstr>
      <vt:lpstr>Wea!Print_Area</vt:lpstr>
      <vt:lpstr>'1'!Print_Titles</vt:lpstr>
      <vt:lpstr>'10'!Print_Titles</vt:lpstr>
      <vt:lpstr>'11'!Print_Titles</vt:lpstr>
      <vt:lpstr>'12'!Print_Titles</vt:lpstr>
      <vt:lpstr>'2'!Print_Titles</vt:lpstr>
      <vt:lpstr>'3'!Print_Titles</vt:lpstr>
      <vt:lpstr>'4'!Print_Titles</vt:lpstr>
      <vt:lpstr>'5'!Print_Titles</vt:lpstr>
      <vt:lpstr>'6'!Print_Titles</vt:lpstr>
      <vt:lpstr>'7'!Print_Titles</vt:lpstr>
      <vt:lpstr>'8'!Print_Titles</vt:lpstr>
      <vt:lpstr>'9'!Print_Titles</vt:lpstr>
      <vt:lpstr>'a1'!Print_Titles</vt:lpstr>
      <vt:lpstr>'a11'!Print_Titles</vt:lpstr>
      <vt:lpstr>'a13'!Print_Titles</vt:lpstr>
      <vt:lpstr>'a15'!Print_Titles</vt:lpstr>
      <vt:lpstr>'a16'!Print_Titles</vt:lpstr>
      <vt:lpstr>'a17'!Print_Titles</vt:lpstr>
      <vt:lpstr>'a18'!Print_Titles</vt:lpstr>
      <vt:lpstr>'a19'!Print_Titles</vt:lpstr>
      <vt:lpstr>'a2'!Print_Titles</vt:lpstr>
      <vt:lpstr>'a27'!Print_Titles</vt:lpstr>
      <vt:lpstr>'a28'!Print_Titles</vt:lpstr>
      <vt:lpstr>'a29'!Print_Titles</vt:lpstr>
      <vt:lpstr>'a4'!Print_Titles</vt:lpstr>
      <vt:lpstr>'a5'!Print_Titles</vt:lpstr>
      <vt:lpstr>'a6'!Print_Titles</vt:lpstr>
      <vt:lpstr>'a7'!Print_Titles</vt:lpstr>
      <vt:lpstr>'a8'!Print_Titles</vt:lpstr>
    </vt:vector>
  </TitlesOfParts>
  <Company>CSLS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dc:creator>
  <cp:lastModifiedBy>MAIN</cp:lastModifiedBy>
  <cp:lastPrinted>2011-09-03T19:30:45Z</cp:lastPrinted>
  <dcterms:created xsi:type="dcterms:W3CDTF">2002-05-21T14:56:58Z</dcterms:created>
  <dcterms:modified xsi:type="dcterms:W3CDTF">2011-09-06T14:31:42Z</dcterms:modified>
</cp:coreProperties>
</file>